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69.xml"/>
  <Override ContentType="application/vnd.openxmlformats-officedocument.spreadsheetml.comments+xml" PartName="/xl/comments94.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77.xml"/>
  <Override ContentType="application/vnd.openxmlformats-officedocument.spreadsheetml.comments+xml" PartName="/xl/comments9.xml"/>
  <Override ContentType="application/vnd.openxmlformats-officedocument.spreadsheetml.comments+xml" PartName="/xl/comments78.xml"/>
  <Override ContentType="application/vnd.openxmlformats-officedocument.spreadsheetml.comments+xml" PartName="/xl/comments86.xml"/>
  <Override ContentType="application/vnd.openxmlformats-officedocument.spreadsheetml.comments+xml" PartName="/xl/comments93.xml"/>
  <Override ContentType="application/vnd.openxmlformats-officedocument.spreadsheetml.comments+xml" PartName="/xl/comments43.xml"/>
  <Override ContentType="application/vnd.openxmlformats-officedocument.spreadsheetml.comments+xml" PartName="/xl/comments95.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87.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61.xml"/>
  <Override ContentType="application/vnd.openxmlformats-officedocument.spreadsheetml.comments+xml" PartName="/xl/comments79.xml"/>
  <Override ContentType="application/vnd.openxmlformats-officedocument.spreadsheetml.comments+xml" PartName="/xl/comments92.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0.xml"/>
  <Override ContentType="application/vnd.openxmlformats-officedocument.spreadsheetml.comments+xml" PartName="/xl/comments88.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89.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63.xml"/>
  <Override ContentType="application/vnd.openxmlformats-officedocument.spreadsheetml.comments+xml" PartName="/xl/comments76.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81.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64.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8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4.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49.xml"/>
  <Override ContentType="application/vnd.openxmlformats-officedocument.spreadsheetml.comments+xml" PartName="/xl/comments74.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91.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84.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60.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85.xml"/>
  <Override ContentType="application/vnd.openxmlformats-officedocument.spreadsheetml.comments+xml" PartName="/xl/comments7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トップページ" sheetId="1" r:id="rId4"/>
    <sheet state="visible" name="1. マリオ" sheetId="2" r:id="rId5"/>
    <sheet state="visible" name="2. ドンキーコング" sheetId="3" r:id="rId6"/>
    <sheet state="visible" name="3. リンク" sheetId="4" r:id="rId7"/>
    <sheet state="visible" name="4. サムス" sheetId="5" r:id="rId8"/>
    <sheet state="visible" name="4. ダークサムス" sheetId="6" r:id="rId9"/>
    <sheet state="visible" name="5. ヨッシー" sheetId="7" r:id="rId10"/>
    <sheet state="visible" name="6. カービィ" sheetId="8" r:id="rId11"/>
    <sheet state="visible" name="7. フォックス" sheetId="9" r:id="rId12"/>
    <sheet state="visible" name="8. ピカチュウ" sheetId="10" r:id="rId13"/>
    <sheet state="visible" name="9. ルイージ" sheetId="11" r:id="rId14"/>
    <sheet state="visible" name="10. ネス" sheetId="12" r:id="rId15"/>
    <sheet state="visible" name="11. キャプテン・ファルコン" sheetId="13" r:id="rId16"/>
    <sheet state="visible" name="12. プリン" sheetId="14" r:id="rId17"/>
    <sheet state="visible" name="13. ピーチ" sheetId="15" r:id="rId18"/>
    <sheet state="visible" name="13. デイジー" sheetId="16" r:id="rId19"/>
    <sheet state="visible" name="14. クッパ" sheetId="17" r:id="rId20"/>
    <sheet state="visible" name="15. アイスクライマー" sheetId="18" r:id="rId21"/>
    <sheet state="visible" name="16. シーク" sheetId="19" r:id="rId22"/>
    <sheet state="visible" name="17. ゼルダ" sheetId="20" r:id="rId23"/>
    <sheet state="visible" name="18. ドクターマリオ" sheetId="21" r:id="rId24"/>
    <sheet state="visible" name="19. ピチュー" sheetId="22" r:id="rId25"/>
    <sheet state="visible" name="20. ファルコ" sheetId="23" r:id="rId26"/>
    <sheet state="visible" name="21. マルス" sheetId="24" r:id="rId27"/>
    <sheet state="visible" name="21. ルキナ" sheetId="25" r:id="rId28"/>
    <sheet state="visible" name="22. こどもリンク" sheetId="26" r:id="rId29"/>
    <sheet state="visible" name="23. ガノンドロフ" sheetId="27" r:id="rId30"/>
    <sheet state="visible" name="24. ミュウツー" sheetId="28" r:id="rId31"/>
    <sheet state="visible" name="25. ロイ" sheetId="29" r:id="rId32"/>
    <sheet state="visible" name="25. クロム" sheetId="30" r:id="rId33"/>
    <sheet state="visible" name="26. Mr.ゲーム&amp;ウォッチ" sheetId="31" r:id="rId34"/>
    <sheet state="visible" name="27. メタナイト" sheetId="32" r:id="rId35"/>
    <sheet state="visible" name="28. ピット" sheetId="33" r:id="rId36"/>
    <sheet state="visible" name="28. ブラックピット" sheetId="34" r:id="rId37"/>
    <sheet state="visible" name="29. ゼロスーツサムス" sheetId="35" r:id="rId38"/>
    <sheet state="visible" name="30. ワリオ" sheetId="36" r:id="rId39"/>
    <sheet state="visible" name="31. スネーク" sheetId="37" r:id="rId40"/>
    <sheet state="visible" name="32. アイク" sheetId="38" r:id="rId41"/>
    <sheet state="visible" name="33. ゼニガメ" sheetId="39" r:id="rId42"/>
    <sheet state="visible" name="34. フシギソウ" sheetId="40" r:id="rId43"/>
    <sheet state="visible" name="35. リザードン" sheetId="41" r:id="rId44"/>
    <sheet state="visible" name="36. ディディーコング" sheetId="42" r:id="rId45"/>
    <sheet state="visible" name="37. リュカ" sheetId="43" r:id="rId46"/>
    <sheet state="visible" name="38. ソニック" sheetId="44" r:id="rId47"/>
    <sheet state="visible" name="39. デデデ" sheetId="45" r:id="rId48"/>
    <sheet state="visible" name="40. ピクミン&amp;オリマー" sheetId="46" r:id="rId49"/>
    <sheet state="visible" name="41. ルカリオ" sheetId="47" r:id="rId50"/>
    <sheet state="visible" name="42. ロボット" sheetId="48" r:id="rId51"/>
    <sheet state="visible" name="43. トゥーンリンク" sheetId="49" r:id="rId52"/>
    <sheet state="visible" name="44. ウルフ" sheetId="50" r:id="rId53"/>
    <sheet state="visible" name="45. むらびと" sheetId="51" r:id="rId54"/>
    <sheet state="visible" name="46. ロックマン" sheetId="52" r:id="rId55"/>
    <sheet state="visible" name="47. Wii Fit トレーナー" sheetId="53" r:id="rId56"/>
    <sheet state="visible" name="48. ロゼッタ&amp;チコ" sheetId="54" r:id="rId57"/>
    <sheet state="visible" name="49. リトル・マック" sheetId="55" r:id="rId58"/>
    <sheet state="visible" name="50. ゲッコウガ" sheetId="56" r:id="rId59"/>
    <sheet state="visible" name="51. 格闘Mii" sheetId="57" r:id="rId60"/>
    <sheet state="visible" name="52. 剣術Mii" sheetId="58" r:id="rId61"/>
    <sheet state="visible" name="53. 射撃Mii" sheetId="59" r:id="rId62"/>
    <sheet state="visible" name="54. パルテナ" sheetId="60" r:id="rId63"/>
    <sheet state="visible" name="55. パックマン" sheetId="61" r:id="rId64"/>
    <sheet state="visible" name="56. ルフレ" sheetId="62" r:id="rId65"/>
    <sheet state="visible" name="57. シュルク" sheetId="63" r:id="rId66"/>
    <sheet state="visible" name="58. クッパ Jr." sheetId="64" r:id="rId67"/>
    <sheet state="visible" name="59. ダックハント" sheetId="65" r:id="rId68"/>
    <sheet state="visible" name="60. リュウ" sheetId="66" r:id="rId69"/>
    <sheet state="visible" name="60. ケン" sheetId="67" r:id="rId70"/>
    <sheet state="visible" name="61. クラウド" sheetId="68" r:id="rId71"/>
    <sheet state="visible" name="62. カムイ" sheetId="69" r:id="rId72"/>
    <sheet state="visible" name="63. ベヨネッタ" sheetId="70" r:id="rId73"/>
    <sheet state="visible" name="64. インクリング" sheetId="71" r:id="rId74"/>
    <sheet state="visible" name="65. リドリー" sheetId="72" r:id="rId75"/>
    <sheet state="visible" name="66. シモン" sheetId="73" r:id="rId76"/>
    <sheet state="visible" name="66. リヒター" sheetId="74" r:id="rId77"/>
    <sheet state="visible" name="67. キングクルール" sheetId="75" r:id="rId78"/>
    <sheet state="visible" name="68. しずえ" sheetId="76" r:id="rId79"/>
    <sheet state="visible" name="69. ガオガエン" sheetId="77" r:id="rId80"/>
    <sheet state="visible" name="70. パックンフラワー" sheetId="78" r:id="rId81"/>
    <sheet state="visible" name="71. ジョーカー" sheetId="79" r:id="rId82"/>
    <sheet state="visible" name="72. 勇者" sheetId="80" r:id="rId83"/>
    <sheet state="visible" name="73. バンジョー&amp;カズーイ" sheetId="81" r:id="rId84"/>
    <sheet state="visible" name="74. テリー" sheetId="82" r:id="rId85"/>
    <sheet state="visible" name="75. ベレト／ベレス" sheetId="83" r:id="rId86"/>
    <sheet state="visible" name="76. ミェンミェン" sheetId="84" r:id="rId87"/>
    <sheet state="visible" name="77. スティーブ／アレックス" sheetId="85" r:id="rId88"/>
    <sheet state="visible" name="78. セフィロス" sheetId="86" r:id="rId89"/>
    <sheet state="visible" name="79. ホムラ" sheetId="87" r:id="rId90"/>
    <sheet state="visible" name="80. ヒカリ" sheetId="88" r:id="rId91"/>
    <sheet state="visible" name="81. カズヤ" sheetId="89" r:id="rId92"/>
    <sheet state="visible" name="82. ソラ" sheetId="90" r:id="rId93"/>
    <sheet state="visible" name="Fighters" sheetId="91" r:id="rId94"/>
    <sheet state="visible" name="行動フレーム・能力値" sheetId="92" r:id="rId95"/>
    <sheet state="visible" name="能力値その他" sheetId="93" r:id="rId96"/>
    <sheet state="visible" name="回避" sheetId="94" r:id="rId97"/>
    <sheet state="hidden" name="空中攻撃" sheetId="95" r:id="rId98"/>
    <sheet state="visible" name="崖行動・受け身" sheetId="96" r:id="rId99"/>
    <sheet state="visible" name="起きあがり" sheetId="97" r:id="rId100"/>
    <sheet state="visible" name="転倒" sheetId="98" r:id="rId101"/>
    <sheet state="visible" name="アイテム" sheetId="99" r:id="rId102"/>
    <sheet state="visible" name="テンプレート" sheetId="100" r:id="rId103"/>
    <sheet state="visible" name="コピー" sheetId="101" r:id="rId104"/>
    <sheet state="hidden" name="共通動作その他" sheetId="102" r:id="rId105"/>
  </sheets>
  <definedNames>
    <definedName localSheetId="54" name="回避">'49. リトル・マック'!$104:$110</definedName>
    <definedName localSheetId="39" name="必殺技">'34. フシギソウ'!$52:$66</definedName>
    <definedName name="回避">'コピー'!$107:$113</definedName>
    <definedName localSheetId="41" name="必殺技">'36. ディディーコング'!$58:$82</definedName>
    <definedName localSheetId="60" name="共通動作">'55. パックマン'!$109:$137</definedName>
    <definedName localSheetId="35" name="空中攻撃">'30. ワリオ'!$41:$52</definedName>
    <definedName localSheetId="53" name="地上攻撃">'48. ロゼッタ&amp;チコ'!$24:$57</definedName>
    <definedName localSheetId="76" name="つかみ・投げ">'69. ガオガエン'!$90:$107</definedName>
    <definedName localSheetId="77" name="つかみ・投げ">'70. パックンフラワー'!$87:$101</definedName>
    <definedName localSheetId="73" name="行動フレーム・能力値">'66. リヒター'!$15:$22</definedName>
    <definedName localSheetId="34" name="空中攻撃">'29. ゼロスーツサムス'!$45:$56</definedName>
    <definedName localSheetId="52" name="つかみ・投げ">'47. Wii Fit トレーナー'!$91:$105</definedName>
    <definedName localSheetId="51" name="行動フレーム・能力値">'46. ロックマン'!$15:$22</definedName>
    <definedName localSheetId="56" name="共通動作">'51. 格闘Mii'!$157:$185</definedName>
    <definedName localSheetId="53" name="回避">'48. ロゼッタ&amp;チコ'!$109:$115</definedName>
    <definedName localSheetId="21" name="地上攻撃">'19. ピチュー'!$24:$37</definedName>
    <definedName localSheetId="44" name="共通動作">'39. デデデ'!$112:$140</definedName>
    <definedName localSheetId="54" name="共通動作">'49. リトル・マック'!$112:$140</definedName>
    <definedName localSheetId="49" name="共通動作">'44. ウルフ'!$95:$123</definedName>
    <definedName localSheetId="49" name="回避">'44. ウルフ'!$87:$93</definedName>
    <definedName localSheetId="45" name="つかみ・投げ">'40. ピクミン&amp;オリマー'!$120:$144</definedName>
    <definedName localSheetId="61" name="空中攻撃">'56. ルフレ'!$49:$69</definedName>
    <definedName localSheetId="74" name="回避">'67. キングクルール'!$105:$111</definedName>
    <definedName localSheetId="73" name="必殺技">'66. リヒター'!$56:$72</definedName>
    <definedName localSheetId="70" name="地上攻撃">'64. インクリング'!$24:$50</definedName>
    <definedName localSheetId="38" name="行動フレーム・能力値">'33. ゼニガメ'!$15:$22</definedName>
    <definedName localSheetId="46" name="地上攻撃">'41. ルカリオ'!$32:$48</definedName>
    <definedName localSheetId="45" name="回避">'40. ピクミン&amp;オリマー'!$146:$152</definedName>
    <definedName localSheetId="17" name="地上攻撃">'15. アイスクライマー'!$30:$42</definedName>
    <definedName localSheetId="62" name="つかみ・投げ">'57. シュルク'!$97:$111</definedName>
    <definedName localSheetId="45" name="共通動作">'40. ピクミン&amp;オリマー'!$154:$182</definedName>
    <definedName localSheetId="77" name="共通動作">'70. パックンフラワー'!$111:$139</definedName>
    <definedName localSheetId="36" name="必殺技">'31. スネーク'!$61:$90</definedName>
    <definedName localSheetId="51" name="つかみ・投げ">'46. ロックマン'!$95:$109</definedName>
    <definedName localSheetId="51" name="回避">'46. ロックマン'!$111:$117</definedName>
    <definedName localSheetId="72" name="共通動作">'66. シモン'!$97:$125</definedName>
    <definedName localSheetId="62" name="必殺技">'57. シュルク'!$75:$95</definedName>
    <definedName localSheetId="64" name="地上攻撃">'59. ダックハント'!$24:$45</definedName>
    <definedName localSheetId="63" name="地上攻撃">'58. クッパ Jr.'!$24:$46</definedName>
    <definedName localSheetId="61" name="回避">'56. ルフレ'!$116:$122</definedName>
    <definedName localSheetId="76" name="共通動作">'69. ガオガエン'!$117:$145</definedName>
    <definedName localSheetId="46" name="必殺技">'41. ルカリオ'!$62:$79</definedName>
    <definedName localSheetId="74" name="地上攻撃">'67. キングクルール'!$24:$47</definedName>
    <definedName localSheetId="46" name="行動フレーム・能力値">'41. ルカリオ'!$15:$22</definedName>
    <definedName localSheetId="45" name="行動フレーム・能力値">'40. ピクミン&amp;オリマー'!$15:$22</definedName>
    <definedName localSheetId="56" name="必殺技">'51. 格闘Mii'!$54:$130</definedName>
    <definedName localSheetId="77" name="行動フレーム・能力値">'70. パックンフラワー'!$15:$22</definedName>
    <definedName localSheetId="63" name="必殺技">'58. クッパ Jr.'!$65:$88</definedName>
    <definedName localSheetId="55" name="つかみ・投げ">'50. ゲッコウガ'!$90:$104</definedName>
    <definedName localSheetId="49" name="必殺技">'44. ウルフ'!$51:$67</definedName>
    <definedName localSheetId="72" name="回避">'66. シモン'!$89:$95</definedName>
    <definedName localSheetId="40" name="行動フレーム・能力値">'35. リザードン'!$15:$22</definedName>
    <definedName localSheetId="50" name="共通動作">'45. むらびと'!$126:$154</definedName>
    <definedName localSheetId="75" name="つかみ・投げ">'68. しずえ'!$86:$100</definedName>
    <definedName localSheetId="54" name="空中攻撃">'49. リトル・マック'!$46:$52</definedName>
    <definedName localSheetId="62" name="回避">'57. シュルク'!$113:$119</definedName>
    <definedName localSheetId="54" name="行動フレーム・能力値">'49. リトル・マック'!$15:$22</definedName>
    <definedName localSheetId="44" name="地上攻撃">'39. デデデ'!$24:$43</definedName>
    <definedName localSheetId="55" name="必殺技">'50. ゲッコウガ'!$63:$88</definedName>
    <definedName localSheetId="35" name="行動フレーム・能力値">'30. ワリオ'!$15:$22</definedName>
    <definedName localSheetId="44" name="必殺技">'39. デデデ'!$55:$86</definedName>
    <definedName localSheetId="62" name="共通動作">'57. シュルク'!$121:$149</definedName>
    <definedName localSheetId="46" name="つかみ・投げ">'41. ルカリオ'!$81:$95</definedName>
    <definedName localSheetId="41" name="行動フレーム・能力値">'36. ディディーコング'!$15:$22</definedName>
    <definedName localSheetId="36" name="空中攻撃">'31. スネーク'!$45:$59</definedName>
    <definedName localSheetId="57" name="行動フレーム・能力値">'52. 剣術Mii'!$15:$22</definedName>
    <definedName localSheetId="76" name="必殺技">'69. ガオガエン'!$50:$88</definedName>
    <definedName localSheetId="57" name="共通動作">'52. 剣術Mii'!$141:$169</definedName>
    <definedName localSheetId="36" name="共通動作">'31. スネーク'!$116:$144</definedName>
    <definedName localSheetId="38" name="必殺技">'33. ゼニガメ'!$57:$69</definedName>
    <definedName localSheetId="76" name="地上攻撃">'69. ガオガエン'!$24:$37</definedName>
    <definedName localSheetId="43" name="共通動作">'38. ソニック'!$111:$139</definedName>
    <definedName localSheetId="43" name="行動フレーム・能力値">'38. ソニック'!$15:$22</definedName>
    <definedName localSheetId="35" name="地上攻撃">'30. ワリオ'!$24:$39</definedName>
    <definedName localSheetId="25" name="空中攻撃">'22. こどもリンク'!$44:$57</definedName>
    <definedName name="共通動作">'コピー'!$115:$143</definedName>
    <definedName localSheetId="60" name="回避">'55. パックマン'!$101:$107</definedName>
    <definedName localSheetId="61" name="行動フレーム・能力値">'56. ルフレ'!$15:$22</definedName>
    <definedName localSheetId="72" name="行動フレーム・能力値">'66. シモン'!$15:$22</definedName>
    <definedName localSheetId="76" name="回避">'69. ガオガエン'!$109:$115</definedName>
    <definedName localSheetId="34" name="行動フレーム・能力値">'29. ゼロスーツサムス'!$15:$22</definedName>
    <definedName localSheetId="70" name="回避">'64. インクリング'!$120:$126</definedName>
    <definedName localSheetId="49" name="空中攻撃">'44. ウルフ'!$42:$49</definedName>
    <definedName localSheetId="59" name="行動フレーム・能力値">'54. パルテナ'!$15:$22</definedName>
    <definedName localSheetId="74" name="つかみ・投げ">'67. キングクルール'!$89:$103</definedName>
    <definedName localSheetId="76" name="空中攻撃">'69. ガオガエン'!$39:$48</definedName>
    <definedName localSheetId="70" name="共通動作">'64. インクリング'!$128:$156</definedName>
    <definedName localSheetId="47" name="必殺技">'42. ロボット'!$53:$68</definedName>
    <definedName localSheetId="43" name="地上攻撃">'38. ソニック'!$24:$41</definedName>
    <definedName localSheetId="50" name="つかみ・投げ">'45. むらびと'!$102:$116</definedName>
    <definedName localSheetId="71" name="行動フレーム・能力値">'65. リドリー'!$15:$22</definedName>
    <definedName localSheetId="75" name="空中攻撃">'68. しずえ'!$40:$53</definedName>
    <definedName localSheetId="68" name="共通動作">'62. カムイ'!$104:$132</definedName>
    <definedName localSheetId="70" name="必殺技">'64. インクリング'!$65:$102</definedName>
    <definedName localSheetId="21" name="空中攻撃">'19. ピチュー'!$39:$50</definedName>
    <definedName localSheetId="60" name="空中攻撃">'55. パックマン'!$43:$53</definedName>
    <definedName localSheetId="50" name="必殺技">'45. むらびと'!$70:$94</definedName>
    <definedName localSheetId="71" name="空中攻撃">'65. リドリー'!$40:$51</definedName>
    <definedName localSheetId="52" name="地上攻撃">'47. Wii Fit トレーナー'!$39:$53</definedName>
    <definedName localSheetId="58" name="つかみ・投げ">'53. 射撃Mii'!$102:$120</definedName>
    <definedName localSheetId="75" name="回避">'68. しずえ'!$102:$108</definedName>
    <definedName name="地上攻撃">'コピー'!$24:$53</definedName>
    <definedName localSheetId="71" name="地上攻撃">'65. リドリー'!$24:$38</definedName>
    <definedName localSheetId="40" name="回避">'35. リザードン'!$86:$92</definedName>
    <definedName localSheetId="58" name="必殺技">'53. 射撃Mii'!$61:$98</definedName>
    <definedName localSheetId="39" name="地上攻撃">'34. フシギソウ'!$24:$40</definedName>
    <definedName localSheetId="71" name="共通動作">'65. リドリー'!$105:$133</definedName>
    <definedName localSheetId="49" name="つかみ・投げ">'44. ウルフ'!$71:$85</definedName>
    <definedName localSheetId="38" name="つかみ・投げ">'33. ゼニガメ'!$71:$85</definedName>
    <definedName localSheetId="25" name="回避">'22. こどもリンク'!$100:$106</definedName>
    <definedName localSheetId="63" name="空中攻撃">'58. クッパ Jr.'!$48:$63</definedName>
    <definedName localSheetId="75" name="必殺技">'68. しずえ'!$55:$84</definedName>
    <definedName localSheetId="37" name="空中攻撃">'32. アイク'!$43:$50</definedName>
    <definedName localSheetId="68" name="地上攻撃">'62. カムイ'!$24:$41</definedName>
    <definedName localSheetId="40" name="地上攻撃">'35. リザードン'!$24:$41</definedName>
    <definedName localSheetId="55" name="空中攻撃">'50. ゲッコウガ'!$48:$61</definedName>
    <definedName localSheetId="74" name="行動フレーム・能力値">'67. キングクルール'!$15:$22</definedName>
    <definedName localSheetId="45" name="空中攻撃">'40. ピクミン&amp;オリマー'!$75:$98</definedName>
    <definedName localSheetId="51" name="地上攻撃">'46. ロックマン'!$24:$52</definedName>
    <definedName localSheetId="60" name="つかみ・投げ">'55. パックマン'!$85:$99</definedName>
    <definedName localSheetId="70" name="つかみ・投げ">'64. インクリング'!$104:$118</definedName>
    <definedName localSheetId="44" name="つかみ・投げ">'39. デデデ'!$88:$102</definedName>
    <definedName localSheetId="50" name="回避">'45. むらびと'!$118:$124</definedName>
    <definedName localSheetId="38" name="共通動作">'33. ゼニガメ'!$95:$123</definedName>
    <definedName localSheetId="53" name="共通動作">'48. ロゼッタ&amp;チコ'!$117:$145</definedName>
    <definedName localSheetId="58" name="共通動作">'53. 射撃Mii'!$130:$158</definedName>
    <definedName localSheetId="43" name="回避">'38. ソニック'!$103:$109</definedName>
    <definedName localSheetId="39" name="空中攻撃">'34. フシギソウ'!$42:$50</definedName>
    <definedName localSheetId="73" name="空中攻撃">'66. リヒター'!$45:$54</definedName>
    <definedName localSheetId="44" name="空中攻撃">'39. デデデ'!$45:$53</definedName>
    <definedName localSheetId="76" name="行動フレーム・能力値">'69. ガオガエン'!$15:$22</definedName>
    <definedName localSheetId="39" name="つかみ・投げ">'34. フシギソウ'!$68:$82</definedName>
    <definedName localSheetId="47" name="空中攻撃">'42. ロボット'!$40:$51</definedName>
    <definedName localSheetId="43" name="つかみ・投げ">'38. ソニック'!$87:$101</definedName>
    <definedName localSheetId="62" name="空中攻撃">'57. シュルク'!$62:$73</definedName>
    <definedName localSheetId="43" name="空中攻撃">'38. ソニック'!$43:$55</definedName>
    <definedName localSheetId="45" name="地上攻撃">'40. ピクミン&amp;オリマー'!$31:$73</definedName>
    <definedName localSheetId="34" name="必殺技">'29. ゼロスーツサムス'!$58:$87</definedName>
    <definedName localSheetId="36" name="つかみ・投げ">'31. スネーク'!$92:$106</definedName>
    <definedName localSheetId="75" name="共通動作">'68. しずえ'!$110:$138</definedName>
    <definedName localSheetId="64" name="必殺技">'59. ダックハント'!$62:$80</definedName>
    <definedName localSheetId="50" name="行動フレーム・能力値">'45. むらびと'!$15:$22</definedName>
    <definedName localSheetId="64" name="回避">'59. ダックハント'!$98:$104</definedName>
    <definedName localSheetId="40" name="つかみ・投げ">'35. リザードン'!$70:$84</definedName>
    <definedName localSheetId="35" name="必殺技">'30. ワリオ'!$54:$93</definedName>
    <definedName localSheetId="61" name="共通動作">'56. ルフレ'!$124:$152</definedName>
    <definedName localSheetId="77" name="地上攻撃">'70. パックンフラワー'!$24:$42</definedName>
    <definedName localSheetId="72" name="空中攻撃">'66. シモン'!$45:$54</definedName>
    <definedName localSheetId="46" name="共通動作">'41. ルカリオ'!$105:$133</definedName>
    <definedName localSheetId="60" name="行動フレーム・能力値">'55. パックマン'!$15:$22</definedName>
    <definedName localSheetId="25" name="必殺技">'22. こどもリンク'!$59:$82</definedName>
    <definedName localSheetId="34" name="回避">'29. ゼロスーツサムス'!$105:$111</definedName>
    <definedName localSheetId="73" name="地上攻撃">'66. リヒター'!$24:$43</definedName>
    <definedName localSheetId="39" name="行動フレーム・能力値">'34. フシギソウ'!$15:$22</definedName>
    <definedName localSheetId="54" name="つかみ・投げ">'49. リトル・マック'!$88:$102</definedName>
    <definedName localSheetId="55" name="共通動作">'50. ゲッコウガ'!$114:$142</definedName>
    <definedName localSheetId="63" name="行動フレーム・能力値">'58. クッパ Jr.'!$15:$22</definedName>
    <definedName localSheetId="38" name="空中攻撃">'33. ゼニガメ'!$44:$55</definedName>
    <definedName localSheetId="68" name="つかみ・投げ">'62. カムイ'!$80:$94</definedName>
    <definedName localSheetId="64" name="行動フレーム・能力値">'59. ダックハント'!$15:$22</definedName>
    <definedName localSheetId="53" name="行動フレーム・能力値">'48. ロゼッタ&amp;チコ'!$15:$22</definedName>
    <definedName localSheetId="25" name="行動フレーム・能力値">'22. こどもリンク'!$15:$22</definedName>
    <definedName localSheetId="70" name="行動フレーム・能力値">'64. インクリング'!$15:$22</definedName>
    <definedName localSheetId="45" name="必殺技">'40. ピクミン&amp;オリマー'!$100:$118</definedName>
    <definedName localSheetId="25" name="地上攻撃">'22. こどもリンク'!$24:$42</definedName>
    <definedName localSheetId="58" name="行動フレーム・能力値">'53. 射撃Mii'!$15:$22</definedName>
    <definedName localSheetId="21" name="回避">'19. ピチュー'!$89:$95</definedName>
    <definedName localSheetId="41" name="地上攻撃">'36. ディディーコング'!$24:$46</definedName>
    <definedName localSheetId="57" name="空中攻撃">'52. 剣術Mii'!$40:$50</definedName>
    <definedName localSheetId="17" name="行動フレーム・能力値">'15. アイスクライマー'!$15:$22</definedName>
    <definedName localSheetId="17" name="必殺技">'15. アイスクライマー'!$52:$76</definedName>
    <definedName localSheetId="17" name="回避">'15. アイスクライマー'!$96:$102</definedName>
    <definedName localSheetId="53" name="必殺技">'48. ロゼッタ&amp;チコ'!$80:$91</definedName>
    <definedName localSheetId="68" name="行動フレーム・能力値">'62. カムイ'!$15:$22</definedName>
    <definedName localSheetId="59" name="空中攻撃">'54. パルテナ'!$47:$55</definedName>
    <definedName localSheetId="56" name="行動フレーム・能力値">'51. 格闘Mii'!$15:$22</definedName>
    <definedName localSheetId="59" name="共通動作">'54. パルテナ'!$96:$124</definedName>
    <definedName localSheetId="53" name="空中攻撃">'48. ロゼッタ&amp;チコ'!$59:$78</definedName>
    <definedName localSheetId="54" name="必殺技">'49. リトル・マック'!$54:$86</definedName>
    <definedName localSheetId="75" name="行動フレーム・能力値">'68. しずえ'!$15:$22</definedName>
    <definedName localSheetId="51" name="空中攻撃">'46. ロックマン'!$54:$78</definedName>
    <definedName localSheetId="74" name="必殺技">'67. キングクルール'!$63:$87</definedName>
    <definedName localSheetId="62" name="地上攻撃">'57. シュルク'!$40:$60</definedName>
    <definedName name="空中攻撃">'コピー'!$55:$69</definedName>
    <definedName localSheetId="72" name="地上攻撃">'66. シモン'!$24:$43</definedName>
    <definedName localSheetId="25" name="つかみ・投げ">'22. こどもリンク'!$84:$98</definedName>
    <definedName localSheetId="34" name="共通動作">'29. ゼロスーツサムス'!$113:$141</definedName>
    <definedName localSheetId="57" name="つかみ・投げ">'52. 剣術Mii'!$117:$131</definedName>
    <definedName localSheetId="17" name="空中攻撃">'15. アイスクライマー'!$44:$50</definedName>
    <definedName localSheetId="41" name="共通動作">'36. ディディーコング'!$108:$136</definedName>
    <definedName localSheetId="58" name="回避">'53. 射撃Mii'!$122:$128</definedName>
    <definedName localSheetId="21" name="行動フレーム・能力値">'19. ピチュー'!$15:$22</definedName>
    <definedName localSheetId="47" name="つかみ・投げ">'42. ロボット'!$73:$87</definedName>
    <definedName localSheetId="68" name="回避">'62. カムイ'!$96:$102</definedName>
    <definedName localSheetId="56" name="空中攻撃">'51. 格闘Mii'!$43:$52</definedName>
    <definedName localSheetId="73" name="回避">'66. リヒター'!$90:$96</definedName>
    <definedName localSheetId="35" name="つかみ・投げ">'30. ワリオ'!$95:$109</definedName>
    <definedName localSheetId="36" name="地上攻撃">'31. スネーク'!$24:$43</definedName>
    <definedName localSheetId="21" name="必殺技">'19. ピチュー'!$52:$71</definedName>
    <definedName localSheetId="64" name="つかみ・投げ">'59. ダックハント'!$82:$96</definedName>
    <definedName localSheetId="52" name="行動フレーム・能力値">'47. Wii Fit トレーナー'!$15:$22</definedName>
    <definedName localSheetId="47" name="地上攻撃">'42. ロボット'!$24:$38</definedName>
    <definedName localSheetId="34" name="つかみ・投げ">'29. ゼロスーツサムス'!$89:$103</definedName>
    <definedName localSheetId="57" name="回避">'52. 剣術Mii'!$133:$139</definedName>
    <definedName localSheetId="47" name="回避">'42. ロボット'!$89:$95</definedName>
    <definedName localSheetId="59" name="回避">'54. パルテナ'!$88:$94</definedName>
    <definedName localSheetId="73" name="つかみ・投げ">'66. リヒター'!$74:$88</definedName>
    <definedName localSheetId="44" name="回避">'39. デデデ'!$104:$110</definedName>
    <definedName localSheetId="37" name="共通動作">'32. アイク'!$101:$129</definedName>
    <definedName localSheetId="37" name="回避">'32. アイク'!$93:$99</definedName>
    <definedName localSheetId="43" name="必殺技">'38. ソニック'!$57:$85</definedName>
    <definedName localSheetId="57" name="必殺技">'52. 剣術Mii'!$52:$115</definedName>
    <definedName localSheetId="49" name="行動フレーム・能力値">'44. ウルフ'!$15:$22</definedName>
    <definedName localSheetId="35" name="回避">'30. ワリオ'!$111:$117</definedName>
    <definedName localSheetId="74" name="共通動作">'67. キングクルール'!$113:$141</definedName>
    <definedName localSheetId="46" name="回避">'41. ルカリオ'!$97:$103</definedName>
    <definedName localSheetId="38" name="回避">'33. ゼニガメ'!$87:$93</definedName>
    <definedName localSheetId="56" name="回避">'51. 格闘Mii'!$149:$155</definedName>
    <definedName localSheetId="61" name="必殺技">'56. ルフレ'!$71:$95</definedName>
    <definedName localSheetId="55" name="地上攻撃">'50. ゲッコウガ'!$24:$46</definedName>
    <definedName localSheetId="52" name="回避">'47. Wii Fit トレーナー'!$107:$113</definedName>
    <definedName localSheetId="71" name="回避">'65. リドリー'!$97:$103</definedName>
    <definedName localSheetId="60" name="必殺技">'55. パックマン'!$55:$83</definedName>
    <definedName localSheetId="39" name="共通動作">'34. フシギソウ'!$92:$120</definedName>
    <definedName localSheetId="37" name="行動フレーム・能力値">'32. アイク'!$15:$22</definedName>
    <definedName localSheetId="37" name="つかみ・投げ">'32. アイク'!$77:$91</definedName>
    <definedName localSheetId="62" name="行動フレーム・能力値">'57. シュルク'!$15:$22</definedName>
    <definedName localSheetId="21" name="つかみ・投げ">'19. ピチュー'!$73:$87</definedName>
    <definedName localSheetId="71" name="つかみ・投げ">'65. リドリー'!$81:$95</definedName>
    <definedName localSheetId="60" name="地上攻撃">'55. パックマン'!$24:$41</definedName>
    <definedName localSheetId="72" name="必殺技">'66. シモン'!$56:$71</definedName>
    <definedName localSheetId="36" name="回避">'31. スネーク'!$108:$114</definedName>
    <definedName localSheetId="49" name="地上攻撃">'44. ウルフ'!$24:$40</definedName>
    <definedName localSheetId="34" name="地上攻撃">'29. ゼロスーツサムス'!$24:$42</definedName>
    <definedName localSheetId="51" name="必殺技">'46. ロックマン'!$80:$93</definedName>
    <definedName localSheetId="54" name="地上攻撃">'49. リトル・マック'!$24:$44</definedName>
    <definedName localSheetId="57" name="地上攻撃">'52. 剣術Mii'!$24:$38</definedName>
    <definedName localSheetId="73" name="共通動作">'66. リヒター'!$98:$126</definedName>
    <definedName localSheetId="41" name="空中攻撃">'36. ディディーコング'!$48:$55</definedName>
    <definedName localSheetId="50" name="地上攻撃">'45. むらびと'!$24:$45</definedName>
    <definedName localSheetId="61" name="つかみ・投げ">'56. ルフレ'!$100:$114</definedName>
    <definedName localSheetId="17" name="共通動作">'15. アイスクライマー'!$104:$132</definedName>
    <definedName name="つかみ・投げ">'コピー'!$91:$105</definedName>
    <definedName localSheetId="41" name="つかみ・投げ">'36. ディディーコング'!$84:$98</definedName>
    <definedName localSheetId="58" name="地上攻撃">'53. 射撃Mii'!$24:$46</definedName>
    <definedName localSheetId="40" name="空中攻撃">'35. リザードン'!$43:$52</definedName>
    <definedName localSheetId="37" name="地上攻撃">'32. アイク'!$24:$41</definedName>
    <definedName localSheetId="77" name="必殺技">'70. パックンフラワー'!$56:$85</definedName>
    <definedName localSheetId="38" name="地上攻撃">'33. ゼニガメ'!$24:$42</definedName>
    <definedName localSheetId="47" name="共通動作">'42. ロボット'!$97:$125</definedName>
    <definedName localSheetId="47" name="行動フレーム・能力値">'42. ロボット'!$15:$22</definedName>
    <definedName localSheetId="35" name="共通動作">'30. ワリオ'!$119:$147</definedName>
    <definedName localSheetId="21" name="共通動作">'19. ピチュー'!$97:$125</definedName>
    <definedName localSheetId="72" name="つかみ・投げ">'66. シモン'!$73:$87</definedName>
    <definedName localSheetId="44" name="行動フレーム・能力値">'39. デデデ'!$15:$22</definedName>
    <definedName name="行動フレーム・能力値">'コピー'!$15:$22</definedName>
    <definedName localSheetId="36" name="行動フレーム・能力値">'31. スネーク'!$15:$22</definedName>
    <definedName localSheetId="56" name="つかみ・投げ">'51. 格闘Mii'!$133:$147</definedName>
    <definedName localSheetId="70" name="空中攻撃">'64. インクリング'!$55:$63</definedName>
    <definedName localSheetId="51" name="共通動作">'46. ロックマン'!$119:$147</definedName>
    <definedName localSheetId="40" name="共通動作">'35. リザードン'!$94:$122</definedName>
    <definedName localSheetId="77" name="空中攻撃">'70. パックンフラワー'!$46:$54</definedName>
    <definedName localSheetId="71" name="必殺技">'65. リドリー'!$53:$79</definedName>
    <definedName localSheetId="63" name="つかみ・投げ">'58. クッパ Jr.'!$90:$104</definedName>
    <definedName localSheetId="61" name="地上攻撃">'56. ルフレ'!$24:$47</definedName>
    <definedName localSheetId="68" name="必殺技">'62. カムイ'!$54:$78</definedName>
    <definedName localSheetId="64" name="空中攻撃">'59. ダックハント'!$47:$60</definedName>
    <definedName localSheetId="41" name="回避">'36. ディディーコング'!$100:$106</definedName>
    <definedName localSheetId="74" name="空中攻撃">'67. キングクルール'!$50:$61</definedName>
    <definedName localSheetId="77" name="回避">'70. パックンフラワー'!$103:$109</definedName>
    <definedName localSheetId="53" name="つかみ・投げ">'48. ロゼッタ&amp;チコ'!$93:$107</definedName>
    <definedName localSheetId="59" name="必殺技">'54. パルテナ'!$57:$70</definedName>
    <definedName name="必殺技">'コピー'!$71:$89</definedName>
    <definedName localSheetId="52" name="共通動作">'47. Wii Fit トレーナー'!$115:$143</definedName>
    <definedName localSheetId="64" name="共通動作">'59. ダックハント'!$106:$134</definedName>
    <definedName localSheetId="63" name="共通動作">'58. クッパ Jr.'!$114:$142</definedName>
    <definedName localSheetId="59" name="つかみ・投げ">'54. パルテナ'!$72:$86</definedName>
    <definedName localSheetId="55" name="行動フレーム・能力値">'50. ゲッコウガ'!$15:$22</definedName>
    <definedName localSheetId="59" name="地上攻撃">'54. パルテナ'!$24:$45</definedName>
    <definedName localSheetId="17" name="つかみ・投げ">'15. アイスクライマー'!$80:$94</definedName>
    <definedName localSheetId="40" name="必殺技">'35. リザードン'!$54:$68</definedName>
    <definedName localSheetId="50" name="空中攻撃">'45. むらびと'!$47:$68</definedName>
    <definedName localSheetId="58" name="空中攻撃">'53. 射撃Mii'!$48:$59</definedName>
    <definedName localSheetId="25" name="共通動作">'22. こどもリンク'!$108:$136</definedName>
    <definedName localSheetId="68" name="空中攻撃">'62. カムイ'!$43:$52</definedName>
    <definedName localSheetId="39" name="回避">'34. フシギソウ'!$84:$90</definedName>
    <definedName localSheetId="75" name="地上攻撃">'68. しずえ'!$24:$38</definedName>
    <definedName localSheetId="52" name="空中攻撃">'47. Wii Fit トレーナー'!$55:$67</definedName>
    <definedName localSheetId="63" name="回避">'58. クッパ Jr.'!$106:$112</definedName>
    <definedName localSheetId="37" name="必殺技">'32. アイク'!$52:$75</definedName>
    <definedName localSheetId="46" name="空中攻撃">'41. ルカリオ'!$50:$60</definedName>
    <definedName localSheetId="55" name="回避">'50. ゲッコウガ'!$106:$112</definedName>
    <definedName localSheetId="52" name="必殺技">'47. Wii Fit トレーナー'!$69:$89</definedName>
    <definedName localSheetId="56" name="地上攻撃">'51. 格闘Mii'!$24:$41</definedName>
    <definedName hidden="1" localSheetId="90" name="_xlnm._FilterDatabase">Fighters!$A$1:$V$90</definedName>
    <definedName hidden="1" localSheetId="93" name="_xlnm._FilterDatabase">'回避'!$A$2:$X$91</definedName>
    <definedName hidden="1" localSheetId="94" name="_xlnm._FilterDatabase">'空中攻撃'!$A$2:$AA$85</definedName>
    <definedName hidden="1" localSheetId="95" name="_xlnm._FilterDatabase">'崖行動・受け身'!$A$2:$V$91</definedName>
    <definedName hidden="1" localSheetId="96" name="_xlnm._FilterDatabase">'起きあがり'!$A$2:$AD$91</definedName>
    <definedName hidden="1" localSheetId="97" name="_xlnm._FilterDatabase">'転倒'!$A$2:$U$91</definedName>
    <definedName hidden="1" localSheetId="98" name="_xlnm._FilterDatabase">'アイテム'!$A$2:$AM$91</definedName>
    <definedName hidden="1" localSheetId="101" name="_xlnm._FilterDatabase">'共通動作その他'!$A$2:$M$84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1">
      <text>
        <t xml:space="preserve">反転ブレーキ時：なし</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E54">
      <text>
        <t xml:space="preserve">ワザに設定されている基礎ダメージ量。実際の試合で与えるダメージ量は、タイマン補正・OP補正・小ジャンプ補正などにより変化するので注意。</t>
      </text>
    </comment>
    <comment authorId="0" ref="F54">
      <text>
        <t xml:space="preserve">タイマンにおけるダメージは、基礎ダメージの1.2倍となる。
なお、OP相殺がかかっていない場合はさらに1.05倍。</t>
      </text>
    </comment>
    <comment authorId="0" ref="O54">
      <text>
        <t xml:space="preserve">ワザに設定されているシールド削り値。通常のダメージに加え、この値だけシールドのHPが減少する。</t>
      </text>
    </comment>
    <comment authorId="0" ref="P54">
      <text>
        <t xml:space="preserve">ワザに設定されているヒットストップ倍率。電撃属性のワザはこの値が設定されていなくとも1.5倍となる。</t>
      </text>
    </comment>
    <comment authorId="0" ref="Q54">
      <text>
        <t xml:space="preserve">ワザに設定されているヒットストップずらしによる移動距離倍率。</t>
      </text>
    </comment>
    <comment authorId="0" ref="R54">
      <text>
        <t xml:space="preserve">ワザが相殺するかどうか。</t>
      </text>
    </comment>
    <comment authorId="0" ref="S54">
      <text>
        <t xml:space="preserve">ワザが相殺したときに、相殺モーションに移行するかどうか。</t>
      </text>
    </comment>
    <comment authorId="0" ref="U54">
      <text>
        <t xml:space="preserve">いわゆる「地ダ(地上ダッシュ)」「空ダ(空中ダッシュ)」のこと。</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F68">
      <text>
        <t xml:space="preserve">タイマンにおけるダメージは、基礎ダメージの1.2倍となる。
なお、OP相殺がかかっていない場合はさらに1.05倍。</t>
      </text>
    </comment>
    <comment authorId="0" ref="F73">
      <text>
        <t xml:space="preserve">タイマンにおけるダメージは、基礎ダメージの1.2倍となる。
なお、OP相殺がかかっていない場合はさらに1.05倍。</t>
      </text>
    </comment>
    <comment authorId="0" ref="G92">
      <text>
        <t xml:space="preserve">タイマンにおけるダメージは、基礎ダメージの1.2倍となる。
なお、OP相殺がかかっていない場合はさらに1.05倍。</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7">
      <text>
        <t xml:space="preserve">4-5 -&gt; 4-6 (13.0.1)</t>
      </text>
    </comment>
    <comment authorId="0" ref="D27">
      <text>
        <t xml:space="preserve">34 -&gt; 31 (13.0.1)</t>
      </text>
    </comment>
    <comment authorId="0" ref="U30">
      <text>
        <t xml:space="preserve">反転ブレーキ時：なし</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G41">
      <text>
        <t xml:space="preserve">小ジャンプで空中攻撃を出すと、与えるダメージ量が0.85倍になる。タイマン補正も含めると、1.2 * 0.85で1.02倍。</t>
      </text>
    </comment>
    <comment authorId="0" ref="J41">
      <text>
        <t xml:space="preserve">着地隙が発生するフレーム区間のこと。</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E42">
      <text>
        <t xml:space="preserve">11 -&gt; 12 (6.0.0)</t>
      </text>
    </comment>
    <comment authorId="0" ref="E43">
      <text>
        <t xml:space="preserve">8 -&gt; 9 (6.0.0)</t>
      </text>
    </comment>
    <comment authorId="0" ref="J44">
      <text>
        <t xml:space="preserve">1-62 -&gt; 1-55 (2.0.0)</t>
      </text>
    </comment>
    <comment authorId="0" ref="E52">
      <text>
        <t xml:space="preserve">ワザに設定されている基礎ダメージ量。実際の試合で与えるダメージ量は、タイマン補正・OP補正・小ジャンプ補正などにより変化するので注意。</t>
      </text>
    </comment>
    <comment authorId="0" ref="F52">
      <text>
        <t xml:space="preserve">タイマンにおけるダメージは、基礎ダメージの1.2倍となる。
なお、OP相殺がかかっていない場合はさらに1.05倍。</t>
      </text>
    </comment>
    <comment authorId="0" ref="O52">
      <text>
        <t xml:space="preserve">ワザに設定されているシールド削り値。通常のダメージに加え、この値だけシールドのHPが減少する。</t>
      </text>
    </comment>
    <comment authorId="0" ref="P52">
      <text>
        <t xml:space="preserve">ワザに設定されているヒットストップ倍率。電撃属性のワザはこの値が設定されていなくとも1.5倍となる。</t>
      </text>
    </comment>
    <comment authorId="0" ref="Q52">
      <text>
        <t xml:space="preserve">ワザに設定されているヒットストップずらしによる移動距離倍率。</t>
      </text>
    </comment>
    <comment authorId="0" ref="R52">
      <text>
        <t xml:space="preserve">ワザが相殺するかどうか。</t>
      </text>
    </comment>
    <comment authorId="0" ref="S52">
      <text>
        <t xml:space="preserve">ワザが相殺したときに、相殺モーションに移行するかどうか。</t>
      </text>
    </comment>
    <comment authorId="0" ref="U52">
      <text>
        <t xml:space="preserve">いわゆる「地ダ(地上ダッシュ)」「空ダ(空中ダッシュ)」のこと。</t>
      </text>
    </comment>
    <comment authorId="0" ref="H53">
      <text>
        <t xml:space="preserve">最大溜め：120F -&gt; 110F (6.0.0)
スーパーアーマー：
【地上】11-20F -&gt; 9-20F (13.0.1)
【空中】17-20F -&gt; 15-20F (13.0.1)</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H61">
      <text>
        <t xml:space="preserve">スーパーアーマー：8-17F -&gt; 5-17F (6.0.0)</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C68">
      <text>
        <t xml:space="preserve">15-16 -&gt; 12-13 (6.0.0)</t>
      </text>
    </comment>
    <comment authorId="0" ref="D68">
      <text>
        <t xml:space="preserve">57 -&gt; 46 (6.0.0)</t>
      </text>
    </comment>
    <comment authorId="0" ref="H68">
      <text>
        <t xml:space="preserve">1ループ：27F -&gt; 26F (6.0.0)</t>
      </text>
    </comment>
    <comment authorId="0" ref="C69">
      <text>
        <t xml:space="preserve">26-27 -&gt; 23-24 (6.0.0)</t>
      </text>
    </comment>
    <comment authorId="0" ref="F74">
      <text>
        <t xml:space="preserve">タイマンにおけるダメージは、基礎ダメージの1.2倍となる。
なお、OP相殺がかかっていない場合はさらに1.05倍。</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G105">
      <text>
        <t xml:space="preserve">タイマンにおけるダメージは、基礎ダメージの1.2倍となる。
なお、OP相殺がかかっていない場合はさらに1.05倍。</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6">
      <text>
        <t xml:space="preserve">8-9 -&gt; 7-8 (13.0.1)</t>
      </text>
    </comment>
    <comment authorId="0" ref="D26">
      <text>
        <t xml:space="preserve">24 -&gt; 23 (13.0.1)</t>
      </text>
    </comment>
    <comment authorId="0" ref="H26">
      <text>
        <t xml:space="preserve">弱2移行：11-35F -&gt; 10-35F (13.0.1)
押しっぱなし：15F目 -&gt; 14F目 (13.0.1)</t>
      </text>
    </comment>
    <comment authorId="0" ref="E47">
      <text>
        <t xml:space="preserve">ワザに設定されている基礎ダメージ量。実際の試合で与えるダメージ量は、タイマン補正・OP補正・小ジャンプ補正などにより変化するので注意。</t>
      </text>
    </comment>
    <comment authorId="0" ref="F47">
      <text>
        <t xml:space="preserve">タイマンにおけるダメージは、基礎ダメージの1.2倍となる。
なお、OP相殺がかかっていない場合はさらに1.05倍。</t>
      </text>
    </comment>
    <comment authorId="0" ref="G47">
      <text>
        <t xml:space="preserve">小ジャンプで空中攻撃を出すと、与えるダメージ量が0.85倍になる。タイマン補正も含めると、1.2 * 0.85で1.02倍。</t>
      </text>
    </comment>
    <comment authorId="0" ref="J47">
      <text>
        <t xml:space="preserve">着地隙が発生するフレーム区間のこと。</t>
      </text>
    </comment>
    <comment authorId="0" ref="O47">
      <text>
        <t xml:space="preserve">ワザに設定されているシールド削り値。通常のダメージに加え、この値だけシールドのHPが減少する。</t>
      </text>
    </comment>
    <comment authorId="0" ref="P47">
      <text>
        <t xml:space="preserve">ワザに設定されているヒットストップ倍率。電撃属性のワザはこの値が設定されていなくとも1.5倍となる。</t>
      </text>
    </comment>
    <comment authorId="0" ref="Q47">
      <text>
        <t xml:space="preserve">ワザに設定されているヒットストップずらしによる移動距離倍率。</t>
      </text>
    </comment>
    <comment authorId="0" ref="J54">
      <text>
        <t xml:space="preserve">11-46 -&gt; 11-42 (2.0.0)</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C62">
      <text>
        <t xml:space="preserve">16-55  -&gt; 16-61 (2.0.0)</t>
      </text>
    </comment>
    <comment authorId="0" ref="C63">
      <text>
        <t xml:space="preserve">16-55  -&gt; 16-61 (2.0.0)</t>
      </text>
    </comment>
    <comment authorId="0" ref="C64">
      <text>
        <t xml:space="preserve">19-58  -&gt; 19-64 (2.0.0)</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87">
      <text>
        <t xml:space="preserve">ワザに設定されている基礎ダメージ量。実際の試合で与えるダメージ量は、タイマン補正・OP補正・小ジャンプ補正などにより変化するので注意。</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R87">
      <text>
        <t xml:space="preserve">ワザが相殺するかどうか。</t>
      </text>
    </comment>
    <comment authorId="0" ref="S87">
      <text>
        <t xml:space="preserve">ワザが相殺したときに、相殺モーションに移行するかどうか。</t>
      </text>
    </comment>
    <comment authorId="0" ref="U87">
      <text>
        <t xml:space="preserve">いわゆる「地ダ(地上ダッシュ)」「空ダ(空中ダッシュ)」のこと。</t>
      </text>
    </comment>
    <comment authorId="0" ref="F94">
      <text>
        <t xml:space="preserve">タイマンにおけるダメージは、基礎ダメージの1.2倍となる。
なお、OP相殺がかかっていない場合はさらに1.05倍。</t>
      </text>
    </comment>
    <comment authorId="0" ref="F99">
      <text>
        <t xml:space="preserve">タイマンにおけるダメージは、基礎ダメージの1.2倍となる。
なお、OP相殺がかかっていない場合はさらに1.05倍。</t>
      </text>
    </comment>
    <comment authorId="0" ref="O99">
      <text>
        <t xml:space="preserve">ワザに設定されているシールド削り値。通常のダメージに加え、この値だけシールドのHPが減少する。</t>
      </text>
    </comment>
    <comment authorId="0" ref="P99">
      <text>
        <t xml:space="preserve">ワザに設定されているヒットストップ倍率。電撃属性のワザはこの値が設定されていなくとも1.5倍となる。</t>
      </text>
    </comment>
    <comment authorId="0" ref="Q99">
      <text>
        <t xml:space="preserve">ワザに設定されているヒットストップずらしによる移動距離倍率。</t>
      </text>
    </comment>
    <comment authorId="0" ref="G118">
      <text>
        <t xml:space="preserve">タイマンにおけるダメージは、基礎ダメージの1.2倍となる。
なお、OP相殺がかかっていない場合はさらに1.05倍。</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28">
      <text>
        <t xml:space="preserve">7 -&gt; 10 (7.0.0)</t>
      </text>
    </comment>
    <comment authorId="0" ref="U31">
      <text>
        <t xml:space="preserve">反転ブレーキ時：なし</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着地隙が発生するフレーム区間のこと。</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E64">
      <text>
        <t xml:space="preserve">1.5 -&gt; 2.5 (7.0.0)</t>
      </text>
    </comment>
    <comment authorId="0" ref="C65">
      <text>
        <t xml:space="preserve">16-17 -&gt; 16-19 (7.0.0)</t>
      </text>
    </comment>
    <comment authorId="0" ref="E65">
      <text>
        <t xml:space="preserve">3 -&gt; 4 (7.0.0)</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D77">
      <text>
        <t xml:space="preserve">59 -&gt; 61 (2.0.0)</t>
      </text>
    </comment>
    <comment authorId="0" ref="E78">
      <text>
        <t xml:space="preserve">ワザに設定されている基礎ダメージ量。実際の試合で与えるダメージ量は、タイマン補正・OP補正・小ジャンプ補正などにより変化するので注意。</t>
      </text>
    </comment>
    <comment authorId="0" ref="F78">
      <text>
        <t xml:space="preserve">タイマンにおけるダメージは、基礎ダメージの1.2倍となる。
なお、OP相殺がかかっていない場合はさらに1.05倍。</t>
      </text>
    </comment>
    <comment authorId="0" ref="O78">
      <text>
        <t xml:space="preserve">ワザに設定されているシールド削り値。通常のダメージに加え、この値だけシールドのHPが減少する。</t>
      </text>
    </comment>
    <comment authorId="0" ref="P78">
      <text>
        <t xml:space="preserve">ワザに設定されているヒットストップ倍率。電撃属性のワザはこの値が設定されていなくとも1.5倍となる。</t>
      </text>
    </comment>
    <comment authorId="0" ref="Q78">
      <text>
        <t xml:space="preserve">ワザに設定されているヒットストップずらしによる移動距離倍率。</t>
      </text>
    </comment>
    <comment authorId="0" ref="R78">
      <text>
        <t xml:space="preserve">ワザが相殺するかどうか。</t>
      </text>
    </comment>
    <comment authorId="0" ref="S78">
      <text>
        <t xml:space="preserve">ワザが相殺したときに、相殺モーションに移行するかどうか。</t>
      </text>
    </comment>
    <comment authorId="0" ref="U78">
      <text>
        <t xml:space="preserve">いわゆる「地ダ(地上ダッシュ)」「空ダ(空中ダッシュ)」のこと。</t>
      </text>
    </comment>
    <comment authorId="0" ref="E87">
      <text>
        <t xml:space="preserve">ワザに設定されている基礎ダメージ量。実際の試合で与えるダメージ量は、タイマン補正・OP補正・小ジャンプ補正などにより変化するので注意。</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R87">
      <text>
        <t xml:space="preserve">ワザが相殺するかどうか。</t>
      </text>
    </comment>
    <comment authorId="0" ref="S87">
      <text>
        <t xml:space="preserve">ワザが相殺したときに、相殺モーションに移行するかどうか。</t>
      </text>
    </comment>
    <comment authorId="0" ref="U87">
      <text>
        <t xml:space="preserve">いわゆる「地ダ(地上ダッシュ)」「空ダ(空中ダッシュ)」のこと。</t>
      </text>
    </comment>
    <comment authorId="0" ref="D88">
      <text>
        <t xml:space="preserve">53 -&gt; 47 (2.0.0)</t>
      </text>
    </comment>
    <comment authorId="0" ref="F94">
      <text>
        <t xml:space="preserve">タイマンにおけるダメージは、基礎ダメージの1.2倍となる。
なお、OP相殺がかかっていない場合はさらに1.05倍。</t>
      </text>
    </comment>
    <comment authorId="0" ref="F99">
      <text>
        <t xml:space="preserve">タイマンにおけるダメージは、基礎ダメージの1.2倍となる。
なお、OP相殺がかかっていない場合はさらに1.05倍。</t>
      </text>
    </comment>
    <comment authorId="0" ref="O99">
      <text>
        <t xml:space="preserve">ワザに設定されているシールド削り値。通常のダメージに加え、この値だけシールドのHPが減少する。</t>
      </text>
    </comment>
    <comment authorId="0" ref="P99">
      <text>
        <t xml:space="preserve">ワザに設定されているヒットストップ倍率。電撃属性のワザはこの値が設定されていなくとも1.5倍となる。</t>
      </text>
    </comment>
    <comment authorId="0" ref="Q99">
      <text>
        <t xml:space="preserve">ワザに設定されているヒットストップずらしによる移動距離倍率。</t>
      </text>
    </comment>
    <comment authorId="0" ref="G118">
      <text>
        <t xml:space="preserve">タイマンにおけるダメージは、基礎ダメージの1.2倍となる。
なお、OP相殺がかかっていない場合はさらに1.05倍。</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28">
      <text>
        <t xml:space="preserve">7 -&gt; 10 (7.0.0)</t>
      </text>
    </comment>
    <comment authorId="0" ref="U31">
      <text>
        <t xml:space="preserve">反転ブレーキ時：なし</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着地隙が発生するフレーム区間のこと。</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E64">
      <text>
        <t xml:space="preserve">1.5 -&gt; 2.5 (7.0.0)</t>
      </text>
    </comment>
    <comment authorId="0" ref="C65">
      <text>
        <t xml:space="preserve">16-17 -&gt; 16-19 (7.0.0)</t>
      </text>
    </comment>
    <comment authorId="0" ref="E65">
      <text>
        <t xml:space="preserve">3 -&gt; 4 (7.0.0)</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78">
      <text>
        <t xml:space="preserve">ワザに設定されている基礎ダメージ量。実際の試合で与えるダメージ量は、タイマン補正・OP補正・小ジャンプ補正などにより変化するので注意。</t>
      </text>
    </comment>
    <comment authorId="0" ref="F78">
      <text>
        <t xml:space="preserve">タイマンにおけるダメージは、基礎ダメージの1.2倍となる。
なお、OP相殺がかかっていない場合はさらに1.05倍。</t>
      </text>
    </comment>
    <comment authorId="0" ref="O78">
      <text>
        <t xml:space="preserve">ワザに設定されているシールド削り値。通常のダメージに加え、この値だけシールドのHPが減少する。</t>
      </text>
    </comment>
    <comment authorId="0" ref="P78">
      <text>
        <t xml:space="preserve">ワザに設定されているヒットストップ倍率。電撃属性のワザはこの値が設定されていなくとも1.5倍となる。</t>
      </text>
    </comment>
    <comment authorId="0" ref="Q78">
      <text>
        <t xml:space="preserve">ワザに設定されているヒットストップずらしによる移動距離倍率。</t>
      </text>
    </comment>
    <comment authorId="0" ref="R78">
      <text>
        <t xml:space="preserve">ワザが相殺するかどうか。</t>
      </text>
    </comment>
    <comment authorId="0" ref="S78">
      <text>
        <t xml:space="preserve">ワザが相殺したときに、相殺モーションに移行するかどうか。</t>
      </text>
    </comment>
    <comment authorId="0" ref="U78">
      <text>
        <t xml:space="preserve">いわゆる「地ダ(地上ダッシュ)」「空ダ(空中ダッシュ)」のこと。</t>
      </text>
    </comment>
    <comment authorId="0" ref="E87">
      <text>
        <t xml:space="preserve">ワザに設定されている基礎ダメージ量。実際の試合で与えるダメージ量は、タイマン補正・OP補正・小ジャンプ補正などにより変化するので注意。</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R87">
      <text>
        <t xml:space="preserve">ワザが相殺するかどうか。</t>
      </text>
    </comment>
    <comment authorId="0" ref="S87">
      <text>
        <t xml:space="preserve">ワザが相殺したときに、相殺モーションに移行するかどうか。</t>
      </text>
    </comment>
    <comment authorId="0" ref="U87">
      <text>
        <t xml:space="preserve">いわゆる「地ダ(地上ダッシュ)」「空ダ(空中ダッシュ)」のこと。</t>
      </text>
    </comment>
    <comment authorId="0" ref="D88">
      <text>
        <t xml:space="preserve">53 -&gt; 47 (2.0.0)</t>
      </text>
    </comment>
    <comment authorId="0" ref="F94">
      <text>
        <t xml:space="preserve">タイマンにおけるダメージは、基礎ダメージの1.2倍となる。
なお、OP相殺がかかっていない場合はさらに1.05倍。</t>
      </text>
    </comment>
    <comment authorId="0" ref="F99">
      <text>
        <t xml:space="preserve">タイマンにおけるダメージは、基礎ダメージの1.2倍となる。
なお、OP相殺がかかっていない場合はさらに1.05倍。</t>
      </text>
    </comment>
    <comment authorId="0" ref="O99">
      <text>
        <t xml:space="preserve">ワザに設定されているシールド削り値。通常のダメージに加え、この値だけシールドのHPが減少する。</t>
      </text>
    </comment>
    <comment authorId="0" ref="P99">
      <text>
        <t xml:space="preserve">ワザに設定されているヒットストップ倍率。電撃属性のワザはこの値が設定されていなくとも1.5倍となる。</t>
      </text>
    </comment>
    <comment authorId="0" ref="Q99">
      <text>
        <t xml:space="preserve">ワザに設定されているヒットストップずらしによる移動距離倍率。</t>
      </text>
    </comment>
    <comment authorId="0" ref="G118">
      <text>
        <t xml:space="preserve">タイマンにおけるダメージは、基礎ダメージの1.2倍となる。
なお、OP相殺がかかっていない場合はさらに1.05倍。</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F71">
      <text>
        <t xml:space="preserve">タイマンにおけるダメージは、基礎ダメージの1.2倍となる。
なお、OP相殺がかかっていない場合はさらに1.05倍。</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G95">
      <text>
        <t xml:space="preserve">タイマンにおけるダメージは、基礎ダメージの1.2倍となる。
なお、OP相殺がかかっていない場合はさらに1.05倍。</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6">
      <text>
        <t xml:space="preserve">3 -&gt; 2 (6.0.0)</t>
      </text>
    </comment>
    <comment authorId="0" ref="D26">
      <text>
        <t xml:space="preserve">15/5 -&gt; 14/4 (6.0.0)</t>
      </text>
    </comment>
    <comment authorId="0" ref="H26">
      <text>
        <t xml:space="preserve">弱2移行：5-30F -&gt; 4-30F (6.0.0)
キャンセル：6F目 -&gt; 5F目 (6.0.0)</t>
      </text>
    </comment>
    <comment authorId="0" ref="D31">
      <text>
        <t xml:space="preserve">59 -&gt; 51 (8.0.0)</t>
      </text>
    </comment>
    <comment authorId="0" ref="E31">
      <text>
        <t xml:space="preserve">10 -&gt; 12 (2.0.0)</t>
      </text>
    </comment>
    <comment authorId="0" ref="E32">
      <text>
        <t xml:space="preserve">7 -&gt; 9 (2.0.0)</t>
      </text>
    </comment>
    <comment authorId="0" ref="E33">
      <text>
        <t xml:space="preserve">4 -&gt; 6 (2.0.0)</t>
      </text>
    </comment>
    <comment authorId="0" ref="D34">
      <text>
        <t xml:space="preserve">27 -&gt; 23 (2.0.0)</t>
      </text>
    </comment>
    <comment authorId="0" ref="C40">
      <text>
        <t xml:space="preserve">12 -&gt; 12-14 (3.0.0)</t>
      </text>
    </comment>
    <comment authorId="0" ref="C41">
      <text>
        <t xml:space="preserve">13-14 -&gt; 15-16 (3.0.0)</t>
      </text>
    </comment>
    <comment authorId="0" ref="C42">
      <text>
        <t xml:space="preserve">15-17 -&gt; 17 (3.0.0)</t>
      </text>
    </comment>
    <comment authorId="0" ref="C43">
      <text>
        <t xml:space="preserve">10-14 -&gt; 7-11 (8.0.0)</t>
      </text>
    </comment>
    <comment authorId="0" ref="D43">
      <text>
        <t xml:space="preserve">53 -&gt; 50 (8.0.0)</t>
      </text>
    </comment>
    <comment authorId="0" ref="C44">
      <text>
        <t xml:space="preserve">15-22 -&gt; 12-19 (8.0.0)</t>
      </text>
    </comment>
    <comment authorId="0" ref="E47">
      <text>
        <t xml:space="preserve">ワザに設定されている基礎ダメージ量。実際の試合で与えるダメージ量は、タイマン補正・OP補正・小ジャンプ補正などにより変化するので注意。</t>
      </text>
    </comment>
    <comment authorId="0" ref="F47">
      <text>
        <t xml:space="preserve">タイマンにおけるダメージは、基礎ダメージの1.2倍となる。
なお、OP相殺がかかっていない場合はさらに1.05倍。</t>
      </text>
    </comment>
    <comment authorId="0" ref="G47">
      <text>
        <t xml:space="preserve">小ジャンプで空中攻撃を出すと、与えるダメージ量が0.85倍になる。タイマン補正も含めると、1.2 * 0.85で1.02倍。</t>
      </text>
    </comment>
    <comment authorId="0" ref="J47">
      <text>
        <t xml:space="preserve">着地隙が発生するフレーム区間のこと。</t>
      </text>
    </comment>
    <comment authorId="0" ref="O47">
      <text>
        <t xml:space="preserve">ワザに設定されているシールド削り値。通常のダメージに加え、この値だけシールドのHPが減少する。</t>
      </text>
    </comment>
    <comment authorId="0" ref="P47">
      <text>
        <t xml:space="preserve">ワザに設定されているヒットストップ倍率。電撃属性のワザはこの値が設定されていなくとも1.5倍となる。</t>
      </text>
    </comment>
    <comment authorId="0" ref="Q47">
      <text>
        <t xml:space="preserve">ワザに設定されているヒットストップずらしによる移動距離倍率。</t>
      </text>
    </comment>
    <comment authorId="0" ref="C48">
      <text>
        <t xml:space="preserve">10-11 -&gt; 8-9 (6.0.0)</t>
      </text>
    </comment>
    <comment authorId="0" ref="D48">
      <text>
        <t xml:space="preserve">62 -&gt; 54 (3.0.0)
54 -&gt; 52 (6.0.0)</t>
      </text>
    </comment>
    <comment authorId="0" ref="J48">
      <text>
        <t xml:space="preserve">5-55 -&gt; 5-50 (3.0.0)
5-50 -&gt; 5-48 (6.0.0)</t>
      </text>
    </comment>
    <comment authorId="0" ref="C49">
      <text>
        <t xml:space="preserve">12-15 -&gt; 10-13 (6.0.0)</t>
      </text>
    </comment>
    <comment authorId="0" ref="C50">
      <text>
        <t xml:space="preserve">16-20 -&gt; 14-18 (6.0.0)</t>
      </text>
    </comment>
    <comment authorId="0" ref="C51">
      <text>
        <t xml:space="preserve">21-34 -&gt; 19-32 (6.0.0)</t>
      </text>
    </comment>
    <comment authorId="0" ref="E53">
      <text>
        <t xml:space="preserve">3 -&gt; 4 (8.0.0)</t>
      </text>
    </comment>
    <comment authorId="0" ref="E54">
      <text>
        <t xml:space="preserve">5 -. 6 (8.0.0)</t>
      </text>
    </comment>
    <comment authorId="0" ref="C57">
      <text>
        <t xml:space="preserve">10-15 -&gt; 8-13 (6.0.0)</t>
      </text>
    </comment>
    <comment authorId="0" ref="D57">
      <text>
        <t xml:space="preserve">39 -&gt; 37 (1.1.0)
37 -&gt; 35 (6.0.0)</t>
      </text>
    </comment>
    <comment authorId="0" ref="E57">
      <text>
        <t xml:space="preserve">9 -&gt; 10 (6.0.0)</t>
      </text>
    </comment>
    <comment authorId="0" ref="J57">
      <text>
        <t xml:space="preserve">10-21 -&gt; 8-19 (6.0.0)</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C64">
      <text>
        <t xml:space="preserve">14-48 -&gt; 10-44 (6.0.0)</t>
      </text>
    </comment>
    <comment authorId="0" ref="D64">
      <text>
        <t xml:space="preserve">67 -&gt; 63 (6.0.0)</t>
      </text>
    </comment>
    <comment authorId="0" ref="C65">
      <text>
        <t xml:space="preserve">15-48 -&gt; 10-44 (6.0.0)</t>
      </text>
    </comment>
    <comment authorId="0" ref="D78">
      <text>
        <t xml:space="preserve">39 -&gt; 34 (2.0.0)</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E87">
      <text>
        <t xml:space="preserve">ワザに設定されている基礎ダメージ量。実際の試合で与えるダメージ量は、タイマン補正・OP補正・小ジャンプ補正などにより変化するので注意。</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R87">
      <text>
        <t xml:space="preserve">ワザが相殺するかどうか。</t>
      </text>
    </comment>
    <comment authorId="0" ref="S87">
      <text>
        <t xml:space="preserve">ワザが相殺したときに、相殺モーションに移行するかどうか。</t>
      </text>
    </comment>
    <comment authorId="0" ref="U87">
      <text>
        <t xml:space="preserve">いわゆる「地ダ(地上ダッシュ)」「空ダ(空中ダッシュ)」のこと。</t>
      </text>
    </comment>
    <comment authorId="0" ref="E93">
      <text>
        <t xml:space="preserve">ワザに設定されている基礎ダメージ量。実際の試合で与えるダメージ量は、タイマン補正・OP補正・小ジャンプ補正などにより変化するので注意。</t>
      </text>
    </comment>
    <comment authorId="0" ref="F93">
      <text>
        <t xml:space="preserve">タイマンにおけるダメージは、基礎ダメージの1.2倍となる。
なお、OP相殺がかかっていない場合はさらに1.05倍。</t>
      </text>
    </comment>
    <comment authorId="0" ref="O93">
      <text>
        <t xml:space="preserve">ワザに設定されているシールド削り値。通常のダメージに加え、この値だけシールドのHPが減少する。</t>
      </text>
    </comment>
    <comment authorId="0" ref="P93">
      <text>
        <t xml:space="preserve">ワザに設定されているヒットストップ倍率。電撃属性のワザはこの値が設定されていなくとも1.5倍となる。</t>
      </text>
    </comment>
    <comment authorId="0" ref="Q93">
      <text>
        <t xml:space="preserve">ワザに設定されているヒットストップずらしによる移動距離倍率。</t>
      </text>
    </comment>
    <comment authorId="0" ref="R93">
      <text>
        <t xml:space="preserve">ワザが相殺するかどうか。</t>
      </text>
    </comment>
    <comment authorId="0" ref="S93">
      <text>
        <t xml:space="preserve">ワザが相殺したときに、相殺モーションに移行するかどうか。</t>
      </text>
    </comment>
    <comment authorId="0" ref="U93">
      <text>
        <t xml:space="preserve">いわゆる「地ダ(地上ダッシュ)」「空ダ(空中ダッシュ)」のこと。</t>
      </text>
    </comment>
    <comment authorId="0" ref="F99">
      <text>
        <t xml:space="preserve">タイマンにおけるダメージは、基礎ダメージの1.2倍となる。
なお、OP相殺がかかっていない場合はさらに1.05倍。</t>
      </text>
    </comment>
    <comment authorId="0" ref="E104">
      <text>
        <t xml:space="preserve">重量依存有りの場合、体重100の敵に対しての全体フレームを記載。</t>
      </text>
    </comment>
    <comment authorId="0" ref="F104">
      <text>
        <t xml:space="preserve">タイマンにおけるダメージは、基礎ダメージの1.2倍となる。
なお、OP相殺がかかっていない場合はさらに1.05倍。</t>
      </text>
    </comment>
    <comment authorId="0" ref="O104">
      <text>
        <t xml:space="preserve">ワザに設定されているシールド削り値。通常のダメージに加え、この値だけシールドのHPが減少する。</t>
      </text>
    </comment>
    <comment authorId="0" ref="P104">
      <text>
        <t xml:space="preserve">ワザに設定されているヒットストップ倍率。電撃属性のワザはこの値が設定されていなくとも1.5倍となる。</t>
      </text>
    </comment>
    <comment authorId="0" ref="Q104">
      <text>
        <t xml:space="preserve">ワザに設定されているヒットストップずらしによる移動距離倍率。</t>
      </text>
    </comment>
    <comment authorId="0" ref="E111">
      <text>
        <t xml:space="preserve">0.8 -&gt; 1 (3.0.0)</t>
      </text>
    </comment>
    <comment authorId="0" ref="G124">
      <text>
        <t xml:space="preserve">タイマンにおけるダメージは、基礎ダメージの1.2倍となる。
なお、OP相殺がかかっていない場合はさらに1.05倍。</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3">
      <text>
        <t xml:space="preserve">反転ブレーキ時：なし</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着地隙が発生するフレーム区間のこと。</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77">
      <text>
        <t xml:space="preserve">ワザに設定されている基礎ダメージ量。実際の試合で与えるダメージ量は、タイマン補正・OP補正・小ジャンプ補正などにより変化するので注意。</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R77">
      <text>
        <t xml:space="preserve">ワザが相殺するかどうか。</t>
      </text>
    </comment>
    <comment authorId="0" ref="S77">
      <text>
        <t xml:space="preserve">ワザが相殺したときに、相殺モーションに移行するかどうか。</t>
      </text>
    </comment>
    <comment authorId="0" ref="U77">
      <text>
        <t xml:space="preserve">いわゆる「地ダ(地上ダッシュ)」「空ダ(空中ダッシュ)」のこと。</t>
      </text>
    </comment>
    <comment authorId="0" ref="F83">
      <text>
        <t xml:space="preserve">タイマンにおけるダメージは、基礎ダメージの1.2倍となる。
なお、OP相殺がかかっていない場合はさらに1.05倍。</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G107">
      <text>
        <t xml:space="preserve">タイマンにおけるダメージは、基礎ダメージの1.2倍となる。
なお、OP相殺がかかっていない場合はさらに1.05倍。</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29">
      <text>
        <t xml:space="preserve">反転ブレーキ時：なし</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F77">
      <text>
        <t xml:space="preserve">タイマンにおけるダメージは、基礎ダメージの1.2倍となる。
なお、OP相殺がかかっていない場合はさらに1.05倍。</t>
      </text>
    </comment>
    <comment authorId="0" ref="F82">
      <text>
        <t xml:space="preserve">タイマンにおけるダメージは、基礎ダメージの1.2倍となる。
なお、OP相殺がかかっていない場合はさらに1.05倍。</t>
      </text>
    </comment>
    <comment authorId="0" ref="O82">
      <text>
        <t xml:space="preserve">ワザに設定されているシールド削り値。通常のダメージに加え、この値だけシールドのHPが減少する。</t>
      </text>
    </comment>
    <comment authorId="0" ref="P82">
      <text>
        <t xml:space="preserve">ワザに設定されているヒットストップ倍率。電撃属性のワザはこの値が設定されていなくとも1.5倍となる。</t>
      </text>
    </comment>
    <comment authorId="0" ref="Q82">
      <text>
        <t xml:space="preserve">ワザに設定されているヒットストップずらしによる移動距離倍率。</t>
      </text>
    </comment>
    <comment authorId="0" ref="G101">
      <text>
        <t xml:space="preserve">タイマンにおけるダメージは、基礎ダメージの1.2倍となる。
なお、OP相殺がかかっていない場合はさらに1.05倍。</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1">
      <text>
        <t xml:space="preserve">反転ブレーキ時：なし</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U40">
      <text>
        <t xml:space="preserve">地上慣性が消えるフレーム。「-」はなし。</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D50">
      <text>
        <t xml:space="preserve">29 -&gt; 26 (1.1.0)</t>
      </text>
    </comment>
    <comment authorId="0" ref="D54">
      <text>
        <t xml:space="preserve">57 -&gt; 52 (1.1.0)</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D62">
      <text>
        <t xml:space="preserve">85 -&gt; 79 (2.0.0)</t>
      </text>
    </comment>
    <comment authorId="0" ref="H62">
      <text>
        <t xml:space="preserve">着地隙：41F -&gt; 39F (3.0.0)</t>
      </text>
    </comment>
    <comment authorId="0" ref="D63">
      <text>
        <t xml:space="preserve">85 -&gt; 79 (2.0.0)</t>
      </text>
    </comment>
    <comment authorId="0" ref="D64">
      <text>
        <t xml:space="preserve">68 -&gt; 62 (2.0.0)</t>
      </text>
    </comment>
    <comment authorId="0" ref="E69">
      <text>
        <t xml:space="preserve">ワザに設定されている基礎ダメージ量。実際の試合で与えるダメージ量は、タイマン補正・OP補正・小ジャンプ補正などにより変化するので注意。</t>
      </text>
    </comment>
    <comment authorId="0" ref="F69">
      <text>
        <t xml:space="preserve">タイマンにおけるダメージは、基礎ダメージの1.2倍となる。
なお、OP相殺がかかっていない場合はさらに1.05倍。</t>
      </text>
    </comment>
    <comment authorId="0" ref="O69">
      <text>
        <t xml:space="preserve">ワザに設定されているシールド削り値。通常のダメージに加え、この値だけシールドのHPが減少する。</t>
      </text>
    </comment>
    <comment authorId="0" ref="P69">
      <text>
        <t xml:space="preserve">ワザに設定されているヒットストップ倍率。電撃属性のワザはこの値が設定されていなくとも1.5倍となる。</t>
      </text>
    </comment>
    <comment authorId="0" ref="Q69">
      <text>
        <t xml:space="preserve">ワザに設定されているヒットストップずらしによる移動距離倍率。</t>
      </text>
    </comment>
    <comment authorId="0" ref="R69">
      <text>
        <t xml:space="preserve">ワザが相殺するかどうか。</t>
      </text>
    </comment>
    <comment authorId="0" ref="S69">
      <text>
        <t xml:space="preserve">ワザが相殺したときに、相殺モーションに移行するかどうか。</t>
      </text>
    </comment>
    <comment authorId="0" ref="U69">
      <text>
        <t xml:space="preserve">いわゆる「地ダ(地上ダッシュ)」「空ダ(空中ダッシュ)」のこと。</t>
      </text>
    </comment>
    <comment authorId="0" ref="E74">
      <text>
        <t xml:space="preserve">ワザに設定されている基礎ダメージ量。実際の試合で与えるダメージ量は、タイマン補正・OP補正・小ジャンプ補正などにより変化するので注意。</t>
      </text>
    </comment>
    <comment authorId="0" ref="F74">
      <text>
        <t xml:space="preserve">タイマンにおけるダメージは、基礎ダメージの1.2倍となる。
なお、OP相殺がかかっていない場合はさらに1.05倍。</t>
      </text>
    </comment>
    <comment authorId="0" ref="O74">
      <text>
        <t xml:space="preserve">ワザに設定されているシールド削り値。通常のダメージに加え、この値だけシールドのHPが減少する。</t>
      </text>
    </comment>
    <comment authorId="0" ref="P74">
      <text>
        <t xml:space="preserve">ワザに設定されているヒットストップ倍率。電撃属性のワザはこの値が設定されていなくとも1.5倍となる。</t>
      </text>
    </comment>
    <comment authorId="0" ref="Q74">
      <text>
        <t xml:space="preserve">ワザに設定されているヒットストップずらしによる移動距離倍率。</t>
      </text>
    </comment>
    <comment authorId="0" ref="R74">
      <text>
        <t xml:space="preserve">ワザが相殺するかどうか。</t>
      </text>
    </comment>
    <comment authorId="0" ref="S74">
      <text>
        <t xml:space="preserve">ワザが相殺したときに、相殺モーションに移行するかどうか。</t>
      </text>
    </comment>
    <comment authorId="0" ref="U74">
      <text>
        <t xml:space="preserve">いわゆる「地ダ(地上ダッシュ)」「空ダ(空中ダッシュ)」のこと。</t>
      </text>
    </comment>
    <comment authorId="0" ref="F79">
      <text>
        <t xml:space="preserve">タイマンにおけるダメージは、基礎ダメージの1.2倍となる。
なお、OP相殺がかかっていない場合はさらに1.05倍。</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G103">
      <text>
        <t xml:space="preserve">タイマンにおけるダメージは、基礎ダメージの1.2倍となる。
なお、OP相殺がかかっていない場合はさらに1.05倍。</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2">
      <text>
        <t xml:space="preserve">4 -&gt; 6 (9.0.0)</t>
      </text>
    </comment>
    <comment authorId="0" ref="U33">
      <text>
        <t xml:space="preserve">反転ブレーキ時：なし</t>
      </text>
    </comment>
    <comment authorId="0" ref="E34">
      <text>
        <t xml:space="preserve">7/5 -&gt; 9/7 (9.0.0)</t>
      </text>
    </comment>
    <comment authorId="0" ref="E35">
      <text>
        <t xml:space="preserve">7 -&gt; 9 (9.0.0)</t>
      </text>
    </comment>
    <comment authorId="0" ref="E47">
      <text>
        <t xml:space="preserve">ワザに設定されている基礎ダメージ量。実際の試合で与えるダメージ量は、タイマン補正・OP補正・小ジャンプ補正などにより変化するので注意。</t>
      </text>
    </comment>
    <comment authorId="0" ref="F47">
      <text>
        <t xml:space="preserve">タイマンにおけるダメージは、基礎ダメージの1.2倍となる。
なお、OP相殺がかかっていない場合はさらに1.05倍。</t>
      </text>
    </comment>
    <comment authorId="0" ref="G47">
      <text>
        <t xml:space="preserve">小ジャンプで空中攻撃を出すと、与えるダメージ量が0.85倍になる。タイマン補正も含めると、1.2 * 0.85で1.02倍。</t>
      </text>
    </comment>
    <comment authorId="0" ref="J47">
      <text>
        <t xml:space="preserve">着地隙が発生するフレーム区間のこと。</t>
      </text>
    </comment>
    <comment authorId="0" ref="O47">
      <text>
        <t xml:space="preserve">ワザに設定されているシールド削り値。通常のダメージに加え、この値だけシールドのHPが減少する。</t>
      </text>
    </comment>
    <comment authorId="0" ref="P47">
      <text>
        <t xml:space="preserve">ワザに設定されているヒットストップ倍率。電撃属性のワザはこの値が設定されていなくとも1.5倍となる。</t>
      </text>
    </comment>
    <comment authorId="0" ref="Q47">
      <text>
        <t xml:space="preserve">ワザに設定されているヒットストップずらしによる移動距離倍率。</t>
      </text>
    </comment>
    <comment authorId="0" ref="J54">
      <text>
        <t xml:space="preserve">8-38 -&gt; 8-33 (2.0.0)</t>
      </text>
    </comment>
    <comment authorId="0" ref="C56">
      <text>
        <t xml:space="preserve">20-22 -&gt; 18-20 (9.0.0)</t>
      </text>
    </comment>
    <comment authorId="0" ref="D56">
      <text>
        <t xml:space="preserve">59 -&gt; 54 (1.1.0)
54 -&gt; 52 (9.0.0)</t>
      </text>
    </comment>
    <comment authorId="0" ref="E56">
      <text>
        <t xml:space="preserve">12 -&gt; 14 (2.0.0)</t>
      </text>
    </comment>
    <comment authorId="0" ref="J56">
      <text>
        <t xml:space="preserve">20-40 -&gt; 20-38 (9.0.0)</t>
      </text>
    </comment>
    <comment authorId="0" ref="C57">
      <text>
        <t xml:space="preserve">23-26 -&gt; 21-24 (9.0.0)</t>
      </text>
    </comment>
    <comment authorId="0" ref="E57">
      <text>
        <t xml:space="preserve">12 -&gt; 10 (2.0.0)</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C61">
      <text>
        <t xml:space="preserve">44-48 -&gt; 40-44 (9.0.0)</t>
      </text>
    </comment>
    <comment authorId="0" ref="D61">
      <text>
        <t xml:space="preserve">65 -&gt; 61 (9.0.0)</t>
      </text>
    </comment>
    <comment authorId="0" ref="C63">
      <text>
        <t xml:space="preserve">121-125 -&gt; 117-121 (9.0.0)</t>
      </text>
    </comment>
    <comment authorId="0" ref="D63">
      <text>
        <t xml:space="preserve">142 -&gt; 138 (9.0.0)</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E74">
      <text>
        <t xml:space="preserve">ワザに設定されている基礎ダメージ量。実際の試合で与えるダメージ量は、タイマン補正・OP補正・小ジャンプ補正などにより変化するので注意。</t>
      </text>
    </comment>
    <comment authorId="0" ref="F74">
      <text>
        <t xml:space="preserve">タイマンにおけるダメージは、基礎ダメージの1.2倍となる。
なお、OP相殺がかかっていない場合はさらに1.05倍。</t>
      </text>
    </comment>
    <comment authorId="0" ref="O74">
      <text>
        <t xml:space="preserve">ワザに設定されているシールド削り値。通常のダメージに加え、この値だけシールドのHPが減少する。</t>
      </text>
    </comment>
    <comment authorId="0" ref="P74">
      <text>
        <t xml:space="preserve">ワザに設定されているヒットストップ倍率。電撃属性のワザはこの値が設定されていなくとも1.5倍となる。</t>
      </text>
    </comment>
    <comment authorId="0" ref="Q74">
      <text>
        <t xml:space="preserve">ワザに設定されているヒットストップずらしによる移動距離倍率。</t>
      </text>
    </comment>
    <comment authorId="0" ref="R74">
      <text>
        <t xml:space="preserve">ワザが相殺するかどうか。</t>
      </text>
    </comment>
    <comment authorId="0" ref="S74">
      <text>
        <t xml:space="preserve">ワザが相殺したときに、相殺モーションに移行するかどうか。</t>
      </text>
    </comment>
    <comment authorId="0" ref="U74">
      <text>
        <t xml:space="preserve">いわゆる「地ダ(地上ダッシュ)」「空ダ(空中ダッシュ)」のこと。</t>
      </text>
    </comment>
    <comment authorId="0" ref="F80">
      <text>
        <t xml:space="preserve">タイマンにおけるダメージは、基礎ダメージの1.2倍となる。
なお、OP相殺がかかっていない場合はさらに1.05倍。</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E91">
      <text>
        <t xml:space="preserve">10 -&gt; 12 (9.0.0)</t>
      </text>
    </comment>
    <comment authorId="0" ref="G105">
      <text>
        <t xml:space="preserve">タイマンにおけるダメージは、基礎ダメージの1.2倍となる。
なお、OP相殺がかかっていない場合はさらに1.05倍。</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32">
      <text>
        <t xml:space="preserve">37 -&gt; 34 (8.0.0)</t>
      </text>
    </comment>
    <comment authorId="0" ref="H32">
      <text>
        <t xml:space="preserve">1.875倍 -&gt; 1.5倍 (8.0.0)</t>
      </text>
    </comment>
    <comment authorId="0" ref="U34">
      <text>
        <t xml:space="preserve">反転ブレーキ時：なし</t>
      </text>
    </comment>
    <comment authorId="0" ref="C37">
      <text>
        <t xml:space="preserve">17-20 -&gt; 14-17 (3.1.0)</t>
      </text>
    </comment>
    <comment authorId="0" ref="D37">
      <text>
        <t xml:space="preserve">39 -&gt; 36 (3.1.0)</t>
      </text>
    </comment>
    <comment authorId="0" ref="H37">
      <text>
        <t xml:space="preserve">右足無敵：17-20F -&gt; 14-17F (3.1.0)</t>
      </text>
    </comment>
    <comment authorId="0" ref="E50">
      <text>
        <t xml:space="preserve">ワザに設定されている基礎ダメージ量。実際の試合で与えるダメージ量は、タイマン補正・OP補正・小ジャンプ補正などにより変化するので注意。</t>
      </text>
    </comment>
    <comment authorId="0" ref="F50">
      <text>
        <t xml:space="preserve">タイマンにおけるダメージは、基礎ダメージの1.2倍となる。
なお、OP相殺がかかっていない場合はさらに1.05倍。</t>
      </text>
    </comment>
    <comment authorId="0" ref="G50">
      <text>
        <t xml:space="preserve">小ジャンプで空中攻撃を出すと、与えるダメージ量が0.85倍になる。タイマン補正も含めると、1.2 * 0.85で1.02倍。</t>
      </text>
    </comment>
    <comment authorId="0" ref="J50">
      <text>
        <t xml:space="preserve">着地隙が発生するフレーム区間のこと。</t>
      </text>
    </comment>
    <comment authorId="0" ref="O50">
      <text>
        <t xml:space="preserve">ワザに設定されているシールド削り値。通常のダメージに加え、この値だけシールドのHPが減少する。</t>
      </text>
    </comment>
    <comment authorId="0" ref="P50">
      <text>
        <t xml:space="preserve">ワザに設定されているヒットストップ倍率。電撃属性のワザはこの値が設定されていなくとも1.5倍となる。</t>
      </text>
    </comment>
    <comment authorId="0" ref="Q50">
      <text>
        <t xml:space="preserve">ワザに設定されているヒットストップずらしによる移動距離倍率。</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H68">
      <text>
        <t xml:space="preserve">アーマー：1-6F -&gt; 1-5F (3.1.0)
耐久値：8% -&gt; 10% (3.1.0)</t>
      </text>
    </comment>
    <comment authorId="0" ref="C69">
      <text>
        <t xml:space="preserve">6-8 -&gt; 5-7 (3.1.0)</t>
      </text>
    </comment>
    <comment authorId="0" ref="D69">
      <text>
        <t xml:space="preserve">28 -&gt; 27 (3.1.0)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D74">
      <text>
        <t xml:space="preserve">72 -&gt; 40 (11.0.0)</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C77">
      <text>
        <t xml:space="preserve">15-17 -&gt; 15-18 (3.1.0)
15-18 -&gt; 13-16 (8.0.0)</t>
      </text>
    </comment>
    <comment authorId="0" ref="D77">
      <text>
        <t xml:space="preserve">70 -&gt; 68 (8.0.0)</t>
      </text>
    </comment>
    <comment authorId="0" ref="C78">
      <text>
        <t xml:space="preserve">18-25 -&gt; 19-25 (3.1.0)
19-25 -&gt; 17-23 (8.0.0)</t>
      </text>
    </comment>
    <comment authorId="0" ref="C79">
      <text>
        <t xml:space="preserve">26-35 -&gt; 24-33 (8.0.0)</t>
      </text>
    </comment>
    <comment authorId="0" ref="C80">
      <text>
        <t xml:space="preserve">16-18 -&gt; 16-20 (3.1.0)
16-20 -&gt; 14-18 (8.0.0)</t>
      </text>
    </comment>
    <comment authorId="0" ref="D80">
      <text>
        <t xml:space="preserve">58 -&gt; 56 (8.0.0)</t>
      </text>
    </comment>
    <comment authorId="0" ref="C81">
      <text>
        <t xml:space="preserve">21-26 -&gt; 19-26 (3.1.0)
19-26 -&gt; 17-24 (8.0.0)</t>
      </text>
    </comment>
    <comment authorId="0" ref="C82">
      <text>
        <t xml:space="preserve">27-29 -&gt; 25-27 (8.0.0)</t>
      </text>
    </comment>
    <comment authorId="0" ref="F86">
      <text>
        <t xml:space="preserve">タイマンにおけるダメージは、基礎ダメージの1.2倍となる。
なお、OP相殺がかかっていない場合はさらに1.05倍。</t>
      </text>
    </comment>
    <comment authorId="0" ref="F91">
      <text>
        <t xml:space="preserve">タイマンにおけるダメージは、基礎ダメージの1.2倍となる。
なお、OP相殺がかかっていない場合はさらに1.05倍。</t>
      </text>
    </comment>
    <comment authorId="0" ref="O91">
      <text>
        <t xml:space="preserve">ワザに設定されているシールド削り値。通常のダメージに加え、この値だけシールドのHPが減少する。</t>
      </text>
    </comment>
    <comment authorId="0" ref="P91">
      <text>
        <t xml:space="preserve">ワザに設定されているヒットストップ倍率。電撃属性のワザはこの値が設定されていなくとも1.5倍となる。</t>
      </text>
    </comment>
    <comment authorId="0" ref="Q91">
      <text>
        <t xml:space="preserve">ワザに設定されているヒットストップずらしによる移動距離倍率。</t>
      </text>
    </comment>
    <comment authorId="0" ref="G110">
      <text>
        <t xml:space="preserve">タイマンにおけるダメージは、基礎ダメージの1.2倍となる。
なお、OP相殺がかかっていない場合はさらに1.05倍。</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27">
      <text>
        <t xml:space="preserve">19 -&gt; 16 (13.0.0)</t>
      </text>
    </comment>
    <comment authorId="0" ref="D30">
      <text>
        <t xml:space="preserve">27 -&gt; 24 (2.0.0)</t>
      </text>
    </comment>
    <comment authorId="0" ref="E36">
      <text>
        <t xml:space="preserve">15/13 -&gt; 15 (2.0.0)</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C45">
      <text>
        <t xml:space="preserve">12-13 -&gt; 10-11 (2.0.0)</t>
      </text>
    </comment>
    <comment authorId="0" ref="D45">
      <text>
        <t xml:space="preserve">39 -&gt; 37 (2.0.0)
37 -&gt; 35 (13.0.0)</t>
      </text>
    </comment>
    <comment authorId="0" ref="I45">
      <text>
        <t xml:space="preserve">11 -&gt; 8 (13.0.0)</t>
      </text>
    </comment>
    <comment authorId="0" ref="J45">
      <text>
        <t xml:space="preserve">4-27 -&gt; 4-25 (2.0.0)</t>
      </text>
    </comment>
    <comment authorId="0" ref="I47">
      <text>
        <t xml:space="preserve">15 -&gt; 12 (6.0.0)</t>
      </text>
    </comment>
    <comment authorId="0" ref="J47">
      <text>
        <t xml:space="preserve">2-44 -&gt; 2-41 (6.0.0)</t>
      </text>
    </comment>
    <comment authorId="0" ref="E51">
      <text>
        <t xml:space="preserve">ワザに設定されている基礎ダメージ量。実際の試合で与えるダメージ量は、タイマン補正・OP補正・小ジャンプ補正などにより変化するので注意。</t>
      </text>
    </comment>
    <comment authorId="0" ref="F51">
      <text>
        <t xml:space="preserve">タイマンにおけるダメージは、基礎ダメージの1.2倍となる。
なお、OP相殺がかかっていない場合はさらに1.05倍。</t>
      </text>
    </comment>
    <comment authorId="0" ref="O51">
      <text>
        <t xml:space="preserve">ワザに設定されているシールド削り値。通常のダメージに加え、この値だけシールドのHPが減少する。</t>
      </text>
    </comment>
    <comment authorId="0" ref="P51">
      <text>
        <t xml:space="preserve">ワザに設定されているヒットストップ倍率。電撃属性のワザはこの値が設定されていなくとも1.5倍となる。</t>
      </text>
    </comment>
    <comment authorId="0" ref="Q51">
      <text>
        <t xml:space="preserve">ワザに設定されているヒットストップずらしによる移動距離倍率。</t>
      </text>
    </comment>
    <comment authorId="0" ref="R51">
      <text>
        <t xml:space="preserve">ワザが相殺するかどうか。</t>
      </text>
    </comment>
    <comment authorId="0" ref="S51">
      <text>
        <t xml:space="preserve">ワザが相殺したときに、相殺モーションに移行するかどうか。</t>
      </text>
    </comment>
    <comment authorId="0" ref="U51">
      <text>
        <t xml:space="preserve">いわゆる「地ダ(地上ダッシュ)」「空ダ(空中ダッシュ)」のこと。</t>
      </text>
    </comment>
    <comment authorId="0" ref="H52">
      <text>
        <t xml:space="preserve">最大溜め：45F -&gt; 35F (6.0.0)</t>
      </text>
    </comment>
    <comment authorId="0" ref="E53">
      <text>
        <t xml:space="preserve">ワザに設定されている基礎ダメージ量。実際の試合で与えるダメージ量は、タイマン補正・OP補正・小ジャンプ補正などにより変化するので注意。</t>
      </text>
    </comment>
    <comment authorId="0" ref="F53">
      <text>
        <t xml:space="preserve">タイマンにおけるダメージは、基礎ダメージの1.2倍となる。
なお、OP相殺がかかっていない場合はさらに1.05倍。</t>
      </text>
    </comment>
    <comment authorId="0" ref="O53">
      <text>
        <t xml:space="preserve">ワザに設定されているシールド削り値。通常のダメージに加え、この値だけシールドのHPが減少する。</t>
      </text>
    </comment>
    <comment authorId="0" ref="P53">
      <text>
        <t xml:space="preserve">ワザに設定されているヒットストップ倍率。電撃属性のワザはこの値が設定されていなくとも1.5倍となる。</t>
      </text>
    </comment>
    <comment authorId="0" ref="Q53">
      <text>
        <t xml:space="preserve">ワザに設定されているヒットストップずらしによる移動距離倍率。</t>
      </text>
    </comment>
    <comment authorId="0" ref="R53">
      <text>
        <t xml:space="preserve">ワザが相殺するかどうか。</t>
      </text>
    </comment>
    <comment authorId="0" ref="S53">
      <text>
        <t xml:space="preserve">ワザが相殺したときに、相殺モーションに移行するかどうか。</t>
      </text>
    </comment>
    <comment authorId="0" ref="U53">
      <text>
        <t xml:space="preserve">いわゆる「地ダ(地上ダッシュ)」「空ダ(空中ダッシュ)」のこと。</t>
      </text>
    </comment>
    <comment authorId="0" ref="G54">
      <text>
        <t xml:space="preserve">10F -&gt; 15F (6.0.0)</t>
      </text>
    </comment>
    <comment authorId="0" ref="H54">
      <text>
        <t xml:space="preserve">Ver 6.0.0でガード硬直補正倍率が追加。</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F64">
      <text>
        <t xml:space="preserve">タイマンにおけるダメージは、基礎ダメージの1.2倍となる。
なお、OP相殺がかかっていない場合はさらに1.05倍。</t>
      </text>
    </comment>
    <comment authorId="0" ref="E69">
      <text>
        <t xml:space="preserve">重量依存有りの場合、体重100の敵に対しての全体フレームを記載。</t>
      </text>
    </comment>
    <comment authorId="0" ref="G69">
      <text>
        <t xml:space="preserve">タイマンにおけるダメージは、基礎ダメージの1.2倍となる。
なお、OP相殺がかかっていない場合はさらに1.05倍。</t>
      </text>
    </comment>
    <comment authorId="0" ref="O69">
      <text>
        <t xml:space="preserve">ワザに設定されているシールド削り値。通常のダメージに加え、この値だけシールドのHPが減少する。</t>
      </text>
    </comment>
    <comment authorId="0" ref="P69">
      <text>
        <t xml:space="preserve">ワザに設定されているヒットストップ倍率。電撃属性のワザはこの値が設定されていなくとも1.5倍となる。</t>
      </text>
    </comment>
    <comment authorId="0" ref="Q69">
      <text>
        <t xml:space="preserve">ワザに設定されているヒットストップずらしによる移動距離倍率。</t>
      </text>
    </comment>
    <comment authorId="0" ref="D76">
      <text>
        <t xml:space="preserve">84 -&gt; 83 (13.0.0)</t>
      </text>
    </comment>
    <comment authorId="0" ref="E84">
      <text>
        <t xml:space="preserve">74 -&gt; 63 (6.0.0)</t>
      </text>
    </comment>
    <comment authorId="0" ref="E85">
      <text>
        <t xml:space="preserve">真横：122 -&gt; 106 (6.0.0)
真上：174 -&gt; 158 (6.0.0)
真下：102 -&gt; *85 (6.0.0)</t>
      </text>
    </comment>
    <comment authorId="0" ref="G88">
      <text>
        <t xml:space="preserve">タイマンにおけるダメージは、基礎ダメージの1.2倍となる。
なお、OP相殺がかかっていない場合はさらに1.05倍。</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0">
      <text>
        <t xml:space="preserve">反転ブレーキ時：なし</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D66">
      <text>
        <t xml:space="preserve">20 -&gt; 26 (3.1.0)</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C70">
      <text>
        <t xml:space="preserve">Ver.  3.1.0で追加。
以前は11-27Fで同じ判定だったが、22-27Fの判定が新しく追加された。</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D74">
      <text>
        <t xml:space="preserve">36 -&gt; 39 (3.1.0)</t>
      </text>
    </comment>
    <comment authorId="0" ref="F87">
      <text>
        <t xml:space="preserve">タイマンにおけるダメージは、基礎ダメージの1.2倍となる。
なお、OP相殺がかかっていない場合はさらに1.05倍。</t>
      </text>
    </comment>
    <comment authorId="0" ref="F92">
      <text>
        <t xml:space="preserve">タイマンにおけるダメージは、基礎ダメージの1.2倍となる。
なお、OP相殺がかかっていない場合はさらに1.05倍。</t>
      </text>
    </comment>
    <comment authorId="0" ref="O92">
      <text>
        <t xml:space="preserve">ワザに設定されているシールド削り値。通常のダメージに加え、この値だけシールドのHPが減少する。</t>
      </text>
    </comment>
    <comment authorId="0" ref="P92">
      <text>
        <t xml:space="preserve">ワザに設定されているヒットストップ倍率。電撃属性のワザはこの値が設定されていなくとも1.5倍となる。</t>
      </text>
    </comment>
    <comment authorId="0" ref="Q92">
      <text>
        <t xml:space="preserve">ワザに設定されているヒットストップずらしによる移動距離倍率。</t>
      </text>
    </comment>
    <comment authorId="0" ref="G111">
      <text>
        <t xml:space="preserve">タイマンにおけるダメージは、基礎ダメージの1.2倍となる。
なお、OP相殺がかかっていない場合はさらに1.05倍。</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0">
      <text>
        <t xml:space="preserve">反転ブレーキ時：なし</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D66">
      <text>
        <t xml:space="preserve">20 -&gt; 26 (3.1.0)</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C70">
      <text>
        <t xml:space="preserve">Ver.  3.1.0で追加。
以前は11-27Fで同じ判定だったが、22-27Fの判定が新しく追加された。</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D74">
      <text>
        <t xml:space="preserve">36 -&gt; 39 (3.1.0)</t>
      </text>
    </comment>
    <comment authorId="0" ref="F87">
      <text>
        <t xml:space="preserve">タイマンにおけるダメージは、基礎ダメージの1.2倍となる。
なお、OP相殺がかかっていない場合はさらに1.05倍。</t>
      </text>
    </comment>
    <comment authorId="0" ref="F92">
      <text>
        <t xml:space="preserve">タイマンにおけるダメージは、基礎ダメージの1.2倍となる。
なお、OP相殺がかかっていない場合はさらに1.05倍。</t>
      </text>
    </comment>
    <comment authorId="0" ref="O92">
      <text>
        <t xml:space="preserve">ワザに設定されているシールド削り値。通常のダメージに加え、この値だけシールドのHPが減少する。</t>
      </text>
    </comment>
    <comment authorId="0" ref="P92">
      <text>
        <t xml:space="preserve">ワザに設定されているヒットストップ倍率。電撃属性のワザはこの値が設定されていなくとも1.5倍となる。</t>
      </text>
    </comment>
    <comment authorId="0" ref="Q92">
      <text>
        <t xml:space="preserve">ワザに設定されているヒットストップずらしによる移動距離倍率。</t>
      </text>
    </comment>
    <comment authorId="0" ref="G111">
      <text>
        <t xml:space="preserve">タイマンにおけるダメージは、基礎ダメージの1.2倍となる。
なお、OP相殺がかかっていない場合はさらに1.05倍。</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27">
      <text>
        <t xml:space="preserve">6 -&gt; 7 (2.0.0)</t>
      </text>
    </comment>
    <comment authorId="0" ref="E30">
      <text>
        <t xml:space="preserve">12 -&gt; 13 (2.0.0)</t>
      </text>
    </comment>
    <comment authorId="0" ref="U30">
      <text>
        <t xml:space="preserve">反転ブレーキ時：なし</t>
      </text>
    </comment>
    <comment authorId="0" ref="E42">
      <text>
        <t xml:space="preserve">ワザに設定されている基礎ダメージ量。実際の試合で与えるダメージ量は、タイマン補正・OP補正・小ジャンプ補正などにより変化するので注意。</t>
      </text>
    </comment>
    <comment authorId="0" ref="F42">
      <text>
        <t xml:space="preserve">タイマンにおけるダメージは、基礎ダメージの1.2倍となる。
なお、OP相殺がかかっていない場合はさらに1.05倍。</t>
      </text>
    </comment>
    <comment authorId="0" ref="G42">
      <text>
        <t xml:space="preserve">小ジャンプで空中攻撃を出すと、与えるダメージ量が0.85倍になる。タイマン補正も含めると、1.2 * 0.85で1.02倍。</t>
      </text>
    </comment>
    <comment authorId="0" ref="J42">
      <text>
        <t xml:space="preserve">着地隙が発生するフレーム区間のこと。</t>
      </text>
    </comment>
    <comment authorId="0" ref="O42">
      <text>
        <t xml:space="preserve">ワザに設定されているシールド削り値。通常のダメージに加え、この値だけシールドのHPが減少する。</t>
      </text>
    </comment>
    <comment authorId="0" ref="P42">
      <text>
        <t xml:space="preserve">ワザに設定されているヒットストップ倍率。電撃属性のワザはこの値が設定されていなくとも1.5倍となる。</t>
      </text>
    </comment>
    <comment authorId="0" ref="Q42">
      <text>
        <t xml:space="preserve">ワザに設定されているヒットストップずらしによる移動距離倍率。</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69">
      <text>
        <t xml:space="preserve">ワザに設定されている基礎ダメージ量。実際の試合で与えるダメージ量は、タイマン補正・OP補正・小ジャンプ補正などにより変化するので注意。</t>
      </text>
    </comment>
    <comment authorId="0" ref="F69">
      <text>
        <t xml:space="preserve">タイマンにおけるダメージは、基礎ダメージの1.2倍となる。
なお、OP相殺がかかっていない場合はさらに1.05倍。</t>
      </text>
    </comment>
    <comment authorId="0" ref="O69">
      <text>
        <t xml:space="preserve">ワザに設定されているシールド削り値。通常のダメージに加え、この値だけシールドのHPが減少する。</t>
      </text>
    </comment>
    <comment authorId="0" ref="P69">
      <text>
        <t xml:space="preserve">ワザに設定されているヒットストップ倍率。電撃属性のワザはこの値が設定されていなくとも1.5倍となる。</t>
      </text>
    </comment>
    <comment authorId="0" ref="Q69">
      <text>
        <t xml:space="preserve">ワザに設定されているヒットストップずらしによる移動距離倍率。</t>
      </text>
    </comment>
    <comment authorId="0" ref="R69">
      <text>
        <t xml:space="preserve">ワザが相殺するかどうか。</t>
      </text>
    </comment>
    <comment authorId="0" ref="S69">
      <text>
        <t xml:space="preserve">ワザが相殺したときに、相殺モーションに移行するかどうか。</t>
      </text>
    </comment>
    <comment authorId="0" ref="U69">
      <text>
        <t xml:space="preserve">いわゆる「地ダ(地上ダッシュ)」「空ダ(空中ダッシュ)」のこと。</t>
      </text>
    </comment>
    <comment authorId="0" ref="F77">
      <text>
        <t xml:space="preserve">タイマンにおけるダメージは、基礎ダメージの1.2倍となる。
なお、OP相殺がかかっていない場合はさらに1.05倍。</t>
      </text>
    </comment>
    <comment authorId="0" ref="F82">
      <text>
        <t xml:space="preserve">タイマンにおけるダメージは、基礎ダメージの1.2倍となる。
なお、OP相殺がかかっていない場合はさらに1.05倍。</t>
      </text>
    </comment>
    <comment authorId="0" ref="O82">
      <text>
        <t xml:space="preserve">ワザに設定されているシールド削り値。通常のダメージに加え、この値だけシールドのHPが減少する。</t>
      </text>
    </comment>
    <comment authorId="0" ref="P82">
      <text>
        <t xml:space="preserve">ワザに設定されているヒットストップ倍率。電撃属性のワザはこの値が設定されていなくとも1.5倍となる。</t>
      </text>
    </comment>
    <comment authorId="0" ref="Q82">
      <text>
        <t xml:space="preserve">ワザに設定されているヒットストップずらしによる移動距離倍率。</t>
      </text>
    </comment>
    <comment authorId="0" ref="G103">
      <text>
        <t xml:space="preserve">タイマンにおけるダメージは、基礎ダメージの1.2倍となる。
なお、OP相殺がかかっていない場合はさらに1.05倍。</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F26">
      <text>
        <t xml:space="preserve">1.05倍 -&gt; 1.02倍 (9.0.0)</t>
      </text>
    </comment>
    <comment authorId="0" ref="F27">
      <text>
        <t xml:space="preserve">1.05倍 -&gt; 1.02倍 (9.0.0)</t>
      </text>
    </comment>
    <comment authorId="0" ref="E31">
      <text>
        <t xml:space="preserve">ワザに設定されている基礎ダメージ量。実際の試合で与えるダメージ量は、タイマン補正・OP補正・小ジャンプ補正などにより変化するので注意。</t>
      </text>
    </comment>
    <comment authorId="0" ref="F31">
      <text>
        <t xml:space="preserve">タイマンにおけるダメージは、基礎ダメージの1.2倍となる。
なお、OP相殺がかかっていない場合はさらに1.05倍。</t>
      </text>
    </comment>
    <comment authorId="0" ref="O31">
      <text>
        <t xml:space="preserve">ワザに設定されているシールド削り値。通常のダメージに加え、この値だけシールドのHPが減少する。</t>
      </text>
    </comment>
    <comment authorId="0" ref="P31">
      <text>
        <t xml:space="preserve">ワザに設定されているヒットストップ倍率。電撃属性のワザはこの値が設定されていなくとも1.5倍となる。</t>
      </text>
    </comment>
    <comment authorId="0" ref="Q31">
      <text>
        <t xml:space="preserve">ワザに設定されているヒットストップずらしによる移動距離倍率。</t>
      </text>
    </comment>
    <comment authorId="0" ref="U31">
      <text>
        <t xml:space="preserve">地上慣性が消えるフレーム。「-」はなし。</t>
      </text>
    </comment>
    <comment authorId="0" ref="C34">
      <text>
        <t xml:space="preserve">11-14 -&gt; 9-12 (13.0.1)</t>
      </text>
    </comment>
    <comment authorId="0" ref="D34">
      <text>
        <t xml:space="preserve">41 -&gt; 39 (13.0.1)</t>
      </text>
    </comment>
    <comment authorId="0" ref="U35">
      <text>
        <t xml:space="preserve">反転ブレーキ時：なし</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E53">
      <text>
        <t xml:space="preserve">ワザに設定されている基礎ダメージ量。実際の試合で与えるダメージ量は、タイマン補正・OP補正・小ジャンプ補正などにより変化するので注意。</t>
      </text>
    </comment>
    <comment authorId="0" ref="F53">
      <text>
        <t xml:space="preserve">タイマンにおけるダメージは、基礎ダメージの1.2倍となる。
なお、OP相殺がかかっていない場合はさらに1.05倍。</t>
      </text>
    </comment>
    <comment authorId="0" ref="O53">
      <text>
        <t xml:space="preserve">ワザに設定されているシールド削り値。通常のダメージに加え、この値だけシールドのHPが減少する。</t>
      </text>
    </comment>
    <comment authorId="0" ref="P53">
      <text>
        <t xml:space="preserve">ワザに設定されているヒットストップ倍率。電撃属性のワザはこの値が設定されていなくとも1.5倍となる。</t>
      </text>
    </comment>
    <comment authorId="0" ref="Q53">
      <text>
        <t xml:space="preserve">ワザに設定されているヒットストップずらしによる移動距離倍率。</t>
      </text>
    </comment>
    <comment authorId="0" ref="R53">
      <text>
        <t xml:space="preserve">ワザが相殺するかどうか。</t>
      </text>
    </comment>
    <comment authorId="0" ref="S53">
      <text>
        <t xml:space="preserve">ワザが相殺したときに、相殺モーションに移行するかどうか。</t>
      </text>
    </comment>
    <comment authorId="0" ref="U53">
      <text>
        <t xml:space="preserve">いわゆる「地ダ(地上ダッシュ)」「空ダ(空中ダッシュ)」のこと。</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H59">
      <text>
        <t xml:space="preserve">崖つかまり：64F目 -&gt; 58F目 (2人)
崖つかまり：62F目 -&gt; 56F目 (2人)
(9.0.0)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C73">
      <text>
        <t xml:space="preserve">16-33 -&gt; 13-30 (13.0.1)</t>
      </text>
    </comment>
    <comment authorId="0" ref="D74">
      <text>
        <t xml:space="preserve">(58) -&gt; (55) (13.0.1)</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F81">
      <text>
        <t xml:space="preserve">タイマンにおけるダメージは、基礎ダメージの1.2倍となる。
なお、OP相殺がかかっていない場合はさらに1.05倍。</t>
      </text>
    </comment>
    <comment authorId="0" ref="E86">
      <text>
        <t xml:space="preserve">重量依存有りの場合、体重100の敵に対しての全体フレームを記載。</t>
      </text>
    </comment>
    <comment authorId="0" ref="G86">
      <text>
        <t xml:space="preserve">タイマンにおけるダメージは、基礎ダメージの1.2倍となる。
なお、OP相殺がかかっていない場合はさらに1.05倍。</t>
      </text>
    </comment>
    <comment authorId="0" ref="O86">
      <text>
        <t xml:space="preserve">ワザに設定されているシールド削り値。通常のダメージに加え、この値だけシールドのHPが減少する。</t>
      </text>
    </comment>
    <comment authorId="0" ref="P86">
      <text>
        <t xml:space="preserve">ワザに設定されているヒットストップ倍率。電撃属性のワザはこの値が設定されていなくとも1.5倍となる。</t>
      </text>
    </comment>
    <comment authorId="0" ref="Q86">
      <text>
        <t xml:space="preserve">ワザに設定されているヒットストップずらしによる移動距離倍率。</t>
      </text>
    </comment>
    <comment authorId="0" ref="G105">
      <text>
        <t xml:space="preserve">タイマンにおけるダメージは、基礎ダメージの1.2倍となる。
なお、OP相殺がかかっていない場合はさらに1.05倍。</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30">
      <text>
        <t xml:space="preserve">41 -&gt; 35 (3.0.0)</t>
      </text>
    </comment>
    <comment authorId="0" ref="U33">
      <text>
        <t xml:space="preserve">反転ブレーキ時：なし</t>
      </text>
    </comment>
    <comment authorId="0" ref="C41">
      <text>
        <t xml:space="preserve">11-12 -&gt; 8-9 (7.0.0)</t>
      </text>
    </comment>
    <comment authorId="0" ref="D41">
      <text>
        <t xml:space="preserve">51 -&gt; 48 (7.0.0)</t>
      </text>
    </comment>
    <comment authorId="0" ref="C42">
      <text>
        <t xml:space="preserve">18-19 -&gt; 15-16 (7.0.0)</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J51">
      <text>
        <t xml:space="preserve">4-46 -&gt; 4-43 (2.0.0)</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H59">
      <text>
        <t xml:space="preserve">着地隙：16F -&gt; 12F (7.0.0)</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D64">
      <text>
        <t xml:space="preserve">地上 : 77 -&gt; 75 (2.0.0)
空中 : 86 -&gt; 84 (2.0.0)
地上 : 75 -&gt; 68 (7.0.0)
空中 : 84 -&gt; 77 (7.0.0)</t>
      </text>
    </comment>
    <comment authorId="0" ref="H64">
      <text>
        <t xml:space="preserve">相殺：爆発のみ -&gt; なし (7.0.0)</t>
      </text>
    </comment>
    <comment authorId="0" ref="D65">
      <text>
        <t xml:space="preserve">39 -&gt; 37 (2.0.0)
37 -&gt; 30 (7.0.0)</t>
      </text>
    </comment>
    <comment authorId="0" ref="C66">
      <text>
        <t xml:space="preserve">50-51 -&gt; 50-53 (7.0.0)</t>
      </text>
    </comment>
    <comment authorId="0" ref="D68">
      <text>
        <t xml:space="preserve">49 -&gt; 47 (2.0.0)
47 -&gt; 40 (7.0.0)</t>
      </text>
    </comment>
    <comment authorId="0" ref="C69">
      <text>
        <t xml:space="preserve">50-51 -&gt; 50-53 (7.0.0)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F82">
      <text>
        <t xml:space="preserve">タイマンにおけるダメージは、基礎ダメージの1.2倍となる。
なお、OP相殺がかかっていない場合はさらに1.05倍。</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G106">
      <text>
        <t xml:space="preserve">タイマンにおけるダメージは、基礎ダメージの1.2倍となる。
なお、OP相殺がかかっていない場合はさらに1.05倍。</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26">
      <text>
        <t xml:space="preserve">24 -&gt; 23 (13.0.0)</t>
      </text>
    </comment>
    <comment authorId="0" ref="E33">
      <text>
        <t xml:space="preserve">10/12 -&gt; 11.5/15 (7.0.0)</t>
      </text>
    </comment>
    <comment authorId="0" ref="U33">
      <text>
        <t xml:space="preserve">反転ブレーキ時：なし</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I46">
      <text>
        <t xml:space="preserve">15 -&gt; 12 (7.0.0)</t>
      </text>
    </comment>
    <comment authorId="0" ref="B53">
      <text>
        <t xml:space="preserve">Ver. 7.0.0で追加。</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C62">
      <text>
        <t xml:space="preserve">44-47 -&gt; 44-49 (7.0.0)</t>
      </text>
    </comment>
    <comment authorId="0" ref="C63">
      <text>
        <t xml:space="preserve">70-73 -&gt; 70-75 (7.0.0)</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69">
      <text>
        <t xml:space="preserve">ワザに設定されている基礎ダメージ量。実際の試合で与えるダメージ量は、タイマン補正・OP補正・小ジャンプ補正などにより変化するので注意。</t>
      </text>
    </comment>
    <comment authorId="0" ref="F69">
      <text>
        <t xml:space="preserve">タイマンにおけるダメージは、基礎ダメージの1.2倍となる。
なお、OP相殺がかかっていない場合はさらに1.05倍。</t>
      </text>
    </comment>
    <comment authorId="0" ref="O69">
      <text>
        <t xml:space="preserve">ワザに設定されているシールド削り値。通常のダメージに加え、この値だけシールドのHPが減少する。</t>
      </text>
    </comment>
    <comment authorId="0" ref="P69">
      <text>
        <t xml:space="preserve">ワザに設定されているヒットストップ倍率。電撃属性のワザはこの値が設定されていなくとも1.5倍となる。</t>
      </text>
    </comment>
    <comment authorId="0" ref="Q69">
      <text>
        <t xml:space="preserve">ワザに設定されているヒットストップずらしによる移動距離倍率。</t>
      </text>
    </comment>
    <comment authorId="0" ref="R69">
      <text>
        <t xml:space="preserve">ワザが相殺するかどうか。</t>
      </text>
    </comment>
    <comment authorId="0" ref="S69">
      <text>
        <t xml:space="preserve">ワザが相殺したときに、相殺モーションに移行するかどうか。</t>
      </text>
    </comment>
    <comment authorId="0" ref="U69">
      <text>
        <t xml:space="preserve">いわゆる「地ダ(地上ダッシュ)」「空ダ(空中ダッシュ)」のこと。</t>
      </text>
    </comment>
    <comment authorId="0" ref="E70">
      <text>
        <t xml:space="preserve">4.7 -&gt; 5.9 (7.0.0)</t>
      </text>
    </comment>
    <comment authorId="0" ref="E71">
      <text>
        <t xml:space="preserve">6.6 -&gt; 8.2 (7.0.0)</t>
      </text>
    </comment>
    <comment authorId="0" ref="E72">
      <text>
        <t xml:space="preserve">8.5 -&gt; 10.5 (7.0.0)</t>
      </text>
    </comment>
    <comment authorId="0" ref="E73">
      <text>
        <t xml:space="preserve">9.4 -&gt; 11.8 (7.0.0)</t>
      </text>
    </comment>
    <comment authorId="0" ref="E74">
      <text>
        <t xml:space="preserve">11.3 -&gt; 14.1 (7.0.0)</t>
      </text>
    </comment>
    <comment authorId="0" ref="E75">
      <text>
        <t xml:space="preserve">12.2 -&gt; 15.4 (7.0.0)</t>
      </text>
    </comment>
    <comment authorId="0" ref="E76">
      <text>
        <t xml:space="preserve">14.1 -&gt; 17.7 (7.0.0)</t>
      </text>
    </comment>
    <comment authorId="0" ref="E77">
      <text>
        <t xml:space="preserve">14.1 -&gt; 17.7 (7.0.0)</t>
      </text>
    </comment>
    <comment authorId="0" ref="F83">
      <text>
        <t xml:space="preserve">タイマンにおけるダメージは、基礎ダメージの1.2倍となる。
なお、OP相殺がかかっていない場合はさらに1.05倍。</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G107">
      <text>
        <t xml:space="preserve">タイマンにおけるダメージは、基礎ダメージの1.2倍となる。
なお、OP相殺がかかっていない場合はさらに1.05倍。</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C24">
      <text>
        <t xml:space="preserve">ドクターマリオの能力値は、「マリオがforのカスタム装備をつけている」という扱いで計算される。</t>
      </text>
    </comment>
    <comment authorId="0" ref="C26">
      <text>
        <t xml:space="preserve">地上抵抗含まず。</t>
      </text>
    </comment>
    <comment authorId="0" ref="C27">
      <text>
        <t xml:space="preserve">空中抵抗含む。</t>
      </text>
    </comment>
    <comment authorId="0" ref="E30">
      <text>
        <t xml:space="preserve">ワザに設定されている基礎ダメージ量。実際の試合で与えるダメージ量は、タイマン補正・OP補正・小ジャンプ補正などにより変化するので注意。</t>
      </text>
    </comment>
    <comment authorId="0" ref="F30">
      <text>
        <t xml:space="preserve">タイマンにおけるダメージは、基礎ダメージの1.2倍となる。
なお、OP相殺がかかっていない場合はさらに1.05倍。</t>
      </text>
    </comment>
    <comment authorId="0" ref="O30">
      <text>
        <t xml:space="preserve">ワザに設定されているシールド削り値。通常のダメージに加え、この値だけシールドのHPが減少する。</t>
      </text>
    </comment>
    <comment authorId="0" ref="P30">
      <text>
        <t xml:space="preserve">ワザに設定されているヒットストップ倍率。電撃属性のワザはこの値が設定されていなくとも1.5倍となる。</t>
      </text>
    </comment>
    <comment authorId="0" ref="Q30">
      <text>
        <t xml:space="preserve">ワザに設定されているヒットストップずらしによる移動距離倍率。</t>
      </text>
    </comment>
    <comment authorId="0" ref="U30">
      <text>
        <t xml:space="preserve">地上慣性が消えるフレーム。「-」はなし。</t>
      </text>
    </comment>
    <comment authorId="0" ref="E36">
      <text>
        <t xml:space="preserve">8.232 -&gt; 10.584 (7.0.0)</t>
      </text>
    </comment>
    <comment authorId="0" ref="U36">
      <text>
        <t xml:space="preserve">反転ブレーキ時：なし</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E47">
      <text>
        <t xml:space="preserve">9.408 -&gt; 11.76 (7.0.0)</t>
      </text>
    </comment>
    <comment authorId="0" ref="E53">
      <text>
        <t xml:space="preserve">10.2312 -&gt; 11.9952 (13.0.0)</t>
      </text>
    </comment>
    <comment authorId="0" ref="C54">
      <text>
        <t xml:space="preserve">16-17 -&gt; 16-19 (7.0.0)
16-19 -&gt; 14-17 (13.0.0)</t>
      </text>
    </comment>
    <comment authorId="0" ref="D54">
      <text>
        <t xml:space="preserve">44 -&gt; 42 (13.0.0)</t>
      </text>
    </comment>
    <comment authorId="0" ref="J54">
      <text>
        <t xml:space="preserve">6-34 -&gt; 6-32 (13.0.0)</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C62">
      <text>
        <t xml:space="preserve">12-14 -&gt; 12-16 (13.0.0)</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H67">
      <text>
        <t xml:space="preserve">ヘビーアーマー：
5-9F -&gt; 2-9F (13.0.0)</t>
      </text>
    </comment>
    <comment authorId="0" ref="F71">
      <text>
        <t xml:space="preserve">タイマンにおけるダメージは、基礎ダメージの1.2倍となる。
なお、OP相殺がかかっていない場合はさらに1.05倍。</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G95">
      <text>
        <t xml:space="preserve">タイマンにおけるダメージは、基礎ダメージの1.2倍となる。
なお、OP相殺がかかっていない場合はさらに1.05倍。</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H29">
      <text>
        <t xml:space="preserve">自傷：0.7% -&gt; 1.0% (3.1.0)</t>
      </text>
    </comment>
    <comment authorId="0" ref="U29">
      <text>
        <t xml:space="preserve">反転ブレーキ時：なし</t>
      </text>
    </comment>
    <comment authorId="0" ref="D33">
      <text>
        <t xml:space="preserve">49 -&gt; 53 (3.1.0)</t>
      </text>
    </comment>
    <comment authorId="0" ref="H33">
      <text>
        <t xml:space="preserve">自傷：1.5% -&gt; 2.0% (3.1.0)
自称：2.0 % -&gt; 1.5% (11.0.0)</t>
      </text>
    </comment>
    <comment authorId="0" ref="H36">
      <text>
        <t xml:space="preserve">自傷：0.8% -&gt; 1.3% (3.1.0)</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R41">
      <text>
        <t xml:space="preserve">両耳無敵追加 (11.0.0)</t>
      </text>
    </comment>
    <comment authorId="0" ref="R43">
      <text>
        <t xml:space="preserve">自傷：1.0% -&gt; 1.5% (3.1.0)
自傷：1.5% -&gt; 1.0% (11.0.0)</t>
      </text>
    </comment>
    <comment authorId="0" ref="R45">
      <text>
        <t xml:space="preserve">自傷：1.0% -&gt; 1.5% (3.1.0)</t>
      </text>
    </comment>
    <comment authorId="0" ref="R48">
      <text>
        <t xml:space="preserve">自傷：1.0% -&gt; 1.5% (3.1.0)</t>
      </text>
    </comment>
    <comment authorId="0" ref="E53">
      <text>
        <t xml:space="preserve">ワザに設定されている基礎ダメージ量。実際の試合で与えるダメージ量は、タイマン補正・OP補正・小ジャンプ補正などにより変化するので注意。</t>
      </text>
    </comment>
    <comment authorId="0" ref="F53">
      <text>
        <t xml:space="preserve">タイマンにおけるダメージは、基礎ダメージの1.2倍となる。
なお、OP相殺がかかっていない場合はさらに1.05倍。</t>
      </text>
    </comment>
    <comment authorId="0" ref="O53">
      <text>
        <t xml:space="preserve">ワザに設定されているシールド削り値。通常のダメージに加え、この値だけシールドのHPが減少する。</t>
      </text>
    </comment>
    <comment authorId="0" ref="P53">
      <text>
        <t xml:space="preserve">ワザに設定されているヒットストップ倍率。電撃属性のワザはこの値が設定されていなくとも1.5倍となる。</t>
      </text>
    </comment>
    <comment authorId="0" ref="Q53">
      <text>
        <t xml:space="preserve">ワザに設定されているヒットストップずらしによる移動距離倍率。</t>
      </text>
    </comment>
    <comment authorId="0" ref="R53">
      <text>
        <t xml:space="preserve">ワザが相殺するかどうか。</t>
      </text>
    </comment>
    <comment authorId="0" ref="S53">
      <text>
        <t xml:space="preserve">ワザが相殺したときに、相殺モーションに移行するかどうか。</t>
      </text>
    </comment>
    <comment authorId="0" ref="U53">
      <text>
        <t xml:space="preserve">いわゆる「地ダ(地上ダッシュ)」「空ダ(空中ダッシュ)」のこと。</t>
      </text>
    </comment>
    <comment authorId="0" ref="H54">
      <text>
        <t xml:space="preserve">自傷：0.4% -&gt; 0.7% (3.1.0)</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H59">
      <text>
        <t xml:space="preserve">自傷：1.5% -&gt; 1.8% (3.1.0)
自傷：1.8% -&gt; 1.5% (11.0.0)</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H63">
      <text>
        <t xml:space="preserve">自傷1：0.6% -&gt; 0.9% (3.1.0)
自傷1：0.9% -&gt; 0.5% (11.0.0)
自傷2：1.4% -&gt; 1.0% (11.0.0)</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H68">
      <text>
        <t xml:space="preserve">自傷：3.0% -&gt; 3.5% (3.1.0)</t>
      </text>
    </comment>
    <comment authorId="0" ref="F74">
      <text>
        <t xml:space="preserve">タイマンにおけるダメージは、基礎ダメージの1.2倍となる。
なお、OP相殺がかかっていない場合はさらに1.05倍。</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G80">
      <text>
        <t xml:space="preserve">自傷：0.5% -&gt; 0.8% (3.1.0)
自傷：0.8% -&gt; 0.5% (11.0.0)</t>
      </text>
    </comment>
    <comment authorId="0" ref="G98">
      <text>
        <t xml:space="preserve">タイマンにおけるダメージは、基礎ダメージの1.2倍となる。
なお、OP相殺がかかっていない場合はさらに1.05倍。</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1">
      <text>
        <t xml:space="preserve">9 -&gt; 10.5 (13.0.1)</t>
      </text>
    </comment>
    <comment authorId="0" ref="E32">
      <text>
        <t xml:space="preserve">6 -&gt; 7.5 (13.0.1)</t>
      </text>
    </comment>
    <comment authorId="0" ref="U33">
      <text>
        <t xml:space="preserve">反転ブレーキ時：なし</t>
      </text>
    </comment>
    <comment authorId="0" ref="C37">
      <text>
        <t xml:space="preserve">10-12 -&gt; 8-10 (8.0.0)</t>
      </text>
    </comment>
    <comment authorId="0" ref="D37">
      <text>
        <t xml:space="preserve">31 -&gt; 29 (8.0.0)</t>
      </text>
    </comment>
    <comment authorId="0" ref="H40">
      <text>
        <t xml:space="preserve">左足無敵：13-18F -&gt; 13-20F</t>
      </text>
    </comment>
    <comment authorId="0" ref="C42">
      <text>
        <t xml:space="preserve">13-18 -&gt; 13-20 (8.0.0)</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着地隙が発生するフレーム区間のこと。</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D47">
      <text>
        <t xml:space="preserve">48 -&gt; 46 (8.0.0)</t>
      </text>
    </comment>
    <comment authorId="0" ref="J47">
      <text>
        <t xml:space="preserve">3-42 -&gt; 3-40 (8.0.0)</t>
      </text>
    </comment>
    <comment authorId="0" ref="C50">
      <text>
        <t xml:space="preserve">19-20 -&gt; 17-18 (8.0.0)</t>
      </text>
    </comment>
    <comment authorId="0" ref="D57">
      <text>
        <t xml:space="preserve">51 -&gt; 43 (8.0.0)</t>
      </text>
    </comment>
    <comment authorId="0" ref="I57">
      <text>
        <t xml:space="preserve">14 -&gt; 11 (8.0.0)</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C66">
      <text>
        <t xml:space="preserve">18-21 -&gt; 13-18 (8.0.0)</t>
      </text>
    </comment>
    <comment authorId="0" ref="D66">
      <text>
        <t xml:space="preserve">55 (50) -&gt; 50 (45) (8.0.0)</t>
      </text>
    </comment>
    <comment authorId="0" ref="C67">
      <text>
        <t xml:space="preserve">21-24 -&gt; 17-22 (8.0.0)</t>
      </text>
    </comment>
    <comment authorId="0" ref="C68">
      <text>
        <t xml:space="preserve">18-24 -&gt; 18-27 (8.0.0)</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D76">
      <text>
        <t xml:space="preserve">46 -&gt; 44 (??)</t>
      </text>
    </comment>
    <comment authorId="0" ref="F79">
      <text>
        <t xml:space="preserve">タイマンにおけるダメージは、基礎ダメージの1.2倍となる。
なお、OP相殺がかかっていない場合はさらに1.05倍。</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G103">
      <text>
        <t xml:space="preserve">タイマンにおけるダメージは、基礎ダメージの1.2倍となる。
なお、OP相殺がかかっていない場合はさらに1.05倍。</t>
      </text>
    </comment>
  </commentList>
</comments>
</file>

<file path=xl/comments2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28">
      <text>
        <t xml:space="preserve">10/9/9/12 &gt; 10/9/9/13 (12.0.0)</t>
      </text>
    </comment>
    <comment authorId="0" ref="U29">
      <text>
        <t xml:space="preserve">反転ブレーキ時：なし</t>
      </text>
    </comment>
    <comment authorId="0" ref="E30">
      <text>
        <t xml:space="preserve">6/5/5/9 &gt; 6/5/5/10 (12.0.0)</t>
      </text>
    </comment>
    <comment authorId="0" ref="E31">
      <text>
        <t xml:space="preserve">6/5/5/9 &gt; 6/5/5/10 (12.0.0)</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E50">
      <text>
        <t xml:space="preserve">ワザに設定されている基礎ダメージ量。実際の試合で与えるダメージ量は、タイマン補正・OP補正・小ジャンプ補正などにより変化するので注意。</t>
      </text>
    </comment>
    <comment authorId="0" ref="F50">
      <text>
        <t xml:space="preserve">タイマンにおけるダメージは、基礎ダメージの1.2倍となる。
なお、OP相殺がかかっていない場合はさらに1.05倍。</t>
      </text>
    </comment>
    <comment authorId="0" ref="O50">
      <text>
        <t xml:space="preserve">ワザに設定されているシールド削り値。通常のダメージに加え、この値だけシールドのHPが減少する。</t>
      </text>
    </comment>
    <comment authorId="0" ref="P50">
      <text>
        <t xml:space="preserve">ワザに設定されているヒットストップ倍率。電撃属性のワザはこの値が設定されていなくとも1.5倍となる。</t>
      </text>
    </comment>
    <comment authorId="0" ref="Q50">
      <text>
        <t xml:space="preserve">ワザに設定されているヒットストップずらしによる移動距離倍率。</t>
      </text>
    </comment>
    <comment authorId="0" ref="R50">
      <text>
        <t xml:space="preserve">ワザが相殺するかどうか。</t>
      </text>
    </comment>
    <comment authorId="0" ref="S50">
      <text>
        <t xml:space="preserve">ワザが相殺したときに、相殺モーションに移行するかどうか。</t>
      </text>
    </comment>
    <comment authorId="0" ref="U50">
      <text>
        <t xml:space="preserve">いわゆる「地ダ(地上ダッシュ)」「空ダ(空中ダッシュ)」のこと。</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F75">
      <text>
        <t xml:space="preserve">タイマンにおけるダメージは、基礎ダメージの1.2倍となる。
なお、OP相殺がかかっていない場合はさらに1.05倍。</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G99">
      <text>
        <t xml:space="preserve">タイマンにおけるダメージは、基礎ダメージの1.2倍となる。
なお、OP相殺がかかっていない場合はさらに1.05倍。</t>
      </text>
    </comment>
  </commentList>
</comments>
</file>

<file path=xl/comments2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29">
      <text>
        <t xml:space="preserve">反転ブレーキ時：なし</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E50">
      <text>
        <t xml:space="preserve">ワザに設定されている基礎ダメージ量。実際の試合で与えるダメージ量は、タイマン補正・OP補正・小ジャンプ補正などにより変化するので注意。</t>
      </text>
    </comment>
    <comment authorId="0" ref="F50">
      <text>
        <t xml:space="preserve">タイマンにおけるダメージは、基礎ダメージの1.2倍となる。
なお、OP相殺がかかっていない場合はさらに1.05倍。</t>
      </text>
    </comment>
    <comment authorId="0" ref="O50">
      <text>
        <t xml:space="preserve">ワザに設定されているシールド削り値。通常のダメージに加え、この値だけシールドのHPが減少する。</t>
      </text>
    </comment>
    <comment authorId="0" ref="P50">
      <text>
        <t xml:space="preserve">ワザに設定されているヒットストップ倍率。電撃属性のワザはこの値が設定されていなくとも1.5倍となる。</t>
      </text>
    </comment>
    <comment authorId="0" ref="Q50">
      <text>
        <t xml:space="preserve">ワザに設定されているヒットストップずらしによる移動距離倍率。</t>
      </text>
    </comment>
    <comment authorId="0" ref="R50">
      <text>
        <t xml:space="preserve">ワザが相殺するかどうか。</t>
      </text>
    </comment>
    <comment authorId="0" ref="S50">
      <text>
        <t xml:space="preserve">ワザが相殺したときに、相殺モーションに移行するかどうか。</t>
      </text>
    </comment>
    <comment authorId="0" ref="U50">
      <text>
        <t xml:space="preserve">いわゆる「地ダ(地上ダッシュ)」「空ダ(空中ダッシュ)」のこと。</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F75">
      <text>
        <t xml:space="preserve">タイマンにおけるダメージは、基礎ダメージの1.2倍となる。
なお、OP相殺がかかっていない場合はさらに1.05倍。</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G99">
      <text>
        <t xml:space="preserve">タイマンにおけるダメージは、基礎ダメージの1.2倍となる。
なお、OP相殺がかかっていない場合はさらに1.05倍。</t>
      </text>
    </comment>
  </commentList>
</comments>
</file>

<file path=xl/comments2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6">
      <text>
        <t xml:space="preserve">6-7 -&gt; 4-5 (7.0.0)</t>
      </text>
    </comment>
    <comment authorId="0" ref="D26">
      <text>
        <t xml:space="preserve">19 -&gt; 17 (7.0.0)</t>
      </text>
    </comment>
    <comment authorId="0" ref="H26">
      <text>
        <t xml:space="preserve">弱2移行：9-30F -&gt; 7-30F (7.0.0)
押しっぱなし：15F目 -&gt; 13F目 (7.0.0)</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C57">
      <text>
        <t xml:space="preserve">11-18 -&gt; 9-16 (7.0.0)</t>
      </text>
    </comment>
    <comment authorId="0" ref="D57">
      <text>
        <t xml:space="preserve">73 -&gt; 71 (7.0.0)</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F85">
      <text>
        <t xml:space="preserve">タイマンにおけるダメージは、基礎ダメージの1.2倍となる。
なお、OP相殺がかかっていない場合はさらに1.05倍。</t>
      </text>
    </comment>
    <comment authorId="0" ref="E90">
      <text>
        <t xml:space="preserve">重量依存有りの場合、体重100の敵に対しての全体フレームを記載。</t>
      </text>
    </comment>
    <comment authorId="0" ref="F90">
      <text>
        <t xml:space="preserve">タイマンにおけるダメージは、基礎ダメージの1.2倍となる。
なお、OP相殺がかかっていない場合はさらに1.05倍。</t>
      </text>
    </comment>
    <comment authorId="0" ref="O90">
      <text>
        <t xml:space="preserve">ワザに設定されているシールド削り値。通常のダメージに加え、この値だけシールドのHPが減少する。</t>
      </text>
    </comment>
    <comment authorId="0" ref="P90">
      <text>
        <t xml:space="preserve">ワザに設定されているヒットストップ倍率。電撃属性のワザはこの値が設定されていなくとも1.5倍となる。</t>
      </text>
    </comment>
    <comment authorId="0" ref="Q90">
      <text>
        <t xml:space="preserve">ワザに設定されているヒットストップずらしによる移動距離倍率。</t>
      </text>
    </comment>
    <comment authorId="0" ref="G109">
      <text>
        <t xml:space="preserve">タイマンにおけるダメージは、基礎ダメージの1.2倍となる。
なお、OP相殺がかかっていない場合はさらに1.05倍。</t>
      </text>
    </comment>
  </commentList>
</comments>
</file>

<file path=xl/comments2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J45">
      <text>
        <t xml:space="preserve">7-54 -&gt; 7-44 (2.0.0)</t>
      </text>
    </comment>
    <comment authorId="0" ref="E53">
      <text>
        <t xml:space="preserve">ワザに設定されている基礎ダメージ量。実際の試合で与えるダメージ量は、タイマン補正・OP補正・小ジャンプ補正などにより変化するので注意。</t>
      </text>
    </comment>
    <comment authorId="0" ref="F53">
      <text>
        <t xml:space="preserve">タイマンにおけるダメージは、基礎ダメージの1.2倍となる。
なお、OP相殺がかかっていない場合はさらに1.05倍。</t>
      </text>
    </comment>
    <comment authorId="0" ref="O53">
      <text>
        <t xml:space="preserve">ワザに設定されているシールド削り値。通常のダメージに加え、この値だけシールドのHPが減少する。</t>
      </text>
    </comment>
    <comment authorId="0" ref="P53">
      <text>
        <t xml:space="preserve">ワザに設定されているヒットストップ倍率。電撃属性のワザはこの値が設定されていなくとも1.5倍となる。</t>
      </text>
    </comment>
    <comment authorId="0" ref="Q53">
      <text>
        <t xml:space="preserve">ワザに設定されているヒットストップずらしによる移動距離倍率。</t>
      </text>
    </comment>
    <comment authorId="0" ref="R53">
      <text>
        <t xml:space="preserve">ワザが相殺するかどうか。</t>
      </text>
    </comment>
    <comment authorId="0" ref="S53">
      <text>
        <t xml:space="preserve">ワザが相殺したときに、相殺モーションに移行するかどうか。</t>
      </text>
    </comment>
    <comment authorId="0" ref="U53">
      <text>
        <t xml:space="preserve">いわゆる「地ダ(地上ダッシュ)」「空ダ(空中ダッシュ)」のこと。</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D62">
      <text>
        <t xml:space="preserve">40 -&gt; 37 (1.1.0)</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F75">
      <text>
        <t xml:space="preserve">タイマンにおけるダメージは、基礎ダメージの1.2倍となる。
なお、OP相殺がかかっていない場合はさらに1.05倍。</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G99">
      <text>
        <t xml:space="preserve">タイマンにおけるダメージは、基礎ダメージの1.2倍となる。
なお、OP相殺がかかっていない場合はさらに1.05倍。</t>
      </text>
    </comment>
  </commentList>
</comments>
</file>

<file path=xl/comments2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F17">
      <text>
        <t xml:space="preserve">77 -&gt; 79 (3.0.0)</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6">
      <text>
        <t xml:space="preserve">6-7 -&gt; 5-6 (3.0.0)</t>
      </text>
    </comment>
    <comment authorId="0" ref="D26">
      <text>
        <t xml:space="preserve">22 -&gt; 21 (3.0.0)</t>
      </text>
    </comment>
    <comment authorId="0" ref="H30">
      <text>
        <t xml:space="preserve">補正倍率：1.875倍 -&gt; 1.3倍 (2.0.0)</t>
      </text>
    </comment>
    <comment authorId="0" ref="E32">
      <text>
        <t xml:space="preserve">10/9/8 -&gt; 11/10/9 (3.0.0)
11/10/9 -&gt; 12/11/10 (13.0.1)</t>
      </text>
    </comment>
    <comment authorId="0" ref="U32">
      <text>
        <t xml:space="preserve">反転ブレーキ時：なし</t>
      </text>
    </comment>
    <comment authorId="0" ref="E33">
      <text>
        <t xml:space="preserve">6/5/4.5/4.5 -&gt; 7/6/5.5/5.5 (3.0.0)</t>
      </text>
    </comment>
    <comment authorId="0" ref="E34">
      <text>
        <t xml:space="preserve">5/4/3 -&gt; 6/5/4 (3.0.0)</t>
      </text>
    </comment>
    <comment authorId="0" ref="C41">
      <text>
        <t xml:space="preserve">22-23 -&gt; 22-25 (4.0.0)</t>
      </text>
    </comment>
    <comment authorId="0" ref="D42">
      <text>
        <t xml:space="preserve">43 -&gt; 40 (4.0.0)</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E49">
      <text>
        <t xml:space="preserve">13/11/9 -&gt; 13/12/11 (8.0.0)</t>
      </text>
    </comment>
    <comment authorId="0" ref="E50">
      <text>
        <t xml:space="preserve">11/10/9 -&gt; 12/11/10 (3.0.0)</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C56">
      <text>
        <t xml:space="preserve">18-98 -&gt; 16-96 (8.0.0)</t>
      </text>
    </comment>
    <comment authorId="0" ref="D56">
      <text>
        <t xml:space="preserve">43 -&gt; 39 (8.0.0)</t>
      </text>
    </comment>
    <comment authorId="0" ref="E56">
      <text>
        <t xml:space="preserve">2.5 -&gt; 4 (8.0.0)</t>
      </text>
    </comment>
    <comment authorId="0" ref="D58">
      <text>
        <t xml:space="preserve">31 -&gt; 27 (8.0.0)</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C60">
      <text>
        <t xml:space="preserve">12-15 -&gt; 10-13 (4.0.0)</t>
      </text>
    </comment>
    <comment authorId="0" ref="D60">
      <text>
        <t xml:space="preserve">44 -&gt; 42 (4.0.0)</t>
      </text>
    </comment>
    <comment authorId="0" ref="H60">
      <text>
        <t xml:space="preserve">反射：12-35F -&gt; 10-33F (4.0.0)</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H64">
      <text>
        <t xml:space="preserve">着地隙：30F -&gt; 20F (8.0.0)</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D66">
      <text>
        <t xml:space="preserve">47 -&gt; 52 (1.1.0)</t>
      </text>
    </comment>
    <comment authorId="0" ref="F69">
      <text>
        <t xml:space="preserve">タイマンにおけるダメージは、基礎ダメージの1.2倍となる。
なお、OP相殺がかかっていない場合はさらに1.05倍。</t>
      </text>
    </comment>
    <comment authorId="0" ref="F74">
      <text>
        <t xml:space="preserve">タイマンにおけるダメージは、基礎ダメージの1.2倍となる。
なお、OP相殺がかかっていない場合はさらに1.05倍。</t>
      </text>
    </comment>
    <comment authorId="0" ref="O74">
      <text>
        <t xml:space="preserve">ワザに設定されているシールド削り値。通常のダメージに加え、この値だけシールドのHPが減少する。</t>
      </text>
    </comment>
    <comment authorId="0" ref="P74">
      <text>
        <t xml:space="preserve">ワザに設定されているヒットストップ倍率。電撃属性のワザはこの値が設定されていなくとも1.5倍となる。</t>
      </text>
    </comment>
    <comment authorId="0" ref="Q74">
      <text>
        <t xml:space="preserve">ワザに設定されているヒットストップずらしによる移動距離倍率。</t>
      </text>
    </comment>
    <comment authorId="0" ref="E75">
      <text>
        <t xml:space="preserve">2 -&gt; 2.4 (13.0.1)</t>
      </text>
    </comment>
    <comment authorId="0" ref="E78">
      <text>
        <t xml:space="preserve">10 -&gt; 11 (4.0.0)</t>
      </text>
    </comment>
    <comment authorId="0" ref="D81">
      <text>
        <t xml:space="preserve">45 -&gt; 41 (8.0.0)</t>
      </text>
    </comment>
    <comment authorId="0" ref="G93">
      <text>
        <t xml:space="preserve">タイマンにおけるダメージは、基礎ダメージの1.2倍となる。
なお、OP相殺がかかっていない場合はさらに1.05倍。</t>
      </text>
    </comment>
    <comment authorId="0" ref="C96">
      <text>
        <t xml:space="preserve">1-23 -&gt; 1-27 (3.0.0)</t>
      </text>
    </comment>
  </commentList>
</comments>
</file>

<file path=xl/comments2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28">
      <text>
        <t xml:space="preserve">反転ブレーキ時：なし</t>
      </text>
    </comment>
    <comment authorId="0" ref="E42">
      <text>
        <t xml:space="preserve">ワザに設定されている基礎ダメージ量。実際の試合で与えるダメージ量は、タイマン補正・OP補正・小ジャンプ補正などにより変化するので注意。</t>
      </text>
    </comment>
    <comment authorId="0" ref="F42">
      <text>
        <t xml:space="preserve">タイマンにおけるダメージは、基礎ダメージの1.2倍となる。
なお、OP相殺がかかっていない場合はさらに1.05倍。</t>
      </text>
    </comment>
    <comment authorId="0" ref="G42">
      <text>
        <t xml:space="preserve">小ジャンプで空中攻撃を出すと、与えるダメージ量が0.85倍になる。タイマン補正も含めると、1.2 * 0.85で1.02倍。</t>
      </text>
    </comment>
    <comment authorId="0" ref="J42">
      <text>
        <t xml:space="preserve">着地隙が発生するフレーム区間のこと。</t>
      </text>
    </comment>
    <comment authorId="0" ref="O42">
      <text>
        <t xml:space="preserve">ワザに設定されているシールド削り値。通常のダメージに加え、この値だけシールドのHPが減少する。</t>
      </text>
    </comment>
    <comment authorId="0" ref="P42">
      <text>
        <t xml:space="preserve">ワザに設定されているヒットストップ倍率。電撃属性のワザはこの値が設定されていなくとも1.5倍となる。</t>
      </text>
    </comment>
    <comment authorId="0" ref="Q42">
      <text>
        <t xml:space="preserve">ワザに設定されているヒットストップずらしによる移動距離倍率。</t>
      </text>
    </comment>
    <comment authorId="0" ref="J48">
      <text>
        <t xml:space="preserve">3-54 -&gt; 3-51 (2.0.0)</t>
      </text>
    </comment>
    <comment authorId="0" ref="E51">
      <text>
        <t xml:space="preserve">ワザに設定されている基礎ダメージ量。実際の試合で与えるダメージ量は、タイマン補正・OP補正・小ジャンプ補正などにより変化するので注意。</t>
      </text>
    </comment>
    <comment authorId="0" ref="F51">
      <text>
        <t xml:space="preserve">タイマンにおけるダメージは、基礎ダメージの1.2倍となる。
なお、OP相殺がかかっていない場合はさらに1.05倍。</t>
      </text>
    </comment>
    <comment authorId="0" ref="O51">
      <text>
        <t xml:space="preserve">ワザに設定されているシールド削り値。通常のダメージに加え、この値だけシールドのHPが減少する。</t>
      </text>
    </comment>
    <comment authorId="0" ref="P51">
      <text>
        <t xml:space="preserve">ワザに設定されているヒットストップ倍率。電撃属性のワザはこの値が設定されていなくとも1.5倍となる。</t>
      </text>
    </comment>
    <comment authorId="0" ref="Q51">
      <text>
        <t xml:space="preserve">ワザに設定されているヒットストップずらしによる移動距離倍率。</t>
      </text>
    </comment>
    <comment authorId="0" ref="R51">
      <text>
        <t xml:space="preserve">ワザが相殺するかどうか。</t>
      </text>
    </comment>
    <comment authorId="0" ref="S51">
      <text>
        <t xml:space="preserve">ワザが相殺したときに、相殺モーションに移行するかどうか。</t>
      </text>
    </comment>
    <comment authorId="0" ref="U51">
      <text>
        <t xml:space="preserve">いわゆる「地ダ(地上ダッシュ)」「空ダ(空中ダッシュ)」のこと。</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F78">
      <text>
        <t xml:space="preserve">タイマンにおけるダメージは、基礎ダメージの1.2倍となる。
なお、OP相殺がかかっていない場合はさらに1.05倍。</t>
      </text>
    </comment>
    <comment authorId="0" ref="F83">
      <text>
        <t xml:space="preserve">タイマンにおけるダメージは、基礎ダメージの1.2倍となる。
なお、OP相殺がかかっていない場合はさらに1.05倍。</t>
      </text>
    </comment>
    <comment authorId="0" ref="O83">
      <text>
        <t xml:space="preserve">ワザに設定されているシールド削り値。通常のダメージに加え、この値だけシールドのHPが減少する。</t>
      </text>
    </comment>
    <comment authorId="0" ref="P83">
      <text>
        <t xml:space="preserve">ワザに設定されているヒットストップ倍率。電撃属性のワザはこの値が設定されていなくとも1.5倍となる。</t>
      </text>
    </comment>
    <comment authorId="0" ref="Q83">
      <text>
        <t xml:space="preserve">ワザに設定されているヒットストップずらしによる移動距離倍率。</t>
      </text>
    </comment>
    <comment authorId="0" ref="G102">
      <text>
        <t xml:space="preserve">タイマンにおけるダメージは、基礎ダメージの1.2倍となる。
なお、OP相殺がかかっていない場合はさらに1.05倍。</t>
      </text>
    </comment>
  </commentList>
</comments>
</file>

<file path=xl/comments2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28">
      <text>
        <t xml:space="preserve">反転ブレーキ時：なし</t>
      </text>
    </comment>
    <comment authorId="0" ref="E42">
      <text>
        <t xml:space="preserve">ワザに設定されている基礎ダメージ量。実際の試合で与えるダメージ量は、タイマン補正・OP補正・小ジャンプ補正などにより変化するので注意。</t>
      </text>
    </comment>
    <comment authorId="0" ref="F42">
      <text>
        <t xml:space="preserve">タイマンにおけるダメージは、基礎ダメージの1.2倍となる。
なお、OP相殺がかかっていない場合はさらに1.05倍。</t>
      </text>
    </comment>
    <comment authorId="0" ref="G42">
      <text>
        <t xml:space="preserve">小ジャンプで空中攻撃を出すと、与えるダメージ量が0.85倍になる。タイマン補正も含めると、1.2 * 0.85で1.02倍。</t>
      </text>
    </comment>
    <comment authorId="0" ref="J42">
      <text>
        <t xml:space="preserve">着地隙が発生するフレーム区間のこと。</t>
      </text>
    </comment>
    <comment authorId="0" ref="O42">
      <text>
        <t xml:space="preserve">ワザに設定されているシールド削り値。通常のダメージに加え、この値だけシールドのHPが減少する。</t>
      </text>
    </comment>
    <comment authorId="0" ref="P42">
      <text>
        <t xml:space="preserve">ワザに設定されているヒットストップ倍率。電撃属性のワザはこの値が設定されていなくとも1.5倍となる。</t>
      </text>
    </comment>
    <comment authorId="0" ref="Q42">
      <text>
        <t xml:space="preserve">ワザに設定されているヒットストップずらしによる移動距離倍率。</t>
      </text>
    </comment>
    <comment authorId="0" ref="J48">
      <text>
        <t xml:space="preserve">3-54 -&gt; 3-51 (2.0.0)</t>
      </text>
    </comment>
    <comment authorId="0" ref="E51">
      <text>
        <t xml:space="preserve">ワザに設定されている基礎ダメージ量。実際の試合で与えるダメージ量は、タイマン補正・OP補正・小ジャンプ補正などにより変化するので注意。</t>
      </text>
    </comment>
    <comment authorId="0" ref="F51">
      <text>
        <t xml:space="preserve">タイマンにおけるダメージは、基礎ダメージの1.2倍となる。
なお、OP相殺がかかっていない場合はさらに1.05倍。</t>
      </text>
    </comment>
    <comment authorId="0" ref="O51">
      <text>
        <t xml:space="preserve">ワザに設定されているシールド削り値。通常のダメージに加え、この値だけシールドのHPが減少する。</t>
      </text>
    </comment>
    <comment authorId="0" ref="P51">
      <text>
        <t xml:space="preserve">ワザに設定されているヒットストップ倍率。電撃属性のワザはこの値が設定されていなくとも1.5倍となる。</t>
      </text>
    </comment>
    <comment authorId="0" ref="Q51">
      <text>
        <t xml:space="preserve">ワザに設定されているヒットストップずらしによる移動距離倍率。</t>
      </text>
    </comment>
    <comment authorId="0" ref="R51">
      <text>
        <t xml:space="preserve">ワザが相殺するかどうか。</t>
      </text>
    </comment>
    <comment authorId="0" ref="S51">
      <text>
        <t xml:space="preserve">ワザが相殺したときに、相殺モーションに移行するかどうか。</t>
      </text>
    </comment>
    <comment authorId="0" ref="U51">
      <text>
        <t xml:space="preserve">いわゆる「地ダ(地上ダッシュ)」「空ダ(空中ダッシュ)」のこと。</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F76">
      <text>
        <t xml:space="preserve">タイマンにおけるダメージは、基礎ダメージの1.2倍となる。
なお、OP相殺がかかっていない場合はさらに1.05倍。</t>
      </text>
    </comment>
    <comment authorId="0" ref="F81">
      <text>
        <t xml:space="preserve">タイマンにおけるダメージは、基礎ダメージの1.2倍となる。
なお、OP相殺がかかっていない場合はさらに1.05倍。</t>
      </text>
    </comment>
    <comment authorId="0" ref="O81">
      <text>
        <t xml:space="preserve">ワザに設定されているシールド削り値。通常のダメージに加え、この値だけシールドのHPが減少する。</t>
      </text>
    </comment>
    <comment authorId="0" ref="P81">
      <text>
        <t xml:space="preserve">ワザに設定されているヒットストップ倍率。電撃属性のワザはこの値が設定されていなくとも1.5倍となる。</t>
      </text>
    </comment>
    <comment authorId="0" ref="Q81">
      <text>
        <t xml:space="preserve">ワザに設定されているヒットストップずらしによる移動距離倍率。</t>
      </text>
    </comment>
    <comment authorId="0" ref="G100">
      <text>
        <t xml:space="preserve">タイマンにおけるダメージは、基礎ダメージの1.2倍となる。
なお、OP相殺がかかっていない場合はさらに1.05倍。</t>
      </text>
    </comment>
  </commentList>
</comments>
</file>

<file path=xl/comments3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G41">
      <text>
        <t xml:space="preserve">小ジャンプで空中攻撃を出すと、与えるダメージ量が0.85倍になる。タイマン補正も含めると、1.2 * 0.85で1.02倍。</t>
      </text>
    </comment>
    <comment authorId="0" ref="J41">
      <text>
        <t xml:space="preserve">着地隙が発生するフレーム区間のこと。</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J55">
      <text>
        <t xml:space="preserve">6-52 -&gt; 6-49 (2.0.0)</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F86">
      <text>
        <t xml:space="preserve">タイマンにおけるダメージは、基礎ダメージの1.2倍となる。
なお、OP相殺がかかっていない場合はさらに1.05倍。</t>
      </text>
    </comment>
    <comment authorId="0" ref="F91">
      <text>
        <t xml:space="preserve">タイマンにおけるダメージは、基礎ダメージの1.2倍となる。
なお、OP相殺がかかっていない場合はさらに1.05倍。</t>
      </text>
    </comment>
    <comment authorId="0" ref="O91">
      <text>
        <t xml:space="preserve">ワザに設定されているシールド削り値。通常のダメージに加え、この値だけシールドのHPが減少する。</t>
      </text>
    </comment>
    <comment authorId="0" ref="P91">
      <text>
        <t xml:space="preserve">ワザに設定されているヒットストップ倍率。電撃属性のワザはこの値が設定されていなくとも1.5倍となる。</t>
      </text>
    </comment>
    <comment authorId="0" ref="Q91">
      <text>
        <t xml:space="preserve">ワザに設定されているヒットストップずらしによる移動距離倍率。</t>
      </text>
    </comment>
    <comment authorId="0" ref="G110">
      <text>
        <t xml:space="preserve">タイマンにおけるダメージは、基礎ダメージの1.2倍となる。
なお、OP相殺がかかっていない場合はさらに1.05倍。</t>
      </text>
    </comment>
  </commentList>
</comments>
</file>

<file path=xl/comments3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29">
      <text>
        <t xml:space="preserve">31 -&gt; 32 (1.1.0)</t>
      </text>
    </comment>
    <comment authorId="0" ref="U30">
      <text>
        <t xml:space="preserve">反転ブレーキ時：なし</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D48">
      <text>
        <t xml:space="preserve">45 -&gt; 39 (8.0.0)</t>
      </text>
    </comment>
    <comment authorId="0" ref="E48">
      <text>
        <t xml:space="preserve">1.5 -&gt; 2 (13.0.1)</t>
      </text>
    </comment>
    <comment authorId="0" ref="J48">
      <text>
        <t xml:space="preserve">2-43 -&gt; 2-38 (8.0.0)</t>
      </text>
    </comment>
    <comment authorId="0" ref="E49">
      <text>
        <t xml:space="preserve">1.5 -&gt; 2 (13.0.1)</t>
      </text>
    </comment>
    <comment authorId="0" ref="E51">
      <text>
        <t xml:space="preserve">1.5 -&gt; 2 (13.0.1)</t>
      </text>
    </comment>
    <comment authorId="0" ref="E52">
      <text>
        <t xml:space="preserve">1.5 -&gt; 2 (13.0.1)</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C59">
      <text>
        <t xml:space="preserve">12-21 -&gt; 12-25 (8.0.0)</t>
      </text>
    </comment>
    <comment authorId="0" ref="C60">
      <text>
        <t xml:space="preserve">22-46 -&gt; 26-46 (8.0.0)</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F82">
      <text>
        <t xml:space="preserve">タイマンにおけるダメージは、基礎ダメージの1.2倍となる。
なお、OP相殺がかかっていない場合はさらに1.05倍。</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G107">
      <text>
        <t xml:space="preserve">タイマンにおけるダメージは、基礎ダメージの1.2倍となる。
なお、OP相殺がかかっていない場合はさらに1.05倍。</t>
      </text>
    </comment>
  </commentList>
</comments>
</file>

<file path=xl/comments3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6">
      <text>
        <t xml:space="preserve">5-6 -&gt; 4-5 (4.0.0)</t>
      </text>
    </comment>
    <comment authorId="0" ref="D26">
      <text>
        <t xml:space="preserve">26 -&gt; 25 (4.0.0)</t>
      </text>
    </comment>
    <comment authorId="0" ref="H26">
      <text>
        <t xml:space="preserve">弱2移行：8-27F -&gt; 7-27F (4.0.0)
ホールド：17F目 -&gt; 16F目 (4.0.0)</t>
      </text>
    </comment>
    <comment authorId="0" ref="U33">
      <text>
        <t xml:space="preserve">反転ブレーキ時：なし</t>
      </text>
    </comment>
    <comment authorId="0" ref="D34">
      <text>
        <t xml:space="preserve">34 -&gt; 32 (4.0.0)</t>
      </text>
    </comment>
    <comment authorId="0" ref="E47">
      <text>
        <t xml:space="preserve">ワザに設定されている基礎ダメージ量。実際の試合で与えるダメージ量は、タイマン補正・OP補正・小ジャンプ補正などにより変化するので注意。</t>
      </text>
    </comment>
    <comment authorId="0" ref="F47">
      <text>
        <t xml:space="preserve">タイマンにおけるダメージは、基礎ダメージの1.2倍となる。
なお、OP相殺がかかっていない場合はさらに1.05倍。</t>
      </text>
    </comment>
    <comment authorId="0" ref="G47">
      <text>
        <t xml:space="preserve">小ジャンプで空中攻撃を出すと、与えるダメージ量が0.85倍になる。タイマン補正も含めると、1.2 * 0.85で1.02倍。</t>
      </text>
    </comment>
    <comment authorId="0" ref="J47">
      <text>
        <t xml:space="preserve">着地隙が発生するフレーム区間のこと。</t>
      </text>
    </comment>
    <comment authorId="0" ref="O47">
      <text>
        <t xml:space="preserve">ワザに設定されているシールド削り値。通常のダメージに加え、この値だけシールドのHPが減少する。</t>
      </text>
    </comment>
    <comment authorId="0" ref="P47">
      <text>
        <t xml:space="preserve">ワザに設定されているヒットストップ倍率。電撃属性のワザはこの値が設定されていなくとも1.5倍となる。</t>
      </text>
    </comment>
    <comment authorId="0" ref="Q47">
      <text>
        <t xml:space="preserve">ワザに設定されているヒットストップずらしによる移動距離倍率。</t>
      </text>
    </comment>
    <comment authorId="0" ref="I53">
      <text>
        <t xml:space="preserve">11 -&gt;. 8 (4.0.0)</t>
      </text>
    </comment>
    <comment authorId="0" ref="C55">
      <text>
        <t xml:space="preserve">12-13 -&gt; 10-11 (8.0.0)
15-16 -&gt; 13-14 (8.0.0)
18-19 -&gt; 16-17 (8.0.0)
21-22 -&gt; 19-20 (8.0.0)</t>
      </text>
    </comment>
    <comment authorId="0" ref="D55">
      <text>
        <t xml:space="preserve">49 -&gt; 40 (8.0.0)</t>
      </text>
    </comment>
    <comment authorId="0" ref="J55">
      <text>
        <t xml:space="preserve">5-36 -&gt; 5-34 (8.0.0)</t>
      </text>
    </comment>
    <comment authorId="0" ref="C56">
      <text>
        <t xml:space="preserve">24-25 -&gt; 22-23 (8.0.0)</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C74">
      <text>
        <t xml:space="preserve">7-26 -&gt; 7-21 (8.0.0)</t>
      </text>
    </comment>
    <comment authorId="0" ref="D74">
      <text>
        <t xml:space="preserve">49 -&gt; 39 (8.0.0)</t>
      </text>
    </comment>
    <comment authorId="0" ref="H74">
      <text>
        <t xml:space="preserve">最小保持：20F -&gt; 15F (8.0.0)</t>
      </text>
    </comment>
    <comment authorId="0" ref="D75">
      <text>
        <t xml:space="preserve">23 -&gt; 18 (8.0.0)</t>
      </text>
    </comment>
    <comment authorId="0" ref="F79">
      <text>
        <t xml:space="preserve">タイマンにおけるダメージは、基礎ダメージの1.2倍となる。
なお、OP相殺がかかっていない場合はさらに1.05倍。</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G103">
      <text>
        <t xml:space="preserve">タイマンにおけるダメージは、基礎ダメージの1.2倍となる。
なお、OP相殺がかかっていない場合はさらに1.05倍。</t>
      </text>
    </comment>
    <comment authorId="0" ref="D129">
      <text>
        <t xml:space="preserve">46 -&gt; 49 (8.0.0)</t>
      </text>
    </comment>
  </commentList>
</comments>
</file>

<file path=xl/comments3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6">
      <text>
        <t xml:space="preserve">5-6 -&gt; 4-5 (4.0.0)</t>
      </text>
    </comment>
    <comment authorId="0" ref="D26">
      <text>
        <t xml:space="preserve">26 -&gt; 25 (4.0.0)</t>
      </text>
    </comment>
    <comment authorId="0" ref="H26">
      <text>
        <t xml:space="preserve">弱2移行：8-27F -&gt; 7-27F (4.0.0)
ホールド：17F目 -&gt; 16F目 (4.0.0)</t>
      </text>
    </comment>
    <comment authorId="0" ref="U33">
      <text>
        <t xml:space="preserve">反転ブレーキ時：なし</t>
      </text>
    </comment>
    <comment authorId="0" ref="D34">
      <text>
        <t xml:space="preserve">34 -&gt; 32 (4.0.0)</t>
      </text>
    </comment>
    <comment authorId="0" ref="E47">
      <text>
        <t xml:space="preserve">ワザに設定されている基礎ダメージ量。実際の試合で与えるダメージ量は、タイマン補正・OP補正・小ジャンプ補正などにより変化するので注意。</t>
      </text>
    </comment>
    <comment authorId="0" ref="F47">
      <text>
        <t xml:space="preserve">タイマンにおけるダメージは、基礎ダメージの1.2倍となる。
なお、OP相殺がかかっていない場合はさらに1.05倍。</t>
      </text>
    </comment>
    <comment authorId="0" ref="G47">
      <text>
        <t xml:space="preserve">小ジャンプで空中攻撃を出すと、与えるダメージ量が0.85倍になる。タイマン補正も含めると、1.2 * 0.85で1.02倍。</t>
      </text>
    </comment>
    <comment authorId="0" ref="J47">
      <text>
        <t xml:space="preserve">着地隙が発生するフレーム区間のこと。</t>
      </text>
    </comment>
    <comment authorId="0" ref="O47">
      <text>
        <t xml:space="preserve">ワザに設定されているシールド削り値。通常のダメージに加え、この値だけシールドのHPが減少する。</t>
      </text>
    </comment>
    <comment authorId="0" ref="P47">
      <text>
        <t xml:space="preserve">ワザに設定されているヒットストップ倍率。電撃属性のワザはこの値が設定されていなくとも1.5倍となる。</t>
      </text>
    </comment>
    <comment authorId="0" ref="Q47">
      <text>
        <t xml:space="preserve">ワザに設定されているヒットストップずらしによる移動距離倍率。</t>
      </text>
    </comment>
    <comment authorId="0" ref="I53">
      <text>
        <t xml:space="preserve">11 -&gt; 8 (4.0.0)</t>
      </text>
    </comment>
    <comment authorId="0" ref="C55">
      <text>
        <t xml:space="preserve">12-13 -&gt; 10-11 (8.0.0)
15-16 -&gt; 13-14 (8.0.0)
18-19 -&gt; 16-17 (8.0.0)
21-22 -&gt; 19-20 (8.0.0)</t>
      </text>
    </comment>
    <comment authorId="0" ref="D55">
      <text>
        <t xml:space="preserve">49 -&gt; 40 (8.0.0)</t>
      </text>
    </comment>
    <comment authorId="0" ref="J55">
      <text>
        <t xml:space="preserve">5-36 -&gt; 5-34 (8.0.0)</t>
      </text>
    </comment>
    <comment authorId="0" ref="C56">
      <text>
        <t xml:space="preserve">24-25 -&gt; 22-23 (8.0.0)</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D70">
      <text>
        <t xml:space="preserve">57 -&gt; 51 (3.1.0)</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C74">
      <text>
        <t xml:space="preserve">7-26 -&gt; 7-21 (8.0.0)</t>
      </text>
    </comment>
    <comment authorId="0" ref="D74">
      <text>
        <t xml:space="preserve">49 -&gt; 39 (8.0.0)</t>
      </text>
    </comment>
    <comment authorId="0" ref="H74">
      <text>
        <t xml:space="preserve">最小保持：20F -&gt; 15F (8.0.0)</t>
      </text>
    </comment>
    <comment authorId="0" ref="D75">
      <text>
        <t xml:space="preserve">23 -&gt; 18 (8.0.0)</t>
      </text>
    </comment>
    <comment authorId="0" ref="F79">
      <text>
        <t xml:space="preserve">タイマンにおけるダメージは、基礎ダメージの1.2倍となる。
なお、OP相殺がかかっていない場合はさらに1.05倍。</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D89">
      <text>
        <t xml:space="preserve">32 -&gt; 37 (1.1.0)</t>
      </text>
    </comment>
    <comment authorId="0" ref="G103">
      <text>
        <t xml:space="preserve">タイマンにおけるダメージは、基礎ダメージの1.2倍となる。
なお、OP相殺がかかっていない場合はさらに1.05倍。</t>
      </text>
    </comment>
    <comment authorId="0" ref="D129">
      <text>
        <t xml:space="preserve">46 -&gt; 49 (8.0.0)</t>
      </text>
    </comment>
  </commentList>
</comments>
</file>

<file path=xl/comments3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1">
      <text>
        <t xml:space="preserve">反転ブレーキ時：なし</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着地隙が発生するフレーム区間のこと。</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I47">
      <text>
        <t xml:space="preserve">6 -&gt; 8 (11.0.0)</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77">
      <text>
        <t xml:space="preserve">ワザに設定されている基礎ダメージ量。実際の試合で与えるダメージ量は、タイマン補正・OP補正・小ジャンプ補正などにより変化するので注意。</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R77">
      <text>
        <t xml:space="preserve">ワザが相殺するかどうか。</t>
      </text>
    </comment>
    <comment authorId="0" ref="S77">
      <text>
        <t xml:space="preserve">ワザが相殺したときに、相殺モーションに移行するかどうか。</t>
      </text>
    </comment>
    <comment authorId="0" ref="U77">
      <text>
        <t xml:space="preserve">いわゆる「地ダ(地上ダッシュ)」「空ダ(空中ダッシュ)」のこと。</t>
      </text>
    </comment>
    <comment authorId="0" ref="C78">
      <text>
        <t xml:space="preserve">4 -&gt; 6 (11.0.0)</t>
      </text>
    </comment>
    <comment authorId="0" ref="C79">
      <text>
        <t xml:space="preserve">10-14 -&gt; 12-16 (11.0.0)</t>
      </text>
    </comment>
    <comment authorId="0" ref="E83">
      <text>
        <t xml:space="preserve">ワザに設定されている基礎ダメージ量。実際の試合で与えるダメージ量は、タイマン補正・OP補正・小ジャンプ補正などにより変化するので注意。</t>
      </text>
    </comment>
    <comment authorId="0" ref="F83">
      <text>
        <t xml:space="preserve">タイマンにおけるダメージは、基礎ダメージの1.2倍となる。
なお、OP相殺がかかっていない場合はさらに1.05倍。</t>
      </text>
    </comment>
    <comment authorId="0" ref="O83">
      <text>
        <t xml:space="preserve">ワザに設定されているシールド削り値。通常のダメージに加え、この値だけシールドのHPが減少する。</t>
      </text>
    </comment>
    <comment authorId="0" ref="P83">
      <text>
        <t xml:space="preserve">ワザに設定されているヒットストップ倍率。電撃属性のワザはこの値が設定されていなくとも1.5倍となる。</t>
      </text>
    </comment>
    <comment authorId="0" ref="Q83">
      <text>
        <t xml:space="preserve">ワザに設定されているヒットストップずらしによる移動距離倍率。</t>
      </text>
    </comment>
    <comment authorId="0" ref="R83">
      <text>
        <t xml:space="preserve">ワザが相殺するかどうか。</t>
      </text>
    </comment>
    <comment authorId="0" ref="S83">
      <text>
        <t xml:space="preserve">ワザが相殺したときに、相殺モーションに移行するかどうか。</t>
      </text>
    </comment>
    <comment authorId="0" ref="U83">
      <text>
        <t xml:space="preserve">いわゆる「地ダ(地上ダッシュ)」「空ダ(空中ダッシュ)」のこと。</t>
      </text>
    </comment>
    <comment authorId="0" ref="F90">
      <text>
        <t xml:space="preserve">タイマンにおけるダメージは、基礎ダメージの1.2倍となる。
なお、OP相殺がかかっていない場合はさらに1.05倍。</t>
      </text>
    </comment>
    <comment authorId="0" ref="F95">
      <text>
        <t xml:space="preserve">タイマンにおけるダメージは、基礎ダメージの1.2倍となる。
なお、OP相殺がかかっていない場合はさらに1.05倍。</t>
      </text>
    </comment>
    <comment authorId="0" ref="O95">
      <text>
        <t xml:space="preserve">ワザに設定されているシールド削り値。通常のダメージに加え、この値だけシールドのHPが減少する。</t>
      </text>
    </comment>
    <comment authorId="0" ref="P95">
      <text>
        <t xml:space="preserve">ワザに設定されているヒットストップ倍率。電撃属性のワザはこの値が設定されていなくとも1.5倍となる。</t>
      </text>
    </comment>
    <comment authorId="0" ref="Q95">
      <text>
        <t xml:space="preserve">ワザに設定されているヒットストップずらしによる移動距離倍率。</t>
      </text>
    </comment>
    <comment authorId="0" ref="G114">
      <text>
        <t xml:space="preserve">タイマンにおけるダメージは、基礎ダメージの1.2倍となる。
なお、OP相殺がかかっていない場合はさらに1.05倍。</t>
      </text>
    </comment>
  </commentList>
</comments>
</file>

<file path=xl/comments3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26">
      <text>
        <t xml:space="preserve">29 -&gt; 27 (13.0.1)</t>
      </text>
    </comment>
    <comment authorId="0" ref="E26">
      <text>
        <t xml:space="preserve">4 -&gt; 5 (13.0.1)</t>
      </text>
    </comment>
    <comment authorId="0" ref="D27">
      <text>
        <t xml:space="preserve">33 -&gt; 29 (13.0.1)</t>
      </text>
    </comment>
    <comment authorId="0" ref="E27">
      <text>
        <t xml:space="preserve">5 -&gt; 7 (13.0.1)</t>
      </text>
    </comment>
    <comment authorId="0" ref="U30">
      <text>
        <t xml:space="preserve">反転ブレーキ時：なし</t>
      </text>
    </comment>
    <comment authorId="0" ref="C32">
      <text>
        <t xml:space="preserve">11-19 -&gt; 11-15 (11.0.0)</t>
      </text>
    </comment>
    <comment authorId="0" ref="E42">
      <text>
        <t xml:space="preserve">ワザに設定されている基礎ダメージ量。実際の試合で与えるダメージ量は、タイマン補正・OP補正・小ジャンプ補正などにより変化するので注意。</t>
      </text>
    </comment>
    <comment authorId="0" ref="F42">
      <text>
        <t xml:space="preserve">タイマンにおけるダメージは、基礎ダメージの1.2倍となる。
なお、OP相殺がかかっていない場合はさらに1.05倍。</t>
      </text>
    </comment>
    <comment authorId="0" ref="G42">
      <text>
        <t xml:space="preserve">小ジャンプで空中攻撃を出すと、与えるダメージ量が0.85倍になる。タイマン補正も含めると、1.2 * 0.85で1.02倍。</t>
      </text>
    </comment>
    <comment authorId="0" ref="J42">
      <text>
        <t xml:space="preserve">着地隙が発生するフレーム区間のこと。</t>
      </text>
    </comment>
    <comment authorId="0" ref="O42">
      <text>
        <t xml:space="preserve">ワザに設定されているシールド削り値。通常のダメージに加え、この値だけシールドのHPが減少する。</t>
      </text>
    </comment>
    <comment authorId="0" ref="P42">
      <text>
        <t xml:space="preserve">ワザに設定されているヒットストップ倍率。電撃属性のワザはこの値が設定されていなくとも1.5倍となる。</t>
      </text>
    </comment>
    <comment authorId="0" ref="Q42">
      <text>
        <t xml:space="preserve">ワザに設定されているヒットストップずらしによる移動距離倍率。</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D66">
      <text>
        <t xml:space="preserve">50 -&gt; 36 (8.0.0)</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E84">
      <text>
        <t xml:space="preserve">ワザに設定されている基礎ダメージ量。実際の試合で与えるダメージ量は、タイマン補正・OP補正・小ジャンプ補正などにより変化するので注意。</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R84">
      <text>
        <t xml:space="preserve">ワザが相殺するかどうか。</t>
      </text>
    </comment>
    <comment authorId="0" ref="S84">
      <text>
        <t xml:space="preserve">ワザが相殺したときに、相殺モーションに移行するかどうか。</t>
      </text>
    </comment>
    <comment authorId="0" ref="U84">
      <text>
        <t xml:space="preserve">いわゆる「地ダ(地上ダッシュ)」「空ダ(空中ダッシュ)」のこと。</t>
      </text>
    </comment>
    <comment authorId="0" ref="E86">
      <text>
        <t xml:space="preserve">1/1.2/1.3/1.4/1.5
-&gt; 1.2/1.3/1.4/1.5 (9.0.0)</t>
      </text>
    </comment>
    <comment authorId="0" ref="E88">
      <text>
        <t xml:space="preserve">ワザに設定されている基礎ダメージ量。実際の試合で与えるダメージ量は、タイマン補正・OP補正・小ジャンプ補正などにより変化するので注意。</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R88">
      <text>
        <t xml:space="preserve">ワザが相殺するかどうか。</t>
      </text>
    </comment>
    <comment authorId="0" ref="S88">
      <text>
        <t xml:space="preserve">ワザが相殺したときに、相殺モーションに移行するかどうか。</t>
      </text>
    </comment>
    <comment authorId="0" ref="U88">
      <text>
        <t xml:space="preserve">いわゆる「地ダ(地上ダッシュ)」「空ダ(空中ダッシュ)」のこと。</t>
      </text>
    </comment>
    <comment authorId="0" ref="H89">
      <text>
        <t xml:space="preserve">アーマー：5-10F &gt; 4-13F (11.0.0)</t>
      </text>
    </comment>
    <comment authorId="0" ref="C91">
      <text>
        <t xml:space="preserve">5-8 -&gt; 8-11 (11.0.0)</t>
      </text>
    </comment>
    <comment authorId="0" ref="D91">
      <text>
        <t xml:space="preserve">49 -&gt; 54 (11.0.0)</t>
      </text>
    </comment>
    <comment authorId="0" ref="C92">
      <text>
        <t xml:space="preserve">9-10 -&gt; 12-13 (11.0.0)</t>
      </text>
    </comment>
    <comment authorId="0" ref="D92">
      <text>
        <t xml:space="preserve">59 -&gt; 62 (11.0.0)</t>
      </text>
    </comment>
    <comment authorId="0" ref="C93">
      <text>
        <t xml:space="preserve">11-26 -&gt; 14-29 (11.0.0)</t>
      </text>
    </comment>
    <comment authorId="0" ref="F96">
      <text>
        <t xml:space="preserve">タイマンにおけるダメージは、基礎ダメージの1.2倍となる。
なお、OP相殺がかかっていない場合はさらに1.05倍。</t>
      </text>
    </comment>
    <comment authorId="0" ref="F101">
      <text>
        <t xml:space="preserve">タイマンにおけるダメージは、基礎ダメージの1.2倍となる。
なお、OP相殺がかかっていない場合はさらに1.05倍。</t>
      </text>
    </comment>
    <comment authorId="0" ref="O101">
      <text>
        <t xml:space="preserve">ワザに設定されているシールド削り値。通常のダメージに加え、この値だけシールドのHPが減少する。</t>
      </text>
    </comment>
    <comment authorId="0" ref="P101">
      <text>
        <t xml:space="preserve">ワザに設定されているヒットストップ倍率。電撃属性のワザはこの値が設定されていなくとも1.5倍となる。</t>
      </text>
    </comment>
    <comment authorId="0" ref="Q101">
      <text>
        <t xml:space="preserve">ワザに設定されているヒットストップずらしによる移動距離倍率。</t>
      </text>
    </comment>
    <comment authorId="0" ref="G120">
      <text>
        <t xml:space="preserve">タイマンにおけるダメージは、基礎ダメージの1.2倍となる。
なお、OP相殺がかかっていない場合はさらに1.05倍。</t>
      </text>
    </comment>
  </commentList>
</comments>
</file>

<file path=xl/comments3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1">
      <text>
        <t xml:space="preserve">反転ブレーキ時：なし</t>
      </text>
    </comment>
    <comment authorId="0" ref="C33">
      <text>
        <t xml:space="preserve">6-7 -&gt; 6-8 (2.0.0)</t>
      </text>
    </comment>
    <comment authorId="0" ref="C34">
      <text>
        <t xml:space="preserve">8-13 -&gt; 9-13 (2.0.0)</t>
      </text>
    </comment>
    <comment authorId="0" ref="D37">
      <text>
        <t xml:space="preserve">50 -&gt; 54 (3.0.0)</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U41">
      <text>
        <t xml:space="preserve">地上慣性が消えるフレーム。「-」はなし。</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着地隙が発生するフレーム区間のこと。</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E77">
      <text>
        <t xml:space="preserve">ワザに設定されている基礎ダメージ量。実際の試合で与えるダメージ量は、タイマン補正・OP補正・小ジャンプ補正などにより変化するので注意。</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R77">
      <text>
        <t xml:space="preserve">ワザが相殺するかどうか。</t>
      </text>
    </comment>
    <comment authorId="0" ref="S77">
      <text>
        <t xml:space="preserve">ワザが相殺したときに、相殺モーションに移行するかどうか。</t>
      </text>
    </comment>
    <comment authorId="0" ref="U77">
      <text>
        <t xml:space="preserve">いわゆる「地ダ(地上ダッシュ)」「空ダ(空中ダッシュ)」のこと。</t>
      </text>
    </comment>
    <comment authorId="0" ref="C89">
      <text>
        <t xml:space="preserve">25-27 -&gt; 25-26 (6.0.0)</t>
      </text>
    </comment>
    <comment authorId="0" ref="C90">
      <text>
        <t xml:space="preserve">25-27 -&gt; 25-26 (6.0.0)</t>
      </text>
    </comment>
    <comment authorId="0" ref="F93">
      <text>
        <t xml:space="preserve">タイマンにおけるダメージは、基礎ダメージの1.2倍となる。
なお、OP相殺がかかっていない場合はさらに1.05倍。</t>
      </text>
    </comment>
    <comment authorId="0" ref="F98">
      <text>
        <t xml:space="preserve">タイマンにおけるダメージは、基礎ダメージの1.2倍となる。
なお、OP相殺がかかっていない場合はさらに1.05倍。</t>
      </text>
    </comment>
    <comment authorId="0" ref="O98">
      <text>
        <t xml:space="preserve">ワザに設定されているシールド削り値。通常のダメージに加え、この値だけシールドのHPが減少する。</t>
      </text>
    </comment>
    <comment authorId="0" ref="P98">
      <text>
        <t xml:space="preserve">ワザに設定されているヒットストップ倍率。電撃属性のワザはこの値が設定されていなくとも1.5倍となる。</t>
      </text>
    </comment>
    <comment authorId="0" ref="Q98">
      <text>
        <t xml:space="preserve">ワザに設定されているヒットストップずらしによる移動距離倍率。</t>
      </text>
    </comment>
    <comment authorId="0" ref="G117">
      <text>
        <t xml:space="preserve">タイマンにおけるダメージは、基礎ダメージの1.2倍となる。
なお、OP相殺がかかっていない場合はさらに1.05倍。</t>
      </text>
    </comment>
  </commentList>
</comments>
</file>

<file path=xl/comments3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28">
      <text>
        <t xml:space="preserve">5 -&gt; 7 (13.0.1)</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D47">
      <text>
        <t xml:space="preserve">59 -&gt; 51 (8.0.0)</t>
      </text>
    </comment>
    <comment authorId="0" ref="E47">
      <text>
        <t xml:space="preserve">11.5 -&gt; 13 (8.0.0)</t>
      </text>
    </comment>
    <comment authorId="0" ref="E53">
      <text>
        <t xml:space="preserve">ワザに設定されている基礎ダメージ量。実際の試合で与えるダメージ量は、タイマン補正・OP補正・小ジャンプ補正などにより変化するので注意。</t>
      </text>
    </comment>
    <comment authorId="0" ref="F53">
      <text>
        <t xml:space="preserve">タイマンにおけるダメージは、基礎ダメージの1.2倍となる。
なお、OP相殺がかかっていない場合はさらに1.05倍。</t>
      </text>
    </comment>
    <comment authorId="0" ref="O53">
      <text>
        <t xml:space="preserve">ワザに設定されているシールド削り値。通常のダメージに加え、この値だけシールドのHPが減少する。</t>
      </text>
    </comment>
    <comment authorId="0" ref="P53">
      <text>
        <t xml:space="preserve">ワザに設定されているヒットストップ倍率。電撃属性のワザはこの値が設定されていなくとも1.5倍となる。</t>
      </text>
    </comment>
    <comment authorId="0" ref="Q53">
      <text>
        <t xml:space="preserve">ワザに設定されているヒットストップずらしによる移動距離倍率。</t>
      </text>
    </comment>
    <comment authorId="0" ref="R53">
      <text>
        <t xml:space="preserve">ワザが相殺するかどうか。</t>
      </text>
    </comment>
    <comment authorId="0" ref="S53">
      <text>
        <t xml:space="preserve">ワザが相殺したときに、相殺モーションに移行するかどうか。</t>
      </text>
    </comment>
    <comment authorId="0" ref="U53">
      <text>
        <t xml:space="preserve">いわゆる「地ダ(地上ダッシュ)」「空ダ(空中ダッシュ)」のこと。</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2">
      <text>
        <t xml:space="preserve">6 ~ 13 -&gt; 9 ~ 16 (13.0.1)</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F78">
      <text>
        <t xml:space="preserve">タイマンにおけるダメージは、基礎ダメージの1.2倍となる。
なお、OP相殺がかかっていない場合はさらに1.05倍。</t>
      </text>
    </comment>
    <comment authorId="0" ref="F83">
      <text>
        <t xml:space="preserve">タイマンにおけるダメージは、基礎ダメージの1.2倍となる。
なお、OP相殺がかかっていない場合はさらに1.05倍。</t>
      </text>
    </comment>
    <comment authorId="0" ref="O83">
      <text>
        <t xml:space="preserve">ワザに設定されているシールド削り値。通常のダメージに加え、この値だけシールドのHPが減少する。</t>
      </text>
    </comment>
    <comment authorId="0" ref="P83">
      <text>
        <t xml:space="preserve">ワザに設定されているヒットストップ倍率。電撃属性のワザはこの値が設定されていなくとも1.5倍となる。</t>
      </text>
    </comment>
    <comment authorId="0" ref="Q83">
      <text>
        <t xml:space="preserve">ワザに設定されているヒットストップずらしによる移動距離倍率。</t>
      </text>
    </comment>
    <comment authorId="0" ref="G102">
      <text>
        <t xml:space="preserve">タイマンにおけるダメージは、基礎ダメージの1.2倍となる。
なお、OP相殺がかかっていない場合はさらに1.05倍。</t>
      </text>
    </comment>
  </commentList>
</comments>
</file>

<file path=xl/comments3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1">
      <text>
        <t xml:space="preserve">反転ブレーキ時：なし</t>
      </text>
    </comment>
    <comment authorId="0" ref="E33">
      <text>
        <t xml:space="preserve">8 -&gt; 9 (1.1.0)</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着地隙が発生するフレーム区間のこと。</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F72">
      <text>
        <t xml:space="preserve">タイマンにおけるダメージは、基礎ダメージの1.2倍となる。
なお、OP相殺がかかっていない場合はさらに1.05倍。</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G96">
      <text>
        <t xml:space="preserve">タイマンにおけるダメージは、基礎ダメージの1.2倍となる。
なお、OP相殺がかかっていない場合はさらに1.05倍。</t>
      </text>
    </comment>
  </commentList>
</comments>
</file>

<file path=xl/comments3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3">
      <text>
        <t xml:space="preserve">反転ブレーキ時：なし</t>
      </text>
    </comment>
    <comment authorId="0" ref="E43">
      <text>
        <t xml:space="preserve">ワザに設定されている基礎ダメージ量。実際の試合で与えるダメージ量は、タイマン補正・OP補正・小ジャンプ補正などにより変化するので注意。</t>
      </text>
    </comment>
    <comment authorId="0" ref="F43">
      <text>
        <t xml:space="preserve">タイマンにおけるダメージは、基礎ダメージの1.2倍となる。
なお、OP相殺がかかっていない場合はさらに1.05倍。</t>
      </text>
    </comment>
    <comment authorId="0" ref="G43">
      <text>
        <t xml:space="preserve">小ジャンプで空中攻撃を出すと、与えるダメージ量が0.85倍になる。タイマン補正も含めると、1.2 * 0.85で1.02倍。</t>
      </text>
    </comment>
    <comment authorId="0" ref="J43">
      <text>
        <t xml:space="preserve">着地隙が発生するフレーム区間のこと。</t>
      </text>
    </comment>
    <comment authorId="0" ref="O43">
      <text>
        <t xml:space="preserve">ワザに設定されているシールド削り値。通常のダメージに加え、この値だけシールドのHPが減少する。</t>
      </text>
    </comment>
    <comment authorId="0" ref="P43">
      <text>
        <t xml:space="preserve">ワザに設定されているヒットストップ倍率。電撃属性のワザはこの値が設定されていなくとも1.5倍となる。</t>
      </text>
    </comment>
    <comment authorId="0" ref="Q43">
      <text>
        <t xml:space="preserve">ワザに設定されているヒットストップずらしによる移動距離倍率。</t>
      </text>
    </comment>
    <comment authorId="0" ref="E53">
      <text>
        <t xml:space="preserve">ワザに設定されている基礎ダメージ量。実際の試合で与えるダメージ量は、タイマン補正・OP補正・小ジャンプ補正などにより変化するので注意。</t>
      </text>
    </comment>
    <comment authorId="0" ref="F53">
      <text>
        <t xml:space="preserve">タイマンにおけるダメージは、基礎ダメージの1.2倍となる。
なお、OP相殺がかかっていない場合はさらに1.05倍。</t>
      </text>
    </comment>
    <comment authorId="0" ref="O53">
      <text>
        <t xml:space="preserve">ワザに設定されているシールド削り値。通常のダメージに加え、この値だけシールドのHPが減少する。</t>
      </text>
    </comment>
    <comment authorId="0" ref="P53">
      <text>
        <t xml:space="preserve">ワザに設定されているヒットストップ倍率。電撃属性のワザはこの値が設定されていなくとも1.5倍となる。</t>
      </text>
    </comment>
    <comment authorId="0" ref="Q53">
      <text>
        <t xml:space="preserve">ワザに設定されているヒットストップずらしによる移動距離倍率。</t>
      </text>
    </comment>
    <comment authorId="0" ref="R53">
      <text>
        <t xml:space="preserve">ワザが相殺するかどうか。</t>
      </text>
    </comment>
    <comment authorId="0" ref="S53">
      <text>
        <t xml:space="preserve">ワザが相殺したときに、相殺モーションに移行するかどうか。</t>
      </text>
    </comment>
    <comment authorId="0" ref="U53">
      <text>
        <t xml:space="preserve">いわゆる「地ダ(地上ダッシュ)」「空ダ(空中ダッシュ)」のこと。</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C60">
      <text>
        <t xml:space="preserve">22-33 -&gt; 24-35 (4.0.0)</t>
      </text>
    </comment>
    <comment authorId="0" ref="D60">
      <text>
        <t xml:space="preserve">46 -&gt; 48 (4.0.0)</t>
      </text>
    </comment>
    <comment authorId="0" ref="C61">
      <text>
        <t xml:space="preserve">34-52 -&gt; 36-54 (4.0.0)</t>
      </text>
    </comment>
    <comment authorId="0" ref="C62">
      <text>
        <t xml:space="preserve">53-71 -&gt; 55-73 (4.0.0)</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F69">
      <text>
        <t xml:space="preserve">タイマンにおけるダメージは、基礎ダメージの1.2倍となる。
なお、OP相殺がかかっていない場合はさらに1.05倍。</t>
      </text>
    </comment>
    <comment authorId="0" ref="F74">
      <text>
        <t xml:space="preserve">タイマンにおけるダメージは、基礎ダメージの1.2倍となる。
なお、OP相殺がかかっていない場合はさらに1.05倍。</t>
      </text>
    </comment>
    <comment authorId="0" ref="O74">
      <text>
        <t xml:space="preserve">ワザに設定されているシールド削り値。通常のダメージに加え、この値だけシールドのHPが減少する。</t>
      </text>
    </comment>
    <comment authorId="0" ref="P74">
      <text>
        <t xml:space="preserve">ワザに設定されているヒットストップ倍率。電撃属性のワザはこの値が設定されていなくとも1.5倍となる。</t>
      </text>
    </comment>
    <comment authorId="0" ref="Q74">
      <text>
        <t xml:space="preserve">ワザに設定されているヒットストップずらしによる移動距離倍率。</t>
      </text>
    </comment>
    <comment authorId="0" ref="G93">
      <text>
        <t xml:space="preserve">タイマンにおけるダメージは、基礎ダメージの1.2倍となる。
なお、OP相殺がかかっていない場合はさらに1.05倍。</t>
      </text>
    </comment>
    <comment authorId="0" ref="D100">
      <text>
        <t xml:space="preserve">39 -&gt; 40 (8.0.0)</t>
      </text>
    </comment>
    <comment authorId="0" ref="D101">
      <text>
        <t xml:space="preserve">39 -&gt; 40 (8.0.0)</t>
      </text>
    </comment>
  </commentList>
</comments>
</file>

<file path=xl/comments4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29">
      <text>
        <t xml:space="preserve">11 -&gt; 13 (2.0.0)</t>
      </text>
    </comment>
    <comment authorId="0" ref="E30">
      <text>
        <t xml:space="preserve">8 -&gt; 10 (2.0.0)</t>
      </text>
    </comment>
    <comment authorId="0" ref="U31">
      <text>
        <t xml:space="preserve">反転ブレーキ時：なし</t>
      </text>
    </comment>
    <comment authorId="0" ref="E34">
      <text>
        <t xml:space="preserve">17 -&gt; 19 (4.0.0)</t>
      </text>
    </comment>
    <comment authorId="0" ref="E35">
      <text>
        <t xml:space="preserve">17/14 -&gt; 19/16.4 (4.0.0)</t>
      </text>
    </comment>
    <comment authorId="0" ref="E39">
      <text>
        <t xml:space="preserve">5/5 -&gt; 0/5 (4.0.0)
0/5 -&gt; 5/5 (6.0.0)</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C45">
      <text>
        <t xml:space="preserve">8-19 -&gt; 8-20 (4.0.0)</t>
      </text>
    </comment>
    <comment authorId="0" ref="I45">
      <text>
        <t xml:space="preserve">13 -&gt; 10 (4.0.0)</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F71">
      <text>
        <t xml:space="preserve">タイマンにおけるダメージは、基礎ダメージの1.2倍となる。
なお、OP相殺がかかっていない場合はさらに1.05倍。</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G95">
      <text>
        <t xml:space="preserve">タイマンにおけるダメージは、基礎ダメージの1.2倍となる。
なお、OP相殺がかかっていない場合はさらに1.05倍。</t>
      </text>
    </comment>
  </commentList>
</comments>
</file>

<file path=xl/comments4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9">
      <text>
        <t xml:space="preserve">9-10 -&gt; 8-9 (3.0.0)</t>
      </text>
    </comment>
    <comment authorId="0" ref="D29">
      <text>
        <t xml:space="preserve">42 -&gt; 40 (3.0.0)</t>
      </text>
    </comment>
    <comment authorId="0" ref="C30">
      <text>
        <t xml:space="preserve">18-19 -&gt; 16-17 (3.0.0)</t>
      </text>
    </comment>
    <comment authorId="0" ref="C31">
      <text>
        <t xml:space="preserve">24-25 -&gt; 22-23 (3.0.0)</t>
      </text>
    </comment>
    <comment authorId="0" ref="C32">
      <text>
        <t xml:space="preserve">10 -&gt; 10-11 (3.0.0)</t>
      </text>
    </comment>
    <comment authorId="0" ref="U32">
      <text>
        <t xml:space="preserve">反転ブレーキ時：なし</t>
      </text>
    </comment>
    <comment authorId="0" ref="C34">
      <text>
        <t xml:space="preserve">11-13 -&gt; 13-14 (3.0.0)
13-14 -&gt; 13-16 (8.0.0)</t>
      </text>
    </comment>
    <comment authorId="0" ref="C45">
      <text>
        <t xml:space="preserve">9-10 -&gt; 7-8 (8.0.0)</t>
      </text>
    </comment>
    <comment authorId="0" ref="D45">
      <text>
        <t xml:space="preserve">52 -&gt; 50 (8.0.0)</t>
      </text>
    </comment>
    <comment authorId="0" ref="C46">
      <text>
        <t xml:space="preserve">14 -&gt; 12-13 (8.0.0)</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着地隙が発生するフレーム区間のこと。</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J50">
      <text>
        <t xml:space="preserve">4-50 -&gt; 4-26 (2.0.0)</t>
      </text>
    </comment>
    <comment authorId="0" ref="D54">
      <text>
        <t xml:space="preserve">36 -&gt; 35 (3.1.0)</t>
      </text>
    </comment>
    <comment authorId="0" ref="E54">
      <text>
        <t xml:space="preserve">6 -&gt; 7 (3.0.0)</t>
      </text>
    </comment>
    <comment authorId="0" ref="I54">
      <text>
        <t xml:space="preserve">13 -&gt; 9 (3.1.0)</t>
      </text>
    </comment>
    <comment authorId="0" ref="C55">
      <text>
        <t xml:space="preserve">17-18 -&gt; 15-16 (3.1.0)</t>
      </text>
    </comment>
    <comment authorId="0" ref="D55">
      <text>
        <t xml:space="preserve">48 -&gt; 46 (3.1.0)</t>
      </text>
    </comment>
    <comment authorId="0" ref="J55">
      <text>
        <t xml:space="preserve">17-36 -&gt; 15-34 (3.1.0)</t>
      </text>
    </comment>
    <comment authorId="0" ref="C56">
      <text>
        <t xml:space="preserve">17 -&gt; 15 (3.1.0)</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E60">
      <text>
        <t xml:space="preserve">2+ -&gt; 3+ (3.1.0)</t>
      </text>
    </comment>
    <comment authorId="0" ref="H60">
      <text>
        <t xml:space="preserve">最大溜め：106F -&gt; 80F (3.1.0)
キャンセル：14-54F -&gt; 14-44F (3.1.0)</t>
      </text>
    </comment>
    <comment authorId="0" ref="C61">
      <text>
        <t xml:space="preserve">123 -&gt; 97 (3.1.0)</t>
      </text>
    </comment>
    <comment authorId="0" ref="D61">
      <text>
        <t xml:space="preserve">228 -&gt; 202 (3.1.0)</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R79">
      <text>
        <t xml:space="preserve">ワザが相殺するかどうか。</t>
      </text>
    </comment>
    <comment authorId="0" ref="S79">
      <text>
        <t xml:space="preserve">ワザが相殺したときに、相殺モーションに移行するかどうか。</t>
      </text>
    </comment>
    <comment authorId="0" ref="U79">
      <text>
        <t xml:space="preserve">いわゆる「地ダ(地上ダッシュ)」「空ダ(空中ダッシュ)」のこと。</t>
      </text>
    </comment>
    <comment authorId="0" ref="F85">
      <text>
        <t xml:space="preserve">タイマンにおけるダメージは、基礎ダメージの1.2倍となる。
なお、OP相殺がかかっていない場合はさらに1.05倍。</t>
      </text>
    </comment>
    <comment authorId="0" ref="F90">
      <text>
        <t xml:space="preserve">タイマンにおけるダメージは、基礎ダメージの1.2倍となる。
なお、OP相殺がかかっていない場合はさらに1.05倍。</t>
      </text>
    </comment>
    <comment authorId="0" ref="O90">
      <text>
        <t xml:space="preserve">ワザに設定されているシールド削り値。通常のダメージに加え、この値だけシールドのHPが減少する。</t>
      </text>
    </comment>
    <comment authorId="0" ref="P90">
      <text>
        <t xml:space="preserve">ワザに設定されているヒットストップ倍率。電撃属性のワザはこの値が設定されていなくとも1.5倍となる。</t>
      </text>
    </comment>
    <comment authorId="0" ref="Q90">
      <text>
        <t xml:space="preserve">ワザに設定されているヒットストップずらしによる移動距離倍率。</t>
      </text>
    </comment>
    <comment authorId="0" ref="G109">
      <text>
        <t xml:space="preserve">タイマンにおけるダメージは、基礎ダメージの1.2倍となる。
なお、OP相殺がかかっていない場合はさらに1.05倍。</t>
      </text>
    </comment>
  </commentList>
</comments>
</file>

<file path=xl/comments4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9">
      <text>
        <t xml:space="preserve">13-15 -&gt; 13-17 (4.0.0)</t>
      </text>
    </comment>
    <comment authorId="0" ref="U30">
      <text>
        <t xml:space="preserve">反転ブレーキ時：なし</t>
      </text>
    </comment>
    <comment authorId="0" ref="H37">
      <text>
        <t xml:space="preserve">全身無敵：1-4F -&gt; 1-7F (4.0.0)</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着地隙が発生するフレーム区間のこと。</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D57">
      <text>
        <t xml:space="preserve">33 -&gt; 31 (4.0.0)</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69">
      <text>
        <t xml:space="preserve">ワザに設定されている基礎ダメージ量。実際の試合で与えるダメージ量は、タイマン補正・OP補正・小ジャンプ補正などにより変化するので注意。</t>
      </text>
    </comment>
    <comment authorId="0" ref="F69">
      <text>
        <t xml:space="preserve">タイマンにおけるダメージは、基礎ダメージの1.2倍となる。
なお、OP相殺がかかっていない場合はさらに1.05倍。</t>
      </text>
    </comment>
    <comment authorId="0" ref="O69">
      <text>
        <t xml:space="preserve">ワザに設定されているシールド削り値。通常のダメージに加え、この値だけシールドのHPが減少する。</t>
      </text>
    </comment>
    <comment authorId="0" ref="P69">
      <text>
        <t xml:space="preserve">ワザに設定されているヒットストップ倍率。電撃属性のワザはこの値が設定されていなくとも1.5倍となる。</t>
      </text>
    </comment>
    <comment authorId="0" ref="Q69">
      <text>
        <t xml:space="preserve">ワザに設定されているヒットストップずらしによる移動距離倍率。</t>
      </text>
    </comment>
    <comment authorId="0" ref="R69">
      <text>
        <t xml:space="preserve">ワザが相殺するかどうか。</t>
      </text>
    </comment>
    <comment authorId="0" ref="S69">
      <text>
        <t xml:space="preserve">ワザが相殺したときに、相殺モーションに移行するかどうか。</t>
      </text>
    </comment>
    <comment authorId="0" ref="U69">
      <text>
        <t xml:space="preserve">いわゆる「地ダ(地上ダッシュ)」「空ダ(空中ダッシュ)」のこと。</t>
      </text>
    </comment>
    <comment authorId="0" ref="H70">
      <text>
        <t xml:space="preserve">着地隙：22F -&gt; 19F (4.0.0)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82">
      <text>
        <t xml:space="preserve">ワザに設定されている基礎ダメージ量。実際の試合で与えるダメージ量は、タイマン補正・OP補正・小ジャンプ補正などにより変化するので注意。</t>
      </text>
    </comment>
    <comment authorId="0" ref="F82">
      <text>
        <t xml:space="preserve">タイマンにおけるダメージは、基礎ダメージの1.2倍となる。
なお、OP相殺がかかっていない場合はさらに1.05倍。</t>
      </text>
    </comment>
    <comment authorId="0" ref="O82">
      <text>
        <t xml:space="preserve">ワザに設定されているシールド削り値。通常のダメージに加え、この値だけシールドのHPが減少する。</t>
      </text>
    </comment>
    <comment authorId="0" ref="P82">
      <text>
        <t xml:space="preserve">ワザに設定されているヒットストップ倍率。電撃属性のワザはこの値が設定されていなくとも1.5倍となる。</t>
      </text>
    </comment>
    <comment authorId="0" ref="Q82">
      <text>
        <t xml:space="preserve">ワザに設定されているヒットストップずらしによる移動距離倍率。</t>
      </text>
    </comment>
    <comment authorId="0" ref="R82">
      <text>
        <t xml:space="preserve">ワザが相殺するかどうか。</t>
      </text>
    </comment>
    <comment authorId="0" ref="S82">
      <text>
        <t xml:space="preserve">ワザが相殺したときに、相殺モーションに移行するかどうか。</t>
      </text>
    </comment>
    <comment authorId="0" ref="U82">
      <text>
        <t xml:space="preserve">いわゆる「地ダ(地上ダッシュ)」「空ダ(空中ダッシュ)」のこと。</t>
      </text>
    </comment>
    <comment authorId="0" ref="F89">
      <text>
        <t xml:space="preserve">タイマンにおけるダメージは、基礎ダメージの1.2倍となる。
なお、OP相殺がかかっていない場合はさらに1.05倍。</t>
      </text>
    </comment>
    <comment authorId="0" ref="F94">
      <text>
        <t xml:space="preserve">タイマンにおけるダメージは、基礎ダメージの1.2倍となる。
なお、OP相殺がかかっていない場合はさらに1.05倍。</t>
      </text>
    </comment>
    <comment authorId="0" ref="O94">
      <text>
        <t xml:space="preserve">ワザに設定されているシールド削り値。通常のダメージに加え、この値だけシールドのHPが減少する。</t>
      </text>
    </comment>
    <comment authorId="0" ref="P94">
      <text>
        <t xml:space="preserve">ワザに設定されているヒットストップ倍率。電撃属性のワザはこの値が設定されていなくとも1.5倍となる。</t>
      </text>
    </comment>
    <comment authorId="0" ref="Q94">
      <text>
        <t xml:space="preserve">ワザに設定されているヒットストップずらしによる移動距離倍率。</t>
      </text>
    </comment>
    <comment authorId="0" ref="G113">
      <text>
        <t xml:space="preserve">タイマンにおけるダメージは、基礎ダメージの1.2倍となる。
なお、OP相殺がかかっていない場合はさらに1.05倍。</t>
      </text>
    </comment>
  </commentList>
</comments>
</file>

<file path=xl/comments4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29">
      <text>
        <t xml:space="preserve">49 -&gt; 45 (9.0.0)</t>
      </text>
    </comment>
    <comment authorId="0" ref="E29">
      <text>
        <t xml:space="preserve">6 -&gt; 8 (9.0.0)</t>
      </text>
    </comment>
    <comment authorId="0" ref="H29">
      <text>
        <t xml:space="preserve">ガード硬直補正倍率；
本当て；1.0倍 &gt; 0.75倍 (9.0.0)
持続：1.57倍 -&gt; 1.05倍 (9.0.0)</t>
      </text>
    </comment>
    <comment authorId="0" ref="E30">
      <text>
        <t xml:space="preserve">4 -&gt; 6 (9.0.0)</t>
      </text>
    </comment>
    <comment authorId="0" ref="U31">
      <text>
        <t xml:space="preserve">反転ブレーキ時：なし</t>
      </text>
    </comment>
    <comment authorId="0" ref="D33">
      <text>
        <t xml:space="preserve">39 -&gt; 35 (9.0.0)</t>
      </text>
    </comment>
    <comment authorId="0" ref="C38">
      <text>
        <t xml:space="preserve">18 -&gt; 14 (9.0.0)</t>
      </text>
    </comment>
    <comment authorId="0" ref="D38">
      <text>
        <t xml:space="preserve">65 -&gt; 61 (9.0.0)</t>
      </text>
    </comment>
    <comment authorId="0" ref="H38">
      <text>
        <t xml:space="preserve">全身無敵；18-20F -&gt; 14-18F (9.0.0)
溜め開始；14F目 -&gt; 10F目</t>
      </text>
    </comment>
    <comment authorId="0" ref="C39">
      <text>
        <t xml:space="preserve">21, 23, 25, 27, 29, 31
-&gt; 17, 19, 21, 23, 25, 27 (9.0.0)</t>
      </text>
    </comment>
    <comment authorId="0" ref="C40">
      <text>
        <t xml:space="preserve">33-34 -&gt; 29-30 (9.0.0)</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I50">
      <text>
        <t xml:space="preserve">18 -&gt; 15 (2.0.0)</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74">
      <text>
        <t xml:space="preserve">ワザに設定されている基礎ダメージ量。実際の試合で与えるダメージ量は、タイマン補正・OP補正・小ジャンプ補正などにより変化するので注意。</t>
      </text>
    </comment>
    <comment authorId="0" ref="F74">
      <text>
        <t xml:space="preserve">タイマンにおけるダメージは、基礎ダメージの1.2倍となる。
なお、OP相殺がかかっていない場合はさらに1.05倍。</t>
      </text>
    </comment>
    <comment authorId="0" ref="O74">
      <text>
        <t xml:space="preserve">ワザに設定されているシールド削り値。通常のダメージに加え、この値だけシールドのHPが減少する。</t>
      </text>
    </comment>
    <comment authorId="0" ref="P74">
      <text>
        <t xml:space="preserve">ワザに設定されているヒットストップ倍率。電撃属性のワザはこの値が設定されていなくとも1.5倍となる。</t>
      </text>
    </comment>
    <comment authorId="0" ref="Q74">
      <text>
        <t xml:space="preserve">ワザに設定されているヒットストップずらしによる移動距離倍率。</t>
      </text>
    </comment>
    <comment authorId="0" ref="R74">
      <text>
        <t xml:space="preserve">ワザが相殺するかどうか。</t>
      </text>
    </comment>
    <comment authorId="0" ref="S74">
      <text>
        <t xml:space="preserve">ワザが相殺したときに、相殺モーションに移行するかどうか。</t>
      </text>
    </comment>
    <comment authorId="0" ref="U74">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F88">
      <text>
        <t xml:space="preserve">タイマンにおけるダメージは、基礎ダメージの1.2倍となる。
なお、OP相殺がかかっていない場合はさらに1.05倍。</t>
      </text>
    </comment>
    <comment authorId="0" ref="F93">
      <text>
        <t xml:space="preserve">タイマンにおけるダメージは、基礎ダメージの1.2倍となる。
なお、OP相殺がかかっていない場合はさらに1.05倍。</t>
      </text>
    </comment>
    <comment authorId="0" ref="O93">
      <text>
        <t xml:space="preserve">ワザに設定されているシールド削り値。通常のダメージに加え、この値だけシールドのHPが減少する。</t>
      </text>
    </comment>
    <comment authorId="0" ref="P93">
      <text>
        <t xml:space="preserve">ワザに設定されているヒットストップ倍率。電撃属性のワザはこの値が設定されていなくとも1.5倍となる。</t>
      </text>
    </comment>
    <comment authorId="0" ref="Q93">
      <text>
        <t xml:space="preserve">ワザに設定されているヒットストップずらしによる移動距離倍率。</t>
      </text>
    </comment>
    <comment authorId="0" ref="G112">
      <text>
        <t xml:space="preserve">タイマンにおけるダメージは、基礎ダメージの1.2倍となる。
なお、OP相殺がかかっていない場合はさらに1.05倍。</t>
      </text>
    </comment>
  </commentList>
</comments>
</file>

<file path=xl/comments4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3">
      <text>
        <t xml:space="preserve">反転ブレーキ時：なし</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着地隙が発生するフレーム区間のこと。</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R56">
      <text>
        <t xml:space="preserve">ワザが相殺するかどうか。</t>
      </text>
    </comment>
    <comment authorId="0" ref="S56">
      <text>
        <t xml:space="preserve">ワザが相殺したときに、相殺モーションに移行するかどうか。</t>
      </text>
    </comment>
    <comment authorId="0" ref="U56">
      <text>
        <t xml:space="preserve">いわゆる「地ダ(地上ダッシュ)」「空ダ(空中ダッシュ)」のこと。</t>
      </text>
    </comment>
    <comment authorId="0" ref="C57">
      <text>
        <t xml:space="preserve">17-58 -&gt; 14-55 (8.0.0)</t>
      </text>
    </comment>
    <comment authorId="0" ref="D57">
      <text>
        <t xml:space="preserve">77 -&gt; 74 (8.0.0)</t>
      </text>
    </comment>
    <comment authorId="0" ref="C58">
      <text>
        <t xml:space="preserve">20-58 -&gt; 17-55 (8.0.0)</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D69">
      <text>
        <t xml:space="preserve">60 -&gt; 58 (11.0.0)</t>
      </text>
    </comment>
    <comment authorId="0" ref="H69">
      <text>
        <t xml:space="preserve">壁突き刺し確率：50% -&gt; 60% (11.0.0)</t>
      </text>
    </comment>
    <comment authorId="0" ref="C75">
      <text>
        <t xml:space="preserve">跳ね返し：29F目 &gt; 25F目 (11.0.0)</t>
      </text>
    </comment>
    <comment authorId="0" ref="D75">
      <text>
        <t xml:space="preserve">60 -&gt; 54 (11.0.0)</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F89">
      <text>
        <t xml:space="preserve">タイマンにおけるダメージは、基礎ダメージの1.2倍となる。
なお、OP相殺がかかっていない場合はさらに1.05倍。</t>
      </text>
    </comment>
    <comment authorId="0" ref="F94">
      <text>
        <t xml:space="preserve">タイマンにおけるダメージは、基礎ダメージの1.2倍となる。
なお、OP相殺がかかっていない場合はさらに1.05倍。</t>
      </text>
    </comment>
    <comment authorId="0" ref="O94">
      <text>
        <t xml:space="preserve">ワザに設定されているシールド削り値。通常のダメージに加え、この値だけシールドのHPが減少する。</t>
      </text>
    </comment>
    <comment authorId="0" ref="P94">
      <text>
        <t xml:space="preserve">ワザに設定されているヒットストップ倍率。電撃属性のワザはこの値が設定されていなくとも1.5倍となる。</t>
      </text>
    </comment>
    <comment authorId="0" ref="Q94">
      <text>
        <t xml:space="preserve">ワザに設定されているヒットストップずらしによる移動距離倍率。</t>
      </text>
    </comment>
    <comment authorId="0" ref="G113">
      <text>
        <t xml:space="preserve">タイマンにおけるダメージは、基礎ダメージの1.2倍となる。
なお、OP相殺がかかっていない場合はさらに1.05倍。</t>
      </text>
    </comment>
  </commentList>
</comments>
</file>

<file path=xl/comments4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32">
      <text>
        <t xml:space="preserve">ワザに設定されている基礎ダメージ量。実際の試合で与えるダメージ量は、タイマン補正・OP補正・小ジャンプ補正などにより変化するので注意。</t>
      </text>
    </comment>
    <comment authorId="0" ref="F32">
      <text>
        <t xml:space="preserve">タイマンにおけるダメージは、基礎ダメージの1.2倍となる。
なお、OP相殺がかかっていない場合はさらに1.05倍。</t>
      </text>
    </comment>
    <comment authorId="0" ref="O32">
      <text>
        <t xml:space="preserve">ワザに設定されているシールド削り値。通常のダメージに加え、この値だけシールドのHPが減少する。</t>
      </text>
    </comment>
    <comment authorId="0" ref="P32">
      <text>
        <t xml:space="preserve">ワザに設定されているヒットストップ倍率。電撃属性のワザはこの値が設定されていなくとも1.5倍となる。</t>
      </text>
    </comment>
    <comment authorId="0" ref="Q32">
      <text>
        <t xml:space="preserve">ワザに設定されているヒットストップずらしによる移動距離倍率。</t>
      </text>
    </comment>
    <comment authorId="0" ref="U32">
      <text>
        <t xml:space="preserve">地上慣性が消えるフレーム。「-」はなし。</t>
      </text>
    </comment>
    <comment authorId="0" ref="U38">
      <text>
        <t xml:space="preserve">反転ブレーキ時：なし</t>
      </text>
    </comment>
    <comment authorId="0" ref="C42">
      <text>
        <t xml:space="preserve">11-14 -&gt; 11-12 (3.1.0)
11-12 -&gt; 11-13 (12.0.0)</t>
      </text>
    </comment>
    <comment authorId="0" ref="D42">
      <text>
        <t xml:space="preserve">39 -&gt; 42 (3.1.0)</t>
      </text>
    </comment>
    <comment authorId="0" ref="C46">
      <text>
        <t xml:space="preserve">15-20 -&gt; 13-19 (3.1.0)
13-19 -&gt; 14-19 (12.0.0)</t>
      </text>
    </comment>
    <comment authorId="0" ref="C49">
      <text>
        <t xml:space="preserve">15-19 -&gt; 13-18 (3.1.0)
13-18 -&gt; 14-18 (12.0.0)</t>
      </text>
    </comment>
    <comment authorId="0" ref="C50">
      <text>
        <t xml:space="preserve">21-29 -&gt; 20-29 (3.1.0)</t>
      </text>
    </comment>
    <comment authorId="0" ref="C53">
      <text>
        <t xml:space="preserve">20-24 -&gt; 19-24 (3.1.0)</t>
      </text>
    </comment>
    <comment authorId="0" ref="D54">
      <text>
        <t xml:space="preserve">36 -&gt; 39 (3.1.0)</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G76">
      <text>
        <t xml:space="preserve">小ジャンプで空中攻撃を出すと、与えるダメージ量が0.85倍になる。タイマン補正も含めると、1.2 * 0.85で1.02倍。</t>
      </text>
    </comment>
    <comment authorId="0" ref="J76">
      <text>
        <t xml:space="preserve">着地隙が発生するフレーム区間のこと。</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E101">
      <text>
        <t xml:space="preserve">ワザに設定されている基礎ダメージ量。実際の試合で与えるダメージ量は、タイマン補正・OP補正・小ジャンプ補正などにより変化するので注意。</t>
      </text>
    </comment>
    <comment authorId="0" ref="F101">
      <text>
        <t xml:space="preserve">タイマンにおけるダメージは、基礎ダメージの1.2倍となる。
なお、OP相殺がかかっていない場合はさらに1.05倍。</t>
      </text>
    </comment>
    <comment authorId="0" ref="O101">
      <text>
        <t xml:space="preserve">ワザに設定されているシールド削り値。通常のダメージに加え、この値だけシールドのHPが減少する。</t>
      </text>
    </comment>
    <comment authorId="0" ref="P101">
      <text>
        <t xml:space="preserve">ワザに設定されているヒットストップ倍率。電撃属性のワザはこの値が設定されていなくとも1.5倍となる。</t>
      </text>
    </comment>
    <comment authorId="0" ref="Q101">
      <text>
        <t xml:space="preserve">ワザに設定されているヒットストップずらしによる移動距離倍率。</t>
      </text>
    </comment>
    <comment authorId="0" ref="R101">
      <text>
        <t xml:space="preserve">ワザが相殺するかどうか。</t>
      </text>
    </comment>
    <comment authorId="0" ref="S101">
      <text>
        <t xml:space="preserve">ワザが相殺したときに、相殺モーションに移行するかどうか。</t>
      </text>
    </comment>
    <comment authorId="0" ref="U101">
      <text>
        <t xml:space="preserve">いわゆる「地ダ(地上ダッシュ)」「空ダ(空中ダッシュ)」のこと。</t>
      </text>
    </comment>
    <comment authorId="0" ref="E105">
      <text>
        <t xml:space="preserve">ワザに設定されている基礎ダメージ量。実際の試合で与えるダメージ量は、タイマン補正・OP補正・小ジャンプ補正などにより変化するので注意。</t>
      </text>
    </comment>
    <comment authorId="0" ref="F105">
      <text>
        <t xml:space="preserve">タイマンにおけるダメージは、基礎ダメージの1.2倍となる。
なお、OP相殺がかかっていない場合はさらに1.05倍。</t>
      </text>
    </comment>
    <comment authorId="0" ref="O105">
      <text>
        <t xml:space="preserve">ワザに設定されているシールド削り値。通常のダメージに加え、この値だけシールドのHPが減少する。</t>
      </text>
    </comment>
    <comment authorId="0" ref="P105">
      <text>
        <t xml:space="preserve">ワザに設定されているヒットストップ倍率。電撃属性のワザはこの値が設定されていなくとも1.5倍となる。</t>
      </text>
    </comment>
    <comment authorId="0" ref="Q105">
      <text>
        <t xml:space="preserve">ワザに設定されているヒットストップずらしによる移動距離倍率。</t>
      </text>
    </comment>
    <comment authorId="0" ref="R105">
      <text>
        <t xml:space="preserve">ワザが相殺するかどうか。</t>
      </text>
    </comment>
    <comment authorId="0" ref="S105">
      <text>
        <t xml:space="preserve">ワザが相殺したときに、相殺モーションに移行するかどうか。</t>
      </text>
    </comment>
    <comment authorId="0" ref="U105">
      <text>
        <t xml:space="preserve">いわゆる「地ダ(地上ダッシュ)」「空ダ(空中ダッシュ)」のこと。</t>
      </text>
    </comment>
    <comment authorId="0" ref="E115">
      <text>
        <t xml:space="preserve">ワザに設定されている基礎ダメージ量。実際の試合で与えるダメージ量は、タイマン補正・OP補正・小ジャンプ補正などにより変化するので注意。</t>
      </text>
    </comment>
    <comment authorId="0" ref="F115">
      <text>
        <t xml:space="preserve">タイマンにおけるダメージは、基礎ダメージの1.2倍となる。
なお、OP相殺がかかっていない場合はさらに1.05倍。</t>
      </text>
    </comment>
    <comment authorId="0" ref="O115">
      <text>
        <t xml:space="preserve">ワザに設定されているシールド削り値。通常のダメージに加え、この値だけシールドのHPが減少する。</t>
      </text>
    </comment>
    <comment authorId="0" ref="P115">
      <text>
        <t xml:space="preserve">ワザに設定されているヒットストップ倍率。電撃属性のワザはこの値が設定されていなくとも1.5倍となる。</t>
      </text>
    </comment>
    <comment authorId="0" ref="Q115">
      <text>
        <t xml:space="preserve">ワザに設定されているヒットストップずらしによる移動距離倍率。</t>
      </text>
    </comment>
    <comment authorId="0" ref="R115">
      <text>
        <t xml:space="preserve">ワザが相殺するかどうか。</t>
      </text>
    </comment>
    <comment authorId="0" ref="S115">
      <text>
        <t xml:space="preserve">ワザが相殺したときに、相殺モーションに移行するかどうか。</t>
      </text>
    </comment>
    <comment authorId="0" ref="U115">
      <text>
        <t xml:space="preserve">いわゆる「地ダ(地上ダッシュ)」「空ダ(空中ダッシュ)」のこと。</t>
      </text>
    </comment>
    <comment authorId="0" ref="E117">
      <text>
        <t xml:space="preserve">ワザに設定されている基礎ダメージ量。実際の試合で与えるダメージ量は、タイマン補正・OP補正・小ジャンプ補正などにより変化するので注意。</t>
      </text>
    </comment>
    <comment authorId="0" ref="F117">
      <text>
        <t xml:space="preserve">タイマンにおけるダメージは、基礎ダメージの1.2倍となる。
なお、OP相殺がかかっていない場合はさらに1.05倍。</t>
      </text>
    </comment>
    <comment authorId="0" ref="O117">
      <text>
        <t xml:space="preserve">ワザに設定されているシールド削り値。通常のダメージに加え、この値だけシールドのHPが減少する。</t>
      </text>
    </comment>
    <comment authorId="0" ref="P117">
      <text>
        <t xml:space="preserve">ワザに設定されているヒットストップ倍率。電撃属性のワザはこの値が設定されていなくとも1.5倍となる。</t>
      </text>
    </comment>
    <comment authorId="0" ref="Q117">
      <text>
        <t xml:space="preserve">ワザに設定されているヒットストップずらしによる移動距離倍率。</t>
      </text>
    </comment>
    <comment authorId="0" ref="R117">
      <text>
        <t xml:space="preserve">ワザが相殺するかどうか。</t>
      </text>
    </comment>
    <comment authorId="0" ref="S117">
      <text>
        <t xml:space="preserve">ワザが相殺したときに、相殺モーションに移行するかどうか。</t>
      </text>
    </comment>
    <comment authorId="0" ref="U117">
      <text>
        <t xml:space="preserve">いわゆる「地ダ(地上ダッシュ)」「空ダ(空中ダッシュ)」のこと。</t>
      </text>
    </comment>
    <comment authorId="0" ref="F121">
      <text>
        <t xml:space="preserve">タイマンにおけるダメージは、基礎ダメージの1.2倍となる。
なお、OP相殺がかかっていない場合はさらに1.05倍。</t>
      </text>
    </comment>
    <comment authorId="0" ref="F126">
      <text>
        <t xml:space="preserve">タイマンにおけるダメージは、基礎ダメージの1.2倍となる。
なお、OP相殺がかかっていない場合はさらに1.05倍。</t>
      </text>
    </comment>
    <comment authorId="0" ref="O126">
      <text>
        <t xml:space="preserve">ワザに設定されているシールド削り値。通常のダメージに加え、この値だけシールドのHPが減少する。</t>
      </text>
    </comment>
    <comment authorId="0" ref="P126">
      <text>
        <t xml:space="preserve">ワザに設定されているヒットストップ倍率。電撃属性のワザはこの値が設定されていなくとも1.5倍となる。</t>
      </text>
    </comment>
    <comment authorId="0" ref="Q126">
      <text>
        <t xml:space="preserve">ワザに設定されているヒットストップずらしによる移動距離倍率。</t>
      </text>
    </comment>
    <comment authorId="0" ref="C128">
      <text>
        <t xml:space="preserve">18 -&gt; 19 (12.0.0)</t>
      </text>
    </comment>
    <comment authorId="0" ref="G155">
      <text>
        <t xml:space="preserve">タイマンにおけるダメージは、基礎ダメージの1.2倍となる。
なお、OP相殺がかかっていない場合はさらに1.05倍。</t>
      </text>
    </comment>
  </commentList>
</comments>
</file>

<file path=xl/comments4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F30">
      <text>
        <t xml:space="preserve">1.6倍 -&gt; 1.67倍 (9.0.0)</t>
      </text>
    </comment>
    <comment authorId="0" ref="E33">
      <text>
        <t xml:space="preserve">ワザに設定されている基礎ダメージ量。実際の試合で与えるダメージ量は、タイマン補正・OP補正・小ジャンプ補正などにより変化するので注意。</t>
      </text>
    </comment>
    <comment authorId="0" ref="F33">
      <text>
        <t xml:space="preserve">タイマンにおけるダメージは、基礎ダメージの1.2倍となる。
なお、OP相殺がかかっていない場合はさらに1.05倍。</t>
      </text>
    </comment>
    <comment authorId="0" ref="O33">
      <text>
        <t xml:space="preserve">ワザに設定されているシールド削り値。通常のダメージに加え、この値だけシールドのHPが減少する。</t>
      </text>
    </comment>
    <comment authorId="0" ref="P33">
      <text>
        <t xml:space="preserve">ワザに設定されているヒットストップ倍率。電撃属性のワザはこの値が設定されていなくとも1.5倍となる。</t>
      </text>
    </comment>
    <comment authorId="0" ref="Q33">
      <text>
        <t xml:space="preserve">ワザに設定されているヒットストップずらしによる移動距離倍率。</t>
      </text>
    </comment>
    <comment authorId="0" ref="U33">
      <text>
        <t xml:space="preserve">地上慣性が消えるフレーム。「-」はなし。</t>
      </text>
    </comment>
    <comment authorId="0" ref="C34">
      <text>
        <t xml:space="preserve">7-8 -&gt; 5-6 (9.0.0)</t>
      </text>
    </comment>
    <comment authorId="0" ref="D34">
      <text>
        <t xml:space="preserve">31 -&gt; 26 (3.1.0)
26 -&gt; 24 (9.0.0)</t>
      </text>
    </comment>
    <comment authorId="0" ref="H34">
      <text>
        <t xml:space="preserve">移行：12-30F -&gt; 10-30F (9.0.0)</t>
      </text>
    </comment>
    <comment authorId="0" ref="D35">
      <text>
        <t xml:space="preserve">34 -&gt; 26 (3.1.0)</t>
      </text>
    </comment>
    <comment authorId="0" ref="D36">
      <text>
        <t xml:space="preserve">38 -&gt; 35 (3.1.0)</t>
      </text>
    </comment>
    <comment authorId="0" ref="C37">
      <text>
        <t xml:space="preserve">7-9 -&gt; 7-10 (13.0.0)</t>
      </text>
    </comment>
    <comment authorId="0" ref="C38">
      <text>
        <t xml:space="preserve">11-15 -&gt; 10-15 (13.0.0)</t>
      </text>
    </comment>
    <comment authorId="0" ref="U39">
      <text>
        <t xml:space="preserve">反転ブレーキ時：なし</t>
      </text>
    </comment>
    <comment authorId="0" ref="C42">
      <text>
        <t xml:space="preserve">9-12 -&gt; 7-10 (13.0.0)</t>
      </text>
    </comment>
    <comment authorId="0" ref="D42">
      <text>
        <t xml:space="preserve">22 -&gt; 20 (13.0.0)</t>
      </text>
    </comment>
    <comment authorId="0" ref="C48">
      <text>
        <t xml:space="preserve">19-21 -&gt; 16-18 (9.0.0)</t>
      </text>
    </comment>
    <comment authorId="0" ref="D48">
      <text>
        <t xml:space="preserve">54 -&gt; 51 (9.0.0)</t>
      </text>
    </comment>
    <comment authorId="0" ref="E51">
      <text>
        <t xml:space="preserve">ワザに設定されている基礎ダメージ量。実際の試合で与えるダメージ量は、タイマン補正・OP補正・小ジャンプ補正などにより変化するので注意。</t>
      </text>
    </comment>
    <comment authorId="0" ref="F51">
      <text>
        <t xml:space="preserve">タイマンにおけるダメージは、基礎ダメージの1.2倍となる。
なお、OP相殺がかかっていない場合はさらに1.05倍。</t>
      </text>
    </comment>
    <comment authorId="0" ref="G51">
      <text>
        <t xml:space="preserve">小ジャンプで空中攻撃を出すと、与えるダメージ量が0.85倍になる。タイマン補正も含めると、1.2 * 0.85で1.02倍。</t>
      </text>
    </comment>
    <comment authorId="0" ref="J51">
      <text>
        <t xml:space="preserve">着地隙が発生するフレーム区間のこと。</t>
      </text>
    </comment>
    <comment authorId="0" ref="O51">
      <text>
        <t xml:space="preserve">ワザに設定されているシールド削り値。通常のダメージに加え、この値だけシールドのHPが減少する。</t>
      </text>
    </comment>
    <comment authorId="0" ref="P51">
      <text>
        <t xml:space="preserve">ワザに設定されているヒットストップ倍率。電撃属性のワザはこの値が設定されていなくとも1.5倍となる。</t>
      </text>
    </comment>
    <comment authorId="0" ref="Q51">
      <text>
        <t xml:space="preserve">ワザに設定されているヒットストップずらしによる移動距離倍率。</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D65">
      <text>
        <t xml:space="preserve">56 -&gt; 51 (3.1.0)</t>
      </text>
    </comment>
    <comment authorId="0" ref="D67">
      <text>
        <t xml:space="preserve">48 -&gt; 43 (3.1.0)</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H69">
      <text>
        <t xml:space="preserve">着地隙：40F -&gt; 35F (9.0.0)</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F82">
      <text>
        <t xml:space="preserve">タイマンにおけるダメージは、基礎ダメージの1.2倍となる。
なお、OP相殺がかかっていない場合はさらに1.05倍。</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G106">
      <text>
        <t xml:space="preserve">タイマンにおけるダメージは、基礎ダメージの1.2倍となる。
なお、OP相殺がかかっていない場合はさらに1.05倍。</t>
      </text>
    </comment>
  </commentList>
</comments>
</file>

<file path=xl/comments4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G41">
      <text>
        <t xml:space="preserve">小ジャンプで空中攻撃を出すと、与えるダメージ量が0.85倍になる。タイマン補正も含めると、1.2 * 0.85で1.02倍。</t>
      </text>
    </comment>
    <comment authorId="0" ref="J41">
      <text>
        <t xml:space="preserve">着地隙が発生するフレーム区間のこと。</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E54">
      <text>
        <t xml:space="preserve">ワザに設定されている基礎ダメージ量。実際の試合で与えるダメージ量は、タイマン補正・OP補正・小ジャンプ補正などにより変化するので注意。</t>
      </text>
    </comment>
    <comment authorId="0" ref="F54">
      <text>
        <t xml:space="preserve">タイマンにおけるダメージは、基礎ダメージの1.2倍となる。
なお、OP相殺がかかっていない場合はさらに1.05倍。</t>
      </text>
    </comment>
    <comment authorId="0" ref="O54">
      <text>
        <t xml:space="preserve">ワザに設定されているシールド削り値。通常のダメージに加え、この値だけシールドのHPが減少する。</t>
      </text>
    </comment>
    <comment authorId="0" ref="P54">
      <text>
        <t xml:space="preserve">ワザに設定されているヒットストップ倍率。電撃属性のワザはこの値が設定されていなくとも1.5倍となる。</t>
      </text>
    </comment>
    <comment authorId="0" ref="Q54">
      <text>
        <t xml:space="preserve">ワザに設定されているヒットストップずらしによる移動距離倍率。</t>
      </text>
    </comment>
    <comment authorId="0" ref="R54">
      <text>
        <t xml:space="preserve">ワザが相殺するかどうか。</t>
      </text>
    </comment>
    <comment authorId="0" ref="S54">
      <text>
        <t xml:space="preserve">ワザが相殺したときに、相殺モーションに移行するかどうか。</t>
      </text>
    </comment>
    <comment authorId="0" ref="U54">
      <text>
        <t xml:space="preserve">いわゆる「地ダ(地上ダッシュ)」「空ダ(空中ダッシュ)」のこと。</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F74">
      <text>
        <t xml:space="preserve">タイマンにおけるダメージは、基礎ダメージの1.2倍となる。
なお、OP相殺がかかっていない場合はさらに1.05倍。</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G98">
      <text>
        <t xml:space="preserve">タイマンにおけるダメージは、基礎ダメージの1.2倍となる。
なお、OP相殺がかかっていない場合はさらに1.05倍。</t>
      </text>
    </comment>
  </commentList>
</comments>
</file>

<file path=xl/comments4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29">
      <text>
        <t xml:space="preserve">30 -&gt; 28 (7.0.0)</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G41">
      <text>
        <t xml:space="preserve">小ジャンプで空中攻撃を出すと、与えるダメージ量が0.85倍になる。タイマン補正も含めると、1.2 * 0.85で1.02倍。</t>
      </text>
    </comment>
    <comment authorId="0" ref="J41">
      <text>
        <t xml:space="preserve">着地隙が発生するフレーム区間のこと。</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J44">
      <text>
        <t xml:space="preserve">4-50 -&gt; 4-38 (2.0.0)</t>
      </text>
    </comment>
    <comment authorId="0" ref="C45">
      <text>
        <t xml:space="preserve">7-9 -&gt; 6-9 (7.0.0)</t>
      </text>
    </comment>
    <comment authorId="0" ref="E49">
      <text>
        <t xml:space="preserve">12 -&gt; 14 (7.0.0)</t>
      </text>
    </comment>
    <comment authorId="0" ref="C51">
      <text>
        <t xml:space="preserve">11-18 -&gt; 11-20 (7.0.0)</t>
      </text>
    </comment>
    <comment authorId="0" ref="E54">
      <text>
        <t xml:space="preserve">ワザに設定されている基礎ダメージ量。実際の試合で与えるダメージ量は、タイマン補正・OP補正・小ジャンプ補正などにより変化するので注意。</t>
      </text>
    </comment>
    <comment authorId="0" ref="F54">
      <text>
        <t xml:space="preserve">タイマンにおけるダメージは、基礎ダメージの1.2倍となる。
なお、OP相殺がかかっていない場合はさらに1.05倍。</t>
      </text>
    </comment>
    <comment authorId="0" ref="O54">
      <text>
        <t xml:space="preserve">ワザに設定されているシールド削り値。通常のダメージに加え、この値だけシールドのHPが減少する。</t>
      </text>
    </comment>
    <comment authorId="0" ref="P54">
      <text>
        <t xml:space="preserve">ワザに設定されているヒットストップ倍率。電撃属性のワザはこの値が設定されていなくとも1.5倍となる。</t>
      </text>
    </comment>
    <comment authorId="0" ref="Q54">
      <text>
        <t xml:space="preserve">ワザに設定されているヒットストップずらしによる移動距離倍率。</t>
      </text>
    </comment>
    <comment authorId="0" ref="R54">
      <text>
        <t xml:space="preserve">ワザが相殺するかどうか。</t>
      </text>
    </comment>
    <comment authorId="0" ref="S54">
      <text>
        <t xml:space="preserve">ワザが相殺したときに、相殺モーションに移行するかどうか。</t>
      </text>
    </comment>
    <comment authorId="0" ref="U54">
      <text>
        <t xml:space="preserve">いわゆる「地ダ(地上ダッシュ)」「空ダ(空中ダッシュ)」のこと。</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R56">
      <text>
        <t xml:space="preserve">ワザが相殺するかどうか。</t>
      </text>
    </comment>
    <comment authorId="0" ref="S56">
      <text>
        <t xml:space="preserve">ワザが相殺したときに、相殺モーションに移行するかどうか。</t>
      </text>
    </comment>
    <comment authorId="0" ref="U56">
      <text>
        <t xml:space="preserve">いわゆる「地ダ(地上ダッシュ)」「空ダ(空中ダッシュ)」のこと。</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E74">
      <text>
        <t xml:space="preserve">ワザに設定されている基礎ダメージ量。実際の試合で与えるダメージ量は、タイマン補正・OP補正・小ジャンプ補正などにより変化するので注意。</t>
      </text>
    </comment>
    <comment authorId="0" ref="F74">
      <text>
        <t xml:space="preserve">タイマンにおけるダメージは、基礎ダメージの1.2倍となる。
なお、OP相殺がかかっていない場合はさらに1.05倍。</t>
      </text>
    </comment>
    <comment authorId="0" ref="O74">
      <text>
        <t xml:space="preserve">ワザに設定されているシールド削り値。通常のダメージに加え、この値だけシールドのHPが減少する。</t>
      </text>
    </comment>
    <comment authorId="0" ref="P74">
      <text>
        <t xml:space="preserve">ワザに設定されているヒットストップ倍率。電撃属性のワザはこの値が設定されていなくとも1.5倍となる。</t>
      </text>
    </comment>
    <comment authorId="0" ref="Q74">
      <text>
        <t xml:space="preserve">ワザに設定されているヒットストップずらしによる移動距離倍率。</t>
      </text>
    </comment>
    <comment authorId="0" ref="R74">
      <text>
        <t xml:space="preserve">ワザが相殺するかどうか。</t>
      </text>
    </comment>
    <comment authorId="0" ref="S74">
      <text>
        <t xml:space="preserve">ワザが相殺したときに、相殺モーションに移行するかどうか。</t>
      </text>
    </comment>
    <comment authorId="0" ref="U74">
      <text>
        <t xml:space="preserve">いわゆる「地ダ(地上ダッシュ)」「空ダ(空中ダッシュ)」のこと。</t>
      </text>
    </comment>
    <comment authorId="0" ref="F79">
      <text>
        <t xml:space="preserve">タイマンにおけるダメージは、基礎ダメージの1.2倍となる。
なお、OP相殺がかかっていない場合はさらに1.05倍。</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G103">
      <text>
        <t xml:space="preserve">タイマンにおけるダメージは、基礎ダメージの1.2倍となる。
なお、OP相殺がかかっていない場合はさらに1.05倍。</t>
      </text>
    </comment>
  </commentList>
</comments>
</file>

<file path=xl/comments4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3">
      <text>
        <t xml:space="preserve">ワザに設定されている基礎ダメージ量。実際の試合で与えるダメージ量は、タイマン補正・OP補正・小ジャンプ補正などにより変化するので注意。</t>
      </text>
    </comment>
    <comment authorId="0" ref="F43">
      <text>
        <t xml:space="preserve">タイマンにおけるダメージは、基礎ダメージの1.2倍となる。
なお、OP相殺がかかっていない場合はさらに1.05倍。</t>
      </text>
    </comment>
    <comment authorId="0" ref="G43">
      <text>
        <t xml:space="preserve">小ジャンプで空中攻撃を出すと、与えるダメージ量が0.85倍になる。タイマン補正も含めると、1.2 * 0.85で1.02倍。</t>
      </text>
    </comment>
    <comment authorId="0" ref="J43">
      <text>
        <t xml:space="preserve">着地隙が発生するフレーム区間のこと。</t>
      </text>
    </comment>
    <comment authorId="0" ref="O43">
      <text>
        <t xml:space="preserve">ワザに設定されているシールド削り値。通常のダメージに加え、この値だけシールドのHPが減少する。</t>
      </text>
    </comment>
    <comment authorId="0" ref="P43">
      <text>
        <t xml:space="preserve">ワザに設定されているヒットストップ倍率。電撃属性のワザはこの値が設定されていなくとも1.5倍となる。</t>
      </text>
    </comment>
    <comment authorId="0" ref="Q43">
      <text>
        <t xml:space="preserve">ワザに設定されているヒットストップずらしによる移動距離倍率。</t>
      </text>
    </comment>
    <comment authorId="0" ref="E52">
      <text>
        <t xml:space="preserve">ワザに設定されている基礎ダメージ量。実際の試合で与えるダメージ量は、タイマン補正・OP補正・小ジャンプ補正などにより変化するので注意。</t>
      </text>
    </comment>
    <comment authorId="0" ref="F52">
      <text>
        <t xml:space="preserve">タイマンにおけるダメージは、基礎ダメージの1.2倍となる。
なお、OP相殺がかかっていない場合はさらに1.05倍。</t>
      </text>
    </comment>
    <comment authorId="0" ref="O52">
      <text>
        <t xml:space="preserve">ワザに設定されているシールド削り値。通常のダメージに加え、この値だけシールドのHPが減少する。</t>
      </text>
    </comment>
    <comment authorId="0" ref="P52">
      <text>
        <t xml:space="preserve">ワザに設定されているヒットストップ倍率。電撃属性のワザはこの値が設定されていなくとも1.5倍となる。</t>
      </text>
    </comment>
    <comment authorId="0" ref="Q52">
      <text>
        <t xml:space="preserve">ワザに設定されているヒットストップずらしによる移動距離倍率。</t>
      </text>
    </comment>
    <comment authorId="0" ref="R52">
      <text>
        <t xml:space="preserve">ワザが相殺するかどうか。</t>
      </text>
    </comment>
    <comment authorId="0" ref="S52">
      <text>
        <t xml:space="preserve">ワザが相殺したときに、相殺モーションに移行するかどうか。</t>
      </text>
    </comment>
    <comment authorId="0" ref="U52">
      <text>
        <t xml:space="preserve">いわゆる「地ダ(地上ダッシュ)」「空ダ(空中ダッシュ)」のこと。</t>
      </text>
    </comment>
    <comment authorId="0" ref="D53">
      <text>
        <t xml:space="preserve">49 -&gt; 52 (3.1.0)</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C67">
      <text>
        <t xml:space="preserve">攻撃：7-9 -&gt; 6-8 (3.1.0)
反射：10-19 -&gt; 9-18 (3.1.0)</t>
      </text>
    </comment>
    <comment authorId="0" ref="D67">
      <text>
        <t xml:space="preserve">31 -&gt; 30 (3.1.0)</t>
      </text>
    </comment>
    <comment authorId="0" ref="H67">
      <text>
        <t xml:space="preserve">全身無敵：5-8F -&gt; 6-9F (3.1.0)
反射：10-19F -&gt; 9-18F (3.1.0)</t>
      </text>
    </comment>
    <comment authorId="0" ref="F72">
      <text>
        <t xml:space="preserve">タイマンにおけるダメージは、基礎ダメージの1.2倍となる。
なお、OP相殺がかかっていない場合はさらに1.05倍。</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G96">
      <text>
        <t xml:space="preserve">タイマンにおけるダメージは、基礎ダメージの1.2倍となる。
なお、OP相殺がかかっていない場合はさらに1.05倍。</t>
      </text>
    </comment>
  </commentList>
</comments>
</file>

<file path=xl/comments5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2">
      <text>
        <t xml:space="preserve">反転ブレーキ時：なし</t>
      </text>
    </comment>
    <comment authorId="0" ref="H33">
      <text>
        <t xml:space="preserve">頭・左腕無敵：8.0.0で追加</t>
      </text>
    </comment>
    <comment authorId="0" ref="E40">
      <text>
        <t xml:space="preserve">1.0 -&gt; 1.5 (8.0.0)</t>
      </text>
    </comment>
    <comment authorId="0" ref="E41">
      <text>
        <t xml:space="preserve">4.0 -&gt; 4.6 (8.0.0)</t>
      </text>
    </comment>
    <comment authorId="0" ref="E48">
      <text>
        <t xml:space="preserve">ワザに設定されている基礎ダメージ量。実際の試合で与えるダメージ量は、タイマン補正・OP補正・小ジャンプ補正などにより変化するので注意。</t>
      </text>
    </comment>
    <comment authorId="0" ref="F48">
      <text>
        <t xml:space="preserve">タイマンにおけるダメージは、基礎ダメージの1.2倍となる。
なお、OP相殺がかかっていない場合はさらに1.05倍。</t>
      </text>
    </comment>
    <comment authorId="0" ref="G48">
      <text>
        <t xml:space="preserve">小ジャンプで空中攻撃を出すと、与えるダメージ量が0.85倍になる。タイマン補正も含めると、1.2 * 0.85で1.02倍。</t>
      </text>
    </comment>
    <comment authorId="0" ref="J48">
      <text>
        <t xml:space="preserve">着地隙が発生するフレーム区間のこと。</t>
      </text>
    </comment>
    <comment authorId="0" ref="O48">
      <text>
        <t xml:space="preserve">ワザに設定されているシールド削り値。通常のダメージに加え、この値だけシールドのHPが減少する。</t>
      </text>
    </comment>
    <comment authorId="0" ref="P48">
      <text>
        <t xml:space="preserve">ワザに設定されているヒットストップ倍率。電撃属性のワザはこの値が設定されていなくとも1.5倍となる。</t>
      </text>
    </comment>
    <comment authorId="0" ref="Q48">
      <text>
        <t xml:space="preserve">ワザに設定されているヒットストップずらしによる移動距離倍率。</t>
      </text>
    </comment>
    <comment authorId="0" ref="C63">
      <text>
        <t xml:space="preserve">14-15 &gt; 11-12 (8.0.0)</t>
      </text>
    </comment>
    <comment authorId="0" ref="D63">
      <text>
        <t xml:space="preserve">45 -&gt; 42 (8.0.0)</t>
      </text>
    </comment>
    <comment authorId="0" ref="J63">
      <text>
        <t xml:space="preserve">14-38 -&gt; 11-35 (8.0.0)</t>
      </text>
    </comment>
    <comment authorId="0" ref="C66">
      <text>
        <t xml:space="preserve">16-29 &gt; 13-26 (8.0.0)</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R79">
      <text>
        <t xml:space="preserve">ワザが相殺するかどうか。</t>
      </text>
    </comment>
    <comment authorId="0" ref="S79">
      <text>
        <t xml:space="preserve">ワザが相殺したときに、相殺モーションに移行するかどうか。</t>
      </text>
    </comment>
    <comment authorId="0" ref="U79">
      <text>
        <t xml:space="preserve">いわゆる「地ダ(地上ダッシュ)」「空ダ(空中ダッシュ)」のこと。</t>
      </text>
    </comment>
    <comment authorId="0" ref="E87">
      <text>
        <t xml:space="preserve">ワザに設定されている基礎ダメージ量。実際の試合で与えるダメージ量は、タイマン補正・OP補正・小ジャンプ補正などにより変化するので注意。</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R87">
      <text>
        <t xml:space="preserve">ワザが相殺するかどうか。</t>
      </text>
    </comment>
    <comment authorId="0" ref="S87">
      <text>
        <t xml:space="preserve">ワザが相殺したときに、相殺モーションに移行するかどうか。</t>
      </text>
    </comment>
    <comment authorId="0" ref="U87">
      <text>
        <t xml:space="preserve">いわゆる「地ダ(地上ダッシュ)」「空ダ(空中ダッシュ)」のこと。</t>
      </text>
    </comment>
    <comment authorId="0" ref="E89">
      <text>
        <t xml:space="preserve">ワザに設定されている基礎ダメージ量。実際の試合で与えるダメージ量は、タイマン補正・OP補正・小ジャンプ補正などにより変化するので注意。</t>
      </text>
    </comment>
    <comment authorId="0" ref="F89">
      <text>
        <t xml:space="preserve">タイマンにおけるダメージは、基礎ダメージの1.2倍となる。
なお、OP相殺がかかっていない場合はさらに1.05倍。</t>
      </text>
    </comment>
    <comment authorId="0" ref="O89">
      <text>
        <t xml:space="preserve">ワザに設定されているシールド削り値。通常のダメージに加え、この値だけシールドのHPが減少する。</t>
      </text>
    </comment>
    <comment authorId="0" ref="P89">
      <text>
        <t xml:space="preserve">ワザに設定されているヒットストップ倍率。電撃属性のワザはこの値が設定されていなくとも1.5倍となる。</t>
      </text>
    </comment>
    <comment authorId="0" ref="Q89">
      <text>
        <t xml:space="preserve">ワザに設定されているヒットストップずらしによる移動距離倍率。</t>
      </text>
    </comment>
    <comment authorId="0" ref="R89">
      <text>
        <t xml:space="preserve">ワザが相殺するかどうか。</t>
      </text>
    </comment>
    <comment authorId="0" ref="S89">
      <text>
        <t xml:space="preserve">ワザが相殺したときに、相殺モーションに移行するかどうか。</t>
      </text>
    </comment>
    <comment authorId="0" ref="U89">
      <text>
        <t xml:space="preserve">いわゆる「地ダ(地上ダッシュ)」「空ダ(空中ダッシュ)」のこと。</t>
      </text>
    </comment>
    <comment authorId="0" ref="D90">
      <text>
        <t xml:space="preserve">43 -&gt; 38 (8.0.0)</t>
      </text>
    </comment>
    <comment authorId="0" ref="D92">
      <text>
        <t xml:space="preserve">54 -&gt; 49 (8.0.0)</t>
      </text>
    </comment>
    <comment authorId="0" ref="F103">
      <text>
        <t xml:space="preserve">タイマンにおけるダメージは、基礎ダメージの1.2倍となる。
なお、OP相殺がかかっていない場合はさらに1.05倍。</t>
      </text>
    </comment>
    <comment authorId="0" ref="F108">
      <text>
        <t xml:space="preserve">タイマンにおけるダメージは、基礎ダメージの1.2倍となる。
なお、OP相殺がかかっていない場合はさらに1.05倍。</t>
      </text>
    </comment>
    <comment authorId="0" ref="O108">
      <text>
        <t xml:space="preserve">ワザに設定されているシールド削り値。通常のダメージに加え、この値だけシールドのHPが減少する。</t>
      </text>
    </comment>
    <comment authorId="0" ref="P108">
      <text>
        <t xml:space="preserve">ワザに設定されているヒットストップ倍率。電撃属性のワザはこの値が設定されていなくとも1.5倍となる。</t>
      </text>
    </comment>
    <comment authorId="0" ref="Q108">
      <text>
        <t xml:space="preserve">ワザに設定されているヒットストップずらしによる移動距離倍率。</t>
      </text>
    </comment>
    <comment authorId="0" ref="G127">
      <text>
        <t xml:space="preserve">タイマンにおけるダメージは、基礎ダメージの1.2倍となる。
なお、OP相殺がかかっていない場合はさらに1.05倍。</t>
      </text>
    </comment>
  </commentList>
</comments>
</file>

<file path=xl/comments5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38">
      <text>
        <t xml:space="preserve">8, 11, 14, 17, 20, 23, 26
-&gt; 7, 10, 13, 16, 19, 22, 25 (13.0.1)</t>
      </text>
    </comment>
    <comment authorId="0" ref="D38">
      <text>
        <t xml:space="preserve">60 -&gt; 59 (13.0.1)</t>
      </text>
    </comment>
    <comment authorId="0" ref="C39">
      <text>
        <t xml:space="preserve">36 -&gt; 35 (13.0.1)</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G55">
      <text>
        <t xml:space="preserve">小ジャンプで空中攻撃を出すと、与えるダメージ量が0.85倍になる。タイマン補正も含めると、1.2 * 0.85で1.02倍。</t>
      </text>
    </comment>
    <comment authorId="0" ref="J55">
      <text>
        <t xml:space="preserve">着地隙が発生するフレーム区間のこと。</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E81">
      <text>
        <t xml:space="preserve">ワザに設定されている基礎ダメージ量。実際の試合で与えるダメージ量は、タイマン補正・OP補正・小ジャンプ補正などにより変化するので注意。</t>
      </text>
    </comment>
    <comment authorId="0" ref="F81">
      <text>
        <t xml:space="preserve">タイマンにおけるダメージは、基礎ダメージの1.2倍となる。
なお、OP相殺がかかっていない場合はさらに1.05倍。</t>
      </text>
    </comment>
    <comment authorId="0" ref="O81">
      <text>
        <t xml:space="preserve">ワザに設定されているシールド削り値。通常のダメージに加え、この値だけシールドのHPが減少する。</t>
      </text>
    </comment>
    <comment authorId="0" ref="P81">
      <text>
        <t xml:space="preserve">ワザに設定されているヒットストップ倍率。電撃属性のワザはこの値が設定されていなくとも1.5倍となる。</t>
      </text>
    </comment>
    <comment authorId="0" ref="Q81">
      <text>
        <t xml:space="preserve">ワザに設定されているヒットストップずらしによる移動距離倍率。</t>
      </text>
    </comment>
    <comment authorId="0" ref="R81">
      <text>
        <t xml:space="preserve">ワザが相殺するかどうか。</t>
      </text>
    </comment>
    <comment authorId="0" ref="S81">
      <text>
        <t xml:space="preserve">ワザが相殺したときに、相殺モーションに移行するかどうか。</t>
      </text>
    </comment>
    <comment authorId="0" ref="U81">
      <text>
        <t xml:space="preserve">いわゆる「地ダ(地上ダッシュ)」「空ダ(空中ダッシュ)」のこと。</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R85">
      <text>
        <t xml:space="preserve">ワザが相殺するかどうか。</t>
      </text>
    </comment>
    <comment authorId="0" ref="S85">
      <text>
        <t xml:space="preserve">ワザが相殺したときに、相殺モーションに移行するかどうか。</t>
      </text>
    </comment>
    <comment authorId="0" ref="U85">
      <text>
        <t xml:space="preserve">いわゆる「地ダ(地上ダッシュ)」「空ダ(空中ダッシュ)」のこと。</t>
      </text>
    </comment>
    <comment authorId="0" ref="E87">
      <text>
        <t xml:space="preserve">1 -&gt; 1.5 (13.0.1)</t>
      </text>
    </comment>
    <comment authorId="0" ref="E89">
      <text>
        <t xml:space="preserve">ワザに設定されている基礎ダメージ量。実際の試合で与えるダメージ量は、タイマン補正・OP補正・小ジャンプ補正などにより変化するので注意。</t>
      </text>
    </comment>
    <comment authorId="0" ref="F89">
      <text>
        <t xml:space="preserve">タイマンにおけるダメージは、基礎ダメージの1.2倍となる。
なお、OP相殺がかかっていない場合はさらに1.05倍。</t>
      </text>
    </comment>
    <comment authorId="0" ref="O89">
      <text>
        <t xml:space="preserve">ワザに設定されているシールド削り値。通常のダメージに加え、この値だけシールドのHPが減少する。</t>
      </text>
    </comment>
    <comment authorId="0" ref="P89">
      <text>
        <t xml:space="preserve">ワザに設定されているヒットストップ倍率。電撃属性のワザはこの値が設定されていなくとも1.5倍となる。</t>
      </text>
    </comment>
    <comment authorId="0" ref="Q89">
      <text>
        <t xml:space="preserve">ワザに設定されているヒットストップずらしによる移動距離倍率。</t>
      </text>
    </comment>
    <comment authorId="0" ref="R89">
      <text>
        <t xml:space="preserve">ワザが相殺するかどうか。</t>
      </text>
    </comment>
    <comment authorId="0" ref="S89">
      <text>
        <t xml:space="preserve">ワザが相殺したときに、相殺モーションに移行するかどうか。</t>
      </text>
    </comment>
    <comment authorId="0" ref="U89">
      <text>
        <t xml:space="preserve">いわゆる「地ダ(地上ダッシュ)」「空ダ(空中ダッシュ)」のこと。</t>
      </text>
    </comment>
    <comment authorId="0" ref="E91">
      <text>
        <t xml:space="preserve">ワザに設定されている基礎ダメージ量。実際の試合で与えるダメージ量は、タイマン補正・OP補正・小ジャンプ補正などにより変化するので注意。</t>
      </text>
    </comment>
    <comment authorId="0" ref="F91">
      <text>
        <t xml:space="preserve">タイマンにおけるダメージは、基礎ダメージの1.2倍となる。
なお、OP相殺がかかっていない場合はさらに1.05倍。</t>
      </text>
    </comment>
    <comment authorId="0" ref="O91">
      <text>
        <t xml:space="preserve">ワザに設定されているシールド削り値。通常のダメージに加え、この値だけシールドのHPが減少する。</t>
      </text>
    </comment>
    <comment authorId="0" ref="P91">
      <text>
        <t xml:space="preserve">ワザに設定されているヒットストップ倍率。電撃属性のワザはこの値が設定されていなくとも1.5倍となる。</t>
      </text>
    </comment>
    <comment authorId="0" ref="Q91">
      <text>
        <t xml:space="preserve">ワザに設定されているヒットストップずらしによる移動距離倍率。</t>
      </text>
    </comment>
    <comment authorId="0" ref="R91">
      <text>
        <t xml:space="preserve">ワザが相殺するかどうか。</t>
      </text>
    </comment>
    <comment authorId="0" ref="S91">
      <text>
        <t xml:space="preserve">ワザが相殺したときに、相殺モーションに移行するかどうか。</t>
      </text>
    </comment>
    <comment authorId="0" ref="U91">
      <text>
        <t xml:space="preserve">いわゆる「地ダ(地上ダッシュ)」「空ダ(空中ダッシュ)」のこと。</t>
      </text>
    </comment>
    <comment authorId="0" ref="C92">
      <text>
        <t xml:space="preserve">7-* -&gt; 9-* (3.0.0)</t>
      </text>
    </comment>
    <comment authorId="0" ref="D92">
      <text>
        <t xml:space="preserve">33 -&gt; 35 (3.0.0)</t>
      </text>
    </comment>
    <comment authorId="0" ref="D93">
      <text>
        <t xml:space="preserve">53 -&gt; 55 (3.0.0)</t>
      </text>
    </comment>
    <comment authorId="0" ref="F96">
      <text>
        <t xml:space="preserve">タイマンにおけるダメージは、基礎ダメージの1.2倍となる。
なお、OP相殺がかかっていない場合はさらに1.05倍。</t>
      </text>
    </comment>
    <comment authorId="0" ref="F101">
      <text>
        <t xml:space="preserve">タイマンにおけるダメージは、基礎ダメージの1.2倍となる。
なお、OP相殺がかかっていない場合はさらに1.05倍。</t>
      </text>
    </comment>
    <comment authorId="0" ref="O101">
      <text>
        <t xml:space="preserve">ワザに設定されているシールド削り値。通常のダメージに加え、この値だけシールドのHPが減少する。</t>
      </text>
    </comment>
    <comment authorId="0" ref="P101">
      <text>
        <t xml:space="preserve">ワザに設定されているヒットストップ倍率。電撃属性のワザはこの値が設定されていなくとも1.5倍となる。</t>
      </text>
    </comment>
    <comment authorId="0" ref="Q101">
      <text>
        <t xml:space="preserve">ワザに設定されているヒットストップずらしによる移動距離倍率。</t>
      </text>
    </comment>
    <comment authorId="0" ref="G120">
      <text>
        <t xml:space="preserve">タイマンにおけるダメージは、基礎ダメージの1.2倍となる。
なお、OP相殺がかかっていない場合はさらに1.05倍。</t>
      </text>
    </comment>
    <comment authorId="0" ref="D127">
      <text>
        <t xml:space="preserve">39 -&gt; 40 (8.0.0)</t>
      </text>
    </comment>
    <comment authorId="0" ref="D128">
      <text>
        <t xml:space="preserve">39 -&gt; 40 (8.0.0)</t>
      </text>
    </comment>
  </commentList>
</comments>
</file>

<file path=xl/comments5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C31">
      <text>
        <t xml:space="preserve">付加走行加速のみ。
基礎走行加速は変化なし。</t>
      </text>
    </comment>
    <comment authorId="0" ref="C34">
      <text>
        <t xml:space="preserve">付加空中加速のみ。
基礎空中加速は変化なし。</t>
      </text>
    </comment>
    <comment authorId="0" ref="C36">
      <text>
        <t xml:space="preserve">急降下速度は変化なし。</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U40">
      <text>
        <t xml:space="preserve">地上慣性が消えるフレーム。「-」はなし。</t>
      </text>
    </comment>
    <comment authorId="0" ref="D45">
      <text>
        <t xml:space="preserve">42 -&gt; 38 (1.1.0)</t>
      </text>
    </comment>
    <comment authorId="0" ref="U47">
      <text>
        <t xml:space="preserve">反転ブレーキ時：なし</t>
      </text>
    </comment>
    <comment authorId="0" ref="C51">
      <text>
        <t xml:space="preserve">14-15 -&gt; 11-12 (8.0.0)</t>
      </text>
    </comment>
    <comment authorId="0" ref="D51">
      <text>
        <t xml:space="preserve">57 -&gt; 54 (8.0.0)</t>
      </text>
    </comment>
    <comment authorId="0" ref="H51">
      <text>
        <t xml:space="preserve">全身無敵：12-15F -&gt; 9-12F (8.0.0)</t>
      </text>
    </comment>
    <comment authorId="0" ref="C52">
      <text>
        <t xml:space="preserve">16-22 -&gt; 13-19 (8.0.0)</t>
      </text>
    </comment>
    <comment authorId="0" ref="D53">
      <text>
        <t xml:space="preserve">51 -&gt; 46 (8.0.0)</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G56">
      <text>
        <t xml:space="preserve">小ジャンプで空中攻撃を出すと、与えるダメージ量が0.85倍になる。タイマン補正も含めると、1.2 * 0.85で1.02倍。</t>
      </text>
    </comment>
    <comment authorId="0" ref="J56">
      <text>
        <t xml:space="preserve">着地隙が発生するフレーム区間のこと。</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D59">
      <text>
        <t xml:space="preserve">38 -&gt; 35 (8.0.0)</t>
      </text>
    </comment>
    <comment authorId="0" ref="I59">
      <text>
        <t xml:space="preserve">9 -&gt; 7 (8.0.0)</t>
      </text>
    </comment>
    <comment authorId="0" ref="J59">
      <text>
        <t xml:space="preserve">9-24 -&gt; 9-23 (8.0.0)</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E83">
      <text>
        <t xml:space="preserve">ワザに設定されている基礎ダメージ量。実際の試合で与えるダメージ量は、タイマン補正・OP補正・小ジャンプ補正などにより変化するので注意。</t>
      </text>
    </comment>
    <comment authorId="0" ref="F83">
      <text>
        <t xml:space="preserve">タイマンにおけるダメージは、基礎ダメージの1.2倍となる。
なお、OP相殺がかかっていない場合はさらに1.05倍。</t>
      </text>
    </comment>
    <comment authorId="0" ref="O83">
      <text>
        <t xml:space="preserve">ワザに設定されているシールド削り値。通常のダメージに加え、この値だけシールドのHPが減少する。</t>
      </text>
    </comment>
    <comment authorId="0" ref="P83">
      <text>
        <t xml:space="preserve">ワザに設定されているヒットストップ倍率。電撃属性のワザはこの値が設定されていなくとも1.5倍となる。</t>
      </text>
    </comment>
    <comment authorId="0" ref="Q83">
      <text>
        <t xml:space="preserve">ワザに設定されているヒットストップずらしによる移動距離倍率。</t>
      </text>
    </comment>
    <comment authorId="0" ref="R83">
      <text>
        <t xml:space="preserve">ワザが相殺するかどうか。</t>
      </text>
    </comment>
    <comment authorId="0" ref="S83">
      <text>
        <t xml:space="preserve">ワザが相殺したときに、相殺モーションに移行するかどうか。</t>
      </text>
    </comment>
    <comment authorId="0" ref="U83">
      <text>
        <t xml:space="preserve">いわゆる「地ダ(地上ダッシュ)」「空ダ(空中ダッシュ)」のこと。</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R85">
      <text>
        <t xml:space="preserve">ワザが相殺するかどうか。</t>
      </text>
    </comment>
    <comment authorId="0" ref="S85">
      <text>
        <t xml:space="preserve">ワザが相殺したときに、相殺モーションに移行するかどうか。</t>
      </text>
    </comment>
    <comment authorId="0" ref="U85">
      <text>
        <t xml:space="preserve">いわゆる「地ダ(地上ダッシュ)」「空ダ(空中ダッシュ)」のこと。</t>
      </text>
    </comment>
    <comment authorId="0" ref="F92">
      <text>
        <t xml:space="preserve">タイマンにおけるダメージは、基礎ダメージの1.2倍となる。
なお、OP相殺がかかっていない場合はさらに1.05倍。</t>
      </text>
    </comment>
    <comment authorId="0" ref="F97">
      <text>
        <t xml:space="preserve">タイマンにおけるダメージは、基礎ダメージの1.2倍となる。
なお、OP相殺がかかっていない場合はさらに1.05倍。</t>
      </text>
    </comment>
    <comment authorId="0" ref="O97">
      <text>
        <t xml:space="preserve">ワザに設定されているシールド削り値。通常のダメージに加え、この値だけシールドのHPが減少する。</t>
      </text>
    </comment>
    <comment authorId="0" ref="P97">
      <text>
        <t xml:space="preserve">ワザに設定されているヒットストップ倍率。電撃属性のワザはこの値が設定されていなくとも1.5倍となる。</t>
      </text>
    </comment>
    <comment authorId="0" ref="Q97">
      <text>
        <t xml:space="preserve">ワザに設定されているヒットストップずらしによる移動距離倍率。</t>
      </text>
    </comment>
    <comment authorId="0" ref="G116">
      <text>
        <t xml:space="preserve">タイマンにおけるダメージは、基礎ダメージの1.2倍となる。
なお、OP相殺がかかっていない場合はさらに1.05倍。</t>
      </text>
    </comment>
  </commentList>
</comments>
</file>

<file path=xl/comments5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40">
      <text>
        <t xml:space="preserve">反転ブレーキ時：なし</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G60">
      <text>
        <t xml:space="preserve">小ジャンプで空中攻撃を出すと、与えるダメージ量が0.85倍になる。タイマン補正も含めると、1.2 * 0.85で1.02倍。</t>
      </text>
    </comment>
    <comment authorId="0" ref="J60">
      <text>
        <t xml:space="preserve">着地隙が発生するフレーム区間のこと。</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C61">
      <text>
        <t xml:space="preserve">10-19 -&gt; 9-19 (2.0.0)</t>
      </text>
    </comment>
    <comment authorId="0" ref="C63">
      <text>
        <t xml:space="preserve">8-9 -&gt; 7-9 (2.0.0)</t>
      </text>
    </comment>
    <comment authorId="0" ref="D65">
      <text>
        <t xml:space="preserve">59 -&gt; 54 (3.1.0)</t>
      </text>
    </comment>
    <comment authorId="0" ref="E81">
      <text>
        <t xml:space="preserve">ワザに設定されている基礎ダメージ量。実際の試合で与えるダメージ量は、タイマン補正・OP補正・小ジャンプ補正などにより変化するので注意。</t>
      </text>
    </comment>
    <comment authorId="0" ref="F81">
      <text>
        <t xml:space="preserve">タイマンにおけるダメージは、基礎ダメージの1.2倍となる。
なお、OP相殺がかかっていない場合はさらに1.05倍。</t>
      </text>
    </comment>
    <comment authorId="0" ref="O81">
      <text>
        <t xml:space="preserve">ワザに設定されているシールド削り値。通常のダメージに加え、この値だけシールドのHPが減少する。</t>
      </text>
    </comment>
    <comment authorId="0" ref="P81">
      <text>
        <t xml:space="preserve">ワザに設定されているヒットストップ倍率。電撃属性のワザはこの値が設定されていなくとも1.5倍となる。</t>
      </text>
    </comment>
    <comment authorId="0" ref="Q81">
      <text>
        <t xml:space="preserve">ワザに設定されているヒットストップずらしによる移動距離倍率。</t>
      </text>
    </comment>
    <comment authorId="0" ref="R81">
      <text>
        <t xml:space="preserve">ワザが相殺するかどうか。</t>
      </text>
    </comment>
    <comment authorId="0" ref="S81">
      <text>
        <t xml:space="preserve">ワザが相殺したときに、相殺モーションに移行するかどうか。</t>
      </text>
    </comment>
    <comment authorId="0" ref="U81">
      <text>
        <t xml:space="preserve">いわゆる「地ダ(地上ダッシュ)」「空ダ(空中ダッシュ)」のこと。</t>
      </text>
    </comment>
    <comment authorId="0" ref="D82">
      <text>
        <t xml:space="preserve">39 -&gt; 34 (2.0.0)</t>
      </text>
    </comment>
    <comment authorId="0" ref="D84">
      <text>
        <t xml:space="preserve">25 -&gt; 21 (2.0.0)</t>
      </text>
    </comment>
    <comment authorId="0" ref="D85">
      <text>
        <t xml:space="preserve">27 -&gt; 23 (2.0.0)</t>
      </text>
    </comment>
    <comment authorId="0" ref="E86">
      <text>
        <t xml:space="preserve">ワザに設定されている基礎ダメージ量。実際の試合で与えるダメージ量は、タイマン補正・OP補正・小ジャンプ補正などにより変化するので注意。</t>
      </text>
    </comment>
    <comment authorId="0" ref="F86">
      <text>
        <t xml:space="preserve">タイマンにおけるダメージは、基礎ダメージの1.2倍となる。
なお、OP相殺がかかっていない場合はさらに1.05倍。</t>
      </text>
    </comment>
    <comment authorId="0" ref="O86">
      <text>
        <t xml:space="preserve">ワザに設定されているシールド削り値。通常のダメージに加え、この値だけシールドのHPが減少する。</t>
      </text>
    </comment>
    <comment authorId="0" ref="P86">
      <text>
        <t xml:space="preserve">ワザに設定されているヒットストップ倍率。電撃属性のワザはこの値が設定されていなくとも1.5倍となる。</t>
      </text>
    </comment>
    <comment authorId="0" ref="Q86">
      <text>
        <t xml:space="preserve">ワザに設定されているヒットストップずらしによる移動距離倍率。</t>
      </text>
    </comment>
    <comment authorId="0" ref="R86">
      <text>
        <t xml:space="preserve">ワザが相殺するかどうか。</t>
      </text>
    </comment>
    <comment authorId="0" ref="S86">
      <text>
        <t xml:space="preserve">ワザが相殺したときに、相殺モーションに移行するかどうか。</t>
      </text>
    </comment>
    <comment authorId="0" ref="U86">
      <text>
        <t xml:space="preserve">いわゆる「地ダ(地上ダッシュ)」「空ダ(空中ダッシュ)」のこと。</t>
      </text>
    </comment>
    <comment authorId="0" ref="E88">
      <text>
        <t xml:space="preserve">ワザに設定されている基礎ダメージ量。実際の試合で与えるダメージ量は、タイマン補正・OP補正・小ジャンプ補正などにより変化するので注意。</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R88">
      <text>
        <t xml:space="preserve">ワザが相殺するかどうか。</t>
      </text>
    </comment>
    <comment authorId="0" ref="S88">
      <text>
        <t xml:space="preserve">ワザが相殺したときに、相殺モーションに移行するかどうか。</t>
      </text>
    </comment>
    <comment authorId="0" ref="U88">
      <text>
        <t xml:space="preserve">いわゆる「地ダ(地上ダッシュ)」「空ダ(空中ダッシュ)」のこと。</t>
      </text>
    </comment>
    <comment authorId="0" ref="E90">
      <text>
        <t xml:space="preserve">ワザに設定されている基礎ダメージ量。実際の試合で与えるダメージ量は、タイマン補正・OP補正・小ジャンプ補正などにより変化するので注意。</t>
      </text>
    </comment>
    <comment authorId="0" ref="F90">
      <text>
        <t xml:space="preserve">タイマンにおけるダメージは、基礎ダメージの1.2倍となる。
なお、OP相殺がかかっていない場合はさらに1.05倍。</t>
      </text>
    </comment>
    <comment authorId="0" ref="O90">
      <text>
        <t xml:space="preserve">ワザに設定されているシールド削り値。通常のダメージに加え、この値だけシールドのHPが減少する。</t>
      </text>
    </comment>
    <comment authorId="0" ref="P90">
      <text>
        <t xml:space="preserve">ワザに設定されているヒットストップ倍率。電撃属性のワザはこの値が設定されていなくとも1.5倍となる。</t>
      </text>
    </comment>
    <comment authorId="0" ref="Q90">
      <text>
        <t xml:space="preserve">ワザに設定されているヒットストップずらしによる移動距離倍率。</t>
      </text>
    </comment>
    <comment authorId="0" ref="R90">
      <text>
        <t xml:space="preserve">ワザが相殺するかどうか。</t>
      </text>
    </comment>
    <comment authorId="0" ref="S90">
      <text>
        <t xml:space="preserve">ワザが相殺したときに、相殺モーションに移行するかどうか。</t>
      </text>
    </comment>
    <comment authorId="0" ref="U90">
      <text>
        <t xml:space="preserve">いわゆる「地ダ(地上ダッシュ)」「空ダ(空中ダッシュ)」のこと。</t>
      </text>
    </comment>
    <comment authorId="0" ref="F94">
      <text>
        <t xml:space="preserve">タイマンにおけるダメージは、基礎ダメージの1.2倍となる。
なお、OP相殺がかかっていない場合はさらに1.05倍。</t>
      </text>
    </comment>
    <comment authorId="0" ref="C96">
      <text>
        <t xml:space="preserve">7-8 -&gt; 6-7 (3.1.0)</t>
      </text>
    </comment>
    <comment authorId="0" ref="C97">
      <text>
        <t xml:space="preserve">10-11 -&gt; 9-10 (3.1.0)</t>
      </text>
    </comment>
    <comment authorId="0" ref="C98">
      <text>
        <t xml:space="preserve">11-12 -&gt; 10-11 (3.1.0)</t>
      </text>
    </comment>
    <comment authorId="0" ref="F99">
      <text>
        <t xml:space="preserve">タイマンにおけるダメージは、基礎ダメージの1.2倍となる。
なお、OP相殺がかかっていない場合はさらに1.05倍。</t>
      </text>
    </comment>
    <comment authorId="0" ref="O99">
      <text>
        <t xml:space="preserve">ワザに設定されているシールド削り値。通常のダメージに加え、この値だけシールドのHPが減少する。</t>
      </text>
    </comment>
    <comment authorId="0" ref="P99">
      <text>
        <t xml:space="preserve">ワザに設定されているヒットストップ倍率。電撃属性のワザはこの値が設定されていなくとも1.5倍となる。</t>
      </text>
    </comment>
    <comment authorId="0" ref="Q99">
      <text>
        <t xml:space="preserve">ワザに設定されているヒットストップずらしによる移動距離倍率。</t>
      </text>
    </comment>
    <comment authorId="0" ref="G118">
      <text>
        <t xml:space="preserve">タイマンにおけるダメージは、基礎ダメージの1.2倍となる。
なお、OP相殺がかかっていない場合はさらに1.05倍。</t>
      </text>
    </comment>
  </commentList>
</comments>
</file>

<file path=xl/comments5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26">
      <text>
        <t xml:space="preserve">21 -&gt; 16 (3.1.0)</t>
      </text>
    </comment>
    <comment authorId="0" ref="D27">
      <text>
        <t xml:space="preserve">21 -&gt; 16 (3.1.0)</t>
      </text>
    </comment>
    <comment authorId="0" ref="U34">
      <text>
        <t xml:space="preserve">反転ブレーキ時：なし</t>
      </text>
    </comment>
    <comment authorId="0" ref="H41">
      <text>
        <t xml:space="preserve">アーマー：8-11F -&gt; 8-13F (3.1.0)</t>
      </text>
    </comment>
    <comment authorId="0" ref="C42">
      <text>
        <t xml:space="preserve">11-14 -&gt; 11-13 (3.0.0)
11-13 -&gt; 11-14 (11.0.0)</t>
      </text>
    </comment>
    <comment authorId="0" ref="E47">
      <text>
        <t xml:space="preserve">ワザに設定されている基礎ダメージ量。実際の試合で与えるダメージ量は、タイマン補正・OP補正・小ジャンプ補正などにより変化するので注意。</t>
      </text>
    </comment>
    <comment authorId="0" ref="F47">
      <text>
        <t xml:space="preserve">タイマンにおけるダメージは、基礎ダメージの1.2倍となる。
なお、OP相殺がかかっていない場合はさらに1.05倍。</t>
      </text>
    </comment>
    <comment authorId="0" ref="G47">
      <text>
        <t xml:space="preserve">小ジャンプで空中攻撃を出すと、与えるダメージ量が0.85倍になる。タイマン補正も含めると、1.2 * 0.85で1.02倍。</t>
      </text>
    </comment>
    <comment authorId="0" ref="J47">
      <text>
        <t xml:space="preserve">着地隙が発生するフレーム区間のこと。</t>
      </text>
    </comment>
    <comment authorId="0" ref="O47">
      <text>
        <t xml:space="preserve">ワザに設定されているシールド削り値。通常のダメージに加え、この値だけシールドのHPが減少する。</t>
      </text>
    </comment>
    <comment authorId="0" ref="P47">
      <text>
        <t xml:space="preserve">ワザに設定されているヒットストップ倍率。電撃属性のワザはこの値が設定されていなくとも1.5倍となる。</t>
      </text>
    </comment>
    <comment authorId="0" ref="Q47">
      <text>
        <t xml:space="preserve">ワザに設定されているヒットストップずらしによる移動距離倍率。</t>
      </text>
    </comment>
    <comment authorId="0" ref="J48">
      <text>
        <t xml:space="preserve">1-24 -&gt; 1-15 (2.0.0)</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D56">
      <text>
        <t xml:space="preserve">44 -&gt; 42 (13.0.0)
+32 -&gt; +30 (13.0.0)</t>
      </text>
    </comment>
    <comment authorId="0" ref="H56">
      <text>
        <t xml:space="preserve">最小保持：32F -&gt; 30F (13.0.0)</t>
      </text>
    </comment>
    <comment authorId="0" ref="D59">
      <text>
        <t xml:space="preserve">48 -&gt; 46 (13.0.0)
+32 -&gt; +30 (13.0.0)</t>
      </text>
    </comment>
    <comment authorId="0" ref="D64">
      <text>
        <t xml:space="preserve">+32 -&gt; +30 (13.0.0)</t>
      </text>
    </comment>
    <comment authorId="0" ref="D66">
      <text>
        <t xml:space="preserve">+32 -&gt; +30 (13.0.0)</t>
      </text>
    </comment>
    <comment authorId="0" ref="D70">
      <text>
        <t xml:space="preserve">96 -&gt; 76 (3.1.0)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77">
      <text>
        <t xml:space="preserve">ワザに設定されている基礎ダメージ量。実際の試合で与えるダメージ量は、タイマン補正・OP補正・小ジャンプ補正などにより変化するので注意。</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R77">
      <text>
        <t xml:space="preserve">ワザが相殺するかどうか。</t>
      </text>
    </comment>
    <comment authorId="0" ref="S77">
      <text>
        <t xml:space="preserve">ワザが相殺したときに、相殺モーションに移行するかどうか。</t>
      </text>
    </comment>
    <comment authorId="0" ref="U77">
      <text>
        <t xml:space="preserve">いわゆる「地ダ(地上ダッシュ)」「空ダ(空中ダッシュ)」のこと。</t>
      </text>
    </comment>
    <comment authorId="0" ref="E84">
      <text>
        <t xml:space="preserve">ワザに設定されている基礎ダメージ量。実際の試合で与えるダメージ量は、タイマン補正・OP補正・小ジャンプ補正などにより変化するので注意。</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R84">
      <text>
        <t xml:space="preserve">ワザが相殺するかどうか。</t>
      </text>
    </comment>
    <comment authorId="0" ref="S84">
      <text>
        <t xml:space="preserve">ワザが相殺したときに、相殺モーションに移行するかどうか。</t>
      </text>
    </comment>
    <comment authorId="0" ref="U84">
      <text>
        <t xml:space="preserve">いわゆる「地ダ(地上ダッシュ)」「空ダ(空中ダッシュ)」のこと。</t>
      </text>
    </comment>
    <comment authorId="0" ref="D85">
      <text>
        <t xml:space="preserve">地上：62 -&gt; 56 (3.1.0)
空中：61 -&gt; 56 (3.1.0)</t>
      </text>
    </comment>
    <comment authorId="0" ref="H85">
      <text>
        <t xml:space="preserve">カウンターダメージ倍率：
1.3倍 -&gt; 1.5倍 (13.0.0)</t>
      </text>
    </comment>
    <comment authorId="0" ref="F89">
      <text>
        <t xml:space="preserve">タイマンにおけるダメージは、基礎ダメージの1.2倍となる。
なお、OP相殺がかかっていない場合はさらに1.05倍。</t>
      </text>
    </comment>
    <comment authorId="0" ref="F94">
      <text>
        <t xml:space="preserve">タイマンにおけるダメージは、基礎ダメージの1.2倍となる。
なお、OP相殺がかかっていない場合はさらに1.05倍。</t>
      </text>
    </comment>
    <comment authorId="0" ref="O94">
      <text>
        <t xml:space="preserve">ワザに設定されているシールド削り値。通常のダメージに加え、この値だけシールドのHPが減少する。</t>
      </text>
    </comment>
    <comment authorId="0" ref="P94">
      <text>
        <t xml:space="preserve">ワザに設定されているヒットストップ倍率。電撃属性のワザはこの値が設定されていなくとも1.5倍となる。</t>
      </text>
    </comment>
    <comment authorId="0" ref="Q94">
      <text>
        <t xml:space="preserve">ワザに設定されているヒットストップずらしによる移動距離倍率。</t>
      </text>
    </comment>
    <comment authorId="0" ref="G113">
      <text>
        <t xml:space="preserve">タイマンにおけるダメージは、基礎ダメージの1.2倍となる。
なお、OP相殺がかかっていない場合はさらに1.05倍。</t>
      </text>
    </comment>
    <comment authorId="0" ref="D121">
      <text>
        <t xml:space="preserve">39 -&gt; 40 (8.0.0)</t>
      </text>
    </comment>
    <comment authorId="0" ref="D139">
      <text>
        <t xml:space="preserve">48 -&gt; 49 (8.0.0)</t>
      </text>
    </comment>
  </commentList>
</comments>
</file>

<file path=xl/comments5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U45">
      <text>
        <t xml:space="preserve">地上慣性が消えるフレーム。「-」はなし。</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着地隙が発生するフレーム区間のこと。</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F91">
      <text>
        <t xml:space="preserve">タイマンにおけるダメージは、基礎ダメージの1.2倍となる。
なお、OP相殺がかかっていない場合はさらに1.05倍。</t>
      </text>
    </comment>
    <comment authorId="0" ref="F96">
      <text>
        <t xml:space="preserve">タイマンにおけるダメージは、基礎ダメージの1.2倍となる。
なお、OP相殺がかかっていない場合はさらに1.05倍。</t>
      </text>
    </comment>
    <comment authorId="0" ref="O96">
      <text>
        <t xml:space="preserve">ワザに設定されているシールド削り値。通常のダメージに加え、この値だけシールドのHPが減少する。</t>
      </text>
    </comment>
    <comment authorId="0" ref="P96">
      <text>
        <t xml:space="preserve">ワザに設定されているヒットストップ倍率。電撃属性のワザはこの値が設定されていなくとも1.5倍となる。</t>
      </text>
    </comment>
    <comment authorId="0" ref="Q96">
      <text>
        <t xml:space="preserve">ワザに設定されているヒットストップずらしによる移動距離倍率。</t>
      </text>
    </comment>
    <comment authorId="0" ref="G115">
      <text>
        <t xml:space="preserve">タイマンにおけるダメージは、基礎ダメージの1.2倍となる。
なお、OP相殺がかかっていない場合はさらに1.05倍。</t>
      </text>
    </comment>
  </commentList>
</comments>
</file>

<file path=xl/comments5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3">
      <text>
        <t xml:space="preserve">反転ブレーキ時：なし</t>
      </text>
    </comment>
    <comment authorId="0" ref="C39">
      <text>
        <t xml:space="preserve">8-11 -&gt; 8-12 (2.0.0)</t>
      </text>
    </comment>
    <comment authorId="0" ref="H39">
      <text>
        <t xml:space="preserve">右足無敵 8-11F -&gt; 8-12F (2.0.0)</t>
      </text>
    </comment>
    <comment authorId="0" ref="C40">
      <text>
        <t xml:space="preserve">12-14 -&gt; 13-14 (2.0.0)</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I45">
      <text>
        <t xml:space="preserve">8 -&gt; 6 (2.0.0)</t>
      </text>
    </comment>
    <comment authorId="0" ref="I47">
      <text>
        <t xml:space="preserve">13 -&gt; 11 (1.1.0)</t>
      </text>
    </comment>
    <comment authorId="0" ref="I49">
      <text>
        <t xml:space="preserve">14 -&gt; 11 (2.0.0)</t>
      </text>
    </comment>
    <comment authorId="0" ref="E50">
      <text>
        <t xml:space="preserve">8 -&gt; 9 (2.0.0)</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C59">
      <text>
        <t xml:space="preserve">15,19,22,25 -&gt; 10,14,17,20 (4.0.0)</t>
      </text>
    </comment>
    <comment authorId="0" ref="D59">
      <text>
        <t xml:space="preserve">59 -&gt; 54 (4.0.0)</t>
      </text>
    </comment>
    <comment authorId="0" ref="E59">
      <text>
        <t xml:space="preserve">0.3/0.3/- -&gt; 0.4/0.4/3 (2.0.0)</t>
      </text>
    </comment>
    <comment authorId="0" ref="E60">
      <text>
        <t xml:space="preserve">0.3 -&gt; 0.4 (2.0.0)</t>
      </text>
    </comment>
    <comment authorId="0" ref="C61">
      <text>
        <t xml:space="preserve">28 -&gt; 23 (4.0.0)</t>
      </text>
    </comment>
    <comment authorId="0" ref="E61">
      <text>
        <t xml:space="preserve">0.4/0.4/- -&gt; 0.4/0..4/0.3 (3.1.0)</t>
      </text>
    </comment>
    <comment authorId="0" ref="E62">
      <text>
        <t xml:space="preserve">0.3 -&gt; 0.4 (2.0.0)</t>
      </text>
    </comment>
    <comment authorId="0" ref="E63">
      <text>
        <t xml:space="preserve">0.3 -&gt; 0.4 (2.0.0)</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D67">
      <text>
        <t xml:space="preserve">89 -&gt; 79 (2.0.0)</t>
      </text>
    </comment>
    <comment authorId="0" ref="D68">
      <text>
        <t xml:space="preserve">91 -&gt; 81 (2.0.0)</t>
      </text>
    </comment>
    <comment authorId="0" ref="D69">
      <text>
        <t xml:space="preserve">89 -&gt; 79 (2.0.0)</t>
      </text>
    </comment>
    <comment authorId="0" ref="D70">
      <text>
        <t xml:space="preserve">91 -&gt; 81 (2.0.0)</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73">
      <text>
        <t xml:space="preserve">1.5 -&gt; 2 (12.0.0)</t>
      </text>
    </comment>
    <comment authorId="0" ref="E74">
      <text>
        <t xml:space="preserve">1.5 -&gt; 2 (12.0.0)</t>
      </text>
    </comment>
    <comment authorId="0" ref="E75">
      <text>
        <t xml:space="preserve">1.5 -&gt; 2 (12.0.0)</t>
      </text>
    </comment>
    <comment authorId="0" ref="E76">
      <text>
        <t xml:space="preserve">1.5 -&gt; 2 (12.0.0)</t>
      </text>
    </comment>
    <comment authorId="0" ref="E77">
      <text>
        <t xml:space="preserve">1.5 -&gt; 2 (12.0.0)</t>
      </text>
    </comment>
    <comment authorId="0" ref="E79">
      <text>
        <t xml:space="preserve">5 -&gt; 7 (12.0.0)</t>
      </text>
    </comment>
    <comment authorId="0" ref="E80">
      <text>
        <t xml:space="preserve">5 -&gt; 7 (12.0.0)</t>
      </text>
    </comment>
    <comment authorId="0" ref="E81">
      <text>
        <t xml:space="preserve">ワザに設定されている基礎ダメージ量。実際の試合で与えるダメージ量は、タイマン補正・OP補正・小ジャンプ補正などにより変化するので注意。</t>
      </text>
    </comment>
    <comment authorId="0" ref="F81">
      <text>
        <t xml:space="preserve">タイマンにおけるダメージは、基礎ダメージの1.2倍となる。
なお、OP相殺がかかっていない場合はさらに1.05倍。</t>
      </text>
    </comment>
    <comment authorId="0" ref="O81">
      <text>
        <t xml:space="preserve">ワザに設定されているシールド削り値。通常のダメージに加え、この値だけシールドのHPが減少する。</t>
      </text>
    </comment>
    <comment authorId="0" ref="P81">
      <text>
        <t xml:space="preserve">ワザに設定されているヒットストップ倍率。電撃属性のワザはこの値が設定されていなくとも1.5倍となる。</t>
      </text>
    </comment>
    <comment authorId="0" ref="Q81">
      <text>
        <t xml:space="preserve">ワザに設定されているヒットストップずらしによる移動距離倍率。</t>
      </text>
    </comment>
    <comment authorId="0" ref="R81">
      <text>
        <t xml:space="preserve">ワザが相殺するかどうか。</t>
      </text>
    </comment>
    <comment authorId="0" ref="S81">
      <text>
        <t xml:space="preserve">ワザが相殺したときに、相殺モーションに移行するかどうか。</t>
      </text>
    </comment>
    <comment authorId="0" ref="U81">
      <text>
        <t xml:space="preserve">いわゆる「地ダ(地上ダッシュ)」「空ダ(空中ダッシュ)」のこと。</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R85">
      <text>
        <t xml:space="preserve">ワザが相殺するかどうか。</t>
      </text>
    </comment>
    <comment authorId="0" ref="S85">
      <text>
        <t xml:space="preserve">ワザが相殺したときに、相殺モーションに移行するかどうか。</t>
      </text>
    </comment>
    <comment authorId="0" ref="U85">
      <text>
        <t xml:space="preserve">いわゆる「地ダ(地上ダッシュ)」「空ダ(空中ダッシュ)」のこと。</t>
      </text>
    </comment>
    <comment authorId="0" ref="E92">
      <text>
        <t xml:space="preserve">ワザに設定されている基礎ダメージ量。実際の試合で与えるダメージ量は、タイマン補正・OP補正・小ジャンプ補正などにより変化するので注意。</t>
      </text>
    </comment>
    <comment authorId="0" ref="F92">
      <text>
        <t xml:space="preserve">タイマンにおけるダメージは、基礎ダメージの1.2倍となる。
なお、OP相殺がかかっていない場合はさらに1.05倍。</t>
      </text>
    </comment>
    <comment authorId="0" ref="O92">
      <text>
        <t xml:space="preserve">ワザに設定されているシールド削り値。通常のダメージに加え、この値だけシールドのHPが減少する。</t>
      </text>
    </comment>
    <comment authorId="0" ref="P92">
      <text>
        <t xml:space="preserve">ワザに設定されているヒットストップ倍率。電撃属性のワザはこの値が設定されていなくとも1.5倍となる。</t>
      </text>
    </comment>
    <comment authorId="0" ref="Q92">
      <text>
        <t xml:space="preserve">ワザに設定されているヒットストップずらしによる移動距離倍率。</t>
      </text>
    </comment>
    <comment authorId="0" ref="R92">
      <text>
        <t xml:space="preserve">ワザが相殺するかどうか。</t>
      </text>
    </comment>
    <comment authorId="0" ref="S92">
      <text>
        <t xml:space="preserve">ワザが相殺したときに、相殺モーションに移行するかどうか。</t>
      </text>
    </comment>
    <comment authorId="0" ref="U92">
      <text>
        <t xml:space="preserve">いわゆる「地ダ(地上ダッシュ)」「空ダ(空中ダッシュ)」のこと。</t>
      </text>
    </comment>
    <comment authorId="0" ref="E97">
      <text>
        <t xml:space="preserve">ワザに設定されている基礎ダメージ量。実際の試合で与えるダメージ量は、タイマン補正・OP補正・小ジャンプ補正などにより変化するので注意。</t>
      </text>
    </comment>
    <comment authorId="0" ref="F97">
      <text>
        <t xml:space="preserve">タイマンにおけるダメージは、基礎ダメージの1.2倍となる。
なお、OP相殺がかかっていない場合はさらに1.05倍。</t>
      </text>
    </comment>
    <comment authorId="0" ref="O97">
      <text>
        <t xml:space="preserve">ワザに設定されているシールド削り値。通常のダメージに加え、この値だけシールドのHPが減少する。</t>
      </text>
    </comment>
    <comment authorId="0" ref="P97">
      <text>
        <t xml:space="preserve">ワザに設定されているヒットストップ倍率。電撃属性のワザはこの値が設定されていなくとも1.5倍となる。</t>
      </text>
    </comment>
    <comment authorId="0" ref="Q97">
      <text>
        <t xml:space="preserve">ワザに設定されているヒットストップずらしによる移動距離倍率。</t>
      </text>
    </comment>
    <comment authorId="0" ref="R97">
      <text>
        <t xml:space="preserve">ワザが相殺するかどうか。</t>
      </text>
    </comment>
    <comment authorId="0" ref="S97">
      <text>
        <t xml:space="preserve">ワザが相殺したときに、相殺モーションに移行するかどうか。</t>
      </text>
    </comment>
    <comment authorId="0" ref="U97">
      <text>
        <t xml:space="preserve">いわゆる「地ダ(地上ダッシュ)」「空ダ(空中ダッシュ)」のこと。</t>
      </text>
    </comment>
    <comment authorId="0" ref="E105">
      <text>
        <t xml:space="preserve">ワザに設定されている基礎ダメージ量。実際の試合で与えるダメージ量は、タイマン補正・OP補正・小ジャンプ補正などにより変化するので注意。</t>
      </text>
    </comment>
    <comment authorId="0" ref="F105">
      <text>
        <t xml:space="preserve">タイマンにおけるダメージは、基礎ダメージの1.2倍となる。
なお、OP相殺がかかっていない場合はさらに1.05倍。</t>
      </text>
    </comment>
    <comment authorId="0" ref="O105">
      <text>
        <t xml:space="preserve">ワザに設定されているシールド削り値。通常のダメージに加え、この値だけシールドのHPが減少する。</t>
      </text>
    </comment>
    <comment authorId="0" ref="P105">
      <text>
        <t xml:space="preserve">ワザに設定されているヒットストップ倍率。電撃属性のワザはこの値が設定されていなくとも1.5倍となる。</t>
      </text>
    </comment>
    <comment authorId="0" ref="Q105">
      <text>
        <t xml:space="preserve">ワザに設定されているヒットストップずらしによる移動距離倍率。</t>
      </text>
    </comment>
    <comment authorId="0" ref="R105">
      <text>
        <t xml:space="preserve">ワザが相殺するかどうか。</t>
      </text>
    </comment>
    <comment authorId="0" ref="S105">
      <text>
        <t xml:space="preserve">ワザが相殺したときに、相殺モーションに移行するかどうか。</t>
      </text>
    </comment>
    <comment authorId="0" ref="U105">
      <text>
        <t xml:space="preserve">いわゆる「地ダ(地上ダッシュ)」「空ダ(空中ダッシュ)」のこと。</t>
      </text>
    </comment>
    <comment authorId="0" ref="E108">
      <text>
        <t xml:space="preserve">ワザに設定されている基礎ダメージ量。実際の試合で与えるダメージ量は、タイマン補正・OP補正・小ジャンプ補正などにより変化するので注意。</t>
      </text>
    </comment>
    <comment authorId="0" ref="F108">
      <text>
        <t xml:space="preserve">タイマンにおけるダメージは、基礎ダメージの1.2倍となる。
なお、OP相殺がかかっていない場合はさらに1.05倍。</t>
      </text>
    </comment>
    <comment authorId="0" ref="O108">
      <text>
        <t xml:space="preserve">ワザに設定されているシールド削り値。通常のダメージに加え、この値だけシールドのHPが減少する。</t>
      </text>
    </comment>
    <comment authorId="0" ref="P108">
      <text>
        <t xml:space="preserve">ワザに設定されているヒットストップ倍率。電撃属性のワザはこの値が設定されていなくとも1.5倍となる。</t>
      </text>
    </comment>
    <comment authorId="0" ref="Q108">
      <text>
        <t xml:space="preserve">ワザに設定されているヒットストップずらしによる移動距離倍率。</t>
      </text>
    </comment>
    <comment authorId="0" ref="R108">
      <text>
        <t xml:space="preserve">ワザが相殺するかどうか。</t>
      </text>
    </comment>
    <comment authorId="0" ref="S108">
      <text>
        <t xml:space="preserve">ワザが相殺したときに、相殺モーションに移行するかどうか。</t>
      </text>
    </comment>
    <comment authorId="0" ref="U108">
      <text>
        <t xml:space="preserve">いわゆる「地ダ(地上ダッシュ)」「空ダ(空中ダッシュ)」のこと。</t>
      </text>
    </comment>
    <comment authorId="0" ref="E121">
      <text>
        <t xml:space="preserve">ワザに設定されている基礎ダメージ量。実際の試合で与えるダメージ量は、タイマン補正・OP補正・小ジャンプ補正などにより変化するので注意。</t>
      </text>
    </comment>
    <comment authorId="0" ref="F121">
      <text>
        <t xml:space="preserve">タイマンにおけるダメージは、基礎ダメージの1.2倍となる。
なお、OP相殺がかかっていない場合はさらに1.05倍。</t>
      </text>
    </comment>
    <comment authorId="0" ref="O121">
      <text>
        <t xml:space="preserve">ワザに設定されているシールド削り値。通常のダメージに加え、この値だけシールドのHPが減少する。</t>
      </text>
    </comment>
    <comment authorId="0" ref="P121">
      <text>
        <t xml:space="preserve">ワザに設定されているヒットストップ倍率。電撃属性のワザはこの値が設定されていなくとも1.5倍となる。</t>
      </text>
    </comment>
    <comment authorId="0" ref="Q121">
      <text>
        <t xml:space="preserve">ワザに設定されているヒットストップずらしによる移動距離倍率。</t>
      </text>
    </comment>
    <comment authorId="0" ref="R121">
      <text>
        <t xml:space="preserve">ワザが相殺するかどうか。</t>
      </text>
    </comment>
    <comment authorId="0" ref="S121">
      <text>
        <t xml:space="preserve">ワザが相殺したときに、相殺モーションに移行するかどうか。</t>
      </text>
    </comment>
    <comment authorId="0" ref="U121">
      <text>
        <t xml:space="preserve">いわゆる「地ダ(地上ダッシュ)」「空ダ(空中ダッシュ)」のこと。</t>
      </text>
    </comment>
    <comment authorId="0" ref="E127">
      <text>
        <t xml:space="preserve">ワザに設定されている基礎ダメージ量。実際の試合で与えるダメージ量は、タイマン補正・OP補正・小ジャンプ補正などにより変化するので注意。</t>
      </text>
    </comment>
    <comment authorId="0" ref="F127">
      <text>
        <t xml:space="preserve">タイマンにおけるダメージは、基礎ダメージの1.2倍となる。
なお、OP相殺がかかっていない場合はさらに1.05倍。</t>
      </text>
    </comment>
    <comment authorId="0" ref="O127">
      <text>
        <t xml:space="preserve">ワザに設定されているシールド削り値。通常のダメージに加え、この値だけシールドのHPが減少する。</t>
      </text>
    </comment>
    <comment authorId="0" ref="P127">
      <text>
        <t xml:space="preserve">ワザに設定されているヒットストップ倍率。電撃属性のワザはこの値が設定されていなくとも1.5倍となる。</t>
      </text>
    </comment>
    <comment authorId="0" ref="Q127">
      <text>
        <t xml:space="preserve">ワザに設定されているヒットストップずらしによる移動距離倍率。</t>
      </text>
    </comment>
    <comment authorId="0" ref="R127">
      <text>
        <t xml:space="preserve">ワザが相殺するかどうか。</t>
      </text>
    </comment>
    <comment authorId="0" ref="S127">
      <text>
        <t xml:space="preserve">ワザが相殺したときに、相殺モーションに移行するかどうか。</t>
      </text>
    </comment>
    <comment authorId="0" ref="U127">
      <text>
        <t xml:space="preserve">いわゆる「地ダ(地上ダッシュ)」「空ダ(空中ダッシュ)」のこと。</t>
      </text>
    </comment>
    <comment authorId="0" ref="F134">
      <text>
        <t xml:space="preserve">タイマンにおけるダメージは、基礎ダメージの1.2倍となる。
なお、OP相殺がかかっていない場合はさらに1.05倍。</t>
      </text>
    </comment>
    <comment authorId="0" ref="F139">
      <text>
        <t xml:space="preserve">タイマンにおけるダメージは、基礎ダメージの1.2倍となる。
なお、OP相殺がかかっていない場合はさらに1.05倍。</t>
      </text>
    </comment>
    <comment authorId="0" ref="O139">
      <text>
        <t xml:space="preserve">ワザに設定されているシールド削り値。通常のダメージに加え、この値だけシールドのHPが減少する。</t>
      </text>
    </comment>
    <comment authorId="0" ref="P139">
      <text>
        <t xml:space="preserve">ワザに設定されているヒットストップ倍率。電撃属性のワザはこの値が設定されていなくとも1.5倍となる。</t>
      </text>
    </comment>
    <comment authorId="0" ref="Q139">
      <text>
        <t xml:space="preserve">ワザに設定されているヒットストップずらしによる移動距離倍率。</t>
      </text>
    </comment>
    <comment authorId="0" ref="G158">
      <text>
        <t xml:space="preserve">タイマンにおけるダメージは、基礎ダメージの1.2倍となる。
なお、OP相殺がかかっていない場合はさらに1.05倍。</t>
      </text>
    </comment>
  </commentList>
</comments>
</file>

<file path=xl/comments5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0">
      <text>
        <t xml:space="preserve">反転ブレーキ時：なし</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G41">
      <text>
        <t xml:space="preserve">小ジャンプで空中攻撃を出すと、与えるダメージ量が0.85倍になる。タイマン補正も含めると、1.2 * 0.85で1.02倍。</t>
      </text>
    </comment>
    <comment authorId="0" ref="J41">
      <text>
        <t xml:space="preserve">着地隙が発生するフレーム区間のこと。</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E53">
      <text>
        <t xml:space="preserve">ワザに設定されている基礎ダメージ量。実際の試合で与えるダメージ量は、タイマン補正・OP補正・小ジャンプ補正などにより変化するので注意。</t>
      </text>
    </comment>
    <comment authorId="0" ref="F53">
      <text>
        <t xml:space="preserve">タイマンにおけるダメージは、基礎ダメージの1.2倍となる。
なお、OP相殺がかかっていない場合はさらに1.05倍。</t>
      </text>
    </comment>
    <comment authorId="0" ref="O53">
      <text>
        <t xml:space="preserve">ワザに設定されているシールド削り値。通常のダメージに加え、この値だけシールドのHPが減少する。</t>
      </text>
    </comment>
    <comment authorId="0" ref="P53">
      <text>
        <t xml:space="preserve">ワザに設定されているヒットストップ倍率。電撃属性のワザはこの値が設定されていなくとも1.5倍となる。</t>
      </text>
    </comment>
    <comment authorId="0" ref="Q53">
      <text>
        <t xml:space="preserve">ワザに設定されているヒットストップずらしによる移動距離倍率。</t>
      </text>
    </comment>
    <comment authorId="0" ref="R53">
      <text>
        <t xml:space="preserve">ワザが相殺するかどうか。</t>
      </text>
    </comment>
    <comment authorId="0" ref="S53">
      <text>
        <t xml:space="preserve">ワザが相殺したときに、相殺モーションに移行するかどうか。</t>
      </text>
    </comment>
    <comment authorId="0" ref="U53">
      <text>
        <t xml:space="preserve">いわゆる「地ダ(地上ダッシュ)」「空ダ(空中ダッシュ)」のこと。</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68">
      <text>
        <t xml:space="preserve">12 -&gt; 14 (12.0.0)</t>
      </text>
    </comment>
    <comment authorId="0" ref="E70">
      <text>
        <t xml:space="preserve">12 -&gt; 14 (12.0.0)</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R79">
      <text>
        <t xml:space="preserve">ワザが相殺するかどうか。</t>
      </text>
    </comment>
    <comment authorId="0" ref="S79">
      <text>
        <t xml:space="preserve">ワザが相殺したときに、相殺モーションに移行するかどうか。</t>
      </text>
    </comment>
    <comment authorId="0" ref="U79">
      <text>
        <t xml:space="preserve">いわゆる「地ダ(地上ダッシュ)」「空ダ(空中ダッシュ)」のこと。</t>
      </text>
    </comment>
    <comment authorId="0" ref="E82">
      <text>
        <t xml:space="preserve">5 -&gt; 8 (12.0.0)</t>
      </text>
    </comment>
    <comment authorId="0" ref="E83">
      <text>
        <t xml:space="preserve">ワザに設定されている基礎ダメージ量。実際の試合で与えるダメージ量は、タイマン補正・OP補正・小ジャンプ補正などにより変化するので注意。</t>
      </text>
    </comment>
    <comment authorId="0" ref="F83">
      <text>
        <t xml:space="preserve">タイマンにおけるダメージは、基礎ダメージの1.2倍となる。
なお、OP相殺がかかっていない場合はさらに1.05倍。</t>
      </text>
    </comment>
    <comment authorId="0" ref="O83">
      <text>
        <t xml:space="preserve">ワザに設定されているシールド削り値。通常のダメージに加え、この値だけシールドのHPが減少する。</t>
      </text>
    </comment>
    <comment authorId="0" ref="P83">
      <text>
        <t xml:space="preserve">ワザに設定されているヒットストップ倍率。電撃属性のワザはこの値が設定されていなくとも1.5倍となる。</t>
      </text>
    </comment>
    <comment authorId="0" ref="Q83">
      <text>
        <t xml:space="preserve">ワザに設定されているヒットストップずらしによる移動距離倍率。</t>
      </text>
    </comment>
    <comment authorId="0" ref="R83">
      <text>
        <t xml:space="preserve">ワザが相殺するかどうか。</t>
      </text>
    </comment>
    <comment authorId="0" ref="S83">
      <text>
        <t xml:space="preserve">ワザが相殺したときに、相殺モーションに移行するかどうか。</t>
      </text>
    </comment>
    <comment authorId="0" ref="U83">
      <text>
        <t xml:space="preserve">いわゆる「地ダ(地上ダッシュ)」「空ダ(空中ダッシュ)」のこと。</t>
      </text>
    </comment>
    <comment authorId="0" ref="E87">
      <text>
        <t xml:space="preserve">ワザに設定されている基礎ダメージ量。実際の試合で与えるダメージ量は、タイマン補正・OP補正・小ジャンプ補正などにより変化するので注意。</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R87">
      <text>
        <t xml:space="preserve">ワザが相殺するかどうか。</t>
      </text>
    </comment>
    <comment authorId="0" ref="S87">
      <text>
        <t xml:space="preserve">ワザが相殺したときに、相殺モーションに移行するかどうか。</t>
      </text>
    </comment>
    <comment authorId="0" ref="U87">
      <text>
        <t xml:space="preserve">いわゆる「地ダ(地上ダッシュ)」「空ダ(空中ダッシュ)」のこと。</t>
      </text>
    </comment>
    <comment authorId="0" ref="E101">
      <text>
        <t xml:space="preserve">ワザに設定されている基礎ダメージ量。実際の試合で与えるダメージ量は、タイマン補正・OP補正・小ジャンプ補正などにより変化するので注意。</t>
      </text>
    </comment>
    <comment authorId="0" ref="F101">
      <text>
        <t xml:space="preserve">タイマンにおけるダメージは、基礎ダメージの1.2倍となる。
なお、OP相殺がかかっていない場合はさらに1.05倍。</t>
      </text>
    </comment>
    <comment authorId="0" ref="O101">
      <text>
        <t xml:space="preserve">ワザに設定されているシールド削り値。通常のダメージに加え、この値だけシールドのHPが減少する。</t>
      </text>
    </comment>
    <comment authorId="0" ref="P101">
      <text>
        <t xml:space="preserve">ワザに設定されているヒットストップ倍率。電撃属性のワザはこの値が設定されていなくとも1.5倍となる。</t>
      </text>
    </comment>
    <comment authorId="0" ref="Q101">
      <text>
        <t xml:space="preserve">ワザに設定されているヒットストップずらしによる移動距離倍率。</t>
      </text>
    </comment>
    <comment authorId="0" ref="R101">
      <text>
        <t xml:space="preserve">ワザが相殺するかどうか。</t>
      </text>
    </comment>
    <comment authorId="0" ref="S101">
      <text>
        <t xml:space="preserve">ワザが相殺したときに、相殺モーションに移行するかどうか。</t>
      </text>
    </comment>
    <comment authorId="0" ref="U101">
      <text>
        <t xml:space="preserve">いわゆる「地ダ(地上ダッシュ)」「空ダ(空中ダッシュ)」のこと。</t>
      </text>
    </comment>
    <comment authorId="0" ref="C102">
      <text>
        <t xml:space="preserve">6-25F -&gt; 5-25F (12.0.0)</t>
      </text>
    </comment>
    <comment authorId="0" ref="H102">
      <text>
        <t xml:space="preserve">全身無敵：5-6F &gt; 4-6F (12.0.0)
カウンター受付：6-25F &gt; 5-25F (12.0.0)</t>
      </text>
    </comment>
    <comment authorId="0" ref="D104">
      <text>
        <t xml:space="preserve">40 -&gt; 38 (12.0.0)</t>
      </text>
    </comment>
    <comment authorId="0" ref="D105">
      <text>
        <t xml:space="preserve">43 -&gt; 41 (12.0.0)</t>
      </text>
    </comment>
    <comment authorId="0" ref="E106">
      <text>
        <t xml:space="preserve">ワザに設定されている基礎ダメージ量。実際の試合で与えるダメージ量は、タイマン補正・OP補正・小ジャンプ補正などにより変化するので注意。</t>
      </text>
    </comment>
    <comment authorId="0" ref="F106">
      <text>
        <t xml:space="preserve">タイマンにおけるダメージは、基礎ダメージの1.2倍となる。
なお、OP相殺がかかっていない場合はさらに1.05倍。</t>
      </text>
    </comment>
    <comment authorId="0" ref="O106">
      <text>
        <t xml:space="preserve">ワザに設定されているシールド削り値。通常のダメージに加え、この値だけシールドのHPが減少する。</t>
      </text>
    </comment>
    <comment authorId="0" ref="P106">
      <text>
        <t xml:space="preserve">ワザに設定されているヒットストップ倍率。電撃属性のワザはこの値が設定されていなくとも1.5倍となる。</t>
      </text>
    </comment>
    <comment authorId="0" ref="Q106">
      <text>
        <t xml:space="preserve">ワザに設定されているヒットストップずらしによる移動距離倍率。</t>
      </text>
    </comment>
    <comment authorId="0" ref="R106">
      <text>
        <t xml:space="preserve">ワザが相殺するかどうか。</t>
      </text>
    </comment>
    <comment authorId="0" ref="S106">
      <text>
        <t xml:space="preserve">ワザが相殺したときに、相殺モーションに移行するかどうか。</t>
      </text>
    </comment>
    <comment authorId="0" ref="U106">
      <text>
        <t xml:space="preserve">いわゆる「地ダ(地上ダッシュ)」「空ダ(空中ダッシュ)」のこと。</t>
      </text>
    </comment>
    <comment authorId="0" ref="E108">
      <text>
        <t xml:space="preserve">ワザに設定されている基礎ダメージ量。実際の試合で与えるダメージ量は、タイマン補正・OP補正・小ジャンプ補正などにより変化するので注意。</t>
      </text>
    </comment>
    <comment authorId="0" ref="F108">
      <text>
        <t xml:space="preserve">タイマンにおけるダメージは、基礎ダメージの1.2倍となる。
なお、OP相殺がかかっていない場合はさらに1.05倍。</t>
      </text>
    </comment>
    <comment authorId="0" ref="O108">
      <text>
        <t xml:space="preserve">ワザに設定されているシールド削り値。通常のダメージに加え、この値だけシールドのHPが減少する。</t>
      </text>
    </comment>
    <comment authorId="0" ref="P108">
      <text>
        <t xml:space="preserve">ワザに設定されているヒットストップ倍率。電撃属性のワザはこの値が設定されていなくとも1.5倍となる。</t>
      </text>
    </comment>
    <comment authorId="0" ref="Q108">
      <text>
        <t xml:space="preserve">ワザに設定されているヒットストップずらしによる移動距離倍率。</t>
      </text>
    </comment>
    <comment authorId="0" ref="R108">
      <text>
        <t xml:space="preserve">ワザが相殺するかどうか。</t>
      </text>
    </comment>
    <comment authorId="0" ref="S108">
      <text>
        <t xml:space="preserve">ワザが相殺したときに、相殺モーションに移行するかどうか。</t>
      </text>
    </comment>
    <comment authorId="0" ref="U108">
      <text>
        <t xml:space="preserve">いわゆる「地ダ(地上ダッシュ)」「空ダ(空中ダッシュ)」のこと。</t>
      </text>
    </comment>
    <comment authorId="0" ref="C109">
      <text>
        <t xml:space="preserve">12-14 -&gt; 14-16 (12.0.0)</t>
      </text>
    </comment>
    <comment authorId="0" ref="D109">
      <text>
        <t xml:space="preserve">61 -&gt; 59 (12.0.0)</t>
      </text>
    </comment>
    <comment authorId="0" ref="C110">
      <text>
        <t xml:space="preserve">17-24 -&gt; 15-22 (12.0.0)</t>
      </text>
    </comment>
    <comment authorId="0" ref="C111">
      <text>
        <t xml:space="preserve">25-32 -&gt; 23-30 (12.0.0)</t>
      </text>
    </comment>
    <comment authorId="0" ref="C112">
      <text>
        <t xml:space="preserve">16-18 -&gt; 14-16 (12.0.0)</t>
      </text>
    </comment>
    <comment authorId="0" ref="D112">
      <text>
        <t xml:space="preserve">60 -&gt; 58 (12.0.0)</t>
      </text>
    </comment>
    <comment authorId="0" ref="C113">
      <text>
        <t xml:space="preserve">19-26 -&gt; 17-24 (12.0.0)</t>
      </text>
    </comment>
    <comment authorId="0" ref="C114">
      <text>
        <t xml:space="preserve">27-31 -&gt; 25-29 (12.0.0)</t>
      </text>
    </comment>
    <comment authorId="0" ref="F118">
      <text>
        <t xml:space="preserve">タイマンにおけるダメージは、基礎ダメージの1.2倍となる。
なお、OP相殺がかかっていない場合はさらに1.05倍。</t>
      </text>
    </comment>
    <comment authorId="0" ref="F123">
      <text>
        <t xml:space="preserve">タイマンにおけるダメージは、基礎ダメージの1.2倍となる。
なお、OP相殺がかかっていない場合はさらに1.05倍。</t>
      </text>
    </comment>
    <comment authorId="0" ref="O123">
      <text>
        <t xml:space="preserve">ワザに設定されているシールド削り値。通常のダメージに加え、この値だけシールドのHPが減少する。</t>
      </text>
    </comment>
    <comment authorId="0" ref="P123">
      <text>
        <t xml:space="preserve">ワザに設定されているヒットストップ倍率。電撃属性のワザはこの値が設定されていなくとも1.5倍となる。</t>
      </text>
    </comment>
    <comment authorId="0" ref="Q123">
      <text>
        <t xml:space="preserve">ワザに設定されているヒットストップずらしによる移動距離倍率。</t>
      </text>
    </comment>
    <comment authorId="0" ref="G142">
      <text>
        <t xml:space="preserve">タイマンにおけるダメージは、基礎ダメージの1.2倍となる。
なお、OP相殺がかかっていない場合はさらに1.05倍。</t>
      </text>
    </comment>
  </commentList>
</comments>
</file>

<file path=xl/comments5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着地隙が発生するフレーム区間のこと。</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J51">
      <text>
        <t xml:space="preserve">1-48 -&gt; 1-43 (2.0.0)</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D77">
      <text>
        <t xml:space="preserve">? -&gt; 70 (1.1.0)</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R79">
      <text>
        <t xml:space="preserve">ワザが相殺するかどうか。</t>
      </text>
    </comment>
    <comment authorId="0" ref="S79">
      <text>
        <t xml:space="preserve">ワザが相殺したときに、相殺モーションに移行するかどうか。</t>
      </text>
    </comment>
    <comment authorId="0" ref="U79">
      <text>
        <t xml:space="preserve">いわゆる「地ダ(地上ダッシュ)」「空ダ(空中ダッシュ)」のこと。</t>
      </text>
    </comment>
    <comment authorId="0" ref="E82">
      <text>
        <t xml:space="preserve">ワザに設定されている基礎ダメージ量。実際の試合で与えるダメージ量は、タイマン補正・OP補正・小ジャンプ補正などにより変化するので注意。</t>
      </text>
    </comment>
    <comment authorId="0" ref="F82">
      <text>
        <t xml:space="preserve">タイマンにおけるダメージは、基礎ダメージの1.2倍となる。
なお、OP相殺がかかっていない場合はさらに1.05倍。</t>
      </text>
    </comment>
    <comment authorId="0" ref="O82">
      <text>
        <t xml:space="preserve">ワザに設定されているシールド削り値。通常のダメージに加え、この値だけシールドのHPが減少する。</t>
      </text>
    </comment>
    <comment authorId="0" ref="P82">
      <text>
        <t xml:space="preserve">ワザに設定されているヒットストップ倍率。電撃属性のワザはこの値が設定されていなくとも1.5倍となる。</t>
      </text>
    </comment>
    <comment authorId="0" ref="Q82">
      <text>
        <t xml:space="preserve">ワザに設定されているヒットストップずらしによる移動距離倍率。</t>
      </text>
    </comment>
    <comment authorId="0" ref="R82">
      <text>
        <t xml:space="preserve">ワザが相殺するかどうか。</t>
      </text>
    </comment>
    <comment authorId="0" ref="S82">
      <text>
        <t xml:space="preserve">ワザが相殺したときに、相殺モーションに移行するかどうか。</t>
      </text>
    </comment>
    <comment authorId="0" ref="U82">
      <text>
        <t xml:space="preserve">いわゆる「地ダ(地上ダッシュ)」「空ダ(空中ダッシュ)」のこと。</t>
      </text>
    </comment>
    <comment authorId="0" ref="C83">
      <text>
        <t xml:space="preserve">12-25 -&gt; 10-23 (12.0.0)</t>
      </text>
    </comment>
    <comment authorId="0" ref="H83">
      <text>
        <t xml:space="preserve">ガケつかまり(前)：
15F目以降 -&gt; 13F目以降 (12.0.0)</t>
      </text>
    </comment>
    <comment authorId="0" ref="E84">
      <text>
        <t xml:space="preserve">ワザに設定されている基礎ダメージ量。実際の試合で与えるダメージ量は、タイマン補正・OP補正・小ジャンプ補正などにより変化するので注意。</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R84">
      <text>
        <t xml:space="preserve">ワザが相殺するかどうか。</t>
      </text>
    </comment>
    <comment authorId="0" ref="S84">
      <text>
        <t xml:space="preserve">ワザが相殺したときに、相殺モーションに移行するかどうか。</t>
      </text>
    </comment>
    <comment authorId="0" ref="U84">
      <text>
        <t xml:space="preserve">いわゆる「地ダ(地上ダッシュ)」「空ダ(空中ダッシュ)」のこと。</t>
      </text>
    </comment>
    <comment authorId="0" ref="H85">
      <text>
        <t xml:space="preserve">全身無敵：6F目 -&gt; 5-7F (12.0.0)</t>
      </text>
    </comment>
    <comment authorId="0" ref="E88">
      <text>
        <t xml:space="preserve">ワザに設定されている基礎ダメージ量。実際の試合で与えるダメージ量は、タイマン補正・OP補正・小ジャンプ補正などにより変化するので注意。</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R88">
      <text>
        <t xml:space="preserve">ワザが相殺するかどうか。</t>
      </text>
    </comment>
    <comment authorId="0" ref="S88">
      <text>
        <t xml:space="preserve">ワザが相殺したときに、相殺モーションに移行するかどうか。</t>
      </text>
    </comment>
    <comment authorId="0" ref="U88">
      <text>
        <t xml:space="preserve">いわゆる「地ダ(地上ダッシュ)」「空ダ(空中ダッシュ)」のこと。</t>
      </text>
    </comment>
    <comment authorId="0" ref="E90">
      <text>
        <t xml:space="preserve">ワザに設定されている基礎ダメージ量。実際の試合で与えるダメージ量は、タイマン補正・OP補正・小ジャンプ補正などにより変化するので注意。</t>
      </text>
    </comment>
    <comment authorId="0" ref="F90">
      <text>
        <t xml:space="preserve">タイマンにおけるダメージは、基礎ダメージの1.2倍となる。
なお、OP相殺がかかっていない場合はさらに1.05倍。</t>
      </text>
    </comment>
    <comment authorId="0" ref="O90">
      <text>
        <t xml:space="preserve">ワザに設定されているシールド削り値。通常のダメージに加え、この値だけシールドのHPが減少する。</t>
      </text>
    </comment>
    <comment authorId="0" ref="P90">
      <text>
        <t xml:space="preserve">ワザに設定されているヒットストップ倍率。電撃属性のワザはこの値が設定されていなくとも1.5倍となる。</t>
      </text>
    </comment>
    <comment authorId="0" ref="Q90">
      <text>
        <t xml:space="preserve">ワザに設定されているヒットストップずらしによる移動距離倍率。</t>
      </text>
    </comment>
    <comment authorId="0" ref="R90">
      <text>
        <t xml:space="preserve">ワザが相殺するかどうか。</t>
      </text>
    </comment>
    <comment authorId="0" ref="S90">
      <text>
        <t xml:space="preserve">ワザが相殺したときに、相殺モーションに移行するかどうか。</t>
      </text>
    </comment>
    <comment authorId="0" ref="U90">
      <text>
        <t xml:space="preserve">いわゆる「地ダ(地上ダッシュ)」「空ダ(空中ダッシュ)」のこと。</t>
      </text>
    </comment>
    <comment authorId="0" ref="D91">
      <text>
        <t xml:space="preserve">40 -&gt; 38 (1.1.0)</t>
      </text>
    </comment>
    <comment authorId="0" ref="D92">
      <text>
        <t xml:space="preserve">17 -&gt; 15 (1.1.0)</t>
      </text>
    </comment>
    <comment authorId="0" ref="E94">
      <text>
        <t xml:space="preserve">ワザに設定されている基礎ダメージ量。実際の試合で与えるダメージ量は、タイマン補正・OP補正・小ジャンプ補正などにより変化するので注意。</t>
      </text>
    </comment>
    <comment authorId="0" ref="F94">
      <text>
        <t xml:space="preserve">タイマンにおけるダメージは、基礎ダメージの1.2倍となる。
なお、OP相殺がかかっていない場合はさらに1.05倍。</t>
      </text>
    </comment>
    <comment authorId="0" ref="O94">
      <text>
        <t xml:space="preserve">ワザに設定されているシールド削り値。通常のダメージに加え、この値だけシールドのHPが減少する。</t>
      </text>
    </comment>
    <comment authorId="0" ref="P94">
      <text>
        <t xml:space="preserve">ワザに設定されているヒットストップ倍率。電撃属性のワザはこの値が設定されていなくとも1.5倍となる。</t>
      </text>
    </comment>
    <comment authorId="0" ref="Q94">
      <text>
        <t xml:space="preserve">ワザに設定されているヒットストップずらしによる移動距離倍率。</t>
      </text>
    </comment>
    <comment authorId="0" ref="R94">
      <text>
        <t xml:space="preserve">ワザが相殺するかどうか。</t>
      </text>
    </comment>
    <comment authorId="0" ref="S94">
      <text>
        <t xml:space="preserve">ワザが相殺したときに、相殺モーションに移行するかどうか。</t>
      </text>
    </comment>
    <comment authorId="0" ref="U94">
      <text>
        <t xml:space="preserve">いわゆる「地ダ(地上ダッシュ)」「空ダ(空中ダッシュ)」のこと。</t>
      </text>
    </comment>
    <comment authorId="0" ref="E97">
      <text>
        <t xml:space="preserve">ワザに設定されている基礎ダメージ量。実際の試合で与えるダメージ量は、タイマン補正・OP補正・小ジャンプ補正などにより変化するので注意。</t>
      </text>
    </comment>
    <comment authorId="0" ref="F97">
      <text>
        <t xml:space="preserve">タイマンにおけるダメージは、基礎ダメージの1.2倍となる。
なお、OP相殺がかかっていない場合はさらに1.05倍。</t>
      </text>
    </comment>
    <comment authorId="0" ref="O97">
      <text>
        <t xml:space="preserve">ワザに設定されているシールド削り値。通常のダメージに加え、この値だけシールドのHPが減少する。</t>
      </text>
    </comment>
    <comment authorId="0" ref="P97">
      <text>
        <t xml:space="preserve">ワザに設定されているヒットストップ倍率。電撃属性のワザはこの値が設定されていなくとも1.5倍となる。</t>
      </text>
    </comment>
    <comment authorId="0" ref="Q97">
      <text>
        <t xml:space="preserve">ワザに設定されているヒットストップずらしによる移動距離倍率。</t>
      </text>
    </comment>
    <comment authorId="0" ref="R97">
      <text>
        <t xml:space="preserve">ワザが相殺するかどうか。</t>
      </text>
    </comment>
    <comment authorId="0" ref="S97">
      <text>
        <t xml:space="preserve">ワザが相殺したときに、相殺モーションに移行するかどうか。</t>
      </text>
    </comment>
    <comment authorId="0" ref="U97">
      <text>
        <t xml:space="preserve">いわゆる「地ダ(地上ダッシュ)」「空ダ(空中ダッシュ)」のこと。</t>
      </text>
    </comment>
    <comment authorId="0" ref="D98">
      <text>
        <t xml:space="preserve">27 -&gt; 24 (12.0.0)</t>
      </text>
    </comment>
    <comment authorId="0" ref="C99">
      <text>
        <t xml:space="preserve">1-2 -&gt; 1 (12.0.0)</t>
      </text>
    </comment>
    <comment authorId="0" ref="D99">
      <text>
        <t xml:space="preserve">9 -&gt; 6 (12.0.0)</t>
      </text>
    </comment>
    <comment authorId="0" ref="F103">
      <text>
        <t xml:space="preserve">タイマンにおけるダメージは、基礎ダメージの1.2倍となる。
なお、OP相殺がかかっていない場合はさらに1.05倍。</t>
      </text>
    </comment>
    <comment authorId="0" ref="E108">
      <text>
        <t xml:space="preserve">重量依存有りの場合、体重100の敵に対しての全体フレームを記載。</t>
      </text>
    </comment>
    <comment authorId="0" ref="G108">
      <text>
        <t xml:space="preserve">タイマンにおけるダメージは、基礎ダメージの1.2倍となる。
なお、OP相殺がかかっていない場合はさらに1.05倍。</t>
      </text>
    </comment>
    <comment authorId="0" ref="P108">
      <text>
        <t xml:space="preserve">ワザに設定されているシールド削り値。通常のダメージに加え、この値だけシールドのHPが減少する。</t>
      </text>
    </comment>
    <comment authorId="0" ref="Q108">
      <text>
        <t xml:space="preserve">ワザに設定されているヒットストップ倍率。電撃属性のワザはこの値が設定されていなくとも1.5倍となる。</t>
      </text>
    </comment>
    <comment authorId="0" ref="R108">
      <text>
        <t xml:space="preserve">ワザに設定されているヒットストップずらしによる移動距離倍率。</t>
      </text>
    </comment>
    <comment authorId="0" ref="D114">
      <text>
        <t xml:space="preserve">49 -&gt; 51 (1.1.0?)</t>
      </text>
    </comment>
    <comment authorId="0" ref="D119">
      <text>
        <t xml:space="preserve">42 -&gt; 40 (1.1.0?)</t>
      </text>
    </comment>
    <comment authorId="0" ref="G131">
      <text>
        <t xml:space="preserve">タイマンにおけるダメージは、基礎ダメージの1.2倍となる。
なお、OP相殺がかかっていない場合はさらに1.05倍。</t>
      </text>
    </comment>
  </commentList>
</comments>
</file>

<file path=xl/comments5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D30">
      <text>
        <t xml:space="preserve">37 -&gt; 40 (11.0.0)</t>
      </text>
    </comment>
    <comment authorId="0" ref="U32">
      <text>
        <t xml:space="preserve">反転ブレーキ時：なし</t>
      </text>
    </comment>
    <comment authorId="0" ref="E35">
      <text>
        <t xml:space="preserve">2.5 - &gt; 4.5 (7.0.0)</t>
      </text>
    </comment>
    <comment authorId="0" ref="E48">
      <text>
        <t xml:space="preserve">ワザに設定されている基礎ダメージ量。実際の試合で与えるダメージ量は、タイマン補正・OP補正・小ジャンプ補正などにより変化するので注意。</t>
      </text>
    </comment>
    <comment authorId="0" ref="F48">
      <text>
        <t xml:space="preserve">タイマンにおけるダメージは、基礎ダメージの1.2倍となる。
なお、OP相殺がかかっていない場合はさらに1.05倍。</t>
      </text>
    </comment>
    <comment authorId="0" ref="G48">
      <text>
        <t xml:space="preserve">小ジャンプで空中攻撃を出すと、与えるダメージ量が0.85倍になる。タイマン補正も含めると、1.2 * 0.85で1.02倍。</t>
      </text>
    </comment>
    <comment authorId="0" ref="J48">
      <text>
        <t xml:space="preserve">着地隙が発生するフレーム区間のこと。</t>
      </text>
    </comment>
    <comment authorId="0" ref="O48">
      <text>
        <t xml:space="preserve">ワザに設定されているシールド削り値。通常のダメージに加え、この値だけシールドのHPが減少する。</t>
      </text>
    </comment>
    <comment authorId="0" ref="P48">
      <text>
        <t xml:space="preserve">ワザに設定されているヒットストップ倍率。電撃属性のワザはこの値が設定されていなくとも1.5倍となる。</t>
      </text>
    </comment>
    <comment authorId="0" ref="Q48">
      <text>
        <t xml:space="preserve">ワザに設定されているヒットストップずらしによる移動距離倍率。</t>
      </text>
    </comment>
    <comment authorId="0" ref="I51">
      <text>
        <t xml:space="preserve">7 -&gt; 9 (11.0.0)</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1">
      <text>
        <t xml:space="preserve">ワザに設定されている基礎ダメージ量。実際の試合で与えるダメージ量は、タイマン補正・OP補正・小ジャンプ補正などにより変化するので注意。</t>
      </text>
    </comment>
    <comment authorId="0" ref="F61">
      <text>
        <t xml:space="preserve">タイマンにおけるダメージは、基礎ダメージの1.2倍となる。
なお、OP相殺がかかっていない場合はさらに1.05倍。</t>
      </text>
    </comment>
    <comment authorId="0" ref="O61">
      <text>
        <t xml:space="preserve">ワザに設定されているシールド削り値。通常のダメージに加え、この値だけシールドのHPが減少する。</t>
      </text>
    </comment>
    <comment authorId="0" ref="P61">
      <text>
        <t xml:space="preserve">ワザに設定されているヒットストップ倍率。電撃属性のワザはこの値が設定されていなくとも1.5倍となる。</t>
      </text>
    </comment>
    <comment authorId="0" ref="Q61">
      <text>
        <t xml:space="preserve">ワザに設定されているヒットストップずらしによる移動距離倍率。</t>
      </text>
    </comment>
    <comment authorId="0" ref="R61">
      <text>
        <t xml:space="preserve">ワザが相殺するかどうか。</t>
      </text>
    </comment>
    <comment authorId="0" ref="S61">
      <text>
        <t xml:space="preserve">ワザが相殺したときに、相殺モーションに移行するかどうか。</t>
      </text>
    </comment>
    <comment authorId="0" ref="U61">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F73">
      <text>
        <t xml:space="preserve">タイマンにおけるダメージは、基礎ダメージの1.2倍となる。
なお、OP相殺がかかっていない場合はさらに1.05倍。</t>
      </text>
    </comment>
    <comment authorId="0" ref="F78">
      <text>
        <t xml:space="preserve">タイマンにおけるダメージは、基礎ダメージの1.2倍となる。
なお、OP相殺がかかっていない場合はさらに1.05倍。</t>
      </text>
    </comment>
    <comment authorId="0" ref="O78">
      <text>
        <t xml:space="preserve">ワザに設定されているシールド削り値。通常のダメージに加え、この値だけシールドのHPが減少する。</t>
      </text>
    </comment>
    <comment authorId="0" ref="P78">
      <text>
        <t xml:space="preserve">ワザに設定されているヒットストップ倍率。電撃属性のワザはこの値が設定されていなくとも1.5倍となる。</t>
      </text>
    </comment>
    <comment authorId="0" ref="Q78">
      <text>
        <t xml:space="preserve">ワザに設定されているヒットストップずらしによる移動距離倍率。</t>
      </text>
    </comment>
    <comment authorId="0" ref="G97">
      <text>
        <t xml:space="preserve">タイマンにおけるダメージは、基礎ダメージの1.2倍となる。
なお、OP相殺がかかっていない場合はさらに1.05倍。</t>
      </text>
    </comment>
  </commentList>
</comments>
</file>

<file path=xl/comments6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J48">
      <text>
        <t xml:space="preserve">2-42 -&gt; 2-25 (2.0.0)</t>
      </text>
    </comment>
    <comment authorId="0" ref="J52">
      <text>
        <t xml:space="preserve">2-55 -&gt; 2-49 (2.0.0)</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R56">
      <text>
        <t xml:space="preserve">ワザが相殺するかどうか。</t>
      </text>
    </comment>
    <comment authorId="0" ref="S56">
      <text>
        <t xml:space="preserve">ワザが相殺したときに、相殺モーションに移行するかどうか。</t>
      </text>
    </comment>
    <comment authorId="0" ref="U56">
      <text>
        <t xml:space="preserve">いわゆる「地ダ(地上ダッシュ)」「空ダ(空中ダッシュ)」のこと。</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F86">
      <text>
        <t xml:space="preserve">タイマンにおけるダメージは、基礎ダメージの1.2倍となる。
なお、OP相殺がかかっていない場合はさらに1.05倍。</t>
      </text>
    </comment>
    <comment authorId="0" ref="F91">
      <text>
        <t xml:space="preserve">タイマンにおけるダメージは、基礎ダメージの1.2倍となる。
なお、OP相殺がかかっていない場合はさらに1.05倍。</t>
      </text>
    </comment>
    <comment authorId="0" ref="O91">
      <text>
        <t xml:space="preserve">ワザに設定されているシールド削り値。通常のダメージに加え、この値だけシールドのHPが減少する。</t>
      </text>
    </comment>
    <comment authorId="0" ref="P91">
      <text>
        <t xml:space="preserve">ワザに設定されているヒットストップ倍率。電撃属性のワザはこの値が設定されていなくとも1.5倍となる。</t>
      </text>
    </comment>
    <comment authorId="0" ref="Q91">
      <text>
        <t xml:space="preserve">ワザに設定されているヒットストップずらしによる移動距離倍率。</t>
      </text>
    </comment>
    <comment authorId="0" ref="G110">
      <text>
        <t xml:space="preserve">タイマンにおけるダメージは、基礎ダメージの1.2倍となる。
なお、OP相殺がかかっていない場合はさらに1.05倍。</t>
      </text>
    </comment>
  </commentList>
</comments>
</file>

<file path=xl/comments6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0">
      <text>
        <t xml:space="preserve">0.7 -&gt; 0.9 (13.0.1)</t>
      </text>
    </comment>
    <comment authorId="0" ref="U34">
      <text>
        <t xml:space="preserve">反転ブレーキ時：なし</t>
      </text>
    </comment>
    <comment authorId="0" ref="E50">
      <text>
        <t xml:space="preserve">ワザに設定されている基礎ダメージ量。実際の試合で与えるダメージ量は、タイマン補正・OP補正・小ジャンプ補正などにより変化するので注意。</t>
      </text>
    </comment>
    <comment authorId="0" ref="F50">
      <text>
        <t xml:space="preserve">タイマンにおけるダメージは、基礎ダメージの1.2倍となる。
なお、OP相殺がかかっていない場合はさらに1.05倍。</t>
      </text>
    </comment>
    <comment authorId="0" ref="G50">
      <text>
        <t xml:space="preserve">小ジャンプで空中攻撃を出すと、与えるダメージ量が0.85倍になる。タイマン補正も含めると、1.2 * 0.85で1.02倍。</t>
      </text>
    </comment>
    <comment authorId="0" ref="J50">
      <text>
        <t xml:space="preserve">着地隙が発生するフレーム区間のこと。</t>
      </text>
    </comment>
    <comment authorId="0" ref="O50">
      <text>
        <t xml:space="preserve">ワザに設定されているシールド削り値。通常のダメージに加え、この値だけシールドのHPが減少する。</t>
      </text>
    </comment>
    <comment authorId="0" ref="P50">
      <text>
        <t xml:space="preserve">ワザに設定されているヒットストップ倍率。電撃属性のワザはこの値が設定されていなくとも1.5倍となる。</t>
      </text>
    </comment>
    <comment authorId="0" ref="Q50">
      <text>
        <t xml:space="preserve">ワザに設定されているヒットストップずらしによる移動距離倍率。</t>
      </text>
    </comment>
    <comment authorId="0" ref="C51">
      <text>
        <t xml:space="preserve">9-12 -&gt; 7-10 (6.0.0)</t>
      </text>
    </comment>
    <comment authorId="0" ref="D51">
      <text>
        <t xml:space="preserve">49 -&gt; 47 (6.0.0)</t>
      </text>
    </comment>
    <comment authorId="0" ref="J51">
      <text>
        <t xml:space="preserve">4-41 -&gt; 4-39 (6.0.0)</t>
      </text>
    </comment>
    <comment authorId="0" ref="C52">
      <text>
        <t xml:space="preserve">22-25 -&gt; 20-23 (6.0.0)</t>
      </text>
    </comment>
    <comment authorId="0" ref="C53">
      <text>
        <t xml:space="preserve">26-30 -&gt; 24-28 (6.0.0)</t>
      </text>
    </comment>
    <comment authorId="0" ref="C54">
      <text>
        <t xml:space="preserve">9-12 -&gt; 7-10 (6.0.0)</t>
      </text>
    </comment>
    <comment authorId="0" ref="J54">
      <text>
        <t xml:space="preserve">4-33 -&gt; 4-31 (6.0.0)</t>
      </text>
    </comment>
    <comment authorId="0" ref="C55">
      <text>
        <t xml:space="preserve">22-25 -&gt; 20-23 (6.0.0)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H73">
      <text>
        <t xml:space="preserve">エルサンダー：30F -&gt; 25F (6.0.0)
ギガサンダー：80F -&gt; 65F (6.0.0)
トロン　　：140F -&gt; 125F (6.0.0)</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R79">
      <text>
        <t xml:space="preserve">ワザが相殺するかどうか。</t>
      </text>
    </comment>
    <comment authorId="0" ref="S79">
      <text>
        <t xml:space="preserve">ワザが相殺したときに、相殺モーションに移行するかどうか。</t>
      </text>
    </comment>
    <comment authorId="0" ref="U79">
      <text>
        <t xml:space="preserve">いわゆる「地ダ(地上ダッシュ)」「空ダ(空中ダッシュ)」のこと。</t>
      </text>
    </comment>
    <comment authorId="0" ref="C80">
      <text>
        <t xml:space="preserve">17-61 -&gt; 17-76 (6.0.0)</t>
      </text>
    </comment>
    <comment authorId="0" ref="E84">
      <text>
        <t xml:space="preserve">ワザに設定されている基礎ダメージ量。実際の試合で与えるダメージ量は、タイマン補正・OP補正・小ジャンプ補正などにより変化するので注意。</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R84">
      <text>
        <t xml:space="preserve">ワザが相殺するかどうか。</t>
      </text>
    </comment>
    <comment authorId="0" ref="S84">
      <text>
        <t xml:space="preserve">ワザが相殺したときに、相殺モーションに移行するかどうか。</t>
      </text>
    </comment>
    <comment authorId="0" ref="U84">
      <text>
        <t xml:space="preserve">いわゆる「地ダ(地上ダッシュ)」「空ダ(空中ダッシュ)」のこと。</t>
      </text>
    </comment>
    <comment authorId="0" ref="E92">
      <text>
        <t xml:space="preserve">ワザに設定されている基礎ダメージ量。実際の試合で与えるダメージ量は、タイマン補正・OP補正・小ジャンプ補正などにより変化するので注意。</t>
      </text>
    </comment>
    <comment authorId="0" ref="F92">
      <text>
        <t xml:space="preserve">タイマンにおけるダメージは、基礎ダメージの1.2倍となる。
なお、OP相殺がかかっていない場合はさらに1.05倍。</t>
      </text>
    </comment>
    <comment authorId="0" ref="O92">
      <text>
        <t xml:space="preserve">ワザに設定されているシールド削り値。通常のダメージに加え、この値だけシールドのHPが減少する。</t>
      </text>
    </comment>
    <comment authorId="0" ref="P92">
      <text>
        <t xml:space="preserve">ワザに設定されているヒットストップ倍率。電撃属性のワザはこの値が設定されていなくとも1.5倍となる。</t>
      </text>
    </comment>
    <comment authorId="0" ref="Q92">
      <text>
        <t xml:space="preserve">ワザに設定されているヒットストップずらしによる移動距離倍率。</t>
      </text>
    </comment>
    <comment authorId="0" ref="R92">
      <text>
        <t xml:space="preserve">ワザが相殺するかどうか。</t>
      </text>
    </comment>
    <comment authorId="0" ref="S92">
      <text>
        <t xml:space="preserve">ワザが相殺したときに、相殺モーションに移行するかどうか。</t>
      </text>
    </comment>
    <comment authorId="0" ref="U92">
      <text>
        <t xml:space="preserve">いわゆる「地ダ(地上ダッシュ)」「空ダ(空中ダッシュ)」のこと。</t>
      </text>
    </comment>
    <comment authorId="0" ref="E96">
      <text>
        <t xml:space="preserve">ワザに設定されている基礎ダメージ量。実際の試合で与えるダメージ量は、タイマン補正・OP補正・小ジャンプ補正などにより変化するので注意。</t>
      </text>
    </comment>
    <comment authorId="0" ref="F96">
      <text>
        <t xml:space="preserve">タイマンにおけるダメージは、基礎ダメージの1.2倍となる。
なお、OP相殺がかかっていない場合はさらに1.05倍。</t>
      </text>
    </comment>
    <comment authorId="0" ref="O96">
      <text>
        <t xml:space="preserve">ワザに設定されているシールド削り値。通常のダメージに加え、この値だけシールドのHPが減少する。</t>
      </text>
    </comment>
    <comment authorId="0" ref="P96">
      <text>
        <t xml:space="preserve">ワザに設定されているヒットストップ倍率。電撃属性のワザはこの値が設定されていなくとも1.5倍となる。</t>
      </text>
    </comment>
    <comment authorId="0" ref="Q96">
      <text>
        <t xml:space="preserve">ワザに設定されているヒットストップずらしによる移動距離倍率。</t>
      </text>
    </comment>
    <comment authorId="0" ref="R96">
      <text>
        <t xml:space="preserve">ワザが相殺するかどうか。</t>
      </text>
    </comment>
    <comment authorId="0" ref="S96">
      <text>
        <t xml:space="preserve">ワザが相殺したときに、相殺モーションに移行するかどうか。</t>
      </text>
    </comment>
    <comment authorId="0" ref="U96">
      <text>
        <t xml:space="preserve">いわゆる「地ダ(地上ダッシュ)」「空ダ(空中ダッシュ)」のこと。</t>
      </text>
    </comment>
    <comment authorId="0" ref="F101">
      <text>
        <t xml:space="preserve">タイマンにおけるダメージは、基礎ダメージの1.2倍となる。
なお、OP相殺がかかっていない場合はさらに1.05倍。</t>
      </text>
    </comment>
    <comment authorId="0" ref="F106">
      <text>
        <t xml:space="preserve">タイマンにおけるダメージは、基礎ダメージの1.2倍となる。
なお、OP相殺がかかっていない場合はさらに1.05倍。</t>
      </text>
    </comment>
    <comment authorId="0" ref="O106">
      <text>
        <t xml:space="preserve">ワザに設定されているシールド削り値。通常のダメージに加え、この値だけシールドのHPが減少する。</t>
      </text>
    </comment>
    <comment authorId="0" ref="P106">
      <text>
        <t xml:space="preserve">ワザに設定されているヒットストップ倍率。電撃属性のワザはこの値が設定されていなくとも1.5倍となる。</t>
      </text>
    </comment>
    <comment authorId="0" ref="Q106">
      <text>
        <t xml:space="preserve">ワザに設定されているヒットストップずらしによる移動距離倍率。</t>
      </text>
    </comment>
    <comment authorId="0" ref="G125">
      <text>
        <t xml:space="preserve">タイマンにおけるダメージは、基礎ダメージの1.2倍となる。
なお、OP相殺がかかっていない場合はさらに1.05倍。</t>
      </text>
    </comment>
  </commentList>
</comments>
</file>

<file path=xl/comments6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F31">
      <text>
        <t xml:space="preserve">0.5 -&gt; 0.6 (9.0.0)</t>
      </text>
    </comment>
    <comment authorId="0" ref="E33">
      <text>
        <t xml:space="preserve">別のパラメータにより、速度3以上になると加速が異常に遅くなるように設定されている。</t>
      </text>
    </comment>
    <comment authorId="0" ref="E34">
      <text>
        <t xml:space="preserve">別のパラメータにより、3を超えないように設定されている。</t>
      </text>
    </comment>
    <comment authorId="0" ref="D35">
      <text>
        <t xml:space="preserve">空中加速は変化なし。</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U41">
      <text>
        <t xml:space="preserve">地上慣性が消えるフレーム。「-」はなし。</t>
      </text>
    </comment>
    <comment authorId="0" ref="U47">
      <text>
        <t xml:space="preserve">反転ブレーキ時：なし</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G63">
      <text>
        <t xml:space="preserve">小ジャンプで空中攻撃を出すと、与えるダメージ量が0.85倍になる。タイマン補正も含めると、1.2 * 0.85で1.02倍。</t>
      </text>
    </comment>
    <comment authorId="0" ref="J63">
      <text>
        <t xml:space="preserve">着地隙が発生するフレーム区間のこと。</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J65">
      <text>
        <t xml:space="preserve">5-44 -&gt; 5-41 (2.0.0)</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E78">
      <text>
        <t xml:space="preserve">ワザに設定されている基礎ダメージ量。実際の試合で与えるダメージ量は、タイマン補正・OP補正・小ジャンプ補正などにより変化するので注意。</t>
      </text>
    </comment>
    <comment authorId="0" ref="F78">
      <text>
        <t xml:space="preserve">タイマンにおけるダメージは、基礎ダメージの1.2倍となる。
なお、OP相殺がかかっていない場合はさらに1.05倍。</t>
      </text>
    </comment>
    <comment authorId="0" ref="O78">
      <text>
        <t xml:space="preserve">ワザに設定されているシールド削り値。通常のダメージに加え、この値だけシールドのHPが減少する。</t>
      </text>
    </comment>
    <comment authorId="0" ref="P78">
      <text>
        <t xml:space="preserve">ワザに設定されているヒットストップ倍率。電撃属性のワザはこの値が設定されていなくとも1.5倍となる。</t>
      </text>
    </comment>
    <comment authorId="0" ref="Q78">
      <text>
        <t xml:space="preserve">ワザに設定されているヒットストップずらしによる移動距離倍率。</t>
      </text>
    </comment>
    <comment authorId="0" ref="R78">
      <text>
        <t xml:space="preserve">ワザが相殺するかどうか。</t>
      </text>
    </comment>
    <comment authorId="0" ref="S78">
      <text>
        <t xml:space="preserve">ワザが相殺したときに、相殺モーションに移行するかどうか。</t>
      </text>
    </comment>
    <comment authorId="0" ref="U78">
      <text>
        <t xml:space="preserve">いわゆる「地ダ(地上ダッシュ)」「空ダ(空中ダッシュ)」のこと。</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R85">
      <text>
        <t xml:space="preserve">ワザが相殺するかどうか。</t>
      </text>
    </comment>
    <comment authorId="0" ref="S85">
      <text>
        <t xml:space="preserve">ワザが相殺したときに、相殺モーションに移行するかどうか。</t>
      </text>
    </comment>
    <comment authorId="0" ref="U85">
      <text>
        <t xml:space="preserve">いわゆる「地ダ(地上ダッシュ)」「空ダ(空中ダッシュ)」のこと。</t>
      </text>
    </comment>
    <comment authorId="0" ref="E90">
      <text>
        <t xml:space="preserve">ワザに設定されている基礎ダメージ量。実際の試合で与えるダメージ量は、タイマン補正・OP補正・小ジャンプ補正などにより変化するので注意。</t>
      </text>
    </comment>
    <comment authorId="0" ref="F90">
      <text>
        <t xml:space="preserve">タイマンにおけるダメージは、基礎ダメージの1.2倍となる。
なお、OP相殺がかかっていない場合はさらに1.05倍。</t>
      </text>
    </comment>
    <comment authorId="0" ref="O90">
      <text>
        <t xml:space="preserve">ワザに設定されているシールド削り値。通常のダメージに加え、この値だけシールドのHPが減少する。</t>
      </text>
    </comment>
    <comment authorId="0" ref="P90">
      <text>
        <t xml:space="preserve">ワザに設定されているヒットストップ倍率。電撃属性のワザはこの値が設定されていなくとも1.5倍となる。</t>
      </text>
    </comment>
    <comment authorId="0" ref="Q90">
      <text>
        <t xml:space="preserve">ワザに設定されているヒットストップずらしによる移動距離倍率。</t>
      </text>
    </comment>
    <comment authorId="0" ref="R90">
      <text>
        <t xml:space="preserve">ワザが相殺するかどうか。</t>
      </text>
    </comment>
    <comment authorId="0" ref="S90">
      <text>
        <t xml:space="preserve">ワザが相殺したときに、相殺モーションに移行するかどうか。</t>
      </text>
    </comment>
    <comment authorId="0" ref="U90">
      <text>
        <t xml:space="preserve">いわゆる「地ダ(地上ダッシュ)」「空ダ(空中ダッシュ)」のこと。</t>
      </text>
    </comment>
    <comment authorId="0" ref="F98">
      <text>
        <t xml:space="preserve">タイマンにおけるダメージは、基礎ダメージの1.2倍となる。
なお、OP相殺がかかっていない場合はさらに1.05倍。</t>
      </text>
    </comment>
    <comment authorId="0" ref="F103">
      <text>
        <t xml:space="preserve">タイマンにおけるダメージは、基礎ダメージの1.2倍となる。
なお、OP相殺がかかっていない場合はさらに1.05倍。</t>
      </text>
    </comment>
    <comment authorId="0" ref="O103">
      <text>
        <t xml:space="preserve">ワザに設定されているシールド削り値。通常のダメージに加え、この値だけシールドのHPが減少する。</t>
      </text>
    </comment>
    <comment authorId="0" ref="P103">
      <text>
        <t xml:space="preserve">ワザに設定されているヒットストップ倍率。電撃属性のワザはこの値が設定されていなくとも1.5倍となる。</t>
      </text>
    </comment>
    <comment authorId="0" ref="Q103">
      <text>
        <t xml:space="preserve">ワザに設定されているヒットストップずらしによる移動距離倍率。</t>
      </text>
    </comment>
    <comment authorId="0" ref="G122">
      <text>
        <t xml:space="preserve">タイマンにおけるダメージは、基礎ダメージの1.2倍となる。
なお、OP相殺がかかっていない場合はさらに1.05倍。</t>
      </text>
    </comment>
  </commentList>
</comments>
</file>

<file path=xl/comments6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2">
      <text>
        <t xml:space="preserve">1.8 -&gt; 2 (13.0.1)</t>
      </text>
    </comment>
    <comment authorId="0" ref="E33">
      <text>
        <t xml:space="preserve">1.8 -&gt; 2 (13.0.1)</t>
      </text>
    </comment>
    <comment authorId="0" ref="D36">
      <text>
        <t xml:space="preserve">32 -&gt; 30 (3.1.0)</t>
      </text>
    </comment>
    <comment authorId="0" ref="E43">
      <text>
        <t xml:space="preserve">1.3 -&gt; 1.7 (13.0.1)</t>
      </text>
    </comment>
    <comment authorId="0" ref="E44">
      <text>
        <t xml:space="preserve">1 -&gt; 1.4 (13.0.1)</t>
      </text>
    </comment>
    <comment authorId="0" ref="C46">
      <text>
        <t xml:space="preserve">15-17 -&gt; 12-14 (9.0.0)</t>
      </text>
    </comment>
    <comment authorId="0" ref="D46">
      <text>
        <t xml:space="preserve">59 -&gt; 56 (9.0.0)</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着地隙が発生するフレーム区間のこと。</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C67">
      <text>
        <t xml:space="preserve">空中：43-102 -&gt; 37-96 (3.1.0)</t>
      </text>
    </comment>
    <comment authorId="0" ref="D67">
      <text>
        <t xml:space="preserve">空中：78 -&gt; 72 (3.1.0)</t>
      </text>
    </comment>
    <comment authorId="0" ref="C68">
      <text>
        <t xml:space="preserve">空中：103-222 -&gt; 97-216 (3.1.0)</t>
      </text>
    </comment>
    <comment authorId="0" ref="C69">
      <text>
        <t xml:space="preserve">空中：103-147 -&gt; 97-141 (3.1.0)</t>
      </text>
    </comment>
    <comment authorId="0" ref="D69">
      <text>
        <t xml:space="preserve">空中：138 -&gt; 132 (3.1.0)</t>
      </text>
    </comment>
    <comment authorId="0" ref="C70">
      <text>
        <t xml:space="preserve">空中：148-282 -&gt; 142-276 (3.1.0)</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78">
      <text>
        <t xml:space="preserve">ワザに設定されている基礎ダメージ量。実際の試合で与えるダメージ量は、タイマン補正・OP補正・小ジャンプ補正などにより変化するので注意。</t>
      </text>
    </comment>
    <comment authorId="0" ref="F78">
      <text>
        <t xml:space="preserve">タイマンにおけるダメージは、基礎ダメージの1.2倍となる。
なお、OP相殺がかかっていない場合はさらに1.05倍。</t>
      </text>
    </comment>
    <comment authorId="0" ref="O78">
      <text>
        <t xml:space="preserve">ワザに設定されているシールド削り値。通常のダメージに加え、この値だけシールドのHPが減少する。</t>
      </text>
    </comment>
    <comment authorId="0" ref="P78">
      <text>
        <t xml:space="preserve">ワザに設定されているヒットストップ倍率。電撃属性のワザはこの値が設定されていなくとも1.5倍となる。</t>
      </text>
    </comment>
    <comment authorId="0" ref="Q78">
      <text>
        <t xml:space="preserve">ワザに設定されているヒットストップずらしによる移動距離倍率。</t>
      </text>
    </comment>
    <comment authorId="0" ref="R78">
      <text>
        <t xml:space="preserve">ワザが相殺するかどうか。</t>
      </text>
    </comment>
    <comment authorId="0" ref="S78">
      <text>
        <t xml:space="preserve">ワザが相殺したときに、相殺モーションに移行するかどうか。</t>
      </text>
    </comment>
    <comment authorId="0" ref="U78">
      <text>
        <t xml:space="preserve">いわゆる「地ダ(地上ダッシュ)」「空ダ(空中ダッシュ)」のこと。</t>
      </text>
    </comment>
    <comment authorId="0" ref="C79">
      <text>
        <t xml:space="preserve">21-55 -&gt; 21-50 (3.1.0)
21-50 -&gt; 17-46 (9.0.0)</t>
      </text>
    </comment>
    <comment authorId="0" ref="C80">
      <text>
        <t xml:space="preserve">56-57 -&gt; 51-52 (3.1.0)</t>
      </text>
    </comment>
    <comment authorId="0" ref="C81">
      <text>
        <t xml:space="preserve">8 -&gt; 8-9 (3.1.0)</t>
      </text>
    </comment>
    <comment authorId="0" ref="C82">
      <text>
        <t xml:space="preserve">13 -&gt; 13-14 (3.1.0)</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R85">
      <text>
        <t xml:space="preserve">ワザが相殺するかどうか。</t>
      </text>
    </comment>
    <comment authorId="0" ref="S85">
      <text>
        <t xml:space="preserve">ワザが相殺したときに、相殺モーションに移行するかどうか。</t>
      </text>
    </comment>
    <comment authorId="0" ref="U85">
      <text>
        <t xml:space="preserve">いわゆる「地ダ(地上ダッシュ)」「空ダ(空中ダッシュ)」のこと。</t>
      </text>
    </comment>
    <comment authorId="0" ref="F91">
      <text>
        <t xml:space="preserve">タイマンにおけるダメージは、基礎ダメージの1.2倍となる。
なお、OP相殺がかかっていない場合はさらに1.05倍。</t>
      </text>
    </comment>
    <comment authorId="0" ref="E96">
      <text>
        <t xml:space="preserve">重量依存有りの場合、体重100の敵に対しての全体フレームを記載。</t>
      </text>
    </comment>
    <comment authorId="0" ref="G96">
      <text>
        <t xml:space="preserve">タイマンにおけるダメージは、基礎ダメージの1.2倍となる。
なお、OP相殺がかかっていない場合はさらに1.05倍。</t>
      </text>
    </comment>
    <comment authorId="0" ref="O96">
      <text>
        <t xml:space="preserve">ワザに設定されているシールド削り値。通常のダメージに加え、この値だけシールドのHPが減少する。</t>
      </text>
    </comment>
    <comment authorId="0" ref="P96">
      <text>
        <t xml:space="preserve">ワザに設定されているヒットストップ倍率。電撃属性のワザはこの値が設定されていなくとも1.5倍となる。</t>
      </text>
    </comment>
    <comment authorId="0" ref="Q96">
      <text>
        <t xml:space="preserve">ワザに設定されているヒットストップずらしによる移動距離倍率。</t>
      </text>
    </comment>
    <comment authorId="0" ref="G115">
      <text>
        <t xml:space="preserve">タイマンにおけるダメージは、基礎ダメージの1.2倍となる。
なお、OP相殺がかかっていない場合はさらに1.05倍。</t>
      </text>
    </comment>
  </commentList>
</comments>
</file>

<file path=xl/comments6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8">
      <text>
        <t xml:space="preserve">ワザに設定されている基礎ダメージ量。実際の試合で与えるダメージ量は、タイマン補正・OP補正・小ジャンプ補正などにより変化するので注意。</t>
      </text>
    </comment>
    <comment authorId="0" ref="F48">
      <text>
        <t xml:space="preserve">タイマンにおけるダメージは、基礎ダメージの1.2倍となる。
なお、OP相殺がかかっていない場合はさらに1.05倍。</t>
      </text>
    </comment>
    <comment authorId="0" ref="G48">
      <text>
        <t xml:space="preserve">小ジャンプで空中攻撃を出すと、与えるダメージ量が0.85倍になる。タイマン補正も含めると、1.2 * 0.85で1.02倍。</t>
      </text>
    </comment>
    <comment authorId="0" ref="J48">
      <text>
        <t xml:space="preserve">着地隙が発生するフレーム区間のこと。</t>
      </text>
    </comment>
    <comment authorId="0" ref="O48">
      <text>
        <t xml:space="preserve">ワザに設定されているシールド削り値。通常のダメージに加え、この値だけシールドのHPが減少する。</t>
      </text>
    </comment>
    <comment authorId="0" ref="P48">
      <text>
        <t xml:space="preserve">ワザに設定されているヒットストップ倍率。電撃属性のワザはこの値が設定されていなくとも1.5倍となる。</t>
      </text>
    </comment>
    <comment authorId="0" ref="Q48">
      <text>
        <t xml:space="preserve">ワザに設定されているヒットストップずらしによる移動距離倍率。</t>
      </text>
    </comment>
    <comment authorId="0" ref="I59">
      <text>
        <t xml:space="preserve">20 -&gt; 15 (1.1.0)</t>
      </text>
    </comment>
    <comment authorId="0" ref="E63">
      <text>
        <t xml:space="preserve">ワザに設定されている基礎ダメージ量。実際の試合で与えるダメージ量は、タイマン補正・OP補正・小ジャンプ補正などにより変化するので注意。</t>
      </text>
    </comment>
    <comment authorId="0" ref="F63">
      <text>
        <t xml:space="preserve">タイマンにおけるダメージは、基礎ダメージの1.2倍となる。
なお、OP相殺がかかっていない場合はさらに1.05倍。</t>
      </text>
    </comment>
    <comment authorId="0" ref="O63">
      <text>
        <t xml:space="preserve">ワザに設定されているシールド削り値。通常のダメージに加え、この値だけシールドのHPが減少する。</t>
      </text>
    </comment>
    <comment authorId="0" ref="P63">
      <text>
        <t xml:space="preserve">ワザに設定されているヒットストップ倍率。電撃属性のワザはこの値が設定されていなくとも1.5倍となる。</t>
      </text>
    </comment>
    <comment authorId="0" ref="Q63">
      <text>
        <t xml:space="preserve">ワザに設定されているヒットストップずらしによる移動距離倍率。</t>
      </text>
    </comment>
    <comment authorId="0" ref="R63">
      <text>
        <t xml:space="preserve">ワザが相殺するかどうか。</t>
      </text>
    </comment>
    <comment authorId="0" ref="S63">
      <text>
        <t xml:space="preserve">ワザが相殺したときに、相殺モーションに移行するかどうか。</t>
      </text>
    </comment>
    <comment authorId="0" ref="U63">
      <text>
        <t xml:space="preserve">いわゆる「地ダ(地上ダッシュ)」「空ダ(空中ダッシュ)」のこと。</t>
      </text>
    </comment>
    <comment authorId="0" ref="D64">
      <text>
        <t xml:space="preserve">45 -&gt; 41 (2.0.0)</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D68">
      <text>
        <t xml:space="preserve">60 -&gt; 64 (2.0.0)</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F83">
      <text>
        <t xml:space="preserve">タイマンにおけるダメージは、基礎ダメージの1.2倍となる。
なお、OP相殺がかかっていない場合はさらに1.05倍。</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G107">
      <text>
        <t xml:space="preserve">タイマンにおけるダメージは、基礎ダメージの1.2倍となる。
なお、OP相殺がかかっていない場合はさらに1.05倍。</t>
      </text>
    </comment>
  </commentList>
</comments>
</file>

<file path=xl/comments6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D24">
      <text>
        <t xml:space="preserve">・弱モーションのワザは強モーションをキャンセルして途中から移行する仕組みなので、最低でも1Fの強モーションが必要となる場合がある。
・その場合（ボタンを押してからカウントした場合の）発生フレームや全体フレームが1F以上後ろへずれこむ。
・密着時の横強攻撃はどのような出し方でも強モーションをスキップすることができず、最低でも1Fはさむ必要がある。</t>
      </text>
    </comment>
    <comment authorId="0" ref="G25">
      <text>
        <t xml:space="preserve">ワザを繰り返し出してキャンセルしたとき。</t>
      </text>
    </comment>
    <comment authorId="0" ref="E32">
      <text>
        <t xml:space="preserve">ワザに設定されている基礎ダメージ量。実際の試合で与えるダメージ量は、タイマン補正・OP補正・小ジャンプ補正などにより変化するので注意。</t>
      </text>
    </comment>
    <comment authorId="0" ref="F32">
      <text>
        <t xml:space="preserve">タイマンにおけるダメージは、基礎ダメージの1.2倍となる。
なお、OP相殺がかかっていない場合はさらに1.05倍。</t>
      </text>
    </comment>
    <comment authorId="0" ref="O32">
      <text>
        <t xml:space="preserve">ワザに設定されているシールド削り値。通常のダメージに加え、この値だけシールドのHPが減少する。</t>
      </text>
    </comment>
    <comment authorId="0" ref="P32">
      <text>
        <t xml:space="preserve">ワザに設定されているヒットストップ倍率。電撃属性のワザはこの値が設定されていなくとも1.5倍となる。</t>
      </text>
    </comment>
    <comment authorId="0" ref="Q32">
      <text>
        <t xml:space="preserve">ワザに設定されているヒットストップずらしによる移動距離倍率。</t>
      </text>
    </comment>
    <comment authorId="0" ref="U32">
      <text>
        <t xml:space="preserve">地上慣性が消えるフレーム。「-」はなし。</t>
      </text>
    </comment>
    <comment authorId="0" ref="H36">
      <text>
        <t xml:space="preserve">キャンセル：7F目 -&gt; 11F目 (3.1.0)</t>
      </text>
    </comment>
    <comment authorId="0" ref="H37">
      <text>
        <t xml:space="preserve">キャンセル：7F目 -&gt; 12F目 (3.1.0)</t>
      </text>
    </comment>
    <comment authorId="0" ref="C41">
      <text>
        <t xml:space="preserve">16 -&gt; 14 (13.0.1)</t>
      </text>
    </comment>
    <comment authorId="0" ref="D41">
      <text>
        <t xml:space="preserve">37 -&gt; 35 (13.0.1)</t>
      </text>
    </comment>
    <comment authorId="0" ref="U41">
      <text>
        <t xml:space="preserve">反転ブレーキ時：なし</t>
      </text>
    </comment>
    <comment authorId="0" ref="C42">
      <text>
        <t xml:space="preserve">18-19 -&gt; 16-17 (13.0.1)</t>
      </text>
    </comment>
    <comment authorId="0" ref="U43">
      <text>
        <t xml:space="preserve">反転ブレーキ時：なし</t>
      </text>
    </comment>
    <comment authorId="0" ref="H44">
      <text>
        <t xml:space="preserve">キャンセル：14F目まで -&gt; 24F目まで (3.1.0)</t>
      </text>
    </comment>
    <comment authorId="0" ref="H53">
      <text>
        <t xml:space="preserve">キャンセル：Ver. 7.0.0で追加。</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G56">
      <text>
        <t xml:space="preserve">小ジャンプで空中攻撃を出すと、与えるダメージ量が0.85倍になる。タイマン補正も含めると、1.2 * 0.85で1.02倍。</t>
      </text>
    </comment>
    <comment authorId="0" ref="J56">
      <text>
        <t xml:space="preserve">着地隙が発生するフレーム区間のこと。</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J59">
      <text>
        <t xml:space="preserve">3-40 -&gt; 3-37 (2.0.0)</t>
      </text>
    </comment>
    <comment authorId="0" ref="C62">
      <text>
        <t xml:space="preserve">6 -&gt; 6-7 (3.1.0)</t>
      </text>
    </comment>
    <comment authorId="0" ref="R62">
      <text>
        <t xml:space="preserve">左腕無敵：6-10F -&gt; 6-11F (3.1.0)</t>
      </text>
    </comment>
    <comment authorId="0" ref="C63">
      <text>
        <t xml:space="preserve">10 -&gt; 9-11 (3.1.0)</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C69">
      <text>
        <t xml:space="preserve">13-19 -&gt; 12-18 (3.1.0)</t>
      </text>
    </comment>
    <comment authorId="0" ref="D69">
      <text>
        <t xml:space="preserve">57 -&gt; 56 (3.1.0)</t>
      </text>
    </comment>
    <comment authorId="0" ref="E69">
      <text>
        <t xml:space="preserve">6 -&gt; 7 (3.1.0)
7 -&gt; 9 (13.0.1)</t>
      </text>
    </comment>
    <comment authorId="0" ref="H69">
      <text>
        <t xml:space="preserve">ガード硬直補正倍率
弱：0.29倍 -&gt; 1.2倍 (7.0.0)
中：0.29倍 -&gt; 1.13倍 (7.0.0)
強：0.29倍 -&gt; 1.06倍 (7.0.0)
コマンドダメージ倍率：
1.25倍 -&gt; 1.2倍 (13.0.1)</t>
      </text>
    </comment>
    <comment authorId="0" ref="C70">
      <text>
        <t xml:space="preserve">20-87 -&gt; 19-93 (3.1.0)</t>
      </text>
    </comment>
    <comment authorId="0" ref="E70">
      <text>
        <t xml:space="preserve">6 -&gt; 7 (3.1.0)
7 -&gt; 9 (13.0.1)</t>
      </text>
    </comment>
    <comment authorId="0" ref="C71">
      <text>
        <t xml:space="preserve">13-18 -&gt; 12-17 (3.1.0)</t>
      </text>
    </comment>
    <comment authorId="0" ref="E71">
      <text>
        <t xml:space="preserve">6.5 -&gt; 7.5 (3.1.0)
7.5 -&gt; 9.5 (13.0.1)</t>
      </text>
    </comment>
    <comment authorId="0" ref="C72">
      <text>
        <t xml:space="preserve">19-79 -&gt; 18-78 (3.1.0)</t>
      </text>
    </comment>
    <comment authorId="0" ref="E72">
      <text>
        <t xml:space="preserve">6.5 -&gt; 7.5 (3.1.0)
7.5 -&gt; 9.5 (13.0.1)</t>
      </text>
    </comment>
    <comment authorId="0" ref="C73">
      <text>
        <t xml:space="preserve">13-17 -&gt; 12-16 (3.1.0)</t>
      </text>
    </comment>
    <comment authorId="0" ref="E73">
      <text>
        <t xml:space="preserve">7 -&gt; 8 (3.1.0)
8 -&gt; 10 (13.0.1)</t>
      </text>
    </comment>
    <comment authorId="0" ref="C74">
      <text>
        <t xml:space="preserve">18-72 -&gt; 17-61 (3.1.0)</t>
      </text>
    </comment>
    <comment authorId="0" ref="E74">
      <text>
        <t xml:space="preserve">7 -&gt; 8 (3.1.0)
8 -&gt; 10 (13.0.1)</t>
      </text>
    </comment>
    <comment authorId="0" ref="C75">
      <text>
        <t xml:space="preserve">13-22 -&gt; 12-21 (3.1.0)</t>
      </text>
    </comment>
    <comment authorId="0" ref="D75">
      <text>
        <t xml:space="preserve">57 -&gt; 56 (3.1.0)</t>
      </text>
    </comment>
    <comment authorId="0" ref="C76">
      <text>
        <t xml:space="preserve">23-80 -&gt; 22-88 (3.1.0)</t>
      </text>
    </comment>
    <comment authorId="0" ref="C77">
      <text>
        <t xml:space="preserve">13-21 -&gt; 12-20 (3.1.0)</t>
      </text>
    </comment>
    <comment authorId="0" ref="C78">
      <text>
        <t xml:space="preserve">22-73 -&gt; 21-72 (3.1.0)</t>
      </text>
    </comment>
    <comment authorId="0" ref="C79">
      <text>
        <t xml:space="preserve">13-20 -&gt; 13-19 (3.1.0)</t>
      </text>
    </comment>
    <comment authorId="0" ref="C80">
      <text>
        <t xml:space="preserve">21-67 -&gt; 20-57 (3.1.0)</t>
      </text>
    </comment>
    <comment authorId="0" ref="E81">
      <text>
        <t xml:space="preserve">5 -&gt; 7.3 (3.1.0)
7.3 -&gt; 9.3 (13.0.1)</t>
      </text>
    </comment>
    <comment authorId="0" ref="E82">
      <text>
        <t xml:space="preserve">ワザに設定されている基礎ダメージ量。実際の試合で与えるダメージ量は、タイマン補正・OP補正・小ジャンプ補正などにより変化するので注意。</t>
      </text>
    </comment>
    <comment authorId="0" ref="F82">
      <text>
        <t xml:space="preserve">タイマンにおけるダメージは、基礎ダメージの1.2倍となる。
なお、OP相殺がかかっていない場合はさらに1.05倍。</t>
      </text>
    </comment>
    <comment authorId="0" ref="O82">
      <text>
        <t xml:space="preserve">ワザに設定されているシールド削り値。通常のダメージに加え、この値だけシールドのHPが減少する。</t>
      </text>
    </comment>
    <comment authorId="0" ref="P82">
      <text>
        <t xml:space="preserve">ワザに設定されているヒットストップ倍率。電撃属性のワザはこの値が設定されていなくとも1.5倍となる。</t>
      </text>
    </comment>
    <comment authorId="0" ref="Q82">
      <text>
        <t xml:space="preserve">ワザに設定されているヒットストップずらしによる移動距離倍率。</t>
      </text>
    </comment>
    <comment authorId="0" ref="R82">
      <text>
        <t xml:space="preserve">ワザが相殺するかどうか。</t>
      </text>
    </comment>
    <comment authorId="0" ref="S82">
      <text>
        <t xml:space="preserve">ワザが相殺したときに、相殺モーションに移行するかどうか。</t>
      </text>
    </comment>
    <comment authorId="0" ref="U82">
      <text>
        <t xml:space="preserve">いわゆる「地ダ(地上ダッシュ)」「空ダ(空中ダッシュ)」のこと。</t>
      </text>
    </comment>
    <comment authorId="0" ref="E83">
      <text>
        <t xml:space="preserve">通常：9 -&gt; 11 (7.0.0)
コマ：10.44 -&gt; 12.76 (7.0.0)</t>
      </text>
    </comment>
    <comment authorId="0" ref="H83">
      <text>
        <t xml:space="preserve">地上：左足先無敵 -&gt; 両足無敵 (7.0.0)</t>
      </text>
    </comment>
    <comment authorId="0" ref="D84">
      <text>
        <t xml:space="preserve">58 -&gt; 54 (13.0.1)</t>
      </text>
    </comment>
    <comment authorId="0" ref="E84">
      <text>
        <t xml:space="preserve">通常：9 -&gt; 11 (7.0.0)
コマ：10.44 -&gt; 12.76 (7.0.0)</t>
      </text>
    </comment>
    <comment authorId="0" ref="E85">
      <text>
        <t xml:space="preserve">通常：8 -&gt; 10 (7.0.0)
コマ：9.28 -&gt; 11.6 (7.0.0)</t>
      </text>
    </comment>
    <comment authorId="0" ref="D86">
      <text>
        <t xml:space="preserve">90 -&gt; 86 (13.0.1)</t>
      </text>
    </comment>
    <comment authorId="0" ref="E86">
      <text>
        <t xml:space="preserve">通常：10 -&gt; 12 (7.0.0)
コマ：11.6 -&gt; 13.92 (7.0.0)</t>
      </text>
    </comment>
    <comment authorId="0" ref="E87">
      <text>
        <t xml:space="preserve">通常：9.5 -&gt; 11.5 (7.0.0)
コマ：11.02 -&gt; 13.34 (7.0.0)</t>
      </text>
    </comment>
    <comment authorId="0" ref="D88">
      <text>
        <t xml:space="preserve">90 -&gt; 86 (13.0.1)</t>
      </text>
    </comment>
    <comment authorId="0" ref="E88">
      <text>
        <t xml:space="preserve">通常：11 -&gt; 13 (7.0.0)
コマ：12.76 -&gt; 15.08 (7.0.0)</t>
      </text>
    </comment>
    <comment authorId="0" ref="E89">
      <text>
        <t xml:space="preserve">通常：11 -&gt; 13 (7.0.0)
コマ：12.76 -&gt; 15.08 (7.0.0)</t>
      </text>
    </comment>
    <comment authorId="0" ref="E90">
      <text>
        <t xml:space="preserve">通常：8 -&gt; 10 (7.0.0)
コマ：9.28 -&gt; 11.6 (7.0.0)</t>
      </text>
    </comment>
    <comment authorId="0" ref="E91">
      <text>
        <t xml:space="preserve">通常：7 -&gt; 9 (7.0.0)
コマ：8.12 -&gt; 10.44 (7.0.0)</t>
      </text>
    </comment>
    <comment authorId="0" ref="E92">
      <text>
        <t xml:space="preserve">通常：9 -&gt; 11 (7.0.0)
コマ：10.44 -&gt; 12.76 (7.0.0)</t>
      </text>
    </comment>
    <comment authorId="0" ref="E93">
      <text>
        <t xml:space="preserve">通常：8.5 -&gt; 10.5 (7.0.0)
コマ：9.86 -&gt; 12.18 (7.0.0)</t>
      </text>
    </comment>
    <comment authorId="0" ref="E94">
      <text>
        <t xml:space="preserve">通常：10 -&gt; 12 (7.0.0)
コマ：11.6 -&gt; 13.92 (7.0.0)</t>
      </text>
    </comment>
    <comment authorId="0" ref="E95">
      <text>
        <t xml:space="preserve">通常：10 -&gt; 12 (7.0.0)
コマ：11.6 -&gt; 13.92 (7.0.0)</t>
      </text>
    </comment>
    <comment authorId="0" ref="E96">
      <text>
        <t xml:space="preserve">ワザに設定されている基礎ダメージ量。実際の試合で与えるダメージ量は、タイマン補正・OP補正・小ジャンプ補正などにより変化するので注意。</t>
      </text>
    </comment>
    <comment authorId="0" ref="F96">
      <text>
        <t xml:space="preserve">タイマンにおけるダメージは、基礎ダメージの1.2倍となる。
なお、OP相殺がかかっていない場合はさらに1.05倍。</t>
      </text>
    </comment>
    <comment authorId="0" ref="O96">
      <text>
        <t xml:space="preserve">ワザに設定されているシールド削り値。通常のダメージに加え、この値だけシールドのHPが減少する。</t>
      </text>
    </comment>
    <comment authorId="0" ref="P96">
      <text>
        <t xml:space="preserve">ワザに設定されているヒットストップ倍率。電撃属性のワザはこの値が設定されていなくとも1.5倍となる。</t>
      </text>
    </comment>
    <comment authorId="0" ref="Q96">
      <text>
        <t xml:space="preserve">ワザに設定されているヒットストップずらしによる移動距離倍率。</t>
      </text>
    </comment>
    <comment authorId="0" ref="R96">
      <text>
        <t xml:space="preserve">ワザが相殺するかどうか。</t>
      </text>
    </comment>
    <comment authorId="0" ref="S96">
      <text>
        <t xml:space="preserve">ワザが相殺したときに、相殺モーションに移行するかどうか。</t>
      </text>
    </comment>
    <comment authorId="0" ref="U96">
      <text>
        <t xml:space="preserve">いわゆる「地ダ(地上ダッシュ)」「空ダ(空中ダッシュ)」のこと。</t>
      </text>
    </comment>
    <comment authorId="0" ref="E107">
      <text>
        <t xml:space="preserve">ワザに設定されている基礎ダメージ量。実際の試合で与えるダメージ量は、タイマン補正・OP補正・小ジャンプ補正などにより変化するので注意。</t>
      </text>
    </comment>
    <comment authorId="0" ref="F107">
      <text>
        <t xml:space="preserve">タイマンにおけるダメージは、基礎ダメージの1.2倍となる。
なお、OP相殺がかかっていない場合はさらに1.05倍。</t>
      </text>
    </comment>
    <comment authorId="0" ref="O107">
      <text>
        <t xml:space="preserve">ワザに設定されているシールド削り値。通常のダメージに加え、この値だけシールドのHPが減少する。</t>
      </text>
    </comment>
    <comment authorId="0" ref="P107">
      <text>
        <t xml:space="preserve">ワザに設定されているヒットストップ倍率。電撃属性のワザはこの値が設定されていなくとも1.5倍となる。</t>
      </text>
    </comment>
    <comment authorId="0" ref="Q107">
      <text>
        <t xml:space="preserve">ワザに設定されているヒットストップずらしによる移動距離倍率。</t>
      </text>
    </comment>
    <comment authorId="0" ref="R107">
      <text>
        <t xml:space="preserve">ワザが相殺するかどうか。</t>
      </text>
    </comment>
    <comment authorId="0" ref="S107">
      <text>
        <t xml:space="preserve">ワザが相殺したときに、相殺モーションに移行するかどうか。</t>
      </text>
    </comment>
    <comment authorId="0" ref="U107">
      <text>
        <t xml:space="preserve">いわゆる「地ダ(地上ダッシュ)」「空ダ(空中ダッシュ)」のこと。</t>
      </text>
    </comment>
    <comment authorId="0" ref="F114">
      <text>
        <t xml:space="preserve">タイマンにおけるダメージは、基礎ダメージの1.2倍となる。
なお、OP相殺がかかっていない場合はさらに1.05倍。</t>
      </text>
    </comment>
    <comment authorId="0" ref="F119">
      <text>
        <t xml:space="preserve">タイマンにおけるダメージは、基礎ダメージの1.2倍となる。
なお、OP相殺がかかっていない場合はさらに1.05倍。</t>
      </text>
    </comment>
    <comment authorId="0" ref="O119">
      <text>
        <t xml:space="preserve">ワザに設定されているシールド削り値。通常のダメージに加え、この値だけシールドのHPが減少する。</t>
      </text>
    </comment>
    <comment authorId="0" ref="P119">
      <text>
        <t xml:space="preserve">ワザに設定されているヒットストップ倍率。電撃属性のワザはこの値が設定されていなくとも1.5倍となる。</t>
      </text>
    </comment>
    <comment authorId="0" ref="Q119">
      <text>
        <t xml:space="preserve">ワザに設定されているヒットストップずらしによる移動距離倍率。</t>
      </text>
    </comment>
    <comment authorId="0" ref="G138">
      <text>
        <t xml:space="preserve">タイマンにおけるダメージは、基礎ダメージの1.2倍となる。
なお、OP相殺がかかっていない場合はさらに1.05倍。</t>
      </text>
    </comment>
  </commentList>
</comments>
</file>

<file path=xl/comments6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D24">
      <text>
        <t xml:space="preserve">・弱モーションのワザは強モーションをキャンセルして途中から移行する仕組みなので、最低でも1Fの強モーションが必要となる場合がある。
・その場合（ボタンを押してからカウントした場合の）発生フレームや全体フレームが1F以上後ろへずれこむ。
・密着時の横強攻撃はどのような出し方でも強モーションをスキップすることができず、最低でも1Fはさむ必要がある。</t>
      </text>
    </comment>
    <comment authorId="0" ref="G25">
      <text>
        <t xml:space="preserve">ワザを繰り返し出してキャンセルしたとき。</t>
      </text>
    </comment>
    <comment authorId="0" ref="E32">
      <text>
        <t xml:space="preserve">ワザに設定されている基礎ダメージ量。実際の試合で与えるダメージ量は、タイマン補正・OP補正・小ジャンプ補正などにより変化するので注意。</t>
      </text>
    </comment>
    <comment authorId="0" ref="F32">
      <text>
        <t xml:space="preserve">タイマンにおけるダメージは、基礎ダメージの1.2倍となる。
なお、OP相殺がかかっていない場合はさらに1.05倍。</t>
      </text>
    </comment>
    <comment authorId="0" ref="O32">
      <text>
        <t xml:space="preserve">ワザに設定されているシールド削り値。通常のダメージに加え、この値だけシールドのHPが減少する。</t>
      </text>
    </comment>
    <comment authorId="0" ref="P32">
      <text>
        <t xml:space="preserve">ワザに設定されているヒットストップ倍率。電撃属性のワザはこの値が設定されていなくとも1.5倍となる。</t>
      </text>
    </comment>
    <comment authorId="0" ref="Q32">
      <text>
        <t xml:space="preserve">ワザに設定されているヒットストップずらしによる移動距離倍率。</t>
      </text>
    </comment>
    <comment authorId="0" ref="U32">
      <text>
        <t xml:space="preserve">地上慣性が消えるフレーム。「-」はなし。</t>
      </text>
    </comment>
    <comment authorId="0" ref="C34">
      <text>
        <t xml:space="preserve">16 -&gt; 16-17 (3.1.0)</t>
      </text>
    </comment>
    <comment authorId="0" ref="E34">
      <text>
        <t xml:space="preserve">6 -&gt; 10 (3.1.0)</t>
      </text>
    </comment>
    <comment authorId="0" ref="H37">
      <text>
        <t xml:space="preserve">キャンセル：7F目 -&gt; 11F目 (3.1.0)</t>
      </text>
    </comment>
    <comment authorId="0" ref="H38">
      <text>
        <t xml:space="preserve">キャンセル：7F目 -&gt; 12F目 (3.1.0)</t>
      </text>
    </comment>
    <comment authorId="0" ref="U42">
      <text>
        <t xml:space="preserve">反転ブレーキ時：なし</t>
      </text>
    </comment>
    <comment authorId="0" ref="U43">
      <text>
        <t xml:space="preserve">反転ブレーキ時：なし</t>
      </text>
    </comment>
    <comment authorId="0" ref="H44">
      <text>
        <t xml:space="preserve">キャンセル：8-14F -&gt; 8-24F (3.1.0)</t>
      </text>
    </comment>
    <comment authorId="0" ref="U44">
      <text>
        <t xml:space="preserve">反転ブレーキ時：なし</t>
      </text>
    </comment>
    <comment authorId="0" ref="H53">
      <text>
        <t xml:space="preserve">キャンセル：Ver. 7.0.0で追加。</t>
      </text>
    </comment>
    <comment authorId="0" ref="E54">
      <text>
        <t xml:space="preserve">ワザに設定されている基礎ダメージ量。実際の試合で与えるダメージ量は、タイマン補正・OP補正・小ジャンプ補正などにより変化するので注意。</t>
      </text>
    </comment>
    <comment authorId="0" ref="F54">
      <text>
        <t xml:space="preserve">タイマンにおけるダメージは、基礎ダメージの1.2倍となる。
なお、OP相殺がかかっていない場合はさらに1.05倍。</t>
      </text>
    </comment>
    <comment authorId="0" ref="O54">
      <text>
        <t xml:space="preserve">ワザに設定されているシールド削り値。通常のダメージに加え、この値だけシールドのHPが減少する。</t>
      </text>
    </comment>
    <comment authorId="0" ref="P54">
      <text>
        <t xml:space="preserve">ワザに設定されているヒットストップ倍率。電撃属性のワザはこの値が設定されていなくとも1.5倍となる。</t>
      </text>
    </comment>
    <comment authorId="0" ref="Q54">
      <text>
        <t xml:space="preserve">ワザに設定されているヒットストップずらしによる移動距離倍率。</t>
      </text>
    </comment>
    <comment authorId="0" ref="U54">
      <text>
        <t xml:space="preserve">地上慣性が消えるフレーム。「-」はなし。</t>
      </text>
    </comment>
    <comment authorId="0" ref="E58">
      <text>
        <t xml:space="preserve">10 -&gt; 12 (3.1.0)</t>
      </text>
    </comment>
    <comment authorId="0" ref="E59">
      <text>
        <t xml:space="preserve">10 -&gt; 12 (3.1.0)</t>
      </text>
    </comment>
    <comment authorId="0" ref="E60">
      <text>
        <t xml:space="preserve">10 -&gt; 12 (3.1.0)</t>
      </text>
    </comment>
    <comment authorId="0" ref="E61">
      <text>
        <t xml:space="preserve">10 -&gt; 12 (3.1.0)</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G64">
      <text>
        <t xml:space="preserve">小ジャンプで空中攻撃を出すと、与えるダメージ量が0.85倍になる。タイマン補正も含めると、1.2 * 0.85で1.02倍。</t>
      </text>
    </comment>
    <comment authorId="0" ref="J64">
      <text>
        <t xml:space="preserve">着地隙が発生するフレーム区間のこと。</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J65">
      <text>
        <t xml:space="preserve">2-33 -&gt; 2-27 (2.0.0)</t>
      </text>
    </comment>
    <comment authorId="0" ref="J67">
      <text>
        <t xml:space="preserve">3-40 -&gt; 3-37 (2.0.0)</t>
      </text>
    </comment>
    <comment authorId="0" ref="R71">
      <text>
        <t xml:space="preserve">キャンセル：12F目 -&gt; 17F目 (3.1.0)</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E82">
      <text>
        <t xml:space="preserve">ワザに設定されている基礎ダメージ量。実際の試合で与えるダメージ量は、タイマン補正・OP補正・小ジャンプ補正などにより変化するので注意。</t>
      </text>
    </comment>
    <comment authorId="0" ref="F82">
      <text>
        <t xml:space="preserve">タイマンにおけるダメージは、基礎ダメージの1.2倍となる。
なお、OP相殺がかかっていない場合はさらに1.05倍。</t>
      </text>
    </comment>
    <comment authorId="0" ref="O82">
      <text>
        <t xml:space="preserve">ワザに設定されているシールド削り値。通常のダメージに加え、この値だけシールドのHPが減少する。</t>
      </text>
    </comment>
    <comment authorId="0" ref="P82">
      <text>
        <t xml:space="preserve">ワザに設定されているヒットストップ倍率。電撃属性のワザはこの値が設定されていなくとも1.5倍となる。</t>
      </text>
    </comment>
    <comment authorId="0" ref="Q82">
      <text>
        <t xml:space="preserve">ワザに設定されているヒットストップずらしによる移動距離倍率。</t>
      </text>
    </comment>
    <comment authorId="0" ref="R82">
      <text>
        <t xml:space="preserve">ワザが相殺するかどうか。</t>
      </text>
    </comment>
    <comment authorId="0" ref="S82">
      <text>
        <t xml:space="preserve">ワザが相殺したときに、相殺モーションに移行するかどうか。</t>
      </text>
    </comment>
    <comment authorId="0" ref="U82">
      <text>
        <t xml:space="preserve">いわゆる「地ダ(地上ダッシュ)」「空ダ(空中ダッシュ)」のこと。</t>
      </text>
    </comment>
    <comment authorId="0" ref="H83">
      <text>
        <t xml:space="preserve">右足無敵(地上)：Ver. 7.0.0で追加。</t>
      </text>
    </comment>
    <comment authorId="0" ref="E88">
      <text>
        <t xml:space="preserve">ワザに設定されている基礎ダメージ量。実際の試合で与えるダメージ量は、タイマン補正・OP補正・小ジャンプ補正などにより変化するので注意。</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R88">
      <text>
        <t xml:space="preserve">ワザが相殺するかどうか。</t>
      </text>
    </comment>
    <comment authorId="0" ref="S88">
      <text>
        <t xml:space="preserve">ワザが相殺したときに、相殺モーションに移行するかどうか。</t>
      </text>
    </comment>
    <comment authorId="0" ref="U88">
      <text>
        <t xml:space="preserve">いわゆる「地ダ(地上ダッシュ)」「空ダ(空中ダッシュ)」のこと。</t>
      </text>
    </comment>
    <comment authorId="0" ref="E103">
      <text>
        <t xml:space="preserve">ワザに設定されている基礎ダメージ量。実際の試合で与えるダメージ量は、タイマン補正・OP補正・小ジャンプ補正などにより変化するので注意。</t>
      </text>
    </comment>
    <comment authorId="0" ref="F103">
      <text>
        <t xml:space="preserve">タイマンにおけるダメージは、基礎ダメージの1.2倍となる。
なお、OP相殺がかかっていない場合はさらに1.05倍。</t>
      </text>
    </comment>
    <comment authorId="0" ref="O103">
      <text>
        <t xml:space="preserve">ワザに設定されているシールド削り値。通常のダメージに加え、この値だけシールドのHPが減少する。</t>
      </text>
    </comment>
    <comment authorId="0" ref="P103">
      <text>
        <t xml:space="preserve">ワザに設定されているヒットストップ倍率。電撃属性のワザはこの値が設定されていなくとも1.5倍となる。</t>
      </text>
    </comment>
    <comment authorId="0" ref="Q103">
      <text>
        <t xml:space="preserve">ワザに設定されているヒットストップずらしによる移動距離倍率。</t>
      </text>
    </comment>
    <comment authorId="0" ref="R103">
      <text>
        <t xml:space="preserve">ワザが相殺するかどうか。</t>
      </text>
    </comment>
    <comment authorId="0" ref="S103">
      <text>
        <t xml:space="preserve">ワザが相殺したときに、相殺モーションに移行するかどうか。</t>
      </text>
    </comment>
    <comment authorId="0" ref="U103">
      <text>
        <t xml:space="preserve">いわゆる「地ダ(地上ダッシュ)」「空ダ(空中ダッシュ)」のこと。</t>
      </text>
    </comment>
    <comment authorId="0" ref="F110">
      <text>
        <t xml:space="preserve">タイマンにおけるダメージは、基礎ダメージの1.2倍となる。
なお、OP相殺がかかっていない場合はさらに1.05倍。</t>
      </text>
    </comment>
    <comment authorId="0" ref="E115">
      <text>
        <t xml:space="preserve">重量依存有りの場合、体重100の敵に対しての全体フレームを記載。</t>
      </text>
    </comment>
    <comment authorId="0" ref="G115">
      <text>
        <t xml:space="preserve">タイマンにおけるダメージは、基礎ダメージの1.2倍となる。
なお、OP相殺がかかっていない場合はさらに1.05倍。</t>
      </text>
    </comment>
    <comment authorId="0" ref="O115">
      <text>
        <t xml:space="preserve">ワザに設定されているシールド削り値。通常のダメージに加え、この値だけシールドのHPが減少する。</t>
      </text>
    </comment>
    <comment authorId="0" ref="P115">
      <text>
        <t xml:space="preserve">ワザに設定されているヒットストップ倍率。電撃属性のワザはこの値が設定されていなくとも1.5倍となる。</t>
      </text>
    </comment>
    <comment authorId="0" ref="Q115">
      <text>
        <t xml:space="preserve">ワザに設定されているヒットストップずらしによる移動距離倍率。</t>
      </text>
    </comment>
    <comment authorId="0" ref="G134">
      <text>
        <t xml:space="preserve">タイマンにおけるダメージは、基礎ダメージの1.2倍となる。
なお、OP相殺がかかっていない場合はさらに1.05倍。</t>
      </text>
    </comment>
  </commentList>
</comments>
</file>

<file path=xl/comments6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C35">
      <text>
        <t xml:space="preserve">急降下速度は変化なし。</t>
      </text>
    </comment>
    <comment authorId="0" ref="E39">
      <text>
        <t xml:space="preserve">ワザに設定されている基礎ダメージ量。実際の試合で与えるダメージ量は、タイマン補正・OP補正・小ジャンプ補正などにより変化するので注意。</t>
      </text>
    </comment>
    <comment authorId="0" ref="F39">
      <text>
        <t xml:space="preserve">タイマンにおけるダメージは、基礎ダメージの1.2倍となる。
なお、OP相殺がかかっていない場合はさらに1.05倍。</t>
      </text>
    </comment>
    <comment authorId="0" ref="O39">
      <text>
        <t xml:space="preserve">ワザに設定されているシールド削り値。通常のダメージに加え、この値だけシールドのHPが減少する。</t>
      </text>
    </comment>
    <comment authorId="0" ref="P39">
      <text>
        <t xml:space="preserve">ワザに設定されているヒットストップ倍率。電撃属性のワザはこの値が設定されていなくとも1.5倍となる。</t>
      </text>
    </comment>
    <comment authorId="0" ref="Q39">
      <text>
        <t xml:space="preserve">ワザに設定されているヒットストップずらしによる移動距離倍率。</t>
      </text>
    </comment>
    <comment authorId="0" ref="U39">
      <text>
        <t xml:space="preserve">地上慣性が消えるフレーム。「-」はなし。</t>
      </text>
    </comment>
    <comment authorId="0" ref="U45">
      <text>
        <t xml:space="preserve">反転ブレーキ時：なし</t>
      </text>
    </comment>
    <comment authorId="0" ref="C52">
      <text>
        <t xml:space="preserve">15 -&gt; 12 (7.0.0)</t>
      </text>
    </comment>
    <comment authorId="0" ref="D52">
      <text>
        <t xml:space="preserve">48 -&gt; 45 (7.0.0)</t>
      </text>
    </comment>
    <comment authorId="0" ref="C53">
      <text>
        <t xml:space="preserve">16-17 -&gt; 13-14 (7.0.0)</t>
      </text>
    </comment>
    <comment authorId="0" ref="C54">
      <text>
        <t xml:space="preserve">18-19 -&gt; 15-16 (7.0.0)</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G59">
      <text>
        <t xml:space="preserve">小ジャンプで空中攻撃を出すと、与えるダメージ量が0.85倍になる。タイマン補正も含めると、1.2 * 0.85で1.02倍。</t>
      </text>
    </comment>
    <comment authorId="0" ref="J59">
      <text>
        <t xml:space="preserve">着地隙が発生するフレーム区間のこと。</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84">
      <text>
        <t xml:space="preserve">ワザに設定されている基礎ダメージ量。実際の試合で与えるダメージ量は、タイマン補正・OP補正・小ジャンプ補正などにより変化するので注意。</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R84">
      <text>
        <t xml:space="preserve">ワザが相殺するかどうか。</t>
      </text>
    </comment>
    <comment authorId="0" ref="S84">
      <text>
        <t xml:space="preserve">ワザが相殺したときに、相殺モーションに移行するかどうか。</t>
      </text>
    </comment>
    <comment authorId="0" ref="U84">
      <text>
        <t xml:space="preserve">いわゆる「地ダ(地上ダッシュ)」「空ダ(空中ダッシュ)」のこと。</t>
      </text>
    </comment>
    <comment authorId="0" ref="E95">
      <text>
        <t xml:space="preserve">ワザに設定されている基礎ダメージ量。実際の試合で与えるダメージ量は、タイマン補正・OP補正・小ジャンプ補正などにより変化するので注意。</t>
      </text>
    </comment>
    <comment authorId="0" ref="F95">
      <text>
        <t xml:space="preserve">タイマンにおけるダメージは、基礎ダメージの1.2倍となる。
なお、OP相殺がかかっていない場合はさらに1.05倍。</t>
      </text>
    </comment>
    <comment authorId="0" ref="O95">
      <text>
        <t xml:space="preserve">ワザに設定されているシールド削り値。通常のダメージに加え、この値だけシールドのHPが減少する。</t>
      </text>
    </comment>
    <comment authorId="0" ref="P95">
      <text>
        <t xml:space="preserve">ワザに設定されているヒットストップ倍率。電撃属性のワザはこの値が設定されていなくとも1.5倍となる。</t>
      </text>
    </comment>
    <comment authorId="0" ref="Q95">
      <text>
        <t xml:space="preserve">ワザに設定されているヒットストップずらしによる移動距離倍率。</t>
      </text>
    </comment>
    <comment authorId="0" ref="R95">
      <text>
        <t xml:space="preserve">ワザが相殺するかどうか。</t>
      </text>
    </comment>
    <comment authorId="0" ref="S95">
      <text>
        <t xml:space="preserve">ワザが相殺したときに、相殺モーションに移行するかどうか。</t>
      </text>
    </comment>
    <comment authorId="0" ref="U95">
      <text>
        <t xml:space="preserve">いわゆる「地ダ(地上ダッシュ)」「空ダ(空中ダッシュ)」のこと。</t>
      </text>
    </comment>
    <comment authorId="0" ref="H96">
      <text>
        <t xml:space="preserve">崖つかまり：
28F目以降 -&gt; 24F目以降 (7.0.0)</t>
      </text>
    </comment>
    <comment authorId="0" ref="E108">
      <text>
        <t xml:space="preserve">ワザに設定されている基礎ダメージ量。実際の試合で与えるダメージ量は、タイマン補正・OP補正・小ジャンプ補正などにより変化するので注意。</t>
      </text>
    </comment>
    <comment authorId="0" ref="F108">
      <text>
        <t xml:space="preserve">タイマンにおけるダメージは、基礎ダメージの1.2倍となる。
なお、OP相殺がかかっていない場合はさらに1.05倍。</t>
      </text>
    </comment>
    <comment authorId="0" ref="O108">
      <text>
        <t xml:space="preserve">ワザに設定されているシールド削り値。通常のダメージに加え、この値だけシールドのHPが減少する。</t>
      </text>
    </comment>
    <comment authorId="0" ref="P108">
      <text>
        <t xml:space="preserve">ワザに設定されているヒットストップ倍率。電撃属性のワザはこの値が設定されていなくとも1.5倍となる。</t>
      </text>
    </comment>
    <comment authorId="0" ref="Q108">
      <text>
        <t xml:space="preserve">ワザに設定されているヒットストップずらしによる移動距離倍率。</t>
      </text>
    </comment>
    <comment authorId="0" ref="R108">
      <text>
        <t xml:space="preserve">ワザが相殺するかどうか。</t>
      </text>
    </comment>
    <comment authorId="0" ref="S108">
      <text>
        <t xml:space="preserve">ワザが相殺したときに、相殺モーションに移行するかどうか。</t>
      </text>
    </comment>
    <comment authorId="0" ref="U108">
      <text>
        <t xml:space="preserve">いわゆる「地ダ(地上ダッシュ)」「空ダ(空中ダッシュ)」のこと。</t>
      </text>
    </comment>
    <comment authorId="0" ref="C111">
      <text>
        <t xml:space="preserve">14 -&gt; 12 (13.0.1)</t>
      </text>
    </comment>
    <comment authorId="0" ref="D111">
      <text>
        <t xml:space="preserve">86 -&gt; 84 (13.0.1)</t>
      </text>
    </comment>
    <comment authorId="0" ref="C112">
      <text>
        <t xml:space="preserve">15-16 -&gt; 13-14 (13.0.1)</t>
      </text>
    </comment>
    <comment authorId="0" ref="C113">
      <text>
        <t xml:space="preserve">24-28 -&gt; 22-26 (13.0.1)</t>
      </text>
    </comment>
    <comment authorId="0" ref="C114">
      <text>
        <t xml:space="preserve">16-17 -&gt; 14-15 (13.0.1)</t>
      </text>
    </comment>
    <comment authorId="0" ref="D114">
      <text>
        <t xml:space="preserve">89 -&gt; 87 (13.0.1)</t>
      </text>
    </comment>
    <comment authorId="0" ref="C115">
      <text>
        <t xml:space="preserve">19 -&gt; 17 (13.0.1)</t>
      </text>
    </comment>
    <comment authorId="0" ref="C116">
      <text>
        <t xml:space="preserve">27-31 -&gt; 25-29 (13.0.1)</t>
      </text>
    </comment>
    <comment authorId="0" ref="F119">
      <text>
        <t xml:space="preserve">タイマンにおけるダメージは、基礎ダメージの1.2倍となる。
なお、OP相殺がかかっていない場合はさらに1.05倍。</t>
      </text>
    </comment>
    <comment authorId="0" ref="F124">
      <text>
        <t xml:space="preserve">タイマンにおけるダメージは、基礎ダメージの1.2倍となる。
なお、OP相殺がかかっていない場合はさらに1.05倍。</t>
      </text>
    </comment>
    <comment authorId="0" ref="O124">
      <text>
        <t xml:space="preserve">ワザに設定されているシールド削り値。通常のダメージに加え、この値だけシールドのHPが減少する。</t>
      </text>
    </comment>
    <comment authorId="0" ref="P124">
      <text>
        <t xml:space="preserve">ワザに設定されているヒットストップ倍率。電撃属性のワザはこの値が設定されていなくとも1.5倍となる。</t>
      </text>
    </comment>
    <comment authorId="0" ref="Q124">
      <text>
        <t xml:space="preserve">ワザに設定されているヒットストップずらしによる移動距離倍率。</t>
      </text>
    </comment>
    <comment authorId="0" ref="G144">
      <text>
        <t xml:space="preserve">タイマンにおけるダメージは、基礎ダメージの1.2倍となる。
なお、OP相殺がかかっていない場合はさらに1.05倍。</t>
      </text>
    </comment>
  </commentList>
</comments>
</file>

<file path=xl/comments6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4">
      <text>
        <t xml:space="preserve">反転ブレーキ時：なし</t>
      </text>
    </comment>
    <comment authorId="0" ref="G39">
      <text>
        <t xml:space="preserve">8F/8F/10F &gt; 13F/13F/17F (8.0.0)</t>
      </text>
    </comment>
    <comment authorId="0" ref="C40">
      <text>
        <t xml:space="preserve">13-15 -&gt; 13-17 (3.0.0)</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着地隙が発生するフレーム区間のこと。</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J45">
      <text>
        <t xml:space="preserve">6-49 -&gt; 6-46 (2.0.0)</t>
      </text>
    </comment>
    <comment authorId="0" ref="E47">
      <text>
        <t xml:space="preserve">7.5 -&gt; 9 (8.0.0)</t>
      </text>
    </comment>
    <comment authorId="0" ref="E48">
      <text>
        <t xml:space="preserve">11 -&gt; 12 (8.0.0)</t>
      </text>
    </comment>
    <comment authorId="0" ref="E50">
      <text>
        <t xml:space="preserve">9 -&gt; 10 (8.0.0)</t>
      </text>
    </comment>
    <comment authorId="0" ref="J50">
      <text>
        <t xml:space="preserve">4-39 -&gt; 4-37 (2.0.0)</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R55">
      <text>
        <t xml:space="preserve">ワザが相殺するかどうか。</t>
      </text>
    </comment>
    <comment authorId="0" ref="S55">
      <text>
        <t xml:space="preserve">ワザが相殺したときに、相殺モーションに移行するかどうか。</t>
      </text>
    </comment>
    <comment authorId="0" ref="U55">
      <text>
        <t xml:space="preserve">いわゆる「地ダ(地上ダッシュ)」「空ダ(空中ダッシュ)」のこと。</t>
      </text>
    </comment>
    <comment authorId="0" ref="C56">
      <text>
        <t xml:space="preserve">17-61 -&gt; 17-71 (3.0.0)</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D62">
      <text>
        <t xml:space="preserve">41 -&gt; 37 (8.0.0)</t>
      </text>
    </comment>
    <comment authorId="0" ref="D63">
      <text>
        <t xml:space="preserve">41 -&gt; 37 (8.0.0)</t>
      </text>
    </comment>
    <comment authorId="0" ref="D64">
      <text>
        <t xml:space="preserve">15 -&gt; 13 (3.0.0)</t>
      </text>
    </comment>
    <comment authorId="0" ref="H64">
      <text>
        <t xml:space="preserve">移行：28F目 -&gt; 26F目 (3.0.0)</t>
      </text>
    </comment>
    <comment authorId="0" ref="D70">
      <text>
        <t xml:space="preserve">45 -&gt; 39 (4.0.0)
39 -&gt; 29 (8.0.0)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H73">
      <text>
        <t xml:space="preserve">全身無敵：10-17F -&gt; 7-17F (3.0.0)</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F81">
      <text>
        <t xml:space="preserve">タイマンにおけるダメージは、基礎ダメージの1.2倍となる。
なお、OP相殺がかかっていない場合はさらに1.05倍。</t>
      </text>
    </comment>
    <comment authorId="0" ref="F86">
      <text>
        <t xml:space="preserve">タイマンにおけるダメージは、基礎ダメージの1.2倍となる。
なお、OP相殺がかかっていない場合はさらに1.05倍。</t>
      </text>
    </comment>
    <comment authorId="0" ref="O86">
      <text>
        <t xml:space="preserve">ワザに設定されているシールド削り値。通常のダメージに加え、この値だけシールドのHPが減少する。</t>
      </text>
    </comment>
    <comment authorId="0" ref="P86">
      <text>
        <t xml:space="preserve">ワザに設定されているヒットストップ倍率。電撃属性のワザはこの値が設定されていなくとも1.5倍となる。</t>
      </text>
    </comment>
    <comment authorId="0" ref="Q86">
      <text>
        <t xml:space="preserve">ワザに設定されているヒットストップずらしによる移動距離倍率。</t>
      </text>
    </comment>
    <comment authorId="0" ref="G105">
      <text>
        <t xml:space="preserve">タイマンにおけるダメージは、基礎ダメージの1.2倍となる。
なお、OP相殺がかかっていない場合はさらに1.05倍。</t>
      </text>
    </comment>
  </commentList>
</comments>
</file>

<file path=xl/comments6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6">
      <text>
        <t xml:space="preserve">9-11 -&gt; 9-12 (3.1.0)</t>
      </text>
    </comment>
    <comment authorId="0" ref="U35">
      <text>
        <t xml:space="preserve">反転ブレーキ時：なし</t>
      </text>
    </comment>
    <comment authorId="0" ref="D38">
      <text>
        <t xml:space="preserve">42 -&gt; 39 (8.0.0)</t>
      </text>
    </comment>
    <comment authorId="0" ref="C39">
      <text>
        <t xml:space="preserve">9-11 -&gt; 7-9 (8.0.0)</t>
      </text>
    </comment>
    <comment authorId="0" ref="D39">
      <text>
        <t xml:space="preserve">31 -&gt; 29 (8.0.0)</t>
      </text>
    </comment>
    <comment authorId="0" ref="C40">
      <text>
        <t xml:space="preserve">12-13 -&gt; 10-11 (8.0.0)</t>
      </text>
    </comment>
    <comment authorId="0" ref="C41">
      <text>
        <t xml:space="preserve">15 -&gt; 13 (8.0.0)</t>
      </text>
    </comment>
    <comment authorId="0" ref="C43">
      <text>
        <t xml:space="preserve">17-19 -&gt; 17-21 (8.0.0)</t>
      </text>
    </comment>
    <comment authorId="0" ref="C47">
      <text>
        <t xml:space="preserve">20-21 -&gt; 17-18 (12.0.0)</t>
      </text>
    </comment>
    <comment authorId="0" ref="D47">
      <text>
        <t xml:space="preserve">68 -&gt; 65 (12.0.0)</t>
      </text>
    </comment>
    <comment authorId="0" ref="C48">
      <text>
        <t xml:space="preserve">25 -&gt; 22 (12.0.0</t>
      </text>
    </comment>
    <comment authorId="0" ref="C49">
      <text>
        <t xml:space="preserve">26-27 -&gt; 26-28 (3.1.0)
26-28 -&gt; 23-25 (12.0.0)</t>
      </text>
    </comment>
    <comment authorId="0" ref="E52">
      <text>
        <t xml:space="preserve">ワザに設定されている基礎ダメージ量。実際の試合で与えるダメージ量は、タイマン補正・OP補正・小ジャンプ補正などにより変化するので注意。</t>
      </text>
    </comment>
    <comment authorId="0" ref="F52">
      <text>
        <t xml:space="preserve">タイマンにおけるダメージは、基礎ダメージの1.2倍となる。
なお、OP相殺がかかっていない場合はさらに1.05倍。</t>
      </text>
    </comment>
    <comment authorId="0" ref="G52">
      <text>
        <t xml:space="preserve">小ジャンプで空中攻撃を出すと、与えるダメージ量が0.85倍になる。タイマン補正も含めると、1.2 * 0.85で1.02倍。</t>
      </text>
    </comment>
    <comment authorId="0" ref="J52">
      <text>
        <t xml:space="preserve">着地隙が発生するフレーム区間のこと。</t>
      </text>
    </comment>
    <comment authorId="0" ref="O52">
      <text>
        <t xml:space="preserve">ワザに設定されているシールド削り値。通常のダメージに加え、この値だけシールドのHPが減少する。</t>
      </text>
    </comment>
    <comment authorId="0" ref="P52">
      <text>
        <t xml:space="preserve">ワザに設定されているヒットストップ倍率。電撃属性のワザはこの値が設定されていなくとも1.5倍となる。</t>
      </text>
    </comment>
    <comment authorId="0" ref="Q52">
      <text>
        <t xml:space="preserve">ワザに設定されているヒットストップずらしによる移動距離倍率。</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77">
      <text>
        <t xml:space="preserve">ワザに設定されている基礎ダメージ量。実際の試合で与えるダメージ量は、タイマン補正・OP補正・小ジャンプ補正などにより変化するので注意。</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R77">
      <text>
        <t xml:space="preserve">ワザが相殺するかどうか。</t>
      </text>
    </comment>
    <comment authorId="0" ref="S77">
      <text>
        <t xml:space="preserve">ワザが相殺したときに、相殺モーションに移行するかどうか。</t>
      </text>
    </comment>
    <comment authorId="0" ref="U77">
      <text>
        <t xml:space="preserve">いわゆる「地ダ(地上ダッシュ)」「空ダ(空中ダッシュ)」のこと。</t>
      </text>
    </comment>
    <comment authorId="0" ref="D78">
      <text>
        <t xml:space="preserve">48 ~ 71 -&gt; 48 ~ 66 (8.0.0)</t>
      </text>
    </comment>
    <comment authorId="0" ref="D83">
      <text>
        <t xml:space="preserve">72 -&gt; 67 (8.0.0)</t>
      </text>
    </comment>
    <comment authorId="0" ref="E98">
      <text>
        <t xml:space="preserve">ワザに設定されている基礎ダメージ量。実際の試合で与えるダメージ量は、タイマン補正・OP補正・小ジャンプ補正などにより変化するので注意。</t>
      </text>
    </comment>
    <comment authorId="0" ref="F98">
      <text>
        <t xml:space="preserve">タイマンにおけるダメージは、基礎ダメージの1.2倍となる。
なお、OP相殺がかかっていない場合はさらに1.05倍。</t>
      </text>
    </comment>
    <comment authorId="0" ref="O98">
      <text>
        <t xml:space="preserve">ワザに設定されているシールド削り値。通常のダメージに加え、この値だけシールドのHPが減少する。</t>
      </text>
    </comment>
    <comment authorId="0" ref="P98">
      <text>
        <t xml:space="preserve">ワザに設定されているヒットストップ倍率。電撃属性のワザはこの値が設定されていなくとも1.5倍となる。</t>
      </text>
    </comment>
    <comment authorId="0" ref="Q98">
      <text>
        <t xml:space="preserve">ワザに設定されているヒットストップずらしによる移動距離倍率。</t>
      </text>
    </comment>
    <comment authorId="0" ref="R98">
      <text>
        <t xml:space="preserve">ワザが相殺するかどうか。</t>
      </text>
    </comment>
    <comment authorId="0" ref="S98">
      <text>
        <t xml:space="preserve">ワザが相殺したときに、相殺モーションに移行するかどうか。</t>
      </text>
    </comment>
    <comment authorId="0" ref="U98">
      <text>
        <t xml:space="preserve">いわゆる「地ダ(地上ダッシュ)」「空ダ(空中ダッシュ)」のこと。</t>
      </text>
    </comment>
    <comment authorId="0" ref="E106">
      <text>
        <t xml:space="preserve">ワザに設定されている基礎ダメージ量。実際の試合で与えるダメージ量は、タイマン補正・OP補正・小ジャンプ補正などにより変化するので注意。</t>
      </text>
    </comment>
    <comment authorId="0" ref="F106">
      <text>
        <t xml:space="preserve">タイマンにおけるダメージは、基礎ダメージの1.2倍となる。
なお、OP相殺がかかっていない場合はさらに1.05倍。</t>
      </text>
    </comment>
    <comment authorId="0" ref="O106">
      <text>
        <t xml:space="preserve">ワザに設定されているシールド削り値。通常のダメージに加え、この値だけシールドのHPが減少する。</t>
      </text>
    </comment>
    <comment authorId="0" ref="P106">
      <text>
        <t xml:space="preserve">ワザに設定されているヒットストップ倍率。電撃属性のワザはこの値が設定されていなくとも1.5倍となる。</t>
      </text>
    </comment>
    <comment authorId="0" ref="Q106">
      <text>
        <t xml:space="preserve">ワザに設定されているヒットストップずらしによる移動距離倍率。</t>
      </text>
    </comment>
    <comment authorId="0" ref="R106">
      <text>
        <t xml:space="preserve">ワザが相殺するかどうか。</t>
      </text>
    </comment>
    <comment authorId="0" ref="S106">
      <text>
        <t xml:space="preserve">ワザが相殺したときに、相殺モーションに移行するかどうか。</t>
      </text>
    </comment>
    <comment authorId="0" ref="U106">
      <text>
        <t xml:space="preserve">いわゆる「地ダ(地上ダッシュ)」「空ダ(空中ダッシュ)」のこと。</t>
      </text>
    </comment>
    <comment authorId="0" ref="C107">
      <text>
        <t xml:space="preserve">受付：8-21F -&gt; 8-27F (3.1.0)</t>
      </text>
    </comment>
    <comment authorId="0" ref="H107">
      <text>
        <t xml:space="preserve">WT：8-21F -&gt; 8-27F (3.1.0)
全身無敵：8-17F -&gt; 8-23F (3.1.0)
BW：18-29F -&gt; 24-35F (3.1.0)</t>
      </text>
    </comment>
    <comment authorId="0" ref="F111">
      <text>
        <t xml:space="preserve">タイマンにおけるダメージは、基礎ダメージの1.2倍となる。
なお、OP相殺がかかっていない場合はさらに1.05倍。</t>
      </text>
    </comment>
    <comment authorId="0" ref="F116">
      <text>
        <t xml:space="preserve">タイマンにおけるダメージは、基礎ダメージの1.2倍となる。
なお、OP相殺がかかっていない場合はさらに1.05倍。</t>
      </text>
    </comment>
    <comment authorId="0" ref="O116">
      <text>
        <t xml:space="preserve">ワザに設定されているシールド削り値。通常のダメージに加え、この値だけシールドのHPが減少する。</t>
      </text>
    </comment>
    <comment authorId="0" ref="P116">
      <text>
        <t xml:space="preserve">ワザに設定されているヒットストップ倍率。電撃属性のワザはこの値が設定されていなくとも1.5倍となる。</t>
      </text>
    </comment>
    <comment authorId="0" ref="Q116">
      <text>
        <t xml:space="preserve">ワザに設定されているヒットストップずらしによる移動距離倍率。</t>
      </text>
    </comment>
    <comment authorId="0" ref="G135">
      <text>
        <t xml:space="preserve">タイマンにおけるダメージは、基礎ダメージの1.2倍となる。
なお、OP相殺がかかっていない場合はさらに1.05倍。</t>
      </text>
    </comment>
  </commentList>
</comments>
</file>

<file path=xl/comments7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4">
      <text>
        <t xml:space="preserve">反転ブレーキ時：なし</t>
      </text>
    </comment>
    <comment authorId="0" ref="E51">
      <text>
        <t xml:space="preserve">ワザに設定されている基礎ダメージ量。実際の試合で与えるダメージ量は、タイマン補正・OP補正・小ジャンプ補正などにより変化するので注意。</t>
      </text>
    </comment>
    <comment authorId="0" ref="F51">
      <text>
        <t xml:space="preserve">タイマンにおけるダメージは、基礎ダメージの1.2倍となる。
なお、OP相殺がかかっていない場合はさらに1.05倍。</t>
      </text>
    </comment>
    <comment authorId="0" ref="G51">
      <text>
        <t xml:space="preserve">未実装。計算式が判明次第、追加していく予定です。</t>
      </text>
    </comment>
    <comment authorId="0" ref="O51">
      <text>
        <t xml:space="preserve">ワザに設定されているシールド削り値。通常のダメージに加え、この値だけシールドのHPが減少する。</t>
      </text>
    </comment>
    <comment authorId="0" ref="P51">
      <text>
        <t xml:space="preserve">ワザに設定されているヒットストップ倍率。電撃属性のワザはこの値が設定されていなくとも1.5倍となる。</t>
      </text>
    </comment>
    <comment authorId="0" ref="Q51">
      <text>
        <t xml:space="preserve">ワザに設定されているヒットストップずらしによる移動距離倍率。</t>
      </text>
    </comment>
    <comment authorId="0" ref="U51">
      <text>
        <t xml:space="preserve">地上慣性が消えるフレーム。「-」はなし。</t>
      </text>
    </comment>
    <comment authorId="0" ref="D52">
      <text>
        <t xml:space="preserve">43 -&gt; 38 (13.0.1)</t>
      </text>
    </comment>
    <comment authorId="0" ref="D53">
      <text>
        <t xml:space="preserve">29 -&gt; 24 (13.0.1)</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G56">
      <text>
        <t xml:space="preserve">小ジャンプで空中攻撃を出すと、与えるダメージ量が0.85倍になる。タイマン補正も含めると、1.2 * 0.85で1.02倍。</t>
      </text>
    </comment>
    <comment authorId="0" ref="J56">
      <text>
        <t xml:space="preserve">着地隙が発生するフレーム区間のこと。</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C67">
      <text>
        <t xml:space="preserve">【最短時】(13.0.1)
弾2: 16-19 -&gt; 16-20
弾3: 20-25 -&gt; 20-28
弾4: 24-35 -&gt; 24-36</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E83">
      <text>
        <t xml:space="preserve">ワザに設定されている基礎ダメージ量。実際の試合で与えるダメージ量は、タイマン補正・OP補正・小ジャンプ補正などにより変化するので注意。</t>
      </text>
    </comment>
    <comment authorId="0" ref="F83">
      <text>
        <t xml:space="preserve">タイマンにおけるダメージは、基礎ダメージの1.2倍となる。
なお、OP相殺がかかっていない場合はさらに1.05倍。</t>
      </text>
    </comment>
    <comment authorId="0" ref="O83">
      <text>
        <t xml:space="preserve">ワザに設定されているシールド削り値。通常のダメージに加え、この値だけシールドのHPが減少する。</t>
      </text>
    </comment>
    <comment authorId="0" ref="P83">
      <text>
        <t xml:space="preserve">ワザに設定されているヒットストップ倍率。電撃属性のワザはこの値が設定されていなくとも1.5倍となる。</t>
      </text>
    </comment>
    <comment authorId="0" ref="Q83">
      <text>
        <t xml:space="preserve">ワザに設定されているヒットストップずらしによる移動距離倍率。</t>
      </text>
    </comment>
    <comment authorId="0" ref="R83">
      <text>
        <t xml:space="preserve">ワザが相殺するかどうか。</t>
      </text>
    </comment>
    <comment authorId="0" ref="S83">
      <text>
        <t xml:space="preserve">ワザが相殺したときに、相殺モーションに移行するかどうか。</t>
      </text>
    </comment>
    <comment authorId="0" ref="U83">
      <text>
        <t xml:space="preserve">いわゆる「地ダ(地上ダッシュ)」「空ダ(空中ダッシュ)」のこと。</t>
      </text>
    </comment>
    <comment authorId="0" ref="E88">
      <text>
        <t xml:space="preserve">ワザに設定されている基礎ダメージ量。実際の試合で与えるダメージ量は、タイマン補正・OP補正・小ジャンプ補正などにより変化するので注意。</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R88">
      <text>
        <t xml:space="preserve">ワザが相殺するかどうか。</t>
      </text>
    </comment>
    <comment authorId="0" ref="S88">
      <text>
        <t xml:space="preserve">ワザが相殺したときに、相殺モーションに移行するかどうか。</t>
      </text>
    </comment>
    <comment authorId="0" ref="U88">
      <text>
        <t xml:space="preserve">いわゆる「地ダ(地上ダッシュ)」「空ダ(空中ダッシュ)」のこと。</t>
      </text>
    </comment>
    <comment authorId="0" ref="F105">
      <text>
        <t xml:space="preserve">タイマンにおけるダメージは、基礎ダメージの1.2倍となる。
なお、OP相殺がかかっていない場合はさらに1.05倍。</t>
      </text>
    </comment>
    <comment authorId="0" ref="F110">
      <text>
        <t xml:space="preserve">タイマンにおけるダメージは、基礎ダメージの1.2倍となる。
なお、OP相殺がかかっていない場合はさらに1.05倍。</t>
      </text>
    </comment>
    <comment authorId="0" ref="O110">
      <text>
        <t xml:space="preserve">ワザに設定されているシールド削り値。通常のダメージに加え、この値だけシールドのHPが減少する。</t>
      </text>
    </comment>
    <comment authorId="0" ref="P110">
      <text>
        <t xml:space="preserve">ワザに設定されているヒットストップ倍率。電撃属性のワザはこの値が設定されていなくとも1.5倍となる。</t>
      </text>
    </comment>
    <comment authorId="0" ref="Q110">
      <text>
        <t xml:space="preserve">ワザに設定されているヒットストップずらしによる移動距離倍率。</t>
      </text>
    </comment>
    <comment authorId="0" ref="G129">
      <text>
        <t xml:space="preserve">タイマンにおけるダメージは、基礎ダメージの1.2倍となる。
なお、OP相殺がかかっていない場合はさらに1.05倍。</t>
      </text>
    </comment>
  </commentList>
</comments>
</file>

<file path=xl/comments7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2">
      <text>
        <t xml:space="preserve">12 -&gt; 13.5 (13.0.1)</t>
      </text>
    </comment>
    <comment authorId="0" ref="U33">
      <text>
        <t xml:space="preserve">反転ブレーキ時：なし</t>
      </text>
    </comment>
    <comment authorId="0" ref="C37">
      <text>
        <t xml:space="preserve">12-16 -&gt; 12-17 (4.0.0)</t>
      </text>
    </comment>
    <comment authorId="0" ref="H37">
      <text>
        <t xml:space="preserve">右足先無敵：12-16F -&gt; 12-17F (4.0.0)</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G41">
      <text>
        <t xml:space="preserve">小ジャンプで空中攻撃を出すと、与えるダメージ量が0.85倍になる。タイマン補正も含めると、1.2 * 0.85で1.02倍。</t>
      </text>
    </comment>
    <comment authorId="0" ref="J41">
      <text>
        <t xml:space="preserve">着地隙が発生するフレーム区間のこと。</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E47">
      <text>
        <t xml:space="preserve">15 -&gt; 16 (4.0.0)</t>
      </text>
    </comment>
    <comment authorId="0" ref="E48">
      <text>
        <t xml:space="preserve">12/14 -&gt; 14/12 (4.0.0)</t>
      </text>
    </comment>
    <comment authorId="0" ref="E54">
      <text>
        <t xml:space="preserve">ワザに設定されている基礎ダメージ量。実際の試合で与えるダメージ量は、タイマン補正・OP補正・小ジャンプ補正などにより変化するので注意。</t>
      </text>
    </comment>
    <comment authorId="0" ref="F54">
      <text>
        <t xml:space="preserve">タイマンにおけるダメージは、基礎ダメージの1.2倍となる。
なお、OP相殺がかかっていない場合はさらに1.05倍。</t>
      </text>
    </comment>
    <comment authorId="0" ref="O54">
      <text>
        <t xml:space="preserve">ワザに設定されているシールド削り値。通常のダメージに加え、この値だけシールドのHPが減少する。</t>
      </text>
    </comment>
    <comment authorId="0" ref="P54">
      <text>
        <t xml:space="preserve">ワザに設定されているヒットストップ倍率。電撃属性のワザはこの値が設定されていなくとも1.5倍となる。</t>
      </text>
    </comment>
    <comment authorId="0" ref="Q54">
      <text>
        <t xml:space="preserve">ワザに設定されているヒットストップずらしによる移動距離倍率。</t>
      </text>
    </comment>
    <comment authorId="0" ref="R54">
      <text>
        <t xml:space="preserve">ワザが相殺するかどうか。</t>
      </text>
    </comment>
    <comment authorId="0" ref="S54">
      <text>
        <t xml:space="preserve">ワザが相殺したときに、相殺モーションに移行するかどうか。</t>
      </text>
    </comment>
    <comment authorId="0" ref="U54">
      <text>
        <t xml:space="preserve">いわゆる「地ダ(地上ダッシュ)」「空ダ(空中ダッシュ)」のこと。</t>
      </text>
    </comment>
    <comment authorId="0" ref="D55">
      <text>
        <t xml:space="preserve">57 -&gt; 55 (1.1.0?)</t>
      </text>
    </comment>
    <comment authorId="0" ref="D59">
      <text>
        <t xml:space="preserve">58 -&gt; 55 (1.1.0?)</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D67">
      <text>
        <t xml:space="preserve">41 -&gt; 38 (4.0.0)</t>
      </text>
    </comment>
    <comment authorId="0" ref="E69">
      <text>
        <t xml:space="preserve">ワザに設定されている基礎ダメージ量。実際の試合で与えるダメージ量は、タイマン補正・OP補正・小ジャンプ補正などにより変化するので注意。</t>
      </text>
    </comment>
    <comment authorId="0" ref="F69">
      <text>
        <t xml:space="preserve">タイマンにおけるダメージは、基礎ダメージの1.2倍となる。
なお、OP相殺がかかっていない場合はさらに1.05倍。</t>
      </text>
    </comment>
    <comment authorId="0" ref="O69">
      <text>
        <t xml:space="preserve">ワザに設定されているシールド削り値。通常のダメージに加え、この値だけシールドのHPが減少する。</t>
      </text>
    </comment>
    <comment authorId="0" ref="P69">
      <text>
        <t xml:space="preserve">ワザに設定されているヒットストップ倍率。電撃属性のワザはこの値が設定されていなくとも1.5倍となる。</t>
      </text>
    </comment>
    <comment authorId="0" ref="Q69">
      <text>
        <t xml:space="preserve">ワザに設定されているヒットストップずらしによる移動距離倍率。</t>
      </text>
    </comment>
    <comment authorId="0" ref="R69">
      <text>
        <t xml:space="preserve">ワザが相殺するかどうか。</t>
      </text>
    </comment>
    <comment authorId="0" ref="S69">
      <text>
        <t xml:space="preserve">ワザが相殺したときに、相殺モーションに移行するかどうか。</t>
      </text>
    </comment>
    <comment authorId="0" ref="U69">
      <text>
        <t xml:space="preserve">いわゆる「地ダ(地上ダッシュ)」「空ダ(空中ダッシュ)」のこと。</t>
      </text>
    </comment>
    <comment authorId="0" ref="C70">
      <text>
        <t xml:space="preserve">39-58 -&gt; 36-55 (4.0.0)</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D78">
      <text>
        <t xml:space="preserve">青ズームの仕様により、見た目-1Fが本来の値</t>
      </text>
    </comment>
    <comment authorId="0" ref="C79">
      <text>
        <t xml:space="preserve">青ズームの仕様により、見た目-1Fが本来の値</t>
      </text>
    </comment>
    <comment authorId="0" ref="F82">
      <text>
        <t xml:space="preserve">タイマンにおけるダメージは、基礎ダメージの1.2倍となる。
なお、OP相殺がかかっていない場合はさらに1.05倍。</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G106">
      <text>
        <t xml:space="preserve">タイマンにおけるダメージは、基礎ダメージの1.2倍となる。
なお、OP相殺がかかっていない場合はさらに1.05倍。</t>
      </text>
    </comment>
  </commentList>
</comments>
</file>

<file path=xl/comments7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3">
      <text>
        <t xml:space="preserve">1.7 -&gt; 2 (9.0.0)</t>
      </text>
    </comment>
    <comment authorId="0" ref="U35">
      <text>
        <t xml:space="preserve">反転ブレーキ時：なし</t>
      </text>
    </comment>
    <comment authorId="0" ref="C41">
      <text>
        <t xml:space="preserve">18-20 -&gt; 16-18 (9.0.0)</t>
      </text>
    </comment>
    <comment authorId="0" ref="D41">
      <text>
        <t xml:space="preserve">55 -&gt; 53 (9.0.0)</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着地隙が発生するフレーム区間のこと。</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F74">
      <text>
        <t xml:space="preserve">タイマンにおけるダメージは、基礎ダメージの1.2倍となる。
なお、OP相殺がかかっていない場合はさらに1.05倍。</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G98">
      <text>
        <t xml:space="preserve">タイマンにおけるダメージは、基礎ダメージの1.2倍となる。
なお、OP相殺がかかっていない場合はさらに1.05倍。</t>
      </text>
    </comment>
  </commentList>
</comments>
</file>

<file path=xl/comments7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3">
      <text>
        <t xml:space="preserve">1.7 -&gt; 2 (9.0.0)</t>
      </text>
    </comment>
    <comment authorId="0" ref="U35">
      <text>
        <t xml:space="preserve">反転ブレーキ時：なし</t>
      </text>
    </comment>
    <comment authorId="0" ref="C41">
      <text>
        <t xml:space="preserve">18-20 -&gt; 16-18 (9.0.0)</t>
      </text>
    </comment>
    <comment authorId="0" ref="D41">
      <text>
        <t xml:space="preserve">55 -&gt; 53 (9.0.0)</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着地隙が発生するフレーム区間のこと。</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E65">
      <text>
        <t xml:space="preserve">ワザに設定されている基礎ダメージ量。実際の試合で与えるダメージ量は、タイマン補正・OP補正・小ジャンプ補正などにより変化するので注意。</t>
      </text>
    </comment>
    <comment authorId="0" ref="F65">
      <text>
        <t xml:space="preserve">タイマンにおけるダメージは、基礎ダメージの1.2倍となる。
なお、OP相殺がかかっていない場合はさらに1.05倍。</t>
      </text>
    </comment>
    <comment authorId="0" ref="O65">
      <text>
        <t xml:space="preserve">ワザに設定されているシールド削り値。通常のダメージに加え、この値だけシールドのHPが減少する。</t>
      </text>
    </comment>
    <comment authorId="0" ref="P65">
      <text>
        <t xml:space="preserve">ワザに設定されているヒットストップ倍率。電撃属性のワザはこの値が設定されていなくとも1.5倍となる。</t>
      </text>
    </comment>
    <comment authorId="0" ref="Q65">
      <text>
        <t xml:space="preserve">ワザに設定されているヒットストップずらしによる移動距離倍率。</t>
      </text>
    </comment>
    <comment authorId="0" ref="R65">
      <text>
        <t xml:space="preserve">ワザが相殺するかどうか。</t>
      </text>
    </comment>
    <comment authorId="0" ref="S65">
      <text>
        <t xml:space="preserve">ワザが相殺したときに、相殺モーションに移行するかどうか。</t>
      </text>
    </comment>
    <comment authorId="0" ref="U65">
      <text>
        <t xml:space="preserve">いわゆる「地ダ(地上ダッシュ)」「空ダ(空中ダッシュ)」のこと。</t>
      </text>
    </comment>
    <comment authorId="0" ref="E69">
      <text>
        <t xml:space="preserve">ワザに設定されている基礎ダメージ量。実際の試合で与えるダメージ量は、タイマン補正・OP補正・小ジャンプ補正などにより変化するので注意。</t>
      </text>
    </comment>
    <comment authorId="0" ref="F69">
      <text>
        <t xml:space="preserve">タイマンにおけるダメージは、基礎ダメージの1.2倍となる。
なお、OP相殺がかかっていない場合はさらに1.05倍。</t>
      </text>
    </comment>
    <comment authorId="0" ref="O69">
      <text>
        <t xml:space="preserve">ワザに設定されているシールド削り値。通常のダメージに加え、この値だけシールドのHPが減少する。</t>
      </text>
    </comment>
    <comment authorId="0" ref="P69">
      <text>
        <t xml:space="preserve">ワザに設定されているヒットストップ倍率。電撃属性のワザはこの値が設定されていなくとも1.5倍となる。</t>
      </text>
    </comment>
    <comment authorId="0" ref="Q69">
      <text>
        <t xml:space="preserve">ワザに設定されているヒットストップずらしによる移動距離倍率。</t>
      </text>
    </comment>
    <comment authorId="0" ref="R69">
      <text>
        <t xml:space="preserve">ワザが相殺するかどうか。</t>
      </text>
    </comment>
    <comment authorId="0" ref="S69">
      <text>
        <t xml:space="preserve">ワザが相殺したときに、相殺モーションに移行するかどうか。</t>
      </text>
    </comment>
    <comment authorId="0" ref="U69">
      <text>
        <t xml:space="preserve">いわゆる「地ダ(地上ダッシュ)」「空ダ(空中ダッシュ)」のこと。</t>
      </text>
    </comment>
    <comment authorId="0" ref="F75">
      <text>
        <t xml:space="preserve">タイマンにおけるダメージは、基礎ダメージの1.2倍となる。
なお、OP相殺がかかっていない場合はさらに1.05倍。</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G99">
      <text>
        <t xml:space="preserve">タイマンにおけるダメージは、基礎ダメージの1.2倍となる。
なお、OP相殺がかかっていない場合はさらに1.05倍。</t>
      </text>
    </comment>
  </commentList>
</comments>
</file>

<file path=xl/comments7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9">
      <text>
        <t xml:space="preserve">7-11 -&gt; 7-14 (8.0.0)</t>
      </text>
    </comment>
    <comment authorId="0" ref="C30">
      <text>
        <t xml:space="preserve">12-25 -&gt; 15-25 (8.0.0)</t>
      </text>
    </comment>
    <comment authorId="0" ref="U31">
      <text>
        <t xml:space="preserve">反転ブレーキ時：なし</t>
      </text>
    </comment>
    <comment authorId="0" ref="E32">
      <text>
        <t xml:space="preserve">11.5 -&gt; 12.5 (13.0.0)</t>
      </text>
    </comment>
    <comment authorId="0" ref="E33">
      <text>
        <t xml:space="preserve">6.8/8.2 -&gt; 7.4/8.9 (13.0.0)</t>
      </text>
    </comment>
    <comment authorId="0" ref="C37">
      <text>
        <t xml:space="preserve">19-20 -&gt; 19-21 (13.0.0)</t>
      </text>
    </comment>
    <comment authorId="0" ref="E40">
      <text>
        <t xml:space="preserve">15 -&gt; 17 (8.0.0)</t>
      </text>
    </comment>
    <comment authorId="0" ref="E51">
      <text>
        <t xml:space="preserve">ワザに設定されている基礎ダメージ量。実際の試合で与えるダメージ量は、タイマン補正・OP補正・小ジャンプ補正などにより変化するので注意。</t>
      </text>
    </comment>
    <comment authorId="0" ref="F51">
      <text>
        <t xml:space="preserve">タイマンにおけるダメージは、基礎ダメージの1.2倍となる。
なお、OP相殺がかかっていない場合はさらに1.05倍。</t>
      </text>
    </comment>
    <comment authorId="0" ref="G51">
      <text>
        <t xml:space="preserve">小ジャンプで空中攻撃を出すと、与えるダメージ量が0.85倍になる。タイマン補正も含めると、1.2 * 0.85で1.02倍。</t>
      </text>
    </comment>
    <comment authorId="0" ref="J51">
      <text>
        <t xml:space="preserve">着地隙が発生するフレーム区間のこと。</t>
      </text>
    </comment>
    <comment authorId="0" ref="O51">
      <text>
        <t xml:space="preserve">ワザに設定されているシールド削り値。通常のダメージに加え、この値だけシールドのHPが減少する。</t>
      </text>
    </comment>
    <comment authorId="0" ref="P51">
      <text>
        <t xml:space="preserve">ワザに設定されているヒットストップ倍率。電撃属性のワザはこの値が設定されていなくとも1.5倍となる。</t>
      </text>
    </comment>
    <comment authorId="0" ref="Q51">
      <text>
        <t xml:space="preserve">ワザに設定されているヒットストップずらしによる移動距離倍率。</t>
      </text>
    </comment>
    <comment authorId="0" ref="I52">
      <text>
        <t xml:space="preserve">13 -&gt; 9 (6.0.0)</t>
      </text>
    </comment>
    <comment authorId="0" ref="D54">
      <text>
        <t xml:space="preserve">57 -&gt; 54 (13.0.0)</t>
      </text>
    </comment>
    <comment authorId="0" ref="E54">
      <text>
        <t xml:space="preserve">14/12 -&gt; 15.5/13.5 (6.0.0)</t>
      </text>
    </comment>
    <comment authorId="0" ref="C55">
      <text>
        <t xml:space="preserve">12-13 -&gt; 12-14 (6.0.0)</t>
      </text>
    </comment>
    <comment authorId="0" ref="E55">
      <text>
        <t xml:space="preserve">14/12 -&gt; 15.5/13.5 (6.0.0)</t>
      </text>
    </comment>
    <comment authorId="0" ref="C56">
      <text>
        <t xml:space="preserve">14-17 -&gt; 15-17 (6.0.0)</t>
      </text>
    </comment>
    <comment authorId="0" ref="C58">
      <text>
        <t xml:space="preserve">7-8 -&gt; 7-13 (6.0.0)</t>
      </text>
    </comment>
    <comment authorId="0" ref="D58">
      <text>
        <t xml:space="preserve">81 -&gt; 71 (3.0.0)</t>
      </text>
    </comment>
    <comment authorId="0" ref="C59">
      <text>
        <t xml:space="preserve">9-16 -&gt; 14-19 (6.0.0)</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C65">
      <text>
        <t xml:space="preserve">30-150 -&gt; 25-145 (6.0.0)</t>
      </text>
    </comment>
    <comment authorId="0" ref="D65">
      <text>
        <t xml:space="preserve">69 -&gt; 64 (6.0.0)</t>
      </text>
    </comment>
    <comment authorId="0" ref="C69">
      <text>
        <t xml:space="preserve">35 -&gt; 26 (6.0.0)</t>
      </text>
    </comment>
    <comment authorId="0" ref="D69">
      <text>
        <t xml:space="preserve">55 -&gt; 46 (6.0.0)</t>
      </text>
    </comment>
    <comment authorId="0" ref="C71">
      <text>
        <t xml:space="preserve">34 -&gt; 28 (6.0.0)</t>
      </text>
    </comment>
    <comment authorId="0" ref="D71">
      <text>
        <t xml:space="preserve">61 -&gt; 53 (6.0.0)</t>
      </text>
    </comment>
    <comment authorId="0" ref="C73">
      <text>
        <t xml:space="preserve">40 -&gt; 32 (6.0.0)</t>
      </text>
    </comment>
    <comment authorId="0" ref="D73">
      <text>
        <t xml:space="preserve">67 -&gt; 59 (6.0.0)</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H76">
      <text>
        <t xml:space="preserve">しきい値：6.0% -&gt; 12.0% (8.0.0)</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E82">
      <text>
        <t xml:space="preserve">ワザに設定されている基礎ダメージ量。実際の試合で与えるダメージ量は、タイマン補正・OP補正・小ジャンプ補正などにより変化するので注意。</t>
      </text>
    </comment>
    <comment authorId="0" ref="F82">
      <text>
        <t xml:space="preserve">タイマンにおけるダメージは、基礎ダメージの1.2倍となる。
なお、OP相殺がかかっていない場合はさらに1.05倍。</t>
      </text>
    </comment>
    <comment authorId="0" ref="O82">
      <text>
        <t xml:space="preserve">ワザに設定されているシールド削り値。通常のダメージに加え、この値だけシールドのHPが減少する。</t>
      </text>
    </comment>
    <comment authorId="0" ref="P82">
      <text>
        <t xml:space="preserve">ワザに設定されているヒットストップ倍率。電撃属性のワザはこの値が設定されていなくとも1.5倍となる。</t>
      </text>
    </comment>
    <comment authorId="0" ref="Q82">
      <text>
        <t xml:space="preserve">ワザに設定されているヒットストップずらしによる移動距離倍率。</t>
      </text>
    </comment>
    <comment authorId="0" ref="R82">
      <text>
        <t xml:space="preserve">ワザが相殺するかどうか。</t>
      </text>
    </comment>
    <comment authorId="0" ref="S82">
      <text>
        <t xml:space="preserve">ワザが相殺したときに、相殺モーションに移行するかどうか。</t>
      </text>
    </comment>
    <comment authorId="0" ref="U82">
      <text>
        <t xml:space="preserve">いわゆる「地ダ(地上ダッシュ)」「空ダ(空中ダッシュ)」のこと。</t>
      </text>
    </comment>
    <comment authorId="0" ref="D83">
      <text>
        <t xml:space="preserve">67 -&gt; 62 (3.0.0)</t>
      </text>
    </comment>
    <comment authorId="0" ref="D84">
      <text>
        <t xml:space="preserve">47 -&gt; 42 (3.0.0)
42 -&gt; 39 (6.0.0)</t>
      </text>
    </comment>
    <comment authorId="0" ref="D85">
      <text>
        <t xml:space="preserve">53 -&gt; 48 (3.0.0)
48 -&gt; 45 (6.0.0)</t>
      </text>
    </comment>
    <comment authorId="0" ref="D86">
      <text>
        <t xml:space="preserve">47 -&gt; 42 (3.0.0)
42 -&gt; 39 (6.0.0)</t>
      </text>
    </comment>
    <comment authorId="0" ref="D87">
      <text>
        <t xml:space="preserve">53 -&gt; 48 (3.0.0)
48 -&gt; 45 (6.0.0)</t>
      </text>
    </comment>
    <comment authorId="0" ref="F90">
      <text>
        <t xml:space="preserve">タイマンにおけるダメージは、基礎ダメージの1.2倍となる。
なお、OP相殺がかかっていない場合はさらに1.05倍。</t>
      </text>
    </comment>
    <comment authorId="0" ref="F95">
      <text>
        <t xml:space="preserve">タイマンにおけるダメージは、基礎ダメージの1.2倍となる。
なお、OP相殺がかかっていない場合はさらに1.05倍。</t>
      </text>
    </comment>
    <comment authorId="0" ref="O95">
      <text>
        <t xml:space="preserve">ワザに設定されているシールド削り値。通常のダメージに加え、この値だけシールドのHPが減少する。</t>
      </text>
    </comment>
    <comment authorId="0" ref="P95">
      <text>
        <t xml:space="preserve">ワザに設定されているヒットストップ倍率。電撃属性のワザはこの値が設定されていなくとも1.5倍となる。</t>
      </text>
    </comment>
    <comment authorId="0" ref="Q95">
      <text>
        <t xml:space="preserve">ワザに設定されているヒットストップずらしによる移動距離倍率。</t>
      </text>
    </comment>
    <comment authorId="0" ref="G102">
      <text>
        <t xml:space="preserve">埋め時間の計算式 (1.2.1 -&gt; 2.0.0)
90 + 0.51 * (ヒット前のダメージ)
-&gt; 60 + 0.75 * (ヒット前のダメージ)</t>
      </text>
    </comment>
    <comment authorId="0" ref="G114">
      <text>
        <t xml:space="preserve">タイマンにおけるダメージは、基礎ダメージの1.2倍となる。
なお、OP相殺がかかっていない場合はさらに1.05倍。</t>
      </text>
    </comment>
  </commentList>
</comments>
</file>

<file path=xl/comments7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27">
      <text>
        <t xml:space="preserve">9-14 -&gt; 7-12 (8.0.0)</t>
      </text>
    </comment>
    <comment authorId="0" ref="D27">
      <text>
        <t xml:space="preserve">41 -&gt; 39 (8.0.0)</t>
      </text>
    </comment>
    <comment authorId="0" ref="C28">
      <text>
        <t xml:space="preserve">15-68 -&gt; 13-66 (8.0.0)</t>
      </text>
    </comment>
    <comment authorId="0" ref="U29">
      <text>
        <t xml:space="preserve">反転ブレーキ時：なし</t>
      </text>
    </comment>
    <comment authorId="0" ref="D30">
      <text>
        <t xml:space="preserve">32 -&gt; 29 (8.0.0)</t>
      </text>
    </comment>
    <comment authorId="0" ref="D31">
      <text>
        <t xml:space="preserve">34 -&gt; 31 (13.0.0)</t>
      </text>
    </comment>
    <comment authorId="0" ref="C32">
      <text>
        <t xml:space="preserve">14-15 -&gt; 14-16 (13.0.0)</t>
      </text>
    </comment>
    <comment authorId="0" ref="C33">
      <text>
        <t xml:space="preserve">16-19 -&gt; 17-19 (13.0.0)</t>
      </text>
    </comment>
    <comment authorId="0" ref="C34">
      <text>
        <t xml:space="preserve">12-13 -&gt; 11-12 (1.1.0)
11-12 -&gt; 9-10 (8.0.0)</t>
      </text>
    </comment>
    <comment authorId="0" ref="D34">
      <text>
        <t xml:space="preserve">53 -&gt; 47 (1.1.0)
47 -&gt; 45 (8.0.0)</t>
      </text>
    </comment>
    <comment authorId="0" ref="H34">
      <text>
        <t xml:space="preserve">溜め開始：8F目 -&gt; 7F目 (8.0.0)</t>
      </text>
    </comment>
    <comment authorId="0" ref="C35">
      <text>
        <t xml:space="preserve">17-19 -&gt; 16-18 (1.1.0)
16-18 -&gt; 14-16 (8.0.0)</t>
      </text>
    </comment>
    <comment authorId="0" ref="C36">
      <text>
        <t xml:space="preserve">20-21 -&gt; 19-20 (1.1.0)
19-20 -&gt; 17-18 (8.0.0)</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G41">
      <text>
        <t xml:space="preserve">小ジャンプで空中攻撃を出すと、与えるダメージ量が0.85倍になる。タイマン補正も含めると、1.2 * 0.85で1.02倍。</t>
      </text>
    </comment>
    <comment authorId="0" ref="J41">
      <text>
        <t xml:space="preserve">着地隙が発生するフレーム区間のこと。</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D42">
      <text>
        <t xml:space="preserve">35 -&gt; 33 (1.1.0?)</t>
      </text>
    </comment>
    <comment authorId="0" ref="J42">
      <text>
        <t xml:space="preserve">3-37 -&gt; 3-33 (2.0.0)</t>
      </text>
    </comment>
    <comment authorId="0" ref="I50">
      <text>
        <t xml:space="preserve">12 -&gt; 9 (1.1.0)</t>
      </text>
    </comment>
    <comment authorId="0" ref="C52">
      <text>
        <t xml:space="preserve">14-15 -&gt; 11-12 (8.0.0)</t>
      </text>
    </comment>
    <comment authorId="0" ref="D52">
      <text>
        <t xml:space="preserve">45 -&gt; 42 (8.0.0)</t>
      </text>
    </comment>
    <comment authorId="0" ref="I52">
      <text>
        <t xml:space="preserve">12 -&gt; 9 (1.1.0)</t>
      </text>
    </comment>
    <comment authorId="0" ref="J52">
      <text>
        <t xml:space="preserve">14-38 -&gt; 11-35 (8.0.0)</t>
      </text>
    </comment>
    <comment authorId="0" ref="C53">
      <text>
        <t xml:space="preserve">16-31 -&gt; 13-28 (8.0.0)</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R56">
      <text>
        <t xml:space="preserve">ワザが相殺するかどうか。</t>
      </text>
    </comment>
    <comment authorId="0" ref="S56">
      <text>
        <t xml:space="preserve">ワザが相殺したときに、相殺モーションに移行するかどうか。</t>
      </text>
    </comment>
    <comment authorId="0" ref="U56">
      <text>
        <t xml:space="preserve">いわゆる「地ダ(地上ダッシュ)」「空ダ(空中ダッシュ)」のこと。</t>
      </text>
    </comment>
    <comment authorId="0" ref="E64">
      <text>
        <t xml:space="preserve">ワザに設定されている基礎ダメージ量。実際の試合で与えるダメージ量は、タイマン補正・OP補正・小ジャンプ補正などにより変化するので注意。</t>
      </text>
    </comment>
    <comment authorId="0" ref="F64">
      <text>
        <t xml:space="preserve">タイマンにおけるダメージは、基礎ダメージの1.2倍となる。
なお、OP相殺がかかっていない場合はさらに1.05倍。</t>
      </text>
    </comment>
    <comment authorId="0" ref="O64">
      <text>
        <t xml:space="preserve">ワザに設定されているシールド削り値。通常のダメージに加え、この値だけシールドのHPが減少する。</t>
      </text>
    </comment>
    <comment authorId="0" ref="P64">
      <text>
        <t xml:space="preserve">ワザに設定されているヒットストップ倍率。電撃属性のワザはこの値が設定されていなくとも1.5倍となる。</t>
      </text>
    </comment>
    <comment authorId="0" ref="Q64">
      <text>
        <t xml:space="preserve">ワザに設定されているヒットストップずらしによる移動距離倍率。</t>
      </text>
    </comment>
    <comment authorId="0" ref="R64">
      <text>
        <t xml:space="preserve">ワザが相殺するかどうか。</t>
      </text>
    </comment>
    <comment authorId="0" ref="S64">
      <text>
        <t xml:space="preserve">ワザが相殺したときに、相殺モーションに移行するかどうか。</t>
      </text>
    </comment>
    <comment authorId="0" ref="U64">
      <text>
        <t xml:space="preserve">いわゆる「地ダ(地上ダッシュ)」「空ダ(空中ダッシュ)」のこと。</t>
      </text>
    </comment>
    <comment authorId="0" ref="C65">
      <text>
        <t xml:space="preserve">25-* -&gt; 21-* (4.0.0)</t>
      </text>
    </comment>
    <comment authorId="0" ref="D65">
      <text>
        <t xml:space="preserve">49 -&gt; 45 (4.0.0)</t>
      </text>
    </comment>
    <comment authorId="0" ref="H65">
      <text>
        <t xml:space="preserve">ワイヤー：22-23F -&gt; 18-19F (4.0.0)</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E77">
      <text>
        <t xml:space="preserve">ワザに設定されている基礎ダメージ量。実際の試合で与えるダメージ量は、タイマン補正・OP補正・小ジャンプ補正などにより変化するので注意。</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R77">
      <text>
        <t xml:space="preserve">ワザが相殺するかどうか。</t>
      </text>
    </comment>
    <comment authorId="0" ref="S77">
      <text>
        <t xml:space="preserve">ワザが相殺したときに、相殺モーションに移行するかどうか。</t>
      </text>
    </comment>
    <comment authorId="0" ref="U77">
      <text>
        <t xml:space="preserve">いわゆる「地ダ(地上ダッシュ)」「空ダ(空中ダッシュ)」のこと。</t>
      </text>
    </comment>
    <comment authorId="0" ref="D80">
      <text>
        <t xml:space="preserve">31 -&gt; 26 (1.1.0?)</t>
      </text>
    </comment>
    <comment authorId="0" ref="C81">
      <text>
        <t xml:space="preserve">9-21 -&gt; 11-21 (4.0.0)</t>
      </text>
    </comment>
    <comment authorId="0" ref="C82">
      <text>
        <t xml:space="preserve">Rehit: 8 -&gt; 9 (4.0.0)</t>
      </text>
    </comment>
    <comment authorId="0" ref="F87">
      <text>
        <t xml:space="preserve">タイマンにおけるダメージは、基礎ダメージの1.2倍となる。
なお、OP相殺がかかっていない場合はさらに1.05倍。</t>
      </text>
    </comment>
    <comment authorId="0" ref="E92">
      <text>
        <t xml:space="preserve">重量依存有りの場合、体重100の敵に対しての全体フレームを記載。</t>
      </text>
    </comment>
    <comment authorId="0" ref="G92">
      <text>
        <t xml:space="preserve">タイマンにおけるダメージは、基礎ダメージの1.2倍となる。
なお、OP相殺がかかっていない場合はさらに1.05倍。</t>
      </text>
    </comment>
    <comment authorId="0" ref="O92">
      <text>
        <t xml:space="preserve">ワザに設定されているシールド削り値。通常のダメージに加え、この値だけシールドのHPが減少する。</t>
      </text>
    </comment>
    <comment authorId="0" ref="P92">
      <text>
        <t xml:space="preserve">ワザに設定されているヒットストップ倍率。電撃属性のワザはこの値が設定されていなくとも1.5倍となる。</t>
      </text>
    </comment>
    <comment authorId="0" ref="Q92">
      <text>
        <t xml:space="preserve">ワザに設定されているヒットストップずらしによる移動距離倍率。</t>
      </text>
    </comment>
    <comment authorId="0" ref="G111">
      <text>
        <t xml:space="preserve">タイマンにおけるダメージは、基礎ダメージの1.2倍となる。
なお、OP相殺がかかっていない場合はさらに1.05倍。</t>
      </text>
    </comment>
  </commentList>
</comments>
</file>

<file path=xl/comments7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28">
      <text>
        <t xml:space="preserve">4.7 -&gt; 6.7 (6.0.0)</t>
      </text>
    </comment>
    <comment authorId="0" ref="U31">
      <text>
        <t xml:space="preserve">反転ブレーキ時：なし</t>
      </text>
    </comment>
    <comment authorId="0" ref="E37">
      <text>
        <t xml:space="preserve">16 -&gt; 17 (13.0.0)</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G40">
      <text>
        <t xml:space="preserve">小ジャンプで空中攻撃を出すと、与えるダメージ量が0.85倍になる。タイマン補正も含めると、1.2 * 0.85で1.02倍。</t>
      </text>
    </comment>
    <comment authorId="0" ref="J40">
      <text>
        <t xml:space="preserve">着地隙が発生するフレーム区間のこと。</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B44">
      <text>
        <t xml:space="preserve">Ver. 6.0.0で追加。</t>
      </text>
    </comment>
    <comment authorId="0" ref="E46">
      <text>
        <t xml:space="preserve">8 -&gt; 9 (13.0.0)</t>
      </text>
    </comment>
    <comment authorId="0" ref="E47">
      <text>
        <t xml:space="preserve">14/15 -&gt; 15/14 (6.0.0)</t>
      </text>
    </comment>
    <comment authorId="0" ref="J47">
      <text>
        <t xml:space="preserve">4-58 -&gt; 4-44 (2.0.0)</t>
      </text>
    </comment>
    <comment authorId="0" ref="E48">
      <text>
        <t xml:space="preserve">8/9 -&gt; 9/8 (6.0.0}</t>
      </text>
    </comment>
    <comment authorId="0" ref="E51">
      <text>
        <t xml:space="preserve">ワザに設定されている基礎ダメージ量。実際の試合で与えるダメージ量は、タイマン補正・OP補正・小ジャンプ補正などにより変化するので注意。</t>
      </text>
    </comment>
    <comment authorId="0" ref="F51">
      <text>
        <t xml:space="preserve">タイマンにおけるダメージは、基礎ダメージの1.2倍となる。
なお、OP相殺がかかっていない場合はさらに1.05倍。</t>
      </text>
    </comment>
    <comment authorId="0" ref="O51">
      <text>
        <t xml:space="preserve">ワザに設定されているシールド削り値。通常のダメージに加え、この値だけシールドのHPが減少する。</t>
      </text>
    </comment>
    <comment authorId="0" ref="P51">
      <text>
        <t xml:space="preserve">ワザに設定されているヒットストップ倍率。電撃属性のワザはこの値が設定されていなくとも1.5倍となる。</t>
      </text>
    </comment>
    <comment authorId="0" ref="Q51">
      <text>
        <t xml:space="preserve">ワザに設定されているヒットストップずらしによる移動距離倍率。</t>
      </text>
    </comment>
    <comment authorId="0" ref="R51">
      <text>
        <t xml:space="preserve">ワザが相殺するかどうか。</t>
      </text>
    </comment>
    <comment authorId="0" ref="S51">
      <text>
        <t xml:space="preserve">ワザが相殺したときに、相殺モーションに移行するかどうか。</t>
      </text>
    </comment>
    <comment authorId="0" ref="U51">
      <text>
        <t xml:space="preserve">いわゆる「地ダ(地上ダッシュ)」「空ダ(空中ダッシュ)」のこと。</t>
      </text>
    </comment>
    <comment authorId="0" ref="C52">
      <text>
        <t xml:space="preserve">5-6 -&gt; 5-7 (6.0.0)</t>
      </text>
    </comment>
    <comment authorId="0" ref="E52">
      <text>
        <t xml:space="preserve">16/12 -&gt; 17/13 (6.0.0)</t>
      </text>
    </comment>
    <comment authorId="0" ref="E53">
      <text>
        <t xml:space="preserve">16/12 -&gt; 17/13 (6.0.0)</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C63">
      <text>
        <t xml:space="preserve">15 -&gt; 13 (8.0.0)</t>
      </text>
    </comment>
    <comment authorId="0" ref="D63">
      <text>
        <t xml:space="preserve">59 -&gt; 57 (8.0.0)</t>
      </text>
    </comment>
    <comment authorId="0" ref="C64">
      <text>
        <t xml:space="preserve">16-17 -&gt; 14-15 (8.0.0)</t>
      </text>
    </comment>
    <comment authorId="0" ref="C65">
      <text>
        <t xml:space="preserve">18-34 -&gt; 16-32 (8.0.0)</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80">
      <text>
        <t xml:space="preserve">11 -&gt; 13 (13.0.0)</t>
      </text>
    </comment>
    <comment authorId="0" ref="E85">
      <text>
        <t xml:space="preserve">9/5.5 -&gt; 10.8/5.5 (13.0.0)</t>
      </text>
    </comment>
    <comment authorId="0" ref="E86">
      <text>
        <t xml:space="preserve">ワザに設定されている基礎ダメージ量。実際の試合で与えるダメージ量は、タイマン補正・OP補正・小ジャンプ補正などにより変化するので注意。</t>
      </text>
    </comment>
    <comment authorId="0" ref="F86">
      <text>
        <t xml:space="preserve">タイマンにおけるダメージは、基礎ダメージの1.2倍となる。
なお、OP相殺がかかっていない場合はさらに1.05倍。</t>
      </text>
    </comment>
    <comment authorId="0" ref="O86">
      <text>
        <t xml:space="preserve">ワザに設定されているシールド削り値。通常のダメージに加え、この値だけシールドのHPが減少する。</t>
      </text>
    </comment>
    <comment authorId="0" ref="P86">
      <text>
        <t xml:space="preserve">ワザに設定されているヒットストップ倍率。電撃属性のワザはこの値が設定されていなくとも1.5倍となる。</t>
      </text>
    </comment>
    <comment authorId="0" ref="Q86">
      <text>
        <t xml:space="preserve">ワザに設定されているヒットストップずらしによる移動距離倍率。</t>
      </text>
    </comment>
    <comment authorId="0" ref="R86">
      <text>
        <t xml:space="preserve">ワザが相殺するかどうか。</t>
      </text>
    </comment>
    <comment authorId="0" ref="S86">
      <text>
        <t xml:space="preserve">ワザが相殺したときに、相殺モーションに移行するかどうか。</t>
      </text>
    </comment>
    <comment authorId="0" ref="U86">
      <text>
        <t xml:space="preserve">いわゆる「地ダ(地上ダッシュ)」「空ダ(空中ダッシュ)」のこと。</t>
      </text>
    </comment>
    <comment authorId="0" ref="C87">
      <text>
        <t xml:space="preserve">受付：3-22F -&gt; 3-27F (6.0.0)</t>
      </text>
    </comment>
    <comment authorId="0" ref="D87">
      <text>
        <t xml:space="preserve">56 -&gt; 53 (6.0.0)
53 -&gt; 49 (8.0.0)</t>
      </text>
    </comment>
    <comment authorId="0" ref="H87">
      <text>
        <t xml:space="preserve">受付：3-22F -&gt; 3-27F (6.0.0)</t>
      </text>
    </comment>
    <comment authorId="0" ref="D88">
      <text>
        <t xml:space="preserve">29 -&gt; 25 (6.0.0)</t>
      </text>
    </comment>
    <comment authorId="0" ref="F91">
      <text>
        <t xml:space="preserve">タイマンにおけるダメージは、基礎ダメージの1.2倍となる。
なお、OP相殺がかかっていない場合はさらに1.05倍。</t>
      </text>
    </comment>
    <comment authorId="0" ref="C93">
      <text>
        <t xml:space="preserve">8-10 -&gt; 7-9 (8.0.0)</t>
      </text>
    </comment>
    <comment authorId="0" ref="D93">
      <text>
        <t xml:space="preserve">38 -&gt; 37 (8.0.0)</t>
      </text>
    </comment>
    <comment authorId="0" ref="C94">
      <text>
        <t xml:space="preserve">12-14-&gt; 11-13 (8.0.0)</t>
      </text>
    </comment>
    <comment authorId="0" ref="D94">
      <text>
        <t xml:space="preserve">46 -&gt; 45 (8.0.0)</t>
      </text>
    </comment>
    <comment authorId="0" ref="C95">
      <text>
        <t xml:space="preserve">13-15 -&gt; 12-14 (8.0.0)</t>
      </text>
    </comment>
    <comment authorId="0" ref="D95">
      <text>
        <t xml:space="preserve">44 -&gt; 43 (8.0.0)</t>
      </text>
    </comment>
    <comment authorId="0" ref="F96">
      <text>
        <t xml:space="preserve">タイマンにおけるダメージは、基礎ダメージの1.2倍となる。
なお、OP相殺がかかっていない場合はさらに1.05倍。</t>
      </text>
    </comment>
    <comment authorId="0" ref="O96">
      <text>
        <t xml:space="preserve">ワザに設定されているシールド削り値。通常のダメージに加え、この値だけシールドのHPが減少する。</t>
      </text>
    </comment>
    <comment authorId="0" ref="P96">
      <text>
        <t xml:space="preserve">ワザに設定されているヒットストップ倍率。電撃属性のワザはこの値が設定されていなくとも1.5倍となる。</t>
      </text>
    </comment>
    <comment authorId="0" ref="Q96">
      <text>
        <t xml:space="preserve">ワザに設定されているヒットストップずらしによる移動距離倍率。</t>
      </text>
    </comment>
    <comment authorId="0" ref="G118">
      <text>
        <t xml:space="preserve">タイマンにおけるダメージは、基礎ダメージの1.2倍となる。
なお、OP相殺がかかっていない場合はさらに1.05倍。</t>
      </text>
    </comment>
  </commentList>
</comments>
</file>

<file path=xl/comments7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ステップ入力をしてから、完全に止まってシールドなどを出すことができるようになるまでのフレーム。</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4">
      <text>
        <t xml:space="preserve">反転ブレーキ時：なし</t>
      </text>
    </comment>
    <comment authorId="0" ref="C36">
      <text>
        <t xml:space="preserve">8-15 -&gt; 6-13 (8.0.0)</t>
      </text>
    </comment>
    <comment authorId="0" ref="D36">
      <text>
        <t xml:space="preserve">31 -&gt; 28 (4.0.0)
28 -&gt; 26 (8.0.0)</t>
      </text>
    </comment>
    <comment authorId="0" ref="H36">
      <text>
        <t xml:space="preserve">頭部無敵：8-15F -&gt; 6-13F</t>
      </text>
    </comment>
    <comment authorId="0" ref="C37">
      <text>
        <t xml:space="preserve">9-10 -&gt; 9-11 (13.0.1)</t>
      </text>
    </comment>
    <comment authorId="0" ref="D37">
      <text>
        <t xml:space="preserve">28 -&gt; 26 (13.0.1)</t>
      </text>
    </comment>
    <comment authorId="0" ref="C41">
      <text>
        <t xml:space="preserve">12-13 -&gt; 10-11 (8.0.0)</t>
      </text>
    </comment>
    <comment authorId="0" ref="D41">
      <text>
        <t xml:space="preserve">45 -&gt; 43 (8.0.0)</t>
      </text>
    </comment>
    <comment authorId="0" ref="C42">
      <text>
        <t xml:space="preserve">16-17 -&gt; 14-15 (8.0.0)</t>
      </text>
    </comment>
    <comment authorId="0" ref="E43">
      <text>
        <t xml:space="preserve">ワザに設定されている基礎ダメージ量。実際の試合で与えるダメージ量は、タイマン補正・OP補正・小ジャンプ補正などにより変化するので注意。</t>
      </text>
    </comment>
    <comment authorId="0" ref="F43">
      <text>
        <t xml:space="preserve">タイマンにおけるダメージは、基礎ダメージの1.2倍となる。
なお、OP相殺がかかっていない場合はさらに1.05倍。</t>
      </text>
    </comment>
    <comment authorId="0" ref="G43">
      <text>
        <t xml:space="preserve">未実装。計算式が判明次第、追加していく予定です。</t>
      </text>
    </comment>
    <comment authorId="0" ref="O43">
      <text>
        <t xml:space="preserve">ワザに設定されているシールド削り値。通常のダメージに加え、この値だけシールドのHPが減少する。</t>
      </text>
    </comment>
    <comment authorId="0" ref="P43">
      <text>
        <t xml:space="preserve">ワザに設定されているヒットストップ倍率。電撃属性のワザはこの値が設定されていなくとも1.5倍となる。</t>
      </text>
    </comment>
    <comment authorId="0" ref="Q43">
      <text>
        <t xml:space="preserve">ワザに設定されているヒットストップずらしによる移動距離倍率。</t>
      </text>
    </comment>
    <comment authorId="0" ref="U43">
      <text>
        <t xml:space="preserve">地上慣性が消えるフレーム。「-」はなし。</t>
      </text>
    </comment>
    <comment authorId="0" ref="E47">
      <text>
        <t xml:space="preserve">ワザに設定されている基礎ダメージ量。実際の試合で与えるダメージ量は、タイマン補正・OP補正・小ジャンプ補正などにより変化するので注意。</t>
      </text>
    </comment>
    <comment authorId="0" ref="F47">
      <text>
        <t xml:space="preserve">タイマンにおけるダメージは、基礎ダメージの1.2倍となる。
なお、OP相殺がかかっていない場合はさらに1.05倍。</t>
      </text>
    </comment>
    <comment authorId="0" ref="G47">
      <text>
        <t xml:space="preserve">小ジャンプで空中攻撃を出すと、与えるダメージ量が0.85倍になる。タイマン補正も含めると、1.2 * 0.85で1.02倍。</t>
      </text>
    </comment>
    <comment authorId="0" ref="J47">
      <text>
        <t xml:space="preserve">着地隙が発生するフレーム区間のこと。</t>
      </text>
    </comment>
    <comment authorId="0" ref="O47">
      <text>
        <t xml:space="preserve">ワザに設定されているシールド削り値。通常のダメージに加え、この値だけシールドのHPが減少する。</t>
      </text>
    </comment>
    <comment authorId="0" ref="P47">
      <text>
        <t xml:space="preserve">ワザに設定されているヒットストップ倍率。電撃属性のワザはこの値が設定されていなくとも1.5倍となる。</t>
      </text>
    </comment>
    <comment authorId="0" ref="Q47">
      <text>
        <t xml:space="preserve">ワザに設定されているヒットストップずらしによる移動距離倍率。</t>
      </text>
    </comment>
    <comment authorId="0" ref="C50">
      <text>
        <t xml:space="preserve">10-12 -&gt; 7-9 (8.0.0)</t>
      </text>
    </comment>
    <comment authorId="0" ref="D50">
      <text>
        <t xml:space="preserve">47 -&gt; 44 (8.0.0)</t>
      </text>
    </comment>
    <comment authorId="0" ref="J50">
      <text>
        <t xml:space="preserve">3-41 -&gt; 3-38 (8.0.0)</t>
      </text>
    </comment>
    <comment authorId="0" ref="E52">
      <text>
        <t xml:space="preserve">8 -&gt; 10 (8.0.0)</t>
      </text>
    </comment>
    <comment authorId="0" ref="R52">
      <text>
        <t xml:space="preserve">無敵：- -&gt; 7-9F（8.0.0)</t>
      </text>
    </comment>
    <comment authorId="0" ref="C53">
      <text>
        <t xml:space="preserve">9-10 -&gt; 9-11 (13.0.1)</t>
      </text>
    </comment>
    <comment authorId="0" ref="C54">
      <text>
        <t xml:space="preserve">11-14 -&gt; 12-14 (13.0.1)</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U67">
      <text>
        <t xml:space="preserve">いわゆる「地ダ(地上ダッシュ)」「空ダ(空中ダッシュ)」のこと。</t>
      </text>
    </comment>
    <comment authorId="0" ref="C69">
      <text>
        <t xml:space="preserve">23-43 -&gt; 21-41 (4.0.0)</t>
      </text>
    </comment>
    <comment authorId="0" ref="C70">
      <text>
        <t xml:space="preserve">44-119 -&gt; 42-122 (4.0.0)</t>
      </text>
    </comment>
    <comment authorId="0" ref="C71">
      <text>
        <t xml:space="preserve">23-43 -&gt; 21-41 (4.0.0)</t>
      </text>
    </comment>
    <comment authorId="0" ref="C72">
      <text>
        <t xml:space="preserve">44-156 -&gt; 42-159 (4.0.0)</t>
      </text>
    </comment>
    <comment authorId="0" ref="E73">
      <text>
        <t xml:space="preserve">ワザに設定されている基礎ダメージ量。実際の試合で与えるダメージ量は、タイマン補正・OP補正・小ジャンプ補正などにより変化するので注意。</t>
      </text>
    </comment>
    <comment authorId="0" ref="F73">
      <text>
        <t xml:space="preserve">タイマンにおけるダメージは、基礎ダメージの1.2倍となる。
なお、OP相殺がかかっていない場合はさらに1.05倍。</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U73">
      <text>
        <t xml:space="preserve">いわゆる「地ダ(地上ダッシュ)」「空ダ(空中ダッシュ)」のこと。</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R79">
      <text>
        <t xml:space="preserve">ワザが相殺するかどうか。</t>
      </text>
    </comment>
    <comment authorId="0" ref="S79">
      <text>
        <t xml:space="preserve">ワザが相殺したときに、相殺モーションに移行するかどうか。</t>
      </text>
    </comment>
    <comment authorId="0" ref="U79">
      <text>
        <t xml:space="preserve">いわゆる「地ダ(地上ダッシュ)」「空ダ(空中ダッシュ)」のこと。</t>
      </text>
    </comment>
    <comment authorId="0" ref="H80">
      <text>
        <t xml:space="preserve">最大溜め：49F -&gt; 39F (4.0.0)</t>
      </text>
    </comment>
    <comment authorId="0" ref="C82">
      <text>
        <t xml:space="preserve">78-79 -&gt; 68-69 (4.0.0)</t>
      </text>
    </comment>
    <comment authorId="0" ref="D82">
      <text>
        <t xml:space="preserve">117 -&gt; 107 (4.0.0)</t>
      </text>
    </comment>
    <comment authorId="0" ref="D83">
      <text>
        <t xml:space="preserve">127 -&gt; 117 (4.0.0)</t>
      </text>
    </comment>
    <comment authorId="0" ref="C84">
      <text>
        <t xml:space="preserve">85-86 -&gt; 75-76 (4.0.0)</t>
      </text>
    </comment>
    <comment authorId="0" ref="D84">
      <text>
        <t xml:space="preserve">125 -&gt; 115 (4.0.0)</t>
      </text>
    </comment>
    <comment authorId="0" ref="D85">
      <text>
        <t xml:space="preserve">135 -&gt; 125 (4.0.0)</t>
      </text>
    </comment>
    <comment authorId="0" ref="F88">
      <text>
        <t xml:space="preserve">タイマンにおけるダメージは、基礎ダメージの1.2倍となる。
なお、OP相殺がかかっていない場合はさらに1.05倍。</t>
      </text>
    </comment>
    <comment authorId="0" ref="F93">
      <text>
        <t xml:space="preserve">タイマンにおけるダメージは、基礎ダメージの1.2倍となる。
なお、OP相殺がかかっていない場合はさらに1.05倍。</t>
      </text>
    </comment>
    <comment authorId="0" ref="O93">
      <text>
        <t xml:space="preserve">ワザに設定されているシールド削り値。通常のダメージに加え、この値だけシールドのHPが減少する。</t>
      </text>
    </comment>
    <comment authorId="0" ref="P93">
      <text>
        <t xml:space="preserve">ワザに設定されているヒットストップ倍率。電撃属性のワザはこの値が設定されていなくとも1.5倍となる。</t>
      </text>
    </comment>
    <comment authorId="0" ref="Q93">
      <text>
        <t xml:space="preserve">ワザに設定されているヒットストップずらしによる移動距離倍率。</t>
      </text>
    </comment>
    <comment authorId="0" ref="G112">
      <text>
        <t xml:space="preserve">タイマンにおけるダメージは、基礎ダメージの1.2倍となる。
なお、OP相殺がかかっていない場合はさらに1.05倍。</t>
      </text>
    </comment>
  </commentList>
</comments>
</file>

<file path=xl/comments7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G27">
      <text>
        <t xml:space="preserve">ジョーカーの攻撃と同時ガードによるガード硬直F</t>
      </text>
    </comment>
    <comment authorId="0" ref="G29">
      <text>
        <t xml:space="preserve">ジョーカーの攻撃と同時ガードによるガード硬直F</t>
      </text>
    </comment>
    <comment authorId="0" ref="G31">
      <text>
        <t xml:space="preserve">ジョーカーの攻撃と同時ガードによるガード硬直F</t>
      </text>
    </comment>
    <comment authorId="0" ref="U35">
      <text>
        <t xml:space="preserve">反転ブレーキ時：なし</t>
      </text>
    </comment>
    <comment authorId="0" ref="G50">
      <text>
        <t xml:space="preserve">ジョーカーの攻撃と同時ガードによるガード硬直F</t>
      </text>
    </comment>
    <comment authorId="0" ref="G52">
      <text>
        <t xml:space="preserve">ジョーカーの攻撃と同時ガードによるガード硬直F</t>
      </text>
    </comment>
    <comment authorId="0" ref="G55">
      <text>
        <t xml:space="preserve">ジョーカーの攻撃と同時ガードによるガード硬直F</t>
      </text>
    </comment>
    <comment authorId="0" ref="G56">
      <text>
        <t xml:space="preserve">ジョーカーの攻撃と同時ガードによるガード硬直F</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U57">
      <text>
        <t xml:space="preserve">地上慣性が消えるフレーム。「-」はなし。</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G62">
      <text>
        <t xml:space="preserve">小ジャンプで空中攻撃を出すと、与えるダメージ量が0.85倍になる。タイマン補正も含めると、1.2 * 0.85で1.02倍。</t>
      </text>
    </comment>
    <comment authorId="0" ref="J62">
      <text>
        <t xml:space="preserve">着地隙が発生しないフレーム区間のこと。※着地隙フラグFに変更予定</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E77">
      <text>
        <t xml:space="preserve">ワザに設定されている基礎ダメージ量。実際の試合で与えるダメージ量は、タイマン補正・OP補正・小ジャンプ補正などにより変化するので注意。</t>
      </text>
    </comment>
    <comment authorId="0" ref="F77">
      <text>
        <t xml:space="preserve">タイマンにおけるダメージは、基礎ダメージの1.2倍となる。
なお、OP相殺がかかっていない場合はさらに1.05倍。</t>
      </text>
    </comment>
    <comment authorId="0" ref="O77">
      <text>
        <t xml:space="preserve">ワザに設定されているシールド削り値。通常のダメージに加え、この値だけシールドのHPが減少する。</t>
      </text>
    </comment>
    <comment authorId="0" ref="P77">
      <text>
        <t xml:space="preserve">ワザに設定されているヒットストップ倍率。電撃属性のワザはこの値が設定されていなくとも1.5倍となる。</t>
      </text>
    </comment>
    <comment authorId="0" ref="Q77">
      <text>
        <t xml:space="preserve">ワザに設定されているヒットストップずらしによる移動距離倍率。</t>
      </text>
    </comment>
    <comment authorId="0" ref="R77">
      <text>
        <t xml:space="preserve">ワザが相殺するかどうか。</t>
      </text>
    </comment>
    <comment authorId="0" ref="S77">
      <text>
        <t xml:space="preserve">ワザが相殺したときに、相殺モーションに移行するかどうか。</t>
      </text>
    </comment>
    <comment authorId="0" ref="U77">
      <text>
        <t xml:space="preserve">いわゆる「地ダ(地上ダッシュ)」「空ダ(空中ダッシュ)」のこと。</t>
      </text>
    </comment>
    <comment authorId="0" ref="E99">
      <text>
        <t xml:space="preserve">ワザに設定されている基礎ダメージ量。実際の試合で与えるダメージ量は、タイマン補正・OP補正・小ジャンプ補正などにより変化するので注意。</t>
      </text>
    </comment>
    <comment authorId="0" ref="F99">
      <text>
        <t xml:space="preserve">タイマンにおけるダメージは、基礎ダメージの1.2倍となる。
なお、OP相殺がかかっていない場合はさらに1.05倍。</t>
      </text>
    </comment>
    <comment authorId="0" ref="O99">
      <text>
        <t xml:space="preserve">ワザに設定されているシールド削り値。通常のダメージに加え、この値だけシールドのHPが減少する。</t>
      </text>
    </comment>
    <comment authorId="0" ref="P99">
      <text>
        <t xml:space="preserve">ワザに設定されているヒットストップ倍率。電撃属性のワザはこの値が設定されていなくとも1.5倍となる。</t>
      </text>
    </comment>
    <comment authorId="0" ref="Q99">
      <text>
        <t xml:space="preserve">ワザに設定されているヒットストップずらしによる移動距離倍率。</t>
      </text>
    </comment>
    <comment authorId="0" ref="R99">
      <text>
        <t xml:space="preserve">ワザが相殺するかどうか。</t>
      </text>
    </comment>
    <comment authorId="0" ref="S99">
      <text>
        <t xml:space="preserve">ワザが相殺したときに、相殺モーションに移行するかどうか。</t>
      </text>
    </comment>
    <comment authorId="0" ref="U99">
      <text>
        <t xml:space="preserve">いわゆる「地ダ(地上ダッシュ)」「空ダ(空中ダッシュ)」のこと。</t>
      </text>
    </comment>
    <comment authorId="0" ref="D100">
      <text>
        <t xml:space="preserve">49 -&gt; 52 (11.0.0)</t>
      </text>
    </comment>
    <comment authorId="0" ref="E105">
      <text>
        <t xml:space="preserve">ワザに設定されている基礎ダメージ量。実際の試合で与えるダメージ量は、タイマン補正・OP補正・小ジャンプ補正などにより変化するので注意。</t>
      </text>
    </comment>
    <comment authorId="0" ref="F105">
      <text>
        <t xml:space="preserve">タイマンにおけるダメージは、基礎ダメージの1.2倍となる。
なお、OP相殺がかかっていない場合はさらに1.05倍。</t>
      </text>
    </comment>
    <comment authorId="0" ref="O105">
      <text>
        <t xml:space="preserve">ワザに設定されているシールド削り値。通常のダメージに加え、この値だけシールドのHPが減少する。</t>
      </text>
    </comment>
    <comment authorId="0" ref="P105">
      <text>
        <t xml:space="preserve">ワザに設定されているヒットストップ倍率。電撃属性のワザはこの値が設定されていなくとも1.5倍となる。</t>
      </text>
    </comment>
    <comment authorId="0" ref="Q105">
      <text>
        <t xml:space="preserve">ワザに設定されているヒットストップずらしによる移動距離倍率。</t>
      </text>
    </comment>
    <comment authorId="0" ref="R105">
      <text>
        <t xml:space="preserve">ワザが相殺するかどうか。</t>
      </text>
    </comment>
    <comment authorId="0" ref="S105">
      <text>
        <t xml:space="preserve">ワザが相殺したときに、相殺モーションに移行するかどうか。</t>
      </text>
    </comment>
    <comment authorId="0" ref="U105">
      <text>
        <t xml:space="preserve">いわゆる「地ダ(地上ダッシュ)」「空ダ(空中ダッシュ)」のこと。</t>
      </text>
    </comment>
    <comment authorId="0" ref="E111">
      <text>
        <t xml:space="preserve">ワザに設定されている基礎ダメージ量。実際の試合で与えるダメージ量は、タイマン補正・OP補正・小ジャンプ補正などにより変化するので注意。</t>
      </text>
    </comment>
    <comment authorId="0" ref="F111">
      <text>
        <t xml:space="preserve">タイマンにおけるダメージは、基礎ダメージの1.2倍となる。
なお、OP相殺がかかっていない場合はさらに1.05倍。</t>
      </text>
    </comment>
    <comment authorId="0" ref="O111">
      <text>
        <t xml:space="preserve">ワザに設定されているシールド削り値。通常のダメージに加え、この値だけシールドのHPが減少する。</t>
      </text>
    </comment>
    <comment authorId="0" ref="P111">
      <text>
        <t xml:space="preserve">ワザに設定されているヒットストップ倍率。電撃属性のワザはこの値が設定されていなくとも1.5倍となる。</t>
      </text>
    </comment>
    <comment authorId="0" ref="Q111">
      <text>
        <t xml:space="preserve">ワザに設定されているヒットストップずらしによる移動距離倍率。</t>
      </text>
    </comment>
    <comment authorId="0" ref="R111">
      <text>
        <t xml:space="preserve">ワザが相殺するかどうか。</t>
      </text>
    </comment>
    <comment authorId="0" ref="S111">
      <text>
        <t xml:space="preserve">ワザが相殺したときに、相殺モーションに移行するかどうか。</t>
      </text>
    </comment>
    <comment authorId="0" ref="U111">
      <text>
        <t xml:space="preserve">いわゆる「地ダ(地上ダッシュ)」「空ダ(空中ダッシュ)」のこと。</t>
      </text>
    </comment>
    <comment authorId="0" ref="D115">
      <text>
        <t xml:space="preserve">53 -&gt; 56 (11.0.0)</t>
      </text>
    </comment>
    <comment authorId="0" ref="F120">
      <text>
        <t xml:space="preserve">タイマンにおけるダメージは、基礎ダメージの1.2倍となる。
なお、OP相殺がかかっていない場合はさらに1.05倍。</t>
      </text>
    </comment>
    <comment authorId="0" ref="F125">
      <text>
        <t xml:space="preserve">タイマンにおけるダメージは、基礎ダメージの1.2倍となる。
なお、OP相殺がかかっていない場合はさらに1.05倍。</t>
      </text>
    </comment>
    <comment authorId="0" ref="O125">
      <text>
        <t xml:space="preserve">ワザに設定されているシールド削り値。通常のダメージに加え、この値だけシールドのHPが減少する。</t>
      </text>
    </comment>
    <comment authorId="0" ref="P125">
      <text>
        <t xml:space="preserve">ワザに設定されているヒットストップ倍率。電撃属性のワザはこの値が設定されていなくとも1.5倍となる。</t>
      </text>
    </comment>
    <comment authorId="0" ref="Q125">
      <text>
        <t xml:space="preserve">ワザに設定されているヒットストップずらしによる移動距離倍率。</t>
      </text>
    </comment>
    <comment authorId="0" ref="G144">
      <text>
        <t xml:space="preserve">タイマンにおけるダメージは、基礎ダメージの1.2倍となる。
なお、OP相殺がかかっていない場合はさらに1.05倍。</t>
      </text>
    </comment>
  </commentList>
</comments>
</file>

<file path=xl/comments7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F26">
      <text>
        <t xml:space="preserve">1st: ケン
2nd: リュウ</t>
      </text>
    </comment>
    <comment authorId="0" ref="F27">
      <text>
        <t xml:space="preserve">1st: シュルク (疾)</t>
      </text>
    </comment>
    <comment authorId="0" ref="C29">
      <text>
        <t xml:space="preserve">追加走行加速のみ倍率がかかる。</t>
      </text>
    </comment>
    <comment authorId="0" ref="C32">
      <text>
        <t xml:space="preserve">追加空中加速のみ倍率がかかる。</t>
      </text>
    </comment>
    <comment authorId="0" ref="F32">
      <text>
        <t xml:space="preserve">1st: プリン</t>
      </text>
    </comment>
    <comment authorId="0" ref="F35">
      <text>
        <t xml:space="preserve">1st: シュルク (翔)
2nd: フォックス</t>
      </text>
    </comment>
    <comment authorId="0" ref="E40">
      <text>
        <t xml:space="preserve">ワザに設定されている基礎ダメージ量。実際の試合で与えるダメージ量は、タイマン補正・OP補正・小ジャンプ補正などにより変化するので注意。</t>
      </text>
    </comment>
    <comment authorId="0" ref="F40">
      <text>
        <t xml:space="preserve">タイマンにおけるダメージは、基礎ダメージの1.2倍となる。
なお、OP相殺がかかっていない場合はさらに1.05倍。</t>
      </text>
    </comment>
    <comment authorId="0" ref="O40">
      <text>
        <t xml:space="preserve">ワザに設定されているシールド削り値。通常のダメージに加え、この値だけシールドのHPが減少する。</t>
      </text>
    </comment>
    <comment authorId="0" ref="P40">
      <text>
        <t xml:space="preserve">ワザに設定されているヒットストップ倍率。電撃属性のワザはこの値が設定されていなくとも1.5倍となる。</t>
      </text>
    </comment>
    <comment authorId="0" ref="Q40">
      <text>
        <t xml:space="preserve">ワザに設定されているヒットストップずらしによる移動距離倍率。</t>
      </text>
    </comment>
    <comment authorId="0" ref="U40">
      <text>
        <t xml:space="preserve">地上慣性が消えるフレーム。「-」はなし。</t>
      </text>
    </comment>
    <comment authorId="0" ref="U45">
      <text>
        <t xml:space="preserve">反転ブレーキ時：なし</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G59">
      <text>
        <t xml:space="preserve">小ジャンプで空中攻撃を出すと、与えるダメージ量が0.85倍になる。タイマン補正も含めると、1.2 * 0.85で1.02倍。</t>
      </text>
    </comment>
    <comment authorId="0" ref="J59">
      <text>
        <t xml:space="preserve">着地隙が発生しないフレーム区間のこと。※着地隙フラグFに変更予定</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E68">
      <text>
        <t xml:space="preserve">ワザに設定されている基礎ダメージ量。実際の試合で与えるダメージ量は、タイマン補正・OP補正・小ジャンプ補正などにより変化するので注意。</t>
      </text>
    </comment>
    <comment authorId="0" ref="F68">
      <text>
        <t xml:space="preserve">タイマンにおけるダメージは、基礎ダメージの1.2倍となる。
なお、OP相殺がかかっていない場合はさらに1.05倍。</t>
      </text>
    </comment>
    <comment authorId="0" ref="O68">
      <text>
        <t xml:space="preserve">ワザに設定されているシールド削り値。通常のダメージに加え、この値だけシールドのHPが減少する。</t>
      </text>
    </comment>
    <comment authorId="0" ref="P68">
      <text>
        <t xml:space="preserve">ワザに設定されているヒットストップ倍率。電撃属性のワザはこの値が設定されていなくとも1.5倍となる。</t>
      </text>
    </comment>
    <comment authorId="0" ref="Q68">
      <text>
        <t xml:space="preserve">ワザに設定されているヒットストップずらしによる移動距離倍率。</t>
      </text>
    </comment>
    <comment authorId="0" ref="R68">
      <text>
        <t xml:space="preserve">ワザが相殺するかどうか。</t>
      </text>
    </comment>
    <comment authorId="0" ref="S68">
      <text>
        <t xml:space="preserve">ワザが相殺したときに、相殺モーションに移行するかどうか。</t>
      </text>
    </comment>
    <comment authorId="0" ref="U68">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E93">
      <text>
        <t xml:space="preserve">ワザに設定されている基礎ダメージ量。実際の試合で与えるダメージ量は、タイマン補正・OP補正・小ジャンプ補正などにより変化するので注意。</t>
      </text>
    </comment>
    <comment authorId="0" ref="F93">
      <text>
        <t xml:space="preserve">タイマンにおけるダメージは、基礎ダメージの1.2倍となる。
なお、OP相殺がかかっていない場合はさらに1.05倍。</t>
      </text>
    </comment>
    <comment authorId="0" ref="O93">
      <text>
        <t xml:space="preserve">ワザに設定されているシールド削り値。通常のダメージに加え、この値だけシールドのHPが減少する。</t>
      </text>
    </comment>
    <comment authorId="0" ref="P93">
      <text>
        <t xml:space="preserve">ワザに設定されているヒットストップ倍率。電撃属性のワザはこの値が設定されていなくとも1.5倍となる。</t>
      </text>
    </comment>
    <comment authorId="0" ref="Q93">
      <text>
        <t xml:space="preserve">ワザに設定されているヒットストップずらしによる移動距離倍率。</t>
      </text>
    </comment>
    <comment authorId="0" ref="R93">
      <text>
        <t xml:space="preserve">ワザが相殺するかどうか。</t>
      </text>
    </comment>
    <comment authorId="0" ref="S93">
      <text>
        <t xml:space="preserve">ワザが相殺したときに、相殺モーションに移行するかどうか。</t>
      </text>
    </comment>
    <comment authorId="0" ref="U93">
      <text>
        <t xml:space="preserve">いわゆる「地ダ(地上ダッシュ)」「空ダ(空中ダッシュ)」のこと。</t>
      </text>
    </comment>
    <comment authorId="0" ref="E100">
      <text>
        <t xml:space="preserve">ワザに設定されている基礎ダメージ量。実際の試合で与えるダメージ量は、タイマン補正・OP補正・小ジャンプ補正などにより変化するので注意。</t>
      </text>
    </comment>
    <comment authorId="0" ref="F100">
      <text>
        <t xml:space="preserve">タイマンにおけるダメージは、基礎ダメージの1.2倍となる。
なお、OP相殺がかかっていない場合はさらに1.05倍。</t>
      </text>
    </comment>
    <comment authorId="0" ref="O100">
      <text>
        <t xml:space="preserve">ワザに設定されているシールド削り値。通常のダメージに加え、この値だけシールドのHPが減少する。</t>
      </text>
    </comment>
    <comment authorId="0" ref="P100">
      <text>
        <t xml:space="preserve">ワザに設定されているヒットストップ倍率。電撃属性のワザはこの値が設定されていなくとも1.5倍となる。</t>
      </text>
    </comment>
    <comment authorId="0" ref="Q100">
      <text>
        <t xml:space="preserve">ワザに設定されているヒットストップずらしによる移動距離倍率。</t>
      </text>
    </comment>
    <comment authorId="0" ref="R100">
      <text>
        <t xml:space="preserve">ワザが相殺するかどうか。</t>
      </text>
    </comment>
    <comment authorId="0" ref="S100">
      <text>
        <t xml:space="preserve">ワザが相殺したときに、相殺モーションに移行するかどうか。</t>
      </text>
    </comment>
    <comment authorId="0" ref="U100">
      <text>
        <t xml:space="preserve">いわゆる「地ダ(地上ダッシュ)」「空ダ(空中ダッシュ)」のこと。</t>
      </text>
    </comment>
    <comment authorId="0" ref="E103">
      <text>
        <t xml:space="preserve">ワザに設定されている基礎ダメージ量。実際の試合で与えるダメージ量は、タイマン補正・OP補正・小ジャンプ補正などにより変化するので注意。</t>
      </text>
    </comment>
    <comment authorId="0" ref="F103">
      <text>
        <t xml:space="preserve">タイマンにおけるダメージは、基礎ダメージの1.2倍となる。
なお、OP相殺がかかっていない場合はさらに1.05倍。</t>
      </text>
    </comment>
    <comment authorId="0" ref="O103">
      <text>
        <t xml:space="preserve">ワザに設定されているシールド削り値。通常のダメージに加え、この値だけシールドのHPが減少する。</t>
      </text>
    </comment>
    <comment authorId="0" ref="P103">
      <text>
        <t xml:space="preserve">ワザに設定されているヒットストップ倍率。電撃属性のワザはこの値が設定されていなくとも1.5倍となる。</t>
      </text>
    </comment>
    <comment authorId="0" ref="Q103">
      <text>
        <t xml:space="preserve">ワザに設定されているヒットストップずらしによる移動距離倍率。</t>
      </text>
    </comment>
    <comment authorId="0" ref="R103">
      <text>
        <t xml:space="preserve">ワザが相殺するかどうか。</t>
      </text>
    </comment>
    <comment authorId="0" ref="S103">
      <text>
        <t xml:space="preserve">ワザが相殺したときに、相殺モーションに移行するかどうか。</t>
      </text>
    </comment>
    <comment authorId="0" ref="U103">
      <text>
        <t xml:space="preserve">いわゆる「地ダ(地上ダッシュ)」「空ダ(空中ダッシュ)」のこと。</t>
      </text>
    </comment>
    <comment authorId="0" ref="E128">
      <text>
        <t xml:space="preserve">ワザに設定されている基礎ダメージ量。実際の試合で与えるダメージ量は、タイマン補正・OP補正・小ジャンプ補正などにより変化するので注意。</t>
      </text>
    </comment>
    <comment authorId="0" ref="F128">
      <text>
        <t xml:space="preserve">タイマンにおけるダメージは、基礎ダメージの1.2倍となる。
なお、OP相殺がかかっていない場合はさらに1.05倍。</t>
      </text>
    </comment>
    <comment authorId="0" ref="O128">
      <text>
        <t xml:space="preserve">ワザに設定されているシールド削り値。通常のダメージに加え、この値だけシールドのHPが減少する。</t>
      </text>
    </comment>
    <comment authorId="0" ref="P128">
      <text>
        <t xml:space="preserve">ワザに設定されているヒットストップ倍率。電撃属性のワザはこの値が設定されていなくとも1.5倍となる。</t>
      </text>
    </comment>
    <comment authorId="0" ref="Q128">
      <text>
        <t xml:space="preserve">ワザに設定されているヒットストップずらしによる移動距離倍率。</t>
      </text>
    </comment>
    <comment authorId="0" ref="R128">
      <text>
        <t xml:space="preserve">ワザが相殺するかどうか。</t>
      </text>
    </comment>
    <comment authorId="0" ref="S128">
      <text>
        <t xml:space="preserve">ワザが相殺したときに、相殺モーションに移行するかどうか。</t>
      </text>
    </comment>
    <comment authorId="0" ref="U128">
      <text>
        <t xml:space="preserve">いわゆる「地ダ(地上ダッシュ)」「空ダ(空中ダッシュ)」のこと。</t>
      </text>
    </comment>
    <comment authorId="0" ref="F141">
      <text>
        <t xml:space="preserve">タイマンにおけるダメージは、基礎ダメージの1.2倍となる。
なお、OP相殺がかかっていない場合はさらに1.05倍。</t>
      </text>
    </comment>
    <comment authorId="0" ref="F146">
      <text>
        <t xml:space="preserve">タイマンにおけるダメージは、基礎ダメージの1.2倍となる。
なお、OP相殺がかかっていない場合はさらに1.05倍。</t>
      </text>
    </comment>
    <comment authorId="0" ref="O146">
      <text>
        <t xml:space="preserve">ワザに設定されているシールド削り値。通常のダメージに加え、この値だけシールドのHPが減少する。</t>
      </text>
    </comment>
    <comment authorId="0" ref="P146">
      <text>
        <t xml:space="preserve">ワザに設定されているヒットストップ倍率。電撃属性のワザはこの値が設定されていなくとも1.5倍となる。</t>
      </text>
    </comment>
    <comment authorId="0" ref="Q146">
      <text>
        <t xml:space="preserve">ワザに設定されているヒットストップずらしによる移動距離倍率。</t>
      </text>
    </comment>
    <comment authorId="0" ref="G165">
      <text>
        <t xml:space="preserve">タイマンにおけるダメージは、基礎ダメージの1.2倍となる。
なお、OP相殺がかかっていない場合はさらに1.05倍。</t>
      </text>
    </comment>
    <comment authorId="0" ref="D180">
      <text>
        <t xml:space="preserve">26 -&gt; 25 (5.0.0)</t>
      </text>
    </comment>
  </commentList>
</comments>
</file>

<file path=xl/comments80.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U34">
      <text>
        <t xml:space="preserve">反転ブレーキ時：なし</t>
      </text>
    </comment>
    <comment authorId="0" ref="E45">
      <text>
        <t xml:space="preserve">ワザに設定されている基礎ダメージ量。実際の試合で与えるダメージ量は、タイマン補正・OP補正・小ジャンプ補正などにより変化するので注意。</t>
      </text>
    </comment>
    <comment authorId="0" ref="F45">
      <text>
        <t xml:space="preserve">タイマンにおけるダメージは、基礎ダメージの1.2倍となる。
なお、OP相殺がかかっていない場合はさらに1.05倍。</t>
      </text>
    </comment>
    <comment authorId="0" ref="G45">
      <text>
        <t xml:space="preserve">小ジャンプで空中攻撃を出すと、与えるダメージ量が0.85倍になる。タイマン補正も含めると、1.2 * 0.85で1.02倍。</t>
      </text>
    </comment>
    <comment authorId="0" ref="J45">
      <text>
        <t xml:space="preserve">着地隙が発生しないフレーム区間のこと。※着地隙フラグFに変更予定</t>
      </text>
    </comment>
    <comment authorId="0" ref="O45">
      <text>
        <t xml:space="preserve">ワザに設定されているシールド削り値。通常のダメージに加え、この値だけシールドのHPが減少する。</t>
      </text>
    </comment>
    <comment authorId="0" ref="P45">
      <text>
        <t xml:space="preserve">ワザに設定されているヒットストップ倍率。電撃属性のワザはこの値が設定されていなくとも1.5倍となる。</t>
      </text>
    </comment>
    <comment authorId="0" ref="Q45">
      <text>
        <t xml:space="preserve">ワザに設定されているヒットストップずらしによる移動距離倍率。</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R60">
      <text>
        <t xml:space="preserve">ワザが相殺するかどうか。</t>
      </text>
    </comment>
    <comment authorId="0" ref="S60">
      <text>
        <t xml:space="preserve">ワザが相殺したときに、相殺モーションに移行するかどうか。</t>
      </text>
    </comment>
    <comment authorId="0" ref="U60">
      <text>
        <t xml:space="preserve">いわゆる「地ダ(地上ダッシュ)」「空ダ(空中ダッシュ)」のこと。</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E78">
      <text>
        <t xml:space="preserve">ワザに設定されている基礎ダメージ量。実際の試合で与えるダメージ量は、タイマン補正・OP補正・小ジャンプ補正などにより変化するので注意。</t>
      </text>
    </comment>
    <comment authorId="0" ref="F78">
      <text>
        <t xml:space="preserve">タイマンにおけるダメージは、基礎ダメージの1.2倍となる。
なお、OP相殺がかかっていない場合はさらに1.05倍。</t>
      </text>
    </comment>
    <comment authorId="0" ref="O78">
      <text>
        <t xml:space="preserve">ワザに設定されているシールド削り値。通常のダメージに加え、この値だけシールドのHPが減少する。</t>
      </text>
    </comment>
    <comment authorId="0" ref="P78">
      <text>
        <t xml:space="preserve">ワザに設定されているヒットストップ倍率。電撃属性のワザはこの値が設定されていなくとも1.5倍となる。</t>
      </text>
    </comment>
    <comment authorId="0" ref="Q78">
      <text>
        <t xml:space="preserve">ワザに設定されているヒットストップずらしによる移動距離倍率。</t>
      </text>
    </comment>
    <comment authorId="0" ref="R78">
      <text>
        <t xml:space="preserve">ワザが相殺するかどうか。</t>
      </text>
    </comment>
    <comment authorId="0" ref="S78">
      <text>
        <t xml:space="preserve">ワザが相殺したときに、相殺モーションに移行するかどうか。</t>
      </text>
    </comment>
    <comment authorId="0" ref="U78">
      <text>
        <t xml:space="preserve">いわゆる「地ダ(地上ダッシュ)」「空ダ(空中ダッシュ)」のこと。</t>
      </text>
    </comment>
    <comment authorId="0" ref="F84">
      <text>
        <t xml:space="preserve">タイマンにおけるダメージは、基礎ダメージの1.2倍となる。
なお、OP相殺がかかっていない場合はさらに1.05倍。</t>
      </text>
    </comment>
    <comment authorId="0" ref="F89">
      <text>
        <t xml:space="preserve">タイマンにおけるダメージは、基礎ダメージの1.2倍となる。
なお、OP相殺がかかっていない場合はさらに1.05倍。</t>
      </text>
    </comment>
    <comment authorId="0" ref="O89">
      <text>
        <t xml:space="preserve">ワザに設定されているシールド削り値。通常のダメージに加え、この値だけシールドのHPが減少する。</t>
      </text>
    </comment>
    <comment authorId="0" ref="P89">
      <text>
        <t xml:space="preserve">ワザに設定されているヒットストップ倍率。電撃属性のワザはこの値が設定されていなくとも1.5倍となる。</t>
      </text>
    </comment>
    <comment authorId="0" ref="Q89">
      <text>
        <t xml:space="preserve">ワザに設定されているヒットストップずらしによる移動距離倍率。</t>
      </text>
    </comment>
    <comment authorId="0" ref="G108">
      <text>
        <t xml:space="preserve">タイマンにおけるダメージは、基礎ダメージの1.2倍となる。
なお、OP相殺がかかっていない場合はさらに1.05倍。</t>
      </text>
    </comment>
  </commentList>
</comments>
</file>

<file path=xl/comments8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39">
      <text>
        <t xml:space="preserve">ワザに設定されている基礎ダメージ量。実際の試合で与えるダメージ量は、タイマン補正・OP補正・小ジャンプ補正などにより変化するので注意。</t>
      </text>
    </comment>
    <comment authorId="0" ref="F39">
      <text>
        <t xml:space="preserve">タイマンにおけるダメージは、基礎ダメージの1.2倍となる。
なお、OP相殺がかかっていない場合はさらに1.05倍。</t>
      </text>
    </comment>
    <comment authorId="0" ref="G39">
      <text>
        <t xml:space="preserve">未実装。計算式が判明次第、追加していく予定です。</t>
      </text>
    </comment>
    <comment authorId="0" ref="O39">
      <text>
        <t xml:space="preserve">ワザに設定されているシールド削り値。通常のダメージに加え、この値だけシールドのHPが減少する。</t>
      </text>
    </comment>
    <comment authorId="0" ref="P39">
      <text>
        <t xml:space="preserve">ワザに設定されているヒットストップ倍率。電撃属性のワザはこの値が設定されていなくとも1.5倍となる。</t>
      </text>
    </comment>
    <comment authorId="0" ref="Q39">
      <text>
        <t xml:space="preserve">ワザに設定されているヒットストップずらしによる移動距離倍率。</t>
      </text>
    </comment>
    <comment authorId="0" ref="U39">
      <text>
        <t xml:space="preserve">地上慣性が消えるフレーム。「-」はなし。</t>
      </text>
    </comment>
    <comment authorId="0" ref="E43">
      <text>
        <t xml:space="preserve">ワザに設定されている基礎ダメージ量。実際の試合で与えるダメージ量は、タイマン補正・OP補正・小ジャンプ補正などにより変化するので注意。</t>
      </text>
    </comment>
    <comment authorId="0" ref="F43">
      <text>
        <t xml:space="preserve">タイマンにおけるダメージは、基礎ダメージの1.2倍となる。
なお、OP相殺がかかっていない場合はさらに1.05倍。</t>
      </text>
    </comment>
    <comment authorId="0" ref="G43">
      <text>
        <t xml:space="preserve">小ジャンプで空中攻撃を出すと、与えるダメージ量が0.85倍になる。タイマン補正も含めると、1.2 * 0.85で1.02倍。</t>
      </text>
    </comment>
    <comment authorId="0" ref="J43">
      <text>
        <t xml:space="preserve">着地隙が発生しないフレーム区間のこと。※着地隙フラグFに変更予定</t>
      </text>
    </comment>
    <comment authorId="0" ref="O43">
      <text>
        <t xml:space="preserve">ワザに設定されているシールド削り値。通常のダメージに加え、この値だけシールドのHPが減少する。</t>
      </text>
    </comment>
    <comment authorId="0" ref="P43">
      <text>
        <t xml:space="preserve">ワザに設定されているヒットストップ倍率。電撃属性のワザはこの値が設定されていなくとも1.5倍となる。</t>
      </text>
    </comment>
    <comment authorId="0" ref="Q43">
      <text>
        <t xml:space="preserve">ワザに設定されているヒットストップずらしによる移動距離倍率。</t>
      </text>
    </comment>
    <comment authorId="0" ref="E54">
      <text>
        <t xml:space="preserve">ワザに設定されている基礎ダメージ量。実際の試合で与えるダメージ量は、タイマン補正・OP補正・小ジャンプ補正などにより変化するので注意。</t>
      </text>
    </comment>
    <comment authorId="0" ref="F54">
      <text>
        <t xml:space="preserve">タイマンにおけるダメージは、基礎ダメージの1.2倍となる。
なお、OP相殺がかかっていない場合はさらに1.05倍。</t>
      </text>
    </comment>
    <comment authorId="0" ref="O54">
      <text>
        <t xml:space="preserve">ワザに設定されているシールド削り値。通常のダメージに加え、この値だけシールドのHPが減少する。</t>
      </text>
    </comment>
    <comment authorId="0" ref="P54">
      <text>
        <t xml:space="preserve">ワザに設定されているヒットストップ倍率。電撃属性のワザはこの値が設定されていなくとも1.5倍となる。</t>
      </text>
    </comment>
    <comment authorId="0" ref="Q54">
      <text>
        <t xml:space="preserve">ワザに設定されているヒットストップずらしによる移動距離倍率。</t>
      </text>
    </comment>
    <comment authorId="0" ref="R54">
      <text>
        <t xml:space="preserve">ワザが相殺するかどうか。</t>
      </text>
    </comment>
    <comment authorId="0" ref="S54">
      <text>
        <t xml:space="preserve">ワザが相殺したときに、相殺モーションに移行するかどうか。</t>
      </text>
    </comment>
    <comment authorId="0" ref="U54">
      <text>
        <t xml:space="preserve">いわゆる「地ダ(地上ダッシュ)」「空ダ(空中ダッシュ)」のこと。</t>
      </text>
    </comment>
    <comment authorId="0" ref="E59">
      <text>
        <t xml:space="preserve">ワザに設定されている基礎ダメージ量。実際の試合で与えるダメージ量は、タイマン補正・OP補正・小ジャンプ補正などにより変化するので注意。</t>
      </text>
    </comment>
    <comment authorId="0" ref="F59">
      <text>
        <t xml:space="preserve">タイマンにおけるダメージは、基礎ダメージの1.2倍となる。
なお、OP相殺がかかっていない場合はさらに1.05倍。</t>
      </text>
    </comment>
    <comment authorId="0" ref="O59">
      <text>
        <t xml:space="preserve">ワザに設定されているシールド削り値。通常のダメージに加え、この値だけシールドのHPが減少する。</t>
      </text>
    </comment>
    <comment authorId="0" ref="P59">
      <text>
        <t xml:space="preserve">ワザに設定されているヒットストップ倍率。電撃属性のワザはこの値が設定されていなくとも1.5倍となる。</t>
      </text>
    </comment>
    <comment authorId="0" ref="Q59">
      <text>
        <t xml:space="preserve">ワザに設定されているヒットストップずらしによる移動距離倍率。</t>
      </text>
    </comment>
    <comment authorId="0" ref="R59">
      <text>
        <t xml:space="preserve">ワザが相殺するかどうか。</t>
      </text>
    </comment>
    <comment authorId="0" ref="S59">
      <text>
        <t xml:space="preserve">ワザが相殺したときに、相殺モーションに移行するかどうか。</t>
      </text>
    </comment>
    <comment authorId="0" ref="U59">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E87">
      <text>
        <t xml:space="preserve">ワザに設定されている基礎ダメージ量。実際の試合で与えるダメージ量は、タイマン補正・OP補正・小ジャンプ補正などにより変化するので注意。</t>
      </text>
    </comment>
    <comment authorId="0" ref="F87">
      <text>
        <t xml:space="preserve">タイマンにおけるダメージは、基礎ダメージの1.2倍となる。
なお、OP相殺がかかっていない場合はさらに1.05倍。</t>
      </text>
    </comment>
    <comment authorId="0" ref="O87">
      <text>
        <t xml:space="preserve">ワザに設定されているシールド削り値。通常のダメージに加え、この値だけシールドのHPが減少する。</t>
      </text>
    </comment>
    <comment authorId="0" ref="P87">
      <text>
        <t xml:space="preserve">ワザに設定されているヒットストップ倍率。電撃属性のワザはこの値が設定されていなくとも1.5倍となる。</t>
      </text>
    </comment>
    <comment authorId="0" ref="Q87">
      <text>
        <t xml:space="preserve">ワザに設定されているヒットストップずらしによる移動距離倍率。</t>
      </text>
    </comment>
    <comment authorId="0" ref="R87">
      <text>
        <t xml:space="preserve">ワザが相殺するかどうか。</t>
      </text>
    </comment>
    <comment authorId="0" ref="S87">
      <text>
        <t xml:space="preserve">ワザが相殺したときに、相殺モーションに移行するかどうか。</t>
      </text>
    </comment>
    <comment authorId="0" ref="U87">
      <text>
        <t xml:space="preserve">いわゆる「地ダ(地上ダッシュ)」「空ダ(空中ダッシュ)」のこと。</t>
      </text>
    </comment>
    <comment authorId="0" ref="E96">
      <text>
        <t xml:space="preserve">ワザに設定されている基礎ダメージ量。実際の試合で与えるダメージ量は、タイマン補正・OP補正・小ジャンプ補正などにより変化するので注意。</t>
      </text>
    </comment>
    <comment authorId="0" ref="F96">
      <text>
        <t xml:space="preserve">タイマンにおけるダメージは、基礎ダメージの1.2倍となる。
なお、OP相殺がかかっていない場合はさらに1.05倍。</t>
      </text>
    </comment>
    <comment authorId="0" ref="O96">
      <text>
        <t xml:space="preserve">ワザに設定されているシールド削り値。通常のダメージに加え、この値だけシールドのHPが減少する。</t>
      </text>
    </comment>
    <comment authorId="0" ref="P96">
      <text>
        <t xml:space="preserve">ワザに設定されているヒットストップ倍率。電撃属性のワザはこの値が設定されていなくとも1.5倍となる。</t>
      </text>
    </comment>
    <comment authorId="0" ref="Q96">
      <text>
        <t xml:space="preserve">ワザに設定されているヒットストップずらしによる移動距離倍率。</t>
      </text>
    </comment>
    <comment authorId="0" ref="R96">
      <text>
        <t xml:space="preserve">ワザが相殺するかどうか。</t>
      </text>
    </comment>
    <comment authorId="0" ref="S96">
      <text>
        <t xml:space="preserve">ワザが相殺したときに、相殺モーションに移行するかどうか。</t>
      </text>
    </comment>
    <comment authorId="0" ref="U96">
      <text>
        <t xml:space="preserve">いわゆる「地ダ(地上ダッシュ)」「空ダ(空中ダッシュ)」のこと。</t>
      </text>
    </comment>
    <comment authorId="0" ref="E108">
      <text>
        <t xml:space="preserve">ワザに設定されている基礎ダメージ量。実際の試合で与えるダメージ量は、タイマン補正・OP補正・小ジャンプ補正などにより変化するので注意。</t>
      </text>
    </comment>
    <comment authorId="0" ref="F108">
      <text>
        <t xml:space="preserve">タイマンにおけるダメージは、基礎ダメージの1.2倍となる。
なお、OP相殺がかかっていない場合はさらに1.05倍。</t>
      </text>
    </comment>
    <comment authorId="0" ref="O108">
      <text>
        <t xml:space="preserve">ワザに設定されているシールド削り値。通常のダメージに加え、この値だけシールドのHPが減少する。</t>
      </text>
    </comment>
    <comment authorId="0" ref="P108">
      <text>
        <t xml:space="preserve">ワザに設定されているヒットストップ倍率。電撃属性のワザはこの値が設定されていなくとも1.5倍となる。</t>
      </text>
    </comment>
    <comment authorId="0" ref="Q108">
      <text>
        <t xml:space="preserve">ワザに設定されているヒットストップずらしによる移動距離倍率。</t>
      </text>
    </comment>
    <comment authorId="0" ref="R108">
      <text>
        <t xml:space="preserve">ワザが相殺するかどうか。</t>
      </text>
    </comment>
    <comment authorId="0" ref="S108">
      <text>
        <t xml:space="preserve">ワザが相殺したときに、相殺モーションに移行するかどうか。</t>
      </text>
    </comment>
    <comment authorId="0" ref="U108">
      <text>
        <t xml:space="preserve">いわゆる「地ダ(地上ダッシュ)」「空ダ(空中ダッシュ)」のこと。</t>
      </text>
    </comment>
    <comment authorId="0" ref="E112">
      <text>
        <t xml:space="preserve">ワザに設定されている基礎ダメージ量。実際の試合で与えるダメージ量は、タイマン補正・OP補正・小ジャンプ補正などにより変化するので注意。</t>
      </text>
    </comment>
    <comment authorId="0" ref="F112">
      <text>
        <t xml:space="preserve">タイマンにおけるダメージは、基礎ダメージの1.2倍となる。
なお、OP相殺がかかっていない場合はさらに1.05倍。</t>
      </text>
    </comment>
    <comment authorId="0" ref="O112">
      <text>
        <t xml:space="preserve">ワザに設定されているシールド削り値。通常のダメージに加え、この値だけシールドのHPが減少する。</t>
      </text>
    </comment>
    <comment authorId="0" ref="P112">
      <text>
        <t xml:space="preserve">ワザに設定されているヒットストップ倍率。電撃属性のワザはこの値が設定されていなくとも1.5倍となる。</t>
      </text>
    </comment>
    <comment authorId="0" ref="Q112">
      <text>
        <t xml:space="preserve">ワザに設定されているヒットストップずらしによる移動距離倍率。</t>
      </text>
    </comment>
    <comment authorId="0" ref="R112">
      <text>
        <t xml:space="preserve">ワザが相殺するかどうか。</t>
      </text>
    </comment>
    <comment authorId="0" ref="S112">
      <text>
        <t xml:space="preserve">ワザが相殺したときに、相殺モーションに移行するかどうか。</t>
      </text>
    </comment>
    <comment authorId="0" ref="U112">
      <text>
        <t xml:space="preserve">いわゆる「地ダ(地上ダッシュ)」「空ダ(空中ダッシュ)」のこと。</t>
      </text>
    </comment>
    <comment authorId="0" ref="F118">
      <text>
        <t xml:space="preserve">タイマンにおけるダメージは、基礎ダメージの1.2倍となる。
なお、OP相殺がかかっていない場合はさらに1.05倍。</t>
      </text>
    </comment>
    <comment authorId="0" ref="F123">
      <text>
        <t xml:space="preserve">タイマンにおけるダメージは、基礎ダメージの1.2倍となる。
なお、OP相殺がかかっていない場合はさらに1.05倍。</t>
      </text>
    </comment>
    <comment authorId="0" ref="O123">
      <text>
        <t xml:space="preserve">ワザに設定されているシールド削り値。通常のダメージに加え、この値だけシールドのHPが減少する。</t>
      </text>
    </comment>
    <comment authorId="0" ref="P123">
      <text>
        <t xml:space="preserve">ワザに設定されているヒットストップ倍率。電撃属性のワザはこの値が設定されていなくとも1.5倍となる。</t>
      </text>
    </comment>
    <comment authorId="0" ref="Q123">
      <text>
        <t xml:space="preserve">ワザに設定されているヒットストップずらしによる移動距離倍率。</t>
      </text>
    </comment>
    <comment authorId="0" ref="G142">
      <text>
        <t xml:space="preserve">タイマンにおけるダメージは、基礎ダメージの1.2倍となる。
なお、OP相殺がかかっていない場合はさらに1.05倍。</t>
      </text>
    </comment>
  </commentList>
</comments>
</file>

<file path=xl/comments8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6">
      <text>
        <t xml:space="preserve">ワザに設定されている基礎ダメージ量。実際の試合で与えるダメージ量は、タイマン補正・OP補正・小ジャンプ補正などにより変化するので注意。</t>
      </text>
    </comment>
    <comment authorId="0" ref="F46">
      <text>
        <t xml:space="preserve">タイマンにおけるダメージは、基礎ダメージの1.2倍となる。
なお、OP相殺がかかっていない場合はさらに1.05倍。</t>
      </text>
    </comment>
    <comment authorId="0" ref="G46">
      <text>
        <t xml:space="preserve">小ジャンプで空中攻撃を出すと、与えるダメージ量が0.85倍になる。タイマン補正も含めると、1.2 * 0.85で1.02倍。</t>
      </text>
    </comment>
    <comment authorId="0" ref="J46">
      <text>
        <t xml:space="preserve">着地隙が発生しないフレーム区間のこと。※着地隙フラグFに変更予定</t>
      </text>
    </comment>
    <comment authorId="0" ref="O46">
      <text>
        <t xml:space="preserve">ワザに設定されているシールド削り値。通常のダメージに加え、この値だけシールドのHPが減少する。</t>
      </text>
    </comment>
    <comment authorId="0" ref="P46">
      <text>
        <t xml:space="preserve">ワザに設定されているヒットストップ倍率。電撃属性のワザはこの値が設定されていなくとも1.5倍となる。</t>
      </text>
    </comment>
    <comment authorId="0" ref="Q46">
      <text>
        <t xml:space="preserve">ワザに設定されているヒットストップずらしによる移動距離倍率。</t>
      </text>
    </comment>
    <comment authorId="0" ref="E58">
      <text>
        <t xml:space="preserve">ワザに設定されている基礎ダメージ量。実際の試合で与えるダメージ量は、タイマン補正・OP補正・小ジャンプ補正などにより変化するので注意。</t>
      </text>
    </comment>
    <comment authorId="0" ref="F58">
      <text>
        <t xml:space="preserve">タイマンにおけるダメージは、基礎ダメージの1.2倍となる。
なお、OP相殺がかかっていない場合はさらに1.05倍。</t>
      </text>
    </comment>
    <comment authorId="0" ref="O58">
      <text>
        <t xml:space="preserve">ワザに設定されているシールド削り値。通常のダメージに加え、この値だけシールドのHPが減少する。</t>
      </text>
    </comment>
    <comment authorId="0" ref="P58">
      <text>
        <t xml:space="preserve">ワザに設定されているヒットストップ倍率。電撃属性のワザはこの値が設定されていなくとも1.5倍となる。</t>
      </text>
    </comment>
    <comment authorId="0" ref="Q58">
      <text>
        <t xml:space="preserve">ワザに設定されているヒットストップずらしによる移動距離倍率。</t>
      </text>
    </comment>
    <comment authorId="0" ref="R58">
      <text>
        <t xml:space="preserve">ワザが相殺するかどうか。</t>
      </text>
    </comment>
    <comment authorId="0" ref="S58">
      <text>
        <t xml:space="preserve">ワザが相殺したときに、相殺モーションに移行するかどうか。</t>
      </text>
    </comment>
    <comment authorId="0" ref="U58">
      <text>
        <t xml:space="preserve">いわゆる「地ダ(地上ダッシュ)」「空ダ(空中ダッシュ)」のこと。</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G64">
      <text>
        <t xml:space="preserve">11F/15F &gt; 17F/25F (11.0.0)</t>
      </text>
    </comment>
    <comment authorId="0" ref="D65">
      <text>
        <t xml:space="preserve">65 -&gt; 61 (11.0.0)</t>
      </text>
    </comment>
    <comment authorId="0" ref="G65">
      <text>
        <t xml:space="preserve">13F/9F &gt; 24F/17F (11.0.0)</t>
      </text>
    </comment>
    <comment authorId="0" ref="E66">
      <text>
        <t xml:space="preserve">ワザに設定されている基礎ダメージ量。実際の試合で与えるダメージ量は、タイマン補正・OP補正・小ジャンプ補正などにより変化するので注意。</t>
      </text>
    </comment>
    <comment authorId="0" ref="F66">
      <text>
        <t xml:space="preserve">タイマンにおけるダメージは、基礎ダメージの1.2倍となる。
なお、OP相殺がかかっていない場合はさらに1.05倍。</t>
      </text>
    </comment>
    <comment authorId="0" ref="O66">
      <text>
        <t xml:space="preserve">ワザに設定されているシールド削り値。通常のダメージに加え、この値だけシールドのHPが減少する。</t>
      </text>
    </comment>
    <comment authorId="0" ref="P66">
      <text>
        <t xml:space="preserve">ワザに設定されているヒットストップ倍率。電撃属性のワザはこの値が設定されていなくとも1.5倍となる。</t>
      </text>
    </comment>
    <comment authorId="0" ref="Q66">
      <text>
        <t xml:space="preserve">ワザに設定されているヒットストップずらしによる移動距離倍率。</t>
      </text>
    </comment>
    <comment authorId="0" ref="R66">
      <text>
        <t xml:space="preserve">ワザが相殺するかどうか。</t>
      </text>
    </comment>
    <comment authorId="0" ref="S66">
      <text>
        <t xml:space="preserve">ワザが相殺したときに、相殺モーションに移行するかどうか。</t>
      </text>
    </comment>
    <comment authorId="0" ref="U66">
      <text>
        <t xml:space="preserve">いわゆる「地ダ(地上ダッシュ)」「空ダ(空中ダッシュ)」のこと。</t>
      </text>
    </comment>
    <comment authorId="0" ref="C67">
      <text>
        <t xml:space="preserve">11 -&gt; 9 (11.0.0)</t>
      </text>
    </comment>
    <comment authorId="0" ref="D67">
      <text>
        <t xml:space="preserve">48 -&gt; 46 (11.0.0)</t>
      </text>
    </comment>
    <comment authorId="0" ref="H67">
      <text>
        <t xml:space="preserve">崖つかまり(上)：7-10F &gt; 5-8F (11.0.0)
崖つかまり(横)：11-12F &gt; 9-10F (11.0.0)</t>
      </text>
    </comment>
    <comment authorId="0" ref="C68">
      <text>
        <t xml:space="preserve">12-13 -&gt; 10-11 (11.0.0)</t>
      </text>
    </comment>
    <comment authorId="0" ref="C69">
      <text>
        <t xml:space="preserve">14 -&gt; 12 (11.0.0)</t>
      </text>
    </comment>
    <comment authorId="0" ref="C70">
      <text>
        <t xml:space="preserve">12-19 -&gt; 10-17 (1.0.0)</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F81">
      <text>
        <t xml:space="preserve">タイマンにおけるダメージは、基礎ダメージの1.2倍となる。
なお、OP相殺がかかっていない場合はさらに1.05倍。</t>
      </text>
    </comment>
    <comment authorId="0" ref="F86">
      <text>
        <t xml:space="preserve">タイマンにおけるダメージは、基礎ダメージの1.2倍となる。
なお、OP相殺がかかっていない場合はさらに1.05倍。</t>
      </text>
    </comment>
    <comment authorId="0" ref="O86">
      <text>
        <t xml:space="preserve">ワザに設定されているシールド削り値。通常のダメージに加え、この値だけシールドのHPが減少する。</t>
      </text>
    </comment>
    <comment authorId="0" ref="P86">
      <text>
        <t xml:space="preserve">ワザに設定されているヒットストップ倍率。電撃属性のワザはこの値が設定されていなくとも1.5倍となる。</t>
      </text>
    </comment>
    <comment authorId="0" ref="Q86">
      <text>
        <t xml:space="preserve">ワザに設定されているヒットストップずらしによる移動距離倍率。</t>
      </text>
    </comment>
    <comment authorId="0" ref="G106">
      <text>
        <t xml:space="preserve">タイマンにおけるダメージは、基礎ダメージの1.2倍となる。
なお、OP相殺がかかっていない場合はさらに1.05倍。</t>
      </text>
    </comment>
  </commentList>
</comments>
</file>

<file path=xl/comments8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C47">
      <text>
        <t xml:space="preserve">9-19 -&gt; 9-18 (13.0.1)</t>
      </text>
    </comment>
    <comment authorId="0" ref="C54">
      <text>
        <t xml:space="preserve">7-9 &gt; 8-10 (12.0.0)</t>
      </text>
    </comment>
    <comment authorId="0" ref="D54">
      <text>
        <t xml:space="preserve">52 -&gt; 53 (12.0.0)</t>
      </text>
    </comment>
    <comment authorId="0" ref="H54">
      <text>
        <t xml:space="preserve">反射1：6-15F &gt; 7-16F (12.0.0)
反射2：7-15F &gt; 8-16F (12.0.0)
右足無敵：7-9F &gt; 8-10F (12.0.0)
左足無敵：7-15F &gt; 8-16F (12.0.0)
</t>
      </text>
    </comment>
    <comment authorId="0" ref="C55">
      <text>
        <t xml:space="preserve">10-12 &gt; 11-13 (12.0.0)</t>
      </text>
    </comment>
    <comment authorId="0" ref="C56">
      <text>
        <t xml:space="preserve">13-15 -&gt; 14-16 (12.0.0)</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G60">
      <text>
        <t xml:space="preserve">小ジャンプで空中攻撃を出すと、与えるダメージ量が0.85倍になる。タイマン補正も含めると、1.2 * 0.85で1.02倍。</t>
      </text>
    </comment>
    <comment authorId="0" ref="J60">
      <text>
        <t xml:space="preserve">着地隙が発生しないフレーム区間のこと。※着地隙フラグFに変更予定</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I61">
      <text>
        <t xml:space="preserve">10 -&gt; 12 (13.0.1)</t>
      </text>
    </comment>
    <comment authorId="0" ref="C71">
      <text>
        <t xml:space="preserve">9-19 -&gt; 9-18 (13.0.1)</t>
      </text>
    </comment>
    <comment authorId="0" ref="E84">
      <text>
        <t xml:space="preserve">ワザに設定されている基礎ダメージ量。実際の試合で与えるダメージ量は、タイマン補正・OP補正・小ジャンプ補正などにより変化するので注意。</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R84">
      <text>
        <t xml:space="preserve">ワザが相殺するかどうか。</t>
      </text>
    </comment>
    <comment authorId="0" ref="S84">
      <text>
        <t xml:space="preserve">ワザが相殺したときに、相殺モーションに移行するかどうか。</t>
      </text>
    </comment>
    <comment authorId="0" ref="U84">
      <text>
        <t xml:space="preserve">いわゆる「地ダ(地上ダッシュ)」「空ダ(空中ダッシュ)」のこと。</t>
      </text>
    </comment>
    <comment authorId="0" ref="H87">
      <text>
        <t xml:space="preserve">ガケつかまり(上)：5-6F &gt; 7-8F (12.0.0)
ガケつかまり(横)：7-8F &gt; 9-10F (12.0.0)</t>
      </text>
    </comment>
    <comment authorId="0" ref="E89">
      <text>
        <t xml:space="preserve">ワザに設定されている基礎ダメージ量。実際の試合で与えるダメージ量は、タイマン補正・OP補正・小ジャンプ補正などにより変化するので注意。</t>
      </text>
    </comment>
    <comment authorId="0" ref="F89">
      <text>
        <t xml:space="preserve">タイマンにおけるダメージは、基礎ダメージの1.2倍となる。
なお、OP相殺がかかっていない場合はさらに1.05倍。</t>
      </text>
    </comment>
    <comment authorId="0" ref="O89">
      <text>
        <t xml:space="preserve">ワザに設定されているシールド削り値。通常のダメージに加え、この値だけシールドのHPが減少する。</t>
      </text>
    </comment>
    <comment authorId="0" ref="P89">
      <text>
        <t xml:space="preserve">ワザに設定されているヒットストップ倍率。電撃属性のワザはこの値が設定されていなくとも1.5倍となる。</t>
      </text>
    </comment>
    <comment authorId="0" ref="Q89">
      <text>
        <t xml:space="preserve">ワザに設定されているヒットストップずらしによる移動距離倍率。</t>
      </text>
    </comment>
    <comment authorId="0" ref="R89">
      <text>
        <t xml:space="preserve">ワザが相殺するかどうか。</t>
      </text>
    </comment>
    <comment authorId="0" ref="S89">
      <text>
        <t xml:space="preserve">ワザが相殺したときに、相殺モーションに移行するかどうか。</t>
      </text>
    </comment>
    <comment authorId="0" ref="U89">
      <text>
        <t xml:space="preserve">いわゆる「地ダ(地上ダッシュ)」「空ダ(空中ダッシュ)」のこと。</t>
      </text>
    </comment>
    <comment authorId="0" ref="F93">
      <text>
        <t xml:space="preserve">タイマンにおけるダメージは、基礎ダメージの1.2倍となる。
なお、OP相殺がかかっていない場合はさらに1.05倍。</t>
      </text>
    </comment>
    <comment authorId="0" ref="F98">
      <text>
        <t xml:space="preserve">タイマンにおけるダメージは、基礎ダメージの1.2倍となる。
なお、OP相殺がかかっていない場合はさらに1.05倍。</t>
      </text>
    </comment>
    <comment authorId="0" ref="O98">
      <text>
        <t xml:space="preserve">ワザに設定されているシールド削り値。通常のダメージに加え、この値だけシールドのHPが減少する。</t>
      </text>
    </comment>
    <comment authorId="0" ref="P98">
      <text>
        <t xml:space="preserve">ワザに設定されているヒットストップ倍率。電撃属性のワザはこの値が設定されていなくとも1.5倍となる。</t>
      </text>
    </comment>
    <comment authorId="0" ref="Q98">
      <text>
        <t xml:space="preserve">ワザに設定されているヒットストップずらしによる移動距離倍率。</t>
      </text>
    </comment>
    <comment authorId="0" ref="E113">
      <text>
        <t xml:space="preserve">39 -&gt; 50 (11.0.0)</t>
      </text>
    </comment>
    <comment authorId="0" ref="G117">
      <text>
        <t xml:space="preserve">タイマンにおけるダメージは、基礎ダメージの1.2倍となる。
なお、OP相殺がかかっていない場合はさらに1.05倍。</t>
      </text>
    </comment>
  </commentList>
</comments>
</file>

<file path=xl/comments8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34">
      <text>
        <t xml:space="preserve">ワザに設定されている基礎ダメージ量。実際の試合で与えるダメージ量は、タイマン補正・OP補正・小ジャンプ補正などにより変化するので注意。</t>
      </text>
    </comment>
    <comment authorId="0" ref="F34">
      <text>
        <t xml:space="preserve">タイマンにおけるダメージは、基礎ダメージの1.2倍となる。
なお、OP相殺がかかっていない場合はさらに1.05倍。</t>
      </text>
    </comment>
    <comment authorId="0" ref="G34">
      <text>
        <t xml:space="preserve">未実装。計算式が判明次第、追加していく予定です。</t>
      </text>
    </comment>
    <comment authorId="0" ref="O34">
      <text>
        <t xml:space="preserve">ワザに設定されているシールド削り値。通常のダメージに加え、この値だけシールドのHPが減少する。</t>
      </text>
    </comment>
    <comment authorId="0" ref="P34">
      <text>
        <t xml:space="preserve">ワザに設定されているヒットストップ倍率。電撃属性のワザはこの値が設定されていなくとも1.5倍となる。</t>
      </text>
    </comment>
    <comment authorId="0" ref="Q34">
      <text>
        <t xml:space="preserve">ワザに設定されているヒットストップずらしによる移動距離倍率。</t>
      </text>
    </comment>
    <comment authorId="0" ref="U34">
      <text>
        <t xml:space="preserve">地上慣性が消えるフレーム。「-」はなし。</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U79">
      <text>
        <t xml:space="preserve">地上慣性が消えるフレーム。「-」はなし。</t>
      </text>
    </comment>
    <comment authorId="0" ref="E83">
      <text>
        <t xml:space="preserve">ワザに設定されている基礎ダメージ量。実際の試合で与えるダメージ量は、タイマン補正・OP補正・小ジャンプ補正などにより変化するので注意。</t>
      </text>
    </comment>
    <comment authorId="0" ref="F83">
      <text>
        <t xml:space="preserve">タイマンにおけるダメージは、基礎ダメージの1.2倍となる。
なお、OP相殺がかかっていない場合はさらに1.05倍。</t>
      </text>
    </comment>
    <comment authorId="0" ref="G83">
      <text>
        <t xml:space="preserve">小ジャンプで空中攻撃を出すと、与えるダメージ量が0.85倍になる。タイマン補正も含めると、1.2 * 0.85で1.02倍。</t>
      </text>
    </comment>
    <comment authorId="0" ref="J83">
      <text>
        <t xml:space="preserve">着地隙が発生しないフレーム区間のこと。※着地隙フラグFに変更予定</t>
      </text>
    </comment>
    <comment authorId="0" ref="O83">
      <text>
        <t xml:space="preserve">ワザに設定されているシールド削り値。通常のダメージに加え、この値だけシールドのHPが減少する。</t>
      </text>
    </comment>
    <comment authorId="0" ref="P83">
      <text>
        <t xml:space="preserve">ワザに設定されているヒットストップ倍率。電撃属性のワザはこの値が設定されていなくとも1.5倍となる。</t>
      </text>
    </comment>
    <comment authorId="0" ref="Q83">
      <text>
        <t xml:space="preserve">ワザに設定されているヒットストップずらしによる移動距離倍率。</t>
      </text>
    </comment>
    <comment authorId="0" ref="E126">
      <text>
        <t xml:space="preserve">ワザに設定されている基礎ダメージ量。実際の試合で与えるダメージ量は、タイマン補正・OP補正・小ジャンプ補正などにより変化するので注意。</t>
      </text>
    </comment>
    <comment authorId="0" ref="F126">
      <text>
        <t xml:space="preserve">タイマンにおけるダメージは、基礎ダメージの1.2倍となる。
なお、OP相殺がかかっていない場合はさらに1.05倍。</t>
      </text>
    </comment>
    <comment authorId="0" ref="O126">
      <text>
        <t xml:space="preserve">ワザに設定されているシールド削り値。通常のダメージに加え、この値だけシールドのHPが減少する。</t>
      </text>
    </comment>
    <comment authorId="0" ref="P126">
      <text>
        <t xml:space="preserve">ワザに設定されているヒットストップ倍率。電撃属性のワザはこの値が設定されていなくとも1.5倍となる。</t>
      </text>
    </comment>
    <comment authorId="0" ref="Q126">
      <text>
        <t xml:space="preserve">ワザに設定されているヒットストップずらしによる移動距離倍率。</t>
      </text>
    </comment>
    <comment authorId="0" ref="R126">
      <text>
        <t xml:space="preserve">ワザが相殺するかどうか。</t>
      </text>
    </comment>
    <comment authorId="0" ref="S126">
      <text>
        <t xml:space="preserve">ワザが相殺したときに、相殺モーションに移行するかどうか。</t>
      </text>
    </comment>
    <comment authorId="0" ref="U126">
      <text>
        <t xml:space="preserve">いわゆる「地ダ(地上ダッシュ)」「空ダ(空中ダッシュ)」のこと。</t>
      </text>
    </comment>
    <comment authorId="0" ref="E156">
      <text>
        <t xml:space="preserve">ワザに設定されている基礎ダメージ量。実際の試合で与えるダメージ量は、タイマン補正・OP補正・小ジャンプ補正などにより変化するので注意。</t>
      </text>
    </comment>
    <comment authorId="0" ref="F156">
      <text>
        <t xml:space="preserve">タイマンにおけるダメージは、基礎ダメージの1.2倍となる。
なお、OP相殺がかかっていない場合はさらに1.05倍。</t>
      </text>
    </comment>
    <comment authorId="0" ref="O156">
      <text>
        <t xml:space="preserve">ワザに設定されているシールド削り値。通常のダメージに加え、この値だけシールドのHPが減少する。</t>
      </text>
    </comment>
    <comment authorId="0" ref="P156">
      <text>
        <t xml:space="preserve">ワザに設定されているヒットストップ倍率。電撃属性のワザはこの値が設定されていなくとも1.5倍となる。</t>
      </text>
    </comment>
    <comment authorId="0" ref="Q156">
      <text>
        <t xml:space="preserve">ワザに設定されているヒットストップずらしによる移動距離倍率。</t>
      </text>
    </comment>
    <comment authorId="0" ref="R156">
      <text>
        <t xml:space="preserve">ワザが相殺するかどうか。</t>
      </text>
    </comment>
    <comment authorId="0" ref="S156">
      <text>
        <t xml:space="preserve">ワザが相殺したときに、相殺モーションに移行するかどうか。</t>
      </text>
    </comment>
    <comment authorId="0" ref="U156">
      <text>
        <t xml:space="preserve">いわゆる「地ダ(地上ダッシュ)」「空ダ(空中ダッシュ)」のこと。</t>
      </text>
    </comment>
    <comment authorId="0" ref="E163">
      <text>
        <t xml:space="preserve">ワザに設定されている基礎ダメージ量。実際の試合で与えるダメージ量は、タイマン補正・OP補正・小ジャンプ補正などにより変化するので注意。</t>
      </text>
    </comment>
    <comment authorId="0" ref="F163">
      <text>
        <t xml:space="preserve">タイマンにおけるダメージは、基礎ダメージの1.2倍となる。
なお、OP相殺がかかっていない場合はさらに1.05倍。</t>
      </text>
    </comment>
    <comment authorId="0" ref="O163">
      <text>
        <t xml:space="preserve">ワザに設定されているシールド削り値。通常のダメージに加え、この値だけシールドのHPが減少する。</t>
      </text>
    </comment>
    <comment authorId="0" ref="P163">
      <text>
        <t xml:space="preserve">ワザに設定されているヒットストップ倍率。電撃属性のワザはこの値が設定されていなくとも1.5倍となる。</t>
      </text>
    </comment>
    <comment authorId="0" ref="Q163">
      <text>
        <t xml:space="preserve">ワザに設定されているヒットストップずらしによる移動距離倍率。</t>
      </text>
    </comment>
    <comment authorId="0" ref="R163">
      <text>
        <t xml:space="preserve">ワザが相殺するかどうか。</t>
      </text>
    </comment>
    <comment authorId="0" ref="S163">
      <text>
        <t xml:space="preserve">ワザが相殺したときに、相殺モーションに移行するかどうか。</t>
      </text>
    </comment>
    <comment authorId="0" ref="U163">
      <text>
        <t xml:space="preserve">いわゆる「地ダ(地上ダッシュ)」「空ダ(空中ダッシュ)」のこと。</t>
      </text>
    </comment>
    <comment authorId="0" ref="E168">
      <text>
        <t xml:space="preserve">ワザに設定されている基礎ダメージ量。実際の試合で与えるダメージ量は、タイマン補正・OP補正・小ジャンプ補正などにより変化するので注意。</t>
      </text>
    </comment>
    <comment authorId="0" ref="F168">
      <text>
        <t xml:space="preserve">タイマンにおけるダメージは、基礎ダメージの1.2倍となる。
なお、OP相殺がかかっていない場合はさらに1.05倍。</t>
      </text>
    </comment>
    <comment authorId="0" ref="O168">
      <text>
        <t xml:space="preserve">ワザに設定されているシールド削り値。通常のダメージに加え、この値だけシールドのHPが減少する。</t>
      </text>
    </comment>
    <comment authorId="0" ref="P168">
      <text>
        <t xml:space="preserve">ワザに設定されているヒットストップ倍率。電撃属性のワザはこの値が設定されていなくとも1.5倍となる。</t>
      </text>
    </comment>
    <comment authorId="0" ref="Q168">
      <text>
        <t xml:space="preserve">ワザに設定されているヒットストップずらしによる移動距離倍率。</t>
      </text>
    </comment>
    <comment authorId="0" ref="R168">
      <text>
        <t xml:space="preserve">ワザが相殺するかどうか。</t>
      </text>
    </comment>
    <comment authorId="0" ref="S168">
      <text>
        <t xml:space="preserve">ワザが相殺したときに、相殺モーションに移行するかどうか。</t>
      </text>
    </comment>
    <comment authorId="0" ref="U168">
      <text>
        <t xml:space="preserve">いわゆる「地ダ(地上ダッシュ)」「空ダ(空中ダッシュ)」のこと。</t>
      </text>
    </comment>
    <comment authorId="0" ref="F177">
      <text>
        <t xml:space="preserve">タイマンにおけるダメージは、基礎ダメージの1.2倍となる。
なお、OP相殺がかかっていない場合はさらに1.05倍。</t>
      </text>
    </comment>
    <comment authorId="0" ref="F182">
      <text>
        <t xml:space="preserve">タイマンにおけるダメージは、基礎ダメージの1.2倍となる。
なお、OP相殺がかかっていない場合はさらに1.05倍。</t>
      </text>
    </comment>
    <comment authorId="0" ref="O182">
      <text>
        <t xml:space="preserve">ワザに設定されているシールド削り値。通常のダメージに加え、この値だけシールドのHPが減少する。</t>
      </text>
    </comment>
    <comment authorId="0" ref="P182">
      <text>
        <t xml:space="preserve">ワザに設定されているヒットストップ倍率。電撃属性のワザはこの値が設定されていなくとも1.5倍となる。</t>
      </text>
    </comment>
    <comment authorId="0" ref="Q182">
      <text>
        <t xml:space="preserve">ワザに設定されているヒットストップずらしによる移動距離倍率。</t>
      </text>
    </comment>
    <comment authorId="0" ref="G201">
      <text>
        <t xml:space="preserve">タイマンにおけるダメージは、基礎ダメージの1.2倍となる。
なお、OP相殺がかかっていない場合はさらに1.05倍。</t>
      </text>
    </comment>
  </commentList>
</comments>
</file>

<file path=xl/comments8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C33">
      <text>
        <t xml:space="preserve">急降下速度は変化なし。</t>
      </text>
    </comment>
    <comment authorId="0" ref="E37">
      <text>
        <t xml:space="preserve">ワザに設定されている基礎ダメージ量。実際の試合で与えるダメージ量は、タイマン補正・OP補正・小ジャンプ補正などにより変化するので注意。</t>
      </text>
    </comment>
    <comment authorId="0" ref="F37">
      <text>
        <t xml:space="preserve">タイマンにおけるダメージは、基礎ダメージの1.2倍となる。
なお、OP相殺がかかっていない場合はさらに1.05倍。</t>
      </text>
    </comment>
    <comment authorId="0" ref="O37">
      <text>
        <t xml:space="preserve">ワザに設定されているシールド削り値。通常のダメージに加え、この値だけシールドのHPが減少する。</t>
      </text>
    </comment>
    <comment authorId="0" ref="P37">
      <text>
        <t xml:space="preserve">ワザに設定されているヒットストップ倍率。電撃属性のワザはこの値が設定されていなくとも1.5倍となる。</t>
      </text>
    </comment>
    <comment authorId="0" ref="Q37">
      <text>
        <t xml:space="preserve">ワザに設定されているヒットストップずらしによる移動距離倍率。</t>
      </text>
    </comment>
    <comment authorId="0" ref="U37">
      <text>
        <t xml:space="preserve">地上慣性が消えるフレーム。「-」はなし。</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G56">
      <text>
        <t xml:space="preserve">小ジャンプで空中攻撃を出すと、与えるダメージ量が0.85倍になる。タイマン補正も含めると、1.2 * 0.85で1.02倍。</t>
      </text>
    </comment>
    <comment authorId="0" ref="J56">
      <text>
        <t xml:space="preserve">着地隙が発生しないフレーム区間のこと。※着地隙フラグFに変更予定</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E71">
      <text>
        <t xml:space="preserve">ワザに設定されている基礎ダメージ量。実際の試合で与えるダメージ量は、タイマン補正・OP補正・小ジャンプ補正などにより変化するので注意。</t>
      </text>
    </comment>
    <comment authorId="0" ref="F71">
      <text>
        <t xml:space="preserve">タイマンにおけるダメージは、基礎ダメージの1.2倍となる。
なお、OP相殺がかかっていない場合はさらに1.05倍。</t>
      </text>
    </comment>
    <comment authorId="0" ref="O71">
      <text>
        <t xml:space="preserve">ワザに設定されているシールド削り値。通常のダメージに加え、この値だけシールドのHPが減少する。</t>
      </text>
    </comment>
    <comment authorId="0" ref="P71">
      <text>
        <t xml:space="preserve">ワザに設定されているヒットストップ倍率。電撃属性のワザはこの値が設定されていなくとも1.5倍となる。</t>
      </text>
    </comment>
    <comment authorId="0" ref="Q71">
      <text>
        <t xml:space="preserve">ワザに設定されているヒットストップずらしによる移動距離倍率。</t>
      </text>
    </comment>
    <comment authorId="0" ref="R71">
      <text>
        <t xml:space="preserve">ワザが相殺するかどうか。</t>
      </text>
    </comment>
    <comment authorId="0" ref="S71">
      <text>
        <t xml:space="preserve">ワザが相殺したときに、相殺モーションに移行するかどうか。</t>
      </text>
    </comment>
    <comment authorId="0" ref="U71">
      <text>
        <t xml:space="preserve">いわゆる「地ダ(地上ダッシュ)」「空ダ(空中ダッシュ)」のこと。</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E86">
      <text>
        <t xml:space="preserve">ワザに設定されている基礎ダメージ量。実際の試合で与えるダメージ量は、タイマン補正・OP補正・小ジャンプ補正などにより変化するので注意。</t>
      </text>
    </comment>
    <comment authorId="0" ref="F86">
      <text>
        <t xml:space="preserve">タイマンにおけるダメージは、基礎ダメージの1.2倍となる。
なお、OP相殺がかかっていない場合はさらに1.05倍。</t>
      </text>
    </comment>
    <comment authorId="0" ref="O86">
      <text>
        <t xml:space="preserve">ワザに設定されているシールド削り値。通常のダメージに加え、この値だけシールドのHPが減少する。</t>
      </text>
    </comment>
    <comment authorId="0" ref="P86">
      <text>
        <t xml:space="preserve">ワザに設定されているヒットストップ倍率。電撃属性のワザはこの値が設定されていなくとも1.5倍となる。</t>
      </text>
    </comment>
    <comment authorId="0" ref="Q86">
      <text>
        <t xml:space="preserve">ワザに設定されているヒットストップずらしによる移動距離倍率。</t>
      </text>
    </comment>
    <comment authorId="0" ref="R86">
      <text>
        <t xml:space="preserve">ワザが相殺するかどうか。</t>
      </text>
    </comment>
    <comment authorId="0" ref="S86">
      <text>
        <t xml:space="preserve">ワザが相殺したときに、相殺モーションに移行するかどうか。</t>
      </text>
    </comment>
    <comment authorId="0" ref="U86">
      <text>
        <t xml:space="preserve">いわゆる「地ダ(地上ダッシュ)」「空ダ(空中ダッシュ)」のこと。</t>
      </text>
    </comment>
    <comment authorId="0" ref="E91">
      <text>
        <t xml:space="preserve">ワザに設定されている基礎ダメージ量。実際の試合で与えるダメージ量は、タイマン補正・OP補正・小ジャンプ補正などにより変化するので注意。</t>
      </text>
    </comment>
    <comment authorId="0" ref="F91">
      <text>
        <t xml:space="preserve">タイマンにおけるダメージは、基礎ダメージの1.2倍となる。
なお、OP相殺がかかっていない場合はさらに1.05倍。</t>
      </text>
    </comment>
    <comment authorId="0" ref="O91">
      <text>
        <t xml:space="preserve">ワザに設定されているシールド削り値。通常のダメージに加え、この値だけシールドのHPが減少する。</t>
      </text>
    </comment>
    <comment authorId="0" ref="P91">
      <text>
        <t xml:space="preserve">ワザに設定されているヒットストップ倍率。電撃属性のワザはこの値が設定されていなくとも1.5倍となる。</t>
      </text>
    </comment>
    <comment authorId="0" ref="Q91">
      <text>
        <t xml:space="preserve">ワザに設定されているヒットストップずらしによる移動距離倍率。</t>
      </text>
    </comment>
    <comment authorId="0" ref="R91">
      <text>
        <t xml:space="preserve">ワザが相殺するかどうか。</t>
      </text>
    </comment>
    <comment authorId="0" ref="S91">
      <text>
        <t xml:space="preserve">ワザが相殺したときに、相殺モーションに移行するかどうか。</t>
      </text>
    </comment>
    <comment authorId="0" ref="U91">
      <text>
        <t xml:space="preserve">いわゆる「地ダ(地上ダッシュ)」「空ダ(空中ダッシュ)」のこと。</t>
      </text>
    </comment>
    <comment authorId="0" ref="F100">
      <text>
        <t xml:space="preserve">タイマンにおけるダメージは、基礎ダメージの1.2倍となる。
なお、OP相殺がかかっていない場合はさらに1.05倍。</t>
      </text>
    </comment>
    <comment authorId="0" ref="F105">
      <text>
        <t xml:space="preserve">タイマンにおけるダメージは、基礎ダメージの1.2倍となる。
なお、OP相殺がかかっていない場合はさらに1.05倍。</t>
      </text>
    </comment>
    <comment authorId="0" ref="O105">
      <text>
        <t xml:space="preserve">ワザに設定されているシールド削り値。通常のダメージに加え、この値だけシールドのHPが減少する。</t>
      </text>
    </comment>
    <comment authorId="0" ref="P105">
      <text>
        <t xml:space="preserve">ワザに設定されているヒットストップ倍率。電撃属性のワザはこの値が設定されていなくとも1.5倍となる。</t>
      </text>
    </comment>
    <comment authorId="0" ref="Q105">
      <text>
        <t xml:space="preserve">ワザに設定されているヒットストップずらしによる移動距離倍率。</t>
      </text>
    </comment>
    <comment authorId="0" ref="G124">
      <text>
        <t xml:space="preserve">タイマンにおけるダメージは、基礎ダメージの1.2倍となる。
なお、OP相殺がかかっていない場合はさらに1.05倍。</t>
      </text>
    </comment>
  </commentList>
</comments>
</file>

<file path=xl/comments86.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着地隙が発生しないフレーム区間のこと。※着地隙フラグFに変更予定</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R56">
      <text>
        <t xml:space="preserve">ワザが相殺するかどうか。</t>
      </text>
    </comment>
    <comment authorId="0" ref="S56">
      <text>
        <t xml:space="preserve">ワザが相殺したときに、相殺モーションに移行するかどうか。</t>
      </text>
    </comment>
    <comment authorId="0" ref="U56">
      <text>
        <t xml:space="preserve">いわゆる「地ダ(地上ダッシュ)」「空ダ(空中ダッシュ)」のこと。</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D77">
      <text>
        <t xml:space="preserve">地上：52 -&gt; 55 (13.0.1)
空中：47 -&gt; 50 (13.0.1)</t>
      </text>
    </comment>
    <comment authorId="0" ref="D85">
      <text>
        <t xml:space="preserve">地上：52 -&gt; 55 (13.0.1)
空中：47 -&gt; 50 (13.0.1)</t>
      </text>
    </comment>
    <comment authorId="0" ref="E93">
      <text>
        <t xml:space="preserve">ワザに設定されている基礎ダメージ量。実際の試合で与えるダメージ量は、タイマン補正・OP補正・小ジャンプ補正などにより変化するので注意。</t>
      </text>
    </comment>
    <comment authorId="0" ref="F93">
      <text>
        <t xml:space="preserve">タイマンにおけるダメージは、基礎ダメージの1.2倍となる。
なお、OP相殺がかかっていない場合はさらに1.05倍。</t>
      </text>
    </comment>
    <comment authorId="0" ref="O93">
      <text>
        <t xml:space="preserve">ワザに設定されているシールド削り値。通常のダメージに加え、この値だけシールドのHPが減少する。</t>
      </text>
    </comment>
    <comment authorId="0" ref="P93">
      <text>
        <t xml:space="preserve">ワザに設定されているヒットストップ倍率。電撃属性のワザはこの値が設定されていなくとも1.5倍となる。</t>
      </text>
    </comment>
    <comment authorId="0" ref="Q93">
      <text>
        <t xml:space="preserve">ワザに設定されているヒットストップずらしによる移動距離倍率。</t>
      </text>
    </comment>
    <comment authorId="0" ref="R93">
      <text>
        <t xml:space="preserve">ワザが相殺するかどうか。</t>
      </text>
    </comment>
    <comment authorId="0" ref="S93">
      <text>
        <t xml:space="preserve">ワザが相殺したときに、相殺モーションに移行するかどうか。</t>
      </text>
    </comment>
    <comment authorId="0" ref="U93">
      <text>
        <t xml:space="preserve">いわゆる「地ダ(地上ダッシュ)」「空ダ(空中ダッシュ)」のこと。</t>
      </text>
    </comment>
    <comment authorId="0" ref="E99">
      <text>
        <t xml:space="preserve">ワザに設定されている基礎ダメージ量。実際の試合で与えるダメージ量は、タイマン補正・OP補正・小ジャンプ補正などにより変化するので注意。</t>
      </text>
    </comment>
    <comment authorId="0" ref="F99">
      <text>
        <t xml:space="preserve">タイマンにおけるダメージは、基礎ダメージの1.2倍となる。
なお、OP相殺がかかっていない場合はさらに1.05倍。</t>
      </text>
    </comment>
    <comment authorId="0" ref="O99">
      <text>
        <t xml:space="preserve">ワザに設定されているシールド削り値。通常のダメージに加え、この値だけシールドのHPが減少する。</t>
      </text>
    </comment>
    <comment authorId="0" ref="P99">
      <text>
        <t xml:space="preserve">ワザに設定されているヒットストップ倍率。電撃属性のワザはこの値が設定されていなくとも1.5倍となる。</t>
      </text>
    </comment>
    <comment authorId="0" ref="Q99">
      <text>
        <t xml:space="preserve">ワザに設定されているヒットストップずらしによる移動距離倍率。</t>
      </text>
    </comment>
    <comment authorId="0" ref="R99">
      <text>
        <t xml:space="preserve">ワザが相殺するかどうか。</t>
      </text>
    </comment>
    <comment authorId="0" ref="S99">
      <text>
        <t xml:space="preserve">ワザが相殺したときに、相殺モーションに移行するかどうか。</t>
      </text>
    </comment>
    <comment authorId="0" ref="U99">
      <text>
        <t xml:space="preserve">いわゆる「地ダ(地上ダッシュ)」「空ダ(空中ダッシュ)」のこと。</t>
      </text>
    </comment>
    <comment authorId="0" ref="F103">
      <text>
        <t xml:space="preserve">タイマンにおけるダメージは、基礎ダメージの1.2倍となる。
なお、OP相殺がかかっていない場合はさらに1.05倍。</t>
      </text>
    </comment>
    <comment authorId="0" ref="F108">
      <text>
        <t xml:space="preserve">タイマンにおけるダメージは、基礎ダメージの1.2倍となる。
なお、OP相殺がかかっていない場合はさらに1.05倍。</t>
      </text>
    </comment>
    <comment authorId="0" ref="O108">
      <text>
        <t xml:space="preserve">ワザに設定されているシールド削り値。通常のダメージに加え、この値だけシールドのHPが減少する。</t>
      </text>
    </comment>
    <comment authorId="0" ref="P108">
      <text>
        <t xml:space="preserve">ワザに設定されているヒットストップ倍率。電撃属性のワザはこの値が設定されていなくとも1.5倍となる。</t>
      </text>
    </comment>
    <comment authorId="0" ref="Q108">
      <text>
        <t xml:space="preserve">ワザに設定されているヒットストップずらしによる移動距離倍率。</t>
      </text>
    </comment>
    <comment authorId="0" ref="G127">
      <text>
        <t xml:space="preserve">タイマンにおけるダメージは、基礎ダメージの1.2倍となる。
なお、OP相殺がかかっていない場合はさらに1.05倍。</t>
      </text>
    </comment>
  </commentList>
</comments>
</file>

<file path=xl/comments8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4">
      <text>
        <t xml:space="preserve">ワザに設定されている基礎ダメージ量。実際の試合で与えるダメージ量は、タイマン補正・OP補正・小ジャンプ補正などにより変化するので注意。</t>
      </text>
    </comment>
    <comment authorId="0" ref="F44">
      <text>
        <t xml:space="preserve">タイマンにおけるダメージは、基礎ダメージの1.2倍となる。
なお、OP相殺がかかっていない場合はさらに1.05倍。</t>
      </text>
    </comment>
    <comment authorId="0" ref="G44">
      <text>
        <t xml:space="preserve">小ジャンプで空中攻撃を出すと、与えるダメージ量が0.85倍になる。タイマン補正も含めると、1.2 * 0.85で1.02倍。</t>
      </text>
    </comment>
    <comment authorId="0" ref="J44">
      <text>
        <t xml:space="preserve">着地隙が発生しないフレーム区間のこと。※着地隙フラグFに変更予定</t>
      </text>
    </comment>
    <comment authorId="0" ref="O44">
      <text>
        <t xml:space="preserve">ワザに設定されているシールド削り値。通常のダメージに加え、この値だけシールドのHPが減少する。</t>
      </text>
    </comment>
    <comment authorId="0" ref="P44">
      <text>
        <t xml:space="preserve">ワザに設定されているヒットストップ倍率。電撃属性のワザはこの値が設定されていなくとも1.5倍となる。</t>
      </text>
    </comment>
    <comment authorId="0" ref="Q44">
      <text>
        <t xml:space="preserve">ワザに設定されているヒットストップずらしによる移動距離倍率。</t>
      </text>
    </comment>
    <comment authorId="0" ref="E57">
      <text>
        <t xml:space="preserve">ワザに設定されている基礎ダメージ量。実際の試合で与えるダメージ量は、タイマン補正・OP補正・小ジャンプ補正などにより変化するので注意。</t>
      </text>
    </comment>
    <comment authorId="0" ref="F57">
      <text>
        <t xml:space="preserve">タイマンにおけるダメージは、基礎ダメージの1.2倍となる。
なお、OP相殺がかかっていない場合はさらに1.05倍。</t>
      </text>
    </comment>
    <comment authorId="0" ref="O57">
      <text>
        <t xml:space="preserve">ワザに設定されているシールド削り値。通常のダメージに加え、この値だけシールドのHPが減少する。</t>
      </text>
    </comment>
    <comment authorId="0" ref="P57">
      <text>
        <t xml:space="preserve">ワザに設定されているヒットストップ倍率。電撃属性のワザはこの値が設定されていなくとも1.5倍となる。</t>
      </text>
    </comment>
    <comment authorId="0" ref="Q57">
      <text>
        <t xml:space="preserve">ワザに設定されているヒットストップずらしによる移動距離倍率。</t>
      </text>
    </comment>
    <comment authorId="0" ref="R57">
      <text>
        <t xml:space="preserve">ワザが相殺するかどうか。</t>
      </text>
    </comment>
    <comment authorId="0" ref="S57">
      <text>
        <t xml:space="preserve">ワザが相殺したときに、相殺モーションに移行するかどうか。</t>
      </text>
    </comment>
    <comment authorId="0" ref="U57">
      <text>
        <t xml:space="preserve">いわゆる「地ダ(地上ダッシュ)」「空ダ(空中ダッシュ)」のこと。</t>
      </text>
    </comment>
    <comment authorId="0" ref="E70">
      <text>
        <t xml:space="preserve">ワザに設定されている基礎ダメージ量。実際の試合で与えるダメージ量は、タイマン補正・OP補正・小ジャンプ補正などにより変化するので注意。</t>
      </text>
    </comment>
    <comment authorId="0" ref="F70">
      <text>
        <t xml:space="preserve">タイマンにおけるダメージは、基礎ダメージの1.2倍となる。
なお、OP相殺がかかっていない場合はさらに1.05倍。</t>
      </text>
    </comment>
    <comment authorId="0" ref="O70">
      <text>
        <t xml:space="preserve">ワザに設定されているシールド削り値。通常のダメージに加え、この値だけシールドのHPが減少する。</t>
      </text>
    </comment>
    <comment authorId="0" ref="P70">
      <text>
        <t xml:space="preserve">ワザに設定されているヒットストップ倍率。電撃属性のワザはこの値が設定されていなくとも1.5倍となる。</t>
      </text>
    </comment>
    <comment authorId="0" ref="Q70">
      <text>
        <t xml:space="preserve">ワザに設定されているヒットストップずらしによる移動距離倍率。</t>
      </text>
    </comment>
    <comment authorId="0" ref="R70">
      <text>
        <t xml:space="preserve">ワザが相殺するかどうか。</t>
      </text>
    </comment>
    <comment authorId="0" ref="S70">
      <text>
        <t xml:space="preserve">ワザが相殺したときに、相殺モーションに移行するかどうか。</t>
      </text>
    </comment>
    <comment authorId="0" ref="U70">
      <text>
        <t xml:space="preserve">いわゆる「地ダ(地上ダッシュ)」「空ダ(空中ダッシュ)」のこと。</t>
      </text>
    </comment>
    <comment authorId="0" ref="E74">
      <text>
        <t xml:space="preserve">ワザに設定されている基礎ダメージ量。実際の試合で与えるダメージ量は、タイマン補正・OP補正・小ジャンプ補正などにより変化するので注意。</t>
      </text>
    </comment>
    <comment authorId="0" ref="F74">
      <text>
        <t xml:space="preserve">タイマンにおけるダメージは、基礎ダメージの1.2倍となる。
なお、OP相殺がかかっていない場合はさらに1.05倍。</t>
      </text>
    </comment>
    <comment authorId="0" ref="O74">
      <text>
        <t xml:space="preserve">ワザに設定されているシールド削り値。通常のダメージに加え、この値だけシールドのHPが減少する。</t>
      </text>
    </comment>
    <comment authorId="0" ref="P74">
      <text>
        <t xml:space="preserve">ワザに設定されているヒットストップ倍率。電撃属性のワザはこの値が設定されていなくとも1.5倍となる。</t>
      </text>
    </comment>
    <comment authorId="0" ref="Q74">
      <text>
        <t xml:space="preserve">ワザに設定されているヒットストップずらしによる移動距離倍率。</t>
      </text>
    </comment>
    <comment authorId="0" ref="R74">
      <text>
        <t xml:space="preserve">ワザが相殺するかどうか。</t>
      </text>
    </comment>
    <comment authorId="0" ref="S74">
      <text>
        <t xml:space="preserve">ワザが相殺したときに、相殺モーションに移行するかどうか。</t>
      </text>
    </comment>
    <comment authorId="0" ref="U74">
      <text>
        <t xml:space="preserve">いわゆる「地ダ(地上ダッシュ)」「空ダ(空中ダッシュ)」のこと。</t>
      </text>
    </comment>
    <comment authorId="0" ref="E79">
      <text>
        <t xml:space="preserve">ワザに設定されている基礎ダメージ量。実際の試合で与えるダメージ量は、タイマン補正・OP補正・小ジャンプ補正などにより変化するので注意。</t>
      </text>
    </comment>
    <comment authorId="0" ref="F79">
      <text>
        <t xml:space="preserve">タイマンにおけるダメージは、基礎ダメージの1.2倍となる。
なお、OP相殺がかかっていない場合はさらに1.05倍。</t>
      </text>
    </comment>
    <comment authorId="0" ref="O79">
      <text>
        <t xml:space="preserve">ワザに設定されているシールド削り値。通常のダメージに加え、この値だけシールドのHPが減少する。</t>
      </text>
    </comment>
    <comment authorId="0" ref="P79">
      <text>
        <t xml:space="preserve">ワザに設定されているヒットストップ倍率。電撃属性のワザはこの値が設定されていなくとも1.5倍となる。</t>
      </text>
    </comment>
    <comment authorId="0" ref="Q79">
      <text>
        <t xml:space="preserve">ワザに設定されているヒットストップずらしによる移動距離倍率。</t>
      </text>
    </comment>
    <comment authorId="0" ref="R79">
      <text>
        <t xml:space="preserve">ワザが相殺するかどうか。</t>
      </text>
    </comment>
    <comment authorId="0" ref="S79">
      <text>
        <t xml:space="preserve">ワザが相殺したときに、相殺モーションに移行するかどうか。</t>
      </text>
    </comment>
    <comment authorId="0" ref="U79">
      <text>
        <t xml:space="preserve">いわゆる「地ダ(地上ダッシュ)」「空ダ(空中ダッシュ)」のこと。</t>
      </text>
    </comment>
    <comment authorId="0" ref="F83">
      <text>
        <t xml:space="preserve">タイマンにおけるダメージは、基礎ダメージの1.2倍となる。
なお、OP相殺がかかっていない場合はさらに1.05倍。</t>
      </text>
    </comment>
    <comment authorId="0" ref="F88">
      <text>
        <t xml:space="preserve">タイマンにおけるダメージは、基礎ダメージの1.2倍となる。
なお、OP相殺がかかっていない場合はさらに1.05倍。</t>
      </text>
    </comment>
    <comment authorId="0" ref="O88">
      <text>
        <t xml:space="preserve">ワザに設定されているシールド削り値。通常のダメージに加え、この値だけシールドのHPが減少する。</t>
      </text>
    </comment>
    <comment authorId="0" ref="P88">
      <text>
        <t xml:space="preserve">ワザに設定されているヒットストップ倍率。電撃属性のワザはこの値が設定されていなくとも1.5倍となる。</t>
      </text>
    </comment>
    <comment authorId="0" ref="Q88">
      <text>
        <t xml:space="preserve">ワザに設定されているヒットストップずらしによる移動距離倍率。</t>
      </text>
    </comment>
    <comment authorId="0" ref="C104">
      <text>
        <t xml:space="preserve">6-24 -&gt; 6-21 (12.0.0)</t>
      </text>
    </comment>
    <comment authorId="0" ref="G107">
      <text>
        <t xml:space="preserve">タイマンにおけるダメージは、基礎ダメージの1.2倍となる。
なお、OP相殺がかかっていない場合はさらに1.05倍。</t>
      </text>
    </comment>
  </commentList>
</comments>
</file>

<file path=xl/comments88.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A40">
      <text>
        <t xml:space="preserve">attackstand1</t>
      </text>
    </comment>
    <comment authorId="0" ref="E41">
      <text>
        <t xml:space="preserve">ワザに設定されている基礎ダメージ量。実際の試合で与えるダメージ量は、タイマン補正・OP補正・小ジャンプ補正などにより変化するので注意。</t>
      </text>
    </comment>
    <comment authorId="0" ref="F41">
      <text>
        <t xml:space="preserve">タイマンにおけるダメージは、基礎ダメージの1.2倍となる。
なお、OP相殺がかかっていない場合はさらに1.05倍。</t>
      </text>
    </comment>
    <comment authorId="0" ref="O41">
      <text>
        <t xml:space="preserve">ワザに設定されているシールド削り値。通常のダメージに加え、この値だけシールドのHPが減少する。</t>
      </text>
    </comment>
    <comment authorId="0" ref="P41">
      <text>
        <t xml:space="preserve">ワザに設定されているヒットストップ倍率。電撃属性のワザはこの値が設定されていなくとも1.5倍となる。</t>
      </text>
    </comment>
    <comment authorId="0" ref="Q41">
      <text>
        <t xml:space="preserve">ワザに設定されているヒットストップずらしによる移動距離倍率。</t>
      </text>
    </comment>
    <comment authorId="0" ref="U41">
      <text>
        <t xml:space="preserve">地上慣性が消えるフレーム。「-」はなし。</t>
      </text>
    </comment>
    <comment authorId="0" ref="A44">
      <text>
        <t xml:space="preserve">attackstand21
attackstand22
attackstand23
attackstand24</t>
      </text>
    </comment>
    <comment authorId="0" ref="A49">
      <text>
        <t xml:space="preserve">attackstand31
attackstand32</t>
      </text>
    </comment>
    <comment authorId="0" ref="A52">
      <text>
        <t xml:space="preserve">attackstand4</t>
      </text>
    </comment>
    <comment authorId="0" ref="A53">
      <text>
        <t xml:space="preserve">attackstand5</t>
      </text>
    </comment>
    <comment authorId="0" ref="A54">
      <text>
        <t xml:space="preserve">attackstand6</t>
      </text>
    </comment>
    <comment authorId="0" ref="E55">
      <text>
        <t xml:space="preserve">ワザに設定されている基礎ダメージ量。実際の試合で与えるダメージ量は、タイマン補正・OP補正・小ジャンプ補正などにより変化するので注意。</t>
      </text>
    </comment>
    <comment authorId="0" ref="F55">
      <text>
        <t xml:space="preserve">タイマンにおけるダメージは、基礎ダメージの1.2倍となる。
なお、OP相殺がかかっていない場合はさらに1.05倍。</t>
      </text>
    </comment>
    <comment authorId="0" ref="O55">
      <text>
        <t xml:space="preserve">ワザに設定されているシールド削り値。通常のダメージに加え、この値だけシールドのHPが減少する。</t>
      </text>
    </comment>
    <comment authorId="0" ref="P55">
      <text>
        <t xml:space="preserve">ワザに設定されているヒットストップ倍率。電撃属性のワザはこの値が設定されていなくとも1.5倍となる。</t>
      </text>
    </comment>
    <comment authorId="0" ref="Q55">
      <text>
        <t xml:space="preserve">ワザに設定されているヒットストップずらしによる移動距離倍率。</t>
      </text>
    </comment>
    <comment authorId="0" ref="U55">
      <text>
        <t xml:space="preserve">地上慣性が消えるフレーム。「-」はなし。</t>
      </text>
    </comment>
    <comment authorId="0" ref="E60">
      <text>
        <t xml:space="preserve">ワザに設定されている基礎ダメージ量。実際の試合で与えるダメージ量は、タイマン補正・OP補正・小ジャンプ補正などにより変化するので注意。</t>
      </text>
    </comment>
    <comment authorId="0" ref="F60">
      <text>
        <t xml:space="preserve">タイマンにおけるダメージは、基礎ダメージの1.2倍となる。
なお、OP相殺がかかっていない場合はさらに1.05倍。</t>
      </text>
    </comment>
    <comment authorId="0" ref="O60">
      <text>
        <t xml:space="preserve">ワザに設定されているシールド削り値。通常のダメージに加え、この値だけシールドのHPが減少する。</t>
      </text>
    </comment>
    <comment authorId="0" ref="P60">
      <text>
        <t xml:space="preserve">ワザに設定されているヒットストップ倍率。電撃属性のワザはこの値が設定されていなくとも1.5倍となる。</t>
      </text>
    </comment>
    <comment authorId="0" ref="Q60">
      <text>
        <t xml:space="preserve">ワザに設定されているヒットストップずらしによる移動距離倍率。</t>
      </text>
    </comment>
    <comment authorId="0" ref="U60">
      <text>
        <t xml:space="preserve">地上慣性が消えるフレーム。「-」はなし。</t>
      </text>
    </comment>
    <comment authorId="0" ref="E67">
      <text>
        <t xml:space="preserve">ワザに設定されている基礎ダメージ量。実際の試合で与えるダメージ量は、タイマン補正・OP補正・小ジャンプ補正などにより変化するので注意。</t>
      </text>
    </comment>
    <comment authorId="0" ref="F67">
      <text>
        <t xml:space="preserve">タイマンにおけるダメージは、基礎ダメージの1.2倍となる。
なお、OP相殺がかかっていない場合はさらに1.05倍。</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U67">
      <text>
        <t xml:space="preserve">地上慣性が消えるフレーム。「-」はなし。</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G85">
      <text>
        <t xml:space="preserve">小ジャンプで空中攻撃を出すと、与えるダメージ量が0.85倍になる。タイマン補正も含めると、1.2 * 0.85で1.02倍。</t>
      </text>
    </comment>
    <comment authorId="0" ref="J85">
      <text>
        <t xml:space="preserve">着地隙が発生しないフレーム区間のこと。※着地隙フラグFに変更予定</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E99">
      <text>
        <t xml:space="preserve">ワザに設定されている基礎ダメージ量。実際の試合で与えるダメージ量は、タイマン補正・OP補正・小ジャンプ補正などにより変化するので注意。</t>
      </text>
    </comment>
    <comment authorId="0" ref="F99">
      <text>
        <t xml:space="preserve">タイマンにおけるダメージは、基礎ダメージの1.2倍となる。
なお、OP相殺がかかっていない場合はさらに1.05倍。</t>
      </text>
    </comment>
    <comment authorId="0" ref="O99">
      <text>
        <t xml:space="preserve">ワザに設定されているシールド削り値。通常のダメージに加え、この値だけシールドのHPが減少する。</t>
      </text>
    </comment>
    <comment authorId="0" ref="P99">
      <text>
        <t xml:space="preserve">ワザに設定されているヒットストップ倍率。電撃属性のワザはこの値が設定されていなくとも1.5倍となる。</t>
      </text>
    </comment>
    <comment authorId="0" ref="Q99">
      <text>
        <t xml:space="preserve">ワザに設定されているヒットストップずらしによる移動距離倍率。</t>
      </text>
    </comment>
    <comment authorId="0" ref="R99">
      <text>
        <t xml:space="preserve">ワザが相殺するかどうか。</t>
      </text>
    </comment>
    <comment authorId="0" ref="S99">
      <text>
        <t xml:space="preserve">ワザが相殺したときに、相殺モーションに移行するかどうか。</t>
      </text>
    </comment>
    <comment authorId="0" ref="U99">
      <text>
        <t xml:space="preserve">いわゆる「地ダ(地上ダッシュ)」「空ダ(空中ダッシュ)」のこと。</t>
      </text>
    </comment>
    <comment authorId="0" ref="E106">
      <text>
        <t xml:space="preserve">ワザに設定されている基礎ダメージ量。実際の試合で与えるダメージ量は、タイマン補正・OP補正・小ジャンプ補正などにより変化するので注意。</t>
      </text>
    </comment>
    <comment authorId="0" ref="F106">
      <text>
        <t xml:space="preserve">タイマンにおけるダメージは、基礎ダメージの1.2倍となる。
なお、OP相殺がかかっていない場合はさらに1.05倍。</t>
      </text>
    </comment>
    <comment authorId="0" ref="O106">
      <text>
        <t xml:space="preserve">ワザに設定されているシールド削り値。通常のダメージに加え、この値だけシールドのHPが減少する。</t>
      </text>
    </comment>
    <comment authorId="0" ref="P106">
      <text>
        <t xml:space="preserve">ワザに設定されているヒットストップ倍率。電撃属性のワザはこの値が設定されていなくとも1.5倍となる。</t>
      </text>
    </comment>
    <comment authorId="0" ref="Q106">
      <text>
        <t xml:space="preserve">ワザに設定されているヒットストップずらしによる移動距離倍率。</t>
      </text>
    </comment>
    <comment authorId="0" ref="R106">
      <text>
        <t xml:space="preserve">ワザが相殺するかどうか。</t>
      </text>
    </comment>
    <comment authorId="0" ref="S106">
      <text>
        <t xml:space="preserve">ワザが相殺したときに、相殺モーションに移行するかどうか。</t>
      </text>
    </comment>
    <comment authorId="0" ref="U106">
      <text>
        <t xml:space="preserve">いわゆる「地ダ(地上ダッシュ)」「空ダ(空中ダッシュ)」のこと。</t>
      </text>
    </comment>
    <comment authorId="0" ref="E109">
      <text>
        <t xml:space="preserve">ワザに設定されている基礎ダメージ量。実際の試合で与えるダメージ量は、タイマン補正・OP補正・小ジャンプ補正などにより変化するので注意。</t>
      </text>
    </comment>
    <comment authorId="0" ref="F109">
      <text>
        <t xml:space="preserve">タイマンにおけるダメージは、基礎ダメージの1.2倍となる。
なお、OP相殺がかかっていない場合はさらに1.05倍。</t>
      </text>
    </comment>
    <comment authorId="0" ref="O109">
      <text>
        <t xml:space="preserve">ワザに設定されているシールド削り値。通常のダメージに加え、この値だけシールドのHPが減少する。</t>
      </text>
    </comment>
    <comment authorId="0" ref="P109">
      <text>
        <t xml:space="preserve">ワザに設定されているヒットストップ倍率。電撃属性のワザはこの値が設定されていなくとも1.5倍となる。</t>
      </text>
    </comment>
    <comment authorId="0" ref="Q109">
      <text>
        <t xml:space="preserve">ワザに設定されているヒットストップずらしによる移動距離倍率。</t>
      </text>
    </comment>
    <comment authorId="0" ref="R109">
      <text>
        <t xml:space="preserve">ワザが相殺するかどうか。</t>
      </text>
    </comment>
    <comment authorId="0" ref="S109">
      <text>
        <t xml:space="preserve">ワザが相殺したときに、相殺モーションに移行するかどうか。</t>
      </text>
    </comment>
    <comment authorId="0" ref="U109">
      <text>
        <t xml:space="preserve">いわゆる「地ダ(地上ダッシュ)」「空ダ(空中ダッシュ)」のこと。</t>
      </text>
    </comment>
    <comment authorId="0" ref="E115">
      <text>
        <t xml:space="preserve">ワザに設定されている基礎ダメージ量。実際の試合で与えるダメージ量は、タイマン補正・OP補正・小ジャンプ補正などにより変化するので注意。</t>
      </text>
    </comment>
    <comment authorId="0" ref="F115">
      <text>
        <t xml:space="preserve">タイマンにおけるダメージは、基礎ダメージの1.2倍となる。
なお、OP相殺がかかっていない場合はさらに1.05倍。</t>
      </text>
    </comment>
    <comment authorId="0" ref="O115">
      <text>
        <t xml:space="preserve">ワザに設定されているシールド削り値。通常のダメージに加え、この値だけシールドのHPが減少する。</t>
      </text>
    </comment>
    <comment authorId="0" ref="P115">
      <text>
        <t xml:space="preserve">ワザに設定されているヒットストップ倍率。電撃属性のワザはこの値が設定されていなくとも1.5倍となる。</t>
      </text>
    </comment>
    <comment authorId="0" ref="Q115">
      <text>
        <t xml:space="preserve">ワザに設定されているヒットストップずらしによる移動距離倍率。</t>
      </text>
    </comment>
    <comment authorId="0" ref="R115">
      <text>
        <t xml:space="preserve">ワザが相殺するかどうか。</t>
      </text>
    </comment>
    <comment authorId="0" ref="S115">
      <text>
        <t xml:space="preserve">ワザが相殺したときに、相殺モーションに移行するかどうか。</t>
      </text>
    </comment>
    <comment authorId="0" ref="U115">
      <text>
        <t xml:space="preserve">いわゆる「地ダ(地上ダッシュ)」「空ダ(空中ダッシュ)」のこと。</t>
      </text>
    </comment>
    <comment authorId="0" ref="E123">
      <text>
        <t xml:space="preserve">ワザに設定されている基礎ダメージ量。実際の試合で与えるダメージ量は、タイマン補正・OP補正・小ジャンプ補正などにより変化するので注意。</t>
      </text>
    </comment>
    <comment authorId="0" ref="F123">
      <text>
        <t xml:space="preserve">タイマンにおけるダメージは、基礎ダメージの1.2倍となる。
なお、OP相殺がかかっていない場合はさらに1.05倍。</t>
      </text>
    </comment>
    <comment authorId="0" ref="O123">
      <text>
        <t xml:space="preserve">ワザに設定されているシールド削り値。通常のダメージに加え、この値だけシールドのHPが減少する。</t>
      </text>
    </comment>
    <comment authorId="0" ref="P123">
      <text>
        <t xml:space="preserve">ワザに設定されているヒットストップ倍率。電撃属性のワザはこの値が設定されていなくとも1.5倍となる。</t>
      </text>
    </comment>
    <comment authorId="0" ref="Q123">
      <text>
        <t xml:space="preserve">ワザに設定されているヒットストップずらしによる移動距離倍率。</t>
      </text>
    </comment>
    <comment authorId="0" ref="R123">
      <text>
        <t xml:space="preserve">ワザが相殺するかどうか。</t>
      </text>
    </comment>
    <comment authorId="0" ref="S123">
      <text>
        <t xml:space="preserve">ワザが相殺したときに、相殺モーションに移行するかどうか。</t>
      </text>
    </comment>
    <comment authorId="0" ref="U123">
      <text>
        <t xml:space="preserve">いわゆる「地ダ(地上ダッシュ)」「空ダ(空中ダッシュ)」のこと。</t>
      </text>
    </comment>
    <comment authorId="0" ref="F134">
      <text>
        <t xml:space="preserve">タイマンにおけるダメージは、基礎ダメージの1.2倍となる。
なお、OP相殺がかかっていない場合はさらに1.05倍。</t>
      </text>
    </comment>
    <comment authorId="0" ref="F139">
      <text>
        <t xml:space="preserve">タイマンにおけるダメージは、基礎ダメージの1.2倍となる。
なお、OP相殺がかかっていない場合はさらに1.05倍。</t>
      </text>
    </comment>
    <comment authorId="0" ref="O139">
      <text>
        <t xml:space="preserve">ワザに設定されているシールド削り値。通常のダメージに加え、この値だけシールドのHPが減少する。</t>
      </text>
    </comment>
    <comment authorId="0" ref="P139">
      <text>
        <t xml:space="preserve">ワザに設定されているヒットストップ倍率。電撃属性のワザはこの値が設定されていなくとも1.5倍となる。</t>
      </text>
    </comment>
    <comment authorId="0" ref="Q139">
      <text>
        <t xml:space="preserve">ワザに設定されているヒットストップずらしによる移動距離倍率。</t>
      </text>
    </comment>
    <comment authorId="0" ref="G163">
      <text>
        <t xml:space="preserve">タイマンにおけるダメージは、基礎ダメージの1.2倍となる。
なお、OP相殺がかかっていない場合はさらに1.05倍。</t>
      </text>
    </comment>
  </commentList>
</comments>
</file>

<file path=xl/comments89.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49">
      <text>
        <t xml:space="preserve">ワザに設定されている基礎ダメージ量。実際の試合で与えるダメージ量は、タイマン補正・OP補正・小ジャンプ補正などにより変化するので注意。</t>
      </text>
    </comment>
    <comment authorId="0" ref="F49">
      <text>
        <t xml:space="preserve">タイマンにおけるダメージは、基礎ダメージの1.2倍となる。
なお、OP相殺がかかっていない場合はさらに1.05倍。</t>
      </text>
    </comment>
    <comment authorId="0" ref="G49">
      <text>
        <t xml:space="preserve">小ジャンプで空中攻撃を出すと、与えるダメージ量が0.85倍になる。タイマン補正も含めると、1.2 * 0.85で1.02倍。</t>
      </text>
    </comment>
    <comment authorId="0" ref="J49">
      <text>
        <t xml:space="preserve">着地隙が発生しないフレーム区間のこと。※着地隙フラグFに変更予定</t>
      </text>
    </comment>
    <comment authorId="0" ref="O49">
      <text>
        <t xml:space="preserve">ワザに設定されているシールド削り値。通常のダメージに加え、この値だけシールドのHPが減少する。</t>
      </text>
    </comment>
    <comment authorId="0" ref="P49">
      <text>
        <t xml:space="preserve">ワザに設定されているヒットストップ倍率。電撃属性のワザはこの値が設定されていなくとも1.5倍となる。</t>
      </text>
    </comment>
    <comment authorId="0" ref="Q49">
      <text>
        <t xml:space="preserve">ワザに設定されているヒットストップずらしによる移動距離倍率。</t>
      </text>
    </comment>
    <comment authorId="0" ref="E62">
      <text>
        <t xml:space="preserve">ワザに設定されている基礎ダメージ量。実際の試合で与えるダメージ量は、タイマン補正・OP補正・小ジャンプ補正などにより変化するので注意。</t>
      </text>
    </comment>
    <comment authorId="0" ref="F62">
      <text>
        <t xml:space="preserve">タイマンにおけるダメージは、基礎ダメージの1.2倍となる。
なお、OP相殺がかかっていない場合はさらに1.05倍。</t>
      </text>
    </comment>
    <comment authorId="0" ref="O62">
      <text>
        <t xml:space="preserve">ワザに設定されているシールド削り値。通常のダメージに加え、この値だけシールドのHPが減少する。</t>
      </text>
    </comment>
    <comment authorId="0" ref="P62">
      <text>
        <t xml:space="preserve">ワザに設定されているヒットストップ倍率。電撃属性のワザはこの値が設定されていなくとも1.5倍となる。</t>
      </text>
    </comment>
    <comment authorId="0" ref="Q62">
      <text>
        <t xml:space="preserve">ワザに設定されているヒットストップずらしによる移動距離倍率。</t>
      </text>
    </comment>
    <comment authorId="0" ref="R62">
      <text>
        <t xml:space="preserve">ワザが相殺するかどうか。</t>
      </text>
    </comment>
    <comment authorId="0" ref="S62">
      <text>
        <t xml:space="preserve">ワザが相殺したときに、相殺モーションに移行するかどうか。</t>
      </text>
    </comment>
    <comment authorId="0" ref="U62">
      <text>
        <t xml:space="preserve">いわゆる「地ダ(地上ダッシュ)」「空ダ(空中ダッシュ)」のこと。</t>
      </text>
    </comment>
    <comment authorId="0" ref="O67">
      <text>
        <t xml:space="preserve">ワザに設定されているシールド削り値。通常のダメージに加え、この値だけシールドのHPが減少する。</t>
      </text>
    </comment>
    <comment authorId="0" ref="P67">
      <text>
        <t xml:space="preserve">ワザに設定されているヒットストップ倍率。電撃属性のワザはこの値が設定されていなくとも1.5倍となる。</t>
      </text>
    </comment>
    <comment authorId="0" ref="Q67">
      <text>
        <t xml:space="preserve">ワザに設定されているヒットストップずらしによる移動距離倍率。</t>
      </text>
    </comment>
    <comment authorId="0" ref="R67">
      <text>
        <t xml:space="preserve">ワザが相殺するかどうか。</t>
      </text>
    </comment>
    <comment authorId="0" ref="S67">
      <text>
        <t xml:space="preserve">ワザが相殺したときに、相殺モーションに移行するかどうか。</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O73">
      <text>
        <t xml:space="preserve">ワザに設定されているシールド削り値。通常のダメージに加え、この値だけシールドのHPが減少する。</t>
      </text>
    </comment>
    <comment authorId="0" ref="P73">
      <text>
        <t xml:space="preserve">ワザに設定されているヒットストップ倍率。電撃属性のワザはこの値が設定されていなくとも1.5倍となる。</t>
      </text>
    </comment>
    <comment authorId="0" ref="Q73">
      <text>
        <t xml:space="preserve">ワザに設定されているヒットストップずらしによる移動距離倍率。</t>
      </text>
    </comment>
    <comment authorId="0" ref="R73">
      <text>
        <t xml:space="preserve">ワザが相殺するかどうか。</t>
      </text>
    </comment>
    <comment authorId="0" ref="S73">
      <text>
        <t xml:space="preserve">ワザが相殺したときに、相殺モーションに移行するかどうか。</t>
      </text>
    </comment>
    <comment authorId="0" ref="E76">
      <text>
        <t xml:space="preserve">ワザに設定されている基礎ダメージ量。実際の試合で与えるダメージ量は、タイマン補正・OP補正・小ジャンプ補正などにより変化するので注意。</t>
      </text>
    </comment>
    <comment authorId="0" ref="F76">
      <text>
        <t xml:space="preserve">タイマンにおけるダメージは、基礎ダメージの1.2倍となる。
なお、OP相殺がかかっていない場合はさらに1.05倍。</t>
      </text>
    </comment>
    <comment authorId="0" ref="O76">
      <text>
        <t xml:space="preserve">ワザに設定されているシールド削り値。通常のダメージに加え、この値だけシールドのHPが減少する。</t>
      </text>
    </comment>
    <comment authorId="0" ref="P76">
      <text>
        <t xml:space="preserve">ワザに設定されているヒットストップ倍率。電撃属性のワザはこの値が設定されていなくとも1.5倍となる。</t>
      </text>
    </comment>
    <comment authorId="0" ref="Q76">
      <text>
        <t xml:space="preserve">ワザに設定されているヒットストップずらしによる移動距離倍率。</t>
      </text>
    </comment>
    <comment authorId="0" ref="R76">
      <text>
        <t xml:space="preserve">ワザが相殺するかどうか。</t>
      </text>
    </comment>
    <comment authorId="0" ref="S76">
      <text>
        <t xml:space="preserve">ワザが相殺したときに、相殺モーションに移行するかどうか。</t>
      </text>
    </comment>
    <comment authorId="0" ref="U76">
      <text>
        <t xml:space="preserve">いわゆる「地ダ(地上ダッシュ)」「空ダ(空中ダッシュ)」のこと。</t>
      </text>
    </comment>
    <comment authorId="0" ref="O81">
      <text>
        <t xml:space="preserve">ワザに設定されているシールド削り値。通常のダメージに加え、この値だけシールドのHPが減少する。</t>
      </text>
    </comment>
    <comment authorId="0" ref="P81">
      <text>
        <t xml:space="preserve">ワザに設定されているヒットストップ倍率。電撃属性のワザはこの値が設定されていなくとも1.5倍となる。</t>
      </text>
    </comment>
    <comment authorId="0" ref="Q81">
      <text>
        <t xml:space="preserve">ワザに設定されているヒットストップずらしによる移動距離倍率。</t>
      </text>
    </comment>
    <comment authorId="0" ref="R81">
      <text>
        <t xml:space="preserve">ワザが相殺するかどうか。</t>
      </text>
    </comment>
    <comment authorId="0" ref="S81">
      <text>
        <t xml:space="preserve">ワザが相殺したときに、相殺モーションに移行するかどうか。</t>
      </text>
    </comment>
    <comment authorId="0" ref="E84">
      <text>
        <t xml:space="preserve">ワザに設定されている基礎ダメージ量。実際の試合で与えるダメージ量は、タイマン補正・OP補正・小ジャンプ補正などにより変化するので注意。</t>
      </text>
    </comment>
    <comment authorId="0" ref="F84">
      <text>
        <t xml:space="preserve">タイマンにおけるダメージは、基礎ダメージの1.2倍となる。
なお、OP相殺がかかっていない場合はさらに1.05倍。</t>
      </text>
    </comment>
    <comment authorId="0" ref="O84">
      <text>
        <t xml:space="preserve">ワザに設定されているシールド削り値。通常のダメージに加え、この値だけシールドのHPが減少する。</t>
      </text>
    </comment>
    <comment authorId="0" ref="P84">
      <text>
        <t xml:space="preserve">ワザに設定されているヒットストップ倍率。電撃属性のワザはこの値が設定されていなくとも1.5倍となる。</t>
      </text>
    </comment>
    <comment authorId="0" ref="Q84">
      <text>
        <t xml:space="preserve">ワザに設定されているヒットストップずらしによる移動距離倍率。</t>
      </text>
    </comment>
    <comment authorId="0" ref="R84">
      <text>
        <t xml:space="preserve">ワザが相殺するかどうか。</t>
      </text>
    </comment>
    <comment authorId="0" ref="S84">
      <text>
        <t xml:space="preserve">ワザが相殺したときに、相殺モーションに移行するかどうか。</t>
      </text>
    </comment>
    <comment authorId="0" ref="U84">
      <text>
        <t xml:space="preserve">いわゆる「地ダ(地上ダッシュ)」「空ダ(空中ダッシュ)」のこと。</t>
      </text>
    </comment>
    <comment authorId="0" ref="F90">
      <text>
        <t xml:space="preserve">タイマンにおけるダメージは、基礎ダメージの1.2倍となる。
なお、OP相殺がかかっていない場合はさらに1.05倍。</t>
      </text>
    </comment>
    <comment authorId="0" ref="F95">
      <text>
        <t xml:space="preserve">タイマンにおけるダメージは、基礎ダメージの1.2倍となる。
なお、OP相殺がかかっていない場合はさらに1.05倍。</t>
      </text>
    </comment>
    <comment authorId="0" ref="O95">
      <text>
        <t xml:space="preserve">ワザに設定されているシールド削り値。通常のダメージに加え、この値だけシールドのHPが減少する。</t>
      </text>
    </comment>
    <comment authorId="0" ref="P95">
      <text>
        <t xml:space="preserve">ワザに設定されているヒットストップ倍率。電撃属性のワザはこの値が設定されていなくとも1.5倍となる。</t>
      </text>
    </comment>
    <comment authorId="0" ref="Q95">
      <text>
        <t xml:space="preserve">ワザに設定されているヒットストップずらしによる移動距離倍率。</t>
      </text>
    </comment>
    <comment authorId="0" ref="G114">
      <text>
        <t xml:space="preserve">タイマンにおけるダメージは、基礎ダメージの1.2倍となる。
なお、OP相殺がかかっていない場合はさらに1.05倍。</t>
      </text>
    </comment>
  </commentList>
</comments>
</file>

<file path=xl/comments90.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8">
      <text>
        <t xml:space="preserve">77 -&gt; 79 (3.0.0)</t>
      </text>
    </comment>
    <comment authorId="0" ref="O57">
      <text>
        <t xml:space="preserve">28 -&gt; 29 (3.1.0)
29 -&gt; 28 (4.0.0)</t>
      </text>
    </comment>
    <comment authorId="0" ref="P57">
      <text>
        <t xml:space="preserve">41 -&gt; 43 (3.1.0)
43 -&gt; 41 (4.0.0)</t>
      </text>
    </comment>
    <comment authorId="0" ref="Q57">
      <text>
        <t xml:space="preserve">20 -&gt; 21 (3.1.0)
21 -&gt; 20 (4.0.0)</t>
      </text>
    </comment>
    <comment authorId="0" ref="R57">
      <text>
        <t xml:space="preserve">30 -&gt; 31 (3.1.0)
31 -&gt; 30 (4.0.0)</t>
      </text>
    </comment>
  </commentList>
</comments>
</file>

<file path=xl/comments91.xml><?xml version="1.0" encoding="utf-8"?>
<comments xmlns:r="http://schemas.openxmlformats.org/officeDocument/2006/relationships" xmlns="http://schemas.openxmlformats.org/spreadsheetml/2006/main" xmlns:xr="http://schemas.microsoft.com/office/spreadsheetml/2014/revision">
  <authors>
    <author/>
  </authors>
  <commentList>
    <comment authorId="0" ref="Q58">
      <text>
        <t xml:space="preserve">40 -&gt; 44 (3.1.0)
44 -&gt; 40 (4.0.0)</t>
      </text>
    </comment>
    <comment authorId="0" ref="U58">
      <text>
        <t xml:space="preserve">真横：70 -&gt; 75 (3.1.0)
真上：86 -&gt; 91 (3.1.0)
真下：58 -&gt; 64 (3.1.0)
真横：75 -&gt; 70 (4.0.0)
真上：91 -&gt; 86 (4.0.0)
真下：64 -&gt; 58 (4.0.0)</t>
      </text>
    </comment>
    <comment authorId="0" ref="Q85">
      <text>
        <t xml:space="preserve">39 -&gt; 50 (11.0.0)</t>
      </text>
    </comment>
    <comment authorId="0" ref="S89">
      <text>
        <t xml:space="preserve">6-24 -&gt; 6-21 (12.0.0)</t>
      </text>
    </comment>
  </commentList>
</comments>
</file>

<file path=xl/comments9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9">
      <text>
        <t xml:space="preserve">1-23 -&gt; 1-27 (3.0.0)</t>
      </text>
    </comment>
    <comment authorId="0" ref="Q41">
      <text>
        <t xml:space="preserve">39 -&gt; 40 (8.0.0)</t>
      </text>
    </comment>
    <comment authorId="0" ref="S41">
      <text>
        <t xml:space="preserve">39 -&gt; 40 (8.0.0)</t>
      </text>
    </comment>
    <comment authorId="0" ref="Q53">
      <text>
        <t xml:space="preserve">39 -&gt; 40 (8.0.0)</t>
      </text>
    </comment>
    <comment authorId="0" ref="S53">
      <text>
        <t xml:space="preserve">39 -&gt; 40 (8.0.0)</t>
      </text>
    </comment>
    <comment authorId="0" ref="S56">
      <text>
        <t xml:space="preserve">39 -&gt; 40 (8.0.0)</t>
      </text>
    </comment>
    <comment authorId="0" ref="O62">
      <text>
        <t xml:space="preserve">25 -&gt; 26 (8.0.0)</t>
      </text>
    </comment>
    <comment authorId="0" ref="Q62">
      <text>
        <t xml:space="preserve">39 -&gt; 40 (8.0.0)</t>
      </text>
    </comment>
    <comment authorId="0" ref="S62">
      <text>
        <t xml:space="preserve">39 -&gt; 40 (8.0.0)</t>
      </text>
    </comment>
    <comment authorId="0" ref="O66">
      <text>
        <t xml:space="preserve">25 -&gt; 26 (8.0.0)</t>
      </text>
    </comment>
    <comment authorId="0" ref="Q66">
      <text>
        <t xml:space="preserve">39 -&gt; 40 (8.0.0)</t>
      </text>
    </comment>
    <comment authorId="0" ref="S66">
      <text>
        <t xml:space="preserve">39 -&gt; 40 (8.0.0)</t>
      </text>
    </comment>
  </commentList>
</comments>
</file>

<file path=xl/comments93.xml><?xml version="1.0" encoding="utf-8"?>
<comments xmlns:r="http://schemas.openxmlformats.org/officeDocument/2006/relationships" xmlns="http://schemas.openxmlformats.org/spreadsheetml/2006/main" xmlns:xr="http://schemas.microsoft.com/office/spreadsheetml/2014/revision">
  <authors>
    <author/>
  </authors>
  <commentList>
    <comment authorId="0" ref="N34">
      <text>
        <t xml:space="preserve">46 -&gt; 49 (8.0.0)</t>
      </text>
    </comment>
    <comment authorId="0" ref="N35">
      <text>
        <t xml:space="preserve">46 -&gt; 49 (8.0.0)</t>
      </text>
    </comment>
    <comment authorId="0" ref="N56">
      <text>
        <t xml:space="preserve">48 -&gt; 49 (8.0.0)</t>
      </text>
    </comment>
  </commentList>
</comments>
</file>

<file path=xl/comments9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小ジャンプでファイターが達する高さ。</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空中ジャンプでファイターが達する高さ。多段ジャンプのファイターは空中ジャンプの回数毎に高さが異なる場合が多い。</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U25">
      <text>
        <t xml:space="preserve">地上慣性が消えるフレーム。「-」はなし。</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G56">
      <text>
        <t xml:space="preserve">小ジャンプで空中攻撃を出すと、与えるダメージ量が0.85倍になる。タイマン補正も含めると、1.2 * 0.85で1.02倍。</t>
      </text>
    </comment>
    <comment authorId="0" ref="J56">
      <text>
        <t xml:space="preserve">着地隙が発生しないフレーム区間のこと。※着地隙フラグFに変更予定</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R85">
      <text>
        <t xml:space="preserve">ワザが相殺するかどうか。</t>
      </text>
    </comment>
    <comment authorId="0" ref="S85">
      <text>
        <t xml:space="preserve">ワザが相殺したときに、相殺モーションに移行するかどうか。</t>
      </text>
    </comment>
    <comment authorId="0" ref="U85">
      <text>
        <t xml:space="preserve">いわゆる「地ダ(地上ダッシュ)」「空ダ(空中ダッシュ)」のこと。</t>
      </text>
    </comment>
    <comment authorId="0" ref="F92">
      <text>
        <t xml:space="preserve">タイマンにおけるダメージは、基礎ダメージの1.2倍となる。
なお、OP相殺がかかっていない場合はさらに1.05倍。</t>
      </text>
    </comment>
    <comment authorId="0" ref="C97">
      <text>
        <t xml:space="preserve">重量依存有りの場合、体重100の敵に対しての持続フレームを記載。</t>
      </text>
    </comment>
    <comment authorId="0" ref="D97">
      <text>
        <t xml:space="preserve">重量依存有りの場合、体重100の敵に対しての全体フレームを記載。</t>
      </text>
    </comment>
    <comment authorId="0" ref="F97">
      <text>
        <t xml:space="preserve">タイマンにおけるダメージは、基礎ダメージの1.2倍となる。
なお、OP相殺がかかっていない場合はさらに1.05倍。</t>
      </text>
    </comment>
    <comment authorId="0" ref="O97">
      <text>
        <t xml:space="preserve">ワザに設定されているシールド削り値。通常のダメージに加え、この値だけシールドのHPが減少する。</t>
      </text>
    </comment>
    <comment authorId="0" ref="P97">
      <text>
        <t xml:space="preserve">ワザに設定されているヒットストップ倍率。電撃属性のワザはこの値が設定されていなくとも1.5倍となる。</t>
      </text>
    </comment>
    <comment authorId="0" ref="Q97">
      <text>
        <t xml:space="preserve">ワザに設定されているヒットストップずらしによる移動距離倍率。</t>
      </text>
    </comment>
    <comment authorId="0" ref="G116">
      <text>
        <t xml:space="preserve">タイマンにおけるダメージは、基礎ダメージの1.2倍となる。
なお、OP相殺がかかっていない場合はさらに1.05倍。</t>
      </text>
    </comment>
  </commentList>
</comments>
</file>

<file path=xl/comments95.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7">
      <text>
        <t xml:space="preserve">地上ジャンプに要するフレーム数。この間にジャンプボタンを離すと小ジャンプになる。
なお、空中ジャンプは1F。</t>
      </text>
    </comment>
    <comment authorId="0" ref="E17">
      <text>
        <t xml:space="preserve">ファイターの体重。値が大きいほどふっとばされづらくなる。</t>
      </text>
    </comment>
    <comment authorId="0" ref="G17">
      <text>
        <t xml:space="preserve">平坦な地面で小ジャンプを行った際に滞空できるフレーム数。
ジャンプ踏切フレームは含めない。</t>
      </text>
    </comment>
    <comment authorId="0" ref="K17">
      <text>
        <t xml:space="preserve">ダッシュ（ステップの出始め）時におけるファイターの移動速度。
走行速度とは値が異なる場合も。</t>
      </text>
    </comment>
    <comment authorId="0" ref="M17">
      <text>
        <t xml:space="preserve">小ジャンプでファイターが達する高さ。</t>
      </text>
    </comment>
    <comment authorId="0" ref="C18">
      <text>
        <t xml:space="preserve">地上すれすれで急降下した場合のファイターの着地隙。
基本的には大着地となることが多い。</t>
      </text>
    </comment>
    <comment authorId="0" ref="E18">
      <text>
        <t xml:space="preserve">ファイターが達することのできる最大の歩行速度。</t>
      </text>
    </comment>
    <comment authorId="0" ref="G18">
      <text>
        <t xml:space="preserve">平坦な地面で大ジャンプを行った際に滞空できるフレーム数。
ジャンプ踏切フレームは含めない。</t>
      </text>
    </comment>
    <comment authorId="0" ref="K18">
      <text>
        <t xml:space="preserve">スティックを最大限倒した際における、1F毎の走行速度の増加量。
ダッシュ初速が走行速度よりも大きい場合はほぼ関係しない。</t>
      </text>
    </comment>
    <comment authorId="0" ref="M18">
      <text>
        <t xml:space="preserve">大ジャンプでファイターが達する高さ。</t>
      </text>
    </comment>
    <comment authorId="0" ref="C19">
      <text>
        <t xml:space="preserve">小着地にならなかった場合のファイターの着地隙。
基本的には大着地となることが多い。</t>
      </text>
    </comment>
    <comment authorId="0" ref="E19">
      <text>
        <t xml:space="preserve">ファイターが達することのできる最大の走行速度。
ダッシュ（ステップの出始め）時の速度とは異なる場合も。</t>
      </text>
    </comment>
    <comment authorId="0" ref="G19">
      <text>
        <t xml:space="preserve">平坦な地面で小ジャンプを行い、かつ最速で急降下を入力した際に滞空できるフレーム数。
ジャンプ踏切フレームは含めない。</t>
      </text>
    </comment>
    <comment authorId="0" ref="K19">
      <text>
        <t xml:space="preserve">ファイターが地上でスティックがニュートラルのとき、1F毎に移動速度がこの値だけ減少する。
ガードノックバック量などに影響する。</t>
      </text>
    </comment>
    <comment authorId="0" ref="M19">
      <text>
        <t xml:space="preserve">空中ジャンプでファイターが達する高さ。多段ジャンプのファイターは空中ジャンプの回数毎に高さが異なる場合が多い。</t>
      </text>
    </comment>
    <comment authorId="0" ref="C20">
      <text>
        <t xml:space="preserve">このフレームが終了した1F後からシールドを展開することが可能になる。
走行移行フレーム - 1と同じ。</t>
      </text>
    </comment>
    <comment authorId="0" ref="E20">
      <text>
        <t xml:space="preserve">ファイターが達することのできる最大の空中横移動速度。</t>
      </text>
    </comment>
    <comment authorId="0" ref="G20">
      <text>
        <t xml:space="preserve">平坦な地面で大ジャンプを行い、かつ最速で急降下を入力した際に滞空できるフレーム数。
ジャンプ踏切フレームは含めない。</t>
      </text>
    </comment>
    <comment authorId="0" ref="K20">
      <text>
        <t xml:space="preserve">スティックを最大限倒した際における、1F毎の空中速度の増加量。</t>
      </text>
    </comment>
    <comment authorId="0" ref="M20">
      <text>
        <t xml:space="preserve">崖ジャンプでファイターが達する高さ。</t>
      </text>
    </comment>
    <comment authorId="0" ref="C21">
      <text>
        <t xml:space="preserve">ステップ入力をしてから、弱攻撃などの行動を行うまでに必要なフレーム数。</t>
      </text>
    </comment>
    <comment authorId="0" ref="E21">
      <text>
        <t xml:space="preserve">急降下入力をしなかった場合に
ファイターが達することのできる最大の落下速度。
落下速度が大きいほど上方向への撃墜耐性も高くなる。</t>
      </text>
    </comment>
    <comment authorId="0" ref="K21">
      <text>
        <t xml:space="preserve">ファイターが空中でスティックがニュートラルのとき、1F毎に空中速度がこの値だけ減少する。</t>
      </text>
    </comment>
    <comment authorId="0" ref="E22">
      <text>
        <t xml:space="preserve">急降下入力が行われた場合のファイターの落下速度。入力1F目からこの速度になる。
なお、急降下中に空中攻撃を入力すると値は「落下速度」に変更される。</t>
      </text>
    </comment>
    <comment authorId="0" ref="K22">
      <text>
        <t xml:space="preserve">ファイターが空中にいるとき、1F毎に落下速度がこの値だけ増加する。
この値が高いと上方向への撃墜耐性がわずかに高くなるが、横方向への撃墜耐性はわずかに低くなる場合が多い。</t>
      </text>
    </comment>
    <comment authorId="0" ref="E25">
      <text>
        <t xml:space="preserve">ワザに設定されている基礎ダメージ量。実際の試合で与えるダメージ量は、タイマン補正・OP補正・小ジャンプ補正などにより変化するので注意。</t>
      </text>
    </comment>
    <comment authorId="0" ref="F25">
      <text>
        <t xml:space="preserve">タイマンにおけるダメージは、基礎ダメージの1.2倍となる。
なお、OP相殺がかかっていない場合はさらに1.05倍。</t>
      </text>
    </comment>
    <comment authorId="0" ref="G25">
      <text>
        <t xml:space="preserve">未実装。計算式が判明次第、追加していく予定です。</t>
      </text>
    </comment>
    <comment authorId="0" ref="O25">
      <text>
        <t xml:space="preserve">ワザに設定されているシールド削り値。通常のダメージに加え、この値だけシールドのHPが減少する。</t>
      </text>
    </comment>
    <comment authorId="0" ref="P25">
      <text>
        <t xml:space="preserve">ワザに設定されているヒットストップ倍率。電撃属性のワザはこの値が設定されていなくとも1.5倍となる。</t>
      </text>
    </comment>
    <comment authorId="0" ref="Q25">
      <text>
        <t xml:space="preserve">ワザに設定されているヒットストップずらしによる移動距離倍率。</t>
      </text>
    </comment>
    <comment authorId="0" ref="E56">
      <text>
        <t xml:space="preserve">ワザに設定されている基礎ダメージ量。実際の試合で与えるダメージ量は、タイマン補正・OP補正・小ジャンプ補正などにより変化するので注意。</t>
      </text>
    </comment>
    <comment authorId="0" ref="F56">
      <text>
        <t xml:space="preserve">タイマンにおけるダメージは、基礎ダメージの1.2倍となる。
なお、OP相殺がかかっていない場合はさらに1.05倍。</t>
      </text>
    </comment>
    <comment authorId="0" ref="G56">
      <text>
        <t xml:space="preserve">小ジャンプで空中攻撃を出すと、与えるダメージ量が0.85倍になる。タイマン補正も含めると、1.2 * 0.85で1.02倍。</t>
      </text>
    </comment>
    <comment authorId="0" ref="J56">
      <text>
        <t xml:space="preserve">着地隙が発生しないフレーム区間のこと。</t>
      </text>
    </comment>
    <comment authorId="0" ref="O56">
      <text>
        <t xml:space="preserve">ワザに設定されているシールド削り値。通常のダメージに加え、この値だけシールドのHPが減少する。</t>
      </text>
    </comment>
    <comment authorId="0" ref="P56">
      <text>
        <t xml:space="preserve">ワザに設定されているヒットストップ倍率。電撃属性のワザはこの値が設定されていなくとも1.5倍となる。</t>
      </text>
    </comment>
    <comment authorId="0" ref="Q56">
      <text>
        <t xml:space="preserve">ワザに設定されているヒットストップずらしによる移動距離倍率。</t>
      </text>
    </comment>
    <comment authorId="0" ref="E72">
      <text>
        <t xml:space="preserve">ワザに設定されている基礎ダメージ量。実際の試合で与えるダメージ量は、タイマン補正・OP補正・小ジャンプ補正などにより変化するので注意。</t>
      </text>
    </comment>
    <comment authorId="0" ref="F72">
      <text>
        <t xml:space="preserve">タイマンにおけるダメージは、基礎ダメージの1.2倍となる。
なお、OP相殺がかかっていない場合はさらに1.05倍。</t>
      </text>
    </comment>
    <comment authorId="0" ref="O72">
      <text>
        <t xml:space="preserve">ワザに設定されているシールド削り値。通常のダメージに加え、この値だけシールドのHPが減少する。</t>
      </text>
    </comment>
    <comment authorId="0" ref="P72">
      <text>
        <t xml:space="preserve">ワザに設定されているヒットストップ倍率。電撃属性のワザはこの値が設定されていなくとも1.5倍となる。</t>
      </text>
    </comment>
    <comment authorId="0" ref="Q72">
      <text>
        <t xml:space="preserve">ワザに設定されているヒットストップずらしによる移動距離倍率。</t>
      </text>
    </comment>
    <comment authorId="0" ref="R72">
      <text>
        <t xml:space="preserve">ワザが相殺するかどうか。</t>
      </text>
    </comment>
    <comment authorId="0" ref="S72">
      <text>
        <t xml:space="preserve">ワザが相殺したときに、相殺モーションに移行するかどうか。</t>
      </text>
    </comment>
    <comment authorId="0" ref="U72">
      <text>
        <t xml:space="preserve">いわゆる「地ダ(地上ダッシュ)」「空ダ(空中ダッシュ)」のこと。</t>
      </text>
    </comment>
    <comment authorId="0" ref="E75">
      <text>
        <t xml:space="preserve">ワザに設定されている基礎ダメージ量。実際の試合で与えるダメージ量は、タイマン補正・OP補正・小ジャンプ補正などにより変化するので注意。</t>
      </text>
    </comment>
    <comment authorId="0" ref="F75">
      <text>
        <t xml:space="preserve">タイマンにおけるダメージは、基礎ダメージの1.2倍となる。
なお、OP相殺がかかっていない場合はさらに1.05倍。</t>
      </text>
    </comment>
    <comment authorId="0" ref="O75">
      <text>
        <t xml:space="preserve">ワザに設定されているシールド削り値。通常のダメージに加え、この値だけシールドのHPが減少する。</t>
      </text>
    </comment>
    <comment authorId="0" ref="P75">
      <text>
        <t xml:space="preserve">ワザに設定されているヒットストップ倍率。電撃属性のワザはこの値が設定されていなくとも1.5倍となる。</t>
      </text>
    </comment>
    <comment authorId="0" ref="Q75">
      <text>
        <t xml:space="preserve">ワザに設定されているヒットストップずらしによる移動距離倍率。</t>
      </text>
    </comment>
    <comment authorId="0" ref="R75">
      <text>
        <t xml:space="preserve">ワザが相殺するかどうか。</t>
      </text>
    </comment>
    <comment authorId="0" ref="S75">
      <text>
        <t xml:space="preserve">ワザが相殺したときに、相殺モーションに移行するかどうか。</t>
      </text>
    </comment>
    <comment authorId="0" ref="U75">
      <text>
        <t xml:space="preserve">いわゆる「地ダ(地上ダッシュ)」「空ダ(空中ダッシュ)」のこと。</t>
      </text>
    </comment>
    <comment authorId="0" ref="E80">
      <text>
        <t xml:space="preserve">ワザに設定されている基礎ダメージ量。実際の試合で与えるダメージ量は、タイマン補正・OP補正・小ジャンプ補正などにより変化するので注意。</t>
      </text>
    </comment>
    <comment authorId="0" ref="F80">
      <text>
        <t xml:space="preserve">タイマンにおけるダメージは、基礎ダメージの1.2倍となる。
なお、OP相殺がかかっていない場合はさらに1.05倍。</t>
      </text>
    </comment>
    <comment authorId="0" ref="O80">
      <text>
        <t xml:space="preserve">ワザに設定されているシールド削り値。通常のダメージに加え、この値だけシールドのHPが減少する。</t>
      </text>
    </comment>
    <comment authorId="0" ref="P80">
      <text>
        <t xml:space="preserve">ワザに設定されているヒットストップ倍率。電撃属性のワザはこの値が設定されていなくとも1.5倍となる。</t>
      </text>
    </comment>
    <comment authorId="0" ref="Q80">
      <text>
        <t xml:space="preserve">ワザに設定されているヒットストップずらしによる移動距離倍率。</t>
      </text>
    </comment>
    <comment authorId="0" ref="R80">
      <text>
        <t xml:space="preserve">ワザが相殺するかどうか。</t>
      </text>
    </comment>
    <comment authorId="0" ref="S80">
      <text>
        <t xml:space="preserve">ワザが相殺したときに、相殺モーションに移行するかどうか。</t>
      </text>
    </comment>
    <comment authorId="0" ref="U80">
      <text>
        <t xml:space="preserve">いわゆる「地ダ(地上ダッシュ)」「空ダ(空中ダッシュ)」のこと。</t>
      </text>
    </comment>
    <comment authorId="0" ref="E85">
      <text>
        <t xml:space="preserve">ワザに設定されている基礎ダメージ量。実際の試合で与えるダメージ量は、タイマン補正・OP補正・小ジャンプ補正などにより変化するので注意。</t>
      </text>
    </comment>
    <comment authorId="0" ref="F85">
      <text>
        <t xml:space="preserve">タイマンにおけるダメージは、基礎ダメージの1.2倍となる。
なお、OP相殺がかかっていない場合はさらに1.05倍。</t>
      </text>
    </comment>
    <comment authorId="0" ref="O85">
      <text>
        <t xml:space="preserve">ワザに設定されているシールド削り値。通常のダメージに加え、この値だけシールドのHPが減少する。</t>
      </text>
    </comment>
    <comment authorId="0" ref="P85">
      <text>
        <t xml:space="preserve">ワザに設定されているヒットストップ倍率。電撃属性のワザはこの値が設定されていなくとも1.5倍となる。</t>
      </text>
    </comment>
    <comment authorId="0" ref="Q85">
      <text>
        <t xml:space="preserve">ワザに設定されているヒットストップずらしによる移動距離倍率。</t>
      </text>
    </comment>
    <comment authorId="0" ref="R85">
      <text>
        <t xml:space="preserve">ワザが相殺するかどうか。</t>
      </text>
    </comment>
    <comment authorId="0" ref="S85">
      <text>
        <t xml:space="preserve">ワザが相殺したときに、相殺モーションに移行するかどうか。</t>
      </text>
    </comment>
    <comment authorId="0" ref="U85">
      <text>
        <t xml:space="preserve">いわゆる「地ダ(地上ダッシュ)」「空ダ(空中ダッシュ)」のこと。</t>
      </text>
    </comment>
    <comment authorId="0" ref="F92">
      <text>
        <t xml:space="preserve">タイマンにおけるダメージは、基礎ダメージの1.2倍となる。
なお、OP相殺がかかっていない場合はさらに1.05倍。</t>
      </text>
    </comment>
    <comment authorId="0" ref="C97">
      <text>
        <t xml:space="preserve">相手の重量によって全体フレーム等が変化する投げのことを「重量依存投げ」と呼ぶ。
相手の重量が大きいほど全体フレームも大きくなる。</t>
      </text>
    </comment>
    <comment authorId="0" ref="D97">
      <text>
        <t xml:space="preserve">重量依存有りの場合、体重100の敵に対しての持続フレームを記載。</t>
      </text>
    </comment>
    <comment authorId="0" ref="E97">
      <text>
        <t xml:space="preserve">重量依存有りの場合、体重100の敵に対しての全体フレームを記載。</t>
      </text>
    </comment>
    <comment authorId="0" ref="G97">
      <text>
        <t xml:space="preserve">タイマンにおけるダメージは、基礎ダメージの1.2倍となる。
なお、OP相殺がかかっていない場合はさらに1.05倍。</t>
      </text>
    </comment>
    <comment authorId="0" ref="O97">
      <text>
        <t xml:space="preserve">ワザに設定されているシールド削り値。通常のダメージに加え、この値だけシールドのHPが減少する。</t>
      </text>
    </comment>
    <comment authorId="0" ref="P97">
      <text>
        <t xml:space="preserve">ワザに設定されているヒットストップ倍率。電撃属性のワザはこの値が設定されていなくとも1.5倍となる。</t>
      </text>
    </comment>
    <comment authorId="0" ref="Q97">
      <text>
        <t xml:space="preserve">ワザに設定されているヒットストップずらしによる移動距離倍率。</t>
      </text>
    </comment>
    <comment authorId="0" ref="G116">
      <text>
        <t xml:space="preserve">タイマンにおけるダメージは、基礎ダメージの1.2倍となる。
なお、OP相殺がかかっていない場合はさらに1.05倍。</t>
      </text>
    </comment>
  </commentList>
</comments>
</file>

<file path=xl/sharedStrings.xml><?xml version="1.0" encoding="utf-8"?>
<sst xmlns="http://schemas.openxmlformats.org/spreadsheetml/2006/main" count="53441" uniqueCount="7435">
  <si>
    <t>トップページ</t>
  </si>
  <si>
    <t>主な編集者</t>
  </si>
  <si>
    <t>Discord</t>
  </si>
  <si>
    <t>利用方法</t>
  </si>
  <si>
    <r>
      <rPr>
        <rFont val="Kosugi Maru"/>
        <b/>
        <sz val="12.0"/>
      </rPr>
      <t>・画面左下の＋ボタンの右、</t>
    </r>
    <r>
      <rPr>
        <rFont val="Kosugi Maru"/>
        <b/>
        <color rgb="FFCC4125"/>
        <sz val="12.0"/>
      </rPr>
      <t>「亖ボタン」</t>
    </r>
    <r>
      <rPr>
        <rFont val="Kosugi Maru"/>
        <b/>
        <sz val="12.0"/>
      </rPr>
      <t>から</t>
    </r>
    <r>
      <rPr>
        <rFont val="Kosugi Maru"/>
        <b/>
        <color rgb="FFCC4125"/>
        <sz val="12.0"/>
      </rPr>
      <t>各ファイターのページに飛ぶことができます。</t>
    </r>
    <r>
      <rPr>
        <rFont val="Kosugi Maru"/>
        <b/>
        <sz val="12.0"/>
      </rPr>
      <t xml:space="preserve">
・各ファイターページ上部にある</t>
    </r>
    <r>
      <rPr>
        <rFont val="Kosugi Maru"/>
        <b/>
        <color rgb="FFCC4125"/>
        <sz val="12.0"/>
      </rPr>
      <t>「＋ボタン」</t>
    </r>
    <r>
      <rPr>
        <rFont val="Kosugi Maru"/>
        <b/>
        <sz val="12.0"/>
      </rPr>
      <t>をクリックすることで、</t>
    </r>
    <r>
      <rPr>
        <rFont val="Kosugi Maru"/>
        <b/>
        <color rgb="FFCC4125"/>
        <sz val="12.0"/>
      </rPr>
      <t>詳細情報を開くことができます。</t>
    </r>
  </si>
  <si>
    <t>※初めての方は「必ず」読んでください</t>
  </si>
  <si>
    <t>リンクについて</t>
  </si>
  <si>
    <r>
      <rPr>
        <rFont val="Kosugi Maru"/>
        <sz val="11.0"/>
      </rPr>
      <t>当スプレッドシートは</t>
    </r>
    <r>
      <rPr>
        <rFont val="Kosugi Maru"/>
        <b/>
        <color rgb="FF3C78D8"/>
        <sz val="11.0"/>
      </rPr>
      <t>リンクフリー</t>
    </r>
    <r>
      <rPr>
        <rFont val="Kosugi Maru"/>
        <sz val="11.0"/>
      </rPr>
      <t>、</t>
    </r>
    <r>
      <rPr>
        <rFont val="Kosugi Maru"/>
        <b/>
        <color rgb="FF3C78D8"/>
        <sz val="11.0"/>
      </rPr>
      <t>掲載内容も転載自由</t>
    </r>
    <r>
      <rPr>
        <rFont val="Kosugi Maru"/>
        <sz val="11.0"/>
      </rPr>
      <t>です</t>
    </r>
    <r>
      <rPr>
        <rFont val="Kosugi Maru"/>
        <b/>
        <color rgb="FFCC4125"/>
        <sz val="11.0"/>
      </rPr>
      <t>（免責事項をよくお読みください）</t>
    </r>
    <r>
      <rPr>
        <rFont val="Kosugi Maru"/>
        <sz val="11.0"/>
      </rPr>
      <t>。
転載の際は引用元として当wikiの名前を挙げていただけると幸いです。</t>
    </r>
  </si>
  <si>
    <t>免責事項</t>
  </si>
  <si>
    <r>
      <rPr>
        <rFont val="Kosugi Maru"/>
        <sz val="11.0"/>
      </rPr>
      <t xml:space="preserve">編集者は、当シートにコンテンツを掲載するにあたってその内容について細心の注意を払っておりますが、
コンテンツの内容が正確であるかどうか、最新のものであるかどうか等について保証をするものではなく、
</t>
    </r>
    <r>
      <rPr>
        <rFont val="Kosugi Maru"/>
        <b/>
        <color rgb="FFCC4125"/>
        <sz val="11.0"/>
      </rPr>
      <t>何らかの責任を負うものではありません。</t>
    </r>
    <r>
      <rPr>
        <rFont val="Kosugi Maru"/>
        <sz val="11.0"/>
      </rPr>
      <t xml:space="preserve">
また、編集者は通知することなく当シートに掲載した情報の訂正、修正、追加、中断、削除等をいつでも
行うことができるものとします。当シート、またはコンテンツのご利用により、万一何らかの不都合や
損害が発生したとしても、</t>
    </r>
    <r>
      <rPr>
        <rFont val="Kosugi Maru"/>
        <b/>
        <color rgb="FFCC4125"/>
        <sz val="11.0"/>
      </rPr>
      <t>責任は負いかねます</t>
    </r>
    <r>
      <rPr>
        <rFont val="Kosugi Maru"/>
        <sz val="11.0"/>
      </rPr>
      <t>のでご了承お願いいたします。</t>
    </r>
  </si>
  <si>
    <t>連絡・報告など</t>
  </si>
  <si>
    <t>お手数ですが、誤りなどを発見した場合にはTwitterやDiscord等で編集者に知らせていただければ幸いです。
また、不明な点があった場合にも同様の方法で編集者にコンタクトしていただければ返信いたします。</t>
  </si>
  <si>
    <t>外部リンク</t>
  </si>
  <si>
    <t>有志の方によるwiki。
キャラクター・アイテム・ステージ・ゲームモードなど、
幅広い情報を手に入れることができる。</t>
  </si>
  <si>
    <t>Ruben氏(@Ruben_dal)による計算サイト。
ヒットストップ・やられ硬直・硬直差などを逐一計算できる。</t>
  </si>
  <si>
    <t>シートの閲覧方法</t>
  </si>
  <si>
    <t>その他</t>
  </si>
  <si>
    <t>(M) 了解。</t>
  </si>
  <si>
    <t>(M) できれば共有アカウントを使いたくない（切り替えがめんどい）ですし所有者はDRAFIXさんでいい気はします、メンバーには所有権譲渡で</t>
  </si>
  <si>
    <t>-&gt; Discord自体の目的</t>
  </si>
  <si>
    <t>-&gt; Kurogane鯖のように質問などを受け付ける</t>
  </si>
  <si>
    <t>(M) 人手がたりなさそうだが、仕様変更点報告チャンネルみたいなのはできれば欲しい</t>
  </si>
  <si>
    <t>(D) Discordは表・裏の2窓体制に。表の方をKH風の自由投稿窓にして、報告やTwitterまとめなどのチャンネルを設ける</t>
  </si>
  <si>
    <t>(M) 上と同じで表・裏のDiscord統一でいい気がします</t>
  </si>
  <si>
    <t>(D) 限定チャンネルが疎外感を生むかと思っての提案でしたが、確かに管理や裏メンバー勧誘などを考えると一窓のほうが楽ですね。統一しちゃいましょう。</t>
  </si>
  <si>
    <t>・フレーム表以外の検証</t>
  </si>
  <si>
    <t>-&gt; 少なくともRuben氏はふっとび関連、Arthur氏は回避関連はやるらしい</t>
  </si>
  <si>
    <t>(M) トレモを使って検証する場合、まずトレモに変な仕様がないかを調べる</t>
  </si>
  <si>
    <t>(M) 被らないように比較的細かいところを、まずはつかみ関連・投げ無敵・投げアーマー（Xのが復活してる様子）・受け身あたり</t>
  </si>
  <si>
    <t>(M) 体験版までに「forのこいくち操作マニュアル」を作成し、新作で変更点がないかしらみつぶしに調べる</t>
  </si>
  <si>
    <t>(D) ガード・ジャスガ、小ジャンプ攻撃。</t>
  </si>
  <si>
    <t>(D) 検証に役立つワザと仕様の確認。2Fスキップ、1F発生弱、シールド発生など。</t>
  </si>
  <si>
    <t>(D) 隠し要素、モード詳細などはひとまず総合wikiのほうに任せる。</t>
  </si>
  <si>
    <t>(M) 一応マックの弱1は1F発生なの確認済です、でもデモ版か</t>
  </si>
  <si>
    <t>(M) 了解です。体験版出てから発売日までにできるだけ仕様関連は検証しときたいですね、本編発売されたら癖のありそうな新キャラとアイクラの仕様をまとめると思います</t>
  </si>
  <si>
    <t>・共用アカウントについて</t>
  </si>
  <si>
    <t>-&gt;共用のYoutubeアカウントが欲しいと思うが、どうか。</t>
  </si>
  <si>
    <t>(M) やはりGoogleアカウントの共有はめんどうなので、DRAFIXさんか自分のYoutubeチャンネルに共同管理者を招待する形が嬉しい</t>
  </si>
  <si>
    <t>(D) では後日私がチャンネルを開設して招待しましょう。今のところは検証wiki用の動画を上げる程度の利用を想定しています。</t>
  </si>
  <si>
    <t>最終更新</t>
  </si>
  <si>
    <t>最終更新：</t>
  </si>
  <si>
    <t>行動フレーム・能力値</t>
  </si>
  <si>
    <t>行動フレーム</t>
  </si>
  <si>
    <t>能力値</t>
  </si>
  <si>
    <t>滞空フレーム</t>
  </si>
  <si>
    <t>2回</t>
  </si>
  <si>
    <t>走行移行前F</t>
  </si>
  <si>
    <t>地上攻撃</t>
  </si>
  <si>
    <t>判定持続</t>
  </si>
  <si>
    <t>全体フレーム</t>
  </si>
  <si>
    <t>基礎ダメージ</t>
  </si>
  <si>
    <t>ダメージ (1v1)</t>
  </si>
  <si>
    <t>ガード硬直</t>
  </si>
  <si>
    <t>備考</t>
  </si>
  <si>
    <t>慣性消去</t>
  </si>
  <si>
    <t>弱1</t>
  </si>
  <si>
    <r>
      <rPr>
        <rFont val="Arial"/>
        <color rgb="FF000000"/>
      </rPr>
      <t>2</t>
    </r>
    <r>
      <rPr>
        <rFont val="Arial"/>
        <color rgb="FF000000"/>
      </rPr>
      <t>-3</t>
    </r>
  </si>
  <si>
    <t>19
(6)</t>
  </si>
  <si>
    <t>2.2</t>
  </si>
  <si>
    <t>2.64</t>
  </si>
  <si>
    <t>3F</t>
  </si>
  <si>
    <t>5-24Fは弱2に移行可能。
空振り時にボタン長押しで7F目から弱1でキャンセル可能。</t>
  </si>
  <si>
    <t>なし</t>
  </si>
  <si>
    <t>弱2</t>
  </si>
  <si>
    <t>2-3</t>
  </si>
  <si>
    <t>21</t>
  </si>
  <si>
    <t>1.7</t>
  </si>
  <si>
    <t>2.04</t>
  </si>
  <si>
    <t>6-24Fは弱3に移行可能。</t>
  </si>
  <si>
    <t>1F</t>
  </si>
  <si>
    <t>弱3</t>
  </si>
  <si>
    <t>3-4</t>
  </si>
  <si>
    <t>33</t>
  </si>
  <si>
    <t>4</t>
  </si>
  <si>
    <t>4.8</t>
  </si>
  <si>
    <t>5F</t>
  </si>
  <si>
    <t>-</t>
  </si>
  <si>
    <t>ダッシュ攻撃</t>
  </si>
  <si>
    <r>
      <rPr>
        <rFont val="Arial"/>
        <color rgb="FF000000"/>
      </rPr>
      <t>6-</t>
    </r>
    <r>
      <rPr>
        <rFont val="Arial"/>
        <color rgb="FF000000"/>
      </rPr>
      <t>9</t>
    </r>
  </si>
  <si>
    <t>37</t>
  </si>
  <si>
    <t>8</t>
  </si>
  <si>
    <t>9.6</t>
  </si>
  <si>
    <t>14F</t>
  </si>
  <si>
    <t>ガード硬直補正倍率：1.875倍</t>
  </si>
  <si>
    <t>持続</t>
  </si>
  <si>
    <t>10-25</t>
  </si>
  <si>
    <t>6</t>
  </si>
  <si>
    <t>7.2</t>
  </si>
  <si>
    <t>11F</t>
  </si>
  <si>
    <t>横強</t>
  </si>
  <si>
    <t>全シフト</t>
  </si>
  <si>
    <t>5-7</t>
  </si>
  <si>
    <t>25</t>
  </si>
  <si>
    <t>7</t>
  </si>
  <si>
    <t>8.4</t>
  </si>
  <si>
    <t>7F</t>
  </si>
  <si>
    <t>1F(*)</t>
  </si>
  <si>
    <t>上強</t>
  </si>
  <si>
    <r>
      <rPr>
        <rFont val="Arial"/>
        <color rgb="FF000000"/>
      </rPr>
      <t>5-</t>
    </r>
    <r>
      <rPr>
        <rFont val="Arial"/>
        <color rgb="FF000000"/>
      </rPr>
      <t>11</t>
    </r>
  </si>
  <si>
    <t>29</t>
  </si>
  <si>
    <t>5.5</t>
  </si>
  <si>
    <t>6.6</t>
  </si>
  <si>
    <t>6F</t>
  </si>
  <si>
    <t>下強</t>
  </si>
  <si>
    <r>
      <rPr>
        <rFont val="Arial"/>
        <color rgb="FF000000"/>
      </rPr>
      <t>5-</t>
    </r>
    <r>
      <rPr>
        <rFont val="Arial"/>
        <color rgb="FF000000"/>
      </rPr>
      <t>7</t>
    </r>
  </si>
  <si>
    <t>27</t>
  </si>
  <si>
    <t>7/5</t>
  </si>
  <si>
    <t>8.4/6</t>
  </si>
  <si>
    <t>7F/6F</t>
  </si>
  <si>
    <t>横スマッシュ</t>
  </si>
  <si>
    <r>
      <rPr>
        <rFont val="Arial"/>
        <color rgb="FF000000"/>
      </rPr>
      <t>15-</t>
    </r>
    <r>
      <rPr>
        <rFont val="Arial"/>
        <color rgb="FF000000"/>
      </rPr>
      <t>17</t>
    </r>
  </si>
  <si>
    <t>47</t>
  </si>
  <si>
    <t>14.7/17.8</t>
  </si>
  <si>
    <t>17.64/21.36</t>
  </si>
  <si>
    <t>10F/12F</t>
  </si>
  <si>
    <t>先端のみ相殺なし。
溜め開始：6F目</t>
  </si>
  <si>
    <t>上スマッシュ</t>
  </si>
  <si>
    <r>
      <rPr>
        <rFont val="Arial"/>
        <color rgb="FF000000"/>
      </rPr>
      <t>9-</t>
    </r>
    <r>
      <rPr>
        <rFont val="Arial"/>
        <color rgb="FF000000"/>
      </rPr>
      <t>12</t>
    </r>
  </si>
  <si>
    <t>39</t>
  </si>
  <si>
    <t>14</t>
  </si>
  <si>
    <t>16.8</t>
  </si>
  <si>
    <t>10F</t>
  </si>
  <si>
    <t>頭無敵：9-12F
ぬるり判定消去：7-19F
溜め開始：7F目</t>
  </si>
  <si>
    <t>8F</t>
  </si>
  <si>
    <t>下スマッシュ</t>
  </si>
  <si>
    <t>Hit 1</t>
  </si>
  <si>
    <r>
      <rPr>
        <rFont val="Arial"/>
        <color rgb="FF000000"/>
      </rPr>
      <t>5-</t>
    </r>
    <r>
      <rPr>
        <rFont val="Arial"/>
        <color rgb="FF000000"/>
      </rPr>
      <t>6</t>
    </r>
  </si>
  <si>
    <t>43</t>
  </si>
  <si>
    <t>10</t>
  </si>
  <si>
    <t>12</t>
  </si>
  <si>
    <t>溜め開始：3F目</t>
  </si>
  <si>
    <t>Hit 2</t>
  </si>
  <si>
    <t>14.4</t>
  </si>
  <si>
    <t>空中攻撃</t>
  </si>
  <si>
    <t>ダメ (1v1+小J)</t>
  </si>
  <si>
    <t>着地隙</t>
  </si>
  <si>
    <t>着地隙発生F</t>
  </si>
  <si>
    <t>ベクトル</t>
  </si>
  <si>
    <t>KBG (R.E.)</t>
  </si>
  <si>
    <t>BKB (R.A.)</t>
  </si>
  <si>
    <t>FKB (R.F.)</t>
  </si>
  <si>
    <t>盾削り値</t>
  </si>
  <si>
    <t>ﾋｯﾄｽﾄｯﾌﾟ</t>
  </si>
  <si>
    <t>ずらし</t>
  </si>
  <si>
    <t>空N</t>
  </si>
  <si>
    <r>
      <rPr>
        <rFont val="Arial"/>
        <color rgb="FF000000"/>
      </rPr>
      <t>3-</t>
    </r>
    <r>
      <rPr>
        <rFont val="Arial"/>
        <color rgb="FF000000"/>
      </rPr>
      <t>5</t>
    </r>
  </si>
  <si>
    <t>45</t>
  </si>
  <si>
    <t>4F</t>
  </si>
  <si>
    <t>3-38</t>
  </si>
  <si>
    <t>6-27</t>
  </si>
  <si>
    <t>5</t>
  </si>
  <si>
    <t>空前</t>
  </si>
  <si>
    <t>始</t>
  </si>
  <si>
    <t>16</t>
  </si>
  <si>
    <t>3-42</t>
  </si>
  <si>
    <t>メテオ</t>
  </si>
  <si>
    <t>17-20</t>
  </si>
  <si>
    <t>空後</t>
  </si>
  <si>
    <r>
      <rPr>
        <rFont val="Arial"/>
        <color rgb="FF000000"/>
      </rPr>
      <t>6-</t>
    </r>
    <r>
      <rPr>
        <rFont val="Arial"/>
        <color rgb="FF000000"/>
      </rPr>
      <t>7</t>
    </r>
  </si>
  <si>
    <t>10.5</t>
  </si>
  <si>
    <t>6-18</t>
  </si>
  <si>
    <t>8-10</t>
  </si>
  <si>
    <t>空上</t>
  </si>
  <si>
    <t>4-7</t>
  </si>
  <si>
    <t>30</t>
  </si>
  <si>
    <t>2-16</t>
  </si>
  <si>
    <t>空下</t>
  </si>
  <si>
    <t>Hit 1-5</t>
  </si>
  <si>
    <t>5, 7, 9, 11, 13</t>
  </si>
  <si>
    <t>1.4</t>
  </si>
  <si>
    <t>2F</t>
  </si>
  <si>
    <t>5-32</t>
  </si>
  <si>
    <t>Hit 6</t>
  </si>
  <si>
    <t>23</t>
  </si>
  <si>
    <t>着地</t>
  </si>
  <si>
    <t>1-2</t>
  </si>
  <si>
    <t>2</t>
  </si>
  <si>
    <t>必殺ワザ</t>
  </si>
  <si>
    <t>NB (ファイアボール)</t>
  </si>
  <si>
    <t>相殺</t>
  </si>
  <si>
    <t>相殺ﾓｰｼｮﾝ</t>
  </si>
  <si>
    <t>飛び道具</t>
  </si>
  <si>
    <t>慣性反転</t>
  </si>
  <si>
    <t>向き反転</t>
  </si>
  <si>
    <t>地上・空中</t>
  </si>
  <si>
    <t>49</t>
  </si>
  <si>
    <t>5F目</t>
  </si>
  <si>
    <t>持続1</t>
  </si>
  <si>
    <t>21-46</t>
  </si>
  <si>
    <t>持続2</t>
  </si>
  <si>
    <t>47-86</t>
  </si>
  <si>
    <t>横B (スーパーマント)</t>
  </si>
  <si>
    <t>12-14
(反射：7-20F)</t>
  </si>
  <si>
    <t>35</t>
  </si>
  <si>
    <t>反射：7-20F
反射ダメージ倍率：1.5倍
反射速度倍率：1.0倍
飛び道具持続倍率：0.75倍
相殺なし。
ガケつかまり(前)：2F目以降
ガケつかまり(前後)：16F目以降</t>
  </si>
  <si>
    <t>上B (スーパージャンプパンチ)</t>
  </si>
  <si>
    <r>
      <rPr>
        <rFont val="Arial"/>
        <color rgb="FF000000"/>
      </rPr>
      <t>3-</t>
    </r>
    <r>
      <rPr>
        <rFont val="Arial"/>
        <color rgb="FF000000"/>
      </rPr>
      <t>6</t>
    </r>
  </si>
  <si>
    <t>全身無敵：3-6F
着地隙：30F
ガケつかまり(前後)：14F目以降</t>
  </si>
  <si>
    <t>(3F目)</t>
  </si>
  <si>
    <t>連</t>
  </si>
  <si>
    <t>7-16
(Rehit: 2)</t>
  </si>
  <si>
    <t>0.6</t>
  </si>
  <si>
    <t>〆</t>
  </si>
  <si>
    <t>17-18</t>
  </si>
  <si>
    <t>3</t>
  </si>
  <si>
    <t>下B (ポンプ)</t>
  </si>
  <si>
    <t>放水</t>
  </si>
  <si>
    <t>21-31, 26-36, 
31-41, 36-46, 
41-51, 46-56, 
51-61</t>
  </si>
  <si>
    <t>67</t>
  </si>
  <si>
    <t>0</t>
  </si>
  <si>
    <t>最大溜め：80F
溜め・キャンセル開始：20F目
溜め中からの最速発生は2F。
相殺なし。</t>
  </si>
  <si>
    <t>つかみ・投げ</t>
  </si>
  <si>
    <t>つかみ攻撃</t>
  </si>
  <si>
    <t>1</t>
  </si>
  <si>
    <t>1.3</t>
  </si>
  <si>
    <t>つかみ</t>
  </si>
  <si>
    <t>その場</t>
  </si>
  <si>
    <t>6-7</t>
  </si>
  <si>
    <t>34</t>
  </si>
  <si>
    <t>ダッシュ</t>
  </si>
  <si>
    <t>9-10</t>
  </si>
  <si>
    <t>42</t>
  </si>
  <si>
    <t>ふりむき</t>
  </si>
  <si>
    <t>10-11</t>
  </si>
  <si>
    <t>36</t>
  </si>
  <si>
    <t>投げ</t>
  </si>
  <si>
    <t>前投げ</t>
  </si>
  <si>
    <t>打撃</t>
  </si>
  <si>
    <t>13</t>
  </si>
  <si>
    <t>後投げ</t>
  </si>
  <si>
    <t>13-39</t>
  </si>
  <si>
    <t>打撃部分は投げ中の相手にはヒットしない。</t>
  </si>
  <si>
    <t>11</t>
  </si>
  <si>
    <t>上投げ</t>
  </si>
  <si>
    <t>下投げ</t>
  </si>
  <si>
    <t>無敵フレーム</t>
  </si>
  <si>
    <t>無敵 (ペナ最大)</t>
  </si>
  <si>
    <t>全体 (ペナ最大)</t>
  </si>
  <si>
    <t>共通動作 (ガケ・受け身...)</t>
  </si>
  <si>
    <t>ガケ行動</t>
  </si>
  <si>
    <t>ガケつかまり</t>
  </si>
  <si>
    <t>回避</t>
  </si>
  <si>
    <t>ジャンプ</t>
  </si>
  <si>
    <t>攻撃</t>
  </si>
  <si>
    <t>受け身</t>
  </si>
  <si>
    <t>前方</t>
  </si>
  <si>
    <t>後方</t>
  </si>
  <si>
    <t>あお向けダウン</t>
  </si>
  <si>
    <t>倒れ</t>
  </si>
  <si>
    <t>攻撃1</t>
  </si>
  <si>
    <t>攻撃2</t>
  </si>
  <si>
    <t>うつ伏せダウン</t>
  </si>
  <si>
    <t>転倒</t>
  </si>
  <si>
    <t>硬直(小)</t>
  </si>
  <si>
    <t>硬直(大)</t>
  </si>
  <si>
    <t>アイテム</t>
  </si>
  <si>
    <t>アイテム取得</t>
  </si>
  <si>
    <t>取得フレーム</t>
  </si>
  <si>
    <t>小アイテム</t>
  </si>
  <si>
    <t>大アイテム</t>
  </si>
  <si>
    <t>アイテム投擲</t>
  </si>
  <si>
    <t>投擲フレーム</t>
  </si>
  <si>
    <t>地上投擲</t>
  </si>
  <si>
    <t>その場捨て</t>
  </si>
  <si>
    <t>空中投擲</t>
  </si>
  <si>
    <t>大アイテム
投擲</t>
  </si>
  <si>
    <t>弱攻撃</t>
  </si>
  <si>
    <t>5-6</t>
  </si>
  <si>
    <t>24</t>
  </si>
  <si>
    <t>8-28Fは弱2に移行可能。</t>
  </si>
  <si>
    <t>4-6</t>
  </si>
  <si>
    <t>31</t>
  </si>
  <si>
    <t>9-12</t>
  </si>
  <si>
    <t>13-24</t>
  </si>
  <si>
    <t>9</t>
  </si>
  <si>
    <t>9F</t>
  </si>
  <si>
    <t>上シフト</t>
  </si>
  <si>
    <t>7-9</t>
  </si>
  <si>
    <t>左腕無敵：6-9F (全シフト)
転倒率：+15% (下シフトのみ)</t>
  </si>
  <si>
    <t>無シフト</t>
  </si>
  <si>
    <t>下シフト</t>
  </si>
  <si>
    <t>5-11</t>
  </si>
  <si>
    <t>38</t>
  </si>
  <si>
    <t>8/9/10</t>
  </si>
  <si>
    <t>9.6/10.8/12</t>
  </si>
  <si>
    <t>8F/9F/10F</t>
  </si>
  <si>
    <t>右腕無敵：5-11F</t>
  </si>
  <si>
    <t>左腕無敵：5-7F
転倒率：+40%</t>
  </si>
  <si>
    <t>22-23</t>
  </si>
  <si>
    <t>54</t>
  </si>
  <si>
    <t>22/21</t>
  </si>
  <si>
    <t>26.4/25.2</t>
  </si>
  <si>
    <t>14F/14F</t>
  </si>
  <si>
    <t>頭・両腕無敵：20-26F
相殺モーションなし。
溜め開始：15F目</t>
  </si>
  <si>
    <t>16F</t>
  </si>
  <si>
    <t>14-15</t>
  </si>
  <si>
    <t>19</t>
  </si>
  <si>
    <t>13F</t>
  </si>
  <si>
    <t>頭・両腕無敵：12-15F
相殺モーションなし。
溜め開始：7F目</t>
  </si>
  <si>
    <t>11-12</t>
  </si>
  <si>
    <t>55</t>
  </si>
  <si>
    <t>17/17/14/14</t>
  </si>
  <si>
    <t>20.4/20.4/16.8/16.8</t>
  </si>
  <si>
    <t>11F/11F/10F/10F</t>
  </si>
  <si>
    <t>両腕無敵：11-14F
相殺モーションなし。
溜め開始：3F目</t>
  </si>
  <si>
    <t>13-14</t>
  </si>
  <si>
    <t>18/18/14/14</t>
  </si>
  <si>
    <t>21.6/21.6/16.8/16.8</t>
  </si>
  <si>
    <t>12F/12F/10F/10F</t>
  </si>
  <si>
    <t>10-13</t>
  </si>
  <si>
    <t>10-26</t>
  </si>
  <si>
    <t>14-26</t>
  </si>
  <si>
    <t>18-20</t>
  </si>
  <si>
    <t>1-55</t>
  </si>
  <si>
    <t>21-23</t>
  </si>
  <si>
    <t>15/13</t>
  </si>
  <si>
    <t>18/15.6</t>
  </si>
  <si>
    <t>15.3/13.26</t>
  </si>
  <si>
    <t>5F/5F</t>
  </si>
  <si>
    <t>7-8</t>
  </si>
  <si>
    <t>7-30</t>
  </si>
  <si>
    <t>9-16</t>
  </si>
  <si>
    <t>6-10</t>
  </si>
  <si>
    <t>6-25</t>
  </si>
  <si>
    <t>頭無敵：5-10F</t>
  </si>
  <si>
    <t>14-16</t>
  </si>
  <si>
    <t>16/13</t>
  </si>
  <si>
    <t>19.2/15.6</t>
  </si>
  <si>
    <t>16.32/13.26</t>
  </si>
  <si>
    <t>6F/5F</t>
  </si>
  <si>
    <t>3-49</t>
  </si>
  <si>
    <t>NB (ジャイアントパンチ)</t>
  </si>
  <si>
    <t>地上</t>
  </si>
  <si>
    <t>溜めなし</t>
  </si>
  <si>
    <t>19-20</t>
  </si>
  <si>
    <t>62</t>
  </si>
  <si>
    <t>10 ~ 28</t>
  </si>
  <si>
    <t>12 ~ 33.6</t>
  </si>
  <si>
    <t>10F ~ 24F</t>
  </si>
  <si>
    <t>スーパーアーマー：9-20F (最大溜め, 地上)
スーパーアーマー：15-20F (最大溜め, 空中)
左腕先無敵：4-20F (非最大溜め)
最大溜め：110F
溜め・キャンセル開始：8F目
キャンセルは空中ジャンプのみ全体5F。
回避・シールド・地上ジャンプは全体4F。
慣性反転：5F目
相殺モーションなし。</t>
  </si>
  <si>
    <t>最大溜め</t>
  </si>
  <si>
    <t>28/28/28/18</t>
  </si>
  <si>
    <t>33.6/33.6/33.6/21.6</t>
  </si>
  <si>
    <t>24F/24F/24F/16F</t>
  </si>
  <si>
    <t>空中</t>
  </si>
  <si>
    <t>6 ~ 24</t>
  </si>
  <si>
    <t>7.2 ~ 28.8</t>
  </si>
  <si>
    <t>6F ~ 21F</t>
  </si>
  <si>
    <t>22F</t>
  </si>
  <si>
    <t>横B (ドンキーヘッドバッド)</t>
  </si>
  <si>
    <t>対地</t>
  </si>
  <si>
    <t>20-21</t>
  </si>
  <si>
    <t>10/8</t>
  </si>
  <si>
    <t>12/9.6</t>
  </si>
  <si>
    <t>10F/-</t>
  </si>
  <si>
    <t>スーパーアーマー：5-14F
対地は埋め属性。
慣性反転：5F目
ガケつかまり(前後)：2F目以降</t>
  </si>
  <si>
    <t>対空</t>
  </si>
  <si>
    <t>上B (スピニングコング)</t>
  </si>
  <si>
    <t>104</t>
  </si>
  <si>
    <t>スーパーアーマー：5-17F
右腕無敵：19-24F</t>
  </si>
  <si>
    <t>Hit 2-6</t>
  </si>
  <si>
    <t>25-27, 32-33, 
40-42, 49-50, 
55-58</t>
  </si>
  <si>
    <t>1.4/1.4/3.5</t>
  </si>
  <si>
    <t>1.68/1.68/4.2</t>
  </si>
  <si>
    <t>3F/3F/4F</t>
  </si>
  <si>
    <t>Hit 7</t>
  </si>
  <si>
    <t>両腕無敵：10-38F
着地隙：42F (ポージング)
着地隙：38F (尻もち)
ガケつかまり(前後)：14F目以降</t>
  </si>
  <si>
    <t>Hit 2-13</t>
  </si>
  <si>
    <t>10-12, 13-14,
15-17, 18-19,
20-21, 22-24,
25-26, 27-29,
30-31, 32-33,
34-36, 37-38</t>
  </si>
  <si>
    <t>Hit 14</t>
  </si>
  <si>
    <t>39-43</t>
  </si>
  <si>
    <t>下B (ハンドスラップ)</t>
  </si>
  <si>
    <t>最短, Hit 1</t>
  </si>
  <si>
    <t>12-13</t>
  </si>
  <si>
    <t>46</t>
  </si>
  <si>
    <t>ガード硬直補正倍率：0.58倍
1ループ追加で+26F。
判定は対地のみ。壁などを貫通しない。
相殺なし。</t>
  </si>
  <si>
    <t>最短, Hit 2</t>
  </si>
  <si>
    <t>23-24</t>
  </si>
  <si>
    <t>19-21</t>
  </si>
  <si>
    <t>着地隙：10F
相殺なし。
転倒率：+20% (Hit 2のみ)</t>
  </si>
  <si>
    <t>28-30</t>
  </si>
  <si>
    <t>1.6</t>
  </si>
  <si>
    <t>11-13</t>
  </si>
  <si>
    <t>12-14</t>
  </si>
  <si>
    <t>41</t>
  </si>
  <si>
    <t>リフティング</t>
  </si>
  <si>
    <t>15</t>
  </si>
  <si>
    <t>投げ無敵：1-15F (移行中)
ヘビーアーマー：80KB (待機中)</t>
  </si>
  <si>
    <t>前投げ(リフ)</t>
  </si>
  <si>
    <t>投げ無敵なし。</t>
  </si>
  <si>
    <t>後投げ(リフ)</t>
  </si>
  <si>
    <t>上投げ(リフ)</t>
  </si>
  <si>
    <t>下投げ(リフ)</t>
  </si>
  <si>
    <t>44</t>
  </si>
  <si>
    <t>17</t>
  </si>
  <si>
    <t>地上回避</t>
  </si>
  <si>
    <t>空中回避</t>
  </si>
  <si>
    <t>通常</t>
  </si>
  <si>
    <t>移動</t>
  </si>
  <si>
    <t>10-35Fは弱2に移行可能。
ボタン押しっぱなしでは14F目に移行。</t>
  </si>
  <si>
    <t>8-35Fは弱3に移行可能。
ボタン押しっぱなしでは13F目に移行。</t>
  </si>
  <si>
    <t>20-23</t>
  </si>
  <si>
    <t>56</t>
  </si>
  <si>
    <t>14/13/12</t>
  </si>
  <si>
    <t>16.8/15.6/14.4</t>
  </si>
  <si>
    <t>17F/16F/15F</t>
  </si>
  <si>
    <r>
      <rPr>
        <rFont val="Arial"/>
        <sz val="10.0"/>
      </rPr>
      <t>ガード硬直補正倍率：1.4倍</t>
    </r>
    <r>
      <rPr>
        <rFont val="Arial"/>
        <sz val="10.0"/>
      </rPr>
      <t xml:space="preserve">
根本は相殺なし。</t>
    </r>
  </si>
  <si>
    <t>12F</t>
  </si>
  <si>
    <t>根本は相殺なし。</t>
  </si>
  <si>
    <t>16-19</t>
  </si>
  <si>
    <t>8-12</t>
  </si>
  <si>
    <t>相殺なし。</t>
  </si>
  <si>
    <t>横スマ1</t>
  </si>
  <si>
    <t>50</t>
  </si>
  <si>
    <t>7/14/7</t>
  </si>
  <si>
    <t>8.4/16.8/8.4</t>
  </si>
  <si>
    <t>6F/10F/6F</t>
  </si>
  <si>
    <t>22-40Fは横スマッシュ2に移行可能。
溜め開始：10F目</t>
  </si>
  <si>
    <t>剣ビーム</t>
  </si>
  <si>
    <t>19-48</t>
  </si>
  <si>
    <t>生成：17F
リンクの蓄積が0%のときのみ生成。
横スマ1がヒットすると消滅。
飛び道具。ガード硬直はスマッシュ扱い。</t>
  </si>
  <si>
    <t>剣ビーム, 最大</t>
  </si>
  <si>
    <t>79-126
(199-246)</t>
  </si>
  <si>
    <t>横スマ2</t>
  </si>
  <si>
    <t>60</t>
  </si>
  <si>
    <t>13/13/12/12</t>
  </si>
  <si>
    <t>15.6/15.6/14.4/14.4</t>
  </si>
  <si>
    <t>9F/9F/8F/8F</t>
  </si>
  <si>
    <t>77</t>
  </si>
  <si>
    <t>Hit 3は相殺なし。
溜め開始：6F目</t>
  </si>
  <si>
    <t>Hit 1, 持続</t>
  </si>
  <si>
    <t>25-28</t>
  </si>
  <si>
    <t>Hit 2, 持続</t>
  </si>
  <si>
    <t>29-30</t>
  </si>
  <si>
    <t>Hit 3</t>
  </si>
  <si>
    <t>41-45</t>
  </si>
  <si>
    <t>11/11/10/9</t>
  </si>
  <si>
    <t>13.2/13.2/12/10.8</t>
  </si>
  <si>
    <t>8F/8F/7F/7F</t>
  </si>
  <si>
    <t>16/17/16/14</t>
  </si>
  <si>
    <t>19.2/20.4/19.2/16.8</t>
  </si>
  <si>
    <t>11F/11F/11F/10F</t>
  </si>
  <si>
    <t>溜め開始：5F目</t>
  </si>
  <si>
    <t>24-25</t>
  </si>
  <si>
    <t>12/12/11/10</t>
  </si>
  <si>
    <t>14.4/14.4/13.2/12</t>
  </si>
  <si>
    <t>8F/8F/8F/7F</t>
  </si>
  <si>
    <r>
      <rPr>
        <rFont val="Arial"/>
        <color rgb="FF000000"/>
      </rPr>
      <t>7</t>
    </r>
    <r>
      <rPr>
        <rFont val="Arial"/>
        <color rgb="FF000000"/>
      </rPr>
      <t>-8</t>
    </r>
  </si>
  <si>
    <t>11/9/9</t>
  </si>
  <si>
    <t>13.2/10.8/10.8</t>
  </si>
  <si>
    <t>11.22/9.18/9.18</t>
  </si>
  <si>
    <t>4F/4F/4F</t>
  </si>
  <si>
    <t>4-35</t>
  </si>
  <si>
    <t>9-31</t>
  </si>
  <si>
    <t>16-17</t>
  </si>
  <si>
    <t>51</t>
  </si>
  <si>
    <t>1-52</t>
  </si>
  <si>
    <t xml:space="preserve">根本は相殺なし。                </t>
  </si>
  <si>
    <r>
      <rPr>
        <rFont val="Arial"/>
        <color rgb="FF000000"/>
      </rPr>
      <t>6</t>
    </r>
    <r>
      <rPr>
        <rFont val="Arial"/>
        <color rgb="FF000000"/>
      </rPr>
      <t>-8</t>
    </r>
  </si>
  <si>
    <t>1-28</t>
  </si>
  <si>
    <t>15-17</t>
  </si>
  <si>
    <r>
      <rPr>
        <rFont val="Arial"/>
        <color rgb="FF000000"/>
      </rPr>
      <t>11</t>
    </r>
    <r>
      <rPr>
        <rFont val="Arial"/>
        <color rgb="FF000000"/>
      </rPr>
      <t>-13</t>
    </r>
  </si>
  <si>
    <t>59</t>
  </si>
  <si>
    <t>11-42</t>
  </si>
  <si>
    <t>14-40</t>
  </si>
  <si>
    <t>14-19</t>
  </si>
  <si>
    <t>18</t>
  </si>
  <si>
    <t>10-64</t>
  </si>
  <si>
    <t>バウンド後は30F後に判定が復活。</t>
  </si>
  <si>
    <t>20-64</t>
  </si>
  <si>
    <t>バウンド</t>
  </si>
  <si>
    <t>(Rehit: 30)</t>
  </si>
  <si>
    <t>NB (弓矢)</t>
  </si>
  <si>
    <t>溜め無し</t>
  </si>
  <si>
    <t>16-61</t>
  </si>
  <si>
    <t>4 ~ 12</t>
  </si>
  <si>
    <t>4.8 ~ 14.4</t>
  </si>
  <si>
    <t>2F ~ 4F</t>
  </si>
  <si>
    <t>最大溜め：36F
溜め開始：16F目
溜め中からの最速発生は1F。
最大保持：180F</t>
  </si>
  <si>
    <t>弓2本時, 
溜め無し</t>
  </si>
  <si>
    <t>3 ~ 9</t>
  </si>
  <si>
    <t>3.6 ~ 10.8</t>
  </si>
  <si>
    <t>19-64</t>
  </si>
  <si>
    <t>生成アイテム</t>
  </si>
  <si>
    <t>接触</t>
  </si>
  <si>
    <t>1+</t>
  </si>
  <si>
    <t>1.2+</t>
  </si>
  <si>
    <t>横B (ブーメラン)</t>
  </si>
  <si>
    <t>行き</t>
  </si>
  <si>
    <t>27-36</t>
  </si>
  <si>
    <t>弾き入力でダメージ1.2倍 (行きのみ)。</t>
  </si>
  <si>
    <t>行き, 持続</t>
  </si>
  <si>
    <t>37-*</t>
  </si>
  <si>
    <t>戻り</t>
  </si>
  <si>
    <t>*</t>
  </si>
  <si>
    <t>空振り, 地上</t>
  </si>
  <si>
    <t>空振り, 空中</t>
  </si>
  <si>
    <t>キャッチ</t>
  </si>
  <si>
    <t>上B (回転斬り)</t>
  </si>
  <si>
    <t>76</t>
  </si>
  <si>
    <t>14/11.2</t>
  </si>
  <si>
    <t>16.8/13.44</t>
  </si>
  <si>
    <t>13F/11F</t>
  </si>
  <si>
    <t>最大溜め：60F
最大ダメージ倍率：1.6倍
溜め開始：4F目
溜め中からの最速発生は4F。
持続3以外は相殺なし。</t>
  </si>
  <si>
    <t>1.4/1.4/1</t>
  </si>
  <si>
    <t>9-13</t>
  </si>
  <si>
    <t>12/12/9.6</t>
  </si>
  <si>
    <t>14.4/14.4/11.52</t>
  </si>
  <si>
    <t>11F/11F/9F</t>
  </si>
  <si>
    <t>14-23</t>
  </si>
  <si>
    <t>9/9/7.2</t>
  </si>
  <si>
    <t>10.8/10.8/8.64</t>
  </si>
  <si>
    <t>9F/9F/7F</t>
  </si>
  <si>
    <t>持続3</t>
  </si>
  <si>
    <t>24-39</t>
  </si>
  <si>
    <t>7/7/5.6</t>
  </si>
  <si>
    <t>8.4/8.4/6.72</t>
  </si>
  <si>
    <t>7F/7F/6F</t>
  </si>
  <si>
    <t>8-9</t>
  </si>
  <si>
    <t xml:space="preserve">着地隙：30F
相殺なし。
ガケつかまり(前)：15F目以降
ガケつかまり(前後)：34F目以降
</t>
  </si>
  <si>
    <t>Hit 4</t>
  </si>
  <si>
    <t>Hit 5</t>
  </si>
  <si>
    <t>26-27</t>
  </si>
  <si>
    <t>31-32</t>
  </si>
  <si>
    <t>Hit 8</t>
  </si>
  <si>
    <t>38-39</t>
  </si>
  <si>
    <t>Hit 9</t>
  </si>
  <si>
    <t>47-49</t>
  </si>
  <si>
    <t>下B (リモコンバクダン)</t>
  </si>
  <si>
    <t>取り出し</t>
  </si>
  <si>
    <t>生成: 17F</t>
  </si>
  <si>
    <t>生成後1800F目に自動で爆発。
起爆は1F発生保障。
爆発は相殺なし。</t>
  </si>
  <si>
    <t>取り出し失敗</t>
  </si>
  <si>
    <t>起爆</t>
  </si>
  <si>
    <r>
      <rPr>
        <rFont val="Arial"/>
        <sz val="10.0"/>
      </rPr>
      <t>12-</t>
    </r>
    <r>
      <rPr>
        <rFont val="Arial"/>
        <sz val="10.0"/>
      </rPr>
      <t>13</t>
    </r>
  </si>
  <si>
    <t>2.5</t>
  </si>
  <si>
    <r>
      <rPr>
        <rFont val="Arial"/>
        <sz val="10.0"/>
      </rPr>
      <t>12-</t>
    </r>
    <r>
      <rPr>
        <rFont val="Arial"/>
        <sz val="10.0"/>
      </rPr>
      <t>13</t>
    </r>
  </si>
  <si>
    <r>
      <rPr>
        <rFont val="Arial"/>
        <sz val="10.0"/>
      </rPr>
      <t>26-</t>
    </r>
    <r>
      <rPr>
        <rFont val="Arial"/>
        <sz val="10.0"/>
      </rPr>
      <t>29</t>
    </r>
  </si>
  <si>
    <t>5/4</t>
  </si>
  <si>
    <t>6/4.8</t>
  </si>
  <si>
    <r>
      <rPr>
        <rFont val="Arial"/>
        <sz val="10.0"/>
      </rPr>
      <t>22-</t>
    </r>
    <r>
      <rPr>
        <rFont val="Arial"/>
        <sz val="10.0"/>
      </rPr>
      <t>23</t>
    </r>
  </si>
  <si>
    <t>48</t>
  </si>
  <si>
    <t>15-30Fは弱2に移行可能。</t>
  </si>
  <si>
    <t>6-9</t>
  </si>
  <si>
    <t>14-18</t>
  </si>
  <si>
    <t>9/10/11</t>
  </si>
  <si>
    <t>10.8/12/13.2</t>
  </si>
  <si>
    <t>9F/10F/10F</t>
  </si>
  <si>
    <t>15-18</t>
  </si>
  <si>
    <t>6-8</t>
  </si>
  <si>
    <t>13/13/15</t>
  </si>
  <si>
    <t>15.6/15.6/18</t>
  </si>
  <si>
    <t>9F/9F/10F</t>
  </si>
  <si>
    <t>溜め開始：4F目</t>
  </si>
  <si>
    <t>12/12/14</t>
  </si>
  <si>
    <t>14.4/14.4/16.8</t>
  </si>
  <si>
    <t>8F/8F/10F</t>
  </si>
  <si>
    <t>11/11/13.5</t>
  </si>
  <si>
    <t>13.2/13.2/16.2</t>
  </si>
  <si>
    <t>8F/8F/9F</t>
  </si>
  <si>
    <t>溜め開始：7F目</t>
  </si>
  <si>
    <t>15-16</t>
  </si>
  <si>
    <t>27-28</t>
  </si>
  <si>
    <t>8-11</t>
  </si>
  <si>
    <t>10.2</t>
  </si>
  <si>
    <t>8-34</t>
  </si>
  <si>
    <t>9.18</t>
  </si>
  <si>
    <t>16-22</t>
  </si>
  <si>
    <t>8.16</t>
  </si>
  <si>
    <t>3.06</t>
  </si>
  <si>
    <t>1-46</t>
  </si>
  <si>
    <t>Hit 2-4</t>
  </si>
  <si>
    <t>12-13,
18-19, 24-25</t>
  </si>
  <si>
    <t>1.632</t>
  </si>
  <si>
    <t>30-31</t>
  </si>
  <si>
    <t>5.1</t>
  </si>
  <si>
    <t>12/14</t>
  </si>
  <si>
    <t>14.4/16.8</t>
  </si>
  <si>
    <t>12.24/14.28</t>
  </si>
  <si>
    <t>9-41</t>
  </si>
  <si>
    <t>11-14</t>
  </si>
  <si>
    <t>3-33</t>
  </si>
  <si>
    <t>7-14
(Rehit: 3)</t>
  </si>
  <si>
    <t>1.326</t>
  </si>
  <si>
    <t>4.08</t>
  </si>
  <si>
    <t>4-33</t>
  </si>
  <si>
    <t>14.28</t>
  </si>
  <si>
    <t>空中ワイヤー</t>
  </si>
  <si>
    <t>8-15</t>
  </si>
  <si>
    <t>ワイヤーガケつかまり：2-5F</t>
  </si>
  <si>
    <t>NB (チャージショット)</t>
  </si>
  <si>
    <t>16-74</t>
  </si>
  <si>
    <t>最大溜め：112F
溜め・キャンセル開始：14F目
溜め中からの最速発生は3F。
キャンセルは空中ジャンプのみ全体5F。
回避・シールド・地上ジャンプは全体4F。
盾削り値：-2.5 ~ -12</t>
  </si>
  <si>
    <t>28</t>
  </si>
  <si>
    <t>横B (ミサイル)</t>
  </si>
  <si>
    <t>ホーミングミサイル</t>
  </si>
  <si>
    <t>18-135</t>
  </si>
  <si>
    <t>4F目までに弾き入力でスーパーミサイル。
スーパーミサイルは47F目から加速。</t>
  </si>
  <si>
    <t>スーパーミサイル</t>
  </si>
  <si>
    <t>21-96</t>
  </si>
  <si>
    <t>57</t>
  </si>
  <si>
    <t>61</t>
  </si>
  <si>
    <t>上B (スクリューアタック)</t>
  </si>
  <si>
    <t>全身無敵：3-6F (地上)
全身無敵：3-4F (空中)
着地隙：24F
ガケつかまり(前)：6F目以降
ガケつかまり(前後)：30F目以降</t>
  </si>
  <si>
    <t>連1</t>
  </si>
  <si>
    <t>7-11
(Rehit: 3)</t>
  </si>
  <si>
    <t>連2</t>
  </si>
  <si>
    <t>12-14
(Rehit: 3)</t>
  </si>
  <si>
    <t>連3</t>
  </si>
  <si>
    <t>15-24
(Rehit: 3)</t>
  </si>
  <si>
    <t>25-26</t>
  </si>
  <si>
    <t>5-10
(Rehit: 2)</t>
  </si>
  <si>
    <t>1/1/0.5</t>
  </si>
  <si>
    <t>11-26
(Rehit: 2)</t>
  </si>
  <si>
    <t>下B (ボム)</t>
  </si>
  <si>
    <t>ボム, 地上</t>
  </si>
  <si>
    <t>33-80</t>
  </si>
  <si>
    <t>ボム, 空中</t>
  </si>
  <si>
    <t>爆風</t>
  </si>
  <si>
    <t>1-18</t>
  </si>
  <si>
    <t>ボムジャンプ</t>
  </si>
  <si>
    <t>15-22
15-17</t>
  </si>
  <si>
    <t>17-24
17-19</t>
  </si>
  <si>
    <t>18-25
18-20</t>
  </si>
  <si>
    <t>4'</t>
  </si>
  <si>
    <t>10F10F/12F</t>
  </si>
  <si>
    <t>6-30Fは弱2に移行可能。
ボタン押しっぱなしでは16F目に移行。</t>
  </si>
  <si>
    <t>10-12</t>
  </si>
  <si>
    <t>40</t>
  </si>
  <si>
    <t>13-20</t>
  </si>
  <si>
    <t>5/4.5/4</t>
  </si>
  <si>
    <t>6/5.4/4.8</t>
  </si>
  <si>
    <t>6F/5F/5F</t>
  </si>
  <si>
    <t>転倒率：+30% (先端のみ)</t>
  </si>
  <si>
    <t>52</t>
  </si>
  <si>
    <t>15.5/14</t>
  </si>
  <si>
    <t>18.6/16.8</t>
  </si>
  <si>
    <t>10F/10F</t>
  </si>
  <si>
    <t>頭無敵：12-16F
溜め開始：8F目</t>
  </si>
  <si>
    <t>左足先無敵：11-13F
溜め開始：8F目</t>
  </si>
  <si>
    <t>12/10</t>
  </si>
  <si>
    <t>14.4/12</t>
  </si>
  <si>
    <t>8F/7F</t>
  </si>
  <si>
    <t>3-37</t>
  </si>
  <si>
    <t>12-25</t>
  </si>
  <si>
    <t>16-20</t>
  </si>
  <si>
    <t>15/14</t>
  </si>
  <si>
    <t>18/16.8</t>
  </si>
  <si>
    <t>15.3/14.28</t>
  </si>
  <si>
    <t>4-39</t>
  </si>
  <si>
    <t>HIt 1</t>
  </si>
  <si>
    <t>3.5</t>
  </si>
  <si>
    <t>6-43</t>
  </si>
  <si>
    <t>18-19</t>
  </si>
  <si>
    <t>5-30</t>
  </si>
  <si>
    <t>Hit 1-6</t>
  </si>
  <si>
    <t>16, 18, 20, 
22, 24, 26</t>
  </si>
  <si>
    <t>2.3</t>
  </si>
  <si>
    <t>14-49</t>
  </si>
  <si>
    <t>Hit 7-12</t>
  </si>
  <si>
    <t>28, 30, 32, 
34, 36, 38</t>
  </si>
  <si>
    <t>1.9</t>
  </si>
  <si>
    <t>Hit 13</t>
  </si>
  <si>
    <t>2.8</t>
  </si>
  <si>
    <t>着地, 対地のみ</t>
  </si>
  <si>
    <t>NB (たまご産み)</t>
  </si>
  <si>
    <t>失敗</t>
  </si>
  <si>
    <t>19-22</t>
  </si>
  <si>
    <t>成功</t>
  </si>
  <si>
    <t>全身無敵：29-51F</t>
  </si>
  <si>
    <t>横B (ごろごろたまご)</t>
  </si>
  <si>
    <t>転がり</t>
  </si>
  <si>
    <t>31-*
(Rehit: 32)</t>
  </si>
  <si>
    <t>10+</t>
  </si>
  <si>
    <t>12+</t>
  </si>
  <si>
    <t>10F+</t>
  </si>
  <si>
    <t>ダメージは速度依存。
最大の全体フレームは239F。</t>
  </si>
  <si>
    <t>解除</t>
  </si>
  <si>
    <t>上B (たまご投げ)</t>
  </si>
  <si>
    <t>ガケつかまり(前後)：22F目以降</t>
  </si>
  <si>
    <t>炸裂</t>
  </si>
  <si>
    <t>1-3</t>
  </si>
  <si>
    <t>下B (ヒップドロップ)</t>
  </si>
  <si>
    <t>Hit 1, 対地のみ</t>
  </si>
  <si>
    <t>(77)</t>
  </si>
  <si>
    <t>ガケつかまり(前後)：29F目以降 (地上)
ガケつかまり(前後)：18F目以降 (空中)</t>
  </si>
  <si>
    <t>27-*</t>
  </si>
  <si>
    <t>19-*</t>
  </si>
  <si>
    <t>4-13</t>
  </si>
  <si>
    <t>14-21
14-15</t>
  </si>
  <si>
    <t>16-23
16-17</t>
  </si>
  <si>
    <t>17-24
17-18</t>
  </si>
  <si>
    <t>17F目から8F硬直。</t>
  </si>
  <si>
    <t>踏み</t>
  </si>
  <si>
    <t>6回</t>
  </si>
  <si>
    <t>39F</t>
  </si>
  <si>
    <t>53F</t>
  </si>
  <si>
    <t>26F</t>
  </si>
  <si>
    <t>36F</t>
  </si>
  <si>
    <t>14
(4)</t>
  </si>
  <si>
    <t>1.8</t>
  </si>
  <si>
    <t>4-30Fは弱2に移行可能。
空振り時にボタン長押しで5F目から弱1でキャンセル可能。</t>
  </si>
  <si>
    <t>4F目から百裂に移行可能。</t>
  </si>
  <si>
    <t>百裂, 始</t>
  </si>
  <si>
    <t>百裂, 連</t>
  </si>
  <si>
    <t>3, 5, 7, 9, 
11, 13, 15, 17</t>
  </si>
  <si>
    <t>0.2</t>
  </si>
  <si>
    <t>ガード硬直補正倍率：7倍
最小8ヒット。
相殺なし。</t>
  </si>
  <si>
    <t>百裂, 〆</t>
  </si>
  <si>
    <t>9-17</t>
  </si>
  <si>
    <t>ぬるり判定消去：9-34F
相殺なし。</t>
  </si>
  <si>
    <t>18-26</t>
  </si>
  <si>
    <t>27-34</t>
  </si>
  <si>
    <t>5-8</t>
  </si>
  <si>
    <t>8/8/7</t>
  </si>
  <si>
    <t>9.6/9.6/8.4</t>
  </si>
  <si>
    <t>8F/8F/7F</t>
  </si>
  <si>
    <t>4-5</t>
  </si>
  <si>
    <t>20</t>
  </si>
  <si>
    <t>右足無敵：4-10F</t>
  </si>
  <si>
    <t>転倒率：+35% (根本)
転倒率：+30% (先端)</t>
  </si>
  <si>
    <t>13-15</t>
  </si>
  <si>
    <t>全シフト, 持続</t>
  </si>
  <si>
    <t>15/15/14</t>
  </si>
  <si>
    <t>18/18/16.8</t>
  </si>
  <si>
    <t>10F/10F/10F</t>
  </si>
  <si>
    <t>右足無敵：12-17F
溜め開始：9F目</t>
  </si>
  <si>
    <t>14/14/13</t>
  </si>
  <si>
    <t>16.8/16.8/15.6</t>
  </si>
  <si>
    <t>10F/10F/9F</t>
  </si>
  <si>
    <t>13/13/12</t>
  </si>
  <si>
    <t>15.6/15.6/14.4</t>
  </si>
  <si>
    <t>9F/9F/8F</t>
  </si>
  <si>
    <t>7-11</t>
  </si>
  <si>
    <t>両足無敵：3-11F
溜め開始：3F目</t>
  </si>
  <si>
    <t>12-19</t>
  </si>
  <si>
    <t>5-48</t>
  </si>
  <si>
    <t>19-32</t>
  </si>
  <si>
    <t>10-40</t>
  </si>
  <si>
    <t>25-27</t>
  </si>
  <si>
    <t>3-31</t>
  </si>
  <si>
    <t>8-13</t>
  </si>
  <si>
    <t>8-19</t>
  </si>
  <si>
    <t>18-19, 21-22, 
24-25, 27-28, 
30-31</t>
  </si>
  <si>
    <t>18-47</t>
  </si>
  <si>
    <t>NB (すいこみ)</t>
  </si>
  <si>
    <t>すいこみ, 風</t>
  </si>
  <si>
    <t>11-44
(Rehit: 10)</t>
  </si>
  <si>
    <t>63</t>
  </si>
  <si>
    <t>全身無敵：1-15F (敵すいこみ中)
すいこみ中は敵ファイターも全身無敵。
のみこみ, 星のダメージは敵ファイター依存。
攻撃判定のサイズが5.0以上で反射可能な飛び道具は、ダメージが0.8倍 (ただし整数値のみ)の星にしてはきだすことができる。
アイテム・飛び道具のみこみで1%回復。
爆発系アイテムのみこみで5% (6%)の自傷ダメージ。</t>
  </si>
  <si>
    <t>すいこみ</t>
  </si>
  <si>
    <t>10-44</t>
  </si>
  <si>
    <t>すいこみ解除</t>
  </si>
  <si>
    <t>のみこみ</t>
  </si>
  <si>
    <t>のみこみ, 星</t>
  </si>
  <si>
    <t>8-57</t>
  </si>
  <si>
    <t>地上はきだし</t>
  </si>
  <si>
    <t>空中はきだし</t>
  </si>
  <si>
    <t>はきだし, 星</t>
  </si>
  <si>
    <t>4F+</t>
  </si>
  <si>
    <t>たべもの</t>
  </si>
  <si>
    <t>取得：11F</t>
  </si>
  <si>
    <t>小アイテム等</t>
  </si>
  <si>
    <t>85</t>
  </si>
  <si>
    <t>爆発系アイテム</t>
  </si>
  <si>
    <t>71</t>
  </si>
  <si>
    <t>ピクミン&amp;オリマー</t>
  </si>
  <si>
    <t>24-*</t>
  </si>
  <si>
    <t>ダメージはピクミン&amp;オリマーのページ参照（コピーの1.2倍補正は適用されない）。</t>
  </si>
  <si>
    <t>空中, 失敗</t>
  </si>
  <si>
    <t>ロゼッタ&amp;チコ</t>
  </si>
  <si>
    <t>10-23</t>
  </si>
  <si>
    <t>溜め中からの最速発生は4F。
発射後、80F待機で再発射可能。</t>
  </si>
  <si>
    <t>4-20</t>
  </si>
  <si>
    <t>19.2</t>
  </si>
  <si>
    <t>横B (ハンマー)</t>
  </si>
  <si>
    <t>非最大溜め</t>
  </si>
  <si>
    <t>69</t>
  </si>
  <si>
    <t>19+</t>
  </si>
  <si>
    <t>22.8+</t>
  </si>
  <si>
    <t>17F+</t>
  </si>
  <si>
    <t>全身無敵：2-10F (地上, 最大溜め)
アーマー：11-17F (地上, 最大溜め)
最大溜め：120F
溜め開始：17F目
溜め中からの最速発生は11F。
ダメージ増加 = 溜めフレーム * 0.085
相殺なし。</t>
  </si>
  <si>
    <t>30F</t>
  </si>
  <si>
    <t>非最大, Hit 1</t>
  </si>
  <si>
    <t>28-29</t>
  </si>
  <si>
    <t>16+</t>
  </si>
  <si>
    <t>19.2+</t>
  </si>
  <si>
    <t>14F+</t>
  </si>
  <si>
    <t>非最大, Hit 2</t>
  </si>
  <si>
    <t>42-43</t>
  </si>
  <si>
    <t>24F</t>
  </si>
  <si>
    <t>上B (ファイナルカッター)</t>
  </si>
  <si>
    <t>23-26</t>
  </si>
  <si>
    <t>着地隙：30F
カッターは相殺なし。
ガケつかまり(前)：33F目以降
(Ver. 3.0.0で36F目以降 -&gt; 33F目以降に変更)</t>
  </si>
  <si>
    <t>Hit 2, メテオ</t>
  </si>
  <si>
    <t>41-49</t>
  </si>
  <si>
    <t>50-*</t>
  </si>
  <si>
    <t>カッター</t>
  </si>
  <si>
    <t>カッター, 持続</t>
  </si>
  <si>
    <t>3-17</t>
  </si>
  <si>
    <t>下B (ストーン)</t>
  </si>
  <si>
    <t>29-*</t>
  </si>
  <si>
    <t>(78)</t>
  </si>
  <si>
    <t>ヘビーアーマー：19-28F (空中, 25%)
ストーンHP：25%
HPを超えると攻撃判定 * 0.5のダメージを受ける。
地上からは11F目に着地。
相殺なし。</t>
  </si>
  <si>
    <t>45-46</t>
  </si>
  <si>
    <t>打撃部分は投げ中の相手にはヒットしない。
45F目から8F硬直。</t>
  </si>
  <si>
    <t>打撃 1-9</t>
  </si>
  <si>
    <r>
      <rPr>
        <rFont val="Arial"/>
        <sz val="10.0"/>
      </rPr>
      <t>9-</t>
    </r>
    <r>
      <rPr>
        <rFont val="Arial"/>
        <sz val="10.0"/>
      </rPr>
      <t xml:space="preserve">10, </t>
    </r>
    <r>
      <rPr>
        <rFont val="Arial"/>
        <sz val="10.0"/>
      </rPr>
      <t>13-</t>
    </r>
    <r>
      <rPr>
        <rFont val="Arial"/>
        <sz val="10.0"/>
      </rPr>
      <t xml:space="preserve">14, 
</t>
    </r>
    <r>
      <rPr>
        <rFont val="Arial"/>
        <sz val="10.0"/>
      </rPr>
      <t>17-</t>
    </r>
    <r>
      <rPr>
        <rFont val="Arial"/>
        <sz val="10.0"/>
      </rPr>
      <t xml:space="preserve">18, </t>
    </r>
    <r>
      <rPr>
        <rFont val="Arial"/>
        <sz val="10.0"/>
      </rPr>
      <t>21-</t>
    </r>
    <r>
      <rPr>
        <rFont val="Arial"/>
        <sz val="10.0"/>
      </rPr>
      <t xml:space="preserve">22, 
</t>
    </r>
    <r>
      <rPr>
        <rFont val="Arial"/>
        <sz val="10.0"/>
      </rPr>
      <t>25-</t>
    </r>
    <r>
      <rPr>
        <rFont val="Arial"/>
        <sz val="10.0"/>
      </rPr>
      <t xml:space="preserve">26, </t>
    </r>
    <r>
      <rPr>
        <rFont val="Arial"/>
        <sz val="10.0"/>
      </rPr>
      <t>29-</t>
    </r>
    <r>
      <rPr>
        <rFont val="Arial"/>
        <sz val="10.0"/>
      </rPr>
      <t xml:space="preserve">30, 
</t>
    </r>
    <r>
      <rPr>
        <rFont val="Arial"/>
        <sz val="10.0"/>
      </rPr>
      <t>33-</t>
    </r>
    <r>
      <rPr>
        <rFont val="Arial"/>
        <sz val="10.0"/>
      </rPr>
      <t xml:space="preserve">34, </t>
    </r>
    <r>
      <rPr>
        <rFont val="Arial"/>
        <sz val="10.0"/>
      </rPr>
      <t>37</t>
    </r>
    <r>
      <rPr>
        <rFont val="Arial"/>
        <sz val="10.0"/>
      </rPr>
      <t xml:space="preserve">-38, 
</t>
    </r>
    <r>
      <rPr>
        <rFont val="Arial"/>
        <sz val="10.0"/>
      </rPr>
      <t>41-</t>
    </r>
    <r>
      <rPr>
        <rFont val="Arial"/>
        <sz val="10.0"/>
      </rPr>
      <t>42</t>
    </r>
  </si>
  <si>
    <t>打撃 10</t>
  </si>
  <si>
    <r>
      <rPr>
        <rFont val="Arial"/>
        <sz val="10.0"/>
      </rPr>
      <t>56-</t>
    </r>
    <r>
      <rPr>
        <rFont val="Arial"/>
        <sz val="10.0"/>
      </rPr>
      <t>57</t>
    </r>
  </si>
  <si>
    <t>58</t>
  </si>
  <si>
    <t>19F</t>
  </si>
  <si>
    <t>17
(5)</t>
  </si>
  <si>
    <t>5-30Fは弱2に移行可能。
空振り時にボタン長押しで6F目から弱1でキャンセル可能。</t>
  </si>
  <si>
    <t>5F目から百裂に移行可能。
ヒット時ボタン押しっぱなしで6F目に移行。</t>
  </si>
  <si>
    <t>3, 5, 7, 9, 11</t>
  </si>
  <si>
    <t>ガード硬直補正倍率：6倍
最小5ヒット。
相殺なし。</t>
  </si>
  <si>
    <t>ガード硬直補正倍率：1.8倍</t>
  </si>
  <si>
    <t>3-5</t>
  </si>
  <si>
    <t>6/6/7/8</t>
  </si>
  <si>
    <t>7.2/7.2/8.4/9.6</t>
  </si>
  <si>
    <t>6F/6F/7F/8F</t>
  </si>
  <si>
    <t>5/5/6/6</t>
  </si>
  <si>
    <t>6/6/7.2/7.2</t>
  </si>
  <si>
    <t>6F/6F/6F/6F</t>
  </si>
  <si>
    <t>相殺モーションなし。
溜め開始：5F目</t>
  </si>
  <si>
    <t>14/14/12/12</t>
  </si>
  <si>
    <t>16.8/16.8/14.4/14.4</t>
  </si>
  <si>
    <t>10F/10F/8F/8F</t>
  </si>
  <si>
    <t>両足無敵：6-7F
溜め開始：3F目</t>
  </si>
  <si>
    <t>4-31</t>
  </si>
  <si>
    <t>7-23</t>
  </si>
  <si>
    <t>1-44</t>
  </si>
  <si>
    <t>着地判定は1-26Fに着地した場合にのみ発生。</t>
  </si>
  <si>
    <t>21-22</t>
  </si>
  <si>
    <t>9-11</t>
  </si>
  <si>
    <t>7-17</t>
  </si>
  <si>
    <t>9-24</t>
  </si>
  <si>
    <t>5-6, 8-9, 
11-12, 14-15, 
17-18, 20-21</t>
  </si>
  <si>
    <t>5-27</t>
  </si>
  <si>
    <t>NB (ブラスター)</t>
  </si>
  <si>
    <t>1発追加毎に10F追加。
相殺なし。</t>
  </si>
  <si>
    <t>13-19</t>
  </si>
  <si>
    <t>20-32</t>
  </si>
  <si>
    <t>11-17</t>
  </si>
  <si>
    <t>18-30</t>
  </si>
  <si>
    <t>横B (フォックスイリュージョン)</t>
  </si>
  <si>
    <t>25-29</t>
  </si>
  <si>
    <t>55
(52)</t>
  </si>
  <si>
    <t>着地隙：16F
25-26Fの判定をガードされると、全体フレームが3F減少する。
最低空空中横Bは踏切込みで全体57F。
ガケつかまり(前)：25F目以降</t>
  </si>
  <si>
    <t>72
(69)</t>
  </si>
  <si>
    <t>上B (ファイアフォックス)</t>
  </si>
  <si>
    <t>Hit 1-7</t>
  </si>
  <si>
    <t>20, 22, 24, 
26, 28, 30, 32</t>
  </si>
  <si>
    <t>(91)</t>
  </si>
  <si>
    <t>着地隙：20F
Hit 1-7は相殺なし。
ガケつかまり(前後)：44F目以降</t>
  </si>
  <si>
    <t>43-46</t>
  </si>
  <si>
    <t>Hit 8, 持続</t>
  </si>
  <si>
    <t>47-72</t>
  </si>
  <si>
    <t>下B (リフレクター)</t>
  </si>
  <si>
    <t>最短</t>
  </si>
  <si>
    <t>3
(反射：4-23F)</t>
  </si>
  <si>
    <t>全身無敵：2-3F
反射：4-23F (最短)
相殺なし。</t>
  </si>
  <si>
    <t>反射時</t>
  </si>
  <si>
    <t>19
(+13)</t>
  </si>
  <si>
    <t>反射ダメージ倍率：1.4倍
反射速度倍率：1.4倍
飛び道具持続倍率：1倍
モーションは回避・ジャンプキャンセル可。</t>
  </si>
  <si>
    <t>ブラスター</t>
  </si>
  <si>
    <t>17-38, 
20-41, 23-44</t>
  </si>
  <si>
    <t>ブラスターは相殺なし。</t>
  </si>
  <si>
    <t>18-39, 
21-42, 24-45</t>
  </si>
  <si>
    <t>26-?, 
29-?, 32-?</t>
  </si>
  <si>
    <t>1-33</t>
  </si>
  <si>
    <t>1-25</t>
  </si>
  <si>
    <t>1-12</t>
  </si>
  <si>
    <t>1-21</t>
  </si>
  <si>
    <t>1-20</t>
  </si>
  <si>
    <t>26</t>
  </si>
  <si>
    <t>1-22</t>
  </si>
  <si>
    <t>1-19</t>
  </si>
  <si>
    <t>1-24</t>
  </si>
  <si>
    <t>1-5</t>
  </si>
  <si>
    <t>1-16</t>
  </si>
  <si>
    <t>1-9</t>
  </si>
  <si>
    <t>1-7</t>
  </si>
  <si>
    <t>17
(6)</t>
  </si>
  <si>
    <t>1.4/1.2/1</t>
  </si>
  <si>
    <t>1.68/1.44/1.2</t>
  </si>
  <si>
    <t>3F/2F/2F</t>
  </si>
  <si>
    <t>ボタン長押しで7F目から弱1でキャンセル可能。
相殺なし。</t>
  </si>
  <si>
    <t>17F</t>
  </si>
  <si>
    <t>7-13</t>
  </si>
  <si>
    <t>転倒率：+30%</t>
  </si>
  <si>
    <t>53</t>
  </si>
  <si>
    <r>
      <rPr>
        <rFont val="Arial"/>
        <sz val="10.0"/>
      </rPr>
      <t xml:space="preserve">持続以外相殺なし。
持続は相殺モーションなし。
</t>
    </r>
    <r>
      <rPr>
        <rFont val="Arial"/>
        <sz val="10.0"/>
      </rPr>
      <t>溜め開始：10F目</t>
    </r>
  </si>
  <si>
    <t>17-19</t>
  </si>
  <si>
    <t>20-29</t>
  </si>
  <si>
    <t>14/13/13</t>
  </si>
  <si>
    <t>16.8/15.6/15.6</t>
  </si>
  <si>
    <t>10F/9F/9F</t>
  </si>
  <si>
    <r>
      <rPr>
        <rFont val="Arial"/>
        <sz val="10.0"/>
      </rPr>
      <t xml:space="preserve">持続2のみ相殺なし。
</t>
    </r>
    <r>
      <rPr>
        <rFont val="Arial"/>
        <sz val="10.0"/>
      </rPr>
      <t>溜め開始：3F目</t>
    </r>
  </si>
  <si>
    <t>8-9, 
11-12, 14-15, 
17-18, 20-21</t>
  </si>
  <si>
    <t>65</t>
  </si>
  <si>
    <r>
      <rPr>
        <rFont val="Arial"/>
        <sz val="10.0"/>
      </rPr>
      <t xml:space="preserve">相殺なし。
</t>
    </r>
    <r>
      <rPr>
        <rFont val="Arial"/>
        <sz val="10.0"/>
      </rPr>
      <t>溜め開始：3F目</t>
    </r>
  </si>
  <si>
    <t>Hit 1-3</t>
  </si>
  <si>
    <t>3-6, 9-12, 
15-18</t>
  </si>
  <si>
    <t>1-36</t>
  </si>
  <si>
    <t>11-25
(Rehit: 3)</t>
  </si>
  <si>
    <t>5-31</t>
  </si>
  <si>
    <t>4-5, 8-9, 12-13,
16-17, 20-21</t>
  </si>
  <si>
    <t>4-37</t>
  </si>
  <si>
    <t>3.6</t>
  </si>
  <si>
    <t>6/6/5</t>
  </si>
  <si>
    <t>7.2/7.2/6</t>
  </si>
  <si>
    <t>6.12/6.12/5.1</t>
  </si>
  <si>
    <t>3F/3F/3F</t>
  </si>
  <si>
    <t>4-17</t>
  </si>
  <si>
    <t>1-38</t>
  </si>
  <si>
    <t>16-26</t>
  </si>
  <si>
    <t>NB (でんげき)</t>
  </si>
  <si>
    <t>電撃</t>
  </si>
  <si>
    <t>19-52</t>
  </si>
  <si>
    <t>6/5</t>
  </si>
  <si>
    <t>7.2/6</t>
  </si>
  <si>
    <t>3F/3F</t>
  </si>
  <si>
    <t>電撃, 持続1</t>
  </si>
  <si>
    <t>53-85</t>
  </si>
  <si>
    <t>3F/2F</t>
  </si>
  <si>
    <t>電撃, 持続2</t>
  </si>
  <si>
    <t>86-114</t>
  </si>
  <si>
    <t>4/3</t>
  </si>
  <si>
    <t>4.8/3.6</t>
  </si>
  <si>
    <t>2F/2F</t>
  </si>
  <si>
    <t>電撃弾</t>
  </si>
  <si>
    <t>19-116</t>
  </si>
  <si>
    <t>横B (ロケットずつき)</t>
  </si>
  <si>
    <t>18-52</t>
  </si>
  <si>
    <t>74</t>
  </si>
  <si>
    <t>6.2 ~ 21.4</t>
  </si>
  <si>
    <t>7.44 ~ 25.68</t>
  </si>
  <si>
    <t>6F ~ 19F</t>
  </si>
  <si>
    <t>最大溜め：80F
溜め開始：14F目
スマッシュ入力で溜め時間+20Fから開始。
ガケつかまり(前)：14F目以降 (発射後)
ガケつかまり(前後)：41F目以降 (発射後)
ガケつかまり(前後)：2F目以降 (衝突後)</t>
  </si>
  <si>
    <t>衝突後</t>
  </si>
  <si>
    <t>上B (でんこうせっか)</t>
  </si>
  <si>
    <t>15-19</t>
  </si>
  <si>
    <t>(43)</t>
  </si>
  <si>
    <t>着地隙：24F
Hit 1のみ相殺モーションなし。
ガケつかまり(前後)：16F目以降 (1回目)
ガケつかまり(前後)：1F目以降 (2回目)</t>
  </si>
  <si>
    <t>29-33</t>
  </si>
  <si>
    <t>(57)</t>
  </si>
  <si>
    <t>下B (かみなり)</t>
  </si>
  <si>
    <t>稲妻</t>
  </si>
  <si>
    <t>13-15, 21-23</t>
  </si>
  <si>
    <t>86</t>
  </si>
  <si>
    <t>全身無敵：1-10F (接触, 地上)
全身無敵：1-8F (接触, 空中)
雷雲生成：2F
平坦な地形で地上から出した場合、34F目に接触。全体フレームは74F。
接触すると稲妻の攻撃判定消去。
稲妻は相殺なし。
接触は相殺モーションなし。</t>
  </si>
  <si>
    <t>稲妻, 持続</t>
  </si>
  <si>
    <t>16-85, 24-93</t>
  </si>
  <si>
    <t>接触, 地上</t>
  </si>
  <si>
    <t>接触, 空中</t>
  </si>
  <si>
    <t>11-14, 15-18
19-22, 23-26</t>
  </si>
  <si>
    <t>14F目から両者9F硬直。
21F目から敵のみ9F硬直。</t>
  </si>
  <si>
    <t>18
(6)</t>
  </si>
  <si>
    <t>5-20Fは弱2に移行可能。
ボタン長押しで7F目から弱1でキャンセル可能。</t>
  </si>
  <si>
    <t>6-30Fは弱2に移行可能。</t>
  </si>
  <si>
    <t>Hit 1-4</t>
  </si>
  <si>
    <t>4, 8, 12, 16</t>
  </si>
  <si>
    <t>32</t>
  </si>
  <si>
    <t>5-10</t>
  </si>
  <si>
    <t>溜め開始：5F目
シフトでリアクション値やベクトルが変化。</t>
  </si>
  <si>
    <t>14/12</t>
  </si>
  <si>
    <t>16.8/14.4</t>
  </si>
  <si>
    <t>10F/8F</t>
  </si>
  <si>
    <t>頭無敵：9-13F
溜め開始：7F目</t>
  </si>
  <si>
    <t>下アピール</t>
  </si>
  <si>
    <t>OP相殺にはカウントされないが、OPボーナスのみ適用される。</t>
  </si>
  <si>
    <t>3-35</t>
  </si>
  <si>
    <t>6-31</t>
  </si>
  <si>
    <t>7-10</t>
  </si>
  <si>
    <t>2-20</t>
  </si>
  <si>
    <t>14/8</t>
  </si>
  <si>
    <t>16.8/9.6</t>
  </si>
  <si>
    <t>14.28/8.16</t>
  </si>
  <si>
    <t>5F/4F</t>
  </si>
  <si>
    <t>3-32</t>
  </si>
  <si>
    <t>2-18</t>
  </si>
  <si>
    <t>6-23</t>
  </si>
  <si>
    <t>14-68</t>
  </si>
  <si>
    <t>20
(8)</t>
  </si>
  <si>
    <t>1-48</t>
  </si>
  <si>
    <t>2-13Fに着地でモーション移行。
49-52Fに着地では着地隙8F。
14-?Fは壁吸着に移行可能 (移行すると判定消失)。</t>
  </si>
  <si>
    <t>6-61
(6-30)</t>
  </si>
  <si>
    <t>17-45</t>
  </si>
  <si>
    <t>46-66</t>
  </si>
  <si>
    <t>横B (ルイージロケット)</t>
  </si>
  <si>
    <t>22-60</t>
  </si>
  <si>
    <t>79</t>
  </si>
  <si>
    <t>6 ~ 21</t>
  </si>
  <si>
    <t>7.2 ~ 25.2</t>
  </si>
  <si>
    <t>6F ~ 18F</t>
  </si>
  <si>
    <t>全身無敵：1-5F (発射, 最速で18-22F)
最大溜め：90F
溜め開始：17F目
スマッシュ入力で溜め時間20F目から開始。
溜め150Fで不発に移行。
暴発確率は10%。
壁突き刺さりはX速度1.8以上のとき50%。
着地隙：39F</t>
  </si>
  <si>
    <t>暴発, 溜め無し</t>
  </si>
  <si>
    <t>発射後</t>
  </si>
  <si>
    <t>接触後, 地上</t>
  </si>
  <si>
    <t>接触後, 空中</t>
  </si>
  <si>
    <t>不発</t>
  </si>
  <si>
    <t>突き刺さり</t>
  </si>
  <si>
    <t>92</t>
  </si>
  <si>
    <r>
      <rPr>
        <rFont val="Arial"/>
        <sz val="10.0"/>
      </rPr>
      <t xml:space="preserve">全身無敵：8-10F (地上)
全身無敵：6-8F (空中)
着地隙：45F
</t>
    </r>
    <r>
      <rPr>
        <rFont val="Arial"/>
        <sz val="10.0"/>
      </rPr>
      <t xml:space="preserve">
ガケつかまり(前)：11F目以降</t>
    </r>
  </si>
  <si>
    <t>(8F目)</t>
  </si>
  <si>
    <t>9-23</t>
  </si>
  <si>
    <t>18F</t>
  </si>
  <si>
    <t>(6F目)</t>
  </si>
  <si>
    <t>下B (ルイージサイクロン)</t>
  </si>
  <si>
    <t>10-33
(Rehit: 6/6/6/10)</t>
  </si>
  <si>
    <t>2/2/2/0</t>
  </si>
  <si>
    <t>全身無敵：4-8F (当たりあり, 地上)
全身無敵：1-7F (当たりあり, 空中)</t>
  </si>
  <si>
    <t>14-20
14-15</t>
  </si>
  <si>
    <t>13F目に壁があると衝突して消滅。
14-20Fは壁吸着に移行可能 (移行すると判定消失)。</t>
  </si>
  <si>
    <t>16-22
16-17</t>
  </si>
  <si>
    <t>15F目に壁があると衝突して消滅。
16-22Fは壁吸着に移行可能 (移行すると判定消失)。</t>
  </si>
  <si>
    <t>17-23
17-18</t>
  </si>
  <si>
    <t>16F目に壁があると衝突して消滅。
17-23Fは壁吸着に移行可能 (移行すると判定消失)。</t>
  </si>
  <si>
    <t>14F目から5F硬直。</t>
  </si>
  <si>
    <t>18-28</t>
  </si>
  <si>
    <t>19
(7)</t>
  </si>
  <si>
    <t>5-30Fは弱2に移行可能。
空振り時にボタン長押しで8F目から弱1でキャンセル可能。</t>
  </si>
  <si>
    <t>1.5</t>
  </si>
  <si>
    <t>6-30Fは弱3に移行可能。</t>
  </si>
  <si>
    <t>Hit 1, 対地</t>
  </si>
  <si>
    <t>1/0</t>
  </si>
  <si>
    <t>Hit 1, 対空</t>
  </si>
  <si>
    <t>7/3</t>
  </si>
  <si>
    <t>8.4/3.6</t>
  </si>
  <si>
    <t>9/7</t>
  </si>
  <si>
    <t>10.8/8.4</t>
  </si>
  <si>
    <t>9F/7F</t>
  </si>
  <si>
    <t>11 (5)</t>
  </si>
  <si>
    <t>4.5/3</t>
  </si>
  <si>
    <t>5.4/3.6</t>
  </si>
  <si>
    <t>6F目から下強でキャンセル可能。</t>
  </si>
  <si>
    <t>21-22
(反射：18-30F)</t>
  </si>
  <si>
    <t>18/20/22</t>
  </si>
  <si>
    <t>21.6/24/26.4</t>
  </si>
  <si>
    <t>12F/13F/14F</t>
  </si>
  <si>
    <t>反射：18-30F
反射ダメージ倍率：2倍
反射速度倍率：2.5倍
飛び道具持続倍率：0.5倍
溜め開始：11F目</t>
  </si>
  <si>
    <t>溜め</t>
  </si>
  <si>
    <t>10-71
(Rehit: 4)</t>
  </si>
  <si>
    <t>溜め開始：10F目
本体付随の飛び道具：
・相殺判定を持つすべての判定と相殺する。
・ガード時、攻撃側の硬直がガード側の硬直よりも長くなる。</t>
  </si>
  <si>
    <t>10-32</t>
  </si>
  <si>
    <t>12-71
(Rehit: 4)</t>
  </si>
  <si>
    <t>溜め開始：12F目
本体付随の飛び道具：
・相殺判定を持つすべての判定と相殺する。
・ガード時、攻撃側の硬直がガード側の硬直よりも長くなる。</t>
  </si>
  <si>
    <t>後方1</t>
  </si>
  <si>
    <t>12-15
(Rehit: 4)</t>
  </si>
  <si>
    <t>後方2</t>
  </si>
  <si>
    <t>前方1</t>
  </si>
  <si>
    <t>23-25</t>
  </si>
  <si>
    <t>前方2</t>
  </si>
  <si>
    <t>5-12</t>
  </si>
  <si>
    <t>5-25</t>
  </si>
  <si>
    <t>8-18
(Rehit: 5)</t>
  </si>
  <si>
    <t>8-32</t>
  </si>
  <si>
    <t>連のみ相殺なし。</t>
  </si>
  <si>
    <t>10-24</t>
  </si>
  <si>
    <t>12-18</t>
  </si>
  <si>
    <t>8-14
(Rehit: 2)</t>
  </si>
  <si>
    <t>8-33</t>
  </si>
  <si>
    <t>20-38</t>
  </si>
  <si>
    <t>21-24</t>
  </si>
  <si>
    <t>NB (PKフラッシュ)</t>
  </si>
  <si>
    <t>40-44</t>
  </si>
  <si>
    <t>溜め後発生：14F
チャージ最小：14F
最大保持：92F
溜め開始：14F目
相殺なし。</t>
  </si>
  <si>
    <t>117-121</t>
  </si>
  <si>
    <t>138</t>
  </si>
  <si>
    <t>横B (PKファイヤー)</t>
  </si>
  <si>
    <t>炎</t>
  </si>
  <si>
    <t>18-37</t>
  </si>
  <si>
    <t>着地隙：12F
着弾の1F後に発火。
火柱は相殺なし。</t>
  </si>
  <si>
    <t>火柱</t>
  </si>
  <si>
    <t>1-100
(Rehit: 7)</t>
  </si>
  <si>
    <t>上B (PKサンダー)</t>
  </si>
  <si>
    <t>弾, 本体</t>
  </si>
  <si>
    <t>20-139
(Rehit: 48)</t>
  </si>
  <si>
    <t>全身無敵：1-9F (体当たり)
頭無敵：10-32F (体当たり)
着地隙：24F
10Fまでは弾消失はなし。
激突モーション中は1回のみ再度上B使用可能。
体当たりの本当ては相殺モーションなし。
ガケつかまり(前後)：12F目以降 (弾消滅後)
ガケつかまり(前)：2F目以降 (体当たり)</t>
  </si>
  <si>
    <t>弾, 尾</t>
  </si>
  <si>
    <t>弾消失</t>
  </si>
  <si>
    <t>体当たり</t>
  </si>
  <si>
    <t>1-10</t>
  </si>
  <si>
    <t>体当たり, 持続</t>
  </si>
  <si>
    <t>11-32</t>
  </si>
  <si>
    <t>体当たり, 激突</t>
  </si>
  <si>
    <t>下B (サイマグネット)</t>
  </si>
  <si>
    <t>最速</t>
  </si>
  <si>
    <t>7-12
(27-32)</t>
  </si>
  <si>
    <t>吸収：7-15F（最短）
地上のみ相殺なし。</t>
  </si>
  <si>
    <t>解除, 風</t>
  </si>
  <si>
    <t>吸収時</t>
  </si>
  <si>
    <t>16
(+9)</t>
  </si>
  <si>
    <t>回復倍率：1.6倍
最大回復量：30%
モーションは回避・ジャンプキャンセル可。</t>
  </si>
  <si>
    <t>打撃, Hit 1-3</t>
  </si>
  <si>
    <t>6-9, 10-13, 
14-17</t>
  </si>
  <si>
    <t>0.5</t>
  </si>
  <si>
    <t>打撃, Hit 4</t>
  </si>
  <si>
    <t>26-29</t>
  </si>
  <si>
    <t>5-30Fは弱2に移行可能。
空振り時にボタン長押しで7F目から弱1でキャンセル可能。</t>
  </si>
  <si>
    <t>10-30Fは弱3に移行可能。
7-9Fは百裂に移行可能。</t>
  </si>
  <si>
    <t>5, 7, 9, 11,
13, 15, 17, 19</t>
  </si>
  <si>
    <t>ガード硬直補正倍率：9倍
最小8ヒット。
相殺なし。</t>
  </si>
  <si>
    <t xml:space="preserve">ガード硬直補正倍率：1.5倍
                </t>
  </si>
  <si>
    <t>10-16</t>
  </si>
  <si>
    <t>9/9/10</t>
  </si>
  <si>
    <t>10.8/10.8/12</t>
  </si>
  <si>
    <t>8/8/9</t>
  </si>
  <si>
    <t>9.6/9.6/10.8</t>
  </si>
  <si>
    <t>14-17</t>
  </si>
  <si>
    <t>右足無敵：14-17F</t>
  </si>
  <si>
    <t>溜め開始：12F目
上下シフトでベクトルとリアクション値が異なる。</t>
  </si>
  <si>
    <t>22</t>
  </si>
  <si>
    <t>7/12</t>
  </si>
  <si>
    <t>8.4/14.4</t>
  </si>
  <si>
    <t>6F/8F</t>
  </si>
  <si>
    <t>右足無敵：22-23F
左足無敵：28-29F
溜め開始：9F目</t>
  </si>
  <si>
    <t>溜め開始：12F目</t>
  </si>
  <si>
    <t>22/6</t>
  </si>
  <si>
    <t>26.4/7.2</t>
  </si>
  <si>
    <t>22.44/6.12</t>
  </si>
  <si>
    <t>7F/3F</t>
  </si>
  <si>
    <t>5-41</t>
  </si>
  <si>
    <t>転倒率：+20%（持続のみ）</t>
  </si>
  <si>
    <t>15-30</t>
  </si>
  <si>
    <t>5-18</t>
  </si>
  <si>
    <t>12-15</t>
  </si>
  <si>
    <t>10/9</t>
  </si>
  <si>
    <t>12/10.8</t>
  </si>
  <si>
    <t>10.2/9.18</t>
  </si>
  <si>
    <t>4F/4F</t>
  </si>
  <si>
    <t>1-23</t>
  </si>
  <si>
    <t>9/8</t>
  </si>
  <si>
    <t>10.8/9.6</t>
  </si>
  <si>
    <t>9.18/8.16</t>
  </si>
  <si>
    <t>16-18</t>
  </si>
  <si>
    <t>4-38</t>
  </si>
  <si>
    <t>NB (ファルコンパンチ)</t>
  </si>
  <si>
    <t>53-57</t>
  </si>
  <si>
    <t>103</t>
  </si>
  <si>
    <t>反転入力受付：15F目
相殺なし。</t>
  </si>
  <si>
    <t>反転</t>
  </si>
  <si>
    <t>62-66</t>
  </si>
  <si>
    <t>117</t>
  </si>
  <si>
    <t>横B (ファルコンナックル)</t>
  </si>
  <si>
    <t>感知</t>
  </si>
  <si>
    <t>ヘビーアーマー：1-5F（10%, 攻撃）
相殺モーションなし。</t>
  </si>
  <si>
    <t>19-35</t>
  </si>
  <si>
    <t>着地隙：22F
ガケつかまり(後)：20-25F (移動)
ガケつかまり(前後)：26F目以降 (移動)
ガケつかまり(前後)：8F目以降 (攻撃)</t>
  </si>
  <si>
    <t>上B (ファルコンダイブ)</t>
  </si>
  <si>
    <t>特殊つかみ</t>
  </si>
  <si>
    <t>14-30</t>
  </si>
  <si>
    <t>着地隙：24F
ガケつかまり(前)：20F目以降
ガケつかまり(前後)：37F目以降</t>
  </si>
  <si>
    <t>(14F目)</t>
  </si>
  <si>
    <t>抱きつき</t>
  </si>
  <si>
    <t>リリース</t>
  </si>
  <si>
    <t>下B (ファルコンキック)</t>
  </si>
  <si>
    <t>13-16</t>
  </si>
  <si>
    <t>68</t>
  </si>
  <si>
    <t>17-23</t>
  </si>
  <si>
    <t>24-33</t>
  </si>
  <si>
    <t>着地隙：35F</t>
  </si>
  <si>
    <t>19-24</t>
  </si>
  <si>
    <t>16
(11)</t>
  </si>
  <si>
    <r>
      <rPr>
        <rFont val="Arial"/>
        <sz val="10.0"/>
      </rPr>
      <t>8</t>
    </r>
    <r>
      <rPr>
        <rFont val="Arial"/>
        <sz val="10.0"/>
      </rPr>
      <t>-30</t>
    </r>
    <r>
      <rPr>
        <rFont val="Arial"/>
        <sz val="10.0"/>
      </rPr>
      <t>Fは弱2に移行可能。</t>
    </r>
    <r>
      <rPr>
        <rFont val="Arial"/>
        <sz val="10.0"/>
      </rPr>
      <t xml:space="preserve">
</t>
    </r>
    <r>
      <rPr>
        <rFont val="Arial"/>
        <sz val="10.0"/>
      </rPr>
      <t>空振り時にボタン長押しで12F目から弱1でキャンセル可能。</t>
    </r>
  </si>
  <si>
    <t>相殺モーションなし。</t>
  </si>
  <si>
    <t>8-20</t>
  </si>
  <si>
    <t>20-24</t>
  </si>
  <si>
    <t>溜め開始：9F目</t>
  </si>
  <si>
    <t>両足無敵：14-16F
溜め開始：5F目</t>
  </si>
  <si>
    <t>8-30</t>
  </si>
  <si>
    <t>4-27</t>
  </si>
  <si>
    <t>10-20</t>
  </si>
  <si>
    <t>4-25</t>
  </si>
  <si>
    <t>9-21</t>
  </si>
  <si>
    <t>4-34</t>
  </si>
  <si>
    <t>Hit 1-8</t>
  </si>
  <si>
    <t>7-8, 10-11, 
13-14, 16-17, 
19-20, 22-23, 
25-26, 28-29</t>
  </si>
  <si>
    <t>2-41</t>
  </si>
  <si>
    <t>(67)</t>
  </si>
  <si>
    <t>10 ~ 20</t>
  </si>
  <si>
    <t>12 ~ 24</t>
  </si>
  <si>
    <t>10F ~ 18F</t>
  </si>
  <si>
    <t>最大溜め：35F
溜め開始：16F目
着地隙：20F
ダメージ = INT(速度 * 1.5 * 3.4)
速度2以上で攻撃判定が発生。
ガケつかまり(前後)：1F目以降 (転がり中)
ガケつかまり(前)：40F目以降 (ヒット後)</t>
  </si>
  <si>
    <r>
      <rPr>
        <rFont val="Arial"/>
        <sz val="10.0"/>
      </rPr>
      <t>13</t>
    </r>
    <r>
      <rPr>
        <rFont val="Arial"/>
        <sz val="10.0"/>
      </rPr>
      <t>-28</t>
    </r>
  </si>
  <si>
    <t>15F</t>
  </si>
  <si>
    <t>ガード硬直補正倍率：1.5倍
ガケつかまり(前)：30F目以降
ガケつかまり(前後)：42F目以降</t>
  </si>
  <si>
    <t>149</t>
  </si>
  <si>
    <t>判定は対地のみヒット。
睡眠属性。
相殺なし。
ガケつかまり(前後)：2F目以降</t>
  </si>
  <si>
    <t>61-70</t>
  </si>
  <si>
    <t>100-115</t>
  </si>
  <si>
    <t>空振り時</t>
  </si>
  <si>
    <r>
      <rPr>
        <rFont val="Arial"/>
        <sz val="10.0"/>
      </rPr>
      <t>2</t>
    </r>
    <r>
      <rPr>
        <rFont val="Arial"/>
        <sz val="10.0"/>
      </rPr>
      <t>-4</t>
    </r>
  </si>
  <si>
    <t>209</t>
  </si>
  <si>
    <t>全身無敵：1-27F
相殺なし。</t>
  </si>
  <si>
    <t>ヒット時</t>
  </si>
  <si>
    <t>186</t>
  </si>
  <si>
    <r>
      <rPr>
        <rFont val="Arial"/>
        <sz val="10.0"/>
      </rPr>
      <t>10-</t>
    </r>
    <r>
      <rPr>
        <rFont val="Arial"/>
        <sz val="10.0"/>
      </rPr>
      <t>11</t>
    </r>
  </si>
  <si>
    <t>20F目から8F硬直。</t>
  </si>
  <si>
    <r>
      <rPr>
        <rFont val="Arial"/>
        <sz val="10.0"/>
      </rPr>
      <t>60-</t>
    </r>
    <r>
      <rPr>
        <rFont val="Arial"/>
        <sz val="10.0"/>
      </rPr>
      <t>61</t>
    </r>
  </si>
  <si>
    <t>83</t>
  </si>
  <si>
    <t>7-30Fは弱2に移行可能。
ボタン押しっぱなしでは14F目に移行。</t>
  </si>
  <si>
    <t>ガード硬直補正倍率：2.9倍 (Hit 1のみ)</t>
  </si>
  <si>
    <t>7/7/8</t>
  </si>
  <si>
    <t>8.4/8.4/9.6</t>
  </si>
  <si>
    <t>7F/7F/8F</t>
  </si>
  <si>
    <t>10-15</t>
  </si>
  <si>
    <t>8/10</t>
  </si>
  <si>
    <t>9.6/12</t>
  </si>
  <si>
    <t>8F/10F</t>
  </si>
  <si>
    <t>ハート部分のみ相殺なし。</t>
  </si>
  <si>
    <t>フライパン</t>
  </si>
  <si>
    <t>溜め開始：6F目</t>
  </si>
  <si>
    <t>ゴルフクラブ</t>
  </si>
  <si>
    <t>テニスラケット</t>
  </si>
  <si>
    <t>13.5</t>
  </si>
  <si>
    <t>17/15/12/12</t>
  </si>
  <si>
    <t>20.4/18/14.4/14.4</t>
  </si>
  <si>
    <t>11F/10F/8F/8F</t>
  </si>
  <si>
    <t>頭・両腕無敵：14-20F
両脇部分のみ相殺なし。                
溜め開始：10F目</t>
  </si>
  <si>
    <t>10/12</t>
  </si>
  <si>
    <t>12/14.4</t>
  </si>
  <si>
    <t>7F/8F</t>
  </si>
  <si>
    <t>6-7, 10-11, 
14-15, 18-19,
22-12, 26-27</t>
  </si>
  <si>
    <t>5-35</t>
  </si>
  <si>
    <t>9-19</t>
  </si>
  <si>
    <t>14/15</t>
  </si>
  <si>
    <t>16.8/18</t>
  </si>
  <si>
    <t>14.28/15.3</t>
  </si>
  <si>
    <t>5-29</t>
  </si>
  <si>
    <t>5-40</t>
  </si>
  <si>
    <t>Hit 1, 持続1</t>
  </si>
  <si>
    <t>Hit 2, 持続2</t>
  </si>
  <si>
    <t>Hit 2, 持続1</t>
  </si>
  <si>
    <t>12-13, 
18-19, 24-25</t>
  </si>
  <si>
    <t>2/1</t>
  </si>
  <si>
    <t>2.4/1.2</t>
  </si>
  <si>
    <t>2.04/1.02</t>
  </si>
  <si>
    <t>12-37</t>
  </si>
  <si>
    <t>NB (キノピオガード)</t>
  </si>
  <si>
    <t>カウンター</t>
  </si>
  <si>
    <t>受付：9-34F</t>
  </si>
  <si>
    <t>全身無敵：8-10F
カウンター受付：9-34F</t>
  </si>
  <si>
    <t>3-16, 6-19, 
9-22, 12-25, 
15-28, 18-31</t>
  </si>
  <si>
    <t>全身無敵：1-3F
カウンター成立時に18F硬直。
反転時は敵のみ18F硬直。
相殺なし。</t>
  </si>
  <si>
    <t>攻撃, 反転</t>
  </si>
  <si>
    <t>15-28, 18-31, 
21-34, 24-37, 
27-40, 30-43</t>
  </si>
  <si>
    <t>横B (ピーチボンバー)</t>
  </si>
  <si>
    <t>13-36
(13-27)</t>
  </si>
  <si>
    <t>87
(62)</t>
  </si>
  <si>
    <t>着地隙：34F
相殺なし。
カッコ内は平坦な地面上から出した際。
ガケつかまり(前)：16F目以降</t>
  </si>
  <si>
    <t>ヒット</t>
  </si>
  <si>
    <t>上B (ピーチパラソル)</t>
  </si>
  <si>
    <t>着地隙：26F（傘・開）
着地隙：40F（傘・閉）
傘の最大展開フレーム：480F
傘を閉じる動作は全体15F。
ガケつかまり(前)：17F目以降</t>
  </si>
  <si>
    <t>(5F目)</t>
  </si>
  <si>
    <t>11-21
(Rehit: 5)</t>
  </si>
  <si>
    <t>22-27
(Rehit: 5)</t>
  </si>
  <si>
    <t>傘</t>
  </si>
  <si>
    <t>8-*
(Rehit: 18)</t>
  </si>
  <si>
    <t>下B (野菜引っこ抜き)</t>
  </si>
  <si>
    <t>生成：1F</t>
  </si>
  <si>
    <t>どの蕪を引くかはランダム。
通常：約59.7%
ジト目：約10.2%
糸目：約8.53%
白目：約5.12%
笑顔：約5.12%
ウィンク：約6.83%
目が点：約1.71%
しわくちゃ：約1.71%
ボム兵：0.4%
どせいさん：0.6%</t>
  </si>
  <si>
    <t>5+</t>
  </si>
  <si>
    <t>6+</t>
  </si>
  <si>
    <t>3F+</t>
  </si>
  <si>
    <t>ジト目</t>
  </si>
  <si>
    <t>糸目</t>
  </si>
  <si>
    <t>白目</t>
  </si>
  <si>
    <t>笑顔</t>
  </si>
  <si>
    <t>ウィンク</t>
  </si>
  <si>
    <t>目が点</t>
  </si>
  <si>
    <t>5F+</t>
  </si>
  <si>
    <t>しわくちゃ</t>
  </si>
  <si>
    <t>24+</t>
  </si>
  <si>
    <t>28.8+</t>
  </si>
  <si>
    <t>7F+</t>
  </si>
  <si>
    <t>ボム兵</t>
  </si>
  <si>
    <t>25+</t>
  </si>
  <si>
    <t>どせいさん</t>
  </si>
  <si>
    <t>34-35</t>
  </si>
  <si>
    <t>13'</t>
  </si>
  <si>
    <t>7-30Fは弱2に移行可能。
ボタン押しっぱなしでは14F目に移行。</t>
  </si>
  <si>
    <t>花部分のみ相殺なし。</t>
  </si>
  <si>
    <t>横B (デイジーボンバー)</t>
  </si>
  <si>
    <t>上B (デイジーパラソル)</t>
  </si>
  <si>
    <r>
      <rPr>
        <rFont val="Arial"/>
        <sz val="10.0"/>
      </rPr>
      <t>左腕無敵：7-8F</t>
    </r>
    <r>
      <rPr>
        <rFont val="Arial"/>
        <sz val="10.0"/>
      </rPr>
      <t xml:space="preserve">
</t>
    </r>
    <r>
      <rPr>
        <rFont val="Arial"/>
        <sz val="10.0"/>
      </rPr>
      <t>9</t>
    </r>
    <r>
      <rPr>
        <rFont val="Arial"/>
        <sz val="10.0"/>
      </rPr>
      <t>-30</t>
    </r>
    <r>
      <rPr>
        <rFont val="Arial"/>
        <sz val="10.0"/>
      </rPr>
      <t>Fは弱2に移行可能。</t>
    </r>
  </si>
  <si>
    <t>右腕無敵：9-11F</t>
  </si>
  <si>
    <t>15-20</t>
  </si>
  <si>
    <t>10-14</t>
  </si>
  <si>
    <t>ヘビーアーマー：7-9F (4%)
左腕無敵：10-14F</t>
  </si>
  <si>
    <t>11-16</t>
  </si>
  <si>
    <t>ヘビーアーマー：8-10F (4%)
右腕無敵：11-16F</t>
  </si>
  <si>
    <t>ヘビーアーマー：7-9F (4%)
右腕無敵：10-12F
左腕無敵：15-17F
転倒率：+30%（Hit 1, 根本のみ）
転倒率：+30%（Hit 2）</t>
  </si>
  <si>
    <t>23/20</t>
  </si>
  <si>
    <t>27.6/24</t>
  </si>
  <si>
    <t>15F/13F</t>
  </si>
  <si>
    <t>ヘビーアーマー：17-21F (10%)
両足先端無敵：20-25F (当たりあり) 
本当ては相殺なし。
持続は相殺モーションなし。              
溜め開始：4F</t>
  </si>
  <si>
    <t>24-27</t>
  </si>
  <si>
    <t>17/14</t>
  </si>
  <si>
    <t>20.4/16.8</t>
  </si>
  <si>
    <t>11F/10F</t>
  </si>
  <si>
    <t>16-23</t>
  </si>
  <si>
    <t>22/16/16</t>
  </si>
  <si>
    <t>26.4/19.2/19.2</t>
  </si>
  <si>
    <t>14F/11F/11F</t>
  </si>
  <si>
    <r>
      <rPr>
        <rFont val="Arial"/>
        <sz val="10.0"/>
      </rPr>
      <t>ヘビーアーマー：11-15F (8%)
胴体無敵：14-27F (当たりあり)</t>
    </r>
    <r>
      <rPr>
        <rFont val="Arial"/>
        <sz val="10.0"/>
      </rPr>
      <t xml:space="preserve">
本当てのみ相殺モーションなし。
</t>
    </r>
    <r>
      <rPr>
        <rFont val="Arial"/>
        <sz val="10.0"/>
      </rPr>
      <t>着地は対地のみ。
溜め開始：10F</t>
    </r>
  </si>
  <si>
    <t>ヘビーアーマー：5-11F (8%)
溜め開始：5F</t>
  </si>
  <si>
    <t>左腕</t>
  </si>
  <si>
    <r>
      <rPr>
        <rFont val="Arial"/>
        <sz val="10.0"/>
      </rPr>
      <t>8-</t>
    </r>
    <r>
      <rPr>
        <rFont val="Arial"/>
        <sz val="10.0"/>
      </rPr>
      <t>29</t>
    </r>
  </si>
  <si>
    <t>4-40</t>
  </si>
  <si>
    <t>右腕</t>
  </si>
  <si>
    <r>
      <rPr>
        <rFont val="Arial"/>
        <sz val="10.0"/>
      </rPr>
      <t>14-</t>
    </r>
    <r>
      <rPr>
        <rFont val="Arial"/>
        <sz val="10.0"/>
      </rPr>
      <t>29</t>
    </r>
  </si>
  <si>
    <t>左足</t>
  </si>
  <si>
    <t>18-29</t>
  </si>
  <si>
    <t>右足</t>
  </si>
  <si>
    <r>
      <rPr>
        <rFont val="Arial"/>
        <sz val="10.0"/>
      </rPr>
      <t>11-</t>
    </r>
    <r>
      <rPr>
        <rFont val="Arial"/>
        <sz val="10.0"/>
      </rPr>
      <t>14</t>
    </r>
  </si>
  <si>
    <t>13/12/11</t>
  </si>
  <si>
    <t>15.6/14.4/13.2</t>
  </si>
  <si>
    <t>13.26/12.24/11.22</t>
  </si>
  <si>
    <t>5F/5F/4F</t>
  </si>
  <si>
    <t>4-30</t>
  </si>
  <si>
    <r>
      <rPr>
        <rFont val="Arial"/>
        <sz val="10.0"/>
      </rPr>
      <t>9-</t>
    </r>
    <r>
      <rPr>
        <rFont val="Arial"/>
        <sz val="10.0"/>
      </rPr>
      <t>11</t>
    </r>
  </si>
  <si>
    <t>3-30</t>
  </si>
  <si>
    <r>
      <rPr>
        <rFont val="Arial"/>
        <sz val="10.0"/>
      </rPr>
      <t>9-</t>
    </r>
    <r>
      <rPr>
        <rFont val="Arial"/>
        <sz val="10.0"/>
      </rPr>
      <t>13</t>
    </r>
  </si>
  <si>
    <t>3-39</t>
  </si>
  <si>
    <t>頭無敵：3-13F</t>
  </si>
  <si>
    <r>
      <rPr>
        <rFont val="Arial"/>
        <sz val="10.0"/>
      </rPr>
      <t>17-</t>
    </r>
    <r>
      <rPr>
        <rFont val="Arial"/>
        <sz val="10.0"/>
      </rPr>
      <t>24</t>
    </r>
  </si>
  <si>
    <t>14-69</t>
  </si>
  <si>
    <t>頭・両手・両足無敵：14-60F
着地は対地のみ。
着地は相殺なし。</t>
  </si>
  <si>
    <t>25-49</t>
  </si>
  <si>
    <t>1-6</t>
  </si>
  <si>
    <t>NB (クッパブレス)</t>
  </si>
  <si>
    <t>23-29, 30-36, 
37-43, 44-50</t>
  </si>
  <si>
    <t>300F発射で速度・サイズ最小。
700F経過で最大まで回復。
一定距離内で60F以内に4ヒット以上するとのけぞり発生。</t>
  </si>
  <si>
    <t>ひるみなし</t>
  </si>
  <si>
    <t>30-34, 37-41, 
44-48, 51-22</t>
  </si>
  <si>
    <t>横B (ダイビングプレス)</t>
  </si>
  <si>
    <t>全身無敵：1-23F (ダイブ, 上昇)
着地は上昇高度以上の落下で最大23.4%までダメージ増加。
上昇中の横移動（加速度）
自：0.2235 - 0.0005 * 自% (最小で0.02)
敵：0.22 - 0.0007 * 敵% (最小で0.024)</t>
  </si>
  <si>
    <t>ダイブ, 落下</t>
  </si>
  <si>
    <t>75-*</t>
  </si>
  <si>
    <t>ダイブ, 着地</t>
  </si>
  <si>
    <t>18+</t>
  </si>
  <si>
    <t>21.6+</t>
  </si>
  <si>
    <t>16F+</t>
  </si>
  <si>
    <t>上B (スピニングシェル)</t>
  </si>
  <si>
    <t>6-38
(Rehit: 5)</t>
  </si>
  <si>
    <t>81</t>
  </si>
  <si>
    <t>着地隙：36F
ガケつかまり(前後)：9F目以降</t>
  </si>
  <si>
    <t>Hit 2-11</t>
  </si>
  <si>
    <t>8-11, 12-15, 
16-19, 20-23, 
24-27, 28-31,
32-35, 36-39,
40-43, 44-47</t>
  </si>
  <si>
    <t>Hit 12</t>
  </si>
  <si>
    <t>48-51</t>
  </si>
  <si>
    <t>下B (クッパドロップ)</t>
  </si>
  <si>
    <t>(96)</t>
  </si>
  <si>
    <t>着地判定は対地のみ。
地上, Hit 1は相殺なし。
ガケつかまり(前後)：39F目以降 (地上)
ガケつかまり(前後)：32F目以降 (空中)</t>
  </si>
  <si>
    <t>33-*</t>
  </si>
  <si>
    <t>打撃, Hit 1-7</t>
  </si>
  <si>
    <t>21-24, 25-28
29-32, 33-36
37-40, 41-44
45-48</t>
  </si>
  <si>
    <t>甲羅内無敵：16-49F
打撃, Hit 9は投げ中の相手にはヒットしない。</t>
  </si>
  <si>
    <t>打撃, Hit 8</t>
  </si>
  <si>
    <t>49-51</t>
  </si>
  <si>
    <t>打撃, Hit 9</t>
  </si>
  <si>
    <t>57-58</t>
  </si>
  <si>
    <t>35-45</t>
  </si>
  <si>
    <t>パートナー</t>
  </si>
  <si>
    <t>動作遅延</t>
  </si>
  <si>
    <t>被ダメージ倍率</t>
  </si>
  <si>
    <t>1.02倍</t>
  </si>
  <si>
    <t>被ふっとび倍率</t>
  </si>
  <si>
    <t>ダメージ倍率
（通常ワザ）</t>
  </si>
  <si>
    <t>0.75倍</t>
  </si>
  <si>
    <t>10-30Fは弱2に移行可能。
ボタン押しっぱなしでは13F目に移行。</t>
  </si>
  <si>
    <t>8-9, 11-12,
14-15, 17-18,
 20-21, 23-24</t>
  </si>
  <si>
    <t>0.8</t>
  </si>
  <si>
    <t>Hit 7のヒットストップ倍率は、
本体が2倍で、パートナーが2.8倍。</t>
  </si>
  <si>
    <t>ハンマー</t>
  </si>
  <si>
    <t>12-17</t>
  </si>
  <si>
    <t>溜め開始：8F目</t>
  </si>
  <si>
    <t>胴体</t>
  </si>
  <si>
    <t>6-29</t>
  </si>
  <si>
    <t>3-48</t>
  </si>
  <si>
    <t>パートナーのみメテオ判定あり
(対空のみ, 12%)</t>
  </si>
  <si>
    <t>8-18</t>
  </si>
  <si>
    <t>7-26</t>
  </si>
  <si>
    <t>12-51</t>
  </si>
  <si>
    <t>1-53</t>
  </si>
  <si>
    <t>本体とパートナーでベクトルが異なる。</t>
  </si>
  <si>
    <t>NB (アイスショット)</t>
  </si>
  <si>
    <t>向き反転で出すと、パートナーのみ向き反転しない。
69F目以降はダメージ等が1F毎に減少。
HP：50%</t>
  </si>
  <si>
    <t>19-68</t>
  </si>
  <si>
    <t>69-*</t>
  </si>
  <si>
    <t>横B (トルネードハンマー)</t>
  </si>
  <si>
    <t>2人, 
Hit 1-7 (前後)</t>
  </si>
  <si>
    <t>10, 14, 18, 
23, 28, 34, 40</t>
  </si>
  <si>
    <t>着地隙：29F
ガケつかまり(前後)：58F目以降 (2人)
ガケつかまり(前後)：56F目以降 (1人)</t>
  </si>
  <si>
    <t>2人, 
Hit 8 (前後)</t>
  </si>
  <si>
    <t>51-52</t>
  </si>
  <si>
    <t>1人, Hit 1 (前)</t>
  </si>
  <si>
    <t>1人, Hit 2 (後)</t>
  </si>
  <si>
    <t>1人, Hit 3 (前)</t>
  </si>
  <si>
    <t>1人, Hit 4 (後)</t>
  </si>
  <si>
    <t>1人, Hit 5 (前)</t>
  </si>
  <si>
    <t>1人, Hit 6 (後)</t>
  </si>
  <si>
    <t>1人, Hit 7 (前)</t>
  </si>
  <si>
    <t>1人, Hit 8 (後)</t>
  </si>
  <si>
    <t>1人, Hit 9 (前)</t>
  </si>
  <si>
    <t>1人, Hit 10 (後)</t>
  </si>
  <si>
    <t>1人, Hit 11 (前)</t>
  </si>
  <si>
    <t>49-50</t>
  </si>
  <si>
    <t>上B (ゴムジャンプ)</t>
  </si>
  <si>
    <t>13-30</t>
  </si>
  <si>
    <t>着地隙：30F
相殺なし。
パートナーのみ以下の無敵がつく。
・全身無敵：1-12F
・全身無敵：13-30F（当たりあり）
・ガケにつかまってから引き寄せ動作開始まで（ガケの2F含む）。
ガケつかまり(前後)：14F目以降 (パートナー)
ガケつかまり(前後)：14F目以降 (本体, パートナーガケつかまり後)
ガケつかまり(前後)：36F目以降 (本体, パートナーガケつかみミス時)
ガケつかまり(前後)：19F目以降 (本体, 1人)</t>
  </si>
  <si>
    <t>(15F目)</t>
  </si>
  <si>
    <t>1人 (ミス)</t>
  </si>
  <si>
    <t>(55)</t>
  </si>
  <si>
    <t>下B (ブリザード)</t>
  </si>
  <si>
    <t>16-17, 21-22, 
26-27, 31-32, 
36-37, 41-42, 
46-47, 51-52, 
56-57</t>
  </si>
  <si>
    <t>84</t>
  </si>
  <si>
    <t>18-21, 23-26, 
28-31, 33-36, 
38-41, 43-46, 
48-51, 53-56, 
58-61</t>
  </si>
  <si>
    <t>22-24, 27-29, 
32-34, 37-39, 
42-44, 47-49, 
52-54, 57-59, 
62-64</t>
  </si>
  <si>
    <t>パートナーには投げ無敵はつかない。</t>
  </si>
  <si>
    <r>
      <rPr>
        <rFont val="Arial"/>
        <sz val="10.0"/>
      </rPr>
      <t>4</t>
    </r>
    <r>
      <rPr>
        <rFont val="Arial"/>
        <sz val="10.0"/>
      </rPr>
      <t>-30</t>
    </r>
    <r>
      <rPr>
        <rFont val="Arial"/>
        <sz val="10.0"/>
      </rPr>
      <t>Fは弱2に移行可能。</t>
    </r>
  </si>
  <si>
    <t>361/361/180/361</t>
  </si>
  <si>
    <t>30/30/15/15</t>
  </si>
  <si>
    <t>35/30/20/20</t>
  </si>
  <si>
    <t>361/361/361</t>
  </si>
  <si>
    <t>25/25/20</t>
  </si>
  <si>
    <t>35/35/25</t>
  </si>
  <si>
    <t>3,.5, 7, 9, 11</t>
  </si>
  <si>
    <t>0.3</t>
  </si>
  <si>
    <t>ガード硬直補正倍率：9倍
最小5ヒット。
相殺なし。</t>
  </si>
  <si>
    <t>ガード硬直補正倍率：1.5倍</t>
  </si>
  <si>
    <t>84/86/78</t>
  </si>
  <si>
    <t>180/180/188</t>
  </si>
  <si>
    <t>0/330/75</t>
  </si>
  <si>
    <t>30/28/40</t>
  </si>
  <si>
    <t>4.5</t>
  </si>
  <si>
    <t>70/70/90</t>
  </si>
  <si>
    <t>26/45/80</t>
  </si>
  <si>
    <t>62/47/45</t>
  </si>
  <si>
    <t>頭・両腕無敵：8-15F
溜め開始：7F目</t>
  </si>
  <si>
    <t>溜め開始：2F目</t>
  </si>
  <si>
    <t>3-6</t>
  </si>
  <si>
    <t>4/4/3</t>
  </si>
  <si>
    <t>4.8/4.8/3.6</t>
  </si>
  <si>
    <t>4.08/4.08/3.06</t>
  </si>
  <si>
    <t>3F/3F/2F</t>
  </si>
  <si>
    <t>3.8/4.5</t>
  </si>
  <si>
    <t>4.56/5.4</t>
  </si>
  <si>
    <t>3.876/4.59</t>
  </si>
  <si>
    <t>44/43</t>
  </si>
  <si>
    <t>7.5/7.5/9.5</t>
  </si>
  <si>
    <t>9/9/11.4</t>
  </si>
  <si>
    <t>7.65/7.65/9.69</t>
  </si>
  <si>
    <t>32/32/30</t>
  </si>
  <si>
    <t>7-14</t>
  </si>
  <si>
    <t>4-15
(Rehit: 4)</t>
  </si>
  <si>
    <t>4-43</t>
  </si>
  <si>
    <t>80/367</t>
  </si>
  <si>
    <t>80/100</t>
  </si>
  <si>
    <t>20/30</t>
  </si>
  <si>
    <t>3-52</t>
  </si>
  <si>
    <t>19-33</t>
  </si>
  <si>
    <t>NB (仕込針)</t>
  </si>
  <si>
    <t>針</t>
  </si>
  <si>
    <t>11-15, 14-18, 
17-21, 20-24
23-27, 26-30</t>
  </si>
  <si>
    <t>着地隙：12F
溜め・キャンセル開始：8F目
溜め中からの最速発生は4F。
キャンセルは空中ジャンプのみ全体5F。
回避・シールド・地上ジャンプは全体4F。
針投擲：11, 14, 17, 20, 23, 26F (6針)
相殺なし。</t>
  </si>
  <si>
    <t>針, 持続</t>
  </si>
  <si>
    <t>16-19, 19-22
22-25, 25-28
28-31, 31-34</t>
  </si>
  <si>
    <t>横B (炸裂丸)</t>
  </si>
  <si>
    <t>12-*</t>
  </si>
  <si>
    <t>68
(77)</t>
  </si>
  <si>
    <t>カッコ内は空中での全体フレーム。
地上では最短で39F目に起爆。
空中では最短で38F目に起爆。
炸裂丸は投擲アイテム。生成1F。
相殺なし。
最大保持：70F
ガケつかまり(前後)：2F目以降 (起爆後)</t>
  </si>
  <si>
    <t>起爆, 吸引</t>
  </si>
  <si>
    <t>29-46</t>
  </si>
  <si>
    <t>0 ~ 0.75</t>
  </si>
  <si>
    <t>0 ~ 0.9</t>
  </si>
  <si>
    <t>起爆, 爆発</t>
  </si>
  <si>
    <t>50-53</t>
  </si>
  <si>
    <t>12.6</t>
  </si>
  <si>
    <t>生成失敗</t>
  </si>
  <si>
    <t>2F+</t>
  </si>
  <si>
    <t>上B (浮身)</t>
  </si>
  <si>
    <t>爆発</t>
  </si>
  <si>
    <t>36-38</t>
  </si>
  <si>
    <t>(95)</t>
  </si>
  <si>
    <t>着地隙：20F
全身無敵：14-54F (地上)
全身無敵：19-54F (空中)
爆発は相殺なし。
ガケつかまり(前後)：20F目以降</t>
  </si>
  <si>
    <t>出現</t>
  </si>
  <si>
    <t>55-57</t>
  </si>
  <si>
    <t>5/0</t>
  </si>
  <si>
    <t>6/0</t>
  </si>
  <si>
    <t>6F/0F</t>
  </si>
  <si>
    <t>45/361</t>
  </si>
  <si>
    <t>80/50</t>
  </si>
  <si>
    <t>下B (跳魚)</t>
  </si>
  <si>
    <t>18-24</t>
  </si>
  <si>
    <t>着地隙：21F (通常)
着地隙：35F (攻撃)
着地隙：19F (バウンド)
ガケつかまり(前)：16F目以降
ガケつかまり(前後)：9F目以降 (バウンド後)</t>
  </si>
  <si>
    <t>最遅</t>
  </si>
  <si>
    <t>23-29</t>
  </si>
  <si>
    <t>バウンド, 最速</t>
  </si>
  <si>
    <t>22-28</t>
  </si>
  <si>
    <t>26-30</t>
  </si>
  <si>
    <t>弱1, Hit 1</t>
  </si>
  <si>
    <t>9-17Fは百裂に移行可能。
相殺なし。</t>
  </si>
  <si>
    <t>弱1, Hit 2</t>
  </si>
  <si>
    <t>2, 4, 6, 8, 10, 
12, 14, 16</t>
  </si>
  <si>
    <t>ガード硬直補正倍率：8倍
最小8ヒット。
相殺なし。</t>
  </si>
  <si>
    <t>12/9</t>
  </si>
  <si>
    <t>14.4/10.8</t>
  </si>
  <si>
    <t>11F/9F</t>
  </si>
  <si>
    <t>11.5/15</t>
  </si>
  <si>
    <t>13.8/18</t>
  </si>
  <si>
    <t>11F/14F</t>
  </si>
  <si>
    <t>7-19</t>
  </si>
  <si>
    <t>16, 18, 20, 22</t>
  </si>
  <si>
    <r>
      <rPr>
        <rFont val="Arial"/>
        <sz val="10.0"/>
      </rPr>
      <t xml:space="preserve">相殺なし。
</t>
    </r>
    <r>
      <rPr>
        <rFont val="Arial"/>
        <sz val="10.0"/>
      </rPr>
      <t>溜め開始：11F目</t>
    </r>
  </si>
  <si>
    <t>9-23
(Rehit: 4)</t>
  </si>
  <si>
    <r>
      <rPr>
        <rFont val="Arial"/>
        <sz val="10.0"/>
      </rPr>
      <t xml:space="preserve">〆以外は相殺なし。
〆は相殺モーションなし。
</t>
    </r>
    <r>
      <rPr>
        <rFont val="Arial"/>
        <sz val="10.0"/>
      </rPr>
      <t>溜め開始：4F目</t>
    </r>
  </si>
  <si>
    <t>25-32
(Rehit: 4)</t>
  </si>
  <si>
    <t>6-7, 10-11, 
14-15, 18-19</t>
  </si>
  <si>
    <t>2.5/1.5</t>
  </si>
  <si>
    <t>3/1.8</t>
  </si>
  <si>
    <t>2.55/1.53</t>
  </si>
  <si>
    <t>20/4/4/4</t>
  </si>
  <si>
    <t>24/4.8/4.8/4.8</t>
  </si>
  <si>
    <t>20.4/4.08/4.08/4.08</t>
  </si>
  <si>
    <t>7F/3F/3F/3F</t>
  </si>
  <si>
    <t>本当て部のみ相殺なし。</t>
  </si>
  <si>
    <t>3-44</t>
  </si>
  <si>
    <t>5-53</t>
  </si>
  <si>
    <t>15-24</t>
  </si>
  <si>
    <t>5.1/4.08</t>
  </si>
  <si>
    <t>11-22
(Rehit: 4)</t>
  </si>
  <si>
    <t>全身無敵：4-13F
反射：5-41F
反射ダメージ倍率：1.25倍
反射速度倍率：1.4倍
飛び道具持続倍率：0.75倍
相殺なし。</t>
  </si>
  <si>
    <t>44-49</t>
  </si>
  <si>
    <t>7/3.5</t>
  </si>
  <si>
    <t>8.4/4.2</t>
  </si>
  <si>
    <t>生成：13F目
最小保持：19F
最大保持：47F
溜め開始：31F目</t>
  </si>
  <si>
    <t>70-75</t>
  </si>
  <si>
    <t>97</t>
  </si>
  <si>
    <t>14/7</t>
  </si>
  <si>
    <t>16.8/8.4</t>
  </si>
  <si>
    <t>5F/3F</t>
  </si>
  <si>
    <t>(75)</t>
  </si>
  <si>
    <t>全身無敵：17-34F
着地隙：30F
相殺モーションなし。
ガケつかまり(前後)：18F目以降</t>
  </si>
  <si>
    <t>35-36</t>
  </si>
  <si>
    <t>10/7</t>
  </si>
  <si>
    <t>12/8.4</t>
  </si>
  <si>
    <t>10F/7F</t>
  </si>
  <si>
    <t>12/8</t>
  </si>
  <si>
    <t>14.4/9.6</t>
  </si>
  <si>
    <t>11F/8F</t>
  </si>
  <si>
    <t>溜め1</t>
  </si>
  <si>
    <t>5.9</t>
  </si>
  <si>
    <t>ファントム発射：16-66F (120Fで自動発射)
溜め中からの最速発生：
11F (溜め1), 7F (溜め5), 8F (溜め2･3･4)
ファントムHP：0? ~ 18%
やられ判定出現：3F目 (盾は当たりあり無敵)
ゼルダ本体がダメージを受けるかファントムのHPが0になると崩壊する。
崩壊アニメーションは90F。
ファントムが画面外から消えた瞬間から再度使用可。
溜め2以降は風判定あり。
相殺なし。</t>
  </si>
  <si>
    <t>溜め2</t>
  </si>
  <si>
    <t>28-32</t>
  </si>
  <si>
    <t>8.2</t>
  </si>
  <si>
    <t>溜め3, 段階1</t>
  </si>
  <si>
    <t>36-39</t>
  </si>
  <si>
    <t>溜め3, 段階2</t>
  </si>
  <si>
    <t>40-43</t>
  </si>
  <si>
    <t>11.8</t>
  </si>
  <si>
    <t>溜め4, 段階1</t>
  </si>
  <si>
    <t>46-49</t>
  </si>
  <si>
    <t>14.1</t>
  </si>
  <si>
    <t>溜め4, 段階2</t>
  </si>
  <si>
    <t>53-56</t>
  </si>
  <si>
    <t>15.4</t>
  </si>
  <si>
    <t>溜め5, 最速</t>
  </si>
  <si>
    <t>57-67</t>
  </si>
  <si>
    <t>89</t>
  </si>
  <si>
    <t>17.7</t>
  </si>
  <si>
    <t>溜め5, 最遅</t>
  </si>
  <si>
    <t>127-137</t>
  </si>
  <si>
    <t>66</t>
  </si>
  <si>
    <t>発射</t>
  </si>
  <si>
    <t>25-26, 31-32,
37-38, 43-44</t>
  </si>
  <si>
    <t>70</t>
  </si>
  <si>
    <t>能力値倍率</t>
  </si>
  <si>
    <t>与ダメージ</t>
  </si>
  <si>
    <t>地上速度</t>
  </si>
  <si>
    <t>空中速度</t>
  </si>
  <si>
    <r>
      <rPr>
        <rFont val="Arial"/>
        <sz val="10.0"/>
      </rPr>
      <t>5-</t>
    </r>
    <r>
      <rPr>
        <rFont val="Arial"/>
        <sz val="10.0"/>
      </rPr>
      <t>24</t>
    </r>
    <r>
      <rPr>
        <rFont val="Arial"/>
        <sz val="10.0"/>
      </rPr>
      <t>Fは弱2に移行可能。
空振り時にボタン長押しで7F目から弱1でキャンセル可能。</t>
    </r>
  </si>
  <si>
    <r>
      <rPr>
        <rFont val="Arial"/>
        <sz val="10.0"/>
      </rPr>
      <t>6</t>
    </r>
    <r>
      <rPr>
        <rFont val="Arial"/>
        <sz val="10.0"/>
      </rPr>
      <t>-24</t>
    </r>
    <r>
      <rPr>
        <rFont val="Arial"/>
        <sz val="10.0"/>
      </rPr>
      <t>Fは弱3に移行可能。</t>
    </r>
  </si>
  <si>
    <t>10.584</t>
  </si>
  <si>
    <t>8.232/
5.88</t>
  </si>
  <si>
    <t>9.8784/
7.056</t>
  </si>
  <si>
    <t>8F/6F</t>
  </si>
  <si>
    <t>17.2872/
20.9328</t>
  </si>
  <si>
    <t>20.74464/
25.11936</t>
  </si>
  <si>
    <t>12F/14F</t>
  </si>
  <si>
    <t>根本のみ相殺なし。
溜め開始：6F目</t>
  </si>
  <si>
    <t>頭無敵：9-13F
ぬるり判定消去：7-19F
溜め開始：7F目</t>
  </si>
  <si>
    <r>
      <rPr>
        <rFont val="Arial"/>
      </rPr>
      <t>3-</t>
    </r>
    <r>
      <rPr>
        <rFont val="Arial"/>
      </rPr>
      <t>10</t>
    </r>
  </si>
  <si>
    <t>11-27</t>
  </si>
  <si>
    <t>11.76</t>
  </si>
  <si>
    <r>
      <rPr>
        <rFont val="Arial"/>
      </rPr>
      <t>6-</t>
    </r>
    <r>
      <rPr>
        <rFont val="Arial"/>
      </rPr>
      <t>8</t>
    </r>
  </si>
  <si>
    <t>6-32</t>
  </si>
  <si>
    <t>NB (カプセル)</t>
  </si>
  <si>
    <t>17-21</t>
  </si>
  <si>
    <t>22-46</t>
  </si>
  <si>
    <t>横B (スーパーシーツ)</t>
  </si>
  <si>
    <t>12-16
(反射：7-22F)</t>
  </si>
  <si>
    <t>反射：7-22F（全身：7-11F, シーツ：12-22F）
反射ダメージ倍率：1.6倍
反射速度倍率：1.0倍
飛び道具持続倍率：0.75倍
相殺なし。
ガケつかまり(前)：2F目以降
ガケつかまり(前後)：16F目以降</t>
  </si>
  <si>
    <t>着地隙：30F
ガケつかまり(前)：11F目以降
ガケつかまり(前後)：2-6F</t>
  </si>
  <si>
    <t>6-19</t>
  </si>
  <si>
    <t>下B (ドクタートルネード)</t>
  </si>
  <si>
    <t>10, 14, 18, 
22, 26, 30</t>
  </si>
  <si>
    <t>ヘビーアーマー：2-9F (地上, 10%)
Hit 1-6は相殺モーションなし。
Hit 7は相殺なし。</t>
  </si>
  <si>
    <t>40-41</t>
  </si>
  <si>
    <t>16
(6)</t>
  </si>
  <si>
    <t>1.2</t>
  </si>
  <si>
    <t>5-9</t>
  </si>
  <si>
    <t>自傷：1.0% (5F目)
転倒率：100%</t>
  </si>
  <si>
    <t>16-18, 19-21,
22-24, 25-27
28-30</t>
  </si>
  <si>
    <t>自傷：1.5% (16F目)
溜め開始：14F目
相殺なし。</t>
  </si>
  <si>
    <t>31-33</t>
  </si>
  <si>
    <t>両耳無敵：9-11F
溜め開始：5F目</t>
  </si>
  <si>
    <t>8-9, 11-12,
15-16, 19-20</t>
  </si>
  <si>
    <t>全身無敵：7-10F
自傷：1.3% (8F目)
溜め開始：5F目
相殺なし。</t>
  </si>
  <si>
    <t>3-9</t>
  </si>
  <si>
    <t>3-34</t>
  </si>
  <si>
    <t>両耳無敵：3-9F</t>
  </si>
  <si>
    <t>10-27</t>
  </si>
  <si>
    <t>10-12, 
14-16, 18-20</t>
  </si>
  <si>
    <t>10-33</t>
  </si>
  <si>
    <t>自傷：1.0% (10F目)</t>
  </si>
  <si>
    <t>5-6, 11-12, 
15-16, 19-20, 
26-27</t>
  </si>
  <si>
    <t>5-37</t>
  </si>
  <si>
    <t>自傷：1.5% (5F目)</t>
  </si>
  <si>
    <t>4-9</t>
  </si>
  <si>
    <t>1-31</t>
  </si>
  <si>
    <t>両耳無敵：14-17F
自傷：1.5% (14F目)
自傷：0.5% (着地1F目)</t>
  </si>
  <si>
    <t>18-39</t>
  </si>
  <si>
    <t>自傷：0.7% (18F目)</t>
  </si>
  <si>
    <t>40-60</t>
  </si>
  <si>
    <t>61-107</t>
  </si>
  <si>
    <t>空中, 電撃弾</t>
  </si>
  <si>
    <t>18-115</t>
  </si>
  <si>
    <t>17-52</t>
  </si>
  <si>
    <t>自傷：1.5% (17F目, 溜め無し)
最大溜め：150F
溜め開始：14F目
スマッシュ入力で溜め時間+20Fから開始。
ガケつかまり(前)：12F目以降 (発射後)
ガケつかまり(前後)：41F目以降 (発射後)
ガケつかまり(前後)：2F目以降 (衝突後)</t>
  </si>
  <si>
    <t>28F</t>
  </si>
  <si>
    <t>上B (こうそくいどう)</t>
  </si>
  <si>
    <t>地上→地上</t>
  </si>
  <si>
    <t>1回目</t>
  </si>
  <si>
    <t>29 (+24)</t>
  </si>
  <si>
    <t>自傷：0.5% (13F目, 1回目)
自傷：1.0% (30F目, 2回目)
着地隙：24F
ガケつかまり(前後)：14F目以降 (1回目)
ガケつかまり(前後)：1F目以降 (2回目)</t>
  </si>
  <si>
    <t>2回目</t>
  </si>
  <si>
    <t>46 (+24)</t>
  </si>
  <si>
    <t>空中→地上</t>
  </si>
  <si>
    <t>20 (+24)</t>
  </si>
  <si>
    <t>37 (+24)</t>
  </si>
  <si>
    <t>9-11, 16-18</t>
  </si>
  <si>
    <t>自傷：3.5% (1F目, 接触)
全身無敵：1-10F (接触, 地上)
雷雲生成：2F目
平坦な地形で地上から出した場合、26F目に接触。全体フレームは76F。
稲妻は相殺なし。
接触は相殺モーションなし。</t>
  </si>
  <si>
    <t>12-67, 19-74</t>
  </si>
  <si>
    <t>自傷：0.1% (1F目)</t>
  </si>
  <si>
    <t>11-14, 15-18,
19-22, 23-26</t>
  </si>
  <si>
    <t>自傷：0.5% (11F目)</t>
  </si>
  <si>
    <r>
      <rPr>
        <rFont val="Arial"/>
        <sz val="10.0"/>
      </rPr>
      <t>5</t>
    </r>
    <r>
      <rPr>
        <rFont val="Arial"/>
        <sz val="10.0"/>
      </rPr>
      <t>-30</t>
    </r>
    <r>
      <rPr>
        <rFont val="Arial"/>
        <sz val="10.0"/>
      </rPr>
      <t>Fは弱2に移行可能。</t>
    </r>
  </si>
  <si>
    <t>6F目から百裂に移行可能。</t>
  </si>
  <si>
    <t>3, 5, 7, 9, 11, 
13, 15, 17</t>
  </si>
  <si>
    <t>ガード硬直補正倍率：5倍
最低8ヒット。
相殺なし。</t>
  </si>
  <si>
    <t>7.5</t>
  </si>
  <si>
    <t>3.5/3.5</t>
  </si>
  <si>
    <t>4.2/4.2</t>
  </si>
  <si>
    <t>3.5/3.5/2.7</t>
  </si>
  <si>
    <t>4.2/4.2/3.24</t>
  </si>
  <si>
    <t>12-16</t>
  </si>
  <si>
    <t>13/12/10.5</t>
  </si>
  <si>
    <t>15.6/14.4/12.6</t>
  </si>
  <si>
    <t>12F/11F/10F</t>
  </si>
  <si>
    <r>
      <rPr>
        <rFont val="Arial"/>
        <sz val="10.0"/>
      </rPr>
      <t xml:space="preserve">本当て部のみ相殺なし。
持続のみ相殺モーションなし。
</t>
    </r>
    <r>
      <rPr>
        <rFont val="Arial"/>
        <sz val="10.0"/>
      </rPr>
      <t>溜め開始：10F目</t>
    </r>
  </si>
  <si>
    <t>右足無敵：7-12F
左足無敵：13-20F
溜め開始：4F目</t>
  </si>
  <si>
    <t>15/15/12/12</t>
  </si>
  <si>
    <t>18/18/14.4/14.4</t>
  </si>
  <si>
    <t>両足無敵：3-8F
溜め開始：2F目</t>
  </si>
  <si>
    <t>3-40</t>
  </si>
  <si>
    <t>7-25
(Rehit: 4)</t>
  </si>
  <si>
    <t>4-19</t>
  </si>
  <si>
    <t>4-22</t>
  </si>
  <si>
    <t>根本のみ相殺なし。</t>
  </si>
  <si>
    <t>本当て, 対地</t>
  </si>
  <si>
    <t>4-29</t>
  </si>
  <si>
    <t>本当て, 対空</t>
  </si>
  <si>
    <t>1発追加毎に26F追加。
ボタンおしっぱなしでは、地上回避などの先行入力を受け付けない。
相殺なし。</t>
  </si>
  <si>
    <t>7-33</t>
  </si>
  <si>
    <t>1発追加毎に24F追加。
ボタンおしっぱなしでは、空中回避などの先行入力を受け付けない。
相殺なし。</t>
  </si>
  <si>
    <t>横B (ファルコビジョン)</t>
  </si>
  <si>
    <t>13-18</t>
  </si>
  <si>
    <t>50
(45)</t>
  </si>
  <si>
    <t>着地隙：16F
13-18Fの判定をガードされると、全体フレームが5F減少する。
地上13-18Fの判定をガードされると硬直差20F。ジャスガでは16F。
最低空空中横Bは踏切込みで全体52F。
ガケつかまり(前)：18F目以降</t>
  </si>
  <si>
    <t>17-22</t>
  </si>
  <si>
    <t>18-27</t>
  </si>
  <si>
    <t>66
(61)</t>
  </si>
  <si>
    <t>上B (ファイアバード)</t>
  </si>
  <si>
    <t>(85)</t>
  </si>
  <si>
    <t>着地隙：18F
Hit 1-7は相殺なし。
ガケつかまり(前後)：44F目以降</t>
  </si>
  <si>
    <t>Hit 9-15</t>
  </si>
  <si>
    <t>47, 49, 51, 
53, 55, 57, 59</t>
  </si>
  <si>
    <t>Hit 16</t>
  </si>
  <si>
    <t>下B (リフレクターシュート)</t>
  </si>
  <si>
    <t>5-14
(反射：1-33F)</t>
  </si>
  <si>
    <t>反射ダメージ倍率：1.2倍
反射速度倍率：1.3倍
飛び道具持続倍率：0.8倍
相殺なし。</t>
  </si>
  <si>
    <t>18-44</t>
  </si>
  <si>
    <t>21-47</t>
  </si>
  <si>
    <t>26-?</t>
  </si>
  <si>
    <t>3/3/5/5</t>
  </si>
  <si>
    <t>3.6/3.6/6/6</t>
  </si>
  <si>
    <t>4F/4F/6F/6F</t>
  </si>
  <si>
    <t>11-30Fは弱2に移行可能。</t>
  </si>
  <si>
    <t>4/4/6</t>
  </si>
  <si>
    <t>4.8/4.8/7.2</t>
  </si>
  <si>
    <t>5F/5F/6F</t>
  </si>
  <si>
    <t>10/9/9/13</t>
  </si>
  <si>
    <t>12/10.8/10.8/15.6</t>
  </si>
  <si>
    <t>14F/12F/12F/17F</t>
  </si>
  <si>
    <t>9/9/12</t>
  </si>
  <si>
    <t>10.8/10.8/14.4</t>
  </si>
  <si>
    <t>9F/9F/11F</t>
  </si>
  <si>
    <t>6/5/5/10</t>
  </si>
  <si>
    <t>7.2/6/6/12</t>
  </si>
  <si>
    <t>6F/6F/6F/10F</t>
  </si>
  <si>
    <t>7/10</t>
  </si>
  <si>
    <t>8.4/12</t>
  </si>
  <si>
    <t>7F/10F</t>
  </si>
  <si>
    <t>13/13/13/18</t>
  </si>
  <si>
    <t>15.6/15.6/15.6/21.6</t>
  </si>
  <si>
    <t>9F/9F/9F/12F</t>
  </si>
  <si>
    <t>1/1/1/0</t>
  </si>
  <si>
    <t>13-14
(Rehit: 2)</t>
  </si>
  <si>
    <t>先端と胴体部分のみ相殺なし。
溜め開始：5F目</t>
  </si>
  <si>
    <t>13-17</t>
  </si>
  <si>
    <t>13/17/13</t>
  </si>
  <si>
    <t>15.6/20.4/15.6</t>
  </si>
  <si>
    <t>9F/11F/9F</t>
  </si>
  <si>
    <t>8/8/8/12</t>
  </si>
  <si>
    <t>9.6/9.6/9.6/14.4</t>
  </si>
  <si>
    <t>6F/6F/6F/8F</t>
  </si>
  <si>
    <t>12/12/12/17</t>
  </si>
  <si>
    <t>14.4/14.4/14.4/20.4</t>
  </si>
  <si>
    <t>8F/8F/8F/11F</t>
  </si>
  <si>
    <t>3.5/3.5/5</t>
  </si>
  <si>
    <t>4.2/4.2/6</t>
  </si>
  <si>
    <t>3.57/3.57/5.1</t>
  </si>
  <si>
    <t>2F/2F/3F</t>
  </si>
  <si>
    <t>2-46</t>
  </si>
  <si>
    <t>15-21</t>
  </si>
  <si>
    <t>7/7/9.5</t>
  </si>
  <si>
    <t>8.4/8.4/11.4</t>
  </si>
  <si>
    <t>7.14/7.14/9.69</t>
  </si>
  <si>
    <t>8/8/11.5</t>
  </si>
  <si>
    <t>9.6/9.6/13.8</t>
  </si>
  <si>
    <t>8.16/8.16/11.73</t>
  </si>
  <si>
    <t>4F/4F/5F</t>
  </si>
  <si>
    <t>1-35</t>
  </si>
  <si>
    <t>9/9/12.5</t>
  </si>
  <si>
    <t>10.8/10.8/15</t>
  </si>
  <si>
    <t>9.18/9.18/12.75</t>
  </si>
  <si>
    <t>9.5/9.5/9.5/13</t>
  </si>
  <si>
    <t>11.4/11.4/11.4/15.6</t>
  </si>
  <si>
    <t>9.69/9.69/9.69/13.26</t>
  </si>
  <si>
    <t>4F/4F/4F/5F</t>
  </si>
  <si>
    <t>12.24/12.24/14.28</t>
  </si>
  <si>
    <t>5F/5F/5F</t>
  </si>
  <si>
    <t>3-54</t>
  </si>
  <si>
    <t>NB (シールドブレイカー)</t>
  </si>
  <si>
    <t>全シフト, 
頭部</t>
  </si>
  <si>
    <t>9.2/10.35</t>
  </si>
  <si>
    <t>11.04/12.42</t>
  </si>
  <si>
    <t>8F/9F</t>
  </si>
  <si>
    <t>最大溜め：60F
溜め開始：12F目
溜め中からの最速発生は8F。
ダメージ (非最大)
 = 基礎ダメージ * (1 + (2.2 - 1) * (溜めF) / 60)
敵頭部にヒットさせるとダメージ1.15倍。
相殺なし。</t>
  </si>
  <si>
    <t>8/9</t>
  </si>
  <si>
    <t>9.6/10.8</t>
  </si>
  <si>
    <t>全シフト, 
最大, 頭部</t>
  </si>
  <si>
    <t>110</t>
  </si>
  <si>
    <t>25.3/27.6</t>
  </si>
  <si>
    <t>30.36/33.12</t>
  </si>
  <si>
    <t>19F/21F</t>
  </si>
  <si>
    <t>全シフト, 
最大溜め</t>
  </si>
  <si>
    <t>79-80</t>
  </si>
  <si>
    <t>22/24</t>
  </si>
  <si>
    <t>26.4/28.8</t>
  </si>
  <si>
    <t>横B (マーベラスコンビネーション)</t>
  </si>
  <si>
    <t>地上
(空中)</t>
  </si>
  <si>
    <t>派生1</t>
  </si>
  <si>
    <t>39
(29)</t>
  </si>
  <si>
    <t>2.5/3/2.5</t>
  </si>
  <si>
    <t>3/3.6/3</t>
  </si>
  <si>
    <t>地上は1-29Fに追加入力で派生2に移行。
空中は1-28Fに追加入力で派生2に移行。
最速移行は12F。
相殺なし。</t>
  </si>
  <si>
    <t>派生2, 上</t>
  </si>
  <si>
    <t>38
(40)</t>
  </si>
  <si>
    <r>
      <rPr>
        <rFont val="Arial"/>
        <sz val="10.0"/>
      </rPr>
      <t xml:space="preserve">1-28Fに追加入力で派生3に移行。
最速移行は8F。
</t>
    </r>
    <r>
      <rPr>
        <rFont val="Arial"/>
        <sz val="10.0"/>
      </rPr>
      <t>相殺なし。</t>
    </r>
  </si>
  <si>
    <t>派生2, 横</t>
  </si>
  <si>
    <r>
      <rPr>
        <rFont val="Arial"/>
        <sz val="10.0"/>
      </rPr>
      <t xml:space="preserve">1-28Fに追加入力で派生3に移行。
最速移行は8F。
</t>
    </r>
    <r>
      <rPr>
        <rFont val="Arial"/>
        <sz val="10.0"/>
      </rPr>
      <t>相殺なし。</t>
    </r>
  </si>
  <si>
    <t>派生3, 上</t>
  </si>
  <si>
    <t>43
(46)</t>
  </si>
  <si>
    <t>3/4/3</t>
  </si>
  <si>
    <t>3.6/4.8/3.6</t>
  </si>
  <si>
    <t>4F/5F/4F</t>
  </si>
  <si>
    <r>
      <rPr>
        <rFont val="Arial"/>
        <sz val="10.0"/>
      </rPr>
      <t xml:space="preserve">1-23Fに追加入力で派生4に移行。
最速移行は8F。
</t>
    </r>
    <r>
      <rPr>
        <rFont val="Arial"/>
        <sz val="10.0"/>
      </rPr>
      <t>相殺なし。</t>
    </r>
  </si>
  <si>
    <t>派生3, 横</t>
  </si>
  <si>
    <r>
      <rPr>
        <rFont val="Arial"/>
        <sz val="10.0"/>
      </rPr>
      <t xml:space="preserve">1-23Fに追加入力で派生4に移行。
最速移行は7F。
</t>
    </r>
    <r>
      <rPr>
        <rFont val="Arial"/>
        <sz val="10.0"/>
      </rPr>
      <t>相殺なし。</t>
    </r>
  </si>
  <si>
    <t>派生3, 下</t>
  </si>
  <si>
    <t>3/4</t>
  </si>
  <si>
    <t>3.6/4.8</t>
  </si>
  <si>
    <t>4F/5F</t>
  </si>
  <si>
    <r>
      <rPr>
        <rFont val="Arial"/>
        <sz val="10.0"/>
      </rPr>
      <t xml:space="preserve">1-23Fに追加入力で派生4に移行。
最速移行は8F。
</t>
    </r>
    <r>
      <rPr>
        <rFont val="Arial"/>
        <sz val="10.0"/>
      </rPr>
      <t>相殺なし。</t>
    </r>
  </si>
  <si>
    <t>派生4, 上</t>
  </si>
  <si>
    <t>44
(44)</t>
  </si>
  <si>
    <t>5/7/5/7</t>
  </si>
  <si>
    <t>6/8.4/6/8.4</t>
  </si>
  <si>
    <t>6F/7F/6F/7F</t>
  </si>
  <si>
    <t>派生4, 横</t>
  </si>
  <si>
    <t>55
(55)</t>
  </si>
  <si>
    <t>4/6/4</t>
  </si>
  <si>
    <t>4.8/7.2/4.8</t>
  </si>
  <si>
    <t>5F/6F/5F</t>
  </si>
  <si>
    <t>派生4, 下
Hit 1-4</t>
  </si>
  <si>
    <t>7, 10, 13, 16</t>
  </si>
  <si>
    <t>74
(74)</t>
  </si>
  <si>
    <t>2.4</t>
  </si>
  <si>
    <t>1/1/0</t>
  </si>
  <si>
    <t>派生4,  下
Hit 5</t>
  </si>
  <si>
    <t>4/5/4</t>
  </si>
  <si>
    <t>4.8/6/4.8</t>
  </si>
  <si>
    <t>5/5/0</t>
  </si>
  <si>
    <t>上B (ドルフィンスラッシュ)</t>
  </si>
  <si>
    <t>13.2</t>
  </si>
  <si>
    <t>全身無敵：4-5F (地上)
全身無敵：1-5F (空中)
着地隙：24F
相殺なし。
ガケつかまり(前)：8F目以降</t>
  </si>
  <si>
    <t>7/7/11/11</t>
  </si>
  <si>
    <t>8.4/8.4/7.2/13.2/13.2</t>
  </si>
  <si>
    <t>7F/7F/6F/10F/10F</t>
  </si>
  <si>
    <t>8.4/8.4/7.2</t>
  </si>
  <si>
    <t>下B (カウンター)</t>
  </si>
  <si>
    <t>当身</t>
  </si>
  <si>
    <t>受付：6-27F</t>
  </si>
  <si>
    <t>64</t>
  </si>
  <si>
    <t>全身無敵：5-6F
カウンター受付：6-27F
カウンターダメージ倍率：1.2倍</t>
  </si>
  <si>
    <t>8+</t>
  </si>
  <si>
    <t>9.6+</t>
  </si>
  <si>
    <t>8F+</t>
  </si>
  <si>
    <t>全身無敵：1-8F
カウンター成立時に20F硬直。
最低保証ダメージ：8%
相殺なし。</t>
  </si>
  <si>
    <t>14F目から4F硬直。</t>
  </si>
  <si>
    <t>15F目から4F硬直。</t>
  </si>
  <si>
    <t>15F目から5F硬直。</t>
  </si>
  <si>
    <t>21'</t>
  </si>
  <si>
    <t>3.325</t>
  </si>
  <si>
    <t>4.75</t>
  </si>
  <si>
    <t>10.925</t>
  </si>
  <si>
    <t>ガード硬直補正倍率：1.5倍
(16F目のID=0とID=3以外)</t>
  </si>
  <si>
    <t>7.6</t>
  </si>
  <si>
    <t>8.075</t>
  </si>
  <si>
    <t>8.5</t>
  </si>
  <si>
    <r>
      <rPr>
        <rFont val="Arial"/>
        <sz val="10.0"/>
      </rPr>
      <t xml:space="preserve">胴体部分のみ相殺なし。
</t>
    </r>
    <r>
      <rPr>
        <rFont val="Arial"/>
        <sz val="10.0"/>
      </rPr>
      <t>溜め開始：5F目</t>
    </r>
  </si>
  <si>
    <t>14.25</t>
  </si>
  <si>
    <t>9.5</t>
  </si>
  <si>
    <t>4.275</t>
  </si>
  <si>
    <t>8.55</t>
  </si>
  <si>
    <t>11.875</t>
  </si>
  <si>
    <t>11.4</t>
  </si>
  <si>
    <t>12.35</t>
  </si>
  <si>
    <t>最大溜め：60F
溜め開始：12F目
溜め中からの最速発生は8F。
ダメージ (非最大)
 = 8.5 * (1 + (2.2 - 1) * (溜めF) / 60)
敵頭部にヒットさせるとダメージ1.15倍。
相殺なし。</t>
  </si>
  <si>
    <t>20F</t>
  </si>
  <si>
    <t>2.85</t>
  </si>
  <si>
    <r>
      <rPr>
        <rFont val="Arial"/>
        <sz val="10.0"/>
      </rPr>
      <t xml:space="preserve">1-28Fに追加入力で派生3に移行。
最速移行は8F。
</t>
    </r>
    <r>
      <rPr>
        <rFont val="Arial"/>
        <sz val="10.0"/>
      </rPr>
      <t>相殺なし。</t>
    </r>
  </si>
  <si>
    <r>
      <rPr>
        <rFont val="Arial"/>
        <sz val="10.0"/>
      </rPr>
      <t xml:space="preserve">1-28Fに追加入力で派生3に移行。
最速移行は8F。
</t>
    </r>
    <r>
      <rPr>
        <rFont val="Arial"/>
        <sz val="10.0"/>
      </rPr>
      <t>相殺なし。</t>
    </r>
  </si>
  <si>
    <r>
      <rPr>
        <rFont val="Arial"/>
        <sz val="10.0"/>
      </rPr>
      <t xml:space="preserve">1-23Fに追加入力で派生4に移行。
最速移行は8F。
</t>
    </r>
    <r>
      <rPr>
        <rFont val="Arial"/>
        <sz val="10.0"/>
      </rPr>
      <t>相殺なし。</t>
    </r>
  </si>
  <si>
    <r>
      <rPr>
        <rFont val="Arial"/>
        <sz val="10.0"/>
      </rPr>
      <t xml:space="preserve">1-23Fに追加入力で派生4に移行。
最速移行は7F。
</t>
    </r>
    <r>
      <rPr>
        <rFont val="Arial"/>
        <sz val="10.0"/>
      </rPr>
      <t>相殺なし。</t>
    </r>
  </si>
  <si>
    <r>
      <rPr>
        <rFont val="Arial"/>
        <sz val="10.0"/>
      </rPr>
      <t xml:space="preserve">1-23Fに追加入力で派生4に移行。
最速移行は8F。
</t>
    </r>
    <r>
      <rPr>
        <rFont val="Arial"/>
        <sz val="10.0"/>
      </rPr>
      <t>相殺なし。</t>
    </r>
  </si>
  <si>
    <t>5.7</t>
  </si>
  <si>
    <t>7, 10, 
13, 16</t>
  </si>
  <si>
    <t>7F/7F/10F/10F</t>
  </si>
  <si>
    <r>
      <rPr>
        <rFont val="Arial"/>
        <color rgb="FF000000"/>
        <sz val="10.0"/>
      </rPr>
      <t>全身無敵：5-6F</t>
    </r>
    <r>
      <rPr>
        <rFont val="Arial"/>
        <color rgb="FF000000"/>
        <sz val="10.0"/>
      </rPr>
      <t xml:space="preserve">
カウンター受付：6-27F
</t>
    </r>
    <r>
      <rPr>
        <rFont val="Arial"/>
        <color rgb="FF000000"/>
        <sz val="10.0"/>
      </rPr>
      <t>カウンターダメージ倍率：1.2倍</t>
    </r>
  </si>
  <si>
    <t xml:space="preserve">15F目から4F硬直。
</t>
  </si>
  <si>
    <t xml:space="preserve">15F目から5F硬直。
</t>
  </si>
  <si>
    <t>7-30Fは弱2に移行可能。
ボタン押しっぱなしでは13F目に移行。</t>
  </si>
  <si>
    <t>12-30Fは弱3に移行可能。
ボタン押しっぱなしでは13F目に移行。
8-11Fは百裂に移行可能。</t>
  </si>
  <si>
    <t>ガード硬直補正倍率：6倍
最低8ヒット。
相殺なし。</t>
  </si>
  <si>
    <t>11/10/11</t>
  </si>
  <si>
    <t>13.2/12/13.2</t>
  </si>
  <si>
    <t>12/11/12</t>
  </si>
  <si>
    <t>14.4/13.2/14.4</t>
  </si>
  <si>
    <t>11F/10F/11F</t>
  </si>
  <si>
    <t>9-14</t>
  </si>
  <si>
    <t>10/9/7</t>
  </si>
  <si>
    <t>12/10.8/8.4</t>
  </si>
  <si>
    <t>10F/9F/7F</t>
  </si>
  <si>
    <t>20-39Fは横スマッシュ2に移行可能。
溜め開始：10F目</t>
  </si>
  <si>
    <t>12/10/12</t>
  </si>
  <si>
    <t>14.4/12/14.4</t>
  </si>
  <si>
    <t>8F/7F/8F</t>
  </si>
  <si>
    <t>Hit 3は相殺なし。
溜め開始：6F目</t>
  </si>
  <si>
    <t>8/7/8/8</t>
  </si>
  <si>
    <t>9.6/8.4/9.6/9.6</t>
  </si>
  <si>
    <t>13/10/13</t>
  </si>
  <si>
    <t>15.6/12/15.6</t>
  </si>
  <si>
    <t>9F/7F/9F</t>
  </si>
  <si>
    <t>12/9/12</t>
  </si>
  <si>
    <t>14.4/10.8/14.4</t>
  </si>
  <si>
    <t>1-40</t>
  </si>
  <si>
    <t>8.16/8.16/7.14</t>
  </si>
  <si>
    <t>4F/4F/3F</t>
  </si>
  <si>
    <t>5-55</t>
  </si>
  <si>
    <t>8-49</t>
  </si>
  <si>
    <t>13-64</t>
  </si>
  <si>
    <t>16-64</t>
  </si>
  <si>
    <t>ワイヤーガケつかまり：2-3F
相殺なし。</t>
  </si>
  <si>
    <t>14-48</t>
  </si>
  <si>
    <t>最大溜め：33F
溜め開始：14F目
溜め解除からの最速発生は1F。
最大保持：180F</t>
  </si>
  <si>
    <t>27-29</t>
  </si>
  <si>
    <t>30-82</t>
  </si>
  <si>
    <t>83-?</t>
  </si>
  <si>
    <t>9-47
(Rehit: 4)</t>
  </si>
  <si>
    <t>最大溜め：60F (地上のみ)
最大ダメージ倍率：1.6倍
溜め開始：6F目
溜め中からの最速発生は4F。
連は相殺なし。</t>
  </si>
  <si>
    <t>着地隙：24F
相殺なし。
ガケつかまり(前)：20F目以降
ガケつかまり(前後)：35F目以降</t>
  </si>
  <si>
    <t>22-24</t>
  </si>
  <si>
    <t>39-40</t>
  </si>
  <si>
    <t>47-51</t>
  </si>
  <si>
    <t>生成：17F</t>
  </si>
  <si>
    <t>生成220F目に爆発。
相殺なし。</t>
  </si>
  <si>
    <t>爆発, Hit 1-4</t>
  </si>
  <si>
    <t>1, 3, 5, 7</t>
  </si>
  <si>
    <t>2+</t>
  </si>
  <si>
    <t>2.4+</t>
  </si>
  <si>
    <t>12-18
12-13</t>
  </si>
  <si>
    <t>15-21
15-16</t>
  </si>
  <si>
    <t>ガード硬直補正倍率：1.3倍 (持続のみ)</t>
  </si>
  <si>
    <t>13/14/14</t>
  </si>
  <si>
    <t>15.6/16.8/16.8</t>
  </si>
  <si>
    <t>12F/13F/13F</t>
  </si>
  <si>
    <t>風判定</t>
  </si>
  <si>
    <t>6-52
(Rehit: 6)</t>
  </si>
  <si>
    <t>94</t>
  </si>
  <si>
    <t>先端爆風部分と持続は相殺なし。</t>
  </si>
  <si>
    <t>60-61</t>
  </si>
  <si>
    <t>21F</t>
  </si>
  <si>
    <t>62-63</t>
  </si>
  <si>
    <t>29-31</t>
  </si>
  <si>
    <t>溜め開始：15F目</t>
  </si>
  <si>
    <t>20-25</t>
  </si>
  <si>
    <t>24/24/21</t>
  </si>
  <si>
    <t>28.8/28.8/25.2</t>
  </si>
  <si>
    <t>15F/15F/14F</t>
  </si>
  <si>
    <t>溜め開始：10F目</t>
  </si>
  <si>
    <t>ぬるり判定消去：19-38F
溜め開始：5F目</t>
  </si>
  <si>
    <t>35-38</t>
  </si>
  <si>
    <t>4-36</t>
  </si>
  <si>
    <t>5.25</t>
  </si>
  <si>
    <t>19-26</t>
  </si>
  <si>
    <t>17/18</t>
  </si>
  <si>
    <t>20.4/21.6</t>
  </si>
  <si>
    <t>17.34/18.36</t>
  </si>
  <si>
    <t>6F/6F</t>
  </si>
  <si>
    <t>7-44</t>
  </si>
  <si>
    <t>17/18.5/17</t>
  </si>
  <si>
    <t>20.4/22.2/20.4</t>
  </si>
  <si>
    <t>17.34/18.87/17.34</t>
  </si>
  <si>
    <t>6F/6F/6F</t>
  </si>
  <si>
    <t>7-21</t>
  </si>
  <si>
    <t>13/12</t>
  </si>
  <si>
    <t>15.6/14.4</t>
  </si>
  <si>
    <t>13.26/12.24</t>
  </si>
  <si>
    <t>12.24/10.2</t>
  </si>
  <si>
    <t>8/6</t>
  </si>
  <si>
    <t>9.6/7.2</t>
  </si>
  <si>
    <t>8.16/6.12</t>
  </si>
  <si>
    <t>4F/3F</t>
  </si>
  <si>
    <t>19/17</t>
  </si>
  <si>
    <t>22.8/20.4</t>
  </si>
  <si>
    <t>19.38/17.34</t>
  </si>
  <si>
    <t>NB (魔人拳)</t>
  </si>
  <si>
    <t>70-73</t>
  </si>
  <si>
    <t>反転入力受付：11F目
スーパーアーマー：11-67F (通常)
スーパーアーマー：21-74F (反転)</t>
  </si>
  <si>
    <t>80-83</t>
  </si>
  <si>
    <t>127</t>
  </si>
  <si>
    <t>31F</t>
  </si>
  <si>
    <t>32F</t>
  </si>
  <si>
    <t>34F</t>
  </si>
  <si>
    <t>横B (炎獄握)</t>
  </si>
  <si>
    <t>16-30</t>
  </si>
  <si>
    <t>アーマー：18-41F (叩きつけ)</t>
  </si>
  <si>
    <t>叩きつけ</t>
  </si>
  <si>
    <t>16-28</t>
  </si>
  <si>
    <t>着地隙：20F
ガケつかまり(前後)：2F目以降</t>
  </si>
  <si>
    <t>上B (雷神掌)</t>
  </si>
  <si>
    <t>14-28</t>
  </si>
  <si>
    <t>着地隙：30F
ガケつかまり(前)：19F目以降
ガケつかまり(前後)：38F目以降
抱きつきは4ヒット。</t>
  </si>
  <si>
    <t>34-36</t>
  </si>
  <si>
    <t>下B (烈鬼脚)</t>
  </si>
  <si>
    <t>16-35</t>
  </si>
  <si>
    <t>60
(68)</t>
  </si>
  <si>
    <t>14/16</t>
  </si>
  <si>
    <t>16.8/19.2</t>
  </si>
  <si>
    <t>13F/14F</t>
  </si>
  <si>
    <t>カッコ内は空中でモーションを終了したとき。
ガケキャンセル：46-?F</t>
  </si>
  <si>
    <t>19-29</t>
  </si>
  <si>
    <t>7F目から百裂に移行可能。</t>
  </si>
  <si>
    <t>3, 6, 9, 12, 
15, 18, 21</t>
  </si>
  <si>
    <t>ガード硬直補正倍率：4倍
最小7ヒット。
相殺なし。</t>
  </si>
  <si>
    <t>14F/11F</t>
  </si>
  <si>
    <t>ガード硬直補正倍率：1.3倍</t>
  </si>
  <si>
    <t>12-20</t>
  </si>
  <si>
    <t>6/4.5</t>
  </si>
  <si>
    <t>7.2/5.4</t>
  </si>
  <si>
    <t>12/11/10</t>
  </si>
  <si>
    <t>14.4/13.2/12</t>
  </si>
  <si>
    <t>11F/10F/10F</t>
  </si>
  <si>
    <t>7/6/5.5/5.5</t>
  </si>
  <si>
    <t>8.4/7.2/6.6/6.6</t>
  </si>
  <si>
    <t>7F/6F/6F/6F</t>
  </si>
  <si>
    <t>6/5/4</t>
  </si>
  <si>
    <t>7.2/6/4.8</t>
  </si>
  <si>
    <t>6F/6F/5F</t>
  </si>
  <si>
    <t>16/20</t>
  </si>
  <si>
    <t>19.2/24</t>
  </si>
  <si>
    <t>11F/13F</t>
  </si>
  <si>
    <t>先端のみ相殺なし。
溜め開始：13F目</t>
  </si>
  <si>
    <r>
      <rPr>
        <rFont val="Arial"/>
        <sz val="10.0"/>
      </rPr>
      <t xml:space="preserve">相殺モーションなし。
</t>
    </r>
    <r>
      <rPr>
        <rFont val="Arial"/>
        <sz val="10.0"/>
      </rPr>
      <t>溜め開始：3F目</t>
    </r>
  </si>
  <si>
    <t>22-25</t>
  </si>
  <si>
    <r>
      <rPr>
        <rFont val="Arial"/>
        <sz val="10.0"/>
      </rPr>
      <t xml:space="preserve">相殺なし。
</t>
    </r>
    <r>
      <rPr>
        <rFont val="Arial"/>
        <sz val="10.0"/>
      </rPr>
      <t>溜め開始：16F目</t>
    </r>
  </si>
  <si>
    <t>7-8, 11-12, 
15-16, 19-20, 
23-24</t>
  </si>
  <si>
    <t>1-45</t>
  </si>
  <si>
    <t>12.24/11.22/10.2</t>
  </si>
  <si>
    <t>5F/4F/4F</t>
  </si>
  <si>
    <t>4-41</t>
  </si>
  <si>
    <t>NB (シャドーボール)</t>
  </si>
  <si>
    <t>16-96</t>
  </si>
  <si>
    <t>最大溜め：120F
溜め・キャンセル開始：13F目
溜め中からの最速発生は6F。
キャンセルは空中ジャンプのみ全体5F。
回避・シールド・地上ジャンプは全体4F。</t>
  </si>
  <si>
    <t>横B (ねんりき)</t>
  </si>
  <si>
    <t>10-13
(反射：10-33F)</t>
  </si>
  <si>
    <t>反射：10-33F
反射ダメージ倍率：1.4倍
反射速度倍率：1.2倍
飛び道具持続倍率：1.25倍</t>
  </si>
  <si>
    <t>攻撃, Hit 1-7</t>
  </si>
  <si>
    <t>22, 24, 26, 28, 
30, 32, 34</t>
  </si>
  <si>
    <t>1.15</t>
  </si>
  <si>
    <t>投げ後の相手蓄積%によって硬直差が-1Fから+6Fまで変化する。150%で+6F。</t>
  </si>
  <si>
    <t>上B (テレポート)</t>
  </si>
  <si>
    <t>(44)</t>
  </si>
  <si>
    <t>全身無敵：9-19F
着地隙：20F
ガケつかまり(前後)：16F目以降</t>
  </si>
  <si>
    <t>下B (かなしばり)</t>
  </si>
  <si>
    <t>全身無敵：10-16F
敵ファイターが地上でミュウツーと異なる方向を向いている場合のみ、敵ファイターを「かなしばり」状態にする。
相殺なし。</t>
  </si>
  <si>
    <t>弾, Hit 1-5</t>
  </si>
  <si>
    <t>33-45, 40-52, 
47-59, 54-66, 
61-73
(Rehit: 16)</t>
  </si>
  <si>
    <t>7.5/7.5/4.8</t>
  </si>
  <si>
    <t>9/9/5.76</t>
  </si>
  <si>
    <t>8F/8F/5F</t>
  </si>
  <si>
    <t>13/9</t>
  </si>
  <si>
    <t>15.6/10.8</t>
  </si>
  <si>
    <t>15F/11F</t>
  </si>
  <si>
    <t>ガード硬直補正倍率：1.25倍</t>
  </si>
  <si>
    <t>12.5/9/8</t>
  </si>
  <si>
    <t>15/10.8/9.6</t>
  </si>
  <si>
    <t>12F/9F/8F</t>
  </si>
  <si>
    <t>12/12/12/7</t>
  </si>
  <si>
    <t>14.4/14.4/14.4/8.4</t>
  </si>
  <si>
    <t>11F/11F/11F/7F</t>
  </si>
  <si>
    <t>12/12/7</t>
  </si>
  <si>
    <t>14.4/14.4/8.4</t>
  </si>
  <si>
    <t>11F/11F/7F</t>
  </si>
  <si>
    <t>12/7</t>
  </si>
  <si>
    <t>14.4/8.4</t>
  </si>
  <si>
    <t>11F/7F</t>
  </si>
  <si>
    <t>11/6.5</t>
  </si>
  <si>
    <t>13.2/7.8</t>
  </si>
  <si>
    <t>20/17/12</t>
  </si>
  <si>
    <t>24/20.4/14.4</t>
  </si>
  <si>
    <t>13F/11F/8F</t>
  </si>
  <si>
    <t>右腕無敵：10-23F
溜め開始：5F目
相殺なし。</t>
  </si>
  <si>
    <t>15, 17, 19</t>
  </si>
  <si>
    <t>15/10/10</t>
  </si>
  <si>
    <t>18/12/12</t>
  </si>
  <si>
    <t>10F/7F/7F</t>
  </si>
  <si>
    <t>17/11/11</t>
  </si>
  <si>
    <t>20.4/13.2/13.2</t>
  </si>
  <si>
    <t>11F/8F/8F</t>
  </si>
  <si>
    <t>6/4/6</t>
  </si>
  <si>
    <t>7.2/4.8/7.2</t>
  </si>
  <si>
    <t>6.12/4.08/6.12</t>
  </si>
  <si>
    <t>8.5/8.5/5</t>
  </si>
  <si>
    <t>10.2/10.2/6</t>
  </si>
  <si>
    <t>8.67/8.67/5.1</t>
  </si>
  <si>
    <t>11/11/11/7</t>
  </si>
  <si>
    <t>13.2/13.2/13.2/8.4</t>
  </si>
  <si>
    <t>11.22/11.22/11.22/7.14</t>
  </si>
  <si>
    <t>4F/4F/4F/3F</t>
  </si>
  <si>
    <t>1-30</t>
  </si>
  <si>
    <t>12/12/9</t>
  </si>
  <si>
    <t>14.4/14.4/10.8</t>
  </si>
  <si>
    <t>12.24/12.24/9.18</t>
  </si>
  <si>
    <t>9/9/9/6</t>
  </si>
  <si>
    <t>10.8/10.8/10.8/7.2</t>
  </si>
  <si>
    <t>9.18/9.18/9.18/6.12</t>
  </si>
  <si>
    <t>15/15/10</t>
  </si>
  <si>
    <t>18/18/12</t>
  </si>
  <si>
    <t>15.3/15.3/10.2</t>
  </si>
  <si>
    <t>3-51</t>
  </si>
  <si>
    <t>NB (エクスプロージョン)</t>
  </si>
  <si>
    <t>最大溜め：240F
溜め・ふりむき開始：12F目
溜め状態からの発生は10F。
最大溜め時は10%の自傷ダメージ。
ふりむきはふりむき→ふりむきのみ全体24F。
相殺なし。</t>
  </si>
  <si>
    <t>261-265</t>
  </si>
  <si>
    <t>284</t>
  </si>
  <si>
    <t>50/36</t>
  </si>
  <si>
    <t>60/43.2</t>
  </si>
  <si>
    <t>42F/30F</t>
  </si>
  <si>
    <t>3/2/2</t>
  </si>
  <si>
    <t>3.6/2.4/2.4</t>
  </si>
  <si>
    <t>4F/3F/3F</t>
  </si>
  <si>
    <t>地上は1-31Fに追加入力で派生2に移行。
空中は1-28Fに追加入力で派生2に移行。
最速移行は12F。
相殺なし。</t>
  </si>
  <si>
    <r>
      <rPr>
        <rFont val="Arial"/>
        <sz val="10.0"/>
      </rPr>
      <t xml:space="preserve">1-36Fに追加入力で派生3に移行。  
最速移行は8F。
</t>
    </r>
    <r>
      <rPr>
        <rFont val="Arial"/>
        <sz val="10.0"/>
      </rPr>
      <t>相殺なし。</t>
    </r>
  </si>
  <si>
    <r>
      <rPr>
        <rFont val="Arial"/>
        <sz val="10.0"/>
      </rPr>
      <t xml:space="preserve">1-37Fに追加入力で派生3に移行。  
最速移行は8F。
</t>
    </r>
    <r>
      <rPr>
        <rFont val="Arial"/>
        <sz val="10.0"/>
      </rPr>
      <t>相殺なし。</t>
    </r>
  </si>
  <si>
    <t>4/3/3</t>
  </si>
  <si>
    <t>4.8/3.6/3.6</t>
  </si>
  <si>
    <r>
      <rPr>
        <rFont val="Arial"/>
        <sz val="10.0"/>
      </rPr>
      <t xml:space="preserve">1-36Fに追加入力で派生4に移行。
最速移行は8F。
</t>
    </r>
    <r>
      <rPr>
        <rFont val="Arial"/>
        <sz val="10.0"/>
      </rPr>
      <t>相殺なし。</t>
    </r>
  </si>
  <si>
    <r>
      <rPr>
        <rFont val="Arial"/>
        <sz val="10.0"/>
      </rPr>
      <t xml:space="preserve">1-36Fに追加入力で派生4に移行。
最速移行は7F。
</t>
    </r>
    <r>
      <rPr>
        <rFont val="Arial"/>
        <sz val="10.0"/>
      </rPr>
      <t>相殺なし。</t>
    </r>
  </si>
  <si>
    <r>
      <rPr>
        <rFont val="Arial"/>
        <sz val="10.0"/>
      </rPr>
      <t xml:space="preserve">1-36Fに追加入力で派生4に移行。
最速移行は8F。
</t>
    </r>
    <r>
      <rPr>
        <rFont val="Arial"/>
        <sz val="10.0"/>
      </rPr>
      <t>相殺なし。</t>
    </r>
  </si>
  <si>
    <t>7/5/7/5</t>
  </si>
  <si>
    <t>8.4/6/8.4/6</t>
  </si>
  <si>
    <t>7F/6F/7F/6F</t>
  </si>
  <si>
    <t>58
(58)</t>
  </si>
  <si>
    <t>6/4/4</t>
  </si>
  <si>
    <t>7.2/4.8/4.8</t>
  </si>
  <si>
    <t>71
(65)</t>
  </si>
  <si>
    <t>5/3/3</t>
  </si>
  <si>
    <t>6/3.6/3.6</t>
  </si>
  <si>
    <t>6F/4F/4F</t>
  </si>
  <si>
    <t>上B (ブレイザー)</t>
  </si>
  <si>
    <t>全身無敵：9F目 (地上・空中)
アーマー：4-10F (地上)
着地隙：30F
相殺なし。
ガケつかまり(前)：24F目以降</t>
  </si>
  <si>
    <t>11-19
(Rehit: 3)</t>
  </si>
  <si>
    <t>1.1</t>
  </si>
  <si>
    <t>受付：8-29F</t>
  </si>
  <si>
    <t>全身無敵：7-9F
カウンター受付：8-29F
カウンターダメージ倍率：1.35倍</t>
  </si>
  <si>
    <t>全身無敵：1-6F
カウンター成立時に21F硬直。
最低保証ダメージ：8%
相殺なし。</t>
  </si>
  <si>
    <t>25'</t>
  </si>
  <si>
    <t>6.5</t>
  </si>
  <si>
    <t>10.45</t>
  </si>
  <si>
    <t>6.65</t>
  </si>
  <si>
    <t>9.025</t>
  </si>
  <si>
    <t>14.25/11.875</t>
  </si>
  <si>
    <t>17.1/14.25</t>
  </si>
  <si>
    <t>14.535/12.1125</t>
  </si>
  <si>
    <r>
      <rPr>
        <rFont val="Arial"/>
        <sz val="10.0"/>
      </rPr>
      <t xml:space="preserve">1-36Fに追加入力で派生3に移行。  
最速移行は8F。
</t>
    </r>
    <r>
      <rPr>
        <rFont val="Arial"/>
        <sz val="10.0"/>
      </rPr>
      <t>相殺なし。</t>
    </r>
  </si>
  <si>
    <r>
      <rPr>
        <rFont val="Arial"/>
        <sz val="10.0"/>
      </rPr>
      <t xml:space="preserve">1-37Fに追加入力で派生3に移行。  
最速移行は8F。
</t>
    </r>
    <r>
      <rPr>
        <rFont val="Arial"/>
        <sz val="10.0"/>
      </rPr>
      <t>相殺なし。</t>
    </r>
  </si>
  <si>
    <t>3.8</t>
  </si>
  <si>
    <r>
      <rPr>
        <rFont val="Arial"/>
        <sz val="10.0"/>
      </rPr>
      <t xml:space="preserve">1-36Fに追加入力で派生4に移行。
最速移行は8F。
</t>
    </r>
    <r>
      <rPr>
        <rFont val="Arial"/>
        <sz val="10.0"/>
      </rPr>
      <t>相殺なし。</t>
    </r>
  </si>
  <si>
    <r>
      <rPr>
        <rFont val="Arial"/>
        <sz val="10.0"/>
      </rPr>
      <t xml:space="preserve">1-36Fに追加入力で派生4に移行。
最速移行は7F。
</t>
    </r>
    <r>
      <rPr>
        <rFont val="Arial"/>
        <sz val="10.0"/>
      </rPr>
      <t>相殺なし。</t>
    </r>
  </si>
  <si>
    <r>
      <rPr>
        <rFont val="Arial"/>
        <sz val="10.0"/>
      </rPr>
      <t xml:space="preserve">1-36Fに追加入力で派生4に移行。
最速移行は8F。
</t>
    </r>
    <r>
      <rPr>
        <rFont val="Arial"/>
        <sz val="10.0"/>
      </rPr>
      <t>相殺なし。</t>
    </r>
  </si>
  <si>
    <t>6.46</t>
  </si>
  <si>
    <t>5.225</t>
  </si>
  <si>
    <t>上B (翔流斬)</t>
  </si>
  <si>
    <t>アーマー：10-30F
着地までに6回以上連続でガケつかまりできない。
着地は相殺モーションなし。
ガケつかまり(前)：52F目以降</t>
  </si>
  <si>
    <t>39-47
(Rehit: 7)</t>
  </si>
  <si>
    <t>53-*</t>
  </si>
  <si>
    <t>1-4</t>
  </si>
  <si>
    <t>4, 12, 19</t>
  </si>
  <si>
    <t>ガード硬直補正倍率：10倍
最低3ヒット。
相殺なし。</t>
  </si>
  <si>
    <t>ぬるり判定消去：6-38F</t>
  </si>
  <si>
    <t>10-19</t>
  </si>
  <si>
    <t>両手無敵：1-39F</t>
  </si>
  <si>
    <t>20-22</t>
  </si>
  <si>
    <t>対地のみ</t>
  </si>
  <si>
    <t>攻撃判定は対地のみ。</t>
  </si>
  <si>
    <t>14/18/18</t>
  </si>
  <si>
    <t>16.8/21.6/21.6</t>
  </si>
  <si>
    <t>10F/12F/12F</t>
  </si>
  <si>
    <t>21-25</t>
  </si>
  <si>
    <t>全身無敵：21-25F (当たりあり)
溜め開始：16F目</t>
  </si>
  <si>
    <t>13/15/15</t>
  </si>
  <si>
    <t>15.6/18/18</t>
  </si>
  <si>
    <t>15%部分は埋め属性。
溜め開始：7F目</t>
  </si>
  <si>
    <t>1-41</t>
  </si>
  <si>
    <t>爆発は飛び道具判定。
爆弾は地形に着弾、または44F目に爆発する。
爆発は相殺なし。</t>
  </si>
  <si>
    <t>1-2
(生成：14F)</t>
  </si>
  <si>
    <t>10-13,
14-17, 18-21</t>
  </si>
  <si>
    <t>10-37</t>
  </si>
  <si>
    <t>9-14
(Rehit: 6)</t>
  </si>
  <si>
    <t>1-43</t>
  </si>
  <si>
    <t>生成：8F目</t>
  </si>
  <si>
    <t>15-28
(Rehit: 6)</t>
  </si>
  <si>
    <t>29-35
(Rehit: 6)</t>
  </si>
  <si>
    <t>37-41</t>
  </si>
  <si>
    <t>6-49</t>
  </si>
  <si>
    <t>14-38</t>
  </si>
  <si>
    <t>NB (シェフ)</t>
  </si>
  <si>
    <t>18-20
(35-37)</t>
  </si>
  <si>
    <t>21F目から追加入力受付。
1ループ毎に最小で17F追加。
最大で1度に4ループまで追加。</t>
  </si>
  <si>
    <t>18-98
(35-115)</t>
  </si>
  <si>
    <t>横B (ジャッジ)</t>
  </si>
  <si>
    <t>ジャッジ1</t>
  </si>
  <si>
    <t>同じ数字は連続して出ない。
ジャッジ7が出てから150Fのあいだは、
再度ジャッジ7は出ない。
ジャッジ7はヒットさせた場合のみリンゴが3つ出現。
リンゴは1つにつき4%回復。</t>
  </si>
  <si>
    <t>ジャッジ2</t>
  </si>
  <si>
    <t>ジャッジ3</t>
  </si>
  <si>
    <t>ジャッジ4</t>
  </si>
  <si>
    <t>ジャッジ5, 
Hit 1-4</t>
  </si>
  <si>
    <t>16-18, 19-21, 
22-24, 25-27</t>
  </si>
  <si>
    <t>ジャッジ6</t>
  </si>
  <si>
    <t>ジャッジ7</t>
  </si>
  <si>
    <t>ジャッジ8</t>
  </si>
  <si>
    <t>ジャッジ9</t>
  </si>
  <si>
    <t>27F</t>
  </si>
  <si>
    <t>上B (ファイア)</t>
  </si>
  <si>
    <t>全身無敵：5-13F
着地隙：7F (パラシュート)
Hit 1は相殺なし。
ガケつかまり(前)：15F目以降</t>
  </si>
  <si>
    <t>10F目</t>
  </si>
  <si>
    <t>9-18</t>
  </si>
  <si>
    <t>下B (オイルパニック)</t>
  </si>
  <si>
    <t>反射・吸収</t>
  </si>
  <si>
    <t>受付：6-30F</t>
  </si>
  <si>
    <t>吸収・反射：6-30F (地上)
吸収・反射：6-29F (空中)
反転モーションは全体6F。</t>
  </si>
  <si>
    <t>受付：6-29F</t>
  </si>
  <si>
    <t>全身無敵：1-24F (反射・吸収時)
反射ダメージ倍率：1.0倍
反射速度倍率：0.8倍
飛び道具持続倍率：0.8倍</t>
  </si>
  <si>
    <t>反射・吸収時</t>
  </si>
  <si>
    <t>放出</t>
  </si>
  <si>
    <t>2-7</t>
  </si>
  <si>
    <t>16 ~ 48</t>
  </si>
  <si>
    <t>19.2 ~ 57.6</t>
  </si>
  <si>
    <t>14F ~ 40F</t>
  </si>
  <si>
    <t>ダメージ倍率：2倍
最低保証ダメージ：計16%
ゲージ1つ分の上限：16%
10%以上の攻撃を吸収でゲージ2つ溜め。
20%以上の攻撃を吸収でゲージ3つ溜め。
相殺モーションなし。</t>
  </si>
  <si>
    <t>放出, 持続1</t>
  </si>
  <si>
    <t>8-14</t>
  </si>
  <si>
    <t>放出, 持続2</t>
  </si>
  <si>
    <t>15-26</t>
  </si>
  <si>
    <t>2, 5, 8, 11, 
14, 17, 20</t>
  </si>
  <si>
    <t>ガード硬直補正倍率：4倍
最低7ヒット。
相殺なし。</t>
  </si>
  <si>
    <t>7/7/6</t>
  </si>
  <si>
    <t>横強1</t>
  </si>
  <si>
    <t>11-25Fは横強2に移行可能。</t>
  </si>
  <si>
    <t>横強2</t>
  </si>
  <si>
    <t>7-27Fは横強3に移行可能。</t>
  </si>
  <si>
    <t>横強3</t>
  </si>
  <si>
    <t>7/6</t>
  </si>
  <si>
    <t>8.4/7.2</t>
  </si>
  <si>
    <t>転倒率：+25%</t>
  </si>
  <si>
    <t>溜め開始：21F目</t>
  </si>
  <si>
    <t>6-39</t>
  </si>
  <si>
    <t>2-38</t>
  </si>
  <si>
    <t>7-39</t>
  </si>
  <si>
    <t>NB (マッハトルネイド)</t>
  </si>
  <si>
    <t>本当て</t>
  </si>
  <si>
    <t>12/0</t>
  </si>
  <si>
    <t>14.4/0</t>
  </si>
  <si>
    <t>11F/0F</t>
  </si>
  <si>
    <t>着地隙：29F</t>
  </si>
  <si>
    <t>持続, 最短</t>
  </si>
  <si>
    <t>26-46</t>
  </si>
  <si>
    <t>8/0</t>
  </si>
  <si>
    <t>9.6/0</t>
  </si>
  <si>
    <t>8F/0F</t>
  </si>
  <si>
    <t>横B (ドリルラッシュ)</t>
  </si>
  <si>
    <t>26-32
(Rehit: 4)</t>
  </si>
  <si>
    <t>(98)</t>
  </si>
  <si>
    <t>着地隙：26F
相殺なし。
一定時間突進でガケから飛び出さない。
ガケつかまり(前後)：47F目以降
ガケつかまり(前後)：2F目以降 (バウンド後)</t>
  </si>
  <si>
    <t>33-69
(Rehit: 4)</t>
  </si>
  <si>
    <t>上B (シャトルループ)</t>
  </si>
  <si>
    <t>着地隙：30F
相殺なし。
ガケつかまり(後)：13F目以降
ガケつかまり(前後)：21F目以降
ガケつかまり(前後)：9F目以降 (地上のみ)</t>
  </si>
  <si>
    <t>Hit 1, 持続2</t>
  </si>
  <si>
    <t>22-27</t>
  </si>
  <si>
    <t>20-26</t>
  </si>
  <si>
    <t>下B (ディメンジョンマント)</t>
  </si>
  <si>
    <t>全身無敵：12-39F (移動)
全身無敵：12-32F (攻撃, 通常・後)
全身無敵：12-29F (攻撃, 前)
20F目以降はガケから飛び出さない。
ガケつかまり(前後)：35F目以降 (移動)
ガケつかまり(前後)：50F目以降 (攻撃)</t>
  </si>
  <si>
    <t>地上（攻撃時）</t>
  </si>
  <si>
    <t>攻撃, 通常</t>
  </si>
  <si>
    <t>攻撃, 前</t>
  </si>
  <si>
    <t>攻撃, 後</t>
  </si>
  <si>
    <t>空中（攻撃時）</t>
  </si>
  <si>
    <t>8-9
9</t>
  </si>
  <si>
    <t>39-44</t>
  </si>
  <si>
    <t>打撃部分は投げ中の相手にはヒットしない。
打撃部分は相殺なし。</t>
  </si>
  <si>
    <t>11-13, 17-19
23-25, 29-31
35-37, 41-43
47-49, 53-55
59-61</t>
  </si>
  <si>
    <t>73-74</t>
  </si>
  <si>
    <t>75</t>
  </si>
  <si>
    <t>4回</t>
  </si>
  <si>
    <t>7-27Fは弱2に移行可能。
ボタン押しっぱなしでは16F目に移行。</t>
  </si>
  <si>
    <t>11-27Fは弱3に移行可能。
ボタン押しっぱなしでは17F目に移行。
7F目から百裂に移行可能。</t>
  </si>
  <si>
    <t>ガード硬直補正倍率：3倍
最小8ヒット。
相殺なし。</t>
  </si>
  <si>
    <t>ガード硬直補正倍率：1.37倍</t>
  </si>
  <si>
    <t>12/12/10</t>
  </si>
  <si>
    <t>14.4/14.4/12</t>
  </si>
  <si>
    <t>4-5, 7-8, 
10-11, 13-14, 
16-17, 19-20,
22-23</t>
  </si>
  <si>
    <t>0.7</t>
  </si>
  <si>
    <t>1-27</t>
  </si>
  <si>
    <t>12.24/8.16</t>
  </si>
  <si>
    <t>10-11, 13-14,
16-17,19-20</t>
  </si>
  <si>
    <t>5-34</t>
  </si>
  <si>
    <t>7-35</t>
  </si>
  <si>
    <t>NB (パルテナの神弓)</t>
  </si>
  <si>
    <t>横, 最速</t>
  </si>
  <si>
    <t>16-60</t>
  </si>
  <si>
    <t>3.2 ~ 8.6</t>
  </si>
  <si>
    <t>3.84 ~ 10.32</t>
  </si>
  <si>
    <t>2F ~ 3F</t>
  </si>
  <si>
    <t xml:space="preserve">最大溜め：60F
溜め開始：15F目
溜め状態からの発生は2F (横), 3F (上)。
ダメージ = 3.2 + 0.09 * 溜めフレーム
</t>
  </si>
  <si>
    <t>上, 最速</t>
  </si>
  <si>
    <t>18-62</t>
  </si>
  <si>
    <t>横B (豪腕ダッシュアッパー)</t>
  </si>
  <si>
    <t>突進 (感知)</t>
  </si>
  <si>
    <t>アーマー：11-26F (突進)
反射：16-35F
反射ダメージ倍率：1倍
反射速度倍率：1倍
着地隙：30F
相殺モーションなし。
ガケつかまり(前後)：2F目以降 (突進)
ガケつかまり(前後)：2F目以降 (攻撃)</t>
  </si>
  <si>
    <t>2-4</t>
  </si>
  <si>
    <t>2-5</t>
  </si>
  <si>
    <t>上B (飛翔の奇跡)</t>
  </si>
  <si>
    <t>全身無敵：9-19F (地上)
全身無敵：15-19F (空中)
着地隙：40F
ガケつかまり(前後)：25F目以降</t>
  </si>
  <si>
    <t>下B (衛星ガーディアンズ)</t>
  </si>
  <si>
    <t>最短, 風判定</t>
  </si>
  <si>
    <t>7-21
(Rehit: 4)</t>
  </si>
  <si>
    <t>最小保持：15F
最大保持：100F
シールド展開：7-21F (HP = 15%)
反射ダメージ倍率：1.5倍
反射速度倍率：1.7倍
飛び道具持続倍率：0.7倍</t>
  </si>
  <si>
    <t>破壊</t>
  </si>
  <si>
    <t>28'</t>
  </si>
  <si>
    <t>NB (神弓シルバーリップ)</t>
  </si>
  <si>
    <t>16-55</t>
  </si>
  <si>
    <t>5.5 ~ 14.002</t>
  </si>
  <si>
    <t>6.6 ~ 16.8024‬</t>
  </si>
  <si>
    <t xml:space="preserve">最大溜め：60F
溜め開始：15F目
溜め状態からの発生は2F (横), 3F (上)。
ダメージ = 5.5 + 0.1417 * 溜めフレーム
</t>
  </si>
  <si>
    <t>18-57</t>
  </si>
  <si>
    <t>横B (豪腕デンショッカー)</t>
  </si>
  <si>
    <t>ダメージ(1v1)</t>
  </si>
  <si>
    <t>アーマー：11-26F (突進)
反射：16-35F
反射ダメージ倍率：1倍
反射速度倍率：1倍
着地隙：30F
相殺モーションなし。
ガケつかまり(前後)：2F目以降 (突進)
ガケつかまり(前後)：2F目以降 (攻撃)</t>
  </si>
  <si>
    <t>23
(7)</t>
  </si>
  <si>
    <t>6-30Fは弱2に移行可能。
空振り時にボタン長押しで8F目から弱1でキャンセル可能。</t>
  </si>
  <si>
    <t>8/8/6.5</t>
  </si>
  <si>
    <t>9.6/9.6/7.8</t>
  </si>
  <si>
    <t>22F目までに入力でシフト可能。
溜め開始：10F目</t>
  </si>
  <si>
    <t>Hit 2, 全シフト</t>
  </si>
  <si>
    <t>26-28</t>
  </si>
  <si>
    <t>14, 17, 20,
23, 26</t>
  </si>
  <si>
    <t>溜め開始：16F目
相殺なし。</t>
  </si>
  <si>
    <t>10.2/12.24</t>
  </si>
  <si>
    <t>6-12</t>
  </si>
  <si>
    <t>4-49</t>
  </si>
  <si>
    <t>NB (パラライザー)</t>
  </si>
  <si>
    <t>21-42</t>
  </si>
  <si>
    <t>最大溜め：22F
溜め開始：21F目
溜め状態からの発生は1F。
着地隙：20F</t>
  </si>
  <si>
    <t>43-88</t>
  </si>
  <si>
    <t>横B (プラズマウィップ)</t>
  </si>
  <si>
    <t>1.2/2</t>
  </si>
  <si>
    <t>1.44/2.4</t>
  </si>
  <si>
    <t>2F/3F</t>
  </si>
  <si>
    <t>ワイヤーガケつかまり：20F目から
Hit 2の判定は同時ヒット可能。</t>
  </si>
  <si>
    <t>2/1.2</t>
  </si>
  <si>
    <t>HIt 3</t>
  </si>
  <si>
    <t>31-35</t>
  </si>
  <si>
    <t>派生, Hit 1</t>
  </si>
  <si>
    <t>30F目まで長押しで派生に移行。</t>
  </si>
  <si>
    <t>派生, Hit 2</t>
  </si>
  <si>
    <t>派生, Hit 3</t>
  </si>
  <si>
    <t>派生, Hit 4</t>
  </si>
  <si>
    <t>派生, Hit 5</t>
  </si>
  <si>
    <t>派生, Hit 6</t>
  </si>
  <si>
    <t>37-38</t>
  </si>
  <si>
    <t>派生, Hit 7</t>
  </si>
  <si>
    <t>派生, Hit 8</t>
  </si>
  <si>
    <t>46-47</t>
  </si>
  <si>
    <t>上B (ブーストキック)</t>
  </si>
  <si>
    <t>着地隙：30F
ガケつかまり(前)：16F目以降
ガケつかまり(前後)：47F目以降</t>
  </si>
  <si>
    <t>(4F目)</t>
  </si>
  <si>
    <t>10-14
(Rehit: 4)</t>
  </si>
  <si>
    <t>15-22
(Rehit: 4)</t>
  </si>
  <si>
    <t>〆1</t>
  </si>
  <si>
    <t>〆2</t>
  </si>
  <si>
    <t>32-33</t>
  </si>
  <si>
    <t>下B (フリップジャンプ)</t>
  </si>
  <si>
    <t>全身無敵：3-12F (移動)
14F目から攻撃と踏みつけに移行可能。
着地隙：8F (移動)
着地隙：35F (攻撃)
ガケつかまり(前)：14F目以降
ガケつかまり(前後)：20F目以降</t>
  </si>
  <si>
    <t>攻撃, 対地</t>
  </si>
  <si>
    <t>攻撃, 対空</t>
  </si>
  <si>
    <t>踏みつけ</t>
  </si>
  <si>
    <t>15-25
15-17</t>
  </si>
  <si>
    <t>17-26
17-19</t>
  </si>
  <si>
    <t>18-26
18-20</t>
  </si>
  <si>
    <t>敵のみ</t>
  </si>
  <si>
    <t>11-30Fは弱2に移行可能。
ボタン押しっぱなしでは21F目に移行。</t>
  </si>
  <si>
    <t>11/5</t>
  </si>
  <si>
    <t>13.2/6</t>
  </si>
  <si>
    <t>10F/6F</t>
  </si>
  <si>
    <t>13/11</t>
  </si>
  <si>
    <t>15.6/13.2</t>
  </si>
  <si>
    <t>12F/10F</t>
  </si>
  <si>
    <t>11-15</t>
  </si>
  <si>
    <t>頭無敵：8-14F
溜め開始：5F目</t>
  </si>
  <si>
    <t>8-17</t>
  </si>
  <si>
    <t>28-36</t>
  </si>
  <si>
    <t>4-12</t>
  </si>
  <si>
    <t>4-42</t>
  </si>
  <si>
    <t>3/3/6</t>
  </si>
  <si>
    <t>3.6/3.6/7.2</t>
  </si>
  <si>
    <t>3.06/3.06/6.12</t>
  </si>
  <si>
    <t>27-42</t>
  </si>
  <si>
    <t>5-26</t>
  </si>
  <si>
    <t>5-33</t>
  </si>
  <si>
    <t>9, 11, 13, 
15, 17, 19</t>
  </si>
  <si>
    <t>3-41</t>
  </si>
  <si>
    <t>Hit 7は相殺なし。</t>
  </si>
  <si>
    <t>8-16</t>
  </si>
  <si>
    <t>全身無敵：2-17F (爆発系アイテム食べ時)
最小保持：12F
最大保持：60F
噛みつき1回で0.6%回復。
アイテムを食べると1%回復 + ワリオっぺのチャージ時間が90F追加。
たべもの系を食べると回復量1.5倍。
爆発系を食べると3% (3.6%)の自傷ダメージ。
飛び道具はダメージの0.2倍だけ回復。
爆発系アイテム食べ時の判定は相殺なし。
噛みつきのダメージはプレイヤー数依存。
2人対戦では2% (2.4%)、4人対戦では2.6%。</t>
  </si>
  <si>
    <t>最長</t>
  </si>
  <si>
    <t>8-64</t>
  </si>
  <si>
    <t>解除, 地上</t>
  </si>
  <si>
    <t>解除, 空中</t>
  </si>
  <si>
    <t>噛みつき</t>
  </si>
  <si>
    <t>食べ(小)</t>
  </si>
  <si>
    <t>取得：10F目</t>
  </si>
  <si>
    <t>食べ(大)</t>
  </si>
  <si>
    <t>取得：25F目</t>
  </si>
  <si>
    <t>食べ(たべもの)</t>
  </si>
  <si>
    <t>食べ(爆発系)</t>
  </si>
  <si>
    <t>突進</t>
  </si>
  <si>
    <t>20-*</t>
  </si>
  <si>
    <t>ヘビーアーマー：20KB (乗車中)
HP：18.0% (21.6%)
自傷ダメージ：6.0% (7.2%)
・乗車中バイク破壊時
・OP補正がかかる
ウィリー保持：最大40F
本体付随の飛び道具 (乗車時のみ)：
・相殺判定を持つすべての判定と相殺する。
・ガード時、攻撃側の硬直がガード側の硬直よりも長くなる。
突進とウイリー終了は相殺なし。</t>
  </si>
  <si>
    <t>ウイリー開始</t>
  </si>
  <si>
    <t>8.3</t>
  </si>
  <si>
    <t>ウイリー</t>
  </si>
  <si>
    <t>13-*</t>
  </si>
  <si>
    <t>ウイリー終了</t>
  </si>
  <si>
    <t>ターン</t>
  </si>
  <si>
    <t>1-?</t>
  </si>
  <si>
    <t>ターン, 持続</t>
  </si>
  <si>
    <t>?</t>
  </si>
  <si>
    <t>ジャンプ乗り捨て</t>
  </si>
  <si>
    <t>21-*</t>
  </si>
  <si>
    <t>3.5/2.5</t>
  </si>
  <si>
    <t>4.2/3</t>
  </si>
  <si>
    <t>再乗車</t>
  </si>
  <si>
    <t>乗り捨て</t>
  </si>
  <si>
    <t>壁激突</t>
  </si>
  <si>
    <t>アピール</t>
  </si>
  <si>
    <t>上B (コークスクリュー)</t>
  </si>
  <si>
    <t>着地隙：20F
ガケつかまり(前後)：9F目以降</t>
  </si>
  <si>
    <t>6F目</t>
  </si>
  <si>
    <t>Hit 2-5</t>
  </si>
  <si>
    <t>8-11, 12-15, 
16-19, 20-23</t>
  </si>
  <si>
    <t>1.2/1.3/1.4/1.5</t>
  </si>
  <si>
    <t>1.44/1.56/1.68/1.8</t>
  </si>
  <si>
    <t>2F/2F/3F/3F/3F</t>
  </si>
  <si>
    <t>下B (ワリオっぺ)</t>
  </si>
  <si>
    <t xml:space="preserve">アーマー：4-13F (溜め最大)
溜め1到達：15秒 (溜め1最大でダメ1.3倍)
溜め2到達：55秒 (溜め2最大でダメ1.5倍)
溜め最大：110秒
溜め無しは転倒率100%。
すべて相殺なし。
</t>
  </si>
  <si>
    <t>12+/10+</t>
  </si>
  <si>
    <t>14.4+/12+</t>
  </si>
  <si>
    <t>11F+/10F+</t>
  </si>
  <si>
    <t>20+</t>
  </si>
  <si>
    <t>18F+</t>
  </si>
  <si>
    <t>溜め最大</t>
  </si>
  <si>
    <t>23F</t>
  </si>
  <si>
    <t>溜め最大, 持続</t>
  </si>
  <si>
    <t>14-29</t>
  </si>
  <si>
    <t>打撃部分は、ガノンドロフにヒットしない。</t>
  </si>
  <si>
    <t>15-46</t>
  </si>
  <si>
    <t>22-29</t>
  </si>
  <si>
    <t>15
(6)</t>
  </si>
  <si>
    <t>6-30Fは弱2に移行可能。
空振り時にボタン長押しで7F目から弱1でキャンセル可能。</t>
  </si>
  <si>
    <t>7-30Fは弱3に移行可能。</t>
  </si>
  <si>
    <t>11/9</t>
  </si>
  <si>
    <t>13.2/10.8</t>
  </si>
  <si>
    <t>10F/9F</t>
  </si>
  <si>
    <t>両腕・頭無敵：5-12F</t>
  </si>
  <si>
    <t>10-31Fは横強2に移行可能。</t>
  </si>
  <si>
    <t>9/11/10</t>
  </si>
  <si>
    <t>10.8/13.2/12</t>
  </si>
  <si>
    <t>14.5</t>
  </si>
  <si>
    <t>41-43</t>
  </si>
  <si>
    <t>73</t>
  </si>
  <si>
    <t>溜め開始：39F目
相殺なし。</t>
  </si>
  <si>
    <t>打ち上げ
対地のみ</t>
  </si>
  <si>
    <t>生成：35F
Hit 1は溜め開始前に判定あり。爆発部は溜めに応じて速度が増加、ダメージは変化なし。
ガード硬直計算は直接攻撃扱い。
弾はシールドには接触しない。
ファイター接触2F目、ステージ接触1F目に判定出現。
溜め開始：25F目</t>
  </si>
  <si>
    <t>1-5
(36-40)</t>
  </si>
  <si>
    <t>生成：26F目 (上アピール)
生成：28F目 (横アピール)
生成：28F目 (下アピール)</t>
  </si>
  <si>
    <t>14/15/15</t>
  </si>
  <si>
    <t>16.8/18/18</t>
  </si>
  <si>
    <t>14.28/15.3/15.3</t>
  </si>
  <si>
    <t>4-62</t>
  </si>
  <si>
    <t>14.28/16.32</t>
  </si>
  <si>
    <t>5F/6F</t>
  </si>
  <si>
    <t>2-39</t>
  </si>
  <si>
    <t>9/10</t>
  </si>
  <si>
    <t>10.8/12</t>
  </si>
  <si>
    <t>9.18/10.2</t>
  </si>
  <si>
    <t>13-23</t>
  </si>
  <si>
    <t>2-52</t>
  </si>
  <si>
    <t>NB (手榴弾)</t>
  </si>
  <si>
    <t>生成</t>
  </si>
  <si>
    <t>地上：21
空中：19</t>
  </si>
  <si>
    <t>生成150F目に自動で爆発。
爆発は相殺なし。
ダメージは手榴弾の速度依存。
スネーク側にヒットする爆発の持続は1F。</t>
  </si>
  <si>
    <t>投擲, 通常</t>
  </si>
  <si>
    <t>投擲：8F</t>
  </si>
  <si>
    <t>投擲, 手前</t>
  </si>
  <si>
    <t>投擲：9F</t>
  </si>
  <si>
    <t>投擲, 奥</t>
  </si>
  <si>
    <t>投擲：10F</t>
  </si>
  <si>
    <t>手榴弾, 投擲</t>
  </si>
  <si>
    <t>1-*</t>
  </si>
  <si>
    <t>0.6+</t>
  </si>
  <si>
    <t>0.72+</t>
  </si>
  <si>
    <t>手榴弾, 爆発</t>
  </si>
  <si>
    <t>9+</t>
  </si>
  <si>
    <t>10.8+</t>
  </si>
  <si>
    <t>横B (リモコンミサイル)</t>
  </si>
  <si>
    <t>ニキータ, 始</t>
  </si>
  <si>
    <t>42-73</t>
  </si>
  <si>
    <t>ニキータHP：20%
ニキータはシールドには接触しない。
ファイター接触2F目、ステージ接触1F目に爆発の攻撃判定出現。
ニキータがダメージを受けると60F後に判定復活。
相殺なし。</t>
  </si>
  <si>
    <t>ニキータ</t>
  </si>
  <si>
    <t>74-*</t>
  </si>
  <si>
    <t>ニキータ, 落下</t>
  </si>
  <si>
    <t>解除・ヒット</t>
  </si>
  <si>
    <t>上B (サイファー)</t>
  </si>
  <si>
    <t>サイファー</t>
  </si>
  <si>
    <t>1-*
(生成：7F)</t>
  </si>
  <si>
    <t>ヘビーアーマー：7-*F (7%)
47F目から下入力・空中攻撃・必殺ワザ・空中回避・アイテム投げでキャンセル可能。
最大で90Fのあいだサイファーで移動可能。
サイファーHP：13%
サイファーは敵にヒットすると消滅。
相殺なし。
ガケつかまり(前)：48F目以降</t>
  </si>
  <si>
    <t>下B (C4爆弾)</t>
  </si>
  <si>
    <t>設置</t>
  </si>
  <si>
    <t>生成：21F</t>
  </si>
  <si>
    <t>下B入力後1602F目に自動で爆発。
ガード硬直計算は直接攻撃扱い。
ファイターに貼り付いているC4は、最短120Fの間隔で近くにいるファイターへ移動する。
780Fのあいだ同じファイターに連続で貼り付いた場合、自動で剥がれ落ちる。
ダメージを受けた場合にも、4%?の確率で剥がれ落ちる。
相殺なし。</t>
  </si>
  <si>
    <t>設置, しゃがみ</t>
  </si>
  <si>
    <t>生成：16F</t>
  </si>
  <si>
    <t>貼り付け, 敵</t>
  </si>
  <si>
    <t>生成：10F</t>
  </si>
  <si>
    <t>貼り付け, 壁</t>
  </si>
  <si>
    <t>起爆, しゃがみ</t>
  </si>
  <si>
    <t>C4</t>
  </si>
  <si>
    <t>貼りつき</t>
  </si>
  <si>
    <t>投げ後の敵蓄積%によって硬直差が-4Fから+6Fまで変化する。170%で+6F。</t>
  </si>
  <si>
    <t>23
(15)</t>
  </si>
  <si>
    <r>
      <rPr>
        <rFont val="Arial"/>
        <sz val="10.0"/>
      </rPr>
      <t>9-30Fは弱2に移行可能。</t>
    </r>
    <r>
      <rPr>
        <rFont val="Arial"/>
        <sz val="10.0"/>
      </rPr>
      <t xml:space="preserve">
空振り時にボタン長押しで16F目から弱1でキャンセル可能。</t>
    </r>
  </si>
  <si>
    <t>9-30Fは弱3に移行可能。</t>
  </si>
  <si>
    <t>14/14/11</t>
  </si>
  <si>
    <t>16.8/16.8/13.2</t>
  </si>
  <si>
    <t>15F/15F/12F</t>
  </si>
  <si>
    <t>ガード硬直補正倍率：1.2倍
本当てのみ相殺モーションなし。</t>
  </si>
  <si>
    <t>溜め開始：25F目</t>
  </si>
  <si>
    <t>33-35</t>
  </si>
  <si>
    <t>22/22/19</t>
  </si>
  <si>
    <t>26.4/26.4/22.8</t>
  </si>
  <si>
    <t>14F/14F/13F</t>
  </si>
  <si>
    <t>衝撃, 対地のみ</t>
  </si>
  <si>
    <t>15-22</t>
  </si>
  <si>
    <t>6-50</t>
  </si>
  <si>
    <t>5-47</t>
  </si>
  <si>
    <r>
      <rPr>
        <rFont val="Arial"/>
        <sz val="10.0"/>
      </rPr>
      <t>30</t>
    </r>
    <r>
      <rPr>
        <rFont val="Arial"/>
        <sz val="10.0"/>
      </rPr>
      <t>-36
30-34</t>
    </r>
  </si>
  <si>
    <t>78</t>
  </si>
  <si>
    <t>スーパーアーマー：6-10F (溜め解除後, 溜め中・大)
溜め中：120-179F
溜め大：180F (最大30F保持可能)
溜め開始：20F目
溜め解除からの最速発生は11F。
ダメージ (溜め小) = 10 + 溜めフレーム * 0.133
溜め大は10%(1on1補正無視)の自傷ダメージ。
相殺なし。</t>
  </si>
  <si>
    <t>溜め中</t>
  </si>
  <si>
    <t>150-154</t>
  </si>
  <si>
    <t>198</t>
  </si>
  <si>
    <t>35/28/26</t>
  </si>
  <si>
    <t>30F/24F/22F</t>
  </si>
  <si>
    <t>溜め中, 持続</t>
  </si>
  <si>
    <t>154-159</t>
  </si>
  <si>
    <t>31/25</t>
  </si>
  <si>
    <t>26F/22F</t>
  </si>
  <si>
    <t>溜め大</t>
  </si>
  <si>
    <t>210-214</t>
  </si>
  <si>
    <t>258</t>
  </si>
  <si>
    <r>
      <rPr>
        <rFont val="Arial"/>
        <color rgb="FF000000"/>
        <sz val="10.0"/>
      </rPr>
      <t>35</t>
    </r>
    <r>
      <rPr>
        <rFont val="Arial"/>
        <color rgb="FF000000"/>
        <sz val="10.0"/>
      </rPr>
      <t>/28/26</t>
    </r>
  </si>
  <si>
    <t>溜め大, 持続1</t>
  </si>
  <si>
    <t>214-218</t>
  </si>
  <si>
    <t>溜め大, 持続2</t>
  </si>
  <si>
    <t>218-221</t>
  </si>
  <si>
    <t>27/22</t>
  </si>
  <si>
    <t>23F/19F</t>
  </si>
  <si>
    <t>ダッシュ (感知)</t>
  </si>
  <si>
    <t>最大溜め：70F
溜め開始：15F目
ダメージ = 9 + 溜めフレーム * 0.1 (地上)
ダメージ = 6 + 溜めフレーム * 0.1 (空中)
ガケつかまり(前後)：2F目以降 (溜め解除後)
ガケつかまり(前後)：13F目以降 (斬り動作後)</t>
  </si>
  <si>
    <t>斬り</t>
  </si>
  <si>
    <t>2-3
(+14)</t>
  </si>
  <si>
    <t>9 ~ 16</t>
  </si>
  <si>
    <t>10.8 ~ 19.2</t>
  </si>
  <si>
    <t>9F ~ 14F</t>
  </si>
  <si>
    <t>6 ~ 13</t>
  </si>
  <si>
    <t>7.2 ~ 15.6</t>
  </si>
  <si>
    <t>6F ~ 12F</t>
  </si>
  <si>
    <t>スーパーアーマー：5-35F (地上)
スーパーアーマー：15-35F (空中)
着地隙：36F
剣1, 剣2は相殺なし。
ガケつかまり(前)：59F目以降</t>
  </si>
  <si>
    <t>剣1</t>
  </si>
  <si>
    <t>16-36</t>
  </si>
  <si>
    <t>剣2</t>
  </si>
  <si>
    <t>44-54
(Rehit: 7)</t>
  </si>
  <si>
    <t>落下, 対地</t>
  </si>
  <si>
    <t>61-*</t>
  </si>
  <si>
    <t>落下, 対空</t>
  </si>
  <si>
    <t>受付：9-33F</t>
  </si>
  <si>
    <r>
      <rPr>
        <rFont val="Arial"/>
        <color rgb="FF000000"/>
        <sz val="10.0"/>
      </rPr>
      <t>全身無敵：8-15F
頭無敵：16-33F
カウンター受付：9-33F</t>
    </r>
    <r>
      <rPr>
        <rFont val="Arial"/>
        <color rgb="FF999999"/>
        <sz val="10.0"/>
      </rPr>
      <t xml:space="preserve">
</t>
    </r>
    <r>
      <rPr>
        <rFont val="Arial"/>
        <color rgb="FF000000"/>
        <sz val="10.0"/>
      </rPr>
      <t>カウンターダメージ倍率：1.2倍</t>
    </r>
  </si>
  <si>
    <r>
      <rPr>
        <rFont val="Arial"/>
        <sz val="10.0"/>
      </rPr>
      <t>5</t>
    </r>
    <r>
      <rPr>
        <rFont val="Arial"/>
        <sz val="10.0"/>
      </rPr>
      <t>-6</t>
    </r>
  </si>
  <si>
    <t>全身無敵：1-5F
カウンター保証ダメージ：10%
相殺なし。</t>
  </si>
  <si>
    <t>ダメージ</t>
  </si>
  <si>
    <r>
      <rPr>
        <rFont val="Arial"/>
        <sz val="10.0"/>
      </rPr>
      <t>5</t>
    </r>
    <r>
      <rPr>
        <rFont val="Arial"/>
        <sz val="10.0"/>
      </rPr>
      <t>-7</t>
    </r>
  </si>
  <si>
    <r>
      <rPr>
        <rFont val="Arial"/>
        <sz val="10.0"/>
      </rPr>
      <t>20</t>
    </r>
    <r>
      <rPr>
        <rFont val="Arial"/>
        <sz val="10.0"/>
      </rPr>
      <t>-21</t>
    </r>
  </si>
  <si>
    <r>
      <rPr>
        <rFont val="Arial"/>
        <sz val="10.0"/>
      </rPr>
      <t>35</t>
    </r>
    <r>
      <rPr>
        <rFont val="Arial"/>
        <sz val="10.0"/>
      </rPr>
      <t>-39</t>
    </r>
  </si>
  <si>
    <t>10-30Fは弱3に移行可能。</t>
  </si>
  <si>
    <t>ガード硬直補正倍率：1.45倍 (本当てのみ)</t>
  </si>
  <si>
    <t>しっぽ無敵：1-8F</t>
  </si>
  <si>
    <t>溜め開始：6F目
Hit 1は相殺なし。
Hit 2は相殺モーションなし。</t>
  </si>
  <si>
    <t>Hit 2, 持続3</t>
  </si>
  <si>
    <t>Hit 2, 持続4</t>
  </si>
  <si>
    <t>Hit 2, 持続5</t>
  </si>
  <si>
    <t>5-14
(Rehit: 2)</t>
  </si>
  <si>
    <t>5-21</t>
  </si>
  <si>
    <t>2-19</t>
  </si>
  <si>
    <t>6-20
(Rehit: 3)</t>
  </si>
  <si>
    <t>6-34</t>
  </si>
  <si>
    <t>NB (みずでっぽう)</t>
  </si>
  <si>
    <t>26-45, 30-49,
33-52, 37-56, 
40-59, 43-62</t>
  </si>
  <si>
    <t xml:space="preserve">最大溜め：45F
溜め・キャンセル開始：20F目
溜め中からの最速発生は7F。
相殺なし。    </t>
  </si>
  <si>
    <t>横B (からにこもる)</t>
  </si>
  <si>
    <t>最短, 地上</t>
  </si>
  <si>
    <t>22-41</t>
  </si>
  <si>
    <t>全身無敵：22-41F (当たりあり)
ダメージは速度依存。
最長で20F追加。
相殺なし。</t>
  </si>
  <si>
    <t>最短, 空中</t>
  </si>
  <si>
    <t>80</t>
  </si>
  <si>
    <t>ヒット後</t>
  </si>
  <si>
    <t>踏まれ</t>
  </si>
  <si>
    <t>164</t>
  </si>
  <si>
    <t>上B (たきのぼり)</t>
  </si>
  <si>
    <t>9-41
(Rehit: 5)</t>
  </si>
  <si>
    <t>着地隙：30F
相殺なし。
ガケつかまり(前)：19F目以降
ガケつかまり(前後)：46F目以降</t>
  </si>
  <si>
    <t>43-44</t>
  </si>
  <si>
    <t>下B (ポケモンチェンジ)</t>
  </si>
  <si>
    <t>全身無敵：1-25F
トレーナーが移動以外のモーションをとっているあいだは使用不可。
ポケモンチェンジの後は142F目から。</t>
  </si>
  <si>
    <t>27
(19)</t>
  </si>
  <si>
    <t>8F目から弱百裂に移行可能。
空振り時にボタン長押しで20F目から弱1でキャンセル可能。
相殺なし。</t>
  </si>
  <si>
    <t>ガード硬直補正倍率：3倍
最低7ヒット。</t>
  </si>
  <si>
    <t>4-11</t>
  </si>
  <si>
    <t>10, 12, 14,
16, 18, 20</t>
  </si>
  <si>
    <t>溜め開始：10F目
頭部分に相殺なし。</t>
  </si>
  <si>
    <t>蕾無敵：26-29F
溜め開始：8F目</t>
  </si>
  <si>
    <t>8/10/12</t>
  </si>
  <si>
    <t>9.6/12/14.4</t>
  </si>
  <si>
    <t>6F/7F/8F</t>
  </si>
  <si>
    <t>溜め開始：7F目
転倒率：+40%</t>
  </si>
  <si>
    <t>7-26
(Rehit: 3)</t>
  </si>
  <si>
    <t>7-42</t>
  </si>
  <si>
    <t>蕾無敵：12-13F</t>
  </si>
  <si>
    <t>NB (タネマシンガン)</t>
  </si>
  <si>
    <t>本体, Hit 1</t>
  </si>
  <si>
    <t>地上：79
空中：66</t>
  </si>
  <si>
    <t>タネは最小4 + 1発。最大10 + 1発。
1発追加毎に+6F。
相殺なし。</t>
  </si>
  <si>
    <t>本体, Hit 2</t>
  </si>
  <si>
    <t>13-35</t>
  </si>
  <si>
    <t>タネ</t>
  </si>
  <si>
    <t>13-15, 19-21, 
25-27, 31-33</t>
  </si>
  <si>
    <t>タネ, 持続</t>
  </si>
  <si>
    <t>16-20, 22-26, 
28-32, 35-39</t>
  </si>
  <si>
    <t>タネ, 〆</t>
  </si>
  <si>
    <t>横B (はっぱカッター)</t>
  </si>
  <si>
    <t>24-35</t>
  </si>
  <si>
    <t>弾き入力で速度上昇。
発射角度はランダム。</t>
  </si>
  <si>
    <t>36-54</t>
  </si>
  <si>
    <t>55-73</t>
  </si>
  <si>
    <t>上B (つるのムチ)</t>
  </si>
  <si>
    <t>11/13</t>
  </si>
  <si>
    <t>13.2/15.6</t>
  </si>
  <si>
    <t>ワイヤーガケつかまり：13F目
相殺モーションなし。
ガケつかまり(前)：25F目以降</t>
  </si>
  <si>
    <t>18F目から7F硬直。</t>
  </si>
  <si>
    <t>3回</t>
  </si>
  <si>
    <t>7-29Fは弱2に移行可能。
ボタン押しっぱなしでは16F目に移行。</t>
  </si>
  <si>
    <t>8-29Fは弱3に移行可能。
ボタン押しっぱなしでは17F目に移行。</t>
  </si>
  <si>
    <t>11/11/7/11/7</t>
  </si>
  <si>
    <t>13.2/13.2/8.4/13.2/8.4</t>
  </si>
  <si>
    <t>10F/10F/7F/10F/7F</t>
  </si>
  <si>
    <t>無敵：20-24F
(右腕・右翼・右足・しっぽ以外)
溜め開始：16F目</t>
  </si>
  <si>
    <t>19/16.4</t>
  </si>
  <si>
    <t>22.8/19.68</t>
  </si>
  <si>
    <t>6F目の判定は対地のみ。
溜め開始：3F目</t>
  </si>
  <si>
    <t>12/9/9/9</t>
  </si>
  <si>
    <t>14.4/10.8/10.8/10.8</t>
  </si>
  <si>
    <t>12.24/9.18/9.18/9.18</t>
  </si>
  <si>
    <t>5F/4F/4F/4F</t>
  </si>
  <si>
    <t>13/12/12</t>
  </si>
  <si>
    <t>15.6/14.4/14.4</t>
  </si>
  <si>
    <t>13.26/12.24/12.24</t>
  </si>
  <si>
    <t>14/11</t>
  </si>
  <si>
    <t>16.8/13.2</t>
  </si>
  <si>
    <t>14.28/11.22</t>
  </si>
  <si>
    <t>16/14/11/11</t>
  </si>
  <si>
    <t>19.2/16.8/13.2/13.2</t>
  </si>
  <si>
    <t>16.32/14.28/11.22/11.22</t>
  </si>
  <si>
    <t>6F/5F/4F/4F</t>
  </si>
  <si>
    <t>頭無敵：11-15F</t>
  </si>
  <si>
    <t>18-21</t>
  </si>
  <si>
    <t>6-41</t>
  </si>
  <si>
    <t>NB (かえんほうしゃ)</t>
  </si>
  <si>
    <t xml:space="preserve">19-22, 26-29, 
33-36, 40-43 </t>
  </si>
  <si>
    <t>360F発射で速度・サイズ最小。
600F経過で最大まで回復。
一定距離内で60F以内に4ヒット以上するとのけぞり発生。</t>
  </si>
  <si>
    <t>最短, 持続1</t>
  </si>
  <si>
    <t>23-25, 30-32, 
37-39, 44-46</t>
  </si>
  <si>
    <t>最短, 持続2</t>
  </si>
  <si>
    <t>26-32, 33-39, 
40-46, 47-53</t>
  </si>
  <si>
    <t>横B (フレアドライブ)</t>
  </si>
  <si>
    <t>23-52</t>
  </si>
  <si>
    <t>101</t>
  </si>
  <si>
    <t>ヘビーアーマー：23-52F (15%)
自傷ダメージ1：5.0% (23F目)
自傷ダメージ2：1.0% * 5 (爆発移行後)
つかみ不可：23-52F (突進中)
突進は相殺モーションなし。
爆発は相殺なし。
ガケつかまり(前)：54F目以降 (爆発)</t>
  </si>
  <si>
    <t>上B (そらをとぶ)</t>
  </si>
  <si>
    <t>スーパーアーマー：4-15F
着地隙：30F
ガケつかまり(前後)：22F目以降</t>
  </si>
  <si>
    <t>16-26
(Rehit: 3)</t>
  </si>
  <si>
    <r>
      <rPr>
        <rFont val="Arial"/>
        <sz val="10.0"/>
      </rPr>
      <t>52-</t>
    </r>
    <r>
      <rPr>
        <rFont val="Arial"/>
        <sz val="10.0"/>
      </rPr>
      <t>58</t>
    </r>
  </si>
  <si>
    <t>24-48
(Rehit: 6)</t>
  </si>
  <si>
    <t>19
(9)</t>
  </si>
  <si>
    <t>6-30Fは弱2に移行可能。
空振り時にボタン長押しで10F目から弱1でキャンセル可能。</t>
  </si>
  <si>
    <t>全シフト, 持続1</t>
  </si>
  <si>
    <t>全シフト, 持続2</t>
  </si>
  <si>
    <t>6-11</t>
  </si>
  <si>
    <t>11/11/9</t>
  </si>
  <si>
    <t>13.2/13.2/10.8</t>
  </si>
  <si>
    <t>19-23</t>
  </si>
  <si>
    <t>4-26</t>
  </si>
  <si>
    <t>3-25</t>
  </si>
  <si>
    <t>3-19</t>
  </si>
  <si>
    <t>1-26</t>
  </si>
  <si>
    <t>15-34</t>
  </si>
  <si>
    <t>カス当て</t>
  </si>
  <si>
    <t>NB (ピーナッツ・ポップガン)</t>
  </si>
  <si>
    <t>16-*</t>
  </si>
  <si>
    <t>3+</t>
  </si>
  <si>
    <t>3.6+</t>
  </si>
  <si>
    <t>最大溜め：80F
溜め・キャンセル開始：14F目
溜め中からの最速発生は3F。
14-44Fのあいだのみキャンセル可能。
発射・投擲フレームでヒットすると追加攻撃(2%)が発生する。
相殺なし。</t>
  </si>
  <si>
    <t>最大溜め, 爆発</t>
  </si>
  <si>
    <t>202</t>
  </si>
  <si>
    <t>横B (モンキーフリップ)</t>
  </si>
  <si>
    <t>つかみ, 対地</t>
  </si>
  <si>
    <t>18-36</t>
  </si>
  <si>
    <t>最速移行は12F目から。
着地隙：26F (移行前)
着地隙：18F (キック)
ガケつかまり(前)：13F目以降 (移行前のみ)</t>
  </si>
  <si>
    <t>つかみ, 対空</t>
  </si>
  <si>
    <t>キック</t>
  </si>
  <si>
    <t>キック, 持続</t>
  </si>
  <si>
    <t>11-25</t>
  </si>
  <si>
    <t>拘束</t>
  </si>
  <si>
    <t>11, 29</t>
  </si>
  <si>
    <t>ジャンプ派生後は再度横B使用可能。</t>
  </si>
  <si>
    <t>攻撃, 打撃</t>
  </si>
  <si>
    <t>攻撃, 投げ</t>
  </si>
  <si>
    <t>ジャンプ, 打撃</t>
  </si>
  <si>
    <t>ジャンプ, 投げ</t>
  </si>
  <si>
    <t>上B (バレルジェット)</t>
  </si>
  <si>
    <t>最大溜め：60F
溜め開始：8F目
溜め中からの最速発生は1F。
ヘビーアーマー：30KB (溜め中)
着地隙：30F
飛行攻撃は相殺なし。
爆発移行時に5%の自傷ダメージ。
ガケつかまり(前後)：2F目以降 (溜め解除後)</t>
  </si>
  <si>
    <t>17-35</t>
  </si>
  <si>
    <t>バレル, 飛行</t>
  </si>
  <si>
    <t>バレル, 爆発</t>
  </si>
  <si>
    <t>やられ</t>
  </si>
  <si>
    <t>下B (バナナのかわ)</t>
  </si>
  <si>
    <t>生成：20F</t>
  </si>
  <si>
    <t>自分のバナナ以外のアイテムを所持しているときは、14F目にアイテムをリリースする。
自分のバナナを所持しているときは、11F目にリリースして失敗モーションをとる。
バナナはガード硬直補正なし。(1倍)
相殺なし。</t>
  </si>
  <si>
    <t>バナナ</t>
  </si>
  <si>
    <t>0+</t>
  </si>
  <si>
    <t>19
(14)</t>
  </si>
  <si>
    <t>5-30Fは弱2に移行可能。
空振り時にボタン長押しで15F目から弱1でキャンセル可能。</t>
  </si>
  <si>
    <t>5-30Fは弱3に移行可能。</t>
  </si>
  <si>
    <t>9/13</t>
  </si>
  <si>
    <t>10.8/15.6</t>
  </si>
  <si>
    <t>9F/12F</t>
  </si>
  <si>
    <t>7.5/11</t>
  </si>
  <si>
    <t>9/13.2</t>
  </si>
  <si>
    <t>先端のみ相殺なし。</t>
  </si>
  <si>
    <t>Hit 2, 持続以外相殺なし。</t>
  </si>
  <si>
    <t>14-15
(反射：11-19F)</t>
  </si>
  <si>
    <t>反射：11-19F
反射ダメージ倍率：1.5倍
反射速度倍率：1.5倍
飛び道具持続倍率：0.7倍
相殺なし。
溜め開始：8F目</t>
  </si>
  <si>
    <t>98</t>
  </si>
  <si>
    <t>全身無敵：1-7F (当たりあり, 溜めなし時)
全身無敵：1-4F (当たりあり, 溜め解除後)
上半身無敵：15-29F 
持続4, 持続5は対空のみ。
Hit 1は相殺なし。
溜め開始：5F目</t>
  </si>
  <si>
    <t>30-32</t>
  </si>
  <si>
    <t>33-37</t>
  </si>
  <si>
    <t>38-42</t>
  </si>
  <si>
    <t>43-47</t>
  </si>
  <si>
    <t>48-52</t>
  </si>
  <si>
    <t>53-54</t>
  </si>
  <si>
    <t>20-22
(Rehit: 8)</t>
  </si>
  <si>
    <t>相殺なし。
溜め開始：6F目</t>
  </si>
  <si>
    <t>29-31
(Rehit: 9)</t>
  </si>
  <si>
    <t>39-41</t>
  </si>
  <si>
    <t>7-21
(Rehit: 5)</t>
  </si>
  <si>
    <t>9/12.5</t>
  </si>
  <si>
    <t>10.8/15</t>
  </si>
  <si>
    <t>9.18/12.75</t>
  </si>
  <si>
    <t>2-33</t>
  </si>
  <si>
    <t>12.5</t>
  </si>
  <si>
    <t>9/12/7</t>
  </si>
  <si>
    <t>10.8/14.4/8.4</t>
  </si>
  <si>
    <t>9.18/12.24/7.14</t>
  </si>
  <si>
    <t>4F/5F/3F</t>
  </si>
  <si>
    <t>対空, 持続</t>
  </si>
  <si>
    <t>9.18/7.14</t>
  </si>
  <si>
    <t>10-12, 
18-20, 26-28</t>
  </si>
  <si>
    <t>5/3</t>
  </si>
  <si>
    <t>6/3.6</t>
  </si>
  <si>
    <t>6F/4F</t>
  </si>
  <si>
    <t>10-29</t>
  </si>
  <si>
    <t>ワイヤーガケつかまり：7F目</t>
  </si>
  <si>
    <t>13-21</t>
  </si>
  <si>
    <t>NB (PKフリーズ)</t>
  </si>
  <si>
    <t>最小保持：20F
最大保持：72F (最大溜めは69F)
溜め開始：17F目
溜め中からの最速発生は5F。
ダメージ = INT(6 + 溜めフレーム * 0.255)
相殺なし。</t>
  </si>
  <si>
    <t>92-95</t>
  </si>
  <si>
    <t>115</t>
  </si>
  <si>
    <t>(5-8)</t>
  </si>
  <si>
    <t>消失</t>
  </si>
  <si>
    <t>21-38</t>
  </si>
  <si>
    <t>着地隙：19F
火柱は相殺なし。</t>
  </si>
  <si>
    <t>7/4</t>
  </si>
  <si>
    <t>8.4/4.8</t>
  </si>
  <si>
    <t>全身無敵：1-9F (突進)
着地隙：30F
激突モーション中は1回のみ再度上B使用可能。
突進, Hit 1-11は相殺モーションなし。
ガケつかまり(前後)：12F目以降 (弾消滅後)
ガケつかまり(前)：2F目以降 (体当たり)</t>
  </si>
  <si>
    <t>20-139
(Rehit: 6)</t>
  </si>
  <si>
    <t>0.75</t>
  </si>
  <si>
    <t>弾消失, 壁</t>
  </si>
  <si>
    <t>弾消失, 時間切れ</t>
  </si>
  <si>
    <t>突進, Hit 1</t>
  </si>
  <si>
    <t>(60)</t>
  </si>
  <si>
    <t>突進, Hit 2-6</t>
  </si>
  <si>
    <t>4-5, 6-7,
8-9, 10-11,
12-13</t>
  </si>
  <si>
    <t>突進, Hit 7-11</t>
  </si>
  <si>
    <t>14-15, 17-18,
20-21, 23-24,
26-27</t>
  </si>
  <si>
    <t>突進, Hit 12</t>
  </si>
  <si>
    <t>突進, 激突</t>
  </si>
  <si>
    <t>最短, 風</t>
  </si>
  <si>
    <t>吸収：7-18F（最短）
相殺なし。</t>
  </si>
  <si>
    <t>最短, 攻撃</t>
  </si>
  <si>
    <t>19
(+9)</t>
  </si>
  <si>
    <t>回復倍率：2倍
最大回復量：30%
モーションは回避・ジャンプキャンセル可。</t>
  </si>
  <si>
    <t>12-17
12-13</t>
  </si>
  <si>
    <t>14-19
14-15</t>
  </si>
  <si>
    <t>15-20
15-16</t>
  </si>
  <si>
    <t>7-24Fは弱2に移行可能。
空振り時にボタン長押しで10F目から弱1でキャンセル可能。</t>
  </si>
  <si>
    <t>ガード硬直補正倍率：0.75倍 (本当て)
ガード硬直補正倍率：1.05倍 (持続)</t>
  </si>
  <si>
    <t>9-20</t>
  </si>
  <si>
    <t>全シフト, Hit 1</t>
  </si>
  <si>
    <t>ぬるり判定消去：1-25F (全シフト)</t>
  </si>
  <si>
    <t>全シフト, Hit 2</t>
  </si>
  <si>
    <t>7/5/5</t>
  </si>
  <si>
    <t>8.4/6/6</t>
  </si>
  <si>
    <t>7F/6F/6F</t>
  </si>
  <si>
    <t>ぬるり判定消去：3-7F</t>
  </si>
  <si>
    <t>溜め開始：13F目</t>
  </si>
  <si>
    <t>全身無敵：14-18F
Hit 2-7は相殺なし。
溜め開始：10F目</t>
  </si>
  <si>
    <t>Hit 2-7</t>
  </si>
  <si>
    <t>17, 19, 21, 
23, 25, 27</t>
  </si>
  <si>
    <t>1-47</t>
  </si>
  <si>
    <t>5-15</t>
  </si>
  <si>
    <t>7.14/5.1</t>
  </si>
  <si>
    <t>ガード硬直補正倍率：0.5倍
最小保持：12 (+3) F
最大保持：79 (+3) F
ホーミングで最大13Fまでダッシュ時間延長。</t>
  </si>
  <si>
    <t>82-97</t>
  </si>
  <si>
    <t>126</t>
  </si>
  <si>
    <t>激突</t>
  </si>
  <si>
    <t>ホップ, 地上</t>
  </si>
  <si>
    <t>1-32</t>
  </si>
  <si>
    <t>全身無敵：1-6F (溜め解除後, 地上のみ)
全身無敵：1-6F (最大溜め, ターン後)
無敵はスピンジャンプ・ターン移行で解除。
溜め開始：8F目
最小溜め：9F (17F目に解除)
最大溜め：40F
溜め最大時間：120F
最大ダッシュ時間：110F
ジャンプは攻撃、または11F目から空中ジャンプでキャンセル可能。
ガケつかまり(前後)：41F目以降 (ジャンプのみ)</t>
  </si>
  <si>
    <t>ダッシュ, 地上</t>
  </si>
  <si>
    <t>7 ~ 10.9125?</t>
  </si>
  <si>
    <t>8.4 ~ 13.095?</t>
  </si>
  <si>
    <t>7F ~ 10F</t>
  </si>
  <si>
    <t>ダッシュ, 空中</t>
  </si>
  <si>
    <t>7 ~ 11.2</t>
  </si>
  <si>
    <t>8.4 ~ 13.44</t>
  </si>
  <si>
    <t>ダッシュ, 
地上, 最終</t>
  </si>
  <si>
    <t>壁激突, 地上</t>
  </si>
  <si>
    <t>ダッシュ終了, 
最小</t>
  </si>
  <si>
    <t>ダッシュ終了, 
最大</t>
  </si>
  <si>
    <t>4-*</t>
  </si>
  <si>
    <t>全身無敵：5-7F
着地隙：10F
ガケつかまり(前)：12F目以降</t>
  </si>
  <si>
    <t>1-*
(Rehit: 2)</t>
  </si>
  <si>
    <t>1 ~ 2.425?</t>
  </si>
  <si>
    <t>1.2 ~ 2.91?</t>
  </si>
  <si>
    <r>
      <rPr>
        <rFont val="Arial"/>
        <color rgb="FF000000"/>
        <sz val="10.0"/>
      </rPr>
      <t>溜め開始：12F目</t>
    </r>
    <r>
      <rPr>
        <rFont val="Arial"/>
        <color rgb="FF999999"/>
        <sz val="10.0"/>
      </rPr>
      <t xml:space="preserve">
</t>
    </r>
    <r>
      <rPr>
        <rFont val="Arial"/>
        <color rgb="FF000000"/>
        <sz val="10.0"/>
      </rPr>
      <t>溜め解除からの最速発生は1F。
溜め最大時間：180F
最大ダッシュ時間：110F
ダッシュ, 空中は一定以上の溜めで最初の1Fのみダメージ2.5%
ジャンプは攻撃、または11F目から空中ジャンプでキャンセル可能。
ガケつかまり(前後)：41F目以降 (ジャンプのみ)</t>
    </r>
  </si>
  <si>
    <t>1-*
(Rehit: 2~5)</t>
  </si>
  <si>
    <t>1.5/2.5</t>
  </si>
  <si>
    <t>1.8/3</t>
  </si>
  <si>
    <t>3F ~ 4F</t>
  </si>
  <si>
    <t>ジャンプ, 
通常</t>
  </si>
  <si>
    <t>ジャンプ,
その場</t>
  </si>
  <si>
    <t>18-41
(Rehit: 8)</t>
  </si>
  <si>
    <t>5回</t>
  </si>
  <si>
    <t>13-30Fは弱2に移行可能。
ボタン押しっぱなしでは23F目に移行。</t>
  </si>
  <si>
    <t>18F目からは百裂に移行可能。</t>
  </si>
  <si>
    <t>3, 6, 9, 12,
15, 18, 21</t>
  </si>
  <si>
    <t>ガード硬直補正倍率：5倍
最小7ヒット。
相殺なし。</t>
  </si>
  <si>
    <t>28-41</t>
  </si>
  <si>
    <t>12-21
(Rehit: 4/4/3/3)</t>
  </si>
  <si>
    <t>11.5/9.5</t>
  </si>
  <si>
    <t>13.8/11.4</t>
  </si>
  <si>
    <t>頭・左腕無敵：7-13F</t>
  </si>
  <si>
    <t>対空, 押し出し</t>
  </si>
  <si>
    <t>40-41
(Rehit: 2/2/0)</t>
  </si>
  <si>
    <t>0/0/16</t>
  </si>
  <si>
    <t>0/0/19.2</t>
  </si>
  <si>
    <t>相殺なし。
Ver. 3.0.0で本当て→衝撃波が連続ヒットしなくなった。
溜め開始：34F目</t>
  </si>
  <si>
    <t>18.5/25</t>
  </si>
  <si>
    <t>22.2/30</t>
  </si>
  <si>
    <t>12F/16F</t>
  </si>
  <si>
    <t>衝撃波, 対地のみ</t>
  </si>
  <si>
    <t>17-24</t>
  </si>
  <si>
    <t>16/16/16/10</t>
  </si>
  <si>
    <t>19.2/19.2/19.2/12</t>
  </si>
  <si>
    <r>
      <rPr>
        <rFont val="Arial"/>
        <sz val="10.0"/>
      </rPr>
      <t xml:space="preserve">相殺なし。
</t>
    </r>
    <r>
      <rPr>
        <rFont val="Arial"/>
        <sz val="10.0"/>
      </rPr>
      <t>溜め開始：7F目</t>
    </r>
  </si>
  <si>
    <t>14-22</t>
  </si>
  <si>
    <r>
      <rPr>
        <rFont val="Arial"/>
        <sz val="10.0"/>
      </rPr>
      <t xml:space="preserve">相殺なし。
</t>
    </r>
    <r>
      <rPr>
        <rFont val="Arial"/>
        <sz val="10.0"/>
      </rPr>
      <t>溜め開始：6F目</t>
    </r>
  </si>
  <si>
    <t>9-29</t>
  </si>
  <si>
    <t>5-39</t>
  </si>
  <si>
    <t>10, 12, 14, 
16, 18, 20, 22</t>
  </si>
  <si>
    <t>15/15/8</t>
  </si>
  <si>
    <t>18/18/9.6</t>
  </si>
  <si>
    <t>15.3/15.3/8.16</t>
  </si>
  <si>
    <t>7-43</t>
  </si>
  <si>
    <t>14-55</t>
  </si>
  <si>
    <t>全身無敵：1-15F (のみこみ)
すいこみ後200Fではきだし移行。
回復系アイテムは回復量1.5倍。
爆発系アイテム取得で5%のダメージ。
はきだした星のダメージはファイター依存。</t>
  </si>
  <si>
    <t>17-55
(Rehit: 3)</t>
  </si>
  <si>
    <t>72</t>
  </si>
  <si>
    <t>はきだし</t>
  </si>
  <si>
    <t>6-*</t>
  </si>
  <si>
    <t>はきだし, 飛び道具</t>
  </si>
  <si>
    <t>14-</t>
  </si>
  <si>
    <t>横B (ゴルドー投げ)</t>
  </si>
  <si>
    <t>スマッシュ入力可能。
ゴルドー生成：6F目
ゴルドーは2%以上の攻撃で反射可能。
ゴルドーが壁に刺さる確率は60%。
ゴルドーは4回バウンドで消滅。
ゴルドーは相殺なし。</t>
  </si>
  <si>
    <t>ゴルドー</t>
  </si>
  <si>
    <t>29-58</t>
  </si>
  <si>
    <t>ゴルドー, 持続1</t>
  </si>
  <si>
    <t>59-88</t>
  </si>
  <si>
    <t>ゴルドー, 持続2</t>
  </si>
  <si>
    <t>89-118</t>
  </si>
  <si>
    <t>ゴルドー, 持続3</t>
  </si>
  <si>
    <t>119-159</t>
  </si>
  <si>
    <t>ゴルドー, 壁</t>
  </si>
  <si>
    <t>1-199
(Rehit: 60)</t>
  </si>
  <si>
    <t>跳ね返し</t>
  </si>
  <si>
    <t>跳ね返し：25F</t>
  </si>
  <si>
    <t>上B (スーパーデデデジャンプ)</t>
  </si>
  <si>
    <t>落下</t>
  </si>
  <si>
    <t>アーマー：22-34F, 69-76F
全身無敵：18-21F
両足先無敵：69F～
28F目からキャンセル可能。
着地隙：60F (通常)
着地隙：30F (尻もち)
着地隙：110F (キャンセルモーション中)
着地は相殺なし。
ガケつかまり(前後)：19F目以降 (ジャンプ)
ガケつかまり(前後)：21F目以降 (キャンセル)</t>
  </si>
  <si>
    <t>星</t>
  </si>
  <si>
    <t>下B (ジェットハンマー)</t>
  </si>
  <si>
    <t>14.4+</t>
  </si>
  <si>
    <t>11F+</t>
  </si>
  <si>
    <t>溜め解除からヘビーアーマー：1-14F(14%, 地上のみ)
最大溜め：120F
追加ダメージ = 溜めフレーム * 0.15
溜め開始：18F
溜め解除からの最速発生は10F。
100%までは30F毎に1%の自傷ダメージ。
相殺なし。</t>
  </si>
  <si>
    <t>40/30</t>
  </si>
  <si>
    <t>48/36</t>
  </si>
  <si>
    <t>34F/26F</t>
  </si>
  <si>
    <t>ジャンプ踏切</t>
  </si>
  <si>
    <t>11+</t>
  </si>
  <si>
    <t>13.2+</t>
  </si>
  <si>
    <t>32/22</t>
  </si>
  <si>
    <t>38.4/26.4</t>
  </si>
  <si>
    <t>27F/19F</t>
  </si>
  <si>
    <t>24F目から8F硬直。</t>
  </si>
  <si>
    <t>ピクミン</t>
  </si>
  <si>
    <t>攻撃ダメ倍率</t>
  </si>
  <si>
    <t>投げダメ倍率</t>
  </si>
  <si>
    <t>HP</t>
  </si>
  <si>
    <t>赤</t>
  </si>
  <si>
    <t>1.4倍</t>
  </si>
  <si>
    <t>0.8倍</t>
  </si>
  <si>
    <t>6%</t>
  </si>
  <si>
    <t>泳げる時間が短い。
炎属性のダメージを受けない。</t>
  </si>
  <si>
    <t>黄</t>
  </si>
  <si>
    <t>1.0倍</t>
  </si>
  <si>
    <t>判定のサイズが1.5倍。
電撃属性のダメージを受けない。</t>
  </si>
  <si>
    <t>青</t>
  </si>
  <si>
    <t>1.7倍</t>
  </si>
  <si>
    <t>8%</t>
  </si>
  <si>
    <t>泳げる時間が長い。
水属性のダメージを受けない。</t>
  </si>
  <si>
    <t>白</t>
  </si>
  <si>
    <t>5%</t>
  </si>
  <si>
    <t>つかみの移動距離が大きい。
横Bひっつきのダメージが高い。</t>
  </si>
  <si>
    <t>紫</t>
  </si>
  <si>
    <t>1.6倍</t>
  </si>
  <si>
    <t>11%</t>
  </si>
  <si>
    <t>つかみとスマッシュの移動距離が小さい。</t>
  </si>
  <si>
    <t>7-20Fは弱2に移行可能。
ボタン押しっぱなしでは16F目に移行。</t>
  </si>
  <si>
    <t>弱1, 持続</t>
  </si>
  <si>
    <t>3/4/4</t>
  </si>
  <si>
    <t>3.6/4.8/4.8</t>
  </si>
  <si>
    <t>4F/5F/5F</t>
  </si>
  <si>
    <t>6, 8,
10, 12, 14</t>
  </si>
  <si>
    <t>Hit 6, 対空のみ</t>
  </si>
  <si>
    <t>溜め開始：7F目
相殺判定を持つすべての判定と相殺する。</t>
  </si>
  <si>
    <t>黄青</t>
  </si>
  <si>
    <t>持続1, 赤</t>
  </si>
  <si>
    <t>持続1, 黄青</t>
  </si>
  <si>
    <t>持続1, 白</t>
  </si>
  <si>
    <t>持続1, 紫</t>
  </si>
  <si>
    <t>持続2, 赤</t>
  </si>
  <si>
    <t>持続2, 黄青</t>
  </si>
  <si>
    <t>持続2, 白</t>
  </si>
  <si>
    <t>持続2, 紫</t>
  </si>
  <si>
    <t>本当て, 赤</t>
  </si>
  <si>
    <t>溜め開始：5F目
相殺判定を持つすべての判定と相殺する。</t>
  </si>
  <si>
    <t>本当て, 黄青</t>
  </si>
  <si>
    <t>本当て, 白</t>
  </si>
  <si>
    <t>本当て, 紫</t>
  </si>
  <si>
    <t>カス当て, 赤</t>
  </si>
  <si>
    <t>カス当て, 黄青</t>
  </si>
  <si>
    <t>カス当て, 白</t>
  </si>
  <si>
    <t>カス当て, 紫</t>
  </si>
  <si>
    <t>持続, 赤</t>
  </si>
  <si>
    <t>持続, 黄青</t>
  </si>
  <si>
    <t>持続, 白</t>
  </si>
  <si>
    <t>持続, 紫</t>
  </si>
  <si>
    <t>7-8, 11-12, 
15-16, 19-20</t>
  </si>
  <si>
    <t>11.9</t>
  </si>
  <si>
    <t>6-30</t>
  </si>
  <si>
    <t>15.12</t>
  </si>
  <si>
    <t>6-35</t>
  </si>
  <si>
    <t>10.8</t>
  </si>
  <si>
    <t>メテオ, 赤</t>
  </si>
  <si>
    <t>メテオ, 黄青</t>
  </si>
  <si>
    <t>メテオ, 白</t>
  </si>
  <si>
    <t>メテオ, 紫</t>
  </si>
  <si>
    <t>非メテオ, 赤</t>
  </si>
  <si>
    <t>非メテオ, 黄青</t>
  </si>
  <si>
    <t>非メテオ, 白</t>
  </si>
  <si>
    <t>非メテオ, 紫</t>
  </si>
  <si>
    <t>NB (ピクミンひっこ抜き)</t>
  </si>
  <si>
    <t>ひっこ抜き</t>
  </si>
  <si>
    <t>横B (ピクミン投げ)</t>
  </si>
  <si>
    <t>投擲, 紫以外</t>
  </si>
  <si>
    <t>9-127</t>
  </si>
  <si>
    <t>紫以外は判定に触れるとピクミンがファイターに付着する。</t>
  </si>
  <si>
    <t>投擲, 紫</t>
  </si>
  <si>
    <t>9-107</t>
  </si>
  <si>
    <t>投擲, 失敗</t>
  </si>
  <si>
    <t>ひっつき, 赤青黄</t>
  </si>
  <si>
    <t>18-*</t>
  </si>
  <si>
    <t>ひっつき, 白</t>
  </si>
  <si>
    <t>4.7</t>
  </si>
  <si>
    <t>投擲2, 赤</t>
  </si>
  <si>
    <t>9.1</t>
  </si>
  <si>
    <t>マスターハンドなどのエネミーにのみヒットする。</t>
  </si>
  <si>
    <t>投擲2, 青黄</t>
  </si>
  <si>
    <t>投擲2, 白</t>
  </si>
  <si>
    <t>5.2</t>
  </si>
  <si>
    <t>投擲2, 紫</t>
  </si>
  <si>
    <t>10.4</t>
  </si>
  <si>
    <t>上B (羽ピクミン)</t>
  </si>
  <si>
    <t>着地隙：19F (飛行)
着地隙：30F (尻もち)
地上では飛行30F目から、空中では飛行20F目から空中攻撃でキャンセル可能。
ガケつかまり(前後)：2F目以降</t>
  </si>
  <si>
    <t>下B (ピクミン整列)</t>
  </si>
  <si>
    <t>アーマー：2-7F</t>
  </si>
  <si>
    <t>つかみ打撃はピクミンの色によらず一定。</t>
  </si>
  <si>
    <t>12-23
12-15</t>
  </si>
  <si>
    <t>41, 41, 47, 56</t>
  </si>
  <si>
    <t>全体フレームはそれぞれピクミン0, 1, 2, 3匹。</t>
  </si>
  <si>
    <t>49, 49, 57, 67</t>
  </si>
  <si>
    <t>44, 44, 51, 60</t>
  </si>
  <si>
    <t>打撃, 全</t>
  </si>
  <si>
    <t>ダメージは先頭のピクミンの色で決定。
投げ4種ともピクミンの数でダメージが変化。
ピクミン2匹：ダメージ 1.1倍
ピクミン3匹：ダメージ 1.2倍</t>
  </si>
  <si>
    <t>投げ, 黄白紫</t>
  </si>
  <si>
    <t>投げ, 赤</t>
  </si>
  <si>
    <t>5.6</t>
  </si>
  <si>
    <t>投げ, 青</t>
  </si>
  <si>
    <t>打撃には赤・青の投げ倍率がかからない。</t>
  </si>
  <si>
    <t>5.4</t>
  </si>
  <si>
    <t>打撃, 赤黄青</t>
  </si>
  <si>
    <t>23-30</t>
  </si>
  <si>
    <t>打撃には赤・青の投げ倍率がかからず、白・紫の攻撃倍率がかかる。赤の攻撃倍率はかからない。</t>
  </si>
  <si>
    <t>打撃, 白</t>
  </si>
  <si>
    <t>打撃, 紫</t>
  </si>
  <si>
    <t>波導補正</t>
  </si>
  <si>
    <t>ランク-2</t>
  </si>
  <si>
    <t>ランク-1</t>
  </si>
  <si>
    <t>ランク±0</t>
  </si>
  <si>
    <t>ランク+1</t>
  </si>
  <si>
    <t>ランク+2</t>
  </si>
  <si>
    <t>10-30Fは弱2に移行可能。</t>
  </si>
  <si>
    <t>8-30Fは弱3に移行可能。</t>
  </si>
  <si>
    <t>8.5/10</t>
  </si>
  <si>
    <t>10.2/12</t>
  </si>
  <si>
    <t>6/7</t>
  </si>
  <si>
    <t>7.2/8.4</t>
  </si>
  <si>
    <t>6F/7F</t>
  </si>
  <si>
    <t>Hit 2は相殺なし。</t>
  </si>
  <si>
    <t>6-13</t>
  </si>
  <si>
    <t>5/5/6</t>
  </si>
  <si>
    <t>6/6/7.2</t>
  </si>
  <si>
    <r>
      <rPr>
        <rFont val="Arial"/>
        <sz val="10.0"/>
      </rPr>
      <t xml:space="preserve">Hit 1は相殺なし。
</t>
    </r>
    <r>
      <rPr>
        <rFont val="Arial"/>
        <sz val="10.0"/>
      </rPr>
      <t>溜め開始：12F目</t>
    </r>
  </si>
  <si>
    <t>2-27</t>
  </si>
  <si>
    <t>14/13</t>
  </si>
  <si>
    <t>16.8/15.6</t>
  </si>
  <si>
    <t>14.28/13.26</t>
  </si>
  <si>
    <t>2-28</t>
  </si>
  <si>
    <t>2-24</t>
  </si>
  <si>
    <t>NB (はどうだん)</t>
  </si>
  <si>
    <t>9-11, 14-16, ...</t>
  </si>
  <si>
    <t>0.69</t>
  </si>
  <si>
    <t>最大溜め：70F
溜め開始：9F目
保持状態からの最速発生は9F。
キャンセルは空中ジャンプのみ全体5F。
回避・シールド・地上ジャンプは全体4F。
溜め判定は相殺なし。</t>
  </si>
  <si>
    <t>17-76</t>
  </si>
  <si>
    <t>6.9</t>
  </si>
  <si>
    <t>17.25</t>
  </si>
  <si>
    <t>(9-68)</t>
  </si>
  <si>
    <t>横B (はっけい)</t>
  </si>
  <si>
    <t>つかみ攻撃は投げ中の相手にはヒットしない。
つかみ攻撃は相殺なし。</t>
  </si>
  <si>
    <t>波導</t>
  </si>
  <si>
    <t>11.88/5.4</t>
  </si>
  <si>
    <t>14.256/6.48</t>
  </si>
  <si>
    <t>上B (しんそく)</t>
  </si>
  <si>
    <t>(74)</t>
  </si>
  <si>
    <t>着地隙：35F
入射角が57度以上でバウンドモーション。
空中では57度未満でカベ張りつきに移行可。
相殺モーションなし。
バウンドにはOP相殺がかからない。
ガケつかまり(前後)：31F目以降</t>
  </si>
  <si>
    <t>下B (かげぶんしん)</t>
  </si>
  <si>
    <t>受付：5-24F</t>
  </si>
  <si>
    <t>全身無敵：4-13F
カウンター受付：5-24F</t>
  </si>
  <si>
    <t>17-28</t>
  </si>
  <si>
    <t>全身無敵：1-29F</t>
  </si>
  <si>
    <t>20
(13)</t>
  </si>
  <si>
    <t>11-30Fは弱2に移行可能。
空振り時にボタン長押しで14F目から弱1でキャンセル可能。</t>
  </si>
  <si>
    <t>7/8/8/10</t>
  </si>
  <si>
    <t>8.4/9.6/9.6/12</t>
  </si>
  <si>
    <t>7F/8F/8F/10F</t>
  </si>
  <si>
    <t>5/6/6</t>
  </si>
  <si>
    <t>6/7.2/7.2</t>
  </si>
  <si>
    <t>転倒率：+20%</t>
  </si>
  <si>
    <t>15/11.5/6</t>
  </si>
  <si>
    <t>18/13.8/7.2</t>
  </si>
  <si>
    <t>10F/8F/5F</t>
  </si>
  <si>
    <r>
      <rPr>
        <rFont val="Arial"/>
        <sz val="10.0"/>
      </rPr>
      <t xml:space="preserve">先端のみ相殺なし。
</t>
    </r>
    <r>
      <rPr>
        <rFont val="Arial"/>
        <sz val="10.0"/>
      </rPr>
      <t>溜め開始：7F目</t>
    </r>
  </si>
  <si>
    <r>
      <rPr>
        <rFont val="Arial"/>
        <sz val="10.0"/>
      </rPr>
      <t xml:space="preserve">Hit 1は対地のみ。相殺モーションなし。
Hit 2は相殺なし。
</t>
    </r>
    <r>
      <rPr>
        <rFont val="Arial"/>
        <sz val="10.0"/>
      </rPr>
      <t>溜め開始：8F目</t>
    </r>
  </si>
  <si>
    <t>3.5/3</t>
  </si>
  <si>
    <t>4.2/3.6</t>
  </si>
  <si>
    <t>14-32</t>
  </si>
  <si>
    <t>7.5/9.5</t>
  </si>
  <si>
    <t>9/11.4</t>
  </si>
  <si>
    <t>7.65/9.69</t>
  </si>
  <si>
    <t>3F/4F</t>
  </si>
  <si>
    <t>24-32</t>
  </si>
  <si>
    <t>9/7.5</t>
  </si>
  <si>
    <t>10.8/9</t>
  </si>
  <si>
    <t>9.18/7.65</t>
  </si>
  <si>
    <t>7, 9, 13, 17</t>
  </si>
  <si>
    <t>1-39</t>
  </si>
  <si>
    <t>12/11</t>
  </si>
  <si>
    <t>14.4/13.2</t>
  </si>
  <si>
    <t>12.24/11.22</t>
  </si>
  <si>
    <t>持続, 対地</t>
  </si>
  <si>
    <t>22-26</t>
  </si>
  <si>
    <t>持続, 対空</t>
  </si>
  <si>
    <t>8/11</t>
  </si>
  <si>
    <t>9.6/13.2</t>
  </si>
  <si>
    <t>8.16/11.22</t>
  </si>
  <si>
    <t>NB (ロボビーム)</t>
  </si>
  <si>
    <t>本体</t>
  </si>
  <si>
    <t>試合開始時は300Fチャージされている。
ビーム小：160F
ビーム大：860F
相殺なし。</t>
  </si>
  <si>
    <t>ビーム小</t>
  </si>
  <si>
    <t>25-43</t>
  </si>
  <si>
    <t>ビーム大</t>
  </si>
  <si>
    <t>25-66</t>
  </si>
  <si>
    <t>横B (アームスピン)</t>
  </si>
  <si>
    <t>最短, 連</t>
  </si>
  <si>
    <t>13-37
(Rehit: 5)</t>
  </si>
  <si>
    <t>反射：13-37F (最短)
反射ダメージ倍率：1.5倍
反射速度倍率：1.3倍
飛び道具持続倍率：1倍
相殺モーションなし。</t>
  </si>
  <si>
    <t>最短, 〆</t>
  </si>
  <si>
    <t>最長, 連</t>
  </si>
  <si>
    <t>13-59
(Rehit: 5)</t>
  </si>
  <si>
    <t>106</t>
  </si>
  <si>
    <t>上B (ロボバーナー)</t>
  </si>
  <si>
    <t>全身無敵：2-4F (地上のみ)
つかみ不可：1-24F
ガケつかまり(前後)：2F目以降</t>
  </si>
  <si>
    <t>下B (ジャイロ)</t>
  </si>
  <si>
    <t>投擲, 最速</t>
  </si>
  <si>
    <t>9-*</t>
  </si>
  <si>
    <t xml:space="preserve">最大溜め：90F
溜め開始：7F目
保持状態からの最速発生は3F。
</t>
  </si>
  <si>
    <t>投擲</t>
  </si>
  <si>
    <t>4+</t>
  </si>
  <si>
    <t>4.8+</t>
  </si>
  <si>
    <t>地上, 回転強</t>
  </si>
  <si>
    <t>地上, 回転弱</t>
  </si>
  <si>
    <t>(Rehit: 55)</t>
  </si>
  <si>
    <t>埋め属性。
埋め時間 = 30 + 0.4 * (ヒット前のダメージ)</t>
  </si>
  <si>
    <t>8-24Fは弱2に移行可能。
ボタン押しっぱなしでは14F目に移行。</t>
  </si>
  <si>
    <t>9-24Fは弱3に移行可能。
ボタン押しっぱなしでは15F目に移行。</t>
  </si>
  <si>
    <t>8/6/8</t>
  </si>
  <si>
    <t>9.6/7.2/9.6</t>
  </si>
  <si>
    <t>8F/6F/8F</t>
  </si>
  <si>
    <t>根本は相殺モーションなし。</t>
  </si>
  <si>
    <t>根本は相殺なし。
転倒率：+50%</t>
  </si>
  <si>
    <t>ぬるり判定消去：13-17F
根本は相殺なし。
溜め開始：9F目</t>
  </si>
  <si>
    <r>
      <rPr>
        <rFont val="Arial"/>
        <sz val="10.0"/>
      </rPr>
      <t xml:space="preserve">根本は相殺なし。
</t>
    </r>
    <r>
      <rPr>
        <rFont val="Arial"/>
        <sz val="10.0"/>
      </rPr>
      <t>溜め開始：5F目</t>
    </r>
  </si>
  <si>
    <t>6-46</t>
  </si>
  <si>
    <t>17-25</t>
  </si>
  <si>
    <t>6-64</t>
  </si>
  <si>
    <t>着地の風判定は対地のみ。</t>
  </si>
  <si>
    <t>26-64</t>
  </si>
  <si>
    <t>着地, 風判定</t>
  </si>
  <si>
    <t>0/0/5</t>
  </si>
  <si>
    <t>0/0/6</t>
  </si>
  <si>
    <t>11-20</t>
  </si>
  <si>
    <t>ワイヤーガケつかまり：2-5F
相殺なし。</t>
  </si>
  <si>
    <t>NB (勇者の弓)</t>
  </si>
  <si>
    <t>18-77</t>
  </si>
  <si>
    <t>最大溜め：43F
溜め開始：18F目
溜めからの最速発生は1F。</t>
  </si>
  <si>
    <t>37-77</t>
  </si>
  <si>
    <t>78-226?</t>
  </si>
  <si>
    <t>6-17
(Rehit: 4)</t>
  </si>
  <si>
    <t>最大溜め：60F
最大ダメージ倍率：1.6倍
溜め開始：4F目
溜めからの発生は3F。
〆以外は相殺なし。</t>
  </si>
  <si>
    <t>18-46
(Rehit: 5)</t>
  </si>
  <si>
    <t>着地隙：30F
相殺なし。
ガケつかまり(前)：20F目以降
ガケつかまり(前後)：35F目以降</t>
  </si>
  <si>
    <t>44-48</t>
  </si>
  <si>
    <t>下B (バクダン)</t>
  </si>
  <si>
    <t>生成300F目に爆発。
相殺なし。</t>
  </si>
  <si>
    <t>バクダン</t>
  </si>
  <si>
    <t>4.2+</t>
  </si>
  <si>
    <t>5.04+</t>
  </si>
  <si>
    <t>21
(10)</t>
  </si>
  <si>
    <t>7-24Fは弱2に移行可能。
空振り時にボタン長押しで11F目から弱1でキャンセル可能。</t>
  </si>
  <si>
    <t>7-24Fは弱3に移行可能。</t>
  </si>
  <si>
    <t>10/8/9/10</t>
  </si>
  <si>
    <t>12/9.6/10.8/12</t>
  </si>
  <si>
    <t>10F/8F/9F/10F</t>
  </si>
  <si>
    <t>出始め下側(10%)のみ相殺なし。</t>
  </si>
  <si>
    <t>転倒率：+40%</t>
  </si>
  <si>
    <t>相殺モーションなし。
溜め開始：4F目</t>
  </si>
  <si>
    <t>14/16/16</t>
  </si>
  <si>
    <t>16.8/19.2/19.2</t>
  </si>
  <si>
    <t>10F/11F/11F</t>
  </si>
  <si>
    <t>12/14/14</t>
  </si>
  <si>
    <t>14.4/16.8/16.8</t>
  </si>
  <si>
    <t>8F/10F/10F</t>
  </si>
  <si>
    <t>7-38</t>
  </si>
  <si>
    <t>1-29</t>
  </si>
  <si>
    <t>11/13/15</t>
  </si>
  <si>
    <t>13.2/15.6/18</t>
  </si>
  <si>
    <t>11.22/13.26/15.3</t>
  </si>
  <si>
    <t>13/15</t>
  </si>
  <si>
    <t>15.6/18</t>
  </si>
  <si>
    <t>13.26/15.3</t>
  </si>
  <si>
    <t>NB (クローブラスター)</t>
  </si>
  <si>
    <t>銃口</t>
  </si>
  <si>
    <t>弾は相殺なし。</t>
  </si>
  <si>
    <t>弾</t>
  </si>
  <si>
    <t>16-21</t>
  </si>
  <si>
    <t>弾, 持続1</t>
  </si>
  <si>
    <t>22-35</t>
  </si>
  <si>
    <t>弾, 持続2</t>
  </si>
  <si>
    <t>36-50</t>
  </si>
  <si>
    <t>横B (ウルフフラッシュ)</t>
  </si>
  <si>
    <t>着地隙：29F
Hit 2は相殺なし。
ガケつかまり(前後)：26F目以降</t>
  </si>
  <si>
    <t>Hit 2, 対地</t>
  </si>
  <si>
    <t>Hit 2, 対空</t>
  </si>
  <si>
    <t>20/15</t>
  </si>
  <si>
    <t>24/18</t>
  </si>
  <si>
    <t>上B (ウルフシュート)</t>
  </si>
  <si>
    <t>(66)</t>
  </si>
  <si>
    <t>着地隙：36F
連以外は相殺なし。
ガケつかまり(前後)：27F目以降</t>
  </si>
  <si>
    <t>27-32
(Rehit: 2)</t>
  </si>
  <si>
    <t>〆, 地上</t>
  </si>
  <si>
    <t>〆, 空中</t>
  </si>
  <si>
    <t>6-8
(反射：9-18F)</t>
  </si>
  <si>
    <t>全身無敵：5-8F
反射：9-18F (最短)
相殺なし。</t>
  </si>
  <si>
    <t>18
(+12)</t>
  </si>
  <si>
    <t>反射ダメージ倍率：1.5倍
反射速度倍率：1.8倍
飛び道具持続倍率：0.5倍
相殺なし。
モーションは回避・ジャンプキャンセル可。</t>
  </si>
  <si>
    <t>25F目から13F硬直。</t>
  </si>
  <si>
    <t>6-22Fは弱2に移行可能。
押しっぱなしで8F目から弱1に移行。
2ループ目以降、7F目から弱1, 〆に移行。</t>
  </si>
  <si>
    <t>弱1, 〆</t>
  </si>
  <si>
    <t>5F目から弱1に移行可能。
押しっぱなしで7F目から弱1に移行。
2ループ目以降、7F目から弱2, 〆に移行。</t>
  </si>
  <si>
    <t>弱2, 〆</t>
  </si>
  <si>
    <t>飛び道具判定。
植木鉢が地面などに触れると攻撃判定消失。
カッコ内は平坦な地形で出した場合。</t>
  </si>
  <si>
    <t>15-68
(15-23)</t>
  </si>
  <si>
    <t>7-18</t>
  </si>
  <si>
    <t>頭・左腕無敵：7-25F</t>
  </si>
  <si>
    <t>25-30
(25-29)</t>
  </si>
  <si>
    <t>生成：20F
飛び道具判定。
ボールが地面などに触れると攻撃判定消失。
カッコ内は平坦な地形で出した場合。
溜め開始：17F目</t>
  </si>
  <si>
    <t>31-144</t>
  </si>
  <si>
    <t>Hit 1以外は飛び道具判定。
Hit 1は対地のみ。
溜め開始：8F目</t>
  </si>
  <si>
    <t>17-18, 21-22, 
25-26, 29-30</t>
  </si>
  <si>
    <t>33-34</t>
  </si>
  <si>
    <t>4.6</t>
  </si>
  <si>
    <t>埋め判定はともに対地のみ。
相殺モーションなし。
溜め開始：4F目</t>
  </si>
  <si>
    <t>3-10</t>
  </si>
  <si>
    <t>3-26</t>
  </si>
  <si>
    <t>11-23</t>
  </si>
  <si>
    <t>3-29</t>
  </si>
  <si>
    <t>飛び道具判定。</t>
  </si>
  <si>
    <t>蕪1</t>
  </si>
  <si>
    <t>6-38</t>
  </si>
  <si>
    <t>蕪の数はランダムで決まる。
蕪3：40%
蕪2：30%
蕪1：30%</t>
  </si>
  <si>
    <t>蕪2</t>
  </si>
  <si>
    <t>蕪3</t>
  </si>
  <si>
    <t>蕪1, 持続</t>
  </si>
  <si>
    <t>8-21</t>
  </si>
  <si>
    <t>蕪2, 持続</t>
  </si>
  <si>
    <t>蕪3, 持続</t>
  </si>
  <si>
    <t>11-35</t>
  </si>
  <si>
    <t>13-26</t>
  </si>
  <si>
    <t>しまう, 失敗</t>
  </si>
  <si>
    <t>受付：8-23F</t>
  </si>
  <si>
    <t>全身無敵：5-23F (モーション移行で無敵消去)
しまい判定：8-23F
しまい攻撃倍率：1.9倍
しまうが成功した瞬間から、しまう, 成功モーションに移行する。</t>
  </si>
  <si>
    <t>しまう, 成功</t>
  </si>
  <si>
    <t>しまう：15F</t>
  </si>
  <si>
    <t>1-14Fに攻撃を受けると必ずアイテムを落とす。飛び道具の場合消滅する。</t>
  </si>
  <si>
    <t>しまう, 
アイテム所持中</t>
  </si>
  <si>
    <t>1-14Fに攻撃を受けると所持中のアイテムはしまわれない。アイテムを落とす確率は通常と同様。</t>
  </si>
  <si>
    <t>とり出す</t>
  </si>
  <si>
    <t>とり出し：15F</t>
  </si>
  <si>
    <t>バナナのかわやカプセルなど。
1-14Fに攻撃を受けると必ずアイテムを落とす。</t>
  </si>
  <si>
    <t>投げる</t>
  </si>
  <si>
    <t>飛び道具・サッカーボールなど。
1-8Fに攻撃を受けると必ずアイテムを落とす。飛び道具の場合消滅する。</t>
  </si>
  <si>
    <t>投げる2</t>
  </si>
  <si>
    <t>投擲：24F</t>
  </si>
  <si>
    <t>地上：40
空中：39</t>
  </si>
  <si>
    <t>タル・箱など。
1-23Fに攻撃を受けると必ずアイテムを落とす。</t>
  </si>
  <si>
    <t>使う</t>
  </si>
  <si>
    <t>使用：17F</t>
  </si>
  <si>
    <t>たべもの・フランクリンバッヂなど。
1-16Fに攻撃を受けると必ずアイテムを落とす。</t>
  </si>
  <si>
    <t>横B (ハニワくんロケット)</t>
  </si>
  <si>
    <t>ハニワ</t>
  </si>
  <si>
    <r>
      <rPr>
        <rFont val="Arial"/>
        <sz val="10.0"/>
      </rPr>
      <t>52-</t>
    </r>
    <r>
      <rPr>
        <rFont val="Arial"/>
        <sz val="10.0"/>
      </rPr>
      <t>116</t>
    </r>
  </si>
  <si>
    <t>ハニワ生成：1F
ハニワHP：12%
16F目に必殺ワザが入力されていると、ハニワ乗りに移行（押しっぱなし可）。
壁接触による爆発は、通常時は46F目、ハニワ乗り時は16F目から。
ハニワ乗りヒット後のモーション移行は1F目から行動開始可能。
爆発は相殺なし。</t>
  </si>
  <si>
    <t>不可</t>
  </si>
  <si>
    <t>ハニワ, 持続</t>
  </si>
  <si>
    <t>117-176</t>
  </si>
  <si>
    <t>1-2
(+35)</t>
  </si>
  <si>
    <t>乗り</t>
  </si>
  <si>
    <t>46-124</t>
  </si>
  <si>
    <t>乗り, 持続</t>
  </si>
  <si>
    <t>125-197</t>
  </si>
  <si>
    <t>乗り, 爆発</t>
  </si>
  <si>
    <t>1-2
(+15)</t>
  </si>
  <si>
    <t>乗り, 着地</t>
  </si>
  <si>
    <t>上B (バルーントリップ)</t>
  </si>
  <si>
    <t>最大飛行時間：360F
3F毎に上昇可。1上昇につき飛行時間5F減少。
飛行時間は1Fごとに0.6Fずつ回復。
風船のHP：4%
(風船が個別であるのに対してHPは共通、風船が2つある際は2% * 2で割れることがある。)
着地隙：20F (風船)
着地隙：30F (尻もち)
ガケつかまり(前後)：7F目以降</t>
  </si>
  <si>
    <t>下B (タネ植え / 水やり / 伐採)</t>
  </si>
  <si>
    <t>タネ植え</t>
  </si>
  <si>
    <t>生成：14F</t>
  </si>
  <si>
    <t>芽生成：14F
芽は14秒で消失。
水が地面などに触れると攻撃判定消失。
水は相殺「あり」。
木は10秒で消失。
HP：30%
木がバウンド後に地面などに触れると攻撃判定消失。
木は、相殺判定を持つすべての判定と相殺する。</t>
  </si>
  <si>
    <t>水やり</t>
  </si>
  <si>
    <t>水</t>
  </si>
  <si>
    <t>5-20, 11-26,
17-32, 23-38,
29-44</t>
  </si>
  <si>
    <t>伐採</t>
  </si>
  <si>
    <t>斧</t>
  </si>
  <si>
    <t>斧, 木</t>
  </si>
  <si>
    <t>木</t>
  </si>
  <si>
    <t>出現, 持続</t>
  </si>
  <si>
    <t>19-39</t>
  </si>
  <si>
    <t>倒木</t>
  </si>
  <si>
    <t>14-*</t>
  </si>
  <si>
    <t>倒木, バウンド</t>
  </si>
  <si>
    <t>木片, 倒木</t>
  </si>
  <si>
    <t>木片, 投擲</t>
  </si>
  <si>
    <t>アイテム取得：14-18F</t>
  </si>
  <si>
    <t>アイテム取得：16-20F</t>
  </si>
  <si>
    <t>アイテム取得：17-21F</t>
  </si>
  <si>
    <t>17F目から6F硬直。</t>
  </si>
  <si>
    <t>弱
(横強)</t>
  </si>
  <si>
    <t>7
(-)</t>
  </si>
  <si>
    <t>35
(33)</t>
  </si>
  <si>
    <t>弾は飛び道具判定。
1-6Fはふりむき可。
ふりむき14F目に弾発生。
本体の判定は、以下のとき発生しない。
・歩行中に弾発射。
・反転して弾発射。
・ジャンプ踏切中に弾発射。
・ジャンプ踏切直後に弾発射。
・着地した瞬間に弾発射。</t>
  </si>
  <si>
    <t>弾1</t>
  </si>
  <si>
    <t>弾1, 持続1</t>
  </si>
  <si>
    <t>弾1, 持続2</t>
  </si>
  <si>
    <t>19
(-)</t>
  </si>
  <si>
    <t>47
(45)</t>
  </si>
  <si>
    <t>弾2</t>
  </si>
  <si>
    <t>弾2, 持続1</t>
  </si>
  <si>
    <t>弾2, 持続2</t>
  </si>
  <si>
    <t>本体, Hit 3</t>
  </si>
  <si>
    <t>31
(-)</t>
  </si>
  <si>
    <t>59
(57)</t>
  </si>
  <si>
    <t>弾3</t>
  </si>
  <si>
    <t>31-34</t>
  </si>
  <si>
    <t>弾3, 持続1</t>
  </si>
  <si>
    <t>弾3, 持続2</t>
  </si>
  <si>
    <t>39-54</t>
  </si>
  <si>
    <t>7, 10, 13, 16, 
19, 22, 25</t>
  </si>
  <si>
    <t>ガード硬直補正倍率：2.1倍 (Hit 8のみ)</t>
  </si>
  <si>
    <t>52
(70)</t>
  </si>
  <si>
    <t>全身無敵：5-7F
着地隙：21F
カッコ内は平坦な地形上での全体フレーム。
持続1以外は相殺なし。</t>
  </si>
  <si>
    <t>両足先無敵：3-12F
ぬるり判定消去：3-21F
相殺なし。</t>
  </si>
  <si>
    <t>19-42</t>
  </si>
  <si>
    <t>11.5</t>
  </si>
  <si>
    <t>ガード硬直補正倍率：0.232倍 (0.32 * 0.725)
相殺なし。飛び道具判定。
溜め開始：10F目</t>
  </si>
  <si>
    <t>79-108
(199-222)</t>
  </si>
  <si>
    <t>114
(234)</t>
  </si>
  <si>
    <t>14.95</t>
  </si>
  <si>
    <r>
      <rPr>
        <rFont val="Arial"/>
        <sz val="10.0"/>
      </rPr>
      <t xml:space="preserve">Hit 2-6の胴体部分以外相殺なし。
</t>
    </r>
    <r>
      <rPr>
        <rFont val="Arial"/>
        <sz val="10.0"/>
      </rPr>
      <t>溜め開始：5F目</t>
    </r>
  </si>
  <si>
    <t>11-12, 15-16, 
19-20, 23-24, 
27-28</t>
  </si>
  <si>
    <r>
      <rPr>
        <rFont val="Arial"/>
        <sz val="10.0"/>
      </rPr>
      <t xml:space="preserve">相殺なし。
</t>
    </r>
    <r>
      <rPr>
        <rFont val="Arial"/>
        <sz val="10.0"/>
      </rPr>
      <t>溜め開始：5F目</t>
    </r>
  </si>
  <si>
    <t>20-33</t>
  </si>
  <si>
    <r>
      <rPr>
        <rFont val="Arial"/>
        <sz val="10.0"/>
      </rPr>
      <t>7-</t>
    </r>
    <r>
      <rPr>
        <rFont val="Arial"/>
        <sz val="10.0"/>
      </rPr>
      <t>9</t>
    </r>
  </si>
  <si>
    <t>弾は飛び道具判定。</t>
  </si>
  <si>
    <r>
      <rPr>
        <rFont val="Arial"/>
        <sz val="10.0"/>
      </rPr>
      <t>9-</t>
    </r>
    <r>
      <rPr>
        <rFont val="Arial"/>
        <sz val="10.0"/>
      </rPr>
      <t>11</t>
    </r>
  </si>
  <si>
    <t>8.5/8/8</t>
  </si>
  <si>
    <t>10.2/9.6/9.6</t>
  </si>
  <si>
    <t>8.67/8.16/8.16</t>
  </si>
  <si>
    <t>11-18
(Rehit: 3)</t>
  </si>
  <si>
    <t>2-50</t>
  </si>
  <si>
    <t>飛び道具判定。
相殺なし。</t>
  </si>
  <si>
    <t>19-32
(Rehit: 5)</t>
  </si>
  <si>
    <t>33-55
(Rehit: 5)</t>
  </si>
  <si>
    <t>56-61</t>
  </si>
  <si>
    <t>5-54</t>
  </si>
  <si>
    <t>26-35</t>
  </si>
  <si>
    <t>16-64
(Rehit: 6)</t>
  </si>
  <si>
    <t>アイテム化したメタルブレードは、75%の確率で壁などに突き刺さる。
アイテム化前は100%。</t>
  </si>
  <si>
    <t>18-66
(Rehit: 6)</t>
  </si>
  <si>
    <t>(Rehit: 6)</t>
  </si>
  <si>
    <t>付着</t>
  </si>
  <si>
    <t>20-69</t>
  </si>
  <si>
    <r>
      <rPr>
        <rFont val="Arial"/>
        <sz val="10.0"/>
      </rPr>
      <t xml:space="preserve">付着してから120F後に爆発。
</t>
    </r>
    <r>
      <rPr>
        <rFont val="Arial"/>
        <sz val="10.0"/>
      </rPr>
      <t>爆発は相殺なし。</t>
    </r>
  </si>
  <si>
    <t>爆発, 連</t>
  </si>
  <si>
    <t>1-19
(Rehit: 5)</t>
  </si>
  <si>
    <t>爆発, 〆</t>
  </si>
  <si>
    <t>全身無敵：7-10F
ラッシュコイル生成：1F
ラッシュコイル存在時間：?F
ガケつかまり(前後)：18F目以降</t>
  </si>
  <si>
    <t>展開</t>
  </si>
  <si>
    <t>9-*
(Rehit: 11)</t>
  </si>
  <si>
    <t>最長76F目に自動発射。
Ver. 3.0.0で最長81F目 -&gt; 76F目に変更。
Ver. 3.0.0でアイテムが投擲できなくなった。</t>
  </si>
  <si>
    <t>12-61
(Rehit: 11)</t>
  </si>
  <si>
    <t>16F目から7F硬直。</t>
  </si>
  <si>
    <t>57F</t>
  </si>
  <si>
    <t>29F</t>
  </si>
  <si>
    <t>41F</t>
  </si>
  <si>
    <t>腹式呼吸 能力倍率 (最速時)</t>
  </si>
  <si>
    <t>能力</t>
  </si>
  <si>
    <t>倍率</t>
  </si>
  <si>
    <t>実数値</t>
  </si>
  <si>
    <t>1.25</t>
  </si>
  <si>
    <t>被ダメージ</t>
  </si>
  <si>
    <t>0.9</t>
  </si>
  <si>
    <t>歩行加速量</t>
  </si>
  <si>
    <t>0.252</t>
  </si>
  <si>
    <t>歩行速度</t>
  </si>
  <si>
    <t>ダッシュ初速</t>
  </si>
  <si>
    <t>1.13</t>
  </si>
  <si>
    <t>走行加速</t>
  </si>
  <si>
    <t>走行速度</t>
  </si>
  <si>
    <t>地上抵抗</t>
  </si>
  <si>
    <t>空中加速</t>
  </si>
  <si>
    <t>1.06</t>
  </si>
  <si>
    <t>落下速度</t>
  </si>
  <si>
    <t>重力</t>
  </si>
  <si>
    <t>25
(9)</t>
  </si>
  <si>
    <r>
      <rPr>
        <rFont val="Arial"/>
        <sz val="10.0"/>
      </rPr>
      <t xml:space="preserve">9-24Fは弱2に移行可能。
</t>
    </r>
    <r>
      <rPr>
        <rFont val="Arial"/>
        <sz val="10.0"/>
      </rPr>
      <t>空振り時にボタン長押しで10F目から弱1でキャンセル可能。</t>
    </r>
  </si>
  <si>
    <t>弱1, 前方下</t>
  </si>
  <si>
    <t>9-24Fは弱3に移行可能。</t>
  </si>
  <si>
    <t>ガード硬直補正倍率：1.3倍（本当て）
ガード硬直補正倍率：1.8倍（持続）</t>
  </si>
  <si>
    <t>右腕無敵：3-12F</t>
  </si>
  <si>
    <t>13.5/12</t>
  </si>
  <si>
    <t>16.2/14.4</t>
  </si>
  <si>
    <t>12F/11F</t>
  </si>
  <si>
    <t>ぬるり判定消去：8-12F</t>
  </si>
  <si>
    <t>18/15/15</t>
  </si>
  <si>
    <t>21.6/18/18</t>
  </si>
  <si>
    <t>12F/10F/10F</t>
  </si>
  <si>
    <t>全身無敵：9-12F
相殺モーションなし。
溜め開始：5F目</t>
  </si>
  <si>
    <t>11/8/8</t>
  </si>
  <si>
    <t>13.2/9.6/9.6</t>
  </si>
  <si>
    <t>8F/6F/6F</t>
  </si>
  <si>
    <t>12/12/10/12</t>
  </si>
  <si>
    <t>14.4/14.4/12/14.4</t>
  </si>
  <si>
    <t>12.24/12.24/10.2/12.24</t>
  </si>
  <si>
    <t>5F/5F/4F/5F</t>
  </si>
  <si>
    <t>12.24/12.24/23</t>
  </si>
  <si>
    <t>7.5/7.5/6</t>
  </si>
  <si>
    <t>7.65/7.65/6.12</t>
  </si>
  <si>
    <t>13.5/11/9</t>
  </si>
  <si>
    <t>16.2/13.2/10.8</t>
  </si>
  <si>
    <t>13.77/11.22/9.18</t>
  </si>
  <si>
    <t>1-34</t>
  </si>
  <si>
    <t>NB (太陽礼拝)</t>
  </si>
  <si>
    <t>保持, 風判定</t>
  </si>
  <si>
    <t>18-*
(Rehit: 7)</t>
  </si>
  <si>
    <t>最大溜め：85F
溜め・キャンセル開始：18F目
溜め中からの最速発生は4F。
キャンセルは空中ジャンプのみ全体5F。
回避・シールド・地上ジャンプは全体4F。
最大溜め放出で2%回復。</t>
  </si>
  <si>
    <t>21-92</t>
  </si>
  <si>
    <t>横B (ヘディング)</t>
  </si>
  <si>
    <t>サッカーボール</t>
  </si>
  <si>
    <t xml:space="preserve"> ~ 16</t>
  </si>
  <si>
    <t xml:space="preserve"> ~ 19.2</t>
  </si>
  <si>
    <t xml:space="preserve"> ~ 5F</t>
  </si>
  <si>
    <t>10F目からキャンセル可能。
ボール生成：1F
ボールの存在時間は生成してから180F。
地形にバウンドすると20F、ヒットする・ガードされると30F減少。
ボールは相殺なし。
着地隙：9F (通常)
着地隙：15F (キャンセル)
ガケつかまり(前後)：11F目以降
ガケつかまり(前後)：12F目以降 (ヘディング派生後)</t>
  </si>
  <si>
    <t>最速, 持続</t>
  </si>
  <si>
    <t>最遅, 持続</t>
  </si>
  <si>
    <t>32-34</t>
  </si>
  <si>
    <t>上B (燃焼フープダンス)</t>
  </si>
  <si>
    <t>5-52
(Rehit: 17)</t>
  </si>
  <si>
    <t>着地隙：30F
上昇時間は45F。
相殺なし。
ガケつかまり(前後)：7F目以降</t>
  </si>
  <si>
    <t>下B (腹式呼吸)</t>
  </si>
  <si>
    <t xml:space="preserve">効果時間：470 ~ 590F
与ダメ倍率：1.2 ~ 1.25倍
被ダメ倍率：0.9倍 (固定)
蓄積ダメージ回復量：1 ~ 2%
その他の能力についてはページ上部参照。
</t>
  </si>
  <si>
    <t>36-37</t>
  </si>
  <si>
    <t>9-30Fは弱2に移行可能。</t>
  </si>
  <si>
    <t>弱1, チコ</t>
  </si>
  <si>
    <t>13-30Fは弱3に移行可能。
12F目から百裂に移行可能。</t>
  </si>
  <si>
    <t>弱2, チコ</t>
  </si>
  <si>
    <t>弱3, チコ</t>
  </si>
  <si>
    <t>3, 6, 9, 12</t>
  </si>
  <si>
    <t>ガード硬直補正倍率：5倍
最小4ヒット。
相殺なし。</t>
  </si>
  <si>
    <t>百裂, 連, チコ</t>
  </si>
  <si>
    <t>1, 4, 7, 10</t>
  </si>
  <si>
    <t>0.1</t>
  </si>
  <si>
    <t>最小4ヒット。
相殺なし。</t>
  </si>
  <si>
    <t>百裂, 〆, チコ</t>
  </si>
  <si>
    <t>チコ</t>
  </si>
  <si>
    <t>7.5/7.5/6.5</t>
  </si>
  <si>
    <t>9/9/7.8</t>
  </si>
  <si>
    <t>ロゼッタ頭無敵：4-10F
ロゼッタの判定は相殺なし。</t>
  </si>
  <si>
    <t>チコ, 持続1</t>
  </si>
  <si>
    <t>チコ, 持続2</t>
  </si>
  <si>
    <t>全シフト, チコ</t>
  </si>
  <si>
    <r>
      <rPr>
        <rFont val="Arial"/>
        <color rgb="FF000000"/>
        <sz val="10.0"/>
      </rPr>
      <t>ロゼッタ頭無敵：7-16F</t>
    </r>
    <r>
      <rPr>
        <rFont val="Arial"/>
        <color rgb="FF999999"/>
        <sz val="10.0"/>
      </rPr>
      <t xml:space="preserve">
</t>
    </r>
    <r>
      <rPr>
        <rFont val="Arial"/>
        <color rgb="FF000000"/>
        <sz val="10.0"/>
      </rPr>
      <t>溜め開始：4F目</t>
    </r>
  </si>
  <si>
    <t>チコ, 持続</t>
  </si>
  <si>
    <t>Hit 1, チコ</t>
  </si>
  <si>
    <t>Hit 2, チコ</t>
  </si>
  <si>
    <t>8/10/10</t>
  </si>
  <si>
    <t>9.6/12/12</t>
  </si>
  <si>
    <t>8.16/10.2/10.2</t>
  </si>
  <si>
    <t>7/8/8</t>
  </si>
  <si>
    <t>8.4/9.6/9.6</t>
  </si>
  <si>
    <t>7.14/8.16/8.16</t>
  </si>
  <si>
    <t>3F/4F/4F</t>
  </si>
  <si>
    <t>10-20
(Rehit: 3)</t>
  </si>
  <si>
    <t>2-44</t>
  </si>
  <si>
    <t>ロゼッタの判定は相殺なし。</t>
  </si>
  <si>
    <t>2-49</t>
  </si>
  <si>
    <t>Ver. 2.0.0からロゼッタの17F目の判定がメテオに。
ロゼッタの判定は相殺なし。</t>
  </si>
  <si>
    <t>18-22</t>
  </si>
  <si>
    <t>26-32</t>
  </si>
  <si>
    <t>NB (チコシュート)</t>
  </si>
  <si>
    <t>最大溜め：70F
溜め開始：7F目
保持中からの最速発生は4F。
相殺なし。</t>
  </si>
  <si>
    <t>呼び寄せ, 風</t>
  </si>
  <si>
    <t>横B (スターピース)</t>
  </si>
  <si>
    <t>10-24, 16-30, 
22-36</t>
  </si>
  <si>
    <t>上B (ギャラクシージャンプ)</t>
  </si>
  <si>
    <t>着地隙：30F
ガケつかまり(前)：23F目以降
ガケつかまり(前後)：30F目以降</t>
  </si>
  <si>
    <t>下B (アイテムキャプチャー)</t>
  </si>
  <si>
    <t>(5-39)</t>
  </si>
  <si>
    <t>引き寄せ：5-39F</t>
  </si>
  <si>
    <r>
      <rPr>
        <rFont val="Arial"/>
        <color rgb="FF000000"/>
        <sz val="10.0"/>
      </rPr>
      <t>5-30Fは弱2に移行可能。</t>
    </r>
    <r>
      <rPr>
        <rFont val="Arial"/>
        <color rgb="FF999999"/>
        <sz val="10.0"/>
      </rPr>
      <t xml:space="preserve">
</t>
    </r>
    <r>
      <rPr>
        <rFont val="Arial"/>
        <color rgb="FF000000"/>
        <sz val="10.0"/>
      </rPr>
      <t>空振り時にボタン長押しで7F目から弱1でキャンセル可能。</t>
    </r>
  </si>
  <si>
    <t>10-30Fは弱3に移行可能。
5-9Fは百裂に移行可能。</t>
  </si>
  <si>
    <t>2, 4, 6, 8,
10, 12, 14,
16, 18, 20</t>
  </si>
  <si>
    <t>最低10ヒット。
相殺なし。</t>
  </si>
  <si>
    <t>風, 対地のみ</t>
  </si>
  <si>
    <t>風判定はダウン中の相手にヒットしない。</t>
  </si>
  <si>
    <t>4-10</t>
  </si>
  <si>
    <t>ぬるり判定消去：1-5F
相殺モーションなし。</t>
  </si>
  <si>
    <t>20/18</t>
  </si>
  <si>
    <t>24/21.6</t>
  </si>
  <si>
    <t>13F/12F</t>
  </si>
  <si>
    <t>アーマー：8-15F (上シフト)
アーマー：8-15F (無シフト)
アーマー：9-15F (下シフト)
溜め開始：5F目</t>
  </si>
  <si>
    <t>アーマー：8-13F
溜め開始：7F目</t>
  </si>
  <si>
    <t>アーマー：7-10F,  15-17F
ぬるり判定消去：7-12F, 15-21F
溜め開始：6F目</t>
  </si>
  <si>
    <t>1-15</t>
  </si>
  <si>
    <t>5/4/4</t>
  </si>
  <si>
    <t>6/4.8/4.8</t>
  </si>
  <si>
    <t>5.1/4.08/4.08</t>
  </si>
  <si>
    <t>6.12/4.08/4.08</t>
  </si>
  <si>
    <t>NB (気合いストレート / K.O.アッパーカット)</t>
  </si>
  <si>
    <t>非最大溜め, 
通常</t>
  </si>
  <si>
    <t>42
(+30)</t>
  </si>
  <si>
    <t>12 ~ 29</t>
  </si>
  <si>
    <t>14.4 ~ 34.8</t>
  </si>
  <si>
    <t>11F ~ 25F</t>
  </si>
  <si>
    <t>ヘビーアーマー：8% (溜め中)
ヘビーアーマー：14% (最大溜め攻撃中)
最小保持：30F
最大保持：119F
最大溜め：86F
保持状態からの最速発生は4F。
最大溜め以外は相殺モーションなし。
31F目から攻撃移行可能。
41F目からガード・回避でキャンセル可能。</t>
  </si>
  <si>
    <t>10 ~ 26</t>
  </si>
  <si>
    <t>12 ~ 31.2</t>
  </si>
  <si>
    <t>10F ~ 22F</t>
  </si>
  <si>
    <t>10-17</t>
  </si>
  <si>
    <t>8 ~ 24</t>
  </si>
  <si>
    <t>9.6 ~ 28.8</t>
  </si>
  <si>
    <t>8F ~ 21F</t>
  </si>
  <si>
    <t>非最大溜め, 
反転</t>
  </si>
  <si>
    <t>46
(+30)</t>
  </si>
  <si>
    <t>10 ~ 27</t>
  </si>
  <si>
    <t>12 ~ 32.4</t>
  </si>
  <si>
    <t>10F ~ 23F</t>
  </si>
  <si>
    <t>8 ~ 22</t>
  </si>
  <si>
    <t>9.6 ~ 26.4</t>
  </si>
  <si>
    <t>8F ~ 19F</t>
  </si>
  <si>
    <t>14-21</t>
  </si>
  <si>
    <t>6 ~ 18</t>
  </si>
  <si>
    <t>7.2 ~ 21.6</t>
  </si>
  <si>
    <t>6F ~ 16F</t>
  </si>
  <si>
    <t>123-142</t>
  </si>
  <si>
    <t>231</t>
  </si>
  <si>
    <t>反転. 最大溜め</t>
  </si>
  <si>
    <t>127-146</t>
  </si>
  <si>
    <t>235</t>
  </si>
  <si>
    <t>41
(+30)</t>
  </si>
  <si>
    <t>10 ~ 19</t>
  </si>
  <si>
    <t>12 ~ 22.8</t>
  </si>
  <si>
    <t>10F ~ 17F</t>
  </si>
  <si>
    <t>8 ~ 15</t>
  </si>
  <si>
    <t>9.6 ~ 18</t>
  </si>
  <si>
    <t>8F ~ 14F</t>
  </si>
  <si>
    <t>45
(+30)</t>
  </si>
  <si>
    <t>8 ~ 17</t>
  </si>
  <si>
    <t>9.6 ~ 20.4</t>
  </si>
  <si>
    <t>8F ~ 15F</t>
  </si>
  <si>
    <t>122-132</t>
  </si>
  <si>
    <t>126-136</t>
  </si>
  <si>
    <t>K.O. ｱｯﾊﾟｰｶｯﾄ</t>
  </si>
  <si>
    <t>9-11
9</t>
  </si>
  <si>
    <t>アーマー：8-9F
ガード不可。</t>
  </si>
  <si>
    <t>ガード可能。</t>
  </si>
  <si>
    <t>横B (ジョルトブロー)</t>
  </si>
  <si>
    <t>7 ~ 24</t>
  </si>
  <si>
    <t>全身無敵：1-3F (地上のみ)
腰・両足無敵：4-17F (地上のみ)
風判定・部分無敵は攻撃移行で消滅。
移行は最短で8F目から。25F目には強制移行。
ガケつかまり(前後)：2F目以降 (攻撃移行後)</t>
  </si>
  <si>
    <t>上B (ライジングアッパーカット)</t>
  </si>
  <si>
    <t>全身無敵：1-3F
着地隙：30F
ガケつかまり(前後)：24F目以降</t>
  </si>
  <si>
    <t>7-22
(Rehit: 4)</t>
  </si>
  <si>
    <t>6-21
(Rehit: 4)</t>
  </si>
  <si>
    <t>下B (スリッピングカウンター)</t>
  </si>
  <si>
    <t>受付：5-27F</t>
  </si>
  <si>
    <t>全身無敵：4-5F
カウンター受付：5-27F
カウンターダメージ倍率：1.5倍</t>
  </si>
  <si>
    <t>全身無敵：1-20F
カウンター保証ダメージ：10%
相殺なし。
ガケつかまり(前後)：46F目以降</t>
  </si>
  <si>
    <t>2, 5, 8, 11, 
14, 17</t>
  </si>
  <si>
    <t>ガード硬直補正倍率：4倍
最小6ヒット。
相殺なし。</t>
  </si>
  <si>
    <t>7.3</t>
  </si>
  <si>
    <r>
      <rPr>
        <rFont val="Arial"/>
        <sz val="10.0"/>
      </rPr>
      <t xml:space="preserve">Hit 1のみ相殺モーションなし。
</t>
    </r>
    <r>
      <rPr>
        <rFont val="Arial"/>
        <sz val="10.0"/>
      </rPr>
      <t>溜め開始：9F目</t>
    </r>
  </si>
  <si>
    <t>13/13/11/11</t>
  </si>
  <si>
    <t>15.6/15.6/13.2/13.2</t>
  </si>
  <si>
    <t>30-73
(Rehit: 3)</t>
  </si>
  <si>
    <t>109</t>
  </si>
  <si>
    <t>常にOPボーナス。
相殺なし。</t>
  </si>
  <si>
    <t>10-39</t>
  </si>
  <si>
    <t>7-8, 10-11, 
13-14, 16-17</t>
  </si>
  <si>
    <t>20-45</t>
  </si>
  <si>
    <t>NB (みずしゅりけん)</t>
  </si>
  <si>
    <t>20-35</t>
  </si>
  <si>
    <t>3 ~ 10.8</t>
  </si>
  <si>
    <t>3.6 ~ 12.96</t>
  </si>
  <si>
    <t>最大溜め：40F
溜め開始：15F目
溜め中からの最速発生は6F。</t>
  </si>
  <si>
    <t>最大溜め, 連</t>
  </si>
  <si>
    <t>60-95
(Rehit: 4)</t>
  </si>
  <si>
    <t>最大溜め, 〆</t>
  </si>
  <si>
    <t>96</t>
  </si>
  <si>
    <t>横B (かげうち)</t>
  </si>
  <si>
    <t>全身無敵：9-17F (最速)
最小保持：5F
最大保持：90F</t>
  </si>
  <si>
    <t>上B (ハイドロポンプ)</t>
  </si>
  <si>
    <t>1回目, Hit 1</t>
  </si>
  <si>
    <t>19-34</t>
  </si>
  <si>
    <t>着地隙：32F
相殺なし。
ガケつかまり(前後)：18F目以降</t>
  </si>
  <si>
    <t>1回目, Hit 2</t>
  </si>
  <si>
    <t>2回目, Hit 1</t>
  </si>
  <si>
    <t>31-46</t>
  </si>
  <si>
    <t>2回目, Hit 2</t>
  </si>
  <si>
    <t>36-51</t>
  </si>
  <si>
    <t>下B (みがわり)</t>
  </si>
  <si>
    <t>受付：8-34F</t>
  </si>
  <si>
    <t>全身無敵：7-17F
頭・左足先無敵：18-34F</t>
  </si>
  <si>
    <t>攻撃, 無・横</t>
  </si>
  <si>
    <t>40-55</t>
  </si>
  <si>
    <t>全身無敵：1-56F (攻撃)
相殺なし。</t>
  </si>
  <si>
    <t>攻撃, 上</t>
  </si>
  <si>
    <t>攻撃, 下</t>
  </si>
  <si>
    <t>40-54</t>
  </si>
  <si>
    <t>45/270</t>
  </si>
  <si>
    <t>攻撃, 斜め上</t>
  </si>
  <si>
    <t>攻撃, 斜め下</t>
  </si>
  <si>
    <t>15F目から7F硬直。</t>
  </si>
  <si>
    <r>
      <rPr>
        <rFont val="Arial"/>
        <sz val="10.0"/>
      </rPr>
      <t xml:space="preserve">5-30Fは弱2に移行可能。
</t>
    </r>
    <r>
      <rPr>
        <rFont val="Arial"/>
        <sz val="10.0"/>
      </rPr>
      <t>空振り時にボタン長押しで7F目から弱1でキャンセル可能。</t>
    </r>
  </si>
  <si>
    <t>5F目からは百裂に移行可能。</t>
  </si>
  <si>
    <t>3, 5, 7, 9, 11, 
13, 15, 17, 19</t>
  </si>
  <si>
    <t>最小9ヒット。
相殺なし。</t>
  </si>
  <si>
    <t>右足無敵：8-12F
溜め開始：4F目</t>
  </si>
  <si>
    <t>3-36</t>
  </si>
  <si>
    <t>2-22</t>
  </si>
  <si>
    <t>5-36</t>
  </si>
  <si>
    <t>NB1 (鉄球投げ)</t>
  </si>
  <si>
    <t>28-*
(28-59)</t>
  </si>
  <si>
    <t>バウンド毎にダメージ倍率0.75倍。</t>
  </si>
  <si>
    <t>NB2 (閃光マッハパンチ)</t>
  </si>
  <si>
    <t>地上, 空中</t>
  </si>
  <si>
    <t>Hit 1-4, 対地</t>
  </si>
  <si>
    <t>10, 14, 17, 20</t>
  </si>
  <si>
    <t>0.4/0.4/3</t>
  </si>
  <si>
    <t>0.48/0.48/3.6</t>
  </si>
  <si>
    <t>2F/2F/4F</t>
  </si>
  <si>
    <t>Hit 5がヒットでHit 6-21動作へ移行。
Hit 20, 21がヒットでHit 22動作へ移行。
攻撃ヒット後は常に全身当たりあり無敵の上、つかまれない。
連途中でも攻撃がヒットしなかった場合無敵とモーション解除。
相殺なし。</t>
  </si>
  <si>
    <t>Hit 1-4, 対空</t>
  </si>
  <si>
    <t>0.4</t>
  </si>
  <si>
    <t>Hit 6-20</t>
  </si>
  <si>
    <t>2, 4, 6, 8, 10, 
12, 14, 16, 18, 
20, 22, 24, 26, 
28, 30
(+28)</t>
  </si>
  <si>
    <t>58
(+28)</t>
  </si>
  <si>
    <t>Hit 21</t>
  </si>
  <si>
    <t>32 (+28)</t>
  </si>
  <si>
    <t>Hit 22</t>
  </si>
  <si>
    <t>10
(+60)</t>
  </si>
  <si>
    <t>38
(+60)</t>
  </si>
  <si>
    <t>46
(+60)</t>
  </si>
  <si>
    <t>NB3 (爆裂サイドキック)</t>
  </si>
  <si>
    <t>50-52</t>
  </si>
  <si>
    <t>25/23</t>
  </si>
  <si>
    <t>30/27.6</t>
  </si>
  <si>
    <t>22F/20F</t>
  </si>
  <si>
    <t>反転入力受付：9-30F
スーパーアーマー：40-52F (通常)
スーパーアーマー：42-54F (反転)
相殺なし。</t>
  </si>
  <si>
    <t>反転, 最速</t>
  </si>
  <si>
    <t>52-54</t>
  </si>
  <si>
    <t>28/26</t>
  </si>
  <si>
    <t>33.6/31.2</t>
  </si>
  <si>
    <t>24F/22F</t>
  </si>
  <si>
    <t>21.25/19.55</t>
  </si>
  <si>
    <t>25.5/23.46</t>
  </si>
  <si>
    <t>19F/17F</t>
  </si>
  <si>
    <t>23.8/22.1</t>
  </si>
  <si>
    <t>28.56/26.52</t>
  </si>
  <si>
    <t>21F/19F</t>
  </si>
  <si>
    <t>横B1 (瞬発百裂キック)</t>
  </si>
  <si>
    <t>感知, Hit 1</t>
  </si>
  <si>
    <t>(73)</t>
  </si>
  <si>
    <t>ふっとばし力倍率：最大1.12倍 (50% ~ 150%)
着地隙：40F (失敗)
着地隙：30F (ヒット後)
地上版連続ヒット部分のメテオは受け身不可。
感知, Hit 1とHit 7は相殺なし。
Hit 2-6は相殺モーションなし。
ガケつかまり(前後)：31F目以降 (移動)
ガケつかまり(前後)：49F目以降 (攻撃移行後)</t>
  </si>
  <si>
    <t>(70)</t>
  </si>
  <si>
    <t>8-10
(Rehit: 2)</t>
  </si>
  <si>
    <t>Hit 8, 地上</t>
  </si>
  <si>
    <t>Hit 8, 空中</t>
  </si>
  <si>
    <t>横B2 (燃焼ドロップキック)</t>
  </si>
  <si>
    <t>ヒット後は平坦な地形上では全体44F。
ガケつかまり(前)：19F目以降 
ガケつかまり(前)：1F目, 20F目以降 (ヒット後)</t>
  </si>
  <si>
    <t>ヒット, 着地</t>
  </si>
  <si>
    <t>横B3 (スープレックス)</t>
  </si>
  <si>
    <t>着地隙：15F (失敗)
ヘビーアーマー：1F~ (11.99%, 投げ動作中)
ダイブ, 上昇・降下部分はつかみ中の相手にヒットしない。
相殺なし。
ガケつかまり(前後)：2F目以降</t>
  </si>
  <si>
    <t>ダイブ, 拘束</t>
  </si>
  <si>
    <t>ダイブ, 上昇</t>
  </si>
  <si>
    <t>ダイブ, 降下</t>
  </si>
  <si>
    <t>47-*</t>
  </si>
  <si>
    <t>上B1 (天地キック)</t>
  </si>
  <si>
    <t>上昇</t>
  </si>
  <si>
    <t>着地隙：21F (派生なし)
着地隙：29F (派生あり)
28-34Fに追加入力でモーション移行。
ガケつかまり(前後)：15F目以降
ガケつかまり(前)：1F目以降 (派生後)</t>
  </si>
  <si>
    <t>3-*</t>
  </si>
  <si>
    <t>上B2 (昇天スピンキック)</t>
  </si>
  <si>
    <t>Hit 1 (地上)</t>
  </si>
  <si>
    <t>腰・両足無敵：8-37F
着地隙：26F
Hit 1 (地上)は相殺モーションなし。
Hit 6は相殺なし。
ガケつかまり(前)：17F目以降
ガケつかまり(前後)：33F目以降</t>
  </si>
  <si>
    <t>Hit 1 (空中)</t>
  </si>
  <si>
    <t>上B3 (突き上げアッパーカット)</t>
  </si>
  <si>
    <t>3-4, 6-7, 
9-10, 12-13, 
15</t>
  </si>
  <si>
    <t>左手無敵：3-7F
着地隙：30F
ガケつかまり(前)：12F目以降
ガケつかまり(前後)：23F目以降</t>
  </si>
  <si>
    <t>下B1 (くい打ちヘッドバット)</t>
  </si>
  <si>
    <t>(93)</t>
  </si>
  <si>
    <t>地上の全体フレームは平坦な地形のとき。
始は相殺なし。
ガケつかまり(前)：32F目以降 (地上)
ガケつかまり(前)：24F目以降 (空中)</t>
  </si>
  <si>
    <t>始, 持続1</t>
  </si>
  <si>
    <t>始, 持続2</t>
  </si>
  <si>
    <t>メテオ, 対地</t>
  </si>
  <si>
    <t>31-*</t>
  </si>
  <si>
    <t>メテオ, 対空1</t>
  </si>
  <si>
    <t>31-33
(Rehit: 1)</t>
  </si>
  <si>
    <t>メテオ, 対空2</t>
  </si>
  <si>
    <t>34
(Rehit: 2)</t>
  </si>
  <si>
    <t>メテオ, 対空3</t>
  </si>
  <si>
    <t>35-*
(Rehit: 2)</t>
  </si>
  <si>
    <t>23-*</t>
  </si>
  <si>
    <t>23-25
(Rehit: 1)</t>
  </si>
  <si>
    <t>26
(Rehit: 2)</t>
  </si>
  <si>
    <t>27-*
(Rehit: 2)</t>
  </si>
  <si>
    <t>下B2 (反転キック)</t>
  </si>
  <si>
    <t>全身無敵：2-4F (移動)
17F目から攻撃に移行可能。
着地隙：29F (移動) (Ver. 1.1.0?: 39F -&gt; 29F)
着地隙：37F (攻撃) (Ver. 1.1.0?: 47F -&gt; 37F)
ガケつかまり(前)：14F目以降 (移動のみ)
ガケつかまり(前後)：20F目以降 (移動のみ)</t>
  </si>
  <si>
    <t>踏みつけ, 対地</t>
  </si>
  <si>
    <t>1-2
(+27)</t>
  </si>
  <si>
    <t>踏みつけ, 対空</t>
  </si>
  <si>
    <t>下B3 (カウンター投げ)</t>
  </si>
  <si>
    <t>受付：6-23F</t>
  </si>
  <si>
    <t>カウンター受付：6-23F
全身無敵：5-6F
飛び道具はカウンターできない。</t>
  </si>
  <si>
    <t>全身無敵：1-47F (モーション移行で解除)</t>
  </si>
  <si>
    <t>投げ, 打撃</t>
  </si>
  <si>
    <t>当たりあり全身無敵：1-17F
カウンターダメージ倍率：1.5倍
カウンター (投げ部分)保証ダメージ：14%
17F目から5F硬直。
打撃部分は投げ中の相手にはヒットしない。
打撃部分は相殺なし。</t>
  </si>
  <si>
    <t>14+</t>
  </si>
  <si>
    <t>16.8+</t>
  </si>
  <si>
    <t>13F目から6F硬直。</t>
  </si>
  <si>
    <t>14F目から8F硬直。</t>
  </si>
  <si>
    <t>9-35Fは弱2に移行可能。
ボタン押しっぱなしでは15F目に移行。</t>
  </si>
  <si>
    <t>9-35Fは弱3に移行可能。
ボタン押しっぱなしでは15F目に移行。</t>
  </si>
  <si>
    <t>ガード硬直補正倍率：1.6倍</t>
  </si>
  <si>
    <t>ガード硬直補正倍率：0.7倍</t>
  </si>
  <si>
    <t>14/15/16</t>
  </si>
  <si>
    <t>16.8/18/19.2</t>
  </si>
  <si>
    <t>10F/10F/11F</t>
  </si>
  <si>
    <r>
      <rPr>
        <rFont val="Arial"/>
        <sz val="10.0"/>
      </rPr>
      <t xml:space="preserve">根本は相殺なし。
</t>
    </r>
    <r>
      <rPr>
        <rFont val="Arial"/>
        <sz val="10.0"/>
      </rPr>
      <t>溜め開始：10F目</t>
    </r>
  </si>
  <si>
    <r>
      <rPr>
        <rFont val="Arial"/>
        <sz val="10.0"/>
      </rPr>
      <t xml:space="preserve">相殺モーションなし。
</t>
    </r>
    <r>
      <rPr>
        <rFont val="Arial"/>
        <sz val="10.0"/>
      </rPr>
      <t>溜め開始：10F目</t>
    </r>
  </si>
  <si>
    <t>11-29</t>
  </si>
  <si>
    <t>14-37
(Rehit: 5)</t>
  </si>
  <si>
    <t>5-49</t>
  </si>
  <si>
    <t>着地は相殺なし。</t>
  </si>
  <si>
    <t>NB1 (トルネードショット)</t>
  </si>
  <si>
    <t>20-37</t>
  </si>
  <si>
    <t>38-55</t>
  </si>
  <si>
    <t>56-71</t>
  </si>
  <si>
    <t>NB2 (光手裏剣)</t>
  </si>
  <si>
    <t>2%部分はノーリアクション。</t>
  </si>
  <si>
    <t>21-28</t>
  </si>
  <si>
    <t>29-36</t>
  </si>
  <si>
    <t>37-50</t>
  </si>
  <si>
    <t>NB3 (ラピッドスラッシュ)</t>
  </si>
  <si>
    <t>最速, Hit 1-4</t>
  </si>
  <si>
    <t>最大溜め：50F
最大ダメージ倍率：2.4倍
溜め開始：12F目
溜め中からの最速発生は6F。
相殺なし。</t>
  </si>
  <si>
    <t>最速, Hit 5</t>
  </si>
  <si>
    <t>最速, Hit 6</t>
  </si>
  <si>
    <t>44-45</t>
  </si>
  <si>
    <t>横B1 (変則急襲斬り)</t>
  </si>
  <si>
    <t>25-60</t>
  </si>
  <si>
    <t>キャンセル後の全体フレームは39F。
ガケつかまり(前)：39F目以降
ガケつかまり(前後)：62F目以降</t>
  </si>
  <si>
    <t>30-65</t>
  </si>
  <si>
    <t>横B2 (疾風突き)</t>
  </si>
  <si>
    <t>最大溜め：70F
最大保持：250F
溜め開始：8F目
溜めからの感知発生は1F。
着地隙：29F (空中59F目以降)
ダメージ = 8 + 0.15 * 溜めフレーム
ガケつかまり(前後)：2F目以降 (溜め解除後)</t>
  </si>
  <si>
    <t>8 ~ 18.5</t>
  </si>
  <si>
    <t>9.6 ~ 22.2</t>
  </si>
  <si>
    <t>8F ~ 16F</t>
  </si>
  <si>
    <t>11-24</t>
  </si>
  <si>
    <t>横B3 (チャクラム)</t>
  </si>
  <si>
    <t>18-89
(Rehit: 8)</t>
  </si>
  <si>
    <t>上下入力で打ち分け可能。</t>
  </si>
  <si>
    <t>弾き</t>
  </si>
  <si>
    <t>18-40</t>
  </si>
  <si>
    <t>上B1 (ロケット下突き)</t>
  </si>
  <si>
    <t>全身無敵：5-12F
着地隙：44F
着地は相殺なし。
ガケつかまり(前後)：20F目以降</t>
  </si>
  <si>
    <t>降り</t>
  </si>
  <si>
    <t>42-*</t>
  </si>
  <si>
    <t>上B2 (ソードダッシュ)</t>
  </si>
  <si>
    <t>着地隙：20F
Hit 1は相殺なし。
Hit 2-7の根本は相殺なし。
ガケつかまり(前後)：20F目以降</t>
  </si>
  <si>
    <t>19-20, 22-23,
25-26, 28-29,
31-32</t>
  </si>
  <si>
    <t>上B3 (回転斬り)</t>
  </si>
  <si>
    <t>14/13/10</t>
  </si>
  <si>
    <t>16.8/15.6/12</t>
  </si>
  <si>
    <t>13F/12F/10F</t>
  </si>
  <si>
    <t>最大溜め：60F
最大ダメージ倍率：1.4倍
溜め開始：5F目
溜め中からの最速発生は4F。
持続3以外は相殺なし。</t>
  </si>
  <si>
    <t>12/11/8</t>
  </si>
  <si>
    <t>14.4/13.2/9.6</t>
  </si>
  <si>
    <t>11F/10F/8F</t>
  </si>
  <si>
    <t>9/9/7</t>
  </si>
  <si>
    <t>10.8/10.8/8.4</t>
  </si>
  <si>
    <t>25-40</t>
  </si>
  <si>
    <t>7/7/5</t>
  </si>
  <si>
    <t>8.4/8.4/6</t>
  </si>
  <si>
    <t>着地隙：30F
相殺なし。
ガケつかまり(前)：13F目以降
ガケつかまり(前後)：33F目以降</t>
  </si>
  <si>
    <t>47-48</t>
  </si>
  <si>
    <t>下B1 (カウンター)</t>
  </si>
  <si>
    <t>当身, 地上</t>
  </si>
  <si>
    <t>受付：5-25F</t>
  </si>
  <si>
    <t>全身無敵：4-6F
カウンター受付：5-25F</t>
  </si>
  <si>
    <t>当身, 空中</t>
  </si>
  <si>
    <t>カウンター, 
地上</t>
  </si>
  <si>
    <t>全身無敵：1-23F
カウンター成立時に敵は29Fの相殺モーションをとる。
カウンターダメージ倍率：1.5倍
カウンター保証ダメージ：8%
相殺なし。</t>
  </si>
  <si>
    <t>カウンター, 
空中</t>
  </si>
  <si>
    <t>下B2 (リバーススラッシュ)</t>
  </si>
  <si>
    <t>16-17
(反射1：4-7F)  
(反射2：8-24F)</t>
  </si>
  <si>
    <t>4-7Fに反射した場合、8F目に移行。
攻撃判定は反転属性。反転判定がヒット・ガードされてから2-11Fは全身無敵。
反射ダメージ倍率：1.8倍
反射速度倍率：1.5倍
飛び道具持続倍率：1.0倍
相殺なし。
ガケつかまり(前)：2F目以降
ガケつかまり(前後)：19F目以降</t>
  </si>
  <si>
    <t>下B3 (ジェットスタッブ)</t>
  </si>
  <si>
    <t>15/12</t>
  </si>
  <si>
    <t>18/14.4</t>
  </si>
  <si>
    <t>10/13</t>
  </si>
  <si>
    <t>12/15.6</t>
  </si>
  <si>
    <t>7.5/10</t>
  </si>
  <si>
    <t>5.5/8</t>
  </si>
  <si>
    <t>6.6/9.6</t>
  </si>
  <si>
    <r>
      <rPr>
        <rFont val="Arial"/>
        <sz val="10.0"/>
      </rPr>
      <t xml:space="preserve">8-30Fは弱2に移行可能。
</t>
    </r>
    <r>
      <rPr>
        <rFont val="Arial"/>
        <sz val="10.0"/>
      </rPr>
      <t>空振り時にボタン長押しで10F目から弱1でキャンセル可能。</t>
    </r>
  </si>
  <si>
    <t>11-35Fは弱3に移行可能。</t>
  </si>
  <si>
    <t>弱3, Hit 1</t>
  </si>
  <si>
    <t>弱3, Hit 2</t>
  </si>
  <si>
    <t>17-38
(Rehit: 4)</t>
  </si>
  <si>
    <r>
      <rPr>
        <rFont val="Arial"/>
        <sz val="10.0"/>
      </rPr>
      <t xml:space="preserve">相殺なし。
</t>
    </r>
    <r>
      <rPr>
        <rFont val="Arial"/>
        <sz val="10.0"/>
      </rPr>
      <t>溜め開始：6F目</t>
    </r>
  </si>
  <si>
    <t>11-57</t>
  </si>
  <si>
    <t>18-32
(Rehit: 3)</t>
  </si>
  <si>
    <t>10/15/15</t>
  </si>
  <si>
    <t>12/18/18</t>
  </si>
  <si>
    <t>10.2/15.3/15.3</t>
  </si>
  <si>
    <t>4-53</t>
  </si>
  <si>
    <t>8/12/12</t>
  </si>
  <si>
    <t>9.6/14.4/14.4</t>
  </si>
  <si>
    <t>8.16/12.24/12.24</t>
  </si>
  <si>
    <t>NB1 (ガンナーチャージ)</t>
  </si>
  <si>
    <t>15-73</t>
  </si>
  <si>
    <t xml:space="preserve">最大溜め：120F
溜め・キャンセル開始：13F目
溜め中からの最速発生は3F。
キャンセルは空中ジャンプのみ全体5F。
回避・シールド・地上ジャンプは全体4F。
</t>
  </si>
  <si>
    <t>(3-61)</t>
  </si>
  <si>
    <t>NB2 (ラピッドショット)</t>
  </si>
  <si>
    <t>1発追加毎に24F追加。
相殺なし。</t>
  </si>
  <si>
    <t>NB3 (グレネードランチャー)</t>
  </si>
  <si>
    <t>最速, 感知</t>
  </si>
  <si>
    <t>32-109</t>
  </si>
  <si>
    <t>2回バウンドすると爆発。
110F目に自動爆発。
爆発は相殺なし。</t>
  </si>
  <si>
    <t>最速, 爆発 (連)</t>
  </si>
  <si>
    <t>1-17
(Rehit: 5)</t>
  </si>
  <si>
    <t>最速, 爆発 (〆)</t>
  </si>
  <si>
    <t>横B1 (フレイムピラー)</t>
  </si>
  <si>
    <t>21-40</t>
  </si>
  <si>
    <t>火柱は相殺なし。</t>
  </si>
  <si>
    <t>火柱, 連</t>
  </si>
  <si>
    <t>1-30
(Rehit: 8)</t>
  </si>
  <si>
    <t>火柱, 〆</t>
  </si>
  <si>
    <t>31-40</t>
  </si>
  <si>
    <t>横B2 (ステルスボム)</t>
  </si>
  <si>
    <t>12.136</t>
  </si>
  <si>
    <t>生成：13F目
最小保持：20F
最大保持：50F
溜め開始：32F目
溜め中からの最速発生は5F。</t>
  </si>
  <si>
    <t>66-68</t>
  </si>
  <si>
    <t>100</t>
  </si>
  <si>
    <t>18.04</t>
  </si>
  <si>
    <t>横B3 (ミサイル)</t>
  </si>
  <si>
    <t>ホーミング
ミサイル</t>
  </si>
  <si>
    <t>27-120</t>
  </si>
  <si>
    <t>判定持続が終了すると爆発して消える (攻撃判定は無い)。</t>
  </si>
  <si>
    <t>スーパー
ミサイル</t>
  </si>
  <si>
    <t>23-92</t>
  </si>
  <si>
    <t>上B1 (ボトムシュート)</t>
  </si>
  <si>
    <t>着地隙：18F
ガケつかまり(前)：13F目以降</t>
  </si>
  <si>
    <t>上B2 (キャノンジャンプキック)</t>
  </si>
  <si>
    <t>全身無敵：5-7F (地上)
着地隙：28F
ガケつかまり(前後)：2-9F, 36F目以降
ガケつかまり(前)：17F目以降</t>
  </si>
  <si>
    <t>上B3 (アームロケット)</t>
  </si>
  <si>
    <t>着地隙：14F
ガケつかまり(前後)：9F目以降</t>
  </si>
  <si>
    <t>下B1 (リフレクター)</t>
  </si>
  <si>
    <t>反射：4-23F (最短)
相殺なし。</t>
  </si>
  <si>
    <t>19
(+15)</t>
  </si>
  <si>
    <t>反射ダメージ倍率：1.5倍
反射速度倍率：1.9倍
飛び道具持続倍率：1.0倍
モーションは回避・ジャンプキャンセル可。</t>
  </si>
  <si>
    <t>下B2 (グラウンドボム)</t>
  </si>
  <si>
    <t>ボム</t>
  </si>
  <si>
    <t>18-133</t>
  </si>
  <si>
    <t>134F目に自動で爆発。
2発目を生成した瞬間、1発目が爆発。
ガード硬直補正倍率：3.75倍 (ボム判定のみ)
相殺なし。</t>
  </si>
  <si>
    <t>下B3 (アブソーバー)</t>
  </si>
  <si>
    <t>7-11
(吸収：7-18F)</t>
  </si>
  <si>
    <t>吸収：7-18F (最短)
相殺なし。</t>
  </si>
  <si>
    <t>解除, 風判定</t>
  </si>
  <si>
    <t>17
(+9)</t>
  </si>
  <si>
    <r>
      <rPr>
        <rFont val="Arial"/>
        <sz val="10.0"/>
      </rPr>
      <t>6</t>
    </r>
    <r>
      <rPr>
        <rFont val="Arial"/>
        <sz val="10.0"/>
      </rPr>
      <t>-7</t>
    </r>
  </si>
  <si>
    <r>
      <rPr>
        <rFont val="Arial"/>
        <sz val="10.0"/>
      </rPr>
      <t>10</t>
    </r>
    <r>
      <rPr>
        <rFont val="Arial"/>
        <sz val="10.0"/>
      </rPr>
      <t>-11</t>
    </r>
  </si>
  <si>
    <t>弾は相殺なし。
通常は持続部分がヒット。</t>
  </si>
  <si>
    <t>弾, 持続</t>
  </si>
  <si>
    <t>22-43</t>
  </si>
  <si>
    <t>弾, Hit 1</t>
  </si>
  <si>
    <t>弾, Hit 1 (持続)</t>
  </si>
  <si>
    <t>20-41</t>
  </si>
  <si>
    <t>弾, Hit 2</t>
  </si>
  <si>
    <t>弾, Hit 2 (持続)</t>
  </si>
  <si>
    <t>30-51</t>
  </si>
  <si>
    <t>10F目から百裂に移行可能。</t>
  </si>
  <si>
    <t>ガード硬直補正倍率：7倍
最低7ヒット。
相殺なし。</t>
  </si>
  <si>
    <t>頭・胸無敵：5-6F (当たりあり)
盾・左腕無敵：5-16F (当たりあり)
相殺なし。</t>
  </si>
  <si>
    <t>右腕先無敵：14-35F
相殺モーションなし。</t>
  </si>
  <si>
    <t>8-22
(Rehit: 3)</t>
  </si>
  <si>
    <t>14-27</t>
  </si>
  <si>
    <t>相殺なし。
溜め開始：11F目</t>
  </si>
  <si>
    <t>風判定, 持続</t>
  </si>
  <si>
    <t>26-31</t>
  </si>
  <si>
    <t>16/12/9</t>
  </si>
  <si>
    <t>19.2/14.4/10.8</t>
  </si>
  <si>
    <t>11F/8F/7F</t>
  </si>
  <si>
    <t>相殺なし。
溜め開始：13F目</t>
  </si>
  <si>
    <t>30-35</t>
  </si>
  <si>
    <t>13/9/7</t>
  </si>
  <si>
    <t>15.6/10.8/8.4</t>
  </si>
  <si>
    <t>9F/7F/6F</t>
  </si>
  <si>
    <t>相殺なし。
溜め開始：14F目</t>
  </si>
  <si>
    <t>5-27
(Rehit: 4)</t>
  </si>
  <si>
    <t>4-23</t>
  </si>
  <si>
    <t>頭・胸無敵：7F目 (当たりあり)
盾・左腕無敵：7-10F (当たりあり)</t>
  </si>
  <si>
    <t>10-22
(Rehit: 3)</t>
  </si>
  <si>
    <t>3-47</t>
  </si>
  <si>
    <t>NB (オート照準)</t>
  </si>
  <si>
    <t>照準</t>
  </si>
  <si>
    <t>24-48, 30-54, 
36-60</t>
  </si>
  <si>
    <t>横B (爆炎)</t>
  </si>
  <si>
    <t>28-55
(Rehit: 5)</t>
  </si>
  <si>
    <r>
      <rPr>
        <rFont val="Arial"/>
        <sz val="10.0"/>
      </rPr>
      <t>全身無敵：16-32F
着地隙：22F</t>
    </r>
    <r>
      <rPr>
        <rFont val="Arial"/>
        <sz val="10.0"/>
      </rPr>
      <t xml:space="preserve">
ガケつかまり(前後)：22F目以降</t>
    </r>
  </si>
  <si>
    <t>下B (カウンター / 反射盤)</t>
  </si>
  <si>
    <t>受付：7-34F</t>
  </si>
  <si>
    <t>全身無敵：6-12F
カウンター・反射受付：7-34F</t>
  </si>
  <si>
    <t>全身無敵：1-6F
カウンターダメージ倍率：1.3倍
カウンター保証ダメージ：10%
相殺なし。</t>
  </si>
  <si>
    <t>反射</t>
  </si>
  <si>
    <t>反射：1-44F</t>
  </si>
  <si>
    <t>反射ダメージ倍率：1.4倍
反射速度倍率：1.25倍
飛び道具持続倍率：1.0倍</t>
  </si>
  <si>
    <t>反射盤, 風判定</t>
  </si>
  <si>
    <t>2-11</t>
  </si>
  <si>
    <t>7-30Fは弱2に移行可能。
空振り時にボタン長押しで10F目から弱1でキャンセル可能。</t>
  </si>
  <si>
    <t>3-9
(Rehit: 4)</t>
  </si>
  <si>
    <t>10-11, 19-20, 
28-29</t>
  </si>
  <si>
    <t>左腕無敵：7-10F</t>
  </si>
  <si>
    <t>16/15</t>
  </si>
  <si>
    <t>19.2/18</t>
  </si>
  <si>
    <r>
      <rPr>
        <rFont val="Arial"/>
        <sz val="10.0"/>
      </rPr>
      <t xml:space="preserve">モンスター部分のみ相殺モーションなし。
</t>
    </r>
    <r>
      <rPr>
        <rFont val="Arial"/>
        <sz val="10.0"/>
      </rPr>
      <t>溜め開始：5F目</t>
    </r>
  </si>
  <si>
    <t>Hit 2は相殺モーションなし。
溜め開始：5F目</t>
  </si>
  <si>
    <r>
      <rPr>
        <rFont val="Arial"/>
        <sz val="10.0"/>
      </rPr>
      <t xml:space="preserve">相殺モーションなし。
</t>
    </r>
    <r>
      <rPr>
        <rFont val="Arial"/>
        <sz val="10.0"/>
      </rPr>
      <t>溜め開始：3F目</t>
    </r>
  </si>
  <si>
    <t>7.65</t>
  </si>
  <si>
    <t>2-25</t>
  </si>
  <si>
    <t>9-35</t>
  </si>
  <si>
    <t>2-31</t>
  </si>
  <si>
    <t>6-7, 13-14, 
20-21</t>
  </si>
  <si>
    <t>NB (フルーツターゲット)</t>
  </si>
  <si>
    <t>前動作</t>
  </si>
  <si>
    <t>溜め・キャンセル開始：8F目
キャンセルは空中ジャンプのみ全体5F。
回避・シールド・地上ジャンプは全体4F。
バウンド一定回数で判定消失。
ヒット後32Fで消滅。
(Ver. 2.0.0で30Fから32Fに変更。)
生成
チェリー：8F目
イチゴ：20F目
オレンジ：32F目
リンゴ：52F目
メロン：72F目
ボス・ギャラクシアン：92F目
ベル：112F目
カギ：132F目</t>
  </si>
  <si>
    <t>チェリー</t>
  </si>
  <si>
    <t>12-61</t>
  </si>
  <si>
    <t>4.3</t>
  </si>
  <si>
    <t>ストロベリー</t>
  </si>
  <si>
    <t>オレンジ</t>
  </si>
  <si>
    <t>12-59</t>
  </si>
  <si>
    <t>アップル</t>
  </si>
  <si>
    <t>12-191</t>
  </si>
  <si>
    <t>メロン</t>
  </si>
  <si>
    <t>12-131</t>
  </si>
  <si>
    <t>ボスギャラクシアン</t>
  </si>
  <si>
    <t>12-141
(Rehit: 30)</t>
  </si>
  <si>
    <t>ベル</t>
  </si>
  <si>
    <t>12-111</t>
  </si>
  <si>
    <t>鍵</t>
  </si>
  <si>
    <t>12-49</t>
  </si>
  <si>
    <t>横B (パワーエサ)</t>
  </si>
  <si>
    <t>最速, 突進1</t>
  </si>
  <si>
    <t>24-37</t>
  </si>
  <si>
    <t>93</t>
  </si>
  <si>
    <t>4 ~ 5</t>
  </si>
  <si>
    <t>4.8 ~ 6</t>
  </si>
  <si>
    <t>5 ~ 6F</t>
  </si>
  <si>
    <t>スーパーアーマー：1-8F  (エサ取得後)
エサ展開：最小23F, 最大42F
最大展開では通常は61F目にエサ取得。
突進1は35F経過で中断。
突進2は最大で12Fまでダッシュ時間延長。
相殺なし。
パワーエサにダメージを受けるとエサ落下。
落下したパワーエサを取得すると2%回復。
ガケつかまり(前後)：5F目以降 (エサ取得後)</t>
  </si>
  <si>
    <t>最速, エサ取得</t>
  </si>
  <si>
    <t>最速, 突進2</t>
  </si>
  <si>
    <t>39-58</t>
  </si>
  <si>
    <t>6 ~ 12</t>
  </si>
  <si>
    <t>7.2 ~ 14.4</t>
  </si>
  <si>
    <t>6 ~ 11F</t>
  </si>
  <si>
    <t>突進2後</t>
  </si>
  <si>
    <t>上B (パックジャンプ)</t>
  </si>
  <si>
    <t>生成：1F
着地隙：30F
ジャンプ追加毎にダメージ1.2倍。
4回以上連続でガケつかまりできない。
ガケつかまり(前後)：5F目以降</t>
  </si>
  <si>
    <t>下B (消火栓)</t>
  </si>
  <si>
    <t>消火栓生成</t>
  </si>
  <si>
    <t>生成：9F</t>
  </si>
  <si>
    <t>消火栓は「受けたダメージの整数部分の和」が13以上になるとふっとぶ。
小数点以下はふっとびのしきい値に関係しない。
消火栓は接地後400Fで消滅。
水は接地後90F目と240F目に放出。
ふっとび後は4回バウンドで消滅。</t>
  </si>
  <si>
    <t>消火栓</t>
  </si>
  <si>
    <t>ふっとび</t>
  </si>
  <si>
    <t>水, 横</t>
  </si>
  <si>
    <t>1-33
(Rehit: 1)</t>
  </si>
  <si>
    <t>水, 縦</t>
  </si>
  <si>
    <t>12-18
19-26
27-33</t>
  </si>
  <si>
    <t>14-21
22-29
30-35</t>
  </si>
  <si>
    <t>15-22
23-29
30-36</t>
  </si>
  <si>
    <t>16-17, 24-25, 
32-33</t>
  </si>
  <si>
    <t>9-30Fは弱2に移行可能。
ボタン押しっぱなしでは17F目に移行。</t>
  </si>
  <si>
    <t>11-30Fは弱3に移行可能。
7-9Fは百裂に移行可能。
ヒット時ボタン押しっぱなしで9F目に弱3移行。</t>
  </si>
  <si>
    <t>3, 6, 9, 12, 
15, 18, 21, 
24, 27, 30</t>
  </si>
  <si>
    <t>ガード硬直補正倍率：3倍
最低10ヒット。
相殺なし。</t>
  </si>
  <si>
    <t>11-18</t>
  </si>
  <si>
    <t>6-14</t>
  </si>
  <si>
    <t>サンダー</t>
  </si>
  <si>
    <r>
      <rPr>
        <rFont val="Arial"/>
        <sz val="10.0"/>
      </rPr>
      <t xml:space="preserve">サンダーのみ相殺なし。
</t>
    </r>
    <r>
      <rPr>
        <rFont val="Arial"/>
        <sz val="10.0"/>
      </rPr>
      <t>38F目にサンダーソード放棄。
溜め開始：7F目</t>
    </r>
  </si>
  <si>
    <t>サンダー, 持続</t>
  </si>
  <si>
    <t>19-27</t>
  </si>
  <si>
    <t>青銅</t>
  </si>
  <si>
    <t>サンダー, 始</t>
  </si>
  <si>
    <t>15/10</t>
  </si>
  <si>
    <t>18/12</t>
  </si>
  <si>
    <t>サンダーのみ相殺なし。
39F目にサンダーソード放棄。
溜め開始：6F目</t>
  </si>
  <si>
    <t>17-32</t>
  </si>
  <si>
    <t>サンダーのみ相殺なし。
サンダー, 持続の剣部分は対地のみ。
37F目にサンダーソード放棄。
溜め開始：4F目</t>
  </si>
  <si>
    <t>サンダー, 電気</t>
  </si>
  <si>
    <t>23-28</t>
  </si>
  <si>
    <t>サンダー, Hit 1</t>
  </si>
  <si>
    <t>42F目にサンダーソード放棄。
青銅相殺なし。
サンダー持続のみ相殺なし。</t>
  </si>
  <si>
    <t>サンダー, Hit 2</t>
  </si>
  <si>
    <t>24-28</t>
  </si>
  <si>
    <t>青銅, Hit 1</t>
  </si>
  <si>
    <t>青銅, Hit 2</t>
  </si>
  <si>
    <r>
      <rPr>
        <rFont val="Arial"/>
        <sz val="10.0"/>
      </rPr>
      <t xml:space="preserve">28F目にサンダーソード放棄。
</t>
    </r>
    <r>
      <rPr>
        <rFont val="Arial"/>
        <sz val="10.0"/>
      </rPr>
      <t>サンダー持続のみ相殺なし。</t>
    </r>
  </si>
  <si>
    <r>
      <rPr>
        <rFont val="Arial"/>
        <sz val="10.0"/>
      </rPr>
      <t>27F目にサンダーソード放棄。</t>
    </r>
    <r>
      <rPr>
        <rFont val="Arial"/>
        <sz val="10.0"/>
      </rPr>
      <t xml:space="preserve">
サンダー持続のみ相殺なし。</t>
    </r>
  </si>
  <si>
    <r>
      <rPr>
        <rFont val="Arial"/>
        <sz val="10.0"/>
      </rPr>
      <t>28F目にサンダーソード放棄。</t>
    </r>
    <r>
      <rPr>
        <rFont val="Arial"/>
        <sz val="10.0"/>
      </rPr>
      <t xml:space="preserve">
サンダー持続のみ相殺なし。</t>
    </r>
  </si>
  <si>
    <t>7.8</t>
  </si>
  <si>
    <t>2-47</t>
  </si>
  <si>
    <r>
      <rPr>
        <rFont val="Arial"/>
        <sz val="10.0"/>
      </rPr>
      <t>33F目にサンダーソード放棄。</t>
    </r>
    <r>
      <rPr>
        <rFont val="Arial"/>
        <sz val="10.0"/>
      </rPr>
      <t xml:space="preserve">
サンダー持続のみ相殺なし。</t>
    </r>
  </si>
  <si>
    <t>青銅, 持続</t>
  </si>
  <si>
    <t>16-24</t>
  </si>
  <si>
    <t>NB (サンダー)</t>
  </si>
  <si>
    <t>15-29</t>
  </si>
  <si>
    <t>溜め25Fでエルサンダー。
溜め65Fでギガサンダー。
溜め125Fでトロン。
溜まり切らずに中断した場合、その段階の最初にリセット。
溜め・キャンセル開始：8F目
溜め中からの最速発生は8F (トロンは23F)。
キャンセルは空中ジャンプのみ全体5F。
回避・シールド・地上ジャンプは全体4F。</t>
  </si>
  <si>
    <t>エルサンダー</t>
  </si>
  <si>
    <t>15-56</t>
  </si>
  <si>
    <t>ギガサンダー</t>
  </si>
  <si>
    <t>15-84</t>
  </si>
  <si>
    <t>1-16
(Rehit: 4)</t>
  </si>
  <si>
    <t>トロン</t>
  </si>
  <si>
    <t>23-92
(Rehit: 4)</t>
  </si>
  <si>
    <t>2.6</t>
  </si>
  <si>
    <t>横B (ギガファイアー)</t>
  </si>
  <si>
    <t>炎弾以外は相殺なし。</t>
  </si>
  <si>
    <t>1-19
(Rehit: 8)</t>
  </si>
  <si>
    <t>20-49
(Rehit: 8)</t>
  </si>
  <si>
    <t>上B (エルウインド)</t>
  </si>
  <si>
    <t>着地隙：25F
ガケつかまり(前)：29F目以降
ガケつかまり(後)：39F目以降</t>
  </si>
  <si>
    <t>13-31</t>
  </si>
  <si>
    <t>33-55</t>
  </si>
  <si>
    <t>接地, 風判定</t>
  </si>
  <si>
    <t>ウィンドなし</t>
  </si>
  <si>
    <t>下B (リザイア)</t>
  </si>
  <si>
    <t>全身無敵：15-18F (特殊つかみ)
拘束の判定フレームは2人対戦時。人数に応じて間隔が減少する。
ガケつかまり(前後)：32F目以降</t>
  </si>
  <si>
    <t>25-*
(Rehit: 8)</t>
  </si>
  <si>
    <t>魔導書</t>
  </si>
  <si>
    <t>サンダーソード</t>
  </si>
  <si>
    <t>37F</t>
  </si>
  <si>
    <t>50F</t>
  </si>
  <si>
    <t>モナドアーツ　能力値倍率</t>
  </si>
  <si>
    <t>翔</t>
  </si>
  <si>
    <t>疾</t>
  </si>
  <si>
    <t>盾</t>
  </si>
  <si>
    <t>斬</t>
  </si>
  <si>
    <t>撃</t>
  </si>
  <si>
    <t>効果時間</t>
  </si>
  <si>
    <t>6秒</t>
  </si>
  <si>
    <t>8秒</t>
  </si>
  <si>
    <t>10秒</t>
  </si>
  <si>
    <t>クールダウン</t>
  </si>
  <si>
    <t>18秒</t>
  </si>
  <si>
    <t>16秒</t>
  </si>
  <si>
    <t>14秒</t>
  </si>
  <si>
    <t>ふっとばし</t>
  </si>
  <si>
    <t>0.65</t>
  </si>
  <si>
    <t>1.7
(実数値: 1.935)</t>
  </si>
  <si>
    <t>0.6
(実数値: 0.693)</t>
  </si>
  <si>
    <t>2
(実数値: 3.344)</t>
  </si>
  <si>
    <t>0.6
(実数値: 1.0032)</t>
  </si>
  <si>
    <t>2
(実数値: 3)</t>
  </si>
  <si>
    <t>0.7
(実数値: 1.309)</t>
  </si>
  <si>
    <t>1.7
(実数値: 1.8921)</t>
  </si>
  <si>
    <t>1.4
(実数値: 1.5582)</t>
  </si>
  <si>
    <t>0.6
(実数値: 0.6678)</t>
  </si>
  <si>
    <t>1.4
(実数値: 2.212)</t>
  </si>
  <si>
    <t>ジャンプ初速</t>
  </si>
  <si>
    <t>1.5 (上B1高度)
1.7 (重力)
1.3 (ガケジャンプ)</t>
  </si>
  <si>
    <t>2.0 (付加走行加速)
2.0 (地上抵抗)
1.4 (付加空中加速)
1.2 (重力)
1.5 (DA速度)</t>
  </si>
  <si>
    <t>2.0 (ｼｰﾙﾄﾞHP)
2.0 (ｼｰﾙﾄﾞ回復)
0.6 (付加走行加速)
0.6 (付加空中加速)
0.7 (DA速度)</t>
  </si>
  <si>
    <t>25
(13)</t>
  </si>
  <si>
    <t>13-30Fは弱3に移行可能。</t>
  </si>
  <si>
    <t>弱3, 持続</t>
  </si>
  <si>
    <t>4.2</t>
  </si>
  <si>
    <t>12.5/11</t>
  </si>
  <si>
    <t>15/13.2</t>
  </si>
  <si>
    <t>13.5/13.5/13.5/12</t>
  </si>
  <si>
    <t>16.2/16.2/16.2/14.4</t>
  </si>
  <si>
    <t>12F/12F/12F/11F</t>
  </si>
  <si>
    <t>10/10/9/9</t>
  </si>
  <si>
    <t>12/12/10.8/10.8</t>
  </si>
  <si>
    <t>10F/10F/9F9F</t>
  </si>
  <si>
    <t>9.5/9.5/9.5/7.5</t>
  </si>
  <si>
    <t>11.4/11.4/11.4/9</t>
  </si>
  <si>
    <t>9F/9F/9F/8F</t>
  </si>
  <si>
    <t>上下, Hit 1
(無, Hit 1)</t>
  </si>
  <si>
    <t>14-16
(14-15)</t>
  </si>
  <si>
    <t>Hit 1の持続は無シフトのみ14-15F。
溜め開始：9F目</t>
  </si>
  <si>
    <t>13/11.5</t>
  </si>
  <si>
    <t>15.6/13.8</t>
  </si>
  <si>
    <t>9F/8F</t>
  </si>
  <si>
    <t>Hit 1のみ相殺なし。
溜め開始：11F目</t>
  </si>
  <si>
    <t>30-33</t>
  </si>
  <si>
    <t>82</t>
  </si>
  <si>
    <t>14/14/14/11</t>
  </si>
  <si>
    <t>16.8/16.8/16.8/13.2</t>
  </si>
  <si>
    <t>10F/10F/10F/8F</t>
  </si>
  <si>
    <t>12/12/12/10</t>
  </si>
  <si>
    <t>14.4/14.4/14.4/12</t>
  </si>
  <si>
    <t>10/10/10/8</t>
  </si>
  <si>
    <t>12/12/12/9.6</t>
  </si>
  <si>
    <t>7F/7F/7F/6F</t>
  </si>
  <si>
    <t>8/8/8/6</t>
  </si>
  <si>
    <t>9.6/9.6/9.6/7.2</t>
  </si>
  <si>
    <t>6F/6F/6F/5F</t>
  </si>
  <si>
    <t>41-42</t>
  </si>
  <si>
    <t>6/6/6/4</t>
  </si>
  <si>
    <t>7.2/7.2/7.2/4.8</t>
  </si>
  <si>
    <t>5F/5F/5F/4F</t>
  </si>
  <si>
    <t>8.5/8.5/7.5</t>
  </si>
  <si>
    <t>10.2/10.2/9</t>
  </si>
  <si>
    <t>8.67/8.67/7.65</t>
  </si>
  <si>
    <t>3-53</t>
  </si>
  <si>
    <t>8.16/8.16/6.63</t>
  </si>
  <si>
    <t>12.5/8.5</t>
  </si>
  <si>
    <t>15/10.2</t>
  </si>
  <si>
    <t>12.75/8.67</t>
  </si>
  <si>
    <t>4-52</t>
  </si>
  <si>
    <t>24-26</t>
  </si>
  <si>
    <t>10.5/8</t>
  </si>
  <si>
    <t>12.6/9.6</t>
  </si>
  <si>
    <t>10.71/8.16</t>
  </si>
  <si>
    <t>11.5/10.5</t>
  </si>
  <si>
    <t>13.8/12.6</t>
  </si>
  <si>
    <t>11.73/10.71</t>
  </si>
  <si>
    <t>11.5/11.5/10.5</t>
  </si>
  <si>
    <t>13.8/13.8/12.6</t>
  </si>
  <si>
    <t>11.73/11.73/10.71</t>
  </si>
  <si>
    <t>NB (モナドアーツ)</t>
  </si>
  <si>
    <t>モナド決定</t>
  </si>
  <si>
    <t>全身無敵：1-14F (モーション移行で解除)
通常選択では30F目にモナド決定。
11Fボタン長押しでダイヤル式選択、最速では4Fでモナド決定。</t>
  </si>
  <si>
    <t>横B (バックスラッシュ)</t>
  </si>
  <si>
    <t>ガケつかまり(前)：49F目以降</t>
  </si>
  <si>
    <t>始, 背面</t>
  </si>
  <si>
    <t>16/14</t>
  </si>
  <si>
    <t>19.2/16.8</t>
  </si>
  <si>
    <t>14F/13F</t>
  </si>
  <si>
    <t>10/10/10/9</t>
  </si>
  <si>
    <t>12/12/12/10.8</t>
  </si>
  <si>
    <t>10F/10F/10F/9F</t>
  </si>
  <si>
    <t>落下, 背面</t>
  </si>
  <si>
    <t>16/16/16/14</t>
  </si>
  <si>
    <t>19.2/19.2/19.2/16.8</t>
  </si>
  <si>
    <t>14F/14F/14F/13F</t>
  </si>
  <si>
    <t>着地, 背面</t>
  </si>
  <si>
    <t>14F/12F</t>
  </si>
  <si>
    <t>上B (エアスラッシュ)</t>
  </si>
  <si>
    <t>20-42Fに追加入力でモーション移行。
着地隙：30F
ガケつかまり(前)：21F目以降 (派生なし)
ガケつかまり(前後)：31F目以降 (派生なし)
ガケつかまり(前後)：29F目以降 (派生後)</t>
  </si>
  <si>
    <t>(9F目)</t>
  </si>
  <si>
    <t>派生</t>
  </si>
  <si>
    <t>9-10
(+19)</t>
  </si>
  <si>
    <t>下B (ビジョン)</t>
  </si>
  <si>
    <t>受付：7-41F</t>
  </si>
  <si>
    <t>全身無敵：6-7F
カウンター受付：7-41F (最長)
カウンター受付：7-11F (最短)
カウンターダメージ倍率：1.3倍</t>
  </si>
  <si>
    <t>45-47</t>
  </si>
  <si>
    <t>87</t>
  </si>
  <si>
    <t>10+/9+</t>
  </si>
  <si>
    <t>12+/10.8+</t>
  </si>
  <si>
    <t>10F+/9F+</t>
  </si>
  <si>
    <t>全身無敵：1-45F
最低保証ダメージ：10%/9%
相殺なし。</t>
  </si>
  <si>
    <t>13+/10+</t>
  </si>
  <si>
    <t>15.6+/12+</t>
  </si>
  <si>
    <t>12F+/10F+</t>
  </si>
  <si>
    <t>全身無敵：1-36F
最低保証ダメージ：13%/10%
相殺なし。</t>
  </si>
  <si>
    <t>全身無敵：9-44F
最低保証ダメージ：10%/9%
相殺なし。</t>
  </si>
  <si>
    <t>19
(11)</t>
  </si>
  <si>
    <r>
      <rPr>
        <rFont val="Arial"/>
        <sz val="10.0"/>
      </rPr>
      <t xml:space="preserve">7-30Fは弱2に移行可能。
</t>
    </r>
    <r>
      <rPr>
        <rFont val="Arial"/>
        <sz val="10.0"/>
      </rPr>
      <t>空振り時にボタン長押しで12F目から弱1でキャンセル可能。</t>
    </r>
  </si>
  <si>
    <t>百裂, 連1</t>
  </si>
  <si>
    <t>3, 9, 15, 
21, 27</t>
  </si>
  <si>
    <t>ガード硬直補正倍率：8倍
最低各5ヒットずつ。
相殺なし。</t>
  </si>
  <si>
    <t>百裂, 連2</t>
  </si>
  <si>
    <t>6, 12, 18, 
24, 30</t>
  </si>
  <si>
    <t>8-12
(Rehit: 3)</t>
  </si>
  <si>
    <t>13-20
(Rehit: 3)</t>
  </si>
  <si>
    <t>6/8</t>
  </si>
  <si>
    <t>7.2/9.6</t>
  </si>
  <si>
    <t>ガード硬直補正倍率：1.2倍 (Hit 1, Hit 2のみ)
OP補正が1.05倍のときのみガード硬直フレームが4Fになる。</t>
  </si>
  <si>
    <t>全シフト, 連</t>
  </si>
  <si>
    <t>全シフト, 〆</t>
  </si>
  <si>
    <t>35-37</t>
  </si>
  <si>
    <t>始, 対地のみ</t>
  </si>
  <si>
    <t>溜め開始：5F目
18F目は同時ヒット可能。</t>
  </si>
  <si>
    <t>9-18
(Rehit: 3)</t>
  </si>
  <si>
    <t>連, 最終</t>
  </si>
  <si>
    <t>相殺モーションなし。
溜め開始：3F目</t>
  </si>
  <si>
    <t>6.5/8.5</t>
  </si>
  <si>
    <t>7.8/10.2</t>
  </si>
  <si>
    <t>6.63/8.67</t>
  </si>
  <si>
    <t>7-41</t>
  </si>
  <si>
    <t>5.5/7</t>
  </si>
  <si>
    <t>6.6/8.4</t>
  </si>
  <si>
    <t>5.61/7.14</t>
  </si>
  <si>
    <t>3.5/5</t>
  </si>
  <si>
    <t>4.2/6</t>
  </si>
  <si>
    <t>3.57/5.1</t>
  </si>
  <si>
    <t>11.22/9.18</t>
  </si>
  <si>
    <t>着地判定は対地のみ。
着地は相殺モーションなし。</t>
  </si>
  <si>
    <t>18-23</t>
  </si>
  <si>
    <t>12-29</t>
  </si>
  <si>
    <t>10.2/8.16</t>
  </si>
  <si>
    <t>2-15</t>
  </si>
  <si>
    <t>15-38
(Rehit: 3)</t>
  </si>
  <si>
    <t>2-54</t>
  </si>
  <si>
    <t>0/1</t>
  </si>
  <si>
    <t>着地は相殺モーションなし。</t>
  </si>
  <si>
    <t>37-96</t>
  </si>
  <si>
    <t>最大溜め：60F
溜め開始：34F目
溜め中からの最速発生は4F。
ガケつかまり(前後)：2F目以降 (発射後)</t>
  </si>
  <si>
    <t>溜め無し, 持続</t>
  </si>
  <si>
    <t>97-216</t>
  </si>
  <si>
    <t>97-141</t>
  </si>
  <si>
    <t>132</t>
  </si>
  <si>
    <t>最大溜め, 持続</t>
  </si>
  <si>
    <t>142-276</t>
  </si>
  <si>
    <t>ヘビーアーマー：約10.23% (ダッシュ中, クラウンのみ)
26Fからジャンプキャンセル可能。
ダッシュのダメージは速度依存。
ダッシュは相殺なし。
スピンは相殺モーションなし。</t>
  </si>
  <si>
    <t>スピン</t>
  </si>
  <si>
    <t>3-14</t>
  </si>
  <si>
    <t>17-*</t>
  </si>
  <si>
    <t>5-14</t>
  </si>
  <si>
    <t>ガケ端ジャンプ</t>
  </si>
  <si>
    <t>クラウン</t>
  </si>
  <si>
    <t>17-46</t>
  </si>
  <si>
    <t>全身無敵：3-30F (回避)
クラウン無敵：16F～ (着地・ガケで解除)
着地隙：26F (通常)
着地隙：37F (ハンマー)
着地隙：28F (急降下)
着地隙：33F (回避)
クラウン本体は相殺なし。
ガケつかまり(前後)：25F目以降</t>
  </si>
  <si>
    <t>ハンマー, Hit 1</t>
  </si>
  <si>
    <t>14F/10F</t>
  </si>
  <si>
    <t>ハンマー, Hit 2</t>
  </si>
  <si>
    <t>クラウン復活</t>
  </si>
  <si>
    <t>生成：13F</t>
  </si>
  <si>
    <t>生成：13F
セット後31F目から歩行、攻撃判定出現。
相殺なし。</t>
  </si>
  <si>
    <t>43-*</t>
  </si>
  <si>
    <r>
      <rPr>
        <rFont val="Arial"/>
        <sz val="10.0"/>
      </rPr>
      <t>14-</t>
    </r>
    <r>
      <rPr>
        <rFont val="Arial"/>
        <sz val="10.0"/>
      </rPr>
      <t>15</t>
    </r>
  </si>
  <si>
    <t>16-49
(Rehit: 5)</t>
  </si>
  <si>
    <t>7-30Fは弱2に移行可能。</t>
  </si>
  <si>
    <t>溜めに応じてX距離増加。Y座標はランダム。
相殺モーションなし。
溜め開始：6F目</t>
  </si>
  <si>
    <r>
      <rPr>
        <rFont val="Arial"/>
        <sz val="10.0"/>
      </rPr>
      <t xml:space="preserve">相殺モーションなし。
</t>
    </r>
    <r>
      <rPr>
        <rFont val="Arial"/>
        <sz val="10.0"/>
      </rPr>
      <t>溜め開始：6F目</t>
    </r>
  </si>
  <si>
    <r>
      <rPr>
        <rFont val="Arial"/>
        <sz val="10.0"/>
      </rPr>
      <t xml:space="preserve">相殺モーションなし。
</t>
    </r>
    <r>
      <rPr>
        <rFont val="Arial"/>
        <sz val="10.0"/>
      </rPr>
      <t>溜め開始：3F目</t>
    </r>
  </si>
  <si>
    <t>9-37</t>
  </si>
  <si>
    <t>6-45</t>
  </si>
  <si>
    <t>10/6.5</t>
  </si>
  <si>
    <t>12/7.8</t>
  </si>
  <si>
    <t>10.2/6.63</t>
  </si>
  <si>
    <t>10/12.5</t>
  </si>
  <si>
    <t>12/15</t>
  </si>
  <si>
    <t>10.2/12.75</t>
  </si>
  <si>
    <t>4-44</t>
  </si>
  <si>
    <t>NB (トリックショット)</t>
  </si>
  <si>
    <t>缶</t>
  </si>
  <si>
    <t>生成：1F
レチクル以外は相殺なし。
怯えモーション：31F
ガケつかまり(前後)：41F目以降</t>
  </si>
  <si>
    <t>レチクル</t>
  </si>
  <si>
    <t>横B (クレー射撃)</t>
  </si>
  <si>
    <t>クレー</t>
  </si>
  <si>
    <t>生成：1F
クレーがヒットした後または?F経過後にボタン入力のよる射撃で炸裂。
32F目からボタン入力で射撃可能。
ボタン入力から27F経過で再度射撃可能。
炸裂は相殺なし。
怯えモーション：31F
ガケつかまり(前後)：49F目以降</t>
  </si>
  <si>
    <t>炸裂1</t>
  </si>
  <si>
    <t>炸裂2</t>
  </si>
  <si>
    <t>炸裂3</t>
  </si>
  <si>
    <t>上B (ダックジャンプ)</t>
  </si>
  <si>
    <t>着地隙：30F
ガケつかまり(前後)：7F目以降</t>
  </si>
  <si>
    <t>下B (ワイルドガンマン)</t>
  </si>
  <si>
    <t>ヒゲ</t>
  </si>
  <si>
    <t>生成：6F
相殺なし。</t>
  </si>
  <si>
    <t>ノッポ</t>
  </si>
  <si>
    <t>91</t>
  </si>
  <si>
    <t>黒服</t>
  </si>
  <si>
    <t>ソンブレロ</t>
  </si>
  <si>
    <t>ボス</t>
  </si>
  <si>
    <t>打撃部分は投げ中の相手にはヒットしない。
23F目から8F硬直。</t>
  </si>
  <si>
    <t>強モーションをスキップできるか (メモ参照)</t>
  </si>
  <si>
    <t>ワザ</t>
  </si>
  <si>
    <t>立ち状態</t>
  </si>
  <si>
    <t>先行入力</t>
  </si>
  <si>
    <t>キャンセル</t>
  </si>
  <si>
    <t>弱1 (弱)</t>
  </si>
  <si>
    <t>横強 (弱, 密着)</t>
  </si>
  <si>
    <t>上強 (弱)</t>
  </si>
  <si>
    <t>下強 (弱)</t>
  </si>
  <si>
    <t>弱1 (強)</t>
  </si>
  <si>
    <r>
      <rPr>
        <rFont val="Arial"/>
        <sz val="10.0"/>
      </rPr>
      <t>9</t>
    </r>
    <r>
      <rPr>
        <rFont val="Arial"/>
        <sz val="10.0"/>
      </rPr>
      <t>-10</t>
    </r>
  </si>
  <si>
    <t>6F目までにボタンを離すと弱1 (弱)へ移行。</t>
  </si>
  <si>
    <t>弱1 (強), 密着</t>
  </si>
  <si>
    <t>12/12/12/8</t>
  </si>
  <si>
    <t>14.4/14.4/14.4/9.6</t>
  </si>
  <si>
    <t>11F/11F/11F/8F</t>
  </si>
  <si>
    <t>頭・胸・両腕無敵：4-10F
必殺ワザキャンセル：20F目まで</t>
  </si>
  <si>
    <r>
      <rPr>
        <rFont val="Arial"/>
        <sz val="10.0"/>
      </rPr>
      <t>2</t>
    </r>
    <r>
      <rPr>
        <rFont val="Arial"/>
        <sz val="10.0"/>
      </rPr>
      <t>-3</t>
    </r>
  </si>
  <si>
    <t>7F目から弱1でキャンセル可能。
ヒット・ガードのみ6-23Fは弱2に移行可能。
必殺ワザキャンセル：11F目まで</t>
  </si>
  <si>
    <r>
      <rPr>
        <rFont val="Arial"/>
        <sz val="10.0"/>
      </rPr>
      <t>3</t>
    </r>
    <r>
      <rPr>
        <rFont val="Arial"/>
        <sz val="10.0"/>
      </rPr>
      <t>-4</t>
    </r>
  </si>
  <si>
    <t>ヒット・ガードのみ6-24Fは弱3に移行可能。
必殺ワザキャンセル：12F目まで</t>
  </si>
  <si>
    <r>
      <rPr>
        <rFont val="Arial"/>
        <sz val="10.0"/>
      </rPr>
      <t>8</t>
    </r>
    <r>
      <rPr>
        <rFont val="Arial"/>
        <sz val="10.0"/>
      </rPr>
      <t>-10</t>
    </r>
  </si>
  <si>
    <r>
      <rPr>
        <rFont val="Arial"/>
        <sz val="10.0"/>
      </rPr>
      <t>7</t>
    </r>
    <r>
      <rPr>
        <rFont val="Arial"/>
        <sz val="10.0"/>
      </rPr>
      <t>-9</t>
    </r>
  </si>
  <si>
    <t>強, Hit 1</t>
  </si>
  <si>
    <t>6F目までにボタンを離すと横強 (弱)へ移行。
相殺モーションなし。</t>
  </si>
  <si>
    <t>強, Hit 2</t>
  </si>
  <si>
    <t>弱</t>
  </si>
  <si>
    <r>
      <rPr>
        <rFont val="Arial"/>
        <sz val="10.0"/>
      </rPr>
      <t>8</t>
    </r>
    <r>
      <rPr>
        <rFont val="Arial"/>
        <sz val="10.0"/>
      </rPr>
      <t>-11</t>
    </r>
  </si>
  <si>
    <t>6.8</t>
  </si>
  <si>
    <t>左足無敵：6-11F</t>
  </si>
  <si>
    <t>弱, 密着</t>
  </si>
  <si>
    <t>3-4
(4-5)</t>
  </si>
  <si>
    <t>29
(30)</t>
  </si>
  <si>
    <t>必殺ワザキャンセル：24F目 (25F目)まで
強モーションを最低でも1Fはさむ必要あり。</t>
  </si>
  <si>
    <t>強</t>
  </si>
  <si>
    <t>頭・胸・両腕無敵：4-10F
6F目までにボタンを離すと上強 (弱)へ移行。                    
必殺ワザキャンセル：20F目まで</t>
  </si>
  <si>
    <t>強, 持続</t>
  </si>
  <si>
    <r>
      <rPr>
        <rFont val="Arial"/>
        <sz val="10.0"/>
      </rPr>
      <t>8-</t>
    </r>
    <r>
      <rPr>
        <rFont val="Arial"/>
        <sz val="10.0"/>
      </rPr>
      <t>11</t>
    </r>
  </si>
  <si>
    <r>
      <rPr>
        <rFont val="Arial"/>
        <sz val="10.0"/>
      </rPr>
      <t>3</t>
    </r>
    <r>
      <rPr>
        <rFont val="Arial"/>
        <sz val="10.0"/>
      </rPr>
      <t>-6</t>
    </r>
  </si>
  <si>
    <t>14
(7)</t>
  </si>
  <si>
    <t>8F目から上強でキャンセル可能。
必殺ワザキャンセル：7F目まで</t>
  </si>
  <si>
    <t>7/5.5</t>
  </si>
  <si>
    <t>8.4/6.6</t>
  </si>
  <si>
    <t>6F目までにボタンを離すと下強 (弱)へ移行。              
必殺ワザキャンセル：19F目まで</t>
  </si>
  <si>
    <t>8F目から下強でキャンセル可能。
必殺ワザキャンセル：9F目まで</t>
  </si>
  <si>
    <r>
      <rPr>
        <rFont val="Arial"/>
        <sz val="10.0"/>
      </rPr>
      <t>15</t>
    </r>
    <r>
      <rPr>
        <rFont val="Arial"/>
        <sz val="10.0"/>
      </rPr>
      <t>-17</t>
    </r>
  </si>
  <si>
    <t>16/16/17.5</t>
  </si>
  <si>
    <t>19.2/19.2/21</t>
  </si>
  <si>
    <t>11F/11F/12F</t>
  </si>
  <si>
    <t>右腕無敵：9-12F
溜め開始：7F目</t>
  </si>
  <si>
    <r>
      <rPr>
        <rFont val="Arial"/>
        <sz val="10.0"/>
      </rPr>
      <t>5</t>
    </r>
    <r>
      <rPr>
        <rFont val="Arial"/>
        <sz val="10.0"/>
      </rPr>
      <t>-6</t>
    </r>
  </si>
  <si>
    <t>16/12/12</t>
  </si>
  <si>
    <t>19.2/14.4/14.4</t>
  </si>
  <si>
    <t>空キャンセル：1-3F
溜め開始：3F目
必殺ワザキャンセル：13F目まで</t>
  </si>
  <si>
    <r>
      <rPr>
        <rFont val="Arial"/>
        <sz val="10.0"/>
      </rPr>
      <t>4</t>
    </r>
    <r>
      <rPr>
        <rFont val="Arial"/>
        <sz val="10.0"/>
      </rPr>
      <t>-6</t>
    </r>
  </si>
  <si>
    <t>必殺ワザキャンセル：13F目まで</t>
  </si>
  <si>
    <t>7-31</t>
  </si>
  <si>
    <t>14/9</t>
  </si>
  <si>
    <t>16.8/10.8</t>
  </si>
  <si>
    <t>14.28/9.18</t>
  </si>
  <si>
    <t>必殺ワザキャンセル：14F目まで</t>
  </si>
  <si>
    <r>
      <rPr>
        <rFont val="Arial"/>
        <sz val="10.0"/>
      </rPr>
      <t>8</t>
    </r>
    <r>
      <rPr>
        <rFont val="Arial"/>
        <sz val="10.0"/>
      </rPr>
      <t>-9</t>
    </r>
  </si>
  <si>
    <t>必殺ワザキャンセル：17F目まで</t>
  </si>
  <si>
    <t>2-17</t>
  </si>
  <si>
    <t>左腕無敵：6-11F
必殺ワザキャンセル：15F目まで</t>
  </si>
  <si>
    <t>必殺ワザキャンセル：17F目まで
空キャンセル：1-3F</t>
  </si>
  <si>
    <t>15/11</t>
  </si>
  <si>
    <t>18/13.2</t>
  </si>
  <si>
    <t>15.3/11.22</t>
  </si>
  <si>
    <t>NB (波動拳)</t>
  </si>
  <si>
    <t>波動拳</t>
  </si>
  <si>
    <t>9
(10.8)</t>
  </si>
  <si>
    <t>10.8
(12.96)</t>
  </si>
  <si>
    <t>10F
(12F)</t>
  </si>
  <si>
    <t>コマンドダメージ倍率：1.2倍
右向き時に↓↘→(236) + 攻撃・必殺ボタン
通常：1-5Fにボタンリリース
長押し1：6-12Fにボタンリリース
長押し2：13F～にボタンリリース
ガード硬直補正倍率：1.2倍（弱）
ガード硬直補正倍率：1.13倍（中）
ガード硬直補正倍率：1.06倍（強）</t>
  </si>
  <si>
    <t>弱, 持続</t>
  </si>
  <si>
    <t>19-93</t>
  </si>
  <si>
    <t>中</t>
  </si>
  <si>
    <t>9.5
(11.4)</t>
  </si>
  <si>
    <t>11.4
(13.68)</t>
  </si>
  <si>
    <t>中, 持続</t>
  </si>
  <si>
    <t>18-78</t>
  </si>
  <si>
    <t>10
(12)</t>
  </si>
  <si>
    <t>12
(14.4)</t>
  </si>
  <si>
    <t>17-61</t>
  </si>
  <si>
    <t>灼熱波動拳</t>
  </si>
  <si>
    <t>連, 弱</t>
  </si>
  <si>
    <t>12-21
(Rehit: 2)</t>
  </si>
  <si>
    <t>右向き時に←↙↓↘→(41236)
もしくは↙↓↘(123) + 攻撃・必殺ボタン
通常：1-5Fにボタンリリース
長押し1：6-12Fにボタンリリース
長押し2：13F～にボタンリリース
連続部分4回ヒット後, 自動で〆に派生。</t>
  </si>
  <si>
    <t>連, 弱・持続</t>
  </si>
  <si>
    <t>22-88
(Rehit: 2)</t>
  </si>
  <si>
    <t>連, 中</t>
  </si>
  <si>
    <t>12-20
(Rehit: 2)</t>
  </si>
  <si>
    <t>連, 中・持続</t>
  </si>
  <si>
    <t>21-72
(Rehit: 2)</t>
  </si>
  <si>
    <t>連, 強</t>
  </si>
  <si>
    <t>12-19
(Rehit: 1)</t>
  </si>
  <si>
    <t>連, 強・持続</t>
  </si>
  <si>
    <t>20-57
(Rehit: 1)</t>
  </si>
  <si>
    <t>9.3</t>
  </si>
  <si>
    <t>横B (竜巻旋風脚)</t>
  </si>
  <si>
    <t>始, 共通</t>
  </si>
  <si>
    <t>11
(12.76)</t>
  </si>
  <si>
    <t>13.2
(15.312)</t>
  </si>
  <si>
    <t>コマンドダメージ倍率：1.16倍
右向き時に↓↙←(214) + 攻撃・必殺ボタン
両足無敵：13F～ (地上)
左足先無敵：13-44F (空中)
通常：1-6Fにボタンリリース
長押し1：7-12Fにボタンリリース
長押し2：13F～にボタンリリース
判定は2回以上ヒットしない。
相殺モーションなし。
ガケつかまり(前後)：14F目以降</t>
  </si>
  <si>
    <t>弱, 前</t>
  </si>
  <si>
    <t>弱, 後</t>
  </si>
  <si>
    <t>10
(11.6)</t>
  </si>
  <si>
    <t>12
(13.92)</t>
  </si>
  <si>
    <t>10F
(11F)</t>
  </si>
  <si>
    <t>中, 前</t>
  </si>
  <si>
    <t>13-15, 
29-31, 45-47</t>
  </si>
  <si>
    <t>14.4
(16.704)</t>
  </si>
  <si>
    <t>11F
(13F)</t>
  </si>
  <si>
    <t>中, 後</t>
  </si>
  <si>
    <t>21-23, 
37-39, 53-55</t>
  </si>
  <si>
    <t>11.5
(13.34)</t>
  </si>
  <si>
    <t>13.8
(16.008)</t>
  </si>
  <si>
    <t>11F
(12F)</t>
  </si>
  <si>
    <t>強, 前</t>
  </si>
  <si>
    <t>13
(15.08)</t>
  </si>
  <si>
    <t>15.6
(18.096)</t>
  </si>
  <si>
    <t>12F
(14F)</t>
  </si>
  <si>
    <t>強, 後</t>
  </si>
  <si>
    <t>13-15, 29-31</t>
  </si>
  <si>
    <t>21-23, 37-39</t>
  </si>
  <si>
    <t>9
(10.44)</t>
  </si>
  <si>
    <t>10.8
(12.528)</t>
  </si>
  <si>
    <t>9F
(10F)</t>
  </si>
  <si>
    <t>10.5
(12.18)</t>
  </si>
  <si>
    <t>12.6
(14.616)</t>
  </si>
  <si>
    <t>上B (昇竜拳)</t>
  </si>
  <si>
    <t>始, 弱</t>
  </si>
  <si>
    <t>13
(15.6)</t>
  </si>
  <si>
    <t>15.6
(18.72)</t>
  </si>
  <si>
    <t>コマンドダメージ倍率：1.2倍
右向き時に→↓↘(623) + 攻撃・必殺ボタン
もしくは→↘→(636) + 攻撃・必殺ボタン
もしくは↘↓↘(323) + 攻撃・必殺ボタン
全身無敵：5F目 (通常)
全身無敵：4-6F (コマンド)
右腕無敵：1-14F (コマンド)
着地隙：22F (通常)
着地隙：15F (コマンド)
通常：1-3Fにボタンリリース
長押し1：4-5Fにボタンリリース
長押し2：6F～にボタンリリース
相殺なし。
ガケつかまり(前後)：21F目以降</t>
  </si>
  <si>
    <t>始, 中</t>
  </si>
  <si>
    <t>14
(16.8)</t>
  </si>
  <si>
    <t>16.8
(20.16)</t>
  </si>
  <si>
    <t>13F
(15F)</t>
  </si>
  <si>
    <t>始, 強</t>
  </si>
  <si>
    <t>15
(18)</t>
  </si>
  <si>
    <t>18
(21.6)</t>
  </si>
  <si>
    <t>14F
(16F)</t>
  </si>
  <si>
    <t>持続1, 共通</t>
  </si>
  <si>
    <t>14.4
(17.28)</t>
  </si>
  <si>
    <t>持続2, 共通</t>
  </si>
  <si>
    <t>7
(8.4)</t>
  </si>
  <si>
    <t>8.4
(10.08)</t>
  </si>
  <si>
    <t>7F
(8F)</t>
  </si>
  <si>
    <t>下B (セービングアタック)</t>
  </si>
  <si>
    <t>溜め1, 最速</t>
  </si>
  <si>
    <t>溜め2移行：31Fチャージ
溜め3移行：59Fチャージ
溜め中からの発生は11F。
ヘビーアーマー：1-*F (14 ~ 28%まで増加)
溜めを途中で解除するとヘビーアーマー消滅。
溜め3のみヘビーアーマー継続（1-70F）。
ステップキャンセル：26-59F
攻撃ヒット・シールドヒット後も可能。
キャンセル入力は12F以内にスティック2回。
溜め3はガード不可。
相殺モーションなし。</t>
  </si>
  <si>
    <t>溜め2, 最速</t>
  </si>
  <si>
    <t>溜め3</t>
  </si>
  <si>
    <t>70-71</t>
  </si>
  <si>
    <t>114</t>
  </si>
  <si>
    <t>キャンセル, 全</t>
  </si>
  <si>
    <t>25-30</t>
  </si>
  <si>
    <t>右足先無敵：25-30F
打撃部分は投げ中の相手にはヒットしない。</t>
  </si>
  <si>
    <t>60'</t>
  </si>
  <si>
    <t>弱1 (強), Hit 1</t>
  </si>
  <si>
    <t>弱1 (強), Hit 2</t>
  </si>
  <si>
    <r>
      <rPr>
        <rFont val="Arial"/>
        <sz val="10.0"/>
      </rPr>
      <t>7-</t>
    </r>
    <r>
      <rPr>
        <rFont val="Arial"/>
        <sz val="10.0"/>
      </rPr>
      <t>9</t>
    </r>
  </si>
  <si>
    <t>5/10</t>
  </si>
  <si>
    <t>6/12</t>
  </si>
  <si>
    <t>6F/10F</t>
  </si>
  <si>
    <r>
      <rPr>
        <rFont val="Arial"/>
        <color rgb="FF000000"/>
        <sz val="10.0"/>
      </rPr>
      <t>6F目までにボタンを離すと横強 (弱)へ移行。</t>
    </r>
    <r>
      <rPr>
        <rFont val="Arial"/>
        <color rgb="FF999999"/>
        <sz val="10.0"/>
      </rPr>
      <t xml:space="preserve">  </t>
    </r>
  </si>
  <si>
    <r>
      <rPr>
        <rFont val="Arial"/>
        <sz val="10.0"/>
      </rPr>
      <t>8-</t>
    </r>
    <r>
      <rPr>
        <rFont val="Arial"/>
        <sz val="10.0"/>
      </rPr>
      <t>11</t>
    </r>
  </si>
  <si>
    <t>必殺ワザキャンセル：8-24F
強モーションを最低でも1Fはさむ必要あり。</t>
  </si>
  <si>
    <t>頭・胸・両腕無敵：4-10F
6F目までにボタンを離すと上強 (弱)へ移行。        
必殺ワザキャンセル：20F目まで</t>
  </si>
  <si>
    <r>
      <rPr>
        <rFont val="Arial"/>
        <sz val="10.0"/>
      </rPr>
      <t>3-</t>
    </r>
    <r>
      <rPr>
        <rFont val="Arial"/>
        <sz val="10.0"/>
      </rPr>
      <t>6</t>
    </r>
  </si>
  <si>
    <t>6F目までにボタンを離すと下強 (弱)へ移行。               
必殺ワザキャンセル：19F目まで</t>
  </si>
  <si>
    <r>
      <rPr>
        <rFont val="Arial"/>
        <sz val="10.0"/>
      </rPr>
      <t>2-</t>
    </r>
    <r>
      <rPr>
        <rFont val="Arial"/>
        <sz val="10.0"/>
      </rPr>
      <t>3</t>
    </r>
  </si>
  <si>
    <t>12/16</t>
  </si>
  <si>
    <t>14.4/19.2</t>
  </si>
  <si>
    <t>8F/11F</t>
  </si>
  <si>
    <r>
      <rPr>
        <rFont val="Arial"/>
        <sz val="10.0"/>
      </rPr>
      <t>5-</t>
    </r>
    <r>
      <rPr>
        <rFont val="Arial"/>
        <sz val="10.0"/>
      </rPr>
      <t>6</t>
    </r>
  </si>
  <si>
    <t>特殊コマンドワザ</t>
  </si>
  <si>
    <t>鉈落とし蹴り</t>
  </si>
  <si>
    <t>右向き時に→↓ + 攻撃ボタン(632+A)で出すコマンド専用ワザ。
13F目までボタンホールドで稲妻に派生。
ガード硬直補正倍率：1.25倍 (稲妻かかと割り)</t>
  </si>
  <si>
    <t>稲妻かかと割り
派生あり</t>
  </si>
  <si>
    <t>大外回し蹴り</t>
  </si>
  <si>
    <t>派生なし</t>
  </si>
  <si>
    <t>右向き時に←↓→ + 攻撃ボタン(41236+A)で出すコマンド専用ワザ。
10F目までボタンホールドで稲妻に派生。
右足無敵：9-10F
ガード硬直補正倍率：1.25倍 (稲妻かかと割り)</t>
  </si>
  <si>
    <t>6.5/8</t>
  </si>
  <si>
    <t>7.8/9.6</t>
  </si>
  <si>
    <t>6.63/8.16</t>
  </si>
  <si>
    <t>必殺ワザキャンセル：15F目まで</t>
  </si>
  <si>
    <t>4/6.5</t>
  </si>
  <si>
    <t>4.8/7.8</t>
  </si>
  <si>
    <t>4.08/6.63</t>
  </si>
  <si>
    <t>必殺ワザキャンセル：16F目まで</t>
  </si>
  <si>
    <t>4.5
(5.625)</t>
  </si>
  <si>
    <t>5.4
(6.75)</t>
  </si>
  <si>
    <t>3F
(3F)</t>
  </si>
  <si>
    <t>コマンドダメージ倍率：1.25倍
右向き時に↓↘→(236) + 攻撃・必殺ボタン
通常：1-5Fにボタンリリース
長押し1：6-12Fにボタンリリース
長押し2：13F～にボタンリリース</t>
  </si>
  <si>
    <t>20-87</t>
  </si>
  <si>
    <t>5
(6.25)</t>
  </si>
  <si>
    <t>6
(7.5)</t>
  </si>
  <si>
    <t>19-79</t>
  </si>
  <si>
    <t>5.5
(6.875)</t>
  </si>
  <si>
    <t>6.6
(8.25)</t>
  </si>
  <si>
    <t>18-72</t>
  </si>
  <si>
    <t>共通, Hit 1</t>
  </si>
  <si>
    <t>3
(3.48)</t>
  </si>
  <si>
    <t>3.6
(4.176)</t>
  </si>
  <si>
    <t>4F
(4F)</t>
  </si>
  <si>
    <t>コマンドダメージ倍率：1.16倍
右向き時に↓↙←(214) + 攻撃・必殺ボタン
右足(軸足)無敵：13F～ (地上)
左足先無敵：13-42F (空中)
通常：1-6Fにボタンリリース
長押し1：7-12Fにボタンリリース
長押し2：13F～にボタンリリース
相殺モーションなし。
共通以外はすべてRehit Rate = 9。
ガケつかまり(前後)：14F目以降</t>
  </si>
  <si>
    <t>弱, Hit 2</t>
  </si>
  <si>
    <t>13-14, 18-19</t>
  </si>
  <si>
    <t>中, Hit 2-4</t>
  </si>
  <si>
    <t>13-14, 18-19, 
23-24, 28-29, 
33-34, 38-39</t>
  </si>
  <si>
    <t>強, Hit 2-4</t>
  </si>
  <si>
    <t>2
(2.32)</t>
  </si>
  <si>
    <t>2.4
(2.784)</t>
  </si>
  <si>
    <t>コマンドダメージ倍率：1.2倍
右向き時に→↓↘(623) + 攻撃・必殺ボタン
もしくは→↘→(636) + 攻撃・必殺ボタン
もしくは↘↓↘(323) + 攻撃・必殺ボタン
全身無敵：5F目 (通常)
全身無敵：4-6F (コマンド)
右腕無敵：1-14F (コマンド)
着地隙：16F (通常)
着地隙：12F (コマンド)
通常：1-2Fにボタンリリース
長押し1：3-4Fにボタンリリース
長押し2：5F～にボタンリリース
ガケつかまり(前後)：21F目以降</t>
  </si>
  <si>
    <t>中, Hit 1</t>
  </si>
  <si>
    <t>6-8
(Rehit: 3)</t>
  </si>
  <si>
    <t>8
(9.6)</t>
  </si>
  <si>
    <t>9.6
(11.52)</t>
  </si>
  <si>
    <t>8F
(9F)</t>
  </si>
  <si>
    <t>中, Hit 2</t>
  </si>
  <si>
    <t>6
(7.2)</t>
  </si>
  <si>
    <t>7.2
(8.64)</t>
  </si>
  <si>
    <t>6F
(7F)</t>
  </si>
  <si>
    <t>2.2
(2.64)</t>
  </si>
  <si>
    <t>2.64
(3.168)</t>
  </si>
  <si>
    <t>3F
(4F)</t>
  </si>
  <si>
    <t>6-8
(Rehit: 4)</t>
  </si>
  <si>
    <t>強, Hit 3</t>
  </si>
  <si>
    <t>6.5
(7.8)</t>
  </si>
  <si>
    <t>7.8
(9.36)</t>
  </si>
  <si>
    <t>27-32</t>
  </si>
  <si>
    <t>右足先無敵：27-32F
打撃部分は投げ中の相手にはヒットしない。</t>
  </si>
  <si>
    <t>49F</t>
  </si>
  <si>
    <t>リミットブレイク　能力倍率</t>
  </si>
  <si>
    <t>0.181125</t>
  </si>
  <si>
    <t>空中抵抗</t>
  </si>
  <si>
    <t>29
(15)</t>
  </si>
  <si>
    <t>8-30Fは弱2に移行可能。
空振り時にボタン長押しで16F目から弱1でキャンセル可能。</t>
  </si>
  <si>
    <t>腰</t>
  </si>
  <si>
    <t>左足無敵：7-17F</t>
  </si>
  <si>
    <t>足</t>
  </si>
  <si>
    <t>3/2/4</t>
  </si>
  <si>
    <t>3.6/2.4/4.8</t>
  </si>
  <si>
    <t>12/13/13/11</t>
  </si>
  <si>
    <t>14.4/15.6/15.6/13.2</t>
  </si>
  <si>
    <t>8F/9F/9F/8F</t>
  </si>
  <si>
    <t>14.28/13.26/13.26</t>
  </si>
  <si>
    <t>2/2/1/1</t>
  </si>
  <si>
    <t>5-45</t>
  </si>
  <si>
    <t>1.5/1.2</t>
  </si>
  <si>
    <t>14-39</t>
  </si>
  <si>
    <t>NB (破晄撃)</t>
  </si>
  <si>
    <t>18-35</t>
  </si>
  <si>
    <t>地上, 持続</t>
  </si>
  <si>
    <t>36-68</t>
  </si>
  <si>
    <t>6.4</t>
  </si>
  <si>
    <t>空中, 持続</t>
  </si>
  <si>
    <t>リミット</t>
  </si>
  <si>
    <t>16-63</t>
  </si>
  <si>
    <t>全身無敵：10-17F
相殺なし。</t>
  </si>
  <si>
    <t>地上, 炸裂(連)</t>
  </si>
  <si>
    <t>1-27
(Rehit: 6)</t>
  </si>
  <si>
    <t>地上, 炸裂(〆)</t>
  </si>
  <si>
    <t>空中, 炸裂(連)</t>
  </si>
  <si>
    <t>空中, 炸裂(〆)</t>
  </si>
  <si>
    <t>横B (凶斬り)</t>
  </si>
  <si>
    <t>派生1 &gt; 2受付：16-29F
派生2 &gt; 3受付：14-29F
派生2は相殺なし。</t>
  </si>
  <si>
    <t>1/0.5</t>
  </si>
  <si>
    <t>派生2</t>
  </si>
  <si>
    <t>派生3, Hit 1</t>
  </si>
  <si>
    <t>派生3, Hit 2</t>
  </si>
  <si>
    <t>派生3, Hit 3</t>
  </si>
  <si>
    <t>全身無敵：6-11F
Hit 4をガードした場合、Hit 5をジャスガできるのは36-38F目解除のみ。
34, 35F目解除はジャスガ失敗。
相殺モーションなし。</t>
  </si>
  <si>
    <t>上B (クライムハザード)</t>
  </si>
  <si>
    <t>着地隙：20F (派生なし)
着地隙：26F (派生あり)
派生受付：20-26F
Hit 1, 2は相殺モーションなし。
派生と着地は相殺なし。
ガケつかまり(前後)：2-6F, 24F目以降
ガケつかまり(前)：23F目以降 (派生後)</t>
  </si>
  <si>
    <t>派生, 下降</t>
  </si>
  <si>
    <t>全身無敵：5-12F
着地隙：20F (派生なし)
着地隙：26F (派生あり)
派生受付：33-39F
Hit 1, 2は相殺モーションなし。
派生と着地は相殺なし。
ガケつかまり(前)：2F目以降
ガケつかまり(前後)：2-6F, 12F目以降
ガケつかまり(前)：23F目以降 (派生後)</t>
  </si>
  <si>
    <t>下B (リミットチャージ / 画竜点睛)</t>
  </si>
  <si>
    <t>リミットチャージ</t>
  </si>
  <si>
    <t>溜め開始：7F目
最大溜め：400F</t>
  </si>
  <si>
    <t>画竜点睛</t>
  </si>
  <si>
    <t>同じ相手には、異なる段階の判定が複数回ヒットしない (空中 → 空中, 持続や地上, 持続 → 地上, 風判定など)。
相殺モーションなし。</t>
  </si>
  <si>
    <t>地上, 風判定</t>
  </si>
  <si>
    <t>空中, 風判定</t>
  </si>
  <si>
    <t>打撃2</t>
  </si>
  <si>
    <t>17F目から10F硬直。</t>
  </si>
  <si>
    <t>2/2/2.5</t>
  </si>
  <si>
    <t>2.4/2.4/3</t>
  </si>
  <si>
    <t>11-30Fは弱3に移行可能。
8-9Fは百裂に移行可能。</t>
  </si>
  <si>
    <t>3, 7, 11, 15</t>
  </si>
  <si>
    <t>ガード硬直補正倍率：8倍
相殺なし。</t>
  </si>
  <si>
    <t>12, 14,
16, 18, 20</t>
  </si>
  <si>
    <t>9F/9F/9F/6F</t>
  </si>
  <si>
    <t>12-*
(Rehit: 5)</t>
  </si>
  <si>
    <t>ガード硬直補正倍率：1.6倍
溜め部分は相殺なし。
本体付随の飛び道具 (溜め以外)：
・相殺判定を持つすべての判定と相殺する。
・ガード時、攻撃側の硬直がガード側の硬直よりも長くなる。
溜め開始：9F目</t>
  </si>
  <si>
    <t>12/11/15.2</t>
  </si>
  <si>
    <t>14.4/13.2/18.24</t>
  </si>
  <si>
    <t>13F/13F/17F</t>
  </si>
  <si>
    <t>13/13/15/10</t>
  </si>
  <si>
    <t>15.6/15.6/18/12</t>
  </si>
  <si>
    <t>9F/9F/10F/7F</t>
  </si>
  <si>
    <t>11/9/14</t>
  </si>
  <si>
    <t>13.2/10.8/16.8</t>
  </si>
  <si>
    <t>8F/7F/10F</t>
  </si>
  <si>
    <t>7-12</t>
  </si>
  <si>
    <t>12-28
(Rehit: 2)</t>
  </si>
  <si>
    <t>12-40</t>
  </si>
  <si>
    <t>NB (竜穿射)</t>
  </si>
  <si>
    <t>弾, 溜め無し</t>
  </si>
  <si>
    <t>17-71</t>
  </si>
  <si>
    <t>4 ~ 9</t>
  </si>
  <si>
    <t>4.8 ~ 10.8</t>
  </si>
  <si>
    <t>最大溜め：30F (弾)
最大溜め：31F (噛み)
溜め開始：10F目 (弾)
溜め開始：9F目 (噛み, 発射後)
溜め中からの最速発生は8F(弾),  7F(噛み)
本体付随の飛び道具 (噛み)：
・相殺判定を持つすべての判定と相殺する。
・ガード時、攻撃側の硬直がガード側の硬直よりも長くなる。</t>
  </si>
  <si>
    <t>噛み, 溜め無し</t>
  </si>
  <si>
    <t>10 ~ 18</t>
  </si>
  <si>
    <t>12 ~ 21.6</t>
  </si>
  <si>
    <t>10F ~ 16F</t>
  </si>
  <si>
    <t>※</t>
  </si>
  <si>
    <t>弾, 最大溜め</t>
  </si>
  <si>
    <t>47-89</t>
  </si>
  <si>
    <t>122</t>
  </si>
  <si>
    <t>噛み, 最大溜め</t>
  </si>
  <si>
    <t>85-86</t>
  </si>
  <si>
    <t>横B (跳槍突)</t>
  </si>
  <si>
    <t>ホップ</t>
  </si>
  <si>
    <t>移行可能：5-69F
着地隙：15F</t>
  </si>
  <si>
    <t>ホップ突き刺し</t>
  </si>
  <si>
    <t>4
(+4)</t>
  </si>
  <si>
    <t>7/15</t>
  </si>
  <si>
    <t>8.4/18</t>
  </si>
  <si>
    <t>7F/14F</t>
  </si>
  <si>
    <t>着地隙：22F
本体付随の飛び道具：
・相殺判定を持つすべての判定と相殺する。
・ガード時、攻撃側の硬直がガード側の硬直よりも長くなる。</t>
  </si>
  <si>
    <t>突き刺し</t>
  </si>
  <si>
    <t>8/15</t>
  </si>
  <si>
    <t>9.6/18</t>
  </si>
  <si>
    <t>8F/14F</t>
  </si>
  <si>
    <t>地上ジャンプから出す場合3F待つ必要あり。
本体付随の飛び道具：
・相殺判定を持つすべての判定と相殺する。
・ガード時、攻撃側の硬直がガード側の硬直よりも長くなる。
着地隙：22F</t>
  </si>
  <si>
    <t>突き刺し後</t>
  </si>
  <si>
    <t>スティック倒しっぱなしでは26F目から移行。</t>
  </si>
  <si>
    <t>着地隙：31F
ガケつかまり(前)：14F目以降</t>
  </si>
  <si>
    <t>攻撃, 前, 持続</t>
  </si>
  <si>
    <t>攻撃, 後, 始</t>
  </si>
  <si>
    <t>着地隙：31F
ガケつかまり(前)：17F目以降
始とその後の判定は複数回ヒットしない。</t>
  </si>
  <si>
    <t>攻撃, 後, 持続</t>
  </si>
  <si>
    <t>全身無敵：2-7F</t>
  </si>
  <si>
    <t>その場解除</t>
  </si>
  <si>
    <t>最大突き刺し時間：119F
ガケつかまり(前)：2F目以降</t>
  </si>
  <si>
    <t>上B (翔竜翼)</t>
  </si>
  <si>
    <t>4.5/0</t>
  </si>
  <si>
    <t>5.4/0</t>
  </si>
  <si>
    <t>5F/0F</t>
  </si>
  <si>
    <t>全身無敵：7-17F
着地隙：30F
ガケつかまり(前)：24F目以降
ガケつかまり(前後)：32F目以降</t>
  </si>
  <si>
    <t>20-28
(Rehit: 2)</t>
  </si>
  <si>
    <t>下B (反竜穿)</t>
  </si>
  <si>
    <t>受付：7-26F</t>
  </si>
  <si>
    <t>全身無敵：6-7F
左足先無敵：8-26F (空中のみ)
カウンター受付：7-26F
カウンターダメージ倍率：1.2倍</t>
  </si>
  <si>
    <t>27-31</t>
  </si>
  <si>
    <t>全身無敵：1-51F
最低保障ダメージ：10%
本体付随の飛び道具：
・ガード時、攻撃側の硬直がガード側の硬直よりも長くなる。
相殺なし。</t>
  </si>
  <si>
    <t>10%部分は投げ中の相手にはヒットしない。</t>
  </si>
  <si>
    <t>6.5/12</t>
  </si>
  <si>
    <t>7.8/14.4</t>
  </si>
  <si>
    <t>12%部分は投げ中の相手にはヒットしない。</t>
  </si>
  <si>
    <t>15-26Fは弱2に移行可能。
バレットアーツ移行：13F目</t>
  </si>
  <si>
    <t>13-31Fは弱3に移行可能。
バレットアーツ移行：11F目</t>
  </si>
  <si>
    <t>17F目から百裂に移行可能。
バレットアーツ移行：10F目</t>
  </si>
  <si>
    <t>ガード硬直補正倍率：15倍
最小4ヒット、最大12ヒット。
相殺なし。</t>
  </si>
  <si>
    <t>百裂, 〆, Hit 1</t>
  </si>
  <si>
    <t>相殺なし。
バレットアーツ移行：15F目</t>
  </si>
  <si>
    <t>百裂, 〆, Hit 2</t>
  </si>
  <si>
    <t>バレットアーツ移行：28F目</t>
  </si>
  <si>
    <t>21-26</t>
  </si>
  <si>
    <t>横強1, 対地</t>
  </si>
  <si>
    <t>16-31Fは横強2に移行可能。
バレットアーツ移行：14F目</t>
  </si>
  <si>
    <t>横強1, 対空</t>
  </si>
  <si>
    <t>16-39Fは横強3に移行可能。
バレットアーツ移行：13F目</t>
  </si>
  <si>
    <t>バレットアーツ移行：16F目</t>
  </si>
  <si>
    <t>5/6</t>
  </si>
  <si>
    <t>6/7.2</t>
  </si>
  <si>
    <t>バレットアーツ移行：20F目</t>
  </si>
  <si>
    <t>10F/11F</t>
  </si>
  <si>
    <t>本体付随の飛び道具 (対地)：
・相殺判定を持つすべての判定と相殺する。
・ガード時、攻撃側の硬直がガード側の硬直よりも長くなる。
相殺モーションなし。
溜め開始：3F目
バレットアーツ移行：23F目</t>
  </si>
  <si>
    <t>本体付随の飛び道具 (対地)：
・相殺判定を持つすべての判定と相殺する。
・ガード時、攻撃側の硬直がガード側の硬直よりも長くなる。
相殺モーションなし。
溜め開始：7F目
バレットアーツ移行：25F目</t>
  </si>
  <si>
    <t>本体付随の飛び道具 (対地, Hit 2)：
・相殺判定を持つすべての判定と相殺する。
・ガード時、攻撃側の硬直がガード側の硬直よりも長くなる。
Hit 2のみ相殺モーションなし。
溜め開始：9F目
バレットアーツ移行：28F目</t>
  </si>
  <si>
    <t>派生1移行：26F目</t>
  </si>
  <si>
    <t>18-25</t>
  </si>
  <si>
    <t>26-36</t>
  </si>
  <si>
    <t>1-54</t>
  </si>
  <si>
    <t>派生3</t>
  </si>
  <si>
    <t>26-56</t>
  </si>
  <si>
    <t>1-64</t>
  </si>
  <si>
    <t>派生4</t>
  </si>
  <si>
    <t>26-66</t>
  </si>
  <si>
    <t>1-74</t>
  </si>
  <si>
    <t>空前1</t>
  </si>
  <si>
    <t>12
(18)</t>
  </si>
  <si>
    <t>13-36Fは空前2に移行可能。
バレットアーツ移行：11F目
着地隙カッコ内はバレットアーツ派生時。</t>
  </si>
  <si>
    <t>空前2</t>
  </si>
  <si>
    <t>3.3</t>
  </si>
  <si>
    <t>13-36Fは空前3に移行可能。
バレットアーツ移行：11F目
着地隙カッコ内はバレットアーツ派生時。</t>
  </si>
  <si>
    <t>空前3</t>
  </si>
  <si>
    <t>バレットアーツ移行：18F目
着地隙カッコ内はバレットアーツ派生時。</t>
  </si>
  <si>
    <t>13/10</t>
  </si>
  <si>
    <t>15.6/12</t>
  </si>
  <si>
    <t>13.26/10.2</t>
  </si>
  <si>
    <t>10
(16)</t>
  </si>
  <si>
    <t>バレットアーツ移行：15F目
着地隙カッコ内はバレットアーツ派生時。</t>
  </si>
  <si>
    <t>派生1移行：20F目</t>
  </si>
  <si>
    <t>21-32</t>
  </si>
  <si>
    <t>21-43</t>
  </si>
  <si>
    <t>21-54</t>
  </si>
  <si>
    <t>3-59</t>
  </si>
  <si>
    <t>21-65</t>
  </si>
  <si>
    <t>3-70</t>
  </si>
  <si>
    <t>7/8/9</t>
  </si>
  <si>
    <t>8.4/9.6/10.8</t>
  </si>
  <si>
    <t>7.14/8.16/9.18</t>
  </si>
  <si>
    <t>17-49</t>
  </si>
  <si>
    <t>バレットアーツ移行：着地8F目</t>
  </si>
  <si>
    <t>25-35</t>
  </si>
  <si>
    <t>NB (バレットクライマックス)</t>
  </si>
  <si>
    <t>非最大溜め,
Hit 1-4</t>
  </si>
  <si>
    <t>17-26, 22-31, 
32-41, 37-46</t>
  </si>
  <si>
    <t>1.35</t>
  </si>
  <si>
    <t>最大溜め：40F
最大保持：95F
溜め開始：16F目
溜め中からの最速発生は2F。</t>
  </si>
  <si>
    <t>2.7</t>
  </si>
  <si>
    <t>2-11, 7-16, 
17-26, 22-31</t>
  </si>
  <si>
    <t>横B (ヒールスライド / アフターバーナーキック)</t>
  </si>
  <si>
    <t>派生なし1</t>
  </si>
  <si>
    <t>48 ~ 66</t>
  </si>
  <si>
    <t>壁激突移行：19-39F
バレットアーツ移行：25F目
派生移行：32F目
バレットアーツ部分以外がガードされると派生中断。
派生無しの全体フレームは、
「ガード／ヒットしたフレーム + 33」と
「66」のうち、小さい方。
派生, 蹴り以外は相殺なし。</t>
  </si>
  <si>
    <t>派生なし2</t>
  </si>
  <si>
    <t>派生なし3</t>
  </si>
  <si>
    <t>派生なし4</t>
  </si>
  <si>
    <t>25-39</t>
  </si>
  <si>
    <t>25-34</t>
  </si>
  <si>
    <t>派生5</t>
  </si>
  <si>
    <t>35-42</t>
  </si>
  <si>
    <t>派生, 蹴り</t>
  </si>
  <si>
    <t>51-55</t>
  </si>
  <si>
    <t>上昇1</t>
  </si>
  <si>
    <t>相殺なし。
6F目までに下入力で下降へ移行。
壁激突移行：7-19F
ガケつかまり(前)：21F目以降</t>
  </si>
  <si>
    <t>上昇2</t>
  </si>
  <si>
    <t>上昇3</t>
  </si>
  <si>
    <t>上昇4</t>
  </si>
  <si>
    <t>下降</t>
  </si>
  <si>
    <t>8-24</t>
  </si>
  <si>
    <t>着地移行：1-25F
壁激突移行：8-24F
下降, 着地は対地のみ。
相殺なし。
ガケつかまり(前)：26F目以降</t>
  </si>
  <si>
    <t>下降, 着地</t>
  </si>
  <si>
    <t>上B (ウィッチツイスト)</t>
  </si>
  <si>
    <t>31
(44)</t>
  </si>
  <si>
    <t>始のみ相殺なし。
カッコ内はバレットアーツに派生した場合。
ガケつかまり(前)：27F目以降
ガケつかまり(前後)：33F目以降</t>
  </si>
  <si>
    <t>中間1</t>
  </si>
  <si>
    <t>11-14
(Rehit: 3)</t>
  </si>
  <si>
    <t>中間2</t>
  </si>
  <si>
    <t>15-19
(Rehit: 3)</t>
  </si>
  <si>
    <t>中間3</t>
  </si>
  <si>
    <t>20-25
(Rehit: 3)</t>
  </si>
  <si>
    <t>〆, 1回目</t>
  </si>
  <si>
    <t>〆, 2回目</t>
  </si>
  <si>
    <t>下B (ウィッチタイム)</t>
  </si>
  <si>
    <t>受付：8-27F</t>
  </si>
  <si>
    <t>ウィッチタイム受付：8-27F
全身無敵：8-23F
バットウィズイン：24-35F</t>
  </si>
  <si>
    <t>全身無敵：1-61F</t>
  </si>
  <si>
    <t>1, 4</t>
  </si>
  <si>
    <t>0.6, 0.7</t>
  </si>
  <si>
    <t>0.72, 0.84</t>
  </si>
  <si>
    <t>バットウィズイン</t>
  </si>
  <si>
    <t>バレットアーツ</t>
  </si>
  <si>
    <t>射撃移行</t>
  </si>
  <si>
    <t>判定持続(最短)</t>
  </si>
  <si>
    <t>全体(最短)</t>
  </si>
  <si>
    <t>判定持続(最長)</t>
  </si>
  <si>
    <t>全体(最長)</t>
  </si>
  <si>
    <t>13, 20, 27, 34, 41, 48, 55, 62, 69, 76</t>
  </si>
  <si>
    <t>105</t>
  </si>
  <si>
    <t>11, 18, 25, 32, 39, 46, 53, 60, 67, 74</t>
  </si>
  <si>
    <t>弱3, 前方</t>
  </si>
  <si>
    <t>10, 17, 24, 31, 38, 45, 52, 59, 66, 73</t>
  </si>
  <si>
    <t>弱3, 後方上</t>
  </si>
  <si>
    <t>15, 22, 29, 36, 43, 50, 57, 64, 71, 78</t>
  </si>
  <si>
    <t>28, 35, 42, 49, 56, 63, 70, 77, 84, 91</t>
  </si>
  <si>
    <t>14, 21, 28, 35, 42, 49, 56, 63, 70, 77</t>
  </si>
  <si>
    <t>16, 23, 30, 37, 44, 51, 58, 65, 72, 79</t>
  </si>
  <si>
    <t>前方1 + 後方</t>
  </si>
  <si>
    <t>20, 27, 34, 41, 48, 55, 62, 69, 76, 83</t>
  </si>
  <si>
    <t>23, 30, 37, 44, 51, 58, 65, 72, 79, 86</t>
  </si>
  <si>
    <t>上方</t>
  </si>
  <si>
    <t>25, 32, 39, 46, 53, 60, 67, 74, 81, 88</t>
  </si>
  <si>
    <t>上方1</t>
  </si>
  <si>
    <t>上方2</t>
  </si>
  <si>
    <t>31, 38, 45, 52, 59, 66, 73, 80, 87, 94</t>
  </si>
  <si>
    <t>26, 31</t>
  </si>
  <si>
    <t>26, 31, 36, 41</t>
  </si>
  <si>
    <t>26, 31, 36,
41, 46, 51</t>
  </si>
  <si>
    <t>26, 31, 36, 41, 46, 51</t>
  </si>
  <si>
    <t>26, 31, 36, 41,
46, 51, 56, 61</t>
  </si>
  <si>
    <t>26, 31, 36, 41, 46, 51, 56, 61</t>
  </si>
  <si>
    <t>11, 18, 25, 32, 39, 46, 53, 60, 67 ,74</t>
  </si>
  <si>
    <t>空前3,
下方1 + 下方2</t>
  </si>
  <si>
    <t>18, 25, 32, 39, 46, 53, 60, 67, 74, 81</t>
  </si>
  <si>
    <t>空前3,
上方 + 下方3</t>
  </si>
  <si>
    <t>21, 28, 35, 42, 49, 56, 63, 70, 77, 84</t>
  </si>
  <si>
    <t>派生1,
下方1 + 後方下</t>
  </si>
  <si>
    <t>20, 27</t>
  </si>
  <si>
    <t>派生1,
下方2 + 前方下</t>
  </si>
  <si>
    <t>派生2,
下方1 + 後方下</t>
  </si>
  <si>
    <t>20, 27, 34</t>
  </si>
  <si>
    <t>派生2,
下方2 + 前方下</t>
  </si>
  <si>
    <t>23, 30</t>
  </si>
  <si>
    <t>23, 30, 37</t>
  </si>
  <si>
    <t>派生3,
下方1 + 後方下</t>
  </si>
  <si>
    <t>20, 27, 34, 41</t>
  </si>
  <si>
    <t>20, 27, 34, 41, 48</t>
  </si>
  <si>
    <t>派生3,
下方2 + 前方下</t>
  </si>
  <si>
    <t>23, 30, 37, 44, 51</t>
  </si>
  <si>
    <t>派生4,
下方1 + 後方下</t>
  </si>
  <si>
    <t>20, 27,
34, 41, 48</t>
  </si>
  <si>
    <t>20, 27, 34, 41, 48, 55, 62</t>
  </si>
  <si>
    <t>派生4,
下方2 + 前方下</t>
  </si>
  <si>
    <t>23, 30,
37, 44, 51</t>
  </si>
  <si>
    <t>23, 30, 37, 44, 51, 58, 65</t>
  </si>
  <si>
    <t>8, 15, 22, 29, 36, 43, 50, 57, 64, 71</t>
  </si>
  <si>
    <t>横B</t>
  </si>
  <si>
    <t>25, 33, 40</t>
  </si>
  <si>
    <t>空中, 上昇, 
前方上</t>
  </si>
  <si>
    <t>18, 25, 32, 39, 46</t>
  </si>
  <si>
    <t>空中, 上昇, 
前方下</t>
  </si>
  <si>
    <t>21, 28, 35, 42, 49</t>
  </si>
  <si>
    <t>上B</t>
  </si>
  <si>
    <t>11, 18, 25</t>
  </si>
  <si>
    <t>11-30Fは弱3に移行可能。
8-10Fは百裂に移行可能。</t>
  </si>
  <si>
    <t>ガード硬直補正倍率：6倍
最小8ヒット。
ペイント量：1ヒットごとに10
インク消費：3Fごとに2
相殺なし。</t>
  </si>
  <si>
    <t>ペイント量：10
インク消費：0
相殺なし。</t>
  </si>
  <si>
    <t>溜め開始：6F目
ペイント量：100/120
インク消費：10</t>
  </si>
  <si>
    <t>インク切れ</t>
  </si>
  <si>
    <t>溜め開始：4F目
ペイント量：120 (Hit 2)
インク消費：30</t>
  </si>
  <si>
    <t>10/6</t>
  </si>
  <si>
    <t>12/7.2</t>
  </si>
  <si>
    <t>7F/5F</t>
  </si>
  <si>
    <t>溜め開始：3F目
ペイント量：
150 (Hit 1)
120 (Hit 1, 持続)
130 (Hit 2)
100 (Hit 2, 持続)
インク消費：20</t>
  </si>
  <si>
    <t>インク補給</t>
  </si>
  <si>
    <t>補給：3-14F</t>
  </si>
  <si>
    <t>以下の行動から派生。
・シールド中に必殺ワザボタン
・インク切れ時に通常 or 下必殺ワザ
インク補給量：1F毎に1.5
最大補給時間：180F (全体211F)</t>
  </si>
  <si>
    <t>2-26</t>
  </si>
  <si>
    <t>12-21</t>
  </si>
  <si>
    <t>10/7.5</t>
  </si>
  <si>
    <t>10.2/7.65</t>
  </si>
  <si>
    <t>7-29</t>
  </si>
  <si>
    <t>NB (スプラシューター)</t>
  </si>
  <si>
    <t>12,  16-20, 
20-28, 24-36</t>
  </si>
  <si>
    <t>ペイント量：1発ごとに12
インク消費：1発ごとに1.5
相殺なし。</t>
  </si>
  <si>
    <t>横B (スプラローラー)</t>
  </si>
  <si>
    <t>歩行</t>
  </si>
  <si>
    <t>16-*
(Rehit: 40)</t>
  </si>
  <si>
    <t>キャンセル：31F目以降
本体付随の飛び道具：
・相殺判定を持つすべての判定と相殺する（対地のみ）。
・ガード時、攻撃側の硬直がガード側の硬直よりも長くなる。
インク切れ後は一定速度に達するまで(?)、しばらく判定が続く。
ペイント量：
60 (歩行)
100 (走行)
120 (ダッシュ)
インク消費：4Fごとに3
相殺なし（対空のみ）。
相殺モーションなし。</t>
  </si>
  <si>
    <t>走行（埋め）</t>
  </si>
  <si>
    <t>走行</t>
  </si>
  <si>
    <t>35 (+30)</t>
  </si>
  <si>
    <t>17 (+30)</t>
  </si>
  <si>
    <t>上B (スーパージャンプ)</t>
  </si>
  <si>
    <t>着地隙：40F
すべて飛び道具判定。
インク切れ時でも使用可能。
ペイント量：50 (本当て), 40 (持続)
インク消費：0
ガケつかまり(前後)：13F目以降</t>
  </si>
  <si>
    <t>始, 持続</t>
  </si>
  <si>
    <t>着地, 持続</t>
  </si>
  <si>
    <t>下B (スプラッシュボム)</t>
  </si>
  <si>
    <t xml:space="preserve">溜めなし：ボタン1-3F
溜め1：ボタン6-14F（4, 5Fは全体フレーム不変）
溜め2：ボタン15-22F
溜め3：ボタン23-27F（26 ,27Fは攻撃F不変）
最大溜め：ボタン28F-
最大ダメージ15%。
溜め2からモーション変化。
溜めなし, 溜め1は投げてから90F目に自動爆発。
溜め2, 3, 最大は投げてから120F目に自動爆発。
ペイント量：110 ~ 170 (速度依存)
インク消費：30
</t>
  </si>
  <si>
    <t>47+</t>
  </si>
  <si>
    <t>28+</t>
  </si>
  <si>
    <t>51+</t>
  </si>
  <si>
    <t>36+(≦39)-</t>
  </si>
  <si>
    <t>59+</t>
  </si>
  <si>
    <t>39-</t>
  </si>
  <si>
    <t>9 ~ 15</t>
  </si>
  <si>
    <t>10.8 ~ 18</t>
  </si>
  <si>
    <t>4F ~ 5F</t>
  </si>
  <si>
    <t>19, 38-</t>
  </si>
  <si>
    <t>53+</t>
  </si>
  <si>
    <t>36+(&lt;40)-</t>
  </si>
  <si>
    <t>61+</t>
  </si>
  <si>
    <t>インク切れ時は打撃部なし。
ペイント量：80
インク消費：10</t>
  </si>
  <si>
    <t>13F目から7F硬直。</t>
  </si>
  <si>
    <t xml:space="preserve"> </t>
  </si>
  <si>
    <t>7-30Fは弱2に移行可能。
ボタン押しっぱなしでは17F目に移行。</t>
  </si>
  <si>
    <t>30/25</t>
  </si>
  <si>
    <t>11-30Fは弱3に移行可能。
ボタン押しっぱなしでは19F目に移行。
9-10Fは百裂に移行可能。</t>
  </si>
  <si>
    <t>3, 6, 9,
12, 15, 18</t>
  </si>
  <si>
    <t>ガード硬直補正倍率：5倍
最低6ヒット。</t>
  </si>
  <si>
    <t>10/10/13</t>
  </si>
  <si>
    <t>12/12/15.6</t>
  </si>
  <si>
    <t>10F/10F/12F</t>
  </si>
  <si>
    <t>50/55</t>
  </si>
  <si>
    <t>1/1.3</t>
  </si>
  <si>
    <t>7/9/7/7</t>
  </si>
  <si>
    <t>8.4/10.8/8.4/8.4</t>
  </si>
  <si>
    <t>7F/9F/7F/7F</t>
  </si>
  <si>
    <t>頭・右腕無敵：8-9F
右翼無敵：8-12F</t>
  </si>
  <si>
    <t>130/110/130/130</t>
  </si>
  <si>
    <t>6/9</t>
  </si>
  <si>
    <t>7.2/10.8</t>
  </si>
  <si>
    <t>6F/9F</t>
  </si>
  <si>
    <t>78/80</t>
  </si>
  <si>
    <t>溜め開始：6F目
相殺なし。</t>
  </si>
  <si>
    <t>右足先無敵：12-17F
溜め開始：7F目</t>
  </si>
  <si>
    <t>9/12/9</t>
  </si>
  <si>
    <t>10.8/14.4/10.8</t>
  </si>
  <si>
    <t>9.18/12.24/9.18</t>
  </si>
  <si>
    <t>3-27</t>
  </si>
  <si>
    <t>1/1.2/1</t>
  </si>
  <si>
    <t>5/8/5</t>
  </si>
  <si>
    <t>6/9.6/6</t>
  </si>
  <si>
    <t>5.1/8.16/5.1</t>
  </si>
  <si>
    <t>3F/4F/3F</t>
  </si>
  <si>
    <t>5.1/3.06/3.06</t>
  </si>
  <si>
    <t>35/40/45/55</t>
  </si>
  <si>
    <t>35/40/40</t>
  </si>
  <si>
    <t>7.14/5.1/5.1</t>
  </si>
  <si>
    <t>87/90/90</t>
  </si>
  <si>
    <t>1.2/1</t>
  </si>
  <si>
    <t>1-37</t>
  </si>
  <si>
    <t>14.28/12.24</t>
  </si>
  <si>
    <t>86/90</t>
  </si>
  <si>
    <t>62/64</t>
  </si>
  <si>
    <t>1/1.4</t>
  </si>
  <si>
    <t>11-40</t>
  </si>
  <si>
    <t>NB (リドリーブレス)</t>
  </si>
  <si>
    <t>最大溜め：27F
溜め開始：16F目
溜め中からの最速発生は14F。
弾数増加は溜め7F, 13F, 20F, 26F。
最大溜めは27Fだが、計算に使われるのは26。
ダメージ = 4.5 * (1 + 0.25 * (溜めF) / 26)
頭部のダメージを受けると、溜めフレーム数によって8 ~ 20%のダメージを受ける。相手の攻撃判定のダメージやふっとばしは無視。</t>
  </si>
  <si>
    <t>溜めなし, 持続</t>
  </si>
  <si>
    <t>59-78</t>
  </si>
  <si>
    <t>56-85, 64-93, 
72-101, 80-109,
88-117</t>
  </si>
  <si>
    <t>5.6682692</t>
  </si>
  <si>
    <t>86-105,
94-113, 
102-121,
110-129, 
118-137</t>
  </si>
  <si>
    <t>4.4086542</t>
  </si>
  <si>
    <t>頭やられ</t>
  </si>
  <si>
    <t>横B (グラビングスクラッチ)</t>
  </si>
  <si>
    <t>22-34</t>
  </si>
  <si>
    <t>ヘビーアーマー：9.0%（引き摺り, 22F～）
被ダメージ倍率：0.75倍（アーマー時）
引き摺り, 始は相殺モーションなし。
引き摺り, 連は相殺なし。
壁リリースは4F目から12F硬直。
ガケつかまり(前)：29F目以降</t>
  </si>
  <si>
    <t>引き摺り, 始</t>
  </si>
  <si>
    <t>引き摺り, 連</t>
  </si>
  <si>
    <t>17-*
(Rehit: 4)</t>
  </si>
  <si>
    <t>ガケ端リリース</t>
  </si>
  <si>
    <t>壁リリース</t>
  </si>
  <si>
    <t>つかみ解除</t>
  </si>
  <si>
    <t>上B (リドリーチャージ)</t>
  </si>
  <si>
    <t>前</t>
  </si>
  <si>
    <t>両翼無敵：39-58F (前)
両翼無敵：39-58F (後)
両翼無敵：37-60F (上)
着地隙：32F (尻もち)
相殺モーションなし。
ガケつかまり(前後)：40F目以降 (前)
ガケつかまり(前後)：40F目以降 (後)
ガケつかまり(前後)：38F目以降 (上)
ガケつかまり(前後)：41F目以降 (下)
ガケつかまり(前)：35F目以降 (前, 激突)
ガケつかまり(前後)：31F目以降 (後, 激突)</t>
  </si>
  <si>
    <t>前, 着地</t>
  </si>
  <si>
    <t>後</t>
  </si>
  <si>
    <t>上</t>
  </si>
  <si>
    <t>37-60</t>
  </si>
  <si>
    <t>下</t>
  </si>
  <si>
    <t>40-62</t>
  </si>
  <si>
    <t>295/44</t>
  </si>
  <si>
    <t>75/50</t>
  </si>
  <si>
    <t>50/85</t>
  </si>
  <si>
    <t>1/0.8</t>
  </si>
  <si>
    <t>下, 着地</t>
  </si>
  <si>
    <t>下B (デススタッブ)</t>
  </si>
  <si>
    <t>スタブのズームイン中は当たりあり無敵。
ガード硬直補正倍率：0.2倍 (40%部のみ)
40%部は倒れ中の相手にヒットしない。
相殺モーションなし。</t>
  </si>
  <si>
    <t>スタブ, Hit 1</t>
  </si>
  <si>
    <t>125</t>
  </si>
  <si>
    <t>スタブ, Hit 2</t>
  </si>
  <si>
    <t>18F目から4F硬直。</t>
  </si>
  <si>
    <t>11-30Fは弱2に移行可能。
ボタン押しっぱなしでは9F目に鞭ホールドへ移行。</t>
  </si>
  <si>
    <t>5-10Fは百裂に移行可能。</t>
  </si>
  <si>
    <t>3, 6, 9, 12, 
15, 18</t>
  </si>
  <si>
    <t>ガード硬直補正倍率：5倍
最小6ヒット。</t>
  </si>
  <si>
    <t>鞭ホールド</t>
  </si>
  <si>
    <t>(Rehit: 13)</t>
  </si>
  <si>
    <t>2/1.5/1</t>
  </si>
  <si>
    <t>2.4/1.8/1.2</t>
  </si>
  <si>
    <t>弱1もしくは横強から派生可能。
相殺モーションなし。</t>
  </si>
  <si>
    <t>10-11, 13-14, 
16-17, 19-20
22-23</t>
  </si>
  <si>
    <t>12/10/2</t>
  </si>
  <si>
    <t>14.4/12/2.4</t>
  </si>
  <si>
    <t>11F/10F/3F</t>
  </si>
  <si>
    <t>相殺モーションなし。
ボタン押しっぱなしでは25F目に鞭ホールドへ移行。</t>
  </si>
  <si>
    <t>10-22</t>
  </si>
  <si>
    <t>10/2</t>
  </si>
  <si>
    <t>12/2.4</t>
  </si>
  <si>
    <t>10F/3F</t>
  </si>
  <si>
    <t>下強1</t>
  </si>
  <si>
    <t>3-27Fは下強2に移行可能。</t>
  </si>
  <si>
    <t>下強2</t>
  </si>
  <si>
    <t>43
(57)</t>
  </si>
  <si>
    <t>着地隙：25F
ぬるり判定消去：6-28F
相殺なし。
カッコ内は平坦な地形での数値。</t>
  </si>
  <si>
    <t>下強2, 持続</t>
  </si>
  <si>
    <t>20-28</t>
  </si>
  <si>
    <t>18/16/14</t>
  </si>
  <si>
    <t>21.6/19.2/16.8</t>
  </si>
  <si>
    <t>溜め開始：6F目
相殺モーションなし。</t>
  </si>
  <si>
    <t>溜め開始：3F目
相殺モーションなし。</t>
  </si>
  <si>
    <t>16/14/12</t>
  </si>
  <si>
    <t>19.2/16.8/14.4</t>
  </si>
  <si>
    <t>8-9, 11-12, 
14-15, 17-18, 
20-21, 23-24</t>
  </si>
  <si>
    <t>連部分は重量100としてふっとびを計算。</t>
  </si>
  <si>
    <t>5F/4F/2F</t>
  </si>
  <si>
    <t>ワイヤーガケつかまり：13-14F</t>
  </si>
  <si>
    <t>12-27</t>
  </si>
  <si>
    <t>4-46</t>
  </si>
  <si>
    <t>15-36</t>
  </si>
  <si>
    <t>NB (斧)</t>
  </si>
  <si>
    <t>30-97</t>
  </si>
  <si>
    <t xml:space="preserve">ガード硬直補正倍率：1.1倍              </t>
  </si>
  <si>
    <t>横B (クロス)</t>
  </si>
  <si>
    <t>通常, 行き</t>
  </si>
  <si>
    <t>行きと戻りで最大2 Hit。</t>
  </si>
  <si>
    <t>通常, 戻り</t>
  </si>
  <si>
    <t>65-179</t>
  </si>
  <si>
    <t>弾き, 行き</t>
  </si>
  <si>
    <t>19-74</t>
  </si>
  <si>
    <t>弾き, 戻り</t>
  </si>
  <si>
    <t>75-184</t>
  </si>
  <si>
    <t>上B (アッパー)</t>
  </si>
  <si>
    <t>全身無敵：5-6F
着地隙：26F
始部分は相殺モーションなし。
連・〆部分は相殺なし。
ガケつかまり(前後)：2-7F
ガケつかまり(前)：10F目以降</t>
  </si>
  <si>
    <t>9-20
(Rehit: 3)</t>
  </si>
  <si>
    <t>下B (聖水)</t>
  </si>
  <si>
    <t>ビン</t>
  </si>
  <si>
    <t>発生：18F</t>
  </si>
  <si>
    <t>平坦な地形で地上から出すと、32Fから炎の攻撃判定発生。
炎は相殺なし。</t>
  </si>
  <si>
    <t>1-5
(Rehit: 3)</t>
  </si>
  <si>
    <t>炎, 持続</t>
  </si>
  <si>
    <t>6-55
(Rehit: 8)</t>
  </si>
  <si>
    <t>23F目から10F硬直。</t>
  </si>
  <si>
    <t>66'</t>
  </si>
  <si>
    <t>361/361/361/180</t>
  </si>
  <si>
    <t>20/20/15/20</t>
  </si>
  <si>
    <t>25/25/15</t>
  </si>
  <si>
    <t>30/30/20</t>
  </si>
  <si>
    <t>10/367
40/367</t>
  </si>
  <si>
    <t>55/70
50/70</t>
  </si>
  <si>
    <t>75/100</t>
  </si>
  <si>
    <t>65/55</t>
  </si>
  <si>
    <t>74/80/80</t>
  </si>
  <si>
    <t>88/82</t>
  </si>
  <si>
    <t>61/60</t>
  </si>
  <si>
    <t>367/367/93/88
367/367/93/88</t>
  </si>
  <si>
    <t>55/55/55/55
45/45/65/65</t>
  </si>
  <si>
    <t>12.24/10.2/2.04</t>
  </si>
  <si>
    <t>2+?</t>
  </si>
  <si>
    <t/>
  </si>
  <si>
    <t>24
(15)</t>
  </si>
  <si>
    <t>7-30Fは弱2に移行可能。
空振り時にボタン長押しで16F目から弱1でキャンセル可能。</t>
  </si>
  <si>
    <t>9-31Fは弱3に移行可能。</t>
  </si>
  <si>
    <t>腹部アーマー：7-28F
ガード硬直補正倍率：1.15倍 (本当てのみ)
相殺なし。</t>
  </si>
  <si>
    <t>腹部アーマー：5-11F</t>
  </si>
  <si>
    <t>左腕無敵：4-9F</t>
  </si>
  <si>
    <t>7.4/8.9</t>
  </si>
  <si>
    <t>8.88/10.68</t>
  </si>
  <si>
    <t>7F/9F</t>
  </si>
  <si>
    <t>Hit 1, 対空のみ</t>
  </si>
  <si>
    <t>対地の8%部分は埋め属性。</t>
  </si>
  <si>
    <t>Hit 2, 対地のみ</t>
  </si>
  <si>
    <t>8/7</t>
  </si>
  <si>
    <t>9.6/8.4</t>
  </si>
  <si>
    <t>Hit 2, 対空のみ</t>
  </si>
  <si>
    <t>19.95/17.325</t>
  </si>
  <si>
    <t>23.94/20.79</t>
  </si>
  <si>
    <t>19/16.5</t>
  </si>
  <si>
    <t>22.8/19.8</t>
  </si>
  <si>
    <t>19.57/16.995</t>
  </si>
  <si>
    <t>23.484/20.394</t>
  </si>
  <si>
    <t>頭無敵：6-11F
腹部アーマー：6-21F
溜め開始：3F目</t>
  </si>
  <si>
    <t>腹部アーマー：8-21F
溜め開始：2F目</t>
  </si>
  <si>
    <t>横アピール</t>
  </si>
  <si>
    <t>腹部アーマー：9-20F</t>
  </si>
  <si>
    <t>腹部アーマー：6-30F
相殺なし。</t>
  </si>
  <si>
    <t>9-30</t>
  </si>
  <si>
    <t>本当て1</t>
  </si>
  <si>
    <t>15.5/13.5</t>
  </si>
  <si>
    <t>18.6/16.2</t>
  </si>
  <si>
    <t>15.81/13.77</t>
  </si>
  <si>
    <t>本当て2</t>
  </si>
  <si>
    <t>8.16/10.2</t>
  </si>
  <si>
    <t>14.5/19</t>
  </si>
  <si>
    <t>17.4/22.8</t>
  </si>
  <si>
    <t>14.79/19.38</t>
  </si>
  <si>
    <t>5F/7F</t>
  </si>
  <si>
    <t>3-69</t>
  </si>
  <si>
    <t>腹部アーマー：7-20F
頭無敵：7-13F</t>
  </si>
  <si>
    <t>腹部アーマー：14-25F</t>
  </si>
  <si>
    <t>NB (パイレーツキャノン)</t>
  </si>
  <si>
    <t>派生なし, 弾</t>
  </si>
  <si>
    <t>25-145</t>
  </si>
  <si>
    <t>弾を発射した場合は50F目からボタンホールドで吸い込みに派生。
弾が存在する場合は30F目からボタンホールドで吸い込みに派生。
最小吸い込み時間：30F
最大吸い込み時間：120F (1.2.1以前は300F)
吸い込み中の弾やファイターにも9%の攻撃判定あり。
吸い込まれているファイターは全身無敵。
発射されたファイターには18%の攻撃判定あり。
発射されたファイターは全身無敵。
1-34F (発射, 前)
1-35F (発射, 上)
1-33F (発射, 後)</t>
  </si>
  <si>
    <t>吸い込み, 風</t>
  </si>
  <si>
    <t>7-36
(Rehit: 3)</t>
  </si>
  <si>
    <t>吸い込み</t>
  </si>
  <si>
    <t>7-36</t>
  </si>
  <si>
    <t>吸い込み, 解除</t>
  </si>
  <si>
    <t>再発射, 前,
弾</t>
  </si>
  <si>
    <t>再発射, 前,
ファイター</t>
  </si>
  <si>
    <t>再発射, 上,
弾</t>
  </si>
  <si>
    <t>再発射, 上,
ファイター</t>
  </si>
  <si>
    <t>再発射, 後,
弾</t>
  </si>
  <si>
    <t>再発射, 後,
ファイター</t>
  </si>
  <si>
    <t>横B (クラウンスロー)</t>
  </si>
  <si>
    <t>18-23
(Rehit: 2)</t>
  </si>
  <si>
    <t>ヘビーアーマー(12.0%)：6-63F</t>
  </si>
  <si>
    <t>王冠, 行き</t>
  </si>
  <si>
    <t>27-64
(Rehit: 44)</t>
  </si>
  <si>
    <t>王冠, 戻り</t>
  </si>
  <si>
    <t>65-*
(Rehit: 44)</t>
  </si>
  <si>
    <t>上B (フライングバックパック)</t>
  </si>
  <si>
    <t>11-108
(Rehit: 15)</t>
  </si>
  <si>
    <t>着地隙：30F
判定部は飛び道具。相手にのみHSがかかる。
相殺なし。
ガケつかまり(前後)：12F目以降</t>
  </si>
  <si>
    <t>下B (ボディカウンター)</t>
  </si>
  <si>
    <t>受付：5-28F</t>
  </si>
  <si>
    <t>カウンター・反射受付：5-28F
全身無敵：4-15F</t>
  </si>
  <si>
    <t>12+/8.4+</t>
  </si>
  <si>
    <t>14+/10.08+</t>
  </si>
  <si>
    <t>11F+/8F+</t>
  </si>
  <si>
    <t>カウンター倍率：1.5倍
全身無敵：1-7F (当たりあり, 通常)
全身無敵：1-14F (当たりあり, 反転)
最低保障ダメージ：12%/8.4%
成立時25F硬直。
相殺なし。</t>
  </si>
  <si>
    <t>カウンター,
反転</t>
  </si>
  <si>
    <t>反射後の飛び道具と同じダメージと、0.7倍ダメージの攻撃判定を生成。
全身無敵：1-7F (当たりあり, 通常)
全身無敵：1-14F (当たりあり, 反転)
反射ダメージ倍率：1.5倍
反射速度倍率：2.0倍
飛び道具持続倍率：1.0倍</t>
  </si>
  <si>
    <t>反射, 反転</t>
  </si>
  <si>
    <t>47F目から20F硬直。</t>
  </si>
  <si>
    <t>埋め属性。
埋め時間 = 60 + 0.75 * (ヒット前のダメージ)</t>
  </si>
  <si>
    <t>19
(12)</t>
  </si>
  <si>
    <t>空振り時にボタン長押しで13F目から弱1でキャンセル可能。</t>
  </si>
  <si>
    <t>飛び道具判定。
地面衝突後は攻撃判定なし。
カッコ内は平坦な地形での数値。</t>
  </si>
  <si>
    <t>13-66
(13-19)</t>
  </si>
  <si>
    <t>13/8</t>
  </si>
  <si>
    <t>15.6/9.6</t>
  </si>
  <si>
    <t>12F/8F</t>
  </si>
  <si>
    <t>本当て根本以外は相殺なし。
溜め開始：6F目</t>
  </si>
  <si>
    <t>Hit 1は相殺なし。
飛び道具判定。
溜め開始：7F目</t>
  </si>
  <si>
    <t>8-25</t>
  </si>
  <si>
    <t>蕪2のみ。</t>
  </si>
  <si>
    <t>8-31</t>
  </si>
  <si>
    <t>13-28</t>
  </si>
  <si>
    <t>NB (しまう / とり出す)</t>
  </si>
  <si>
    <t>横B (つりざお)</t>
  </si>
  <si>
    <t>ワイヤーガケつかまり：18-19F
240F目に自動でリール戻しに移行。
投げのダメージは速度依存。最大で10%増加。
特殊つかみ判定はガード可能。硬直はなし。
ファイター引き寄せ前に12F硬直。
アイテム引き寄せ前に6F硬直。</t>
  </si>
  <si>
    <t>引き寄せ</t>
  </si>
  <si>
    <t>リール戻し</t>
  </si>
  <si>
    <t>投げ, 前</t>
  </si>
  <si>
    <t>投げ, 後</t>
  </si>
  <si>
    <t>投げ, 上</t>
  </si>
  <si>
    <t>投げ, 下, 打撃</t>
  </si>
  <si>
    <t>投げ, 下, 投げ</t>
  </si>
  <si>
    <t>8.5+</t>
  </si>
  <si>
    <t>10.2+</t>
  </si>
  <si>
    <t>つかみ外し</t>
  </si>
  <si>
    <t>取得：10F</t>
  </si>
  <si>
    <t>最大飛行時間：360F
12F毎に上昇可。1上昇につき飛行時間20F減少。
飛行時間は1Fごとに0.6Fずつ回復。
風船のHP：4%
(風船が個別であるのに対してHPは共通、風船が2つある際は2% * 2で割れることがある。)
着地隙：20F (風船)
着地隙：30F (尻もち)
ガケつかまり(前後)：7F目以降</t>
  </si>
  <si>
    <t>下B (しかけハニワくん)</t>
  </si>
  <si>
    <t>埋め</t>
  </si>
  <si>
    <t>生成：30F</t>
  </si>
  <si>
    <t>タネHP：8% (SJ補正がかからない)
ハニワHP：12%
タネが破壊されると爆発。
埋められたハニワは598F経過で消滅。
打ち上げ時はハニワ生成1F。
相殺なし。</t>
  </si>
  <si>
    <t>打ち上げ</t>
  </si>
  <si>
    <t>9-21
(Rehit: 8)</t>
  </si>
  <si>
    <t>22-50
(Rehit: 9)</t>
  </si>
  <si>
    <t>8-24Fは弱2に移行可能。</t>
  </si>
  <si>
    <t>13-32Fは弱3に移行可能。</t>
  </si>
  <si>
    <t>6.7</t>
  </si>
  <si>
    <t>ぬるり判定消去：8-18F</t>
  </si>
  <si>
    <t>頭無敵：6-11F</t>
  </si>
  <si>
    <t>右足無敵：8-11F
左足無敵：9-11F
ぬるり判定消去：7-11F</t>
  </si>
  <si>
    <t>両腕無敵：13-18F
溜め開始：6F目</t>
  </si>
  <si>
    <t>ぬるり判定消去：1-19F
溜め開始：2F目</t>
  </si>
  <si>
    <t>7-25</t>
  </si>
  <si>
    <t>12/13</t>
  </si>
  <si>
    <t>14.4/15.6</t>
  </si>
  <si>
    <t>12.24/13.26</t>
  </si>
  <si>
    <t>7-45</t>
  </si>
  <si>
    <t>9/9.6</t>
  </si>
  <si>
    <t>10.8/11.52</t>
  </si>
  <si>
    <t>9.18/9.792</t>
  </si>
  <si>
    <t>11.22/13.26</t>
  </si>
  <si>
    <t>NB (DDラリアット)</t>
  </si>
  <si>
    <t>Hit 1, 地上</t>
  </si>
  <si>
    <t>17/13</t>
  </si>
  <si>
    <t>20.4/15.6</t>
  </si>
  <si>
    <t>15F/12F</t>
  </si>
  <si>
    <t>全身無敵：5-6F (当たりあり, 地上のみ)
両腕無敵：7-57F (当たりあり, 地上のみ)
全段にRehit Rateが設定されている。
地上では16Fに1回、
空中では31Fに1回しかヒットしない。
相殺なし。</t>
  </si>
  <si>
    <t>Hit 1, 空中</t>
  </si>
  <si>
    <t>42-44</t>
  </si>
  <si>
    <t>50-51</t>
  </si>
  <si>
    <t>56-57</t>
  </si>
  <si>
    <t>横B (ロープスイング)</t>
  </si>
  <si>
    <t>風判定1</t>
  </si>
  <si>
    <t>ヘビーアーマー：1F~ (11.99%, 投げ動作中)
ラリアット・ショルダー・失敗モーションの全体フレームは敵ファイターの大きさや慣性の乗り方によって変動。派生可能タイミングも同様。
ガケつかまり(前後)：14F目以降</t>
  </si>
  <si>
    <t>風判定2</t>
  </si>
  <si>
    <t>16-32</t>
  </si>
  <si>
    <t>ラリアット, 風</t>
  </si>
  <si>
    <t>ラリアット</t>
  </si>
  <si>
    <t>ショルダー, 風</t>
  </si>
  <si>
    <t>ショルダー</t>
  </si>
  <si>
    <t>上B (クロスチョップ)</t>
  </si>
  <si>
    <t>Hit 1, 始, 対地</t>
  </si>
  <si>
    <t>79
(76)</t>
  </si>
  <si>
    <t>ヘビーアーマー：4-15F (11.99%)
両腕無敵：13-26F
着地隙：35F
判定ありの着地時は最短全体61F。
Hit 2以外は相殺なし。
内側に向かって下降した場合は39F目からアニメーション速度が少し早まる。全体フレーム76F。
ガケつかまり(前)：14-26F, 38F目以降
ガケつかまり(前後)：21-26F
ガケつかまり(前後)：17F目以降 (バウンド後)</t>
  </si>
  <si>
    <t>(2F目)</t>
  </si>
  <si>
    <t>Hit 1, 始, 対空</t>
  </si>
  <si>
    <t>3/5/4</t>
  </si>
  <si>
    <t>3.6/6/4.8</t>
  </si>
  <si>
    <t>Hit 1, 持続3</t>
  </si>
  <si>
    <t>Hit 1, 持続4</t>
  </si>
  <si>
    <t>Hit 2, 始</t>
  </si>
  <si>
    <t>Hit 2, 対空1</t>
  </si>
  <si>
    <t>Hit 2, 対空2</t>
  </si>
  <si>
    <t>44-46</t>
  </si>
  <si>
    <t>Hit 2, 対空3</t>
  </si>
  <si>
    <t>Hit 2, 対空4</t>
  </si>
  <si>
    <t>Hit 2, 対空5</t>
  </si>
  <si>
    <t>53-58</t>
  </si>
  <si>
    <t>(61)</t>
  </si>
  <si>
    <t>10.8/5.5</t>
  </si>
  <si>
    <t>12.96/6.6</t>
  </si>
  <si>
    <t>9F/6F</t>
  </si>
  <si>
    <t>下B (リベンジ)</t>
  </si>
  <si>
    <t>受付：3-27F</t>
  </si>
  <si>
    <t>カウンター受付：3-27F</t>
  </si>
  <si>
    <t>全身無敵：1-13F
敵攻撃判定の0.4倍のダメージを受ける。
相殺なし。</t>
  </si>
  <si>
    <t>打撃, 持続1</t>
  </si>
  <si>
    <t>33-41</t>
  </si>
  <si>
    <t>打撃, 持続2</t>
  </si>
  <si>
    <t>42-47</t>
  </si>
  <si>
    <t>打撃, 持続3</t>
  </si>
  <si>
    <t>48-56</t>
  </si>
  <si>
    <t>唯一投げ部分のダメージが0%。</t>
  </si>
  <si>
    <t>25F目から14F硬直。</t>
  </si>
  <si>
    <t>23F目から12F硬直。</t>
  </si>
  <si>
    <t>5-26Fは弱2に移行可能。
空振り時にボタン長押しで7F目から弱1でキャンセル可能。</t>
  </si>
  <si>
    <t>10-26Fは弱3に移行可能。
7-9Fは百裂に移行可能。</t>
  </si>
  <si>
    <t>4.4</t>
  </si>
  <si>
    <t>ガード硬直補正倍率：9倍
最低4ヒット。</t>
  </si>
  <si>
    <t>3.4</t>
  </si>
  <si>
    <t>12-27Fは横強2に移行可能。
上下唇無敵：7-8F</t>
  </si>
  <si>
    <t>7/7/7/9</t>
  </si>
  <si>
    <t>7F/7F/7F/9F</t>
  </si>
  <si>
    <t>頭部無敵：6-13F</t>
  </si>
  <si>
    <t>15/15/19</t>
  </si>
  <si>
    <t>22.8/18</t>
  </si>
  <si>
    <t>10F/10F/13F</t>
  </si>
  <si>
    <t>頭部無敵：16-17F
溜め開始：6F目</t>
  </si>
  <si>
    <t>頭部無敵：12-18F
溜め開始：7F目</t>
  </si>
  <si>
    <t>踏まれ攻撃</t>
  </si>
  <si>
    <t>5-6
(+7)</t>
  </si>
  <si>
    <t>11
(+7)</t>
  </si>
  <si>
    <t>しゃがみ中に踏み台ジャンプされると発動。
頭部無敵：3-6F
踏み台動作：7F</t>
  </si>
  <si>
    <t>8-17
(Rehit: 3)</t>
  </si>
  <si>
    <t>9/11</t>
  </si>
  <si>
    <t>5-42</t>
  </si>
  <si>
    <t>2-21</t>
  </si>
  <si>
    <t>頭部・首無敵：7-9F</t>
  </si>
  <si>
    <t>NB (シューリンガン)</t>
  </si>
  <si>
    <t>生成：8F目
バウンドでダメージ倍率0.85倍。
出始めはガード硬直補正なし。(1倍)
相殺なし。</t>
  </si>
  <si>
    <t>保持</t>
  </si>
  <si>
    <t>22-*</t>
  </si>
  <si>
    <t>吹き飛ばし, 前</t>
  </si>
  <si>
    <t>1-14</t>
  </si>
  <si>
    <t>15-*</t>
  </si>
  <si>
    <t>吹き飛ばし, 後</t>
  </si>
  <si>
    <t>飲み込み</t>
  </si>
  <si>
    <t>保持解除</t>
  </si>
  <si>
    <t>横B (ポイズンブレス)</t>
  </si>
  <si>
    <t>風判定
(成功時のみ)</t>
  </si>
  <si>
    <t>生成：20F目
最大溜め：75F
溜め・キャンセル開始：11F目
溜め中からの最速発生は13F。
キャンセルは空中ジャンプのみ全体5F。
回避・シールド・地上ジャンプは全体2F。
最大溜めでない連2の1.2%攻撃判定は、攻撃力が変わらない。
判定持続はタイマン時のもの。試合に参加している人数が増えると持続フレームが減少。
相殺なし。</t>
  </si>
  <si>
    <t>溜めなし, 連1</t>
  </si>
  <si>
    <t>21-41
(Rehit: 4)</t>
  </si>
  <si>
    <t>1.2/0.6</t>
  </si>
  <si>
    <t>1.44/0.72</t>
  </si>
  <si>
    <t>溜めなし, 連2</t>
  </si>
  <si>
    <t>42-122
(Rehit: 4)</t>
  </si>
  <si>
    <t>最大溜め, 連1</t>
  </si>
  <si>
    <t>2.8/1.6</t>
  </si>
  <si>
    <t>3.36/1.92</t>
  </si>
  <si>
    <t>最大溜め, 連2</t>
  </si>
  <si>
    <t>42-159
(Rehit: 7)</t>
  </si>
  <si>
    <t>上B (リーフローター)</t>
  </si>
  <si>
    <t>着地隙(小)：16F
着地隙(大)：20F
ガケつかまり(前後)：2F目以降</t>
  </si>
  <si>
    <t>15
(Rehit: 6)</t>
  </si>
  <si>
    <t>16-55
(Rehit: 6)</t>
  </si>
  <si>
    <t>56-62
(Rehit: 6)</t>
  </si>
  <si>
    <t>4/0.8</t>
  </si>
  <si>
    <t>4.8/0.96</t>
  </si>
  <si>
    <t>5F/2F</t>
  </si>
  <si>
    <t>連4</t>
  </si>
  <si>
    <t>63-67
(Rehit: 6)</t>
  </si>
  <si>
    <t>下B (ロングレンジパックン)</t>
  </si>
  <si>
    <t>溜めなし, 最速</t>
  </si>
  <si>
    <t>最大溜め：39F
溜め開始：18F目
溜め中からの最速発生は2F。
頭部無敵(発射)：3-*F  
頭部無敵(噛みつき)：1-2F 
(溜めなし最遅で21-26F)
ヘビーアーマー(15%)：18-*F
 (溜めなし最遅で18-26F)
アーマー中に受けるダメージと、噛みつきまでの首が受けるダメージは通常の0.8倍。
敵を感知の場合+1F。
一定以上の角度で硬直増。
相殺モーションなし。</t>
  </si>
  <si>
    <t>溜めなし, 最遅</t>
  </si>
  <si>
    <t>最大溜め, 最速</t>
  </si>
  <si>
    <t>68-69</t>
  </si>
  <si>
    <t>107</t>
  </si>
  <si>
    <t>18.2</t>
  </si>
  <si>
    <t>最大溜め(横), 
最速</t>
  </si>
  <si>
    <t>最大溜め, 最遅</t>
  </si>
  <si>
    <t>75-76</t>
  </si>
  <si>
    <t>最大溜め(横), 
最遅</t>
  </si>
  <si>
    <t>19F目から8F硬直。
打撃部分は投げ中の相手にはヒットしない。</t>
  </si>
  <si>
    <t>打撃, Hit 1-2</t>
  </si>
  <si>
    <t>20, 30</t>
  </si>
  <si>
    <t>能力値その他</t>
  </si>
  <si>
    <t>ジャンプ回数</t>
  </si>
  <si>
    <t>体重</t>
  </si>
  <si>
    <t>小J滞空</t>
  </si>
  <si>
    <t>大J初速</t>
  </si>
  <si>
    <t>しゃがみ歩き</t>
  </si>
  <si>
    <t>小着地</t>
  </si>
  <si>
    <t>大J滞空</t>
  </si>
  <si>
    <t>大J高度</t>
  </si>
  <si>
    <t>カベジャンプ</t>
  </si>
  <si>
    <t>大着地</t>
  </si>
  <si>
    <t>小J急降下滞空</t>
  </si>
  <si>
    <t>小J高度</t>
  </si>
  <si>
    <t>カベ張りつき</t>
  </si>
  <si>
    <t>大J急降下滞空</t>
  </si>
  <si>
    <t>空中J高度</t>
  </si>
  <si>
    <t>ステップ全体F</t>
  </si>
  <si>
    <t>急降下速度</t>
  </si>
  <si>
    <t>7-24Fは弱2に移行可能。
アルセーヌの判定は相殺なし。</t>
  </si>
  <si>
    <t>弱1, アルセーヌ</t>
  </si>
  <si>
    <t>11-24Fは弱3に移行可能。
アルセーヌの判定は相殺なし。</t>
  </si>
  <si>
    <t>弱2, アルセーヌ</t>
  </si>
  <si>
    <t>アルセーヌの判定は相殺なし。</t>
  </si>
  <si>
    <t>弱3, アルセーヌ</t>
  </si>
  <si>
    <t>3.1</t>
  </si>
  <si>
    <t xml:space="preserve">ガード硬直補正倍率：1.1倍 (アルセーヌのみ)
</t>
  </si>
  <si>
    <t>Hit 2, アルセーヌ</t>
  </si>
  <si>
    <t>アルセーヌ召喚中は、ジョーカーのHit 2の持続も13-19Fになる。
ガード硬直補正倍率：2倍 (アルセーヌのみ)
アルセーヌの判定は相殺なし。</t>
  </si>
  <si>
    <t>全シフト, Hit 2, 
アルセーヌ</t>
  </si>
  <si>
    <t>8-9
(Rehit: 3)</t>
  </si>
  <si>
    <t>アルセーヌ召喚中は、ジョーカーの〆判定はなくなる。
始→連, 連→〆でRehit継続。
ジョーカーとアルセーヌ間はRehit非共有。
相殺なし。</t>
  </si>
  <si>
    <t>10-19
(Rehit: 3)</t>
  </si>
  <si>
    <t>連, アルセーヌ</t>
  </si>
  <si>
    <t>〆, アルセーヌ</t>
  </si>
  <si>
    <t>3.9</t>
  </si>
  <si>
    <t>ガード硬直補正倍率：1.5倍 (アルセーヌ召喚時のみ)
アルセーヌの判定は相殺なし。</t>
  </si>
  <si>
    <t>アルセーヌ</t>
  </si>
  <si>
    <t>アルセーヌ召喚中は、ジョーカーの持続も16-19Fになる。
ガード硬直補正倍率：1.25倍 (アルセーヌ召喚時のみ)
溜め開始：6F目</t>
  </si>
  <si>
    <t>右腕無敵：10-14F (アルセーヌ召還中のみ)
ガード硬直補正倍率：1.25倍 (アルセーヌ時のみ)
アルセーヌの判定は相殺なし。
溜め開始：5F目</t>
  </si>
  <si>
    <t>Hit 2とアルセーヌの判定は相殺なし。
ガード硬直補正倍率：1.33倍 (Hit 2, アルセーヌ)
溜め開始：6F目</t>
  </si>
  <si>
    <t>Hit 1, アルセーヌ</t>
  </si>
  <si>
    <t>召還</t>
  </si>
  <si>
    <t>全身無敵：2-62F (召還)
全身無敵：2-72F (帰還)
モーション移行後最大3Fまで全身無敵継続。</t>
  </si>
  <si>
    <t>帰還</t>
  </si>
  <si>
    <t>5-18
(Rehit: 4)</t>
  </si>
  <si>
    <t>アルセーヌの判定は相殺なし。
アルセーヌ召喚中は、ジョーカーの判定も15-16Fは相殺なしになる。</t>
  </si>
  <si>
    <t>ガン</t>
  </si>
  <si>
    <t>通常射撃</t>
  </si>
  <si>
    <t>5/3/1</t>
  </si>
  <si>
    <t>6F/4F/2F</t>
  </si>
  <si>
    <t>全身無敵：4-13F (地上前回避, ペナルティ無)
全身無敵：5-14F (地上後回避, ペナルティ無)
全身無敵：5-16F (空中前回避, ペナルティ無)
全身無敵：5-16F (空中後回避, ペナルティ無)
全身無敵：1-6F (ジャンプ直下射撃)
着地隙：10F (通常射撃/回避射撃/空中直下射撃)
着地隙：20F (乱れ撃ち)
回避ペナルティは通常回避と共有。
ペナルティに応じて全体F増加・無敵F減少。
一連の動作で回避は最大で4回まで。
押しっぱなし派生までに1度入力で連打派生。
派生タイミング (ガン, 連打/押しっぱなし)
通常→通常・前・後：26F目/31F目
地上通常→ジャンプ直下射撃：26F目
地上前→全：33F目
地上後→全：39F目
空中通常→乱れ撃ち：14F目/17F目
空中通常→空中直下射撃：14F目/17F目
空中前→全：33F目
空中後→全：39F目
派生タイミング (ガンスペシャル, 連打/押しっぱなし)
地上通常→通常・前・後：31F目/36F目
地上通常→ジャンプ直下射撃：31F目
地上前→全：41F目
地上後→全：44F目
空中通常→通常・前・後：29F目/32F目
空中通常→乱れ撃ち：15F目/18F目
空中通常→空中直下射撃：15F目/18F目
空中前→全：37F目
空中後→全：41F目
相殺なし。</t>
  </si>
  <si>
    <t>前回避射撃</t>
  </si>
  <si>
    <t>39+</t>
  </si>
  <si>
    <t>6/4/2</t>
  </si>
  <si>
    <t>6F/5F/3F</t>
  </si>
  <si>
    <t>後回避射撃</t>
  </si>
  <si>
    <t>45+</t>
  </si>
  <si>
    <t>ジャンプ直下射撃
(地上ジャンプ)</t>
  </si>
  <si>
    <t>10, 17, 24, 31</t>
  </si>
  <si>
    <t>3/0.8</t>
  </si>
  <si>
    <t>4F/2F</t>
  </si>
  <si>
    <t>乱れ撃ち
(空中上入力)</t>
  </si>
  <si>
    <t>12, 15, 18, 
24, 27, 30, 
36, 39, 42, 
48, 51, 54
(, 60, 63, 66...)
(Rehit: 12)</t>
  </si>
  <si>
    <t>69
(+48)</t>
  </si>
  <si>
    <t>空中直下射撃
(空中下入力)</t>
  </si>
  <si>
    <t>7, 21, 35
(, 49, 63, 77)</t>
  </si>
  <si>
    <t>48
(+36)</t>
  </si>
  <si>
    <t>4/1.2</t>
  </si>
  <si>
    <t>ガンスペシャル</t>
  </si>
  <si>
    <t>通常射撃
(地上)</t>
  </si>
  <si>
    <t>6/3/1</t>
  </si>
  <si>
    <t>18, 24</t>
  </si>
  <si>
    <t>通常射撃
(空中)</t>
  </si>
  <si>
    <t>19, 25</t>
  </si>
  <si>
    <t>45+
(40+)</t>
  </si>
  <si>
    <t>7/4/2</t>
  </si>
  <si>
    <t>7F/5F/3F</t>
  </si>
  <si>
    <t>27, 33</t>
  </si>
  <si>
    <t>49+
(46+)</t>
  </si>
  <si>
    <t>29, 35</t>
  </si>
  <si>
    <t>13, 20, 27</t>
  </si>
  <si>
    <t>14, 28
(, 42, 56, 70)</t>
  </si>
  <si>
    <t>1.6/0.8</t>
  </si>
  <si>
    <t>44 (, 80)</t>
  </si>
  <si>
    <t>エイハ</t>
  </si>
  <si>
    <t>16-42</t>
  </si>
  <si>
    <t>弾ヒット後に炸裂。
攻撃被弾後、45F毎に1%のダメージ * 8回</t>
  </si>
  <si>
    <t>エイガオン</t>
  </si>
  <si>
    <t>弾ヒットか地形に衝突後に炸裂。
攻撃被弾後、40F毎に1.5%のダメージ * 8回</t>
  </si>
  <si>
    <t>炸裂, 連</t>
  </si>
  <si>
    <t>1-15
(Rehit: 5)</t>
  </si>
  <si>
    <t>炸裂, 〆</t>
  </si>
  <si>
    <t>16-27</t>
  </si>
  <si>
    <t>ワイヤーアクション</t>
  </si>
  <si>
    <t>地上, ワイヤー</t>
  </si>
  <si>
    <t xml:space="preserve">ファイター引き寄せ前に12F硬直。
アイテム引き寄せ前に6F硬直。
相殺なし。
ワイヤーガケつかまり(上)：12-13F
ワイヤーガケつかまり(横)：14-15F
ガケつかまり(前)：25F目以降
</t>
  </si>
  <si>
    <t>地上, 投げ</t>
  </si>
  <si>
    <t>反逆の翼</t>
  </si>
  <si>
    <t>全身無敵：1-25F (地上)
全身無敵：3-25F (空中)
着地隙：30F
ガケつかまり(前後)：17F目以降</t>
  </si>
  <si>
    <t>反逆ガード</t>
  </si>
  <si>
    <t>受付：3-19F</t>
  </si>
  <si>
    <t>最大保持：60F
ガード中に受けるダメージ：0.4倍</t>
  </si>
  <si>
    <t>反撃</t>
  </si>
  <si>
    <t>全身無敵：1-14F
相殺なし。</t>
  </si>
  <si>
    <t>テトラカーン
マカラカーン</t>
  </si>
  <si>
    <t>受付：4-31F</t>
  </si>
  <si>
    <t>全身無敵：3-4F</t>
  </si>
  <si>
    <t>カウンター倍率：1.6倍
全身無敵：1-8F
最低保障ダメージ：12%
成立時17F硬直。
相殺なし。</t>
  </si>
  <si>
    <t>反射：1-29F</t>
  </si>
  <si>
    <t>左腕無敵：1-29F
反射ダメージ倍率：1.6倍
反射速度倍率：1.9倍
飛び道具持続倍率：0.7倍</t>
  </si>
  <si>
    <t>歩き</t>
  </si>
  <si>
    <t>踏み台ジャンプ</t>
  </si>
  <si>
    <t>地上踏まれ</t>
  </si>
  <si>
    <t>地上硬直</t>
  </si>
  <si>
    <t>空中踏まれ</t>
  </si>
  <si>
    <t>空中落下</t>
  </si>
  <si>
    <t>倒れダメージ</t>
  </si>
  <si>
    <t>あお向け倒れ</t>
  </si>
  <si>
    <t>モーション大</t>
  </si>
  <si>
    <t>うつ伏せ倒れ</t>
  </si>
  <si>
    <t>ぬるり落下</t>
  </si>
  <si>
    <t>ピオリム　能力倍率</t>
  </si>
  <si>
    <t>順位</t>
  </si>
  <si>
    <t>0.48</t>
  </si>
  <si>
    <t>3rd</t>
  </si>
  <si>
    <t>1.96</t>
  </si>
  <si>
    <t>2nd</t>
  </si>
  <si>
    <t>4.324</t>
  </si>
  <si>
    <t>1st</t>
  </si>
  <si>
    <t>0.214</t>
  </si>
  <si>
    <t>4.232</t>
  </si>
  <si>
    <t>2.1</t>
  </si>
  <si>
    <t>0.231</t>
  </si>
  <si>
    <t>0.1225</t>
  </si>
  <si>
    <t>2.121</t>
  </si>
  <si>
    <t>2.355</t>
  </si>
  <si>
    <t>3.14</t>
  </si>
  <si>
    <t>0.1175</t>
  </si>
  <si>
    <t>22nd</t>
  </si>
  <si>
    <t>ジャンプ高度</t>
  </si>
  <si>
    <t>9-30Fは弱2に移行可能。
ボタン押しっぱなしでは13F目に移行。</t>
  </si>
  <si>
    <t>9-30Fは弱3に移行可能。
ボタン押しっぱなしでは13F目に移行。</t>
  </si>
  <si>
    <t>18-36Fは横強2に移行可能。
頭・左腕・左脚無敵：9F目 (当たりあり)
左腕無敵：10-11F  (当たりあり)
相殺モーションなし。</t>
  </si>
  <si>
    <t>10.8/13.2</t>
  </si>
  <si>
    <t>9F/10F</t>
  </si>
  <si>
    <t>18/18/16</t>
  </si>
  <si>
    <t>21.6/21.6/19.2</t>
  </si>
  <si>
    <t>12F/12F/11F</t>
  </si>
  <si>
    <t>会心の一撃</t>
  </si>
  <si>
    <t>36/36/32</t>
  </si>
  <si>
    <t>43.2/43.2/38.4</t>
  </si>
  <si>
    <t>22F/22F/20F</t>
  </si>
  <si>
    <t>28/32/32</t>
  </si>
  <si>
    <t>33.6/38.4/38.4</t>
  </si>
  <si>
    <t>18F/20F/20F</t>
  </si>
  <si>
    <t>11/13/13</t>
  </si>
  <si>
    <t>13.2/15.6/15.6</t>
  </si>
  <si>
    <t>8F/9F/9F</t>
  </si>
  <si>
    <t>22/26/26</t>
  </si>
  <si>
    <t>26.4/31.2/31.2</t>
  </si>
  <si>
    <t>14F/17F/17F</t>
  </si>
  <si>
    <t>10/12/12</t>
  </si>
  <si>
    <t>12/14.4/14.4</t>
  </si>
  <si>
    <t>10.2/12.24/12.24</t>
  </si>
  <si>
    <t>12.24/14.28/14.28</t>
  </si>
  <si>
    <t>3-46</t>
  </si>
  <si>
    <t>2-29</t>
  </si>
  <si>
    <t>NB (メラ / メラミ / メラゾーマ)</t>
  </si>
  <si>
    <t>メラ</t>
  </si>
  <si>
    <t>10-39
(+7)</t>
  </si>
  <si>
    <t>43
(+7)</t>
  </si>
  <si>
    <t>消費MP：6 (メラ)
消費MP：16 (メラミ)
消費MP：36 (メラゾーマ)
前動作：7F
キャンセル動作：5F
溜め18Fでメラミ。
溜め82Fでメラゾーマ。
溜まり切らずに中断した場合、その段階の最初にリセット。</t>
  </si>
  <si>
    <t>40-65</t>
  </si>
  <si>
    <t>メラミ</t>
  </si>
  <si>
    <t>11-56
(+7)</t>
  </si>
  <si>
    <t>51
(+7)</t>
  </si>
  <si>
    <t>メラゾーマ</t>
  </si>
  <si>
    <t>火球</t>
  </si>
  <si>
    <t>16-73</t>
  </si>
  <si>
    <t>1-18
(Rehit: 6/-)</t>
  </si>
  <si>
    <t>3/10</t>
  </si>
  <si>
    <t>3.6/12</t>
  </si>
  <si>
    <t>2F/4F</t>
  </si>
  <si>
    <t>3/8</t>
  </si>
  <si>
    <t>3.6/9.6</t>
  </si>
  <si>
    <t>横B (デイン / ライデイン / ギガデイン)</t>
  </si>
  <si>
    <t>デイン</t>
  </si>
  <si>
    <t>9
(+7)</t>
  </si>
  <si>
    <t>38
(+7)</t>
  </si>
  <si>
    <t>消費MP：8
前動作：7F
溜め1-8Fでデイン。
初段5%部分を当てると6F後、
初段3%部分を当てると4F後に落雷発生。
MP切れ以外すべて相殺なし。</t>
  </si>
  <si>
    <t>落雷</t>
  </si>
  <si>
    <t>1-8</t>
  </si>
  <si>
    <t>9/5/2.5</t>
  </si>
  <si>
    <t>10.8/6/3</t>
  </si>
  <si>
    <t>4F/3F/2F</t>
  </si>
  <si>
    <t>MP切れ</t>
  </si>
  <si>
    <t>9-11
(+7)</t>
  </si>
  <si>
    <t>ライデイン</t>
  </si>
  <si>
    <t>10-15
(+16)</t>
  </si>
  <si>
    <t>50
(+16)</t>
  </si>
  <si>
    <t>消費MP：18
溜め9-25Fでライデイン。
初段ヒット後4F後に落雷発生。
相殺なし。</t>
  </si>
  <si>
    <t>14/10/5</t>
  </si>
  <si>
    <t>16.8/12/6</t>
  </si>
  <si>
    <t>5F/4F/3F</t>
  </si>
  <si>
    <t>ギガデイン</t>
  </si>
  <si>
    <t>落雷1</t>
  </si>
  <si>
    <t>43-44, 47-48</t>
  </si>
  <si>
    <t>消費MP：42 (34F目)
ヘビーアーマー：1-34F (15%, 直撃)
落雷1が自身に直撃するとモーション移行。
地上では50F目に直撃、全体126F。
Hit 4が敵にヒットすると、
ヒットストップ終了4F後に落雷2発生。
落雷1, 直撃Hit 1, 直撃Hit 4 (8%), 落雷2は相殺なし。
直撃Hit 2, Hit 3, Hit 4 (12%/10%)は相殺モーションなし。
ガード硬直倍率：0.3倍 (Hit 4, 32F目)</t>
  </si>
  <si>
    <t>落雷1, 持続</t>
  </si>
  <si>
    <t>45-72, 49-76</t>
  </si>
  <si>
    <t>直撃, Hit 1</t>
  </si>
  <si>
    <t>直撃, Hit 2</t>
  </si>
  <si>
    <t>直撃, Hit 3</t>
  </si>
  <si>
    <t>直撃, Hit 4</t>
  </si>
  <si>
    <t>12/10/8</t>
  </si>
  <si>
    <t>14.4/12/9.6</t>
  </si>
  <si>
    <t>直撃, Hit 4, 持続1</t>
  </si>
  <si>
    <t>直撃, Hit 4, 持続2</t>
  </si>
  <si>
    <t>落雷2</t>
  </si>
  <si>
    <t>16/12/6</t>
  </si>
  <si>
    <t>19.2/14.4/9.6</t>
  </si>
  <si>
    <t>102</t>
  </si>
  <si>
    <t>上B (バギ / バギマ / バギクロス)</t>
  </si>
  <si>
    <t>バギ</t>
  </si>
  <si>
    <t>4-27
(+3)</t>
  </si>
  <si>
    <t>消費MP：5
前動作：3F
溜め1-9Fでバギ。
着地隙：12F
相殺なし。
ガケつかまり(前後)：12F目以降</t>
  </si>
  <si>
    <t>バギマ</t>
  </si>
  <si>
    <t>6-25
(+3)
(Rehit: 7)</t>
  </si>
  <si>
    <t>消費MP：9
溜め10-27Fでバギマ。
着地隙：23F
ガケつかまり(前後)：21F目以降</t>
  </si>
  <si>
    <t>26-38</t>
  </si>
  <si>
    <t>バギクロス</t>
  </si>
  <si>
    <t>39-88
(Rehit: 10)</t>
  </si>
  <si>
    <t>消費MP：18 (32F目)
着地隙：29F
ガケつかまり(前後)：50F目以降</t>
  </si>
  <si>
    <t>89-90</t>
  </si>
  <si>
    <t>着地隙：12F
ガケつかまり(前後)：12F目以降</t>
  </si>
  <si>
    <t>下B (コマンド選択・共通)</t>
  </si>
  <si>
    <t>共通動作</t>
  </si>
  <si>
    <t>最大選択時間：8秒（6秒でカーソル点滅）
キャンセル開始・コマンド決定：20F目
キャンセル動作：5F
キャンセル後、40Fはコマンド選択不可。
ギラ・ベギラマ、イオ・イオナズン、ザキ・ザラキは同時に出現しない。</t>
  </si>
  <si>
    <t>下B (コマンド選択・攻撃)</t>
  </si>
  <si>
    <t>ギラ</t>
  </si>
  <si>
    <t>消費MP：8
炎は相殺なし。</t>
  </si>
  <si>
    <t>ベギラマ</t>
  </si>
  <si>
    <t>6-17</t>
  </si>
  <si>
    <t>消費MP：20
炎は相殺なし。</t>
  </si>
  <si>
    <t>イオ</t>
  </si>
  <si>
    <t>消費MP：9
40F目に自動で爆発。
接触して起爆した場合は持続が1-20F。
爆発は相殺なし。</t>
  </si>
  <si>
    <t>イオナズン</t>
  </si>
  <si>
    <t>6-28</t>
  </si>
  <si>
    <t>消費MP：37
29F目に自動で爆発。
接触して起爆した場合は持続が1-15, 16-39F。
吸引・爆発は相殺なし。</t>
  </si>
  <si>
    <t>吸引</t>
  </si>
  <si>
    <t>1-16
(Rehit: 1)</t>
  </si>
  <si>
    <t>17-40</t>
  </si>
  <si>
    <t>26/21</t>
  </si>
  <si>
    <t>31.2/25.2</t>
  </si>
  <si>
    <t>ラリホー</t>
  </si>
  <si>
    <t>6-55</t>
  </si>
  <si>
    <t>消費MP：16
相殺なし。</t>
  </si>
  <si>
    <t>かえん斬り</t>
  </si>
  <si>
    <t>22/17</t>
  </si>
  <si>
    <t>26.4/20.4</t>
  </si>
  <si>
    <t>19F/15F</t>
  </si>
  <si>
    <t>消費MP：12
相殺モーションなし。</t>
  </si>
  <si>
    <t>マヒャド斬り</t>
  </si>
  <si>
    <t>消費MP：11
相殺モーションなし。</t>
  </si>
  <si>
    <t>まじん斬り</t>
  </si>
  <si>
    <t>37-40</t>
  </si>
  <si>
    <t>35/35/30</t>
  </si>
  <si>
    <t>42/42/36</t>
  </si>
  <si>
    <t>30F/30F/26F</t>
  </si>
  <si>
    <t>消費MP：15
35%部分は確定でシールドブレイク。</t>
  </si>
  <si>
    <t>メタル斬り</t>
  </si>
  <si>
    <t>消費MP：6
メタル化した敵がいるときは出現レート4倍。</t>
  </si>
  <si>
    <t>ザキ</t>
  </si>
  <si>
    <t>6-125</t>
  </si>
  <si>
    <t>消費MP：10</t>
  </si>
  <si>
    <t>ザラキ</t>
  </si>
  <si>
    <t>23-33</t>
  </si>
  <si>
    <t>3/0</t>
  </si>
  <si>
    <t>3.6/0</t>
  </si>
  <si>
    <t>2F/-</t>
  </si>
  <si>
    <t>消費MP：30
風判定は相殺なし。</t>
  </si>
  <si>
    <t>マダンテ</t>
  </si>
  <si>
    <t>23-32
(Rehit: 9)</t>
  </si>
  <si>
    <t>151</t>
  </si>
  <si>
    <t>消費MP：残りの全MP
消費したMPに応じてダメージと判定の大きさも変化する。
最小ダメージ：0.2倍
最小範囲：0.4倍
ガード硬直倍率：1倍
相殺なし。</t>
  </si>
  <si>
    <t>33-42
(Rehit: 9)</t>
  </si>
  <si>
    <t>43-52
(Rehit: 9)</t>
  </si>
  <si>
    <t>53-62
(Rehit: 9)</t>
  </si>
  <si>
    <t>連5</t>
  </si>
  <si>
    <t>63-100
(Rehit: 9)</t>
  </si>
  <si>
    <t>101-112</t>
  </si>
  <si>
    <t>メガンテ</t>
  </si>
  <si>
    <t>45-50</t>
  </si>
  <si>
    <t>消費MP：1
全身無敵：1-43F
41F目から画面全体が1/20倍のスロー。
その後実時間で40F経過後 (モーションの43F目)に自滅。
シールド無効 (ガー不)。
相殺なし。</t>
  </si>
  <si>
    <t>50/35</t>
  </si>
  <si>
    <t>60/42</t>
  </si>
  <si>
    <t>下B (コマンド選択・補助)</t>
  </si>
  <si>
    <t>ためる</t>
  </si>
  <si>
    <t>消費MP：14
与ダメージ倍率：1.2倍
与ふっとばし倍率：1.2倍
シールド削り倍率：1.65倍</t>
  </si>
  <si>
    <t>バイキルト</t>
  </si>
  <si>
    <t>消費MP：16
効果時間：12秒
被ダメージ倍率：1.2倍
与ダメージ倍率：1.6倍
与ふっとばし倍率：1.1倍</t>
  </si>
  <si>
    <t>ピオリム</t>
  </si>
  <si>
    <t>消費MP：13
効果時間：10秒
被ふっとばし倍率：1.1倍
その他の能力上昇はページ上部参照。</t>
  </si>
  <si>
    <t>アストロン</t>
  </si>
  <si>
    <t>342</t>
  </si>
  <si>
    <t>消費MP：6
全身無敵：15-313F (当たりあり)
試合残り時間が30秒以下になると出現しない。
相殺なし。</t>
  </si>
  <si>
    <t>マホカンタ</t>
  </si>
  <si>
    <t>反射：6-725F</t>
  </si>
  <si>
    <t>消費MP：14
効果時間：12秒
反射ダメージ倍率：1.5倍
反射速度倍率：1.4倍
飛び道具持続倍率：1.1倍</t>
  </si>
  <si>
    <t>ホイミ</t>
  </si>
  <si>
    <t>回復：6F目</t>
  </si>
  <si>
    <t>消費MP：7
蓄積ダメージを11%回復。
1ストックに2回使用すると出現しない。</t>
  </si>
  <si>
    <t>ルーラ</t>
  </si>
  <si>
    <t>降下</t>
  </si>
  <si>
    <t>消費MP：8
全身無敵：31-*F (上昇)
トータルでは30 + 上昇時間 + 40 + 17F。
横撃墜ラインに近いときは抽選レート3倍。</t>
  </si>
  <si>
    <t>天井衝突</t>
  </si>
  <si>
    <t>パルプンテ</t>
  </si>
  <si>
    <t>消費MP：4
効果時間：7.5秒 (共通)
6.10%：眠り／透明／お花／毒／スロー
6.10%：MP全消失
5.49%：ミニ化
4.88%：巨大化
3.96%：MP全回復
1.52%：ホイミ／アストロン
1.22%：無敵 (スター)
0.91%：メガンテ
2.44%：その他のコマンドじゅもん</t>
  </si>
  <si>
    <t>18F目から9F硬直。</t>
  </si>
  <si>
    <t>8-30Fは弱2に移行可能。
ボタン押しっぱなしでは8F目に移行。</t>
  </si>
  <si>
    <t>12-27Fは弱3に移行可能。
ボタン押しっぱなしでは10F目に移行。
9-11Fは百裂に移行可能。</t>
  </si>
  <si>
    <t>2, 4, 6, 8, 
10, 12, 14, 16</t>
  </si>
  <si>
    <t>ガード硬直補正倍率：6倍
最低8ヒット。</t>
  </si>
  <si>
    <t>カズーイやられ判定オン：1-24F</t>
  </si>
  <si>
    <t>3/3/4</t>
  </si>
  <si>
    <t>3.6/3.6/4.8</t>
  </si>
  <si>
    <t>13-25
(Rehit: 2)</t>
  </si>
  <si>
    <t>10-11, 13-14,
16-17, 19-20, 
22-23, 25-26,
28-29</t>
  </si>
  <si>
    <t>10-38</t>
  </si>
  <si>
    <t>8-36</t>
  </si>
  <si>
    <t>5.8</t>
  </si>
  <si>
    <t>18-45</t>
  </si>
  <si>
    <t>NB (タマゴミサイル / タマゴばきゅーん)</t>
  </si>
  <si>
    <t>タマゴ
ミサイル</t>
  </si>
  <si>
    <t>13-22</t>
  </si>
  <si>
    <t>21F目まで長押しで、
21F目からタマゴばきゅーんに移行。</t>
  </si>
  <si>
    <t>53-102</t>
  </si>
  <si>
    <t>タマゴ
ばきゅーん</t>
  </si>
  <si>
    <t>移行モーション</t>
  </si>
  <si>
    <t>反転→反転のみ全体16F。
必殺ワザ・シールド・しゃがみ入力で解除モーションに移行。
ガケつかまり(前後)：2F目以降 (構え移行後)</t>
  </si>
  <si>
    <t>タマゴ, 1-6発</t>
  </si>
  <si>
    <t>4-6
7-9
10-15
16-18</t>
  </si>
  <si>
    <t>タマゴ, 7-12発</t>
  </si>
  <si>
    <t>タマゴ, 13発~</t>
  </si>
  <si>
    <t>横B (ワンダーウイング)</t>
  </si>
  <si>
    <t>全身無敵：18-53F (当たりあり)
全身無敵だが、敵のつかみは無視できない。
つかみと攻撃判定が相打ちになった場合は、敵に通常の1/4倍のダメージを与える。
敵にヒットする度、ダメージが0.9倍される。
空中失敗モーション中に着地すると、
うつぶせダウン状態に移行。
ガード硬直補正倍率：0.48倍 (本当て)
ガード硬直補正倍率：0.28倍 (持続)
相殺なし。
ガケつかまり(前)：19F目以降 (突進)
ガケつかまり(前)：12F目以降 (壁激突)</t>
  </si>
  <si>
    <t>31-53</t>
  </si>
  <si>
    <t>失敗, 地上</t>
  </si>
  <si>
    <t>失敗, 空中</t>
  </si>
  <si>
    <t>上B (ショックジャンプ)</t>
  </si>
  <si>
    <t>15-254
(生成：1F)</t>
  </si>
  <si>
    <t>全身無敵：15-17F (溜めなし)
カズーイやられ判定オン：1-14F (溜めなし)
最小溜め：14F
最大溜め：30F
ガケつかまり(前)：24F目以降 (溜めなし)
ガケつかまり(前後)：35F目以降 (溜めなし)</t>
  </si>
  <si>
    <t>下B (おケツタマゴ)</t>
  </si>
  <si>
    <t>爆弾, 接触</t>
  </si>
  <si>
    <t>10-143</t>
  </si>
  <si>
    <t>0.1+</t>
  </si>
  <si>
    <t>0.12+</t>
  </si>
  <si>
    <t>144F目に自動で爆発。
ガケつかまり(前後)：2F目以降</t>
  </si>
  <si>
    <t>爆弾, 爆発</t>
  </si>
  <si>
    <t>13-33</t>
  </si>
  <si>
    <t>埋め属性。
埋め時間 = 35 + 0.5 * (ヒット前のダメージ)</t>
  </si>
  <si>
    <t>13
(9)</t>
  </si>
  <si>
    <t>6-22Fは弱2に移行可能。
空振り時にボタン長押しで10F目から弱1でキャンセル可能。
必殺ワザキャンセル：8F目まで</t>
  </si>
  <si>
    <t>弱2, Hit 1</t>
  </si>
  <si>
    <t>9-34Fは弱3に移行可能。
必殺ワザキャンセル：19F目まで</t>
  </si>
  <si>
    <t>弱2, Hit 2</t>
  </si>
  <si>
    <t>12/12/13</t>
  </si>
  <si>
    <t>14.4/14.4/15.6</t>
  </si>
  <si>
    <t>必殺ワザキャンセル：19F目まで
右足無敵：8-13F</t>
  </si>
  <si>
    <t>必殺ワザキャンセル：19F目まで
左腕無敵：7-11F</t>
  </si>
  <si>
    <t>溜め開始：11F目</t>
  </si>
  <si>
    <t>避け攻撃</t>
  </si>
  <si>
    <t>全身無敵：1-3F
上半身無敵：4-9F
ガード硬直補正倍率：0.5倍</t>
  </si>
  <si>
    <t>4-8</t>
  </si>
  <si>
    <t>必殺ワザキャンセル：23F目まで</t>
  </si>
  <si>
    <t>17/15/15</t>
  </si>
  <si>
    <t>20.4/18/18</t>
  </si>
  <si>
    <t>17.34/15.3/15.3</t>
  </si>
  <si>
    <t>12-23</t>
  </si>
  <si>
    <t>必殺ワザキャンセル：19F目まで</t>
  </si>
  <si>
    <t>NB(パワーウェイブ)</t>
  </si>
  <si>
    <t>18-86</t>
  </si>
  <si>
    <t>6F目まで長押しで強モーションに移行。</t>
  </si>
  <si>
    <t>21-66</t>
  </si>
  <si>
    <t>前B(バーンナックル)</t>
  </si>
  <si>
    <t>地上, 弱</t>
  </si>
  <si>
    <t>右向き時に↓↘→(236) + 攻撃 or 必殺
6F目まで長押しで強モーションに移行。
左腕無敵：15-21F (地上, 弱, コマンド)
左腕無敵：21-28F (地上, 強, コマンド)
左腕無敵：14-19F (空中, 弱, コマンド)
左腕無敵：18-23F (空中, 強, コマンド)
相殺なし。</t>
  </si>
  <si>
    <t>通常, 持続</t>
  </si>
  <si>
    <t>20-30</t>
  </si>
  <si>
    <t>コマンド</t>
  </si>
  <si>
    <t>コマンド, 持続</t>
  </si>
  <si>
    <t>22-30</t>
  </si>
  <si>
    <t>地上, 強</t>
  </si>
  <si>
    <t>21-27</t>
  </si>
  <si>
    <t>28-39</t>
  </si>
  <si>
    <t>29-39</t>
  </si>
  <si>
    <t>空中, 弱</t>
  </si>
  <si>
    <t>空中, 強</t>
  </si>
  <si>
    <t>24-30</t>
  </si>
  <si>
    <t>後B(クラックシュート)</t>
  </si>
  <si>
    <t>45
(46)</t>
  </si>
  <si>
    <t>3
(3.6)</t>
  </si>
  <si>
    <t>3.6
(4.32)</t>
  </si>
  <si>
    <t>コマンド：ダメージ1.2倍
右向き時に↓↙←(214) + 攻撃 or 必殺
11F目まで長押しで強モーションに移行。
カッコ内は平坦な地形上での全体フレーム。
空中は6F以上後ろ入力で向き反転。
着地隙：19F
相殺なし。</t>
  </si>
  <si>
    <t>14-20</t>
  </si>
  <si>
    <t>4/3
(4.8/3.6)</t>
  </si>
  <si>
    <t>4.8/3.6
(5.76/4.32)</t>
  </si>
  <si>
    <t>5F/4F
(5F/4F)</t>
  </si>
  <si>
    <t>8/6
(9.6/7.2)</t>
  </si>
  <si>
    <t>9.6/7.2
(11.52/8.64)</t>
  </si>
  <si>
    <t>8F/6F
(9F/7F)</t>
  </si>
  <si>
    <t>5/3
(6/3.6)</t>
  </si>
  <si>
    <t>6/3.6
(7.2/4.32)</t>
  </si>
  <si>
    <t>6F/4F
(6F/4F)</t>
  </si>
  <si>
    <t>10/6
(12/7.2)</t>
  </si>
  <si>
    <t>12/7.2
(14.4/8.64)</t>
  </si>
  <si>
    <t>10F/6F
(11F/7F)</t>
  </si>
  <si>
    <t>上B(ライジングタックル)</t>
  </si>
  <si>
    <t>下溜め + 攻撃 or 必殺
下溜めに必要な時間は計24F。
溜め解除から10Fのあいだは溜めを保持可能。
6F目まで長押しで強モーションに移行。
全身無敵：5-16F (地上, コマンド)
両足無敵：17-24F (地上, コマンド)
全身無敵：5-11F (空中, コマンド)
両足無敵：12-24F (空中, コマンド)
両足無敵：9-20F (通常)
着地隙：15F (通常, 弱)
着地隙：23F (通常, 強)
着地隙：10F (コマンド, 弱)
着地隙：15F (コマンド, 強)
ガケつかまり(前後)：31F目以降 (通常)
ガケつかまり(前後)：41F目以降 (コマンド)</t>
  </si>
  <si>
    <t>12, 15, 20</t>
  </si>
  <si>
    <t>Hit 5, 弱</t>
  </si>
  <si>
    <t>Hit 5, 強</t>
  </si>
  <si>
    <t>Hit 2-8</t>
  </si>
  <si>
    <t>12, 14, 16, 19,
21, 24, 29</t>
  </si>
  <si>
    <t>Hit 9, 弱</t>
  </si>
  <si>
    <t>Hit 9, 強</t>
  </si>
  <si>
    <t>下B(パワーダンク)</t>
  </si>
  <si>
    <t xml:space="preserve">弱
</t>
  </si>
  <si>
    <t>1
(1.2)</t>
  </si>
  <si>
    <t>1.2
(1.44)</t>
  </si>
  <si>
    <t>2F
(2F)</t>
  </si>
  <si>
    <t>コマンド：ダメージ1.2倍
Hit 3の始めのみ基礎ダメージ11%扱い。
右向き時に→↓↘(623) + 攻撃 or 必殺
6F目まで長押しで強モーションに移行。
全身無敵：6-12F (コマンド, 弱)
全身無敵：6-13F (コマンド, 強)
着地隙：20F (弱, 空振り)
着地隙：28F (弱, ヒット時)
着地隙：10F (弱, 44F目以降)
着地隙：24F (強, 空振り)
着地隙：30F (強, ヒット時)
着地隙：12F (強, 51F目以降)
コマンド, 強ではHit 3, 落下1がメテオ。</t>
  </si>
  <si>
    <t>2
(2.4)</t>
  </si>
  <si>
    <t>2.4
(2.88)</t>
  </si>
  <si>
    <t>12
(13.2)</t>
  </si>
  <si>
    <t>14.4
(15.84)</t>
  </si>
  <si>
    <t>Hit 3, 落下</t>
  </si>
  <si>
    <t>31-41</t>
  </si>
  <si>
    <t>Hit 3, 落下1</t>
  </si>
  <si>
    <t>37-45</t>
  </si>
  <si>
    <t>Hit 3, 落下2</t>
  </si>
  <si>
    <t>46-48</t>
  </si>
  <si>
    <t>パワーゲイザー</t>
  </si>
  <si>
    <t>地上のみ。
自ダメージ100%以上、体力1/3以下で可。
右向き時に↓↙←↙→(21416) + 攻撃 or 必殺
簡易コマンドは2426・216・246・146など
ヘビーアーマー：1-14F (5%)</t>
  </si>
  <si>
    <t>26/23/20</t>
  </si>
  <si>
    <t>31.2/27.6/24</t>
  </si>
  <si>
    <t>8F/7F/6F</t>
  </si>
  <si>
    <t>19/17/15</t>
  </si>
  <si>
    <t>22.8/20.4/18</t>
  </si>
  <si>
    <t>バスターウルフ</t>
  </si>
  <si>
    <t>地上のみ。
自ダメージ100%以上、体力1/3以下で可。
右向き時に↓↘→↓↘→(236236) + 攻撃 or 必殺
簡易コマンドは2626・2623・2629
ヘビーアーマー：1-15F (8%, 突進)
右腕無敵：10-23F (突進)
全身無敵：1-26F (ヒット後)
突進がヒットするとつかみに移行。
打撃部分は投げ中の相手にはヒットしない。
相殺なし。</t>
  </si>
  <si>
    <t>ヒット後, 打撃</t>
  </si>
  <si>
    <t>ヒット後, 投げ</t>
  </si>
  <si>
    <t>22F目から10F硬直。</t>
  </si>
  <si>
    <t>25 (20)</t>
  </si>
  <si>
    <t>33 (27)</t>
  </si>
  <si>
    <t>その場回避の10-17Fは避け攻撃でキャンセル可。</t>
  </si>
  <si>
    <t>4-15</t>
  </si>
  <si>
    <t>5-16</t>
  </si>
  <si>
    <t>3-21</t>
  </si>
  <si>
    <t>6-20</t>
  </si>
  <si>
    <t>真横：88
真上：115
真下：72</t>
  </si>
  <si>
    <t>22
(15)</t>
  </si>
  <si>
    <t>7-28Fは弱2に移行可能。
空振り時にボタン長押しで16F目から弱1でキャンセル可能。</t>
  </si>
  <si>
    <t>7-28Fは弱3に移行可能。
6F目は百裂に移行可能。</t>
  </si>
  <si>
    <t>3, 6, 9, 12,
 15, 18</t>
  </si>
  <si>
    <t>ガード硬直補正倍率：9倍
相殺なし。</t>
  </si>
  <si>
    <t>9-15</t>
  </si>
  <si>
    <t>12/18</t>
  </si>
  <si>
    <t>14.4/21.6</t>
  </si>
  <si>
    <t>8F/12F</t>
  </si>
  <si>
    <t>溜め開始：14F目</t>
  </si>
  <si>
    <t>13/19.5</t>
  </si>
  <si>
    <t>15.6/23.4</t>
  </si>
  <si>
    <t>9F/13F</t>
  </si>
  <si>
    <t>11.5/17.25</t>
  </si>
  <si>
    <t>13.8/20.7</t>
  </si>
  <si>
    <t>13-14
(Rehit: 7)</t>
  </si>
  <si>
    <t>Hit 1は相殺モーションなし。
溜め開始：7F目</t>
  </si>
  <si>
    <t>17-27
(Rehit: 4)</t>
  </si>
  <si>
    <t>6-26
(Rehit: 7)</t>
  </si>
  <si>
    <t>8.5/12.75</t>
  </si>
  <si>
    <t>10.2/15.3</t>
  </si>
  <si>
    <t>8.67/13.005</t>
  </si>
  <si>
    <t>10/15</t>
  </si>
  <si>
    <t>5/7.5</t>
  </si>
  <si>
    <t>5.1/7.65</t>
  </si>
  <si>
    <t>10-19
(Rehit: 5)</t>
  </si>
  <si>
    <t>4-48</t>
  </si>
  <si>
    <t>NB (魔弓 フェイルノート)</t>
  </si>
  <si>
    <t>45-61</t>
  </si>
  <si>
    <t>ガード硬直補正倍率：1.1倍 (通常)
45F目までボタン押しっぱなしで最大溜めに移行。
28-43Fはふりむき可能。
ふりむきに1回つき10Fだけ発生が遅れる。
21-65Fはキャンセル可能。
キャンセルは空中ジャンプのみ全体5F。
回避・シールド・地上ジャンプは全体4F。
最大溜めは相殺なし。</t>
  </si>
  <si>
    <t>114-115</t>
  </si>
  <si>
    <t>159</t>
  </si>
  <si>
    <t>横B (魔槍 アラドヴァル)</t>
  </si>
  <si>
    <t>はじき入力猶予は4F。
ガード硬直補正倍率：1.7倍 (地上, 始以外)
ガード硬直補正倍率：2.0倍 (空中)
ガケつかまり(前)：14-20F
ガケつかまり(前後)：39F目以降</t>
  </si>
  <si>
    <t>17F/25F</t>
  </si>
  <si>
    <t>14.25/9.5</t>
  </si>
  <si>
    <t>17.1/11.4</t>
  </si>
  <si>
    <t>24F/17F</t>
  </si>
  <si>
    <t>上B (魔剣 天帝の剣)</t>
  </si>
  <si>
    <t>地上のみ</t>
  </si>
  <si>
    <t>9
(Rehit: 7)</t>
  </si>
  <si>
    <t>つかみはガード可能。
ワイヤーガケつかまり(上)：5-8F
ワイヤーガケつかまり(横)：9-10F
投げの攻撃判定は、敵ダメージが50%以上のときメテオに変化する。
ダメージ量は天帝の剣の速度依存。
カベ突き刺しは3回まで。
相殺なし。</t>
  </si>
  <si>
    <t>打ち上げ1</t>
  </si>
  <si>
    <t>10-11
(Rehit: 3)</t>
  </si>
  <si>
    <t>0.01</t>
  </si>
  <si>
    <t>打ち上げ2</t>
  </si>
  <si>
    <t>12
(Rehit: 2)</t>
  </si>
  <si>
    <t>8 ~ 12</t>
  </si>
  <si>
    <t>9.6 ~ 14.4</t>
  </si>
  <si>
    <t>下B (魔斧 アイムール)</t>
  </si>
  <si>
    <t>62-67</t>
  </si>
  <si>
    <t>117
(131)</t>
  </si>
  <si>
    <t>反転入力受付：12-41F
ヘビーアーマー：34-63F (通常時, 30%)
ヘビーアーマー：34-74F (34F~, 反転時, 30%)
ヘビーアーマー：45-74F (~33F, 反転時, 30%)
斧が接地すると衝撃波が発生。
カッコ内は斧が接地した場合のフレーム。
本体付随の飛び道具 (衝撃波)：
・ガード時、攻撃側の硬直がガード側の硬直よりも長くなる。
衝撃波は相殺なし。
本当ては相殺モーションなし。</t>
  </si>
  <si>
    <t>73-78</t>
  </si>
  <si>
    <t>128
(142)</t>
  </si>
  <si>
    <t>1-5
(66-69)
(77-80)</t>
  </si>
  <si>
    <t xml:space="preserve">衝撃波, 対地のみ     </t>
  </si>
  <si>
    <t>打撃1</t>
  </si>
  <si>
    <t>真横：83
真上：111
真下：68</t>
  </si>
  <si>
    <t>9-23Fは弱2に移行可能。</t>
  </si>
  <si>
    <t>15-31Fは弱3に移行可能。
ボタン押しっぱなしでは18F目に移行。
14F目から百裂に移行可能。</t>
  </si>
  <si>
    <t>3, 5, 7, 9, 
11, 13, 15</t>
  </si>
  <si>
    <t>弱ホールド
横強
NB
横B</t>
  </si>
  <si>
    <t>ドラゴン
（投げ強化）</t>
  </si>
  <si>
    <t>14-25</t>
  </si>
  <si>
    <t>8
(9.2)</t>
  </si>
  <si>
    <t>9.6
(11.04)</t>
  </si>
  <si>
    <t>前側へ派生して出した場合、前動作3F減。
弱ホールド、NBで出す場合、
6F目までにボタンを離すと弱1へ移行。
シフト対応：14F目</t>
  </si>
  <si>
    <t>ホットリング</t>
  </si>
  <si>
    <t>リング</t>
  </si>
  <si>
    <t>メガボルト</t>
  </si>
  <si>
    <t>6/8/8</t>
  </si>
  <si>
    <t>7.2/9.6/9.6</t>
  </si>
  <si>
    <t>6F/8F8F</t>
  </si>
  <si>
    <t>5/5/7</t>
  </si>
  <si>
    <t>6/6/8.4</t>
  </si>
  <si>
    <t>6F/6F/7F</t>
  </si>
  <si>
    <t>左足, 持続</t>
  </si>
  <si>
    <t>右足, 持続</t>
  </si>
  <si>
    <t>右足無敵：10-14F</t>
  </si>
  <si>
    <t>3.5/3.5/5.5</t>
  </si>
  <si>
    <t>4.2/4.2/6.6</t>
  </si>
  <si>
    <t>4F/4F/6F</t>
  </si>
  <si>
    <t>横スマッシュ
横Bスマッシュ</t>
  </si>
  <si>
    <t>ドラゴン
（投げ強化）
（溜め強化）</t>
  </si>
  <si>
    <t>12
(13.8)
(15)</t>
  </si>
  <si>
    <t>14.4
(16.56)
(18)</t>
  </si>
  <si>
    <t>8F
~
(10F)</t>
  </si>
  <si>
    <t>17F以上溜めるとダメージ変化（溜め強化）。
溜めによるダメージ増加に加え、
攻撃判定のダメージも1.15倍に増加する。
（レーザーとリングは例外）
敵を投げてから一定のあいだと、
最後の切りふだ使用可能時は、
攻撃判定のダメージが1.25倍（投げ強化）。
溜めによる強化と、
投げによる強化は重複しない（投げ優先）。
32-36F目はドラゴンレーザーに移行可能。
条件は、直前5Fのあいだ攻撃or必殺ボタンをホールドしていること。
バウンド後はダメージ0.7倍。
ガード時、攻撃側の硬直がガード側の硬直よりも長くなる。
溜め開始：9F目
シフト対応：16F目</t>
  </si>
  <si>
    <t>16
(18.4)
(20)</t>
  </si>
  <si>
    <t>19.2
(22.08)
(24)</t>
  </si>
  <si>
    <t>11F
~
(13F)</t>
  </si>
  <si>
    <t>25-30
(25-31)
(25-31)</t>
  </si>
  <si>
    <t>13
(14.95)
(16.25)</t>
  </si>
  <si>
    <t>15.6
(17.94)
(19.5)</t>
  </si>
  <si>
    <t>9F
~
(11F)</t>
  </si>
  <si>
    <t>ドラゴン,
レーザー派生</t>
  </si>
  <si>
    <t>(+20)</t>
  </si>
  <si>
    <t>7
(12)
(12)</t>
  </si>
  <si>
    <t>8.4
(14.4)
(14.4)</t>
  </si>
  <si>
    <t>3F
(4F)
(4F)</t>
  </si>
  <si>
    <t>ホットリング
（溜め強化）</t>
  </si>
  <si>
    <t>10
(11.5)</t>
  </si>
  <si>
    <t>12
(13.8)</t>
  </si>
  <si>
    <t>19-25</t>
  </si>
  <si>
    <t>14.4
(16.56)</t>
  </si>
  <si>
    <t>ホットリング,
リング</t>
  </si>
  <si>
    <t>2.5
(4)</t>
  </si>
  <si>
    <t>3
(4.8)</t>
  </si>
  <si>
    <t>メガボルト
（溜め強化）</t>
  </si>
  <si>
    <t>19
(21.85)</t>
  </si>
  <si>
    <t>22.8
(26.22)</t>
  </si>
  <si>
    <t>20-31</t>
  </si>
  <si>
    <t>21
(24.15)</t>
  </si>
  <si>
    <t>25.2
(28.98)</t>
  </si>
  <si>
    <t>32-38</t>
  </si>
  <si>
    <t>反射1：7-16F
反射2：8-16F
反射ダメージ倍率：1.8倍
反射速度倍率：2.4倍
反射飛び道具持続倍率：0.8倍
右足無敵：8-10F
左足無敵：8-16F
溜め開始：3F目</t>
  </si>
  <si>
    <t>7F/8F/9F</t>
  </si>
  <si>
    <t>両足無敵：6-8F
溜め開始：3F目</t>
  </si>
  <si>
    <t>8.5
(9.775)</t>
  </si>
  <si>
    <t>10.2
(11.73)</t>
  </si>
  <si>
    <t>8.67
(9.9705)</t>
  </si>
  <si>
    <t>アーム無敵：
10-23F（ドラゴン）
8-18F（ホットリング）
14-32F（メガボルト）</t>
  </si>
  <si>
    <t>空前, 空後
(通常)</t>
  </si>
  <si>
    <t>8.16
(9.384)</t>
  </si>
  <si>
    <t>着地後も全体フレームが有効。
ガード時、攻撃側の硬直がガード側の硬直よりも長くなる。
バウンド後はダメージ0.7倍。</t>
  </si>
  <si>
    <t>ホットリング, 
リング</t>
  </si>
  <si>
    <t>空前, 空後
(スマッシュ)</t>
  </si>
  <si>
    <t>12.24
(14.076)</t>
  </si>
  <si>
    <t>8F
(10F)</t>
  </si>
  <si>
    <t>着地後も全体フレームが有効。
ガード時、攻撃側の硬直がガード側の硬直よりも長くなる。
30-36F目はドラゴンレーザーに移行可能。
バウンド後はダメージ0.7倍。</t>
  </si>
  <si>
    <t>16
(18.4)</t>
  </si>
  <si>
    <t>19.2
(22.08)</t>
  </si>
  <si>
    <t>16.32
(18.768)</t>
  </si>
  <si>
    <t>13
(14.95)</t>
  </si>
  <si>
    <t>15.6
(17.94)</t>
  </si>
  <si>
    <t>13.26
(15.249)</t>
  </si>
  <si>
    <t>7.14
(12.24)
(12.24)</t>
  </si>
  <si>
    <t>25-32</t>
  </si>
  <si>
    <t>30-36</t>
  </si>
  <si>
    <t>4.5/6.5/6.5</t>
  </si>
  <si>
    <t>5.4/7.8/7.8</t>
  </si>
  <si>
    <t>4.59/6.63/6.63</t>
  </si>
  <si>
    <t>上B (アームジャンプ / アームフック)</t>
  </si>
  <si>
    <t>アームジャンプ</t>
  </si>
  <si>
    <t>全身無敵：8-13F (溜めなし)
アーム・腕先無敵：8-17F (溜め中)
全身無敵：18-25F (最大溜め)
13F目以降にボタンを離すと溜めジャンプ。</t>
  </si>
  <si>
    <t>4F目</t>
  </si>
  <si>
    <t>アームフック</t>
  </si>
  <si>
    <t>（通常）
（投げ強化）</t>
  </si>
  <si>
    <t>9
(10.35)</t>
  </si>
  <si>
    <t>10.8
(12.42)</t>
  </si>
  <si>
    <t>ワイヤーガケつかまり(上)：5-6F
ワイヤーガケつかまり(横)：7-8F</t>
  </si>
  <si>
    <t>最短動作</t>
  </si>
  <si>
    <t>下B (アームチェンジ)</t>
  </si>
  <si>
    <t>切り替えは最短で4F。
4F目までに入力で、すり抜けからの台降りをキャンセル可。</t>
  </si>
  <si>
    <t>装備（武器／道具）</t>
  </si>
  <si>
    <t>ダメージ倍率</t>
  </si>
  <si>
    <t>採掘間隔</t>
  </si>
  <si>
    <t>耐久度（剣）</t>
  </si>
  <si>
    <t>耐久度（他）</t>
  </si>
  <si>
    <t>木材</t>
  </si>
  <si>
    <t>石</t>
  </si>
  <si>
    <t>1.1倍</t>
  </si>
  <si>
    <t>0.95倍</t>
  </si>
  <si>
    <t>鉄</t>
  </si>
  <si>
    <t>1.2倍</t>
  </si>
  <si>
    <t>0.9倍</t>
  </si>
  <si>
    <t>95</t>
  </si>
  <si>
    <t>金</t>
  </si>
  <si>
    <t>ダイヤモンド</t>
  </si>
  <si>
    <t>1.35倍</t>
  </si>
  <si>
    <t>0.85倍</t>
  </si>
  <si>
    <t>装備なし</t>
  </si>
  <si>
    <t>2.0倍</t>
  </si>
  <si>
    <t>弱
(横強)</t>
  </si>
  <si>
    <t>押しっぱなしで弱攻撃を繰り返す。
ガード硬直補正倍率：0.25倍
剣耐久度減少：2.0</t>
  </si>
  <si>
    <t>3.74</t>
  </si>
  <si>
    <t>4.59</t>
  </si>
  <si>
    <t>2.72</t>
  </si>
  <si>
    <t>ツルハシ耐久度減少：4.5</t>
  </si>
  <si>
    <t>11.44</t>
  </si>
  <si>
    <t>12.48</t>
  </si>
  <si>
    <t>14.04</t>
  </si>
  <si>
    <t>8.32</t>
  </si>
  <si>
    <t>持続, 木材</t>
  </si>
  <si>
    <t>持続, 石</t>
  </si>
  <si>
    <t>9.24</t>
  </si>
  <si>
    <t>持続, 鉄</t>
  </si>
  <si>
    <t>10.08</t>
  </si>
  <si>
    <t>持続, 
ダイヤモンド</t>
  </si>
  <si>
    <t>11.34</t>
  </si>
  <si>
    <t>持続, 
装備なし</t>
  </si>
  <si>
    <t>6.72</t>
  </si>
  <si>
    <t>持続, 金</t>
  </si>
  <si>
    <t>押しっぱなしで上強攻撃を繰り返す。
斧耐久度減少：5.5</t>
  </si>
  <si>
    <t>7.15</t>
  </si>
  <si>
    <t>8.775</t>
  </si>
  <si>
    <t>12-35
(Rehit: 6)</t>
  </si>
  <si>
    <t>飛び道具判定。
（シールドヒット時に特殊仕様？）</t>
  </si>
  <si>
    <t>溜め開始：7F目
剣耐久度減少：
9.0（木材）
14.0（石／鉄／ダイヤモンド）
18.0（金）</t>
  </si>
  <si>
    <t>16.5</t>
  </si>
  <si>
    <t>20.25</t>
  </si>
  <si>
    <t>溜め開始：7F目
連, マグマヒット毎に自／敵共に1F硬直。
（シールドヒット時に特殊仕様？）
連, マグマ以外相殺なし。</t>
  </si>
  <si>
    <t>連, マグマ</t>
  </si>
  <si>
    <t>8-48
(Rehit: 6)</t>
  </si>
  <si>
    <t>〆, マグマ</t>
  </si>
  <si>
    <t>〆, 木材</t>
  </si>
  <si>
    <t>7.4</t>
  </si>
  <si>
    <t>〆, 石</t>
  </si>
  <si>
    <t>8.14</t>
  </si>
  <si>
    <t>〆, 鉄</t>
  </si>
  <si>
    <t>8.88</t>
  </si>
  <si>
    <t>〆, ダイヤモンド</t>
  </si>
  <si>
    <t>9.99</t>
  </si>
  <si>
    <t>〆, 金</t>
  </si>
  <si>
    <t>連1（前）</t>
  </si>
  <si>
    <t>8-11
(Rehit: 2)</t>
  </si>
  <si>
    <t>溜め開始：3F目
本体付随の飛び道具：
・相殺判定を持つすべての判定と相殺する。
・ガード時、攻撃側の硬直がガード側の硬直よりも長くなる。</t>
  </si>
  <si>
    <t>〆1（前）</t>
  </si>
  <si>
    <t>連2（後）</t>
  </si>
  <si>
    <t>26-29
(Rehit: 2)</t>
  </si>
  <si>
    <t>〆2（後）</t>
  </si>
  <si>
    <t>作業台
呼び出し</t>
  </si>
  <si>
    <t>HP：30.0%
ヒットストップ倍率：0.5倍
必要素材数：
木材2個 or 石4個 or 鉄1個</t>
  </si>
  <si>
    <t>押しっぱなしで空N攻撃を繰り返す。
ガード硬直補正倍率：0.25倍
剣耐久度減少：2.0</t>
  </si>
  <si>
    <t>ツルハシ耐久度減少：6.5</t>
  </si>
  <si>
    <t>11.55</t>
  </si>
  <si>
    <t>14.175</t>
  </si>
  <si>
    <t>16.2</t>
  </si>
  <si>
    <t>持続, 装備なし</t>
  </si>
  <si>
    <t>3-18</t>
  </si>
  <si>
    <t>12.65</t>
  </si>
  <si>
    <t>13.8</t>
  </si>
  <si>
    <t>15.525</t>
  </si>
  <si>
    <t>9.2</t>
  </si>
  <si>
    <t>14.3</t>
  </si>
  <si>
    <t>15.6</t>
  </si>
  <si>
    <t>持続, ダイヤ</t>
  </si>
  <si>
    <t>17.55</t>
  </si>
  <si>
    <t>5-20</t>
  </si>
  <si>
    <t>1-13</t>
  </si>
  <si>
    <t>押しっぱなしで空上攻撃を繰り返す。</t>
  </si>
  <si>
    <t>1-11</t>
  </si>
  <si>
    <t>1-50</t>
  </si>
  <si>
    <t>生成：12F
飛び降り：25F目以降
ガード時、攻撃側の硬直がガード側の硬直よりも長くなる。</t>
  </si>
  <si>
    <t>飛び降り後</t>
  </si>
  <si>
    <t>(28-*)</t>
  </si>
  <si>
    <t>NB (採掘 / クラフト / ブロック生成）</t>
  </si>
  <si>
    <t>中断</t>
  </si>
  <si>
    <t>消費耐久度：2.5
合計所持数：最大100（カービィ20）
 - 金素材：最大12
 - レッドストーン：最大15
 - ダイヤモンド：最大5
金素材は一度の採掘で4個
レッドストーンは一度の採掘で3個</t>
  </si>
  <si>
    <t xml:space="preserve">採掘, 
グレード１
</t>
  </si>
  <si>
    <t>生成：12n + 1</t>
  </si>
  <si>
    <t>生成：11n + 1</t>
  </si>
  <si>
    <t>生成： 9n + 1</t>
  </si>
  <si>
    <t>生成：24n + 1</t>
  </si>
  <si>
    <t>採掘,
木材質
その他
（終点／戦場）</t>
  </si>
  <si>
    <t>生成：14n + 1</t>
  </si>
  <si>
    <t>生成：13n + 1</t>
  </si>
  <si>
    <t>生成：28n + 1</t>
  </si>
  <si>
    <t>採掘, 石材質</t>
  </si>
  <si>
    <t>生成：18n + 1</t>
  </si>
  <si>
    <t>生成：17n + 1</t>
  </si>
  <si>
    <t>生成：16n + 1</t>
  </si>
  <si>
    <t>生成：36n + 1</t>
  </si>
  <si>
    <t>採掘, 鉄材質</t>
  </si>
  <si>
    <t>生成：23n + 1</t>
  </si>
  <si>
    <t>生成：22n + 1</t>
  </si>
  <si>
    <t>生成：21n + 1</t>
  </si>
  <si>
    <t>生成：48n + 1</t>
  </si>
  <si>
    <t>クラフト</t>
  </si>
  <si>
    <t>木材, 石, 鉄, 金</t>
  </si>
  <si>
    <t>生成：23F目</t>
  </si>
  <si>
    <t>生成直前までキャンセル可能。
必要素材数（生成／修理）
木材：2個／1個
石：1個／1個
鉄：4個／2個
金：4個／4個
ダイヤモンド：1個／1個</t>
  </si>
  <si>
    <t>生成：33F目</t>
  </si>
  <si>
    <t>修理</t>
  </si>
  <si>
    <t>生成：20F目</t>
  </si>
  <si>
    <t>ブロック生成</t>
  </si>
  <si>
    <t>生成：
6 (4) F目</t>
  </si>
  <si>
    <t>落下中は4F目に生成。
生成直前までキャンセル可能。
グレード１：8.0% (400F)
木材：12.0% (600F)
石：16.0% (800F)
鉄：20.0% (1000F)
1F経過毎に0.02%
着地18F目以降はダメージ速度8倍
頭突きで8.0%</t>
  </si>
  <si>
    <t>横B (トロッコ)</t>
  </si>
  <si>
    <t>風判定, 地上</t>
  </si>
  <si>
    <t>1-17</t>
  </si>
  <si>
    <t>ヘビーアーマー：60KB (18F~)
HP：7.0% (8.4%) (トロッコ無敵：1-17F)
ジャンプ：27F目以降
本体付随の飛び道具 (乗車時)：
・ガード時、攻撃側の硬直がガード側の硬直よりも長くなる。
相殺なし。</t>
  </si>
  <si>
    <t>乗員あり</t>
  </si>
  <si>
    <t>18-*
(Rehit: 60)</t>
  </si>
  <si>
    <t>9.5+</t>
  </si>
  <si>
    <t>11.4+</t>
  </si>
  <si>
    <t>乗員なし</t>
  </si>
  <si>
    <t>7+</t>
  </si>
  <si>
    <t>8.4+</t>
  </si>
  <si>
    <t>飛び降り</t>
  </si>
  <si>
    <t>上B (エリトラ)</t>
  </si>
  <si>
    <t>28-37</t>
  </si>
  <si>
    <t>着地隙：20F (尻もち)
ガケつかまり(前)：2F目以降
ガケつかまり(前後)：24F目以降 (空中)
相殺なし。</t>
  </si>
  <si>
    <t>23-32</t>
  </si>
  <si>
    <t>下B (TNT火薬)</t>
  </si>
  <si>
    <t>TNT設置</t>
  </si>
  <si>
    <t>生成：18F目</t>
  </si>
  <si>
    <t>24
(27)</t>
  </si>
  <si>
    <t>カッコ内は空中での全体フレーム。</t>
  </si>
  <si>
    <t>重量感知板</t>
  </si>
  <si>
    <t>TNT</t>
  </si>
  <si>
    <t>20/10</t>
  </si>
  <si>
    <t>24/12</t>
  </si>
  <si>
    <t>TNT HP：20%
炎属性の場合、与えるダメージ2倍。
TNTが破壊されると爆発。
生成後420F経過で爆発。
210F経過で点滅。</t>
  </si>
  <si>
    <t>28/14</t>
  </si>
  <si>
    <t>33.6/16.8</t>
  </si>
  <si>
    <t>8F/5F</t>
  </si>
  <si>
    <t>起爆, 感知者</t>
  </si>
  <si>
    <t>13-27</t>
  </si>
  <si>
    <t>17-31</t>
  </si>
  <si>
    <t>打撃, 金床</t>
  </si>
  <si>
    <t>剣耐久度減少：2.0</t>
  </si>
  <si>
    <t>2回/3回</t>
  </si>
  <si>
    <t>45F/44F</t>
  </si>
  <si>
    <t>27F/26F</t>
  </si>
  <si>
    <t>18F/17F</t>
  </si>
  <si>
    <t>31F/31F</t>
  </si>
  <si>
    <t>片翼　能力倍率</t>
  </si>
  <si>
    <t>1.12</t>
  </si>
  <si>
    <t>1.05</t>
  </si>
  <si>
    <t>1.03</t>
  </si>
  <si>
    <t>10-28Fは弱2に移行可能。
ボタン押しっぱなしでは19F目に移行。</t>
  </si>
  <si>
    <t>10-30Fは弱3に移行可能。
ボタン押しっぱなしでは19F目に移行。</t>
  </si>
  <si>
    <t>7.5/12/9</t>
  </si>
  <si>
    <t>9/14.4/10.8</t>
  </si>
  <si>
    <t>8F/11F/9F</t>
  </si>
  <si>
    <t>頭・胸・両腕無敵：13-15F
Hit 1は相殺なし。</t>
  </si>
  <si>
    <t>14/12.5/11</t>
  </si>
  <si>
    <t>16.8/15/13.2</t>
  </si>
  <si>
    <t>16-25</t>
  </si>
  <si>
    <t>10/8.5/7</t>
  </si>
  <si>
    <t>12/10.2/8.4</t>
  </si>
  <si>
    <t>10F/8F/7F</t>
  </si>
  <si>
    <t>13.5/20/20/
15/13.5</t>
  </si>
  <si>
    <t>16.2/24/24/
18/16.2</t>
  </si>
  <si>
    <t>9F/13F/13F/
10F/9F</t>
  </si>
  <si>
    <t>ヘビーアーマー：10-23F (20%, 片翼時)
溜め開始：9F目</t>
  </si>
  <si>
    <t>10.5/15.5/11.5</t>
  </si>
  <si>
    <t>12.6/18.6/13.8</t>
  </si>
  <si>
    <t>8F/10F/8F</t>
  </si>
  <si>
    <t>ヘビーアーマー：14-22F (20%, 片翼時)
溜め開始：13F目</t>
  </si>
  <si>
    <t>12/17/13</t>
  </si>
  <si>
    <t>14.4/20.4/15.6</t>
  </si>
  <si>
    <t>接地時</t>
  </si>
  <si>
    <t>16.5/13.5/
10.5/11.5/13</t>
  </si>
  <si>
    <t>19.8/16.2/
12.6/13.8/15.6</t>
  </si>
  <si>
    <t>11F/9F/
8F/8F/9F</t>
  </si>
  <si>
    <t>ヘビーアーマー：10-20F (20%, 片翼時)
接地時, 13.5％部のみ相殺なし。
他すべて相殺モーションなし。
溜め開始：9F目</t>
  </si>
  <si>
    <t>非接地時</t>
  </si>
  <si>
    <t>10.5/11.5/13</t>
  </si>
  <si>
    <t>12.6/13.8/15.6</t>
  </si>
  <si>
    <t>8.5/11/10</t>
  </si>
  <si>
    <t>10.2/13.2/12</t>
  </si>
  <si>
    <t>8.67/11.22/10.2</t>
  </si>
  <si>
    <t>壁突きはガケつかみ1回扱い。
着地までに最大3回。</t>
  </si>
  <si>
    <t>5.5/8/7</t>
  </si>
  <si>
    <t>6.6/9.6/8.4</t>
  </si>
  <si>
    <t>5.61/8.16/7.14</t>
  </si>
  <si>
    <t>壁突き</t>
  </si>
  <si>
    <t>壁突き, ジャンプ</t>
  </si>
  <si>
    <t>壁突き, 落下</t>
  </si>
  <si>
    <t>9.5/14.5/11.5</t>
  </si>
  <si>
    <t>11.4/17.4/13.8</t>
  </si>
  <si>
    <t>9.69/14.79/11.73</t>
  </si>
  <si>
    <t>7/11/8.5</t>
  </si>
  <si>
    <t>8.4/13.2/10.2</t>
  </si>
  <si>
    <t>7.14/11.22/8.67</t>
  </si>
  <si>
    <t>5-51</t>
  </si>
  <si>
    <t>15.3/10.2</t>
  </si>
  <si>
    <t>NB (フレア / メガフレア / ギガフレア)</t>
  </si>
  <si>
    <t>フレア</t>
  </si>
  <si>
    <t>41-114</t>
  </si>
  <si>
    <t>フレアは75F目に自動で爆発。
メガフレアは29F目に自動で爆発。
ギガフレアは48F目に自動で爆発。
フレア溜め解除からの最速発生は22F。
メガフレア溜め解除からの最速発生は21F。
21F目からガード・回避・ジャンプでキャンセル可能。
キャンセルは全体7F。</t>
  </si>
  <si>
    <t>メガフレア</t>
  </si>
  <si>
    <t>52-79</t>
  </si>
  <si>
    <t>10-18
(Rehit: 3)</t>
  </si>
  <si>
    <t>3.7</t>
  </si>
  <si>
    <t>ギガフレア</t>
  </si>
  <si>
    <t>130-176</t>
  </si>
  <si>
    <t>181</t>
  </si>
  <si>
    <t>7-24
(Rehit: 3)</t>
  </si>
  <si>
    <t>3.7/2.7/2</t>
  </si>
  <si>
    <t>4.44/3.24/2.4</t>
  </si>
  <si>
    <t>2F/2F/2F</t>
  </si>
  <si>
    <t>11/8/4</t>
  </si>
  <si>
    <t>13.2/9.6/4.8</t>
  </si>
  <si>
    <t>横B (シャドウフレア)</t>
  </si>
  <si>
    <t>付着, 溜めなし</t>
  </si>
  <si>
    <t>溜め解除からの最速発生は8F。
ダメージ = 1.5 + 3.0 / 27 (1 &lt;= 溜め &lt;= 27）
溜め10Fで球2個 (反射時3個)
溜め14Fで反射時球4個
溜め19Fで球3個 (反射時5個)</t>
  </si>
  <si>
    <t>付着, 最大溜め</t>
  </si>
  <si>
    <t>42-48</t>
  </si>
  <si>
    <t>球</t>
  </si>
  <si>
    <t>7-*</t>
  </si>
  <si>
    <t>ヒットから240F経過で発動。
2ヒット目以降は、溜め時間によって発動までの時間が35~180F加算される。
経過時間の上限は450F。
既に球が5つある場合は加算されない。
1つ毎に8Fずつ遅れて発動する。
球は付着中の相手にはヒットしない。</t>
  </si>
  <si>
    <t>球, 誘導</t>
  </si>
  <si>
    <t>上B (一閃 / 八刀一閃)</t>
  </si>
  <si>
    <t>一閃</t>
  </si>
  <si>
    <t>ガード硬直補正倍率：0.5倍
着地隙：27F
ガケつかまり(前後)：25-28F, 42F目以降
相殺なし。</t>
  </si>
  <si>
    <t>八刀一閃</t>
  </si>
  <si>
    <t>36, 38, 40, 
42, 44, 46, 48</t>
  </si>
  <si>
    <t>18F目まで長押しで八刀一閃に移行。
着地隙：56F
ガケつかまり(前後)：56F目以降
相殺なし。</t>
  </si>
  <si>
    <t>7/2.3</t>
  </si>
  <si>
    <t>8.4/2.76</t>
  </si>
  <si>
    <t>下B (閃光)</t>
  </si>
  <si>
    <t>受付：7-27F</t>
  </si>
  <si>
    <t>HP：25%</t>
  </si>
  <si>
    <t>当身, 連</t>
  </si>
  <si>
    <t>38-52
(Rehit: 5)</t>
  </si>
  <si>
    <t>当身, 〆</t>
  </si>
  <si>
    <t>カウンター, 連</t>
  </si>
  <si>
    <t>6-20
(Rehit: 5)</t>
  </si>
  <si>
    <t>2 ~ 4</t>
  </si>
  <si>
    <t>2.4 ~ 4.8</t>
  </si>
  <si>
    <t>受けた攻撃力でダメージが増加する。
(受ける攻撃力の上限は18%まで)
連ダメージ = 2 + (4 - 2) * 攻撃力 / 18
〆ダメージ = 6.5 + (18 - 6.5) * 攻撃力 / 18
全身無敵：1-10F
成立時20F硬直。</t>
  </si>
  <si>
    <t>カウンター, 〆</t>
  </si>
  <si>
    <t>6.5 ~ 18</t>
  </si>
  <si>
    <t>7.8 ~ 21.6</t>
  </si>
  <si>
    <t>3F ~ 6F</t>
  </si>
  <si>
    <t>7-30Fは弱2に移行可能。
空振り時にボタン長押しで11F目から弱1でキャンセル可能。</t>
  </si>
  <si>
    <t>14-30Fは弱3に移行可能。
13F目から百裂に移行可能。</t>
  </si>
  <si>
    <t>2, 6, 10, 14</t>
  </si>
  <si>
    <t>12.5/10.5</t>
  </si>
  <si>
    <t>15/12.6</t>
  </si>
  <si>
    <t>17F/14F</t>
  </si>
  <si>
    <t>6F/8F/8F</t>
  </si>
  <si>
    <t>HIt 2</t>
  </si>
  <si>
    <t>HIt 2, 持続</t>
  </si>
  <si>
    <t>11.0/13.5/8/10</t>
  </si>
  <si>
    <t>13.2/16.2/9.6/12</t>
  </si>
  <si>
    <t>8F/9F/6F/7F</t>
  </si>
  <si>
    <t>3-45</t>
  </si>
  <si>
    <t>6-37</t>
  </si>
  <si>
    <t>メテオ弱</t>
  </si>
  <si>
    <t>メテオ強</t>
  </si>
  <si>
    <t>NB (フレイムノヴァ)</t>
  </si>
  <si>
    <t>溜め前動作</t>
  </si>
  <si>
    <t>溜め後発生: 4F(小)、7F(中・大)。
溜め時間: 9-20Fで小、21-35Fで中、36-49Fで大。
以下は相殺なし。
・溜め小（Hit 4）
・溜め中（Hit 6）
・溜め大（Hit 8）</t>
  </si>
  <si>
    <t>地上・空中
溜め小</t>
  </si>
  <si>
    <t>Hit 1, 前</t>
  </si>
  <si>
    <t>4-6
(+9~20)</t>
  </si>
  <si>
    <t>49
(+9~20)</t>
  </si>
  <si>
    <t>Hit 2, 後</t>
  </si>
  <si>
    <t>Hit 3, 前</t>
  </si>
  <si>
    <t>Hit 4, 前後</t>
  </si>
  <si>
    <t>地上・空中
溜め中</t>
  </si>
  <si>
    <t>7-9
(+21~35)</t>
  </si>
  <si>
    <t>60
(+21~35)</t>
  </si>
  <si>
    <t>Hit 4, 後</t>
  </si>
  <si>
    <t>Hit 5, 前</t>
  </si>
  <si>
    <t>Hit 6, 前後</t>
  </si>
  <si>
    <t>37-43</t>
  </si>
  <si>
    <t>地上・空中
溜め大</t>
  </si>
  <si>
    <t>7-9
(+36~49)</t>
  </si>
  <si>
    <t>68
(+36~49)</t>
  </si>
  <si>
    <t>Hit 6, 後</t>
  </si>
  <si>
    <t>Hit 7, 前</t>
  </si>
  <si>
    <t>Hit 8, 前後</t>
  </si>
  <si>
    <t>45-51</t>
  </si>
  <si>
    <t>横B (ブレイズエンド)</t>
  </si>
  <si>
    <t>地上・空中
弾きなし</t>
  </si>
  <si>
    <t>地上：52
空中：47</t>
  </si>
  <si>
    <t>はじき入力猶予は4F。
回転, 連・回転, 〆は相殺なし。</t>
  </si>
  <si>
    <t>投擲, 対地1</t>
  </si>
  <si>
    <t>16-27
(Rehit: 9)</t>
  </si>
  <si>
    <t>投擲, 対地2</t>
  </si>
  <si>
    <t>投擲, 対空1</t>
  </si>
  <si>
    <t>16-27
(Rehit: 4)</t>
  </si>
  <si>
    <t>投擲, 対空2</t>
  </si>
  <si>
    <t>28-35
(Rehit: 3)</t>
  </si>
  <si>
    <t>回転, 連</t>
  </si>
  <si>
    <t>36-71
(Rehit: 8)</t>
  </si>
  <si>
    <t>回転, 風, 対地</t>
  </si>
  <si>
    <t>39-71
(Rehit: 1)</t>
  </si>
  <si>
    <t>回転, 〆</t>
  </si>
  <si>
    <t>73-85</t>
  </si>
  <si>
    <t>地上・空中
弾きあり</t>
  </si>
  <si>
    <t>投擲, 対地</t>
  </si>
  <si>
    <t>16-30
(Rehit: 7)</t>
  </si>
  <si>
    <t>16-31
(Rehit: 4)</t>
  </si>
  <si>
    <t>32-39
(Rehit: 3)</t>
  </si>
  <si>
    <t>37-72
(Rehit: 8)</t>
  </si>
  <si>
    <t>40-72
(Rehit: 1)</t>
  </si>
  <si>
    <t>74-86</t>
  </si>
  <si>
    <t>上B (プロミネンスリボルト)</t>
  </si>
  <si>
    <t>ガケつかまり(前)：20F目以降
ガケつかまり(前後)：42F目以降
相殺なし。</t>
  </si>
  <si>
    <t>41-*</t>
  </si>
  <si>
    <t>2-6</t>
  </si>
  <si>
    <t>火柱, 持続</t>
  </si>
  <si>
    <t>下B (ヒカリチェンジ)</t>
  </si>
  <si>
    <t>全身無敵：6-18F
19F目にヒカリへチェンジ。</t>
  </si>
  <si>
    <t>21F目から4F硬直。</t>
  </si>
  <si>
    <t>20
(9)</t>
  </si>
  <si>
    <t>8.5/7</t>
  </si>
  <si>
    <t>10.2/8.4</t>
  </si>
  <si>
    <t>3/4/4/3</t>
  </si>
  <si>
    <t>3.6/4.8/4.8/3.6</t>
  </si>
  <si>
    <t>4F/5F/5F/4F</t>
  </si>
  <si>
    <t>11-24
(Rehit: 5)</t>
  </si>
  <si>
    <t>9/10.5/6/7.5</t>
  </si>
  <si>
    <t>10.8/12.6/7.2/9</t>
  </si>
  <si>
    <t>7F/8F/5F/6F</t>
  </si>
  <si>
    <t>8-13
(Rehit: 3)</t>
  </si>
  <si>
    <t>8-37</t>
  </si>
  <si>
    <t>ガード硬直補正倍率：0.2倍 (着地)
着地は相殺なし。</t>
  </si>
  <si>
    <t>14-17
(Rehit: 0/3/0/0)</t>
  </si>
  <si>
    <t>3/2/3/3</t>
  </si>
  <si>
    <t>3.6/2.4/3.6/3.6</t>
  </si>
  <si>
    <t>3.06/2.04/3.06/3.06</t>
  </si>
  <si>
    <t>2F/2F/2F/2F</t>
  </si>
  <si>
    <t>18-19
(Rehit: 0/3/0)</t>
  </si>
  <si>
    <t>3/2/3</t>
  </si>
  <si>
    <t>3.6/2.4/3.6</t>
  </si>
  <si>
    <t>3.06/2.04/3.06</t>
  </si>
  <si>
    <t>5-28</t>
  </si>
  <si>
    <t xml:space="preserve">NB (ライトニングバスター)        </t>
  </si>
  <si>
    <t>溜め, 剣</t>
  </si>
  <si>
    <t>15-64
(Rehit: 5)</t>
  </si>
  <si>
    <t>ガード硬直補正倍率：2倍 (溜め, 最終段以外)
全身無敵：3-8F (溜め解除, 最速で7-12F)
全身無敵：65-72F, 76-80F (最大溜め)
相殺なし。</t>
  </si>
  <si>
    <t>溜めなし,
HIt 1</t>
  </si>
  <si>
    <t>溜めなし, 
HIt 2, 背中側</t>
  </si>
  <si>
    <t>溜めなし, 
Hit 3</t>
  </si>
  <si>
    <t>溜めなし, 
Hit 4</t>
  </si>
  <si>
    <t>溜めなし, 
Hit 5</t>
  </si>
  <si>
    <t>最大溜め, 
HIt 1</t>
  </si>
  <si>
    <t>最大溜め, 
HIt 2, 背中側</t>
  </si>
  <si>
    <t>71-72</t>
  </si>
  <si>
    <t>最大溜め,
Hit 3</t>
  </si>
  <si>
    <t>80-81</t>
  </si>
  <si>
    <t>最大溜め,
Hit 4</t>
  </si>
  <si>
    <t>90-91</t>
  </si>
  <si>
    <t>最大溜め,
Hit 5</t>
  </si>
  <si>
    <t>99-100</t>
  </si>
  <si>
    <t>最大溜め, 
HIt 6</t>
  </si>
  <si>
    <t>109-110</t>
  </si>
  <si>
    <t>横B (フォトンエッジ)</t>
  </si>
  <si>
    <t>全身無敵：18-19F
本体付随の飛び道具 (Hit 2-6)：
・ガード時、攻撃側の硬直がガード側の硬直よりも長くなる。
相殺なし。
着地隙：18F
ガケつかまり(前後)：70F目以降</t>
  </si>
  <si>
    <t>25, 32, 39, 46</t>
  </si>
  <si>
    <t>HIt 6</t>
  </si>
  <si>
    <t>上B (パニッシュメントレイ / レインボーダスト)</t>
  </si>
  <si>
    <t>30F目までボタン長押し、もしくは追加入力でレインボーダストに移行。
相殺なし。</t>
  </si>
  <si>
    <t>パニッシュメント
レイ</t>
  </si>
  <si>
    <t>光弾</t>
  </si>
  <si>
    <t>40-56</t>
  </si>
  <si>
    <t>着地隙：15F
ガケつかまり(前)：14-42F
ガケつかまり(前後)：58F目以降</t>
  </si>
  <si>
    <t>光弾, 炸裂</t>
  </si>
  <si>
    <t>レインボー
ダスト</t>
  </si>
  <si>
    <t>拡散弾</t>
  </si>
  <si>
    <t>41-56
42-57
43-58
44-59
45-60</t>
  </si>
  <si>
    <t xml:space="preserve">着地隙：20F
ガケつかまり(前)：14-29F
ガケつかまり(前後)：64F目以降
</t>
  </si>
  <si>
    <t>下B (ホムラチェンジ)</t>
  </si>
  <si>
    <t>全身無敵：6-18F
19F目にホムラへチェンジ。</t>
  </si>
  <si>
    <t>21F目から3F硬直。</t>
  </si>
  <si>
    <t>因果律予測</t>
  </si>
  <si>
    <t>弱攻撃
(閃光烈拳)</t>
  </si>
  <si>
    <t>9-22Fは弱2に移行可能。
ボタン押しっぱなしでは9F目に移行。
ガード硬直補正倍率：1.3倍</t>
  </si>
  <si>
    <t>1-9Fに追加入力かボタン押しっぱなしで9F目に派生3へ移行。
10-26Fは弱3に移行可能。</t>
  </si>
  <si>
    <t>弱3, 風判定</t>
  </si>
  <si>
    <t>10連コンボ</t>
  </si>
  <si>
    <t>1-8Fに追加入力かボタン押しっぱなしで8F目に派生4へ移行。</t>
  </si>
  <si>
    <t>1-12Fに追加入力かボタン押しっぱなしで12F目に派生5へ移行。</t>
  </si>
  <si>
    <t>1-13Fに追加入力かボタン押しっぱなしで13F目に派生6へ移行。</t>
  </si>
  <si>
    <t>派生6</t>
  </si>
  <si>
    <t>1-26Fに追加入力かボタン押しっぱなしで26F目に派生7へ移行。</t>
  </si>
  <si>
    <t>派生7</t>
  </si>
  <si>
    <t>1-15Fに追加入力かボタン押しっぱなしで15F目に派生8へ移行。</t>
  </si>
  <si>
    <t>派生8</t>
  </si>
  <si>
    <t>1-20Fに追加入力かボタン押しっぱなしで20F目に派生9へ移行。</t>
  </si>
  <si>
    <t>派生9</t>
  </si>
  <si>
    <t>1-17Fに追加入力かボタン押しっぱなしで17F目に派生10へ移行。
セビLV2に相当するその場倒れ（崩れ）。</t>
  </si>
  <si>
    <t>派生10</t>
  </si>
  <si>
    <t>シールド不可。
相殺なし。</t>
  </si>
  <si>
    <t>ダッシュ攻撃
(空斬脚)</t>
  </si>
  <si>
    <t>両足間, 対地</t>
  </si>
  <si>
    <t>両足先無敵：4-7F
左足先無敵：13-19F</t>
  </si>
  <si>
    <t>13F/14F/14F</t>
  </si>
  <si>
    <t xml:space="preserve">
(左踵落とし)</t>
  </si>
  <si>
    <t>13-15
(反射：7-17F)</t>
  </si>
  <si>
    <t>右向き時に→→(66) + 攻撃
ガード硬直補正倍率：1.1倍
左脚無敵：7-15F
反射：7-17F
反射ダメージ倍率：2.4倍
反射速度倍率：1.8倍
反射飛び道具持続倍率：0.8倍</t>
  </si>
  <si>
    <t>強攻撃</t>
  </si>
  <si>
    <t>強攻撃, 上
(ダブルアッパー)</t>
  </si>
  <si>
    <t>11-20Fは派生2に移行可能。
上半身無敵：4-10F</t>
  </si>
  <si>
    <t>上半身無敵：1-14F
右腕無敵：15-16F</t>
  </si>
  <si>
    <t>強攻撃, 前上
(螺旋幻魔脚)</t>
  </si>
  <si>
    <t>1-19Fに追加入力で20F目に派生2へ移行。
両脚無敵：4-7F
両足先無敵：8-16F</t>
  </si>
  <si>
    <t>1-15Fに追加入力で16F目に派生3へ移行。
ガード硬直補正倍率：2倍</t>
  </si>
  <si>
    <t>1-20Fに追加入力で21F目に派生4へ移行。
ガード硬直補正倍率：2倍</t>
  </si>
  <si>
    <t>強攻撃, 前
(鬼蹴り)</t>
  </si>
  <si>
    <t>左足先無敵：12-16F
ガード硬直補正倍率：0.8倍</t>
  </si>
  <si>
    <t>強攻撃, 前下
(踵切り)</t>
  </si>
  <si>
    <t>12-23Fは派生2に移行可能。
右脚無敵：8-11F</t>
  </si>
  <si>
    <t>右脚無敵：14-16F
ガード硬直補正倍率：1.5倍
14F目の攻撃判定はガードしているファイター／シールドにヒットしない。</t>
  </si>
  <si>
    <t>強攻撃, 下
(捻り裏拳)</t>
  </si>
  <si>
    <t>45
(20)</t>
  </si>
  <si>
    <t>全身無敵：13-15F
モーション中断：1-11Fにガード入力
59F目からしゃがみ状態。</t>
  </si>
  <si>
    <t>強攻撃, 後下
(腿砕き)</t>
  </si>
  <si>
    <t>右脚無敵：13-15F
ガード硬直補正倍率：1.7倍
転倒率：100%</t>
  </si>
  <si>
    <t>強攻撃, 後
(刃閃風)</t>
  </si>
  <si>
    <t>上半身無敵：7-13F
右脚無敵：10-13F</t>
  </si>
  <si>
    <t>強攻撃, 後上
(ジャンプサイドキック)</t>
  </si>
  <si>
    <t>左脚無敵：7-17F
右脚無敵：7-21F
7F目から空中移行。22F目に着地。</t>
  </si>
  <si>
    <t>しゃがみ攻撃</t>
  </si>
  <si>
    <t>しゃがみ, 前
(螺旋岩砕蹴)</t>
  </si>
  <si>
    <t>全身無敵：5-14F
右腕無敵：15-19F
右脚無敵：15-16F
ガード硬直補正倍率：1.1倍</t>
  </si>
  <si>
    <t>しゃがみ, 下
(シットジャブ)</t>
  </si>
  <si>
    <t>26
(15)</t>
  </si>
  <si>
    <t>左手無敵：6-8F
16F目からシットジャブでキャンセル可能。
足元の判定はダウン中のファイターにしかヒットしない。</t>
  </si>
  <si>
    <t>しゃがみ, 後
(シットスピンキック)</t>
  </si>
  <si>
    <t>左脚無敵：11-16F
ガード硬直補正倍率：1.5倍
相殺なし。</t>
  </si>
  <si>
    <t>立ち途中
(魔神拳)</t>
  </si>
  <si>
    <t>しゃがみ復帰19F目までに攻撃
上半身無敵：2-6F
右腕無敵；13-14F
その場倒れ（崩れ）。</t>
  </si>
  <si>
    <t>スマッシュ攻撃</t>
  </si>
  <si>
    <t>横スマッシュ
(魔神閃焦拳)</t>
  </si>
  <si>
    <t>23/26</t>
  </si>
  <si>
    <t>27.6/31.2</t>
  </si>
  <si>
    <t>25F/28F</t>
  </si>
  <si>
    <t>ヘビーアーマー： 7-24F (10.0%)
ガード硬直補正倍率：1.75倍
溜め開始：6F目</t>
  </si>
  <si>
    <t>上スマッシュ
(デビルツイスター)</t>
  </si>
  <si>
    <t>22.8</t>
  </si>
  <si>
    <t>ヘビーアーマー： 7-10F (6.0%)
右脚無敵：12-17F
溜め開始：6F目</t>
  </si>
  <si>
    <t>下スマッシュ
(獅子斬り包丁)</t>
  </si>
  <si>
    <t>17/15</t>
  </si>
  <si>
    <t>20.4/18</t>
  </si>
  <si>
    <t>ヘビーアーマー： 7-15F (6.0%)
右脚無敵：17-19F
ガード硬直補正倍率：1.2倍
溜め開始：3F目</t>
  </si>
  <si>
    <t>特殊コマンドワザ・その他</t>
  </si>
  <si>
    <t>風神ステップ</t>
  </si>
  <si>
    <t>右向き時に→↓↘(623) 
上半身無敵：1F目
全身無敵：2-4F
上半身無敵：5-12F
動作終了時はしゃがみ状態。
歩き／反転／ジャンプ／前ダッシュ／後ダッシュでキャンセル可能。</t>
  </si>
  <si>
    <t>風神拳</t>
  </si>
  <si>
    <t>風神ステップ中に攻撃短押し (1-5F)
上半身無敵：1-7F
右腕無敵：8-11F
ガード硬直補正倍率：1.2倍
相殺なし。</t>
  </si>
  <si>
    <t>最速風神拳</t>
  </si>
  <si>
    <t>17.4</t>
  </si>
  <si>
    <t>(16F)</t>
  </si>
  <si>
    <t>3と同時か1F後に攻撃短押し (1-5F)
上半身無敵：1-3F
全身無敵：4-8F
右腕無敵：9-12F
ガード硬直補正倍率：1.2倍
相殺なし。
ガードさせた際に特殊仕様。
相手はガードを解いた状態になる。
ガケ端でガードさせた場合はずり落ちる。
硬直差と仰け反り量は重量依存。
仰け反り後に地上にいる場合転倒することがある。</t>
  </si>
  <si>
    <t>雷神拳</t>
  </si>
  <si>
    <t>風神ステップ中に攻撃長押し (6F~)
上半身無敵：1-5F, 7-11F
全身無敵：12-19F
上半身無敵：20-22F
ガード硬直補正倍率：0.5倍
相殺なし。
最速風神拳成立時は4-5Fに全身無敵あり。
先行入力で出した場合は1-5Fの上半身無敵なし。</t>
  </si>
  <si>
    <t>奈落旋風</t>
  </si>
  <si>
    <t>風神ステップ中に必殺入力
全身無敵：4-9F
Hit 1は相殺モーションなし。
Hit 2は相殺なし。</t>
  </si>
  <si>
    <t>横アピール
(雷神烈衝拳)</t>
  </si>
  <si>
    <t>空N
(ジャンプナックル)</t>
  </si>
  <si>
    <t>11/9/8</t>
  </si>
  <si>
    <t>13.2/10.8/9.6</t>
  </si>
  <si>
    <t>11.22/9.18/8.16</t>
  </si>
  <si>
    <t>3-24</t>
  </si>
  <si>
    <t>6.12</t>
  </si>
  <si>
    <t>空前
(烈火脚)</t>
  </si>
  <si>
    <t>13.26</t>
  </si>
  <si>
    <t>空後
(ジャンピングソバット)</t>
  </si>
  <si>
    <t>16.32/14.28</t>
  </si>
  <si>
    <t>空上
(ライジングトゥーキック)</t>
  </si>
  <si>
    <t>12.24</t>
  </si>
  <si>
    <t>右脚無敵：4-9F</t>
  </si>
  <si>
    <t>空下
(破砕脚)</t>
  </si>
  <si>
    <t>19-49</t>
  </si>
  <si>
    <t>15.3</t>
  </si>
  <si>
    <t>NB (デビルブラスター)</t>
  </si>
  <si>
    <t>27-43</t>
  </si>
  <si>
    <t>(12F)
4F</t>
  </si>
  <si>
    <t>ガード硬直補正倍率：1.1倍 (1F目のみ)
ブラスターは1発につき3回ヒットで消滅。
1ヒットでダメージ0.75倍。
2ヒットでダメージ0.5倍。
相殺なし。</t>
  </si>
  <si>
    <t>(11F)
4F</t>
  </si>
  <si>
    <t>(10F)
4F</t>
  </si>
  <si>
    <t>(9F)
4F</t>
  </si>
  <si>
    <t>横B (デビルフィスト)</t>
  </si>
  <si>
    <t>66
(68)</t>
  </si>
  <si>
    <t>全身無敵：6-9F (地上)
着地隙：29F
ガケつかまり(前後)：24F目以降</t>
  </si>
  <si>
    <t>上B (デビルウィング)</t>
  </si>
  <si>
    <t>前後</t>
  </si>
  <si>
    <t>ガケつかまり(前後)：19F目以降</t>
  </si>
  <si>
    <t>中央</t>
  </si>
  <si>
    <t>下B (ヘブンズドア)</t>
  </si>
  <si>
    <t>49
(59)</t>
  </si>
  <si>
    <t>ヘビーアーマー：5-13F (10.0％)</t>
  </si>
  <si>
    <t>腕</t>
  </si>
  <si>
    <t>足元, ダウンのみ</t>
  </si>
  <si>
    <t>着地時に2F目から10F硬直。
打撃部分は投げ中の相手にはヒットしない。
相殺なし。</t>
  </si>
  <si>
    <t>着地, 打撃</t>
  </si>
  <si>
    <t>着地, 投げ</t>
  </si>
  <si>
    <t>レイジドライブ</t>
  </si>
  <si>
    <t>地上,
下B入力</t>
  </si>
  <si>
    <t>全身無敵：1-3F
スーパーアーマー：5-13F
つかみから発動する場合、つかみ開始時にLスティックが倒されていない場合のみ移行。</t>
  </si>
  <si>
    <t>52-*</t>
  </si>
  <si>
    <t>15 (16.5)</t>
  </si>
  <si>
    <t>つかみ成立から投げまで当たりあり全身無敵。
31F目からつかまれたファイターも当たりあり全身無敵。
相殺なし。</t>
  </si>
  <si>
    <t>11.5 (12.65)</t>
  </si>
  <si>
    <t>13 (14.3)</t>
  </si>
  <si>
    <t>地上,
コマンド入力</t>
  </si>
  <si>
    <t>10-13
(+5)</t>
  </si>
  <si>
    <t>54
(+5)</t>
  </si>
  <si>
    <t>風神ステップ中に攻撃／必殺長押し (6F~)
立ち状態からでは移行前の5Fが必要になる。
全身無敵：1-3F
スーパーアーマー：4-10F</t>
  </si>
  <si>
    <t>18 (19.8)</t>
  </si>
  <si>
    <t>16 (17.6)</t>
  </si>
  <si>
    <t>つかみ攻撃
(六腑砕き)</t>
  </si>
  <si>
    <t>前投げ
(旋蹴り)</t>
  </si>
  <si>
    <t>後投げ
(鐘楼落とし)</t>
  </si>
  <si>
    <t>上投げ
(エアインフェルノ)</t>
  </si>
  <si>
    <t>40-49</t>
  </si>
  <si>
    <t>ブラスターは1発につき3回ヒットで消滅。
1ヒットでダメージ0.75倍、2ヒットで0.5倍。
ブラスターは相殺なし。</t>
  </si>
  <si>
    <t>下投げ
(超ぱちき)</t>
  </si>
  <si>
    <t>コマンド投げ
(地獄門)</t>
  </si>
  <si>
    <t xml:space="preserve">右向き時に↘↓↘(323) + つかみ             </t>
  </si>
  <si>
    <t>18-38Fは弱2に移行可能。
ボタン押しっぱなしでは20F目に移行。
ガード硬直補正倍率：3倍</t>
  </si>
  <si>
    <t>17-36Fは弱3に移行可能。
ボタン押しっぱなしでは19F目に移行。
ガード硬直補正倍率：3倍</t>
  </si>
  <si>
    <t>ガード硬直補正倍率：3倍</t>
  </si>
  <si>
    <t>右足無敵：7-18F
ガード硬直補正倍率：2.2倍</t>
  </si>
  <si>
    <t>横強1, 単発</t>
  </si>
  <si>
    <t>1-12Fに追加入力かボタン押しっぱなしで28F目に横強2へ移行。
ガード硬直補正倍率：2.4倍 (単発)
ガード硬直補正倍率：3倍 (コンボ)</t>
  </si>
  <si>
    <t>横強1, コンボ</t>
  </si>
  <si>
    <t>1-16Fに追加入力かボタン押しっぱなしで17F目に横強3へ移行。
17-35Fも横強3に移行可能。
ガード硬直補正倍率：3倍</t>
  </si>
  <si>
    <t>ガード硬直補正倍率：2.4倍</t>
  </si>
  <si>
    <t>12-13, 16-17, 
20-21, 24-25</t>
  </si>
  <si>
    <t>33-36</t>
  </si>
  <si>
    <t>ガード硬直補正倍率：2倍
ガード硬直補正倍率：1.9倍 (持続, 先端のみ)
溜め開始：6F目</t>
  </si>
  <si>
    <t>14.6</t>
  </si>
  <si>
    <t>15.2</t>
  </si>
  <si>
    <t>全身無敵：3-6F
下半身無敵：7-10F
溜め開始：3F目</t>
  </si>
  <si>
    <t>14.2</t>
  </si>
  <si>
    <t>空N1</t>
  </si>
  <si>
    <t>23-41Fは空N2に移行可能。
ボタン押しっぱなしでは23F目に移行。</t>
  </si>
  <si>
    <t>空N2</t>
  </si>
  <si>
    <t>20-33Fは空N3に移行可能。
ボタン押しっぱなしでは20F目に移行。</t>
  </si>
  <si>
    <t>空N3</t>
  </si>
  <si>
    <t>23-43Fは空前2に移行可能。
ボタン押しっぱなしでは23F目に移行。</t>
  </si>
  <si>
    <t>20-33Fは空前3に移行可能。
ボタン押しっぱなしでは20F目に移行。</t>
  </si>
  <si>
    <t>10-18</t>
  </si>
  <si>
    <t>12.2</t>
  </si>
  <si>
    <t>15-44</t>
  </si>
  <si>
    <t>9.8</t>
  </si>
  <si>
    <t>ガード硬直補正倍率：3.6倍
着地は対地のみ。</t>
  </si>
  <si>
    <t>NB (まほう)</t>
  </si>
  <si>
    <t>ファイガ</t>
  </si>
  <si>
    <t>1発追加毎に36F追加。
ガード硬直補正倍率：1.05倍</t>
  </si>
  <si>
    <t>36-55</t>
  </si>
  <si>
    <t>サンダガ</t>
  </si>
  <si>
    <t>生成：26F目, 40F目, 54F目</t>
  </si>
  <si>
    <t>30-52, 
44-66, 
58-80</t>
  </si>
  <si>
    <t>ブリザガ</t>
  </si>
  <si>
    <t>氷弾, 1-7発</t>
  </si>
  <si>
    <t>15-27, 18-30, 
20-32, 23-35, 
25-37, 28-40, 
30-42</t>
  </si>
  <si>
    <t>氷弾, 8発</t>
  </si>
  <si>
    <t>33-47</t>
  </si>
  <si>
    <t>横B (ソニックレイヴ)</t>
  </si>
  <si>
    <t>(48)</t>
  </si>
  <si>
    <t>16-26F, 44-54Fに追加入力かボタン押しっぱなしでロックオン。
ロックオン時は攻撃力上昇。
着地隙：20F
ガケつかまり(前後)：26F目以降 (Hit 1)
ガケつかまり(前後)：54F目以降 (Hit 2)
ガケつかまり(前後)：82F目以降 (Hit 3)
ガケつかまり(前後)：26-27F (Hit 1, 派生時)
ガケつかまり(前後)：54-55F (Hit 2, 派生時)</t>
  </si>
  <si>
    <t>45-52</t>
  </si>
  <si>
    <t>(88)</t>
  </si>
  <si>
    <t>3 (5.2)</t>
  </si>
  <si>
    <t>3.6 (6.24)</t>
  </si>
  <si>
    <t>4F (6F)</t>
  </si>
  <si>
    <t>73-80</t>
  </si>
  <si>
    <t>(120)</t>
  </si>
  <si>
    <t>上B (エリアルスイープ)</t>
  </si>
  <si>
    <t>50-71Fにソニックレイヴへ移行可能。
着地隙：21F
ガケつかまり(前後)：24F目以降</t>
  </si>
  <si>
    <t>受付：8-25F</t>
  </si>
  <si>
    <t>全身無敵：7-8F
カウンター受付：8-25F
カウンターダメージ倍率：1.5倍</t>
  </si>
  <si>
    <t>9 ~ 30</t>
  </si>
  <si>
    <t>10.8 ~ 36</t>
  </si>
  <si>
    <t>9F ~ 26F</t>
  </si>
  <si>
    <t xml:space="preserve">全身無敵：1-29F
最低保障ダメージ：9%
最大ダメージ：30%
成立時6F硬直。
カウンター成立で、相手は姿勢を崩すモーションに移行。
空中で姿勢を崩された場合は26F目から行動可能。
</t>
  </si>
  <si>
    <t>カウンター, 
飛び道具</t>
  </si>
  <si>
    <t>全身無敵：1-11F
最低保障ダメージ：9%
最大ダメージ：30%
反射ダメージ倍率：1.4倍
反射速度倍率：1.8倍
反射飛び道具持続倍率：0.5倍</t>
  </si>
  <si>
    <t>11-31</t>
  </si>
  <si>
    <t>18F目から3F硬直。</t>
  </si>
  <si>
    <t>displayNum</t>
  </si>
  <si>
    <t>ja_JP</t>
  </si>
  <si>
    <t>13.0.1</t>
  </si>
  <si>
    <t>file</t>
  </si>
  <si>
    <t>series</t>
  </si>
  <si>
    <t>colorCode</t>
  </si>
  <si>
    <t>サムネ</t>
  </si>
  <si>
    <t>fontType</t>
  </si>
  <si>
    <t>sheetName</t>
  </si>
  <si>
    <t>nameNeutralB</t>
  </si>
  <si>
    <t>nameSideB</t>
  </si>
  <si>
    <t>nameUpB</t>
  </si>
  <si>
    <t>nameDownB</t>
  </si>
  <si>
    <t>No.</t>
  </si>
  <si>
    <t>Chr ID</t>
  </si>
  <si>
    <t>CSS</t>
  </si>
  <si>
    <t>File</t>
  </si>
  <si>
    <t>マリオ</t>
  </si>
  <si>
    <t>MARIO</t>
  </si>
  <si>
    <t>mario</t>
  </si>
  <si>
    <t>#ec2320</t>
  </si>
  <si>
    <t>https://i.imgur.com/TraYZoX.png</t>
  </si>
  <si>
    <t>ファイアボール</t>
  </si>
  <si>
    <t>スーパーマント</t>
  </si>
  <si>
    <t>スーパージャンプパンチ</t>
  </si>
  <si>
    <t>ポンプ</t>
  </si>
  <si>
    <t>ドンキーコング</t>
  </si>
  <si>
    <t>DONKEY KONG</t>
  </si>
  <si>
    <t>donkey_kong</t>
  </si>
  <si>
    <t>donkeykong</t>
  </si>
  <si>
    <t>#007d1e</t>
  </si>
  <si>
    <t>https://i.imgur.com/ryWeBkS.png</t>
  </si>
  <si>
    <t>ジャイアントパンチ</t>
  </si>
  <si>
    <t>ドンキーヘッドバッド</t>
  </si>
  <si>
    <t>スピニングコング</t>
  </si>
  <si>
    <t>ハンドスラップ</t>
  </si>
  <si>
    <t>donkey</t>
  </si>
  <si>
    <t>リンク</t>
  </si>
  <si>
    <t>LINK</t>
  </si>
  <si>
    <t>link</t>
  </si>
  <si>
    <t>zelda</t>
  </si>
  <si>
    <t>#5bb8d4</t>
  </si>
  <si>
    <t>https://i.imgur.com/ryYhpyb.png</t>
  </si>
  <si>
    <t>弓矢</t>
  </si>
  <si>
    <t>ブーメラン</t>
  </si>
  <si>
    <t>回転斬り</t>
  </si>
  <si>
    <t>リモコンバクダン</t>
  </si>
  <si>
    <t>サムス</t>
  </si>
  <si>
    <t>SAMUS</t>
  </si>
  <si>
    <t>samus</t>
  </si>
  <si>
    <t>metroid</t>
  </si>
  <si>
    <t>#fe8116</t>
  </si>
  <si>
    <t>https://i.imgur.com/v3OyX23.png</t>
  </si>
  <si>
    <t>チャージショット</t>
  </si>
  <si>
    <t>ミサイル</t>
  </si>
  <si>
    <t>スクリューアタック</t>
  </si>
  <si>
    <t>ダークサムス</t>
  </si>
  <si>
    <t>DARK SAMUS</t>
  </si>
  <si>
    <t>dark_samus</t>
  </si>
  <si>
    <t>#32474a</t>
  </si>
  <si>
    <t>https://i.imgur.com/HXUqa68.png</t>
  </si>
  <si>
    <t>samusd</t>
  </si>
  <si>
    <t>ヨッシー</t>
  </si>
  <si>
    <t>YOSHI</t>
  </si>
  <si>
    <t>yoshi</t>
  </si>
  <si>
    <t>#00a920</t>
  </si>
  <si>
    <t>https://i.imgur.com/DtbEru5.png</t>
  </si>
  <si>
    <t>たまご産み</t>
  </si>
  <si>
    <t>ごろごろたまご</t>
  </si>
  <si>
    <t>たまご投げ</t>
  </si>
  <si>
    <t>ヒップドロップ</t>
  </si>
  <si>
    <t>younglink</t>
  </si>
  <si>
    <t>カービィ</t>
  </si>
  <si>
    <t>KIRBY</t>
  </si>
  <si>
    <t>kirby</t>
  </si>
  <si>
    <t>#f2c0c4</t>
  </si>
  <si>
    <t>https://i.imgur.com/Tlh7tUW.png</t>
  </si>
  <si>
    <t>ファイナルカッター</t>
  </si>
  <si>
    <t>ストーン</t>
  </si>
  <si>
    <t>フォックス</t>
  </si>
  <si>
    <t>FOX</t>
  </si>
  <si>
    <t>fox</t>
  </si>
  <si>
    <t>starfox</t>
  </si>
  <si>
    <t>#f59d26</t>
  </si>
  <si>
    <t>https://i.imgur.com/D6V4YgY.png</t>
  </si>
  <si>
    <t>フォックスイリュージョン</t>
  </si>
  <si>
    <t>ファイアフォックス</t>
  </si>
  <si>
    <t>リフレクター</t>
  </si>
  <si>
    <t>ピカチュウ</t>
  </si>
  <si>
    <t>PIKACHU</t>
  </si>
  <si>
    <t>pikachu</t>
  </si>
  <si>
    <t>pokemon</t>
  </si>
  <si>
    <t>#fddd05</t>
  </si>
  <si>
    <t>https://i.imgur.com/76qy60s.png</t>
  </si>
  <si>
    <t>でんげき</t>
  </si>
  <si>
    <t>ロケットずつき</t>
  </si>
  <si>
    <t>でんこうせっか</t>
  </si>
  <si>
    <t>かみなり</t>
  </si>
  <si>
    <t>ルイージ</t>
  </si>
  <si>
    <t>LUIGI</t>
  </si>
  <si>
    <t>luigi</t>
  </si>
  <si>
    <t>#4ebc56</t>
  </si>
  <si>
    <t>https://i.imgur.com/uqfJw6J.png</t>
  </si>
  <si>
    <t>ルイージロケット</t>
  </si>
  <si>
    <t>ルイージサイクロン</t>
  </si>
  <si>
    <t>ネス</t>
  </si>
  <si>
    <t>NESS</t>
  </si>
  <si>
    <t>ness</t>
  </si>
  <si>
    <t>mother</t>
  </si>
  <si>
    <t>#de413d</t>
  </si>
  <si>
    <t>https://i.imgur.com/2Gtqid2.png</t>
  </si>
  <si>
    <t>PKフラッシュ</t>
  </si>
  <si>
    <t>PKファイヤー</t>
  </si>
  <si>
    <t>PKサンダー</t>
  </si>
  <si>
    <t>サイマグネット</t>
  </si>
  <si>
    <t>キャプテン・ファルコン</t>
  </si>
  <si>
    <t>CAPTAIN FALCON</t>
  </si>
  <si>
    <t>captain_falcon</t>
  </si>
  <si>
    <t>f-zero</t>
  </si>
  <si>
    <t>#6b56b1</t>
  </si>
  <si>
    <t>https://i.imgur.com/GopnQpR.png</t>
  </si>
  <si>
    <t>ファルコンパンチ</t>
  </si>
  <si>
    <t>ファルコンナックル</t>
  </si>
  <si>
    <t>ファルコンダイブ</t>
  </si>
  <si>
    <t>ファルコンキック</t>
  </si>
  <si>
    <t>captain</t>
  </si>
  <si>
    <t>プリン</t>
  </si>
  <si>
    <t>JIGGLYPUFF</t>
  </si>
  <si>
    <t>purin</t>
  </si>
  <si>
    <t>#efadbb</t>
  </si>
  <si>
    <t>https://i.imgur.com/jj9pXk2.png</t>
  </si>
  <si>
    <t>ころがる</t>
  </si>
  <si>
    <t>はたく</t>
  </si>
  <si>
    <t>うたう</t>
  </si>
  <si>
    <t>ねむる</t>
  </si>
  <si>
    <t>ピーチ</t>
  </si>
  <si>
    <t>PEACH</t>
  </si>
  <si>
    <t>peach</t>
  </si>
  <si>
    <t>#fe7ea2</t>
  </si>
  <si>
    <t>https://i.imgur.com/Dqrmk5i.png</t>
  </si>
  <si>
    <t>キノピオガード</t>
  </si>
  <si>
    <t>ピーチボンバー</t>
  </si>
  <si>
    <t>ピーチパラソル</t>
  </si>
  <si>
    <t>野菜引っこ抜き</t>
  </si>
  <si>
    <t>デイジー</t>
  </si>
  <si>
    <t>DAISY</t>
  </si>
  <si>
    <t>daisy</t>
  </si>
  <si>
    <t>#f5bf2d</t>
  </si>
  <si>
    <t>https://i.imgur.com/Jh7rNYP.png</t>
  </si>
  <si>
    <t>デイジーボンバー</t>
  </si>
  <si>
    <t>デイジーパラソル</t>
  </si>
  <si>
    <t>クッパ</t>
  </si>
  <si>
    <t>BOWSER</t>
  </si>
  <si>
    <t>koopa</t>
  </si>
  <si>
    <t>#44745e</t>
  </si>
  <si>
    <t>https://i.imgur.com/WLfuyTs.png</t>
  </si>
  <si>
    <t>クッパブレス</t>
  </si>
  <si>
    <t>ダイビングプレス</t>
  </si>
  <si>
    <t>スピニングシェル</t>
  </si>
  <si>
    <t>クッパドロップ</t>
  </si>
  <si>
    <t>アイスクライマー</t>
  </si>
  <si>
    <t>ICE CLIMBERS</t>
  </si>
  <si>
    <t>ice_climber</t>
  </si>
  <si>
    <t>iceclimber</t>
  </si>
  <si>
    <t>#72eaed</t>
  </si>
  <si>
    <t>https://i.imgur.com/RuhMEGG.png</t>
  </si>
  <si>
    <t>アイスショット</t>
  </si>
  <si>
    <t>トルネードハンマー</t>
  </si>
  <si>
    <t>ゴムジャンプ</t>
  </si>
  <si>
    <t>ブリザード</t>
  </si>
  <si>
    <t>popo</t>
  </si>
  <si>
    <t>シーク</t>
  </si>
  <si>
    <t>SHEIK</t>
  </si>
  <si>
    <t>sheik</t>
  </si>
  <si>
    <t>#756fd0</t>
  </si>
  <si>
    <t>https://i.imgur.com/PtO8nvd.png</t>
  </si>
  <si>
    <t>仕込針</t>
  </si>
  <si>
    <t>炸裂丸</t>
  </si>
  <si>
    <t>浮身</t>
  </si>
  <si>
    <t>跳魚</t>
  </si>
  <si>
    <t>ゼルダ</t>
  </si>
  <si>
    <t>ZELDA</t>
  </si>
  <si>
    <t>#ee7a9f</t>
  </si>
  <si>
    <t>https://i.imgur.com/aeW4jDP.png</t>
  </si>
  <si>
    <t>ネールの愛</t>
  </si>
  <si>
    <t>ディンの炎</t>
  </si>
  <si>
    <t>フロルの風</t>
  </si>
  <si>
    <t>ファントムアタック</t>
  </si>
  <si>
    <t>ドクターマリオ</t>
  </si>
  <si>
    <t>DR. MARIO</t>
  </si>
  <si>
    <t>dr_mario</t>
  </si>
  <si>
    <t>#b3b3b3</t>
  </si>
  <si>
    <t>https://i.imgur.com/rYo9mOk.png</t>
  </si>
  <si>
    <t>カプセル</t>
  </si>
  <si>
    <t>スーパーシーツ</t>
  </si>
  <si>
    <t>ドクタートルネード</t>
  </si>
  <si>
    <t>mariod</t>
  </si>
  <si>
    <t>ピチュー</t>
  </si>
  <si>
    <t>PICHU</t>
  </si>
  <si>
    <t>pichu</t>
  </si>
  <si>
    <t>#fafd8a</t>
  </si>
  <si>
    <t>https://i.imgur.com/qYQZQlN.png</t>
  </si>
  <si>
    <t>こうそくいどう</t>
  </si>
  <si>
    <t>ファルコ</t>
  </si>
  <si>
    <t>FALCO</t>
  </si>
  <si>
    <t>falco</t>
  </si>
  <si>
    <t>#464ec2</t>
  </si>
  <si>
    <t>https://i.imgur.com/LyoLSFh.png</t>
  </si>
  <si>
    <t>ファルコビジョン</t>
  </si>
  <si>
    <t>ファイアバード</t>
  </si>
  <si>
    <t>リフレクターシュート</t>
  </si>
  <si>
    <t>マルス</t>
  </si>
  <si>
    <t>MARTH</t>
  </si>
  <si>
    <t>marth</t>
  </si>
  <si>
    <t>fireemblem</t>
  </si>
  <si>
    <t>#5da8c8</t>
  </si>
  <si>
    <t>https://i.imgur.com/u5texFO.png</t>
  </si>
  <si>
    <t>シールドブレイカー</t>
  </si>
  <si>
    <t>マーベラスコンビネーション</t>
  </si>
  <si>
    <t>ドルフィンスラッシュ</t>
  </si>
  <si>
    <t>ルキナ</t>
  </si>
  <si>
    <t>LUCINA</t>
  </si>
  <si>
    <t>lucina</t>
  </si>
  <si>
    <t>#7ea6c7</t>
  </si>
  <si>
    <t>https://i.imgur.com/TMrGk7T.png</t>
  </si>
  <si>
    <t>こどもリンク</t>
  </si>
  <si>
    <t>YOUNG LINK</t>
  </si>
  <si>
    <t>young_link</t>
  </si>
  <si>
    <t>#70a174</t>
  </si>
  <si>
    <t>https://i.imgur.com/a2KHL8I.png</t>
  </si>
  <si>
    <t>炎の弓矢</t>
  </si>
  <si>
    <t>爆弾</t>
  </si>
  <si>
    <t>ガノンドロフ</t>
  </si>
  <si>
    <t>GANONDORF</t>
  </si>
  <si>
    <t>ganondorf</t>
  </si>
  <si>
    <t>#4f0f0f</t>
  </si>
  <si>
    <t>https://i.imgur.com/0XUnwMD.png</t>
  </si>
  <si>
    <t>魔人拳</t>
  </si>
  <si>
    <t>炎獄握</t>
  </si>
  <si>
    <t>雷神掌</t>
  </si>
  <si>
    <t>烈鬼脚</t>
  </si>
  <si>
    <t>ganon</t>
  </si>
  <si>
    <t>ミュウツー</t>
  </si>
  <si>
    <t>MEWTWO</t>
  </si>
  <si>
    <t>mewtwo</t>
  </si>
  <si>
    <t>#7974a4</t>
  </si>
  <si>
    <t>https://i.imgur.com/yOpWwBh.png</t>
  </si>
  <si>
    <t>シャドーボール</t>
  </si>
  <si>
    <t>ねんりき</t>
  </si>
  <si>
    <t>テレポート</t>
  </si>
  <si>
    <t>かなしばり</t>
  </si>
  <si>
    <t>ロイ</t>
  </si>
  <si>
    <t>ROY</t>
  </si>
  <si>
    <t>roy</t>
  </si>
  <si>
    <t>#852924</t>
  </si>
  <si>
    <t>https://i.imgur.com/P3iV82y.png</t>
  </si>
  <si>
    <t>エクスプロージョン</t>
  </si>
  <si>
    <t>ブレイザー</t>
  </si>
  <si>
    <t>クロム</t>
  </si>
  <si>
    <t>CHROM</t>
  </si>
  <si>
    <t>chrom</t>
  </si>
  <si>
    <t>#3d4960</t>
  </si>
  <si>
    <t>https://i.imgur.com/kgMkCEz.png</t>
  </si>
  <si>
    <t>翔流斬</t>
  </si>
  <si>
    <t>Mr. ゲーム&amp;ウォッチ</t>
  </si>
  <si>
    <t>MR. GAME &amp; WATCH</t>
  </si>
  <si>
    <t>mr_game_and_watch</t>
  </si>
  <si>
    <t>gamewatch</t>
  </si>
  <si>
    <t>#bcbcbc</t>
  </si>
  <si>
    <t>https://i.imgur.com/uB3EhTN.png</t>
  </si>
  <si>
    <t>シェフ</t>
  </si>
  <si>
    <t>ジャッジ</t>
  </si>
  <si>
    <t>ファイア</t>
  </si>
  <si>
    <t>オイルパニック</t>
  </si>
  <si>
    <t>メタナイト</t>
  </si>
  <si>
    <t>META KNIGHT</t>
  </si>
  <si>
    <t>meta_knight</t>
  </si>
  <si>
    <t>#464664</t>
  </si>
  <si>
    <t>https://i.imgur.com/XrDc8YA.png</t>
  </si>
  <si>
    <t>マッハトルネイド</t>
  </si>
  <si>
    <t>ドリルラッシュ</t>
  </si>
  <si>
    <t>シャトルループ</t>
  </si>
  <si>
    <t>ディメンジョンマント</t>
  </si>
  <si>
    <t>metaknight</t>
  </si>
  <si>
    <t>ピット</t>
  </si>
  <si>
    <t>PIT</t>
  </si>
  <si>
    <t>pit</t>
  </si>
  <si>
    <t>palutena</t>
  </si>
  <si>
    <t>#ebebeb</t>
  </si>
  <si>
    <t>https://i.imgur.com/XJC3JKB.png</t>
  </si>
  <si>
    <t>パルテナの神弓</t>
  </si>
  <si>
    <t>豪腕ダッシュアッパー</t>
  </si>
  <si>
    <t>飛翔の奇跡</t>
  </si>
  <si>
    <t>衛星ガーディアンズ</t>
  </si>
  <si>
    <t>ブラックピット</t>
  </si>
  <si>
    <t>DARK PIT</t>
  </si>
  <si>
    <t>black_pit</t>
  </si>
  <si>
    <t>#252434</t>
  </si>
  <si>
    <t>https://i.imgur.com/5DsIl5b.png</t>
  </si>
  <si>
    <t>神弓シルバーリップ</t>
  </si>
  <si>
    <t>豪腕デンショッカー</t>
  </si>
  <si>
    <t>pitb</t>
  </si>
  <si>
    <t>ゼロスーツサムス</t>
  </si>
  <si>
    <t>ZERO SUIT SAMUS</t>
  </si>
  <si>
    <t>zero_suit_samus</t>
  </si>
  <si>
    <t>#67b8cf</t>
  </si>
  <si>
    <t>https://i.imgur.com/q44qlDE.png</t>
  </si>
  <si>
    <t>パラライザー</t>
  </si>
  <si>
    <t>プラズマウィップ</t>
  </si>
  <si>
    <t>ブーストキック</t>
  </si>
  <si>
    <t>フリップジャンプ</t>
  </si>
  <si>
    <t>szerosuit</t>
  </si>
  <si>
    <t>ワリオ</t>
  </si>
  <si>
    <t>WARIO</t>
  </si>
  <si>
    <t>wario</t>
  </si>
  <si>
    <t>#fde51b</t>
  </si>
  <si>
    <t>https://i.imgur.com/nf4I6qz.png</t>
  </si>
  <si>
    <t>ワリオかみつき</t>
  </si>
  <si>
    <t>ワリオバイク</t>
  </si>
  <si>
    <t>コークスクリュー</t>
  </si>
  <si>
    <t>ワリオっぺ</t>
  </si>
  <si>
    <t>スネーク</t>
  </si>
  <si>
    <t>SNAKE</t>
  </si>
  <si>
    <t>snake</t>
  </si>
  <si>
    <t>metalgear</t>
  </si>
  <si>
    <t>#658198</t>
  </si>
  <si>
    <t>https://i.imgur.com/MZGCT1o.png</t>
  </si>
  <si>
    <t>手榴弾</t>
  </si>
  <si>
    <t>リモコンミサイル</t>
  </si>
  <si>
    <t>C4爆弾</t>
  </si>
  <si>
    <t>アイク</t>
  </si>
  <si>
    <t>IKE</t>
  </si>
  <si>
    <t>ike</t>
  </si>
  <si>
    <t>#2d3a9f</t>
  </si>
  <si>
    <t>https://i.imgur.com/Kek87TR.png</t>
  </si>
  <si>
    <t>噴火</t>
  </si>
  <si>
    <t>居合い斬り</t>
  </si>
  <si>
    <t>天空</t>
  </si>
  <si>
    <t>ゼニガメ</t>
  </si>
  <si>
    <t>SQUIRTLE</t>
  </si>
  <si>
    <t>#a8e9fd</t>
  </si>
  <si>
    <t>https://i.imgur.com/hrQci7t.png</t>
  </si>
  <si>
    <t>みずでっぽう</t>
  </si>
  <si>
    <t>からにこもる</t>
  </si>
  <si>
    <t>たきのぼり</t>
  </si>
  <si>
    <t>ポケモンチェンジ</t>
  </si>
  <si>
    <t>pzenigame</t>
  </si>
  <si>
    <t>フシギソウ</t>
  </si>
  <si>
    <t>IVYSAUR</t>
  </si>
  <si>
    <t>#215b18</t>
  </si>
  <si>
    <t>https://i.imgur.com/1KtAYsC.png</t>
  </si>
  <si>
    <t>タネマシンガン</t>
  </si>
  <si>
    <t>はっぱカッター</t>
  </si>
  <si>
    <t>つるのムチ</t>
  </si>
  <si>
    <t>pfushigisou</t>
  </si>
  <si>
    <t>リザードン</t>
  </si>
  <si>
    <t>CHARIZARD</t>
  </si>
  <si>
    <t>#ed8b5d</t>
  </si>
  <si>
    <t>https://i.imgur.com/WMmghnM.png</t>
  </si>
  <si>
    <t>かえんほうしゃ</t>
  </si>
  <si>
    <t>フレアドライブ</t>
  </si>
  <si>
    <t>そらをとぶ</t>
  </si>
  <si>
    <t>plizardon</t>
  </si>
  <si>
    <t>ディディーコング</t>
  </si>
  <si>
    <t>DIDDY KONG</t>
  </si>
  <si>
    <t>diddy_kong</t>
  </si>
  <si>
    <t>#a94338</t>
  </si>
  <si>
    <t>https://i.imgur.com/dlgFlt8.png</t>
  </si>
  <si>
    <t>ピーナッツ・ポップガン</t>
  </si>
  <si>
    <t>モンキーフリップ</t>
  </si>
  <si>
    <t>バレルジェット</t>
  </si>
  <si>
    <t>バナナのかわ</t>
  </si>
  <si>
    <t>diddy</t>
  </si>
  <si>
    <t>リュカ</t>
  </si>
  <si>
    <t>LUCAS</t>
  </si>
  <si>
    <t>lucas</t>
  </si>
  <si>
    <t>#edd261</t>
  </si>
  <si>
    <t>https://i.imgur.com/Qb66a92.png</t>
  </si>
  <si>
    <t>PKフリーズ</t>
  </si>
  <si>
    <t>ソニック</t>
  </si>
  <si>
    <t>SONIC</t>
  </si>
  <si>
    <t>sonic</t>
  </si>
  <si>
    <t>#5764db</t>
  </si>
  <si>
    <t>https://i.imgur.com/C7AD5zx.png</t>
  </si>
  <si>
    <t>ホーミングアタック</t>
  </si>
  <si>
    <t>スピンダッシュ</t>
  </si>
  <si>
    <t>スプリングジャンプ</t>
  </si>
  <si>
    <t>スピンチャージ</t>
  </si>
  <si>
    <t>デデデ</t>
  </si>
  <si>
    <t>KING DEDEDE</t>
  </si>
  <si>
    <t>dedede</t>
  </si>
  <si>
    <t>#eaea68</t>
  </si>
  <si>
    <t>https://i.imgur.com/Khzjm5O.png</t>
  </si>
  <si>
    <t>ゴルドー投げ</t>
  </si>
  <si>
    <t>スーパーデデデジャンプ</t>
  </si>
  <si>
    <t>ジェットハンマー</t>
  </si>
  <si>
    <t>OLIMAR</t>
  </si>
  <si>
    <t>pikmin_and_olimar</t>
  </si>
  <si>
    <t>pikmin</t>
  </si>
  <si>
    <t>#ccefb0</t>
  </si>
  <si>
    <t>https://i.imgur.com/EMfkRVZ.png</t>
  </si>
  <si>
    <t>ピクミンひっこ抜き</t>
  </si>
  <si>
    <t>ピクミン投げ</t>
  </si>
  <si>
    <t>羽ピクミン</t>
  </si>
  <si>
    <t>ピクミン整列</t>
  </si>
  <si>
    <t>ルカリオ</t>
  </si>
  <si>
    <t>LUCARIO</t>
  </si>
  <si>
    <t>lucario</t>
  </si>
  <si>
    <t>#5885c0</t>
  </si>
  <si>
    <t>https://i.imgur.com/t1XgsKo.png</t>
  </si>
  <si>
    <t>はどうだん</t>
  </si>
  <si>
    <t>はっけい</t>
  </si>
  <si>
    <t>しんそく</t>
  </si>
  <si>
    <t>かげぶんしん</t>
  </si>
  <si>
    <t>ロボット</t>
  </si>
  <si>
    <t>R.O.B.</t>
  </si>
  <si>
    <t>robot</t>
  </si>
  <si>
    <t>famicomrobot</t>
  </si>
  <si>
    <t>#b2b8bd</t>
  </si>
  <si>
    <t>https://i.imgur.com/apwLRfp.png</t>
  </si>
  <si>
    <t>ロボビーム</t>
  </si>
  <si>
    <t>アームスピン</t>
  </si>
  <si>
    <t>ロボバーナー</t>
  </si>
  <si>
    <t>ジャイロ</t>
  </si>
  <si>
    <t>トゥーンリンク</t>
  </si>
  <si>
    <t>TOON LINK</t>
  </si>
  <si>
    <t>toon_link</t>
  </si>
  <si>
    <t>#8ce689</t>
  </si>
  <si>
    <t>https://i.imgur.com/qYcXjav.png</t>
  </si>
  <si>
    <t>勇者の弓</t>
  </si>
  <si>
    <t>toonlink</t>
  </si>
  <si>
    <t>ウルフ</t>
  </si>
  <si>
    <t>WOLF</t>
  </si>
  <si>
    <t>wolf</t>
  </si>
  <si>
    <t>#757575</t>
  </si>
  <si>
    <t>https://i.imgur.com/Sv9BAaB.png</t>
  </si>
  <si>
    <t>クローブラスター</t>
  </si>
  <si>
    <t>ウルフフラッシュ</t>
  </si>
  <si>
    <t>ウルフシュート</t>
  </si>
  <si>
    <t>むらびと</t>
  </si>
  <si>
    <t>VILLAGER</t>
  </si>
  <si>
    <t>murabito</t>
  </si>
  <si>
    <t>doubutsu</t>
  </si>
  <si>
    <t>#24aa72</t>
  </si>
  <si>
    <t>https://i.imgur.com/F1IQGOF.png</t>
  </si>
  <si>
    <t>しまう / とり出す</t>
  </si>
  <si>
    <t>ハニワくんロケット</t>
  </si>
  <si>
    <t>バルーントリップ</t>
  </si>
  <si>
    <t>タネ植え / 水やり / 伐採</t>
  </si>
  <si>
    <t>ロックマン</t>
  </si>
  <si>
    <t>MEGA MAN</t>
  </si>
  <si>
    <t>rockman</t>
  </si>
  <si>
    <t>#4e77db</t>
  </si>
  <si>
    <t>https://i.imgur.com/sMihSwj.png</t>
  </si>
  <si>
    <t>メタルブレード</t>
  </si>
  <si>
    <t>クラッシュボム</t>
  </si>
  <si>
    <t>ラッシュコイル</t>
  </si>
  <si>
    <t>リーフシールド</t>
  </si>
  <si>
    <t>Wii Fit トレーナー</t>
  </si>
  <si>
    <t>Wii Fit TRAINER</t>
  </si>
  <si>
    <t>wii_fit_trainer</t>
  </si>
  <si>
    <t>wii_fit</t>
  </si>
  <si>
    <t>#e1e0dc</t>
  </si>
  <si>
    <t>https://i.imgur.com/AOIqP6S.png</t>
  </si>
  <si>
    <t>太陽礼拝</t>
  </si>
  <si>
    <t>ヘディング</t>
  </si>
  <si>
    <t>燃焼フープダンス</t>
  </si>
  <si>
    <t>腹式呼吸</t>
  </si>
  <si>
    <t>wiifit</t>
  </si>
  <si>
    <t>ROSALINA &amp; LUMA</t>
  </si>
  <si>
    <t>rosetta_and_chiko</t>
  </si>
  <si>
    <t>#86ded1</t>
  </si>
  <si>
    <t>https://i.imgur.com/SbhEIJC.png</t>
  </si>
  <si>
    <t>チコシュート</t>
  </si>
  <si>
    <t>スターピース</t>
  </si>
  <si>
    <t>ギャラクシージャンプ</t>
  </si>
  <si>
    <t>アイテムキャプチャー</t>
  </si>
  <si>
    <t>rosetta</t>
  </si>
  <si>
    <t>リトル・マック</t>
  </si>
  <si>
    <t>LITTLE MAC</t>
  </si>
  <si>
    <t>little_mac</t>
  </si>
  <si>
    <t>punch_out</t>
  </si>
  <si>
    <t>#5d8f72</t>
  </si>
  <si>
    <t>https://i.imgur.com/mQbbIWM.png</t>
  </si>
  <si>
    <t>気合いストレート / K.O.アッパーカット</t>
  </si>
  <si>
    <t>ジョルトブロー</t>
  </si>
  <si>
    <t>ライジングアッパーカット</t>
  </si>
  <si>
    <t>スリッピングカウンター</t>
  </si>
  <si>
    <t>littlemac</t>
  </si>
  <si>
    <t>ゲッコウガ</t>
  </si>
  <si>
    <t>GRENINJA</t>
  </si>
  <si>
    <t>gekkouga</t>
  </si>
  <si>
    <t>#1a1e54</t>
  </si>
  <si>
    <t>https://i.imgur.com/OIY8153.png</t>
  </si>
  <si>
    <t>みずしゅりけん</t>
  </si>
  <si>
    <t>かげうち</t>
  </si>
  <si>
    <t>ハイドロポンプ</t>
  </si>
  <si>
    <t>みがわり</t>
  </si>
  <si>
    <t>格闘Mii</t>
  </si>
  <si>
    <t>Mii BRAWLER</t>
  </si>
  <si>
    <t>mii</t>
  </si>
  <si>
    <t>#cc4242</t>
  </si>
  <si>
    <t>https://i.imgur.com/3wCOOdU.png</t>
  </si>
  <si>
    <t>鉄球投げ / 閃光マッハパンチ / 爆裂サイドキック</t>
  </si>
  <si>
    <t>瞬発百裂キック / 燃焼ドロップキック / スープレックス</t>
  </si>
  <si>
    <t>天地キック / 昇天スピンキック / 突き上げアッパーカット</t>
  </si>
  <si>
    <t>くい打ちヘッドバット / 反転キック / カウンター投げ</t>
  </si>
  <si>
    <t>miifighter</t>
  </si>
  <si>
    <t>剣術Mii</t>
  </si>
  <si>
    <t>Mii SWORDFIGHTER</t>
  </si>
  <si>
    <t>#5d6fc4</t>
  </si>
  <si>
    <t>https://i.imgur.com/823S1Im.png</t>
  </si>
  <si>
    <t>トルネードショット / 光手裏剣 / ラピッドスラッシュ</t>
  </si>
  <si>
    <t>変則急襲斬り / 疾風突き / チャクラム</t>
  </si>
  <si>
    <t>ロケット下突き / ソードダッシュ / 回転斬り</t>
  </si>
  <si>
    <t>カウンター / リバーススラッシュ / ジェットスタッブ</t>
  </si>
  <si>
    <t>miiswordsman</t>
  </si>
  <si>
    <t>射撃Mii</t>
  </si>
  <si>
    <t>Mii GUNNER</t>
  </si>
  <si>
    <t>#ebb253</t>
  </si>
  <si>
    <t>https://i.imgur.com/T3YlvJc.png</t>
  </si>
  <si>
    <t>ガンナーチャージ / ラピッドショット / グレネードランチャー</t>
  </si>
  <si>
    <t>フレイムピラー / ステルスボム / ミサイル</t>
  </si>
  <si>
    <t>ボトムシュート / キャノンジャンプキック / アームロケット</t>
  </si>
  <si>
    <t>リフレクター / グラウンドボム / アブソーバー</t>
  </si>
  <si>
    <t>miigunner</t>
  </si>
  <si>
    <t>パルテナ</t>
  </si>
  <si>
    <t>PALUTENA</t>
  </si>
  <si>
    <t>#91e5c1</t>
  </si>
  <si>
    <t>https://i.imgur.com/I9lusQ6.png</t>
  </si>
  <si>
    <t>オート照準</t>
  </si>
  <si>
    <t>爆炎</t>
  </si>
  <si>
    <t>カウンター / 反射盤</t>
  </si>
  <si>
    <t>パックマン</t>
  </si>
  <si>
    <t>PAC-MAN</t>
  </si>
  <si>
    <t>pac_man</t>
  </si>
  <si>
    <t>pacman</t>
  </si>
  <si>
    <t>#fbe36b</t>
  </si>
  <si>
    <t>https://i.imgur.com/qXl7Vos.png</t>
  </si>
  <si>
    <t>フルーツターゲット</t>
  </si>
  <si>
    <t>パワーエサ</t>
  </si>
  <si>
    <t>パックジャンプ</t>
  </si>
  <si>
    <t>ルフレ</t>
  </si>
  <si>
    <t>ROBIN</t>
  </si>
  <si>
    <t>reflet</t>
  </si>
  <si>
    <t>#212227</t>
  </si>
  <si>
    <t>https://i.imgur.com/uqELQkx.png</t>
  </si>
  <si>
    <t>ギガファイアー</t>
  </si>
  <si>
    <t>エルウインド</t>
  </si>
  <si>
    <t>リザイア</t>
  </si>
  <si>
    <t>シュルク</t>
  </si>
  <si>
    <t>SHULK</t>
  </si>
  <si>
    <t>shulk</t>
  </si>
  <si>
    <t>xenoblade</t>
  </si>
  <si>
    <t>#a02f3a</t>
  </si>
  <si>
    <t>https://i.imgur.com/8WOMjSa.png</t>
  </si>
  <si>
    <t>モナドアーツ</t>
  </si>
  <si>
    <t>バックスラッシュ</t>
  </si>
  <si>
    <t>エアスラッシュ</t>
  </si>
  <si>
    <t>ビジョン</t>
  </si>
  <si>
    <t>クッパ Jr.</t>
  </si>
  <si>
    <t>BOWSER JR.</t>
  </si>
  <si>
    <t>koopa_jr</t>
  </si>
  <si>
    <t>#59bf38</t>
  </si>
  <si>
    <t>https://i.imgur.com/RDU6nK8.png</t>
  </si>
  <si>
    <t>クラウンキャノン</t>
  </si>
  <si>
    <t>カートダッシュ</t>
  </si>
  <si>
    <t>自爆ジャンプ</t>
  </si>
  <si>
    <t>メカクッパ</t>
  </si>
  <si>
    <t>koopajr</t>
  </si>
  <si>
    <t>ダックハント</t>
  </si>
  <si>
    <t>DUCK HUNT</t>
  </si>
  <si>
    <t>duck_hunt</t>
  </si>
  <si>
    <t>duckhunt</t>
  </si>
  <si>
    <t>#b9613b</t>
  </si>
  <si>
    <t>https://i.imgur.com/mjHR6fO.png</t>
  </si>
  <si>
    <t>トリックショット</t>
  </si>
  <si>
    <t>クレー射撃</t>
  </si>
  <si>
    <t>ダックジャンプ</t>
  </si>
  <si>
    <t>ワイルドガンマン</t>
  </si>
  <si>
    <t>リュウ</t>
  </si>
  <si>
    <t>RYU</t>
  </si>
  <si>
    <t>ryu</t>
  </si>
  <si>
    <t>streetfighter</t>
  </si>
  <si>
    <t>#7c797b</t>
  </si>
  <si>
    <t>https://i.imgur.com/csjXrhS.png</t>
  </si>
  <si>
    <t>竜巻旋風脚</t>
  </si>
  <si>
    <t>昇竜拳</t>
  </si>
  <si>
    <t>セービングアタック</t>
  </si>
  <si>
    <t>ケン</t>
  </si>
  <si>
    <t>KEN</t>
  </si>
  <si>
    <t>ken</t>
  </si>
  <si>
    <t>#d0504d</t>
  </si>
  <si>
    <t>https://i.imgur.com/K6gSctY.png</t>
  </si>
  <si>
    <t>クラウド</t>
  </si>
  <si>
    <t>CLOUD</t>
  </si>
  <si>
    <t>cloud</t>
  </si>
  <si>
    <t>finalfantasy</t>
  </si>
  <si>
    <t>#3f4044</t>
  </si>
  <si>
    <t>https://i.imgur.com/Vri6vY2.png</t>
  </si>
  <si>
    <t>破晄撃</t>
  </si>
  <si>
    <t>凶斬り</t>
  </si>
  <si>
    <t>クライムハザード</t>
  </si>
  <si>
    <t>リミットチャージ / 画竜点睛</t>
  </si>
  <si>
    <t>カムイ</t>
  </si>
  <si>
    <t>CORRIN</t>
  </si>
  <si>
    <t>kamui</t>
  </si>
  <si>
    <t>#7e93c9</t>
  </si>
  <si>
    <t>https://i.imgur.com/NHaz9Op.png</t>
  </si>
  <si>
    <t>竜穿射</t>
  </si>
  <si>
    <t>跳槍突</t>
  </si>
  <si>
    <t>翔竜翼</t>
  </si>
  <si>
    <t>反竜穿</t>
  </si>
  <si>
    <t>ベヨネッタ</t>
  </si>
  <si>
    <t>BAYONETTA</t>
  </si>
  <si>
    <t>bayonetta</t>
  </si>
  <si>
    <t>#202020</t>
  </si>
  <si>
    <t>https://i.imgur.com/81CRGT8.png</t>
  </si>
  <si>
    <t>バレットクライマックス</t>
  </si>
  <si>
    <t>ヒールスライド / アフターバーナーキック</t>
  </si>
  <si>
    <t>ウィッチツイスト</t>
  </si>
  <si>
    <t>ウィッチタイム</t>
  </si>
  <si>
    <t>インクリング</t>
  </si>
  <si>
    <t>INKLING</t>
  </si>
  <si>
    <t>inkling</t>
  </si>
  <si>
    <t>splatoon</t>
  </si>
  <si>
    <t>#ee9426</t>
  </si>
  <si>
    <t>https://i.imgur.com/pQf13oC.png</t>
  </si>
  <si>
    <t>スプラシューター</t>
  </si>
  <si>
    <t>スプラローラー</t>
  </si>
  <si>
    <t>スーパージャンプ</t>
  </si>
  <si>
    <t>スプラッシュボム</t>
  </si>
  <si>
    <t>リドリー</t>
  </si>
  <si>
    <t>RIDLEY</t>
  </si>
  <si>
    <t>ridley</t>
  </si>
  <si>
    <t>#483849</t>
  </si>
  <si>
    <t>https://i.imgur.com/fQ7mIBK.png</t>
  </si>
  <si>
    <t>リドリーブレス</t>
  </si>
  <si>
    <t>グラビングスクラッチ</t>
  </si>
  <si>
    <t>リドリーチャージ</t>
  </si>
  <si>
    <t>デススタッブ</t>
  </si>
  <si>
    <t>シモン</t>
  </si>
  <si>
    <t>SIMON</t>
  </si>
  <si>
    <t>simon</t>
  </si>
  <si>
    <t>dracula</t>
  </si>
  <si>
    <t>#8e4038</t>
  </si>
  <si>
    <t>https://i.imgur.com/OSDH9kD.png</t>
  </si>
  <si>
    <t>クロス</t>
  </si>
  <si>
    <t>アッパー</t>
  </si>
  <si>
    <t>聖水</t>
  </si>
  <si>
    <t>リヒター</t>
  </si>
  <si>
    <t>RICHTER</t>
  </si>
  <si>
    <t>richter</t>
  </si>
  <si>
    <t>#05709d</t>
  </si>
  <si>
    <t>https://i.imgur.com/I7IRdL5.png</t>
  </si>
  <si>
    <t>キングクルール</t>
  </si>
  <si>
    <t>KING K. ROOL</t>
  </si>
  <si>
    <t>king_k_rool</t>
  </si>
  <si>
    <t>#485f43</t>
  </si>
  <si>
    <t>https://i.imgur.com/guy6EYW.png</t>
  </si>
  <si>
    <t>パイレーツキャノン</t>
  </si>
  <si>
    <t>クラウンスロー</t>
  </si>
  <si>
    <t>フライングバックパック</t>
  </si>
  <si>
    <t>ボディカウンター</t>
  </si>
  <si>
    <t>krool</t>
  </si>
  <si>
    <t>しずえ</t>
  </si>
  <si>
    <t>ISABELLE</t>
  </si>
  <si>
    <t>shizue</t>
  </si>
  <si>
    <t>#ffdc45</t>
  </si>
  <si>
    <t>https://i.imgur.com/zdFZI6Q.png</t>
  </si>
  <si>
    <t>つりざお</t>
  </si>
  <si>
    <t>しかけハニワくん</t>
  </si>
  <si>
    <t>ガオガエン</t>
  </si>
  <si>
    <t>INCINEROAR</t>
  </si>
  <si>
    <t>gaogaen</t>
  </si>
  <si>
    <t>#c84134</t>
  </si>
  <si>
    <t>https://i.imgur.com/4YoXfgu.png</t>
  </si>
  <si>
    <t>DDラリアット</t>
  </si>
  <si>
    <t>ロープスイング</t>
  </si>
  <si>
    <t>クロスチョップ</t>
  </si>
  <si>
    <t>リベンジ</t>
  </si>
  <si>
    <t>パックンフラワー</t>
  </si>
  <si>
    <t>PIRANHA PLANT</t>
  </si>
  <si>
    <t>packun_flower</t>
  </si>
  <si>
    <t>#1a7f2e</t>
  </si>
  <si>
    <t>https://i.imgur.com/yuSiKGJ.png</t>
  </si>
  <si>
    <t>シューリンガン</t>
  </si>
  <si>
    <t>ポイズンブレス</t>
  </si>
  <si>
    <t>リーフローター</t>
  </si>
  <si>
    <t>ロングレンジパックン</t>
  </si>
  <si>
    <t>packun</t>
  </si>
  <si>
    <t>ジョーカー</t>
  </si>
  <si>
    <t>JOKER</t>
  </si>
  <si>
    <t>joker</t>
  </si>
  <si>
    <t>persona</t>
  </si>
  <si>
    <t>#b20101</t>
  </si>
  <si>
    <t>https://i.imgur.com/wSuNlPd.png</t>
  </si>
  <si>
    <t>ガン / ガンスペシャル</t>
  </si>
  <si>
    <t>エイハ / エイガオン</t>
  </si>
  <si>
    <t>ワイヤーアクション / 反逆の翼</t>
  </si>
  <si>
    <t>反逆ガード / テトラカーン / マカラカーン</t>
  </si>
  <si>
    <t>jack</t>
  </si>
  <si>
    <t>勇者</t>
  </si>
  <si>
    <t>HERO</t>
  </si>
  <si>
    <t>hero</t>
  </si>
  <si>
    <t>#d7bef4</t>
  </si>
  <si>
    <t>https://i.imgur.com/spUFQGQ.png</t>
  </si>
  <si>
    <t>メラ / メラミ / メラゾーマ</t>
  </si>
  <si>
    <t>デイン / ライデイン / ギガデイン</t>
  </si>
  <si>
    <t>バギ / バギマ / バギクロス</t>
  </si>
  <si>
    <t>コマンド選択</t>
  </si>
  <si>
    <t>brave</t>
  </si>
  <si>
    <t>バンジョー&amp;カズーイ</t>
  </si>
  <si>
    <t>BANJO &amp; KAZOOIE</t>
  </si>
  <si>
    <t>banjo_and_kazooie</t>
  </si>
  <si>
    <t>#fbdf7f</t>
  </si>
  <si>
    <t>https://i.imgur.com/BeTj87E.png</t>
  </si>
  <si>
    <t>タマゴミサイル / タマゴばきゅーん</t>
  </si>
  <si>
    <t>ワンダーウイング</t>
  </si>
  <si>
    <t>ショックジャンプ</t>
  </si>
  <si>
    <t>おケツタマゴ</t>
  </si>
  <si>
    <t>buddy</t>
  </si>
  <si>
    <t>テリー</t>
  </si>
  <si>
    <t>TERRY</t>
  </si>
  <si>
    <t>#6eb2fb</t>
  </si>
  <si>
    <t>https://i.imgur.com/Fy0k1OJ.png</t>
  </si>
  <si>
    <t>パワーウェイブ</t>
  </si>
  <si>
    <t>バーンナックル / クラックシュート</t>
  </si>
  <si>
    <t>ライジングタックル</t>
  </si>
  <si>
    <t>パワーダンク</t>
  </si>
  <si>
    <t>dolly</t>
  </si>
  <si>
    <t>ベレト／ベレス</t>
  </si>
  <si>
    <t>#90e8b9</t>
  </si>
  <si>
    <t>https://imgur.com/4xdC7ZA.png</t>
  </si>
  <si>
    <t>魔弓 フェイルノート</t>
  </si>
  <si>
    <t>魔槍 アラドヴァル</t>
  </si>
  <si>
    <t>魔剣 天帝の剣</t>
  </si>
  <si>
    <t>魔斧 アイムール</t>
  </si>
  <si>
    <t>master</t>
  </si>
  <si>
    <t>ミェンミェン</t>
  </si>
  <si>
    <t>#ffff5a</t>
  </si>
  <si>
    <t>https://imgur.com/8fLSHuV.png</t>
  </si>
  <si>
    <t>（パンチ）</t>
  </si>
  <si>
    <t>アームジャンプ / アームフック</t>
  </si>
  <si>
    <t>アームチェンジ</t>
  </si>
  <si>
    <t>tantan</t>
  </si>
  <si>
    <t>スティーブ／アレックス</t>
  </si>
  <si>
    <t>#dddddd</t>
  </si>
  <si>
    <t>https://imgur.com/K5gVOlz.png</t>
  </si>
  <si>
    <t>pickel</t>
  </si>
  <si>
    <t>セフィロス</t>
  </si>
  <si>
    <t>#efefef</t>
  </si>
  <si>
    <t>https://imgur.com/5o9En5T.png</t>
  </si>
  <si>
    <t>edge</t>
  </si>
  <si>
    <t>ホムラ</t>
  </si>
  <si>
    <t>#b96a69</t>
  </si>
  <si>
    <t>https://imgur.com/hFsvE5B.png</t>
  </si>
  <si>
    <t>eflame</t>
  </si>
  <si>
    <t>ヒカリ</t>
  </si>
  <si>
    <t>#e6f9c8</t>
  </si>
  <si>
    <t>https://imgur.com/9XjZvhL.png</t>
  </si>
  <si>
    <t>elight</t>
  </si>
  <si>
    <t>カズヤ</t>
  </si>
  <si>
    <t>#992118</t>
  </si>
  <si>
    <t>https://i.imgur.com/JCFljTF.png</t>
  </si>
  <si>
    <t>demon</t>
  </si>
  <si>
    <t>ソラ</t>
  </si>
  <si>
    <t>#c8c8e3</t>
  </si>
  <si>
    <t>https://i.imgur.com/oIHS6yd.png</t>
  </si>
  <si>
    <t>trail</t>
  </si>
  <si>
    <t>キャラクター</t>
  </si>
  <si>
    <t>普:39
翔:39
疾:27
盾:34</t>
  </si>
  <si>
    <t>普:53
翔:71
疾:36
盾:44</t>
  </si>
  <si>
    <t>普:27
翔:27
疾:18
盾:22</t>
  </si>
  <si>
    <t>普:36
翔:52
疾:24
盾:29</t>
  </si>
  <si>
    <t>通常：39
腹式：32</t>
  </si>
  <si>
    <t>通常：57
腹式：51</t>
  </si>
  <si>
    <t>通常：29
腹式：23</t>
  </si>
  <si>
    <t>通常：41
腹式：39</t>
  </si>
  <si>
    <t>普：37
翔：37
疾：25
盾：33</t>
  </si>
  <si>
    <t>普：50
翔：68
疾：34
盾：42</t>
  </si>
  <si>
    <t>普：26
翔：26
疾：17
盾：23</t>
  </si>
  <si>
    <t>普：36
翔：50
疾：23
盾：28</t>
  </si>
  <si>
    <t>通常：37
LB：33</t>
  </si>
  <si>
    <t>通常：49
LB：46</t>
  </si>
  <si>
    <t>通常：26
LB：23</t>
  </si>
  <si>
    <t>通常：34
LB：33</t>
  </si>
  <si>
    <t>2 (3)</t>
  </si>
  <si>
    <t>通常：27
片翼：26</t>
  </si>
  <si>
    <t>通常：45
片翼：44</t>
  </si>
  <si>
    <t>通常：18
片翼：17</t>
  </si>
  <si>
    <t>通常：31
片翼：31</t>
  </si>
  <si>
    <t>その場回避</t>
  </si>
  <si>
    <t>前方回避</t>
  </si>
  <si>
    <t>後方回避</t>
  </si>
  <si>
    <t>通常空中回避</t>
  </si>
  <si>
    <t>移動空中回避</t>
  </si>
  <si>
    <t>真横：87
真上：116
真下：71</t>
  </si>
  <si>
    <t>26 (21)</t>
  </si>
  <si>
    <t>4-32</t>
  </si>
  <si>
    <t>真横：82
真上：109
真下：66</t>
  </si>
  <si>
    <t>真横：82
真上：108
真下：69</t>
  </si>
  <si>
    <t>4-18</t>
  </si>
  <si>
    <t>真横：96
真上：130
真下：80</t>
  </si>
  <si>
    <t>真横：97
真上：130
真下：79</t>
  </si>
  <si>
    <t>真横：102
真上：141
真下：82</t>
  </si>
  <si>
    <t>6-15</t>
  </si>
  <si>
    <t>23 (18)</t>
  </si>
  <si>
    <t>4-14</t>
  </si>
  <si>
    <t>5-24</t>
  </si>
  <si>
    <t>真横：64
真上：75
真下：54</t>
  </si>
  <si>
    <t>3-16</t>
  </si>
  <si>
    <t>6-16</t>
  </si>
  <si>
    <t>24 (19)</t>
  </si>
  <si>
    <t>真横：85
真上：109
真下：69</t>
  </si>
  <si>
    <t>真横：96
真上：127
真下：81</t>
  </si>
  <si>
    <t>真横：99
真上：134
真下：77</t>
  </si>
  <si>
    <t>真横：72
真上：94
真下：62</t>
  </si>
  <si>
    <t>真横：106
真上：158
真下：85</t>
  </si>
  <si>
    <t>真横：103
真上：141
真下：86</t>
  </si>
  <si>
    <t>28 (23)</t>
  </si>
  <si>
    <t>4-16</t>
  </si>
  <si>
    <t>5-17</t>
  </si>
  <si>
    <t>真横：75
真上：95
真下：63</t>
  </si>
  <si>
    <t>3-28</t>
  </si>
  <si>
    <t>6-26</t>
  </si>
  <si>
    <t>真横：96
真上：129
真下：81</t>
  </si>
  <si>
    <t>真横：74
真上：93
真下：63</t>
  </si>
  <si>
    <t>真横：96
真上：129
真下：77</t>
  </si>
  <si>
    <t>真横：70
真上：88
真下：60</t>
  </si>
  <si>
    <t>5-19</t>
  </si>
  <si>
    <t>真横：73
真上：94
真下：61</t>
  </si>
  <si>
    <t>真横：85
真上：116
真下：69</t>
  </si>
  <si>
    <t>真横：76
真上：100
真下：63</t>
  </si>
  <si>
    <t>真横：79
真上：103
真下：66</t>
  </si>
  <si>
    <t>6-24</t>
  </si>
  <si>
    <t>真横：85
真上：114
真下：70</t>
  </si>
  <si>
    <t>真横：74
真上：97
真下：62</t>
  </si>
  <si>
    <t>真横：100
真上：132
真下：84</t>
  </si>
  <si>
    <t>真横：80
真上：101
真下：66</t>
  </si>
  <si>
    <t>真横：89
真上：119
真下：73</t>
  </si>
  <si>
    <t>真横：77
真上：98
真下：65</t>
  </si>
  <si>
    <t>真横：82
真上：104
真下：66</t>
  </si>
  <si>
    <t>4-28</t>
  </si>
  <si>
    <t>真横：81
真上：108
真下：64</t>
  </si>
  <si>
    <t>7-28</t>
  </si>
  <si>
    <t>真横：82
真上：108
真下：66</t>
  </si>
  <si>
    <t>真横：90
真上：114
真下：79</t>
  </si>
  <si>
    <t>真横：93
真上：124
真下：76</t>
  </si>
  <si>
    <t>3-22</t>
  </si>
  <si>
    <t>6-21</t>
  </si>
  <si>
    <t>真横：85
真上：107
真下：70</t>
  </si>
  <si>
    <t>真横：74
真上：96
真下：62</t>
  </si>
  <si>
    <t>真横：95
真上：126
真下：75</t>
  </si>
  <si>
    <t>真横：81
真上：107
真下：66</t>
  </si>
  <si>
    <t>7-22</t>
  </si>
  <si>
    <t>真横：72
真上：96
真下：58</t>
  </si>
  <si>
    <t>真横：96
真上：132
真下：78</t>
  </si>
  <si>
    <t>真横：81
真上：108
真下：65</t>
  </si>
  <si>
    <t>真横：93
真上：123
真下：76</t>
  </si>
  <si>
    <t>真横：73
真上：93
真下：61</t>
  </si>
  <si>
    <t>真横：96
真上：128
真下：80</t>
  </si>
  <si>
    <t>真横：76
真上：98
真下：63</t>
  </si>
  <si>
    <t>真横：96
真上：124
真下：80</t>
  </si>
  <si>
    <t>真横：105
真上：144
真下：86</t>
  </si>
  <si>
    <t>真横：72
真上：89
真下：62</t>
  </si>
  <si>
    <t>真横：71
真上：85
真下：60</t>
  </si>
  <si>
    <t>真横：70
真上：86
真下：58</t>
  </si>
  <si>
    <t>真横：84
真上：107
真下：69</t>
  </si>
  <si>
    <t>真横：87
真上：114
真下：73</t>
  </si>
  <si>
    <t>真横：82
真上：105
真下：70</t>
  </si>
  <si>
    <t>真横：95
真上：130
真下：78</t>
  </si>
  <si>
    <t>真横：86
真上：114
真下：73</t>
  </si>
  <si>
    <t>真横：83
真上：107
真下：68</t>
  </si>
  <si>
    <t>真横：82
真上：108
真下：67</t>
  </si>
  <si>
    <t>真横：83
真上：113
真下：66</t>
  </si>
  <si>
    <t>真横：80
真上：102
真下：67</t>
  </si>
  <si>
    <t>真横：79
真上：104
真下：64</t>
  </si>
  <si>
    <t>真横：81
真上：107
真下：67</t>
  </si>
  <si>
    <t>7-16</t>
  </si>
  <si>
    <t>8-29</t>
  </si>
  <si>
    <t>真横：84
真上：112
真下：68</t>
  </si>
  <si>
    <t>真横：78
真上：103
真下：64</t>
  </si>
  <si>
    <t>真横：76
真上：104
真下：62</t>
  </si>
  <si>
    <t>真横：78
真上：102
真下：64</t>
  </si>
  <si>
    <t>真横：97
真上：133
真下：80</t>
  </si>
  <si>
    <t>真横：76
真上：96
真下：63</t>
  </si>
  <si>
    <t>真横：69
真上：88
真下：58</t>
  </si>
  <si>
    <t>真横：79
真上：100
真下：67</t>
  </si>
  <si>
    <t>真横：83
真上：109
真下：69</t>
  </si>
  <si>
    <t>真横：75
真上：97
真下：62</t>
  </si>
  <si>
    <t>真横：85
真上：108
真下：71</t>
  </si>
  <si>
    <t>真横：92
真上：122
真下：75</t>
  </si>
  <si>
    <t>真横：74
真上：97
真下：61</t>
  </si>
  <si>
    <t>真横：83
真上：110
真下：68</t>
  </si>
  <si>
    <t>10-21</t>
  </si>
  <si>
    <t>31 (25)</t>
  </si>
  <si>
    <t>40 (32)</t>
  </si>
  <si>
    <t>6-33</t>
  </si>
  <si>
    <t>真横：73
真上：95
真下：59</t>
  </si>
  <si>
    <t>真横：78
真上：100
真下：64</t>
  </si>
  <si>
    <t>真横：92
真上：129
真下：74</t>
  </si>
  <si>
    <t>オートキャンセル</t>
  </si>
  <si>
    <t>発生</t>
  </si>
  <si>
    <t>全体</t>
  </si>
  <si>
    <t>Mr.ゲーム&amp;ウォッチ</t>
  </si>
  <si>
    <t>ナナ</t>
  </si>
  <si>
    <t>その場上がり</t>
  </si>
  <si>
    <t>回避上がり</t>
  </si>
  <si>
    <t>ジャンプ上がり</t>
  </si>
  <si>
    <t>攻撃上がり</t>
  </si>
  <si>
    <t>その場受け身</t>
  </si>
  <si>
    <t>前方受け身</t>
  </si>
  <si>
    <t>後方受け身</t>
  </si>
  <si>
    <t>あお向け/うつ伏せ</t>
  </si>
  <si>
    <t>転倒(小)</t>
  </si>
  <si>
    <t>転倒(大)</t>
  </si>
  <si>
    <t>その場拾い</t>
  </si>
  <si>
    <t>ダッシュ拾い</t>
  </si>
  <si>
    <t>その場拾い (重)</t>
  </si>
  <si>
    <t>前投げ (重)</t>
  </si>
  <si>
    <t>後投げ (重)</t>
  </si>
  <si>
    <t>上投げ (重)</t>
  </si>
  <si>
    <t>下投げ (重)</t>
  </si>
  <si>
    <t>?-?Fは弱2に移行可能。
ボタン押しっぱなしでは?F目に移行。
空振り時にボタン長押しで?F目から弱1でキャンセル可能。</t>
  </si>
  <si>
    <t>?-?Fは弱3に移行可能。
ボタン押しっぱなしでは?F目に移行。
空振り時にボタン長押しで?F目から弱1でキャンセル可能。</t>
  </si>
  <si>
    <t>上シフト(持続)</t>
  </si>
  <si>
    <t>下シフト(持続)</t>
  </si>
  <si>
    <t>溜め開始：F目</t>
  </si>
  <si>
    <t>1.5/3</t>
  </si>
  <si>
    <t>着地隙：
ガケつかまり(前)：
ガケつかまり(前後)：</t>
  </si>
  <si>
    <t>60’</t>
  </si>
  <si>
    <t>{oldValue=-}</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</si>
</sst>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H:mm:ss"/>
    <numFmt numFmtId="165" formatCode="General"/>
    <numFmt numFmtId="166" formatCode="m-d"/>
    <numFmt numFmtId="167" formatCode="0.0000"/>
    <numFmt numFmtId="168" formatCode="m/d"/>
    <numFmt numFmtId="169" formatCode="yy/m/d"/>
    <numFmt numFmtId="170" formatCode="yyyy/mm/dd h:mm:ss"/>
    <numFmt numFmtId="171" formatCode="[$¥-411]#,##0.00"/>
  </numFmts>
  <fonts count="340">
    <font>
      <sz val="10.0"/>
      <color rgb="FF000000"/>
      <name val="Arial"/>
    </font>
    <font>
      <b/>
      <sz val="10.0"/>
      <color rgb="FF000000"/>
      <name val="Arial"/>
    </font>
    <font/>
    <font>
      <b/>
      <sz val="50.0"/>
      <color rgb="FFFFFFFF"/>
      <name val="Kosugi Maru"/>
    </font>
    <font>
      <b/>
      <sz val="18.0"/>
      <color rgb="FF434343"/>
      <name val="Kosugi Maru"/>
    </font>
    <font>
      <b/>
      <u/>
      <sz val="15.0"/>
      <color rgb="FF434343"/>
      <name val="Open Sans"/>
    </font>
    <font>
      <b/>
      <u/>
      <sz val="24.0"/>
      <color rgb="FFFFFFFF"/>
      <name val="Open Sans"/>
    </font>
    <font>
      <b/>
      <u/>
      <sz val="25.0"/>
      <color rgb="FFFFFFFF"/>
      <name val="Open Sans"/>
    </font>
    <font>
      <b/>
      <u/>
      <sz val="25.0"/>
      <color rgb="FFFFFFFF"/>
      <name val="Open Sans"/>
    </font>
    <font>
      <b/>
      <sz val="25.0"/>
      <color rgb="FFFFFFFF"/>
      <name val="Open Sans"/>
    </font>
    <font>
      <b/>
      <u/>
      <sz val="25.0"/>
      <color rgb="FFFFFFFF"/>
      <name val="Open Sans"/>
    </font>
    <font>
      <b/>
      <u/>
      <sz val="18.0"/>
      <color rgb="FFCC4125"/>
      <name val="Kosugi Maru"/>
    </font>
    <font>
      <b/>
      <sz val="12.0"/>
      <name val="Kosugi Maru"/>
    </font>
    <font>
      <b/>
      <sz val="24.0"/>
      <color rgb="FF434343"/>
      <name val="Kosugi Maru"/>
    </font>
    <font>
      <b/>
      <sz val="24.0"/>
      <name val="Kosugi Maru"/>
    </font>
    <font>
      <b/>
      <u/>
      <sz val="14.0"/>
      <name val="Kosugi Maru"/>
    </font>
    <font>
      <sz val="11.0"/>
      <name val="Kosugi Maru"/>
    </font>
    <font>
      <b/>
      <sz val="10.0"/>
      <name val="Arial"/>
    </font>
    <font>
      <b/>
      <u/>
      <sz val="14.0"/>
      <name val="Kosugi Maru"/>
    </font>
    <font>
      <b/>
      <u/>
      <sz val="15.0"/>
      <name val="Kosugi Maru"/>
    </font>
    <font>
      <b/>
      <u/>
      <sz val="12.0"/>
      <color rgb="FF0000FF"/>
      <name val="Kosugi Maru"/>
    </font>
    <font>
      <sz val="12.0"/>
      <name val="Kosugi Maru"/>
    </font>
    <font>
      <sz val="12.0"/>
      <name val="Arial"/>
    </font>
    <font>
      <b/>
      <u/>
      <sz val="12.0"/>
      <color rgb="FF0000FF"/>
      <name val="Kosugi Maru"/>
    </font>
    <font>
      <sz val="11.0"/>
      <color rgb="FF000000"/>
      <name val="Inconsolata"/>
    </font>
    <font>
      <b/>
      <u/>
      <sz val="12.0"/>
      <color rgb="FF0000FF"/>
      <name val="Kosugi Maru"/>
    </font>
    <font>
      <b/>
      <sz val="11.0"/>
      <color rgb="FF000000"/>
      <name val="Arial"/>
    </font>
    <font>
      <b/>
      <sz val="10.0"/>
      <color rgb="FFDD7E6B"/>
      <name val="Arial"/>
    </font>
    <font>
      <b/>
      <sz val="10.0"/>
      <color rgb="FF1155CC"/>
      <name val="Arial"/>
    </font>
    <font>
      <sz val="10.0"/>
      <color rgb="FFEC2320"/>
      <name val="Kosugi Maru"/>
    </font>
    <font>
      <b/>
      <sz val="10.0"/>
      <color rgb="FFEC2320"/>
      <name val="Kosugi Maru"/>
    </font>
    <font>
      <b/>
      <sz val="20.0"/>
      <color rgb="FFFFFFFF"/>
      <name val="Kosugi Maru"/>
    </font>
    <font>
      <color rgb="FFEC2320"/>
      <name val="Kosugi Maru"/>
    </font>
    <font>
      <color rgb="FFFFFFFF"/>
      <name val="Kosugi Maru"/>
    </font>
    <font>
      <sz val="10.0"/>
      <color rgb="FFFFFFFF"/>
      <name val="Kosugi Maru"/>
    </font>
    <font>
      <b/>
      <sz val="14.0"/>
      <color rgb="FFFFFFFF"/>
      <name val="Kosugi Maru"/>
    </font>
    <font>
      <b/>
      <sz val="18.0"/>
      <color rgb="FFFFFFFF"/>
      <name val="Kosugi Maru"/>
    </font>
    <font>
      <b/>
      <sz val="10.0"/>
      <color rgb="FFFDDD05"/>
      <name val="Arial"/>
    </font>
    <font>
      <sz val="10.0"/>
      <color rgb="FFFDDD05"/>
      <name val="Arial"/>
    </font>
    <font>
      <color rgb="FFFDDD05"/>
      <name val="Arial"/>
    </font>
    <font>
      <name val="Arial"/>
    </font>
    <font>
      <sz val="10.0"/>
      <name val="Arial"/>
    </font>
    <font>
      <b/>
      <sz val="12.0"/>
      <name val="Arial"/>
    </font>
    <font>
      <sz val="10.0"/>
      <color rgb="FFFFFFFF"/>
      <name val="Arial"/>
    </font>
    <font>
      <b/>
      <sz val="10.0"/>
      <color rgb="FFFFFFFF"/>
      <name val="Arial"/>
    </font>
    <font>
      <b/>
      <sz val="9.0"/>
      <color rgb="FFFFFFFF"/>
      <name val="Arial"/>
    </font>
    <font>
      <b/>
      <sz val="9.0"/>
      <name val="Arial"/>
    </font>
    <font>
      <color rgb="FF000000"/>
      <name val="Arial"/>
    </font>
    <font>
      <b/>
      <color rgb="FF000000"/>
      <name val="Arial"/>
    </font>
    <font>
      <sz val="10.0"/>
      <color rgb="FF999999"/>
      <name val="Arial"/>
    </font>
    <font>
      <b/>
      <sz val="12.0"/>
      <color rgb="FFFFFFFF"/>
      <name val="Arial"/>
    </font>
    <font>
      <b/>
      <sz val="8.0"/>
      <color rgb="FFFFFFFF"/>
      <name val="Arial"/>
    </font>
    <font>
      <b/>
      <color rgb="FF999999"/>
      <name val="Arial"/>
    </font>
    <font>
      <color rgb="FF999999"/>
      <name val="Arial"/>
    </font>
    <font>
      <b/>
      <color rgb="FFFFFFFF"/>
      <name val="Arial"/>
    </font>
    <font>
      <sz val="10.0"/>
      <color rgb="FF007D1E"/>
      <name val="Sawarabi Mincho"/>
    </font>
    <font>
      <b/>
      <sz val="10.0"/>
      <color rgb="FF007D1E"/>
      <name val="Sawarabi Mincho"/>
    </font>
    <font>
      <b/>
      <sz val="20.0"/>
      <color rgb="FFFFFFFF"/>
      <name val="Sawarabi Mincho"/>
    </font>
    <font>
      <color rgb="FF007D1E"/>
      <name val="Sawarabi Mincho"/>
    </font>
    <font>
      <color rgb="FFFFFFFF"/>
      <name val="Sawarabi Mincho"/>
    </font>
    <font>
      <sz val="10.0"/>
      <color rgb="FFFFFFFF"/>
      <name val="Sawarabi Mincho"/>
    </font>
    <font>
      <b/>
      <sz val="14.0"/>
      <color rgb="FFFFFFFF"/>
      <name val="Sawarabi Mincho"/>
    </font>
    <font>
      <b/>
      <sz val="18.0"/>
      <color rgb="FFFFFFFF"/>
      <name val="Sawarabi Mincho"/>
    </font>
    <font>
      <sz val="10.0"/>
      <color rgb="FF5BB8D4"/>
      <name val="Sawarabi Mincho"/>
    </font>
    <font>
      <b/>
      <sz val="10.0"/>
      <color rgb="FF5BB8D4"/>
      <name val="Sawarabi Mincho"/>
    </font>
    <font>
      <b/>
      <sz val="20.0"/>
      <color rgb="FF000000"/>
      <name val="Sawarabi Mincho"/>
    </font>
    <font>
      <color rgb="FF5BB8D4"/>
      <name val="Sawarabi Mincho"/>
    </font>
    <font>
      <color rgb="FF000000"/>
      <name val="Sawarabi Mincho"/>
    </font>
    <font>
      <sz val="10.0"/>
      <color rgb="FF000000"/>
      <name val="Sawarabi Mincho"/>
    </font>
    <font>
      <b/>
      <sz val="14.0"/>
      <color rgb="FF000000"/>
      <name val="Sawarabi Mincho"/>
    </font>
    <font>
      <b/>
      <sz val="18.0"/>
      <color rgb="FF000000"/>
      <name val="Sawarabi Mincho"/>
    </font>
    <font>
      <sz val="10.0"/>
      <color rgb="FFFE8116"/>
      <name val="Sawarabi Mincho"/>
    </font>
    <font>
      <b/>
      <sz val="10.0"/>
      <color rgb="FFFE8116"/>
      <name val="Sawarabi Mincho"/>
    </font>
    <font>
      <color rgb="FFFE8116"/>
      <name val="Sawarabi Mincho"/>
    </font>
    <font>
      <sz val="10.0"/>
      <color rgb="FF32474A"/>
      <name val="Sawarabi Mincho"/>
    </font>
    <font>
      <b/>
      <sz val="10.0"/>
      <color rgb="FF32474A"/>
      <name val="Sawarabi Mincho"/>
    </font>
    <font>
      <color rgb="FF32474A"/>
      <name val="Sawarabi Mincho"/>
    </font>
    <font>
      <sz val="10.0"/>
      <color rgb="FF00A920"/>
      <name val="Kosugi Maru"/>
    </font>
    <font>
      <b/>
      <sz val="10.0"/>
      <color rgb="FF00A920"/>
      <name val="Kosugi Maru"/>
    </font>
    <font>
      <color rgb="FF00A920"/>
      <name val="Kosugi Maru"/>
    </font>
    <font>
      <sz val="10.0"/>
      <color rgb="FFF2C0C4"/>
      <name val="Kosugi Maru"/>
    </font>
    <font>
      <b/>
      <sz val="10.0"/>
      <color rgb="FFF2C0C4"/>
      <name val="Kosugi Maru"/>
    </font>
    <font>
      <b/>
      <sz val="20.0"/>
      <color rgb="FF000000"/>
      <name val="Kosugi Maru"/>
    </font>
    <font>
      <color rgb="FFF2C0C4"/>
      <name val="Kosugi Maru"/>
    </font>
    <font>
      <color rgb="FF000000"/>
      <name val="Kosugi Maru"/>
    </font>
    <font>
      <sz val="10.0"/>
      <color rgb="FF000000"/>
      <name val="Kosugi Maru"/>
    </font>
    <font>
      <b/>
      <sz val="14.0"/>
      <color rgb="FF000000"/>
      <name val="Kosugi Maru"/>
    </font>
    <font>
      <b/>
      <sz val="18.0"/>
      <color rgb="FF000000"/>
      <name val="Kosugi Maru"/>
    </font>
    <font>
      <sz val="10.0"/>
      <color rgb="FFF59D26"/>
      <name val="Sawarabi Mincho"/>
    </font>
    <font>
      <b/>
      <sz val="10.0"/>
      <color rgb="FFF59D26"/>
      <name val="Sawarabi Mincho"/>
    </font>
    <font>
      <color rgb="FFF59D26"/>
      <name val="Sawarabi Mincho"/>
    </font>
    <font>
      <sz val="10.0"/>
      <color rgb="FFFDDD05"/>
      <name val="Kosugi Maru"/>
    </font>
    <font>
      <b/>
      <sz val="10.0"/>
      <color rgb="FFFDDD05"/>
      <name val="Kosugi Maru"/>
    </font>
    <font>
      <color rgb="FFFDDD05"/>
      <name val="Kosugi Maru"/>
    </font>
    <font>
      <sz val="10.0"/>
      <color rgb="FF4EBC56"/>
      <name val="Kosugi Maru"/>
    </font>
    <font>
      <b/>
      <sz val="10.0"/>
      <color rgb="FF4EBC56"/>
      <name val="Kosugi Maru"/>
    </font>
    <font>
      <color rgb="FF4EBC56"/>
      <name val="Kosugi Maru"/>
    </font>
    <font>
      <sz val="10.0"/>
      <color rgb="FFDE413D"/>
      <name val="Kosugi Maru"/>
    </font>
    <font>
      <b/>
      <sz val="10.0"/>
      <color rgb="FFDE413D"/>
      <name val="Kosugi Maru"/>
    </font>
    <font>
      <color rgb="FFDE413D"/>
      <name val="Kosugi Maru"/>
    </font>
    <font>
      <sz val="10.0"/>
      <color rgb="FF6B56B1"/>
      <name val="Sawarabi Mincho"/>
    </font>
    <font>
      <b/>
      <sz val="10.0"/>
      <color rgb="FF6B56B1"/>
      <name val="Sawarabi Mincho"/>
    </font>
    <font>
      <color rgb="FF6B56B1"/>
      <name val="Sawarabi Mincho"/>
    </font>
    <font>
      <b/>
      <sz val="10.0"/>
      <color rgb="FFFFFFFF"/>
      <name val="Kosugi Maru"/>
    </font>
    <font>
      <color rgb="FFFFFFFF"/>
      <name val="Arial"/>
    </font>
    <font>
      <sz val="10.0"/>
      <color rgb="FFEFADBB"/>
      <name val="Kosugi Maru"/>
    </font>
    <font>
      <b/>
      <sz val="10.0"/>
      <color rgb="FFEFADBB"/>
      <name val="Kosugi Maru"/>
    </font>
    <font>
      <color rgb="FFEFADBB"/>
      <name val="Kosugi Maru"/>
    </font>
    <font>
      <sz val="10.0"/>
      <color rgb="FFFE7EA2"/>
      <name val="Kosugi Maru"/>
    </font>
    <font>
      <b/>
      <sz val="10.0"/>
      <color rgb="FFFE7EA2"/>
      <name val="Kosugi Maru"/>
    </font>
    <font>
      <color rgb="FFFE7EA2"/>
      <name val="Kosugi Maru"/>
    </font>
    <font>
      <sz val="10.0"/>
      <color rgb="FFF5BF2D"/>
      <name val="Kosugi Maru"/>
    </font>
    <font>
      <b/>
      <sz val="10.0"/>
      <color rgb="FFF5BF2D"/>
      <name val="Kosugi Maru"/>
    </font>
    <font>
      <color rgb="FFF5BF2D"/>
      <name val="Kosugi Maru"/>
    </font>
    <font>
      <sz val="10.0"/>
      <color rgb="FF44745E"/>
      <name val="Sawarabi Mincho"/>
    </font>
    <font>
      <b/>
      <sz val="10.0"/>
      <color rgb="FF44745E"/>
      <name val="Sawarabi Mincho"/>
    </font>
    <font>
      <color rgb="FF44745E"/>
      <name val="Sawarabi Mincho"/>
    </font>
    <font>
      <sz val="10.0"/>
      <color rgb="FF72EAED"/>
      <name val="Kosugi Maru"/>
    </font>
    <font>
      <b/>
      <sz val="10.0"/>
      <color rgb="FF72EAED"/>
      <name val="Kosugi Maru"/>
    </font>
    <font>
      <color rgb="FF72EAED"/>
      <name val="Kosugi Maru"/>
    </font>
    <font>
      <sz val="10.0"/>
      <color rgb="FF756FD0"/>
      <name val="Sawarabi Mincho"/>
    </font>
    <font>
      <b/>
      <sz val="10.0"/>
      <color rgb="FF756FD0"/>
      <name val="Sawarabi Mincho"/>
    </font>
    <font>
      <color rgb="FF756FD0"/>
      <name val="Sawarabi Mincho"/>
    </font>
    <font>
      <sz val="10.0"/>
      <color rgb="FFEE7A9F"/>
      <name val="Kosugi Maru"/>
    </font>
    <font>
      <b/>
      <sz val="10.0"/>
      <color rgb="FFEE7A9F"/>
      <name val="Kosugi Maru"/>
    </font>
    <font>
      <color rgb="FFEE7A9F"/>
      <name val="Kosugi Maru"/>
    </font>
    <font>
      <sz val="10.0"/>
      <color rgb="FFB3B3B3"/>
      <name val="Kosugi Maru"/>
    </font>
    <font>
      <b/>
      <sz val="10.0"/>
      <color rgb="FFB3B3B3"/>
      <name val="Kosugi Maru"/>
    </font>
    <font>
      <color rgb="FFB3B3B3"/>
      <name val="Kosugi Maru"/>
    </font>
    <font>
      <sz val="10.0"/>
      <color rgb="FFFAFD8A"/>
      <name val="Kosugi Maru"/>
    </font>
    <font>
      <b/>
      <sz val="10.0"/>
      <color rgb="FFFAFD8A"/>
      <name val="Kosugi Maru"/>
    </font>
    <font>
      <color rgb="FFFAFD8A"/>
      <name val="Kosugi Maru"/>
    </font>
    <font>
      <sz val="10.0"/>
      <color rgb="FF464EC2"/>
      <name val="Sawarabi Mincho"/>
    </font>
    <font>
      <b/>
      <sz val="10.0"/>
      <color rgb="FF464EC2"/>
      <name val="Sawarabi Mincho"/>
    </font>
    <font>
      <color rgb="FF464EC2"/>
      <name val="Sawarabi Mincho"/>
    </font>
    <font>
      <sz val="10.0"/>
      <color rgb="FF5DA8C8"/>
      <name val="Sawarabi Mincho"/>
    </font>
    <font>
      <b/>
      <sz val="10.0"/>
      <color rgb="FF5DA8C8"/>
      <name val="Sawarabi Mincho"/>
    </font>
    <font>
      <color rgb="FF5DA8C8"/>
      <name val="Sawarabi Mincho"/>
    </font>
    <font>
      <sz val="10.0"/>
      <color rgb="FF7EA6C7"/>
      <name val="Sawarabi Mincho"/>
    </font>
    <font>
      <b/>
      <sz val="10.0"/>
      <color rgb="FF7EA6C7"/>
      <name val="Sawarabi Mincho"/>
    </font>
    <font>
      <color rgb="FF7EA6C7"/>
      <name val="Sawarabi Mincho"/>
    </font>
    <font>
      <sz val="10.0"/>
      <color rgb="FF70A174"/>
      <name val="Kosugi Maru"/>
    </font>
    <font>
      <b/>
      <sz val="10.0"/>
      <color rgb="FF70A174"/>
      <name val="Kosugi Maru"/>
    </font>
    <font>
      <color rgb="FF70A174"/>
      <name val="Kosugi Maru"/>
    </font>
    <font>
      <sz val="10.0"/>
      <color rgb="FF4F0F0F"/>
      <name val="Sawarabi Mincho"/>
    </font>
    <font>
      <b/>
      <sz val="10.0"/>
      <color rgb="FF4F0F0F"/>
      <name val="Sawarabi Mincho"/>
    </font>
    <font>
      <color rgb="FF4F0F0F"/>
      <name val="Sawarabi Mincho"/>
    </font>
    <font>
      <sz val="10.0"/>
      <color rgb="FF7974A4"/>
      <name val="Sawarabi Mincho"/>
    </font>
    <font>
      <b/>
      <sz val="10.0"/>
      <color rgb="FF7974A4"/>
      <name val="Sawarabi Mincho"/>
    </font>
    <font>
      <color rgb="FF7974A4"/>
      <name val="Sawarabi Mincho"/>
    </font>
    <font>
      <sz val="10.0"/>
      <color rgb="FF852924"/>
      <name val="Sawarabi Mincho"/>
    </font>
    <font>
      <b/>
      <sz val="10.0"/>
      <color rgb="FF852924"/>
      <name val="Sawarabi Mincho"/>
    </font>
    <font>
      <color rgb="FF852924"/>
      <name val="Sawarabi Mincho"/>
    </font>
    <font>
      <sz val="10.0"/>
      <color rgb="FF3D4960"/>
      <name val="Sawarabi Mincho"/>
    </font>
    <font>
      <b/>
      <sz val="10.0"/>
      <color rgb="FF3D4960"/>
      <name val="Sawarabi Mincho"/>
    </font>
    <font>
      <color rgb="FF3D4960"/>
      <name val="Sawarabi Mincho"/>
    </font>
    <font>
      <sz val="10.0"/>
      <color rgb="FFBCBCBC"/>
      <name val="Kosugi Maru"/>
    </font>
    <font>
      <b/>
      <sz val="10.0"/>
      <color rgb="FFBCBCBC"/>
      <name val="Kosugi Maru"/>
    </font>
    <font>
      <color rgb="FFBCBCBC"/>
      <name val="Kosugi Maru"/>
    </font>
    <font>
      <sz val="10.0"/>
      <color rgb="FF464664"/>
      <name val="Sawarabi Mincho"/>
    </font>
    <font>
      <b/>
      <sz val="10.0"/>
      <color rgb="FF464664"/>
      <name val="Sawarabi Mincho"/>
    </font>
    <font>
      <color rgb="FF464664"/>
      <name val="Sawarabi Mincho"/>
    </font>
    <font>
      <sz val="10.0"/>
      <color rgb="FFEBEBEB"/>
      <name val="Kosugi Maru"/>
    </font>
    <font>
      <b/>
      <sz val="10.0"/>
      <color rgb="FFEBEBEB"/>
      <name val="Kosugi Maru"/>
    </font>
    <font>
      <color rgb="FFEBEBEB"/>
      <name val="Kosugi Maru"/>
    </font>
    <font>
      <sz val="10.0"/>
      <color rgb="FF434343"/>
      <name val="Arial"/>
    </font>
    <font>
      <sz val="10.0"/>
      <color rgb="FF252434"/>
      <name val="Sawarabi Mincho"/>
    </font>
    <font>
      <b/>
      <sz val="10.0"/>
      <color rgb="FF252434"/>
      <name val="Sawarabi Mincho"/>
    </font>
    <font>
      <color rgb="FF252434"/>
      <name val="Sawarabi Mincho"/>
    </font>
    <font>
      <sz val="10.0"/>
      <color rgb="FF67B8CF"/>
      <name val="Sawarabi Mincho"/>
    </font>
    <font>
      <b/>
      <sz val="10.0"/>
      <color rgb="FF67B8CF"/>
      <name val="Sawarabi Mincho"/>
    </font>
    <font>
      <color rgb="FF67B8CF"/>
      <name val="Sawarabi Mincho"/>
    </font>
    <font>
      <sz val="10.0"/>
      <color rgb="FFFDE51B"/>
      <name val="Kosugi Maru"/>
    </font>
    <font>
      <b/>
      <sz val="10.0"/>
      <color rgb="FFFDE51B"/>
      <name val="Kosugi Maru"/>
    </font>
    <font>
      <color rgb="FFFDE51B"/>
      <name val="Kosugi Maru"/>
    </font>
    <font>
      <sz val="10.0"/>
      <color rgb="FF658198"/>
      <name val="Sawarabi Mincho"/>
    </font>
    <font>
      <b/>
      <sz val="10.0"/>
      <color rgb="FF658198"/>
      <name val="Sawarabi Mincho"/>
    </font>
    <font>
      <color rgb="FF658198"/>
      <name val="Sawarabi Mincho"/>
    </font>
    <font>
      <sz val="10.0"/>
      <color rgb="FF2D3A9F"/>
      <name val="Sawarabi Mincho"/>
    </font>
    <font>
      <b/>
      <sz val="10.0"/>
      <color rgb="FF2D3A9F"/>
      <name val="Sawarabi Mincho"/>
    </font>
    <font>
      <color rgb="FF2D3A9F"/>
      <name val="Sawarabi Mincho"/>
    </font>
    <font>
      <sz val="10.0"/>
      <color rgb="FFA8E9FD"/>
      <name val="Kosugi Maru"/>
    </font>
    <font>
      <b/>
      <sz val="10.0"/>
      <color rgb="FFA8E9FD"/>
      <name val="Kosugi Maru"/>
    </font>
    <font>
      <color rgb="FFA8E9FD"/>
      <name val="Kosugi Maru"/>
    </font>
    <font>
      <sz val="10.0"/>
      <color rgb="FF215B18"/>
      <name val="Kosugi Maru"/>
    </font>
    <font>
      <b/>
      <sz val="10.0"/>
      <color rgb="FF215B18"/>
      <name val="Kosugi Maru"/>
    </font>
    <font>
      <color rgb="FF215B18"/>
      <name val="Kosugi Maru"/>
    </font>
    <font>
      <sz val="10.0"/>
      <color rgb="FFED8B5D"/>
      <name val="Sawarabi Mincho"/>
    </font>
    <font>
      <b/>
      <sz val="10.0"/>
      <color rgb="FFED8B5D"/>
      <name val="Sawarabi Mincho"/>
    </font>
    <font>
      <color rgb="FFED8B5D"/>
      <name val="Sawarabi Mincho"/>
    </font>
    <font>
      <sz val="10.0"/>
      <color rgb="FFA94338"/>
      <name val="Kosugi Maru"/>
    </font>
    <font>
      <b/>
      <sz val="10.0"/>
      <color rgb="FFA94338"/>
      <name val="Kosugi Maru"/>
    </font>
    <font>
      <color rgb="FFA94338"/>
      <name val="Kosugi Maru"/>
    </font>
    <font>
      <sz val="10.0"/>
      <color rgb="FFEDD261"/>
      <name val="Kosugi Maru"/>
    </font>
    <font>
      <b/>
      <sz val="10.0"/>
      <color rgb="FFEDD261"/>
      <name val="Kosugi Maru"/>
    </font>
    <font>
      <color rgb="FFEDD261"/>
      <name val="Kosugi Maru"/>
    </font>
    <font>
      <sz val="10.0"/>
      <color rgb="FF5764DB"/>
      <name val="Sawarabi Mincho"/>
    </font>
    <font>
      <b/>
      <sz val="10.0"/>
      <color rgb="FF5764DB"/>
      <name val="Sawarabi Mincho"/>
    </font>
    <font>
      <color rgb="FF5764DB"/>
      <name val="Sawarabi Mincho"/>
    </font>
    <font>
      <sz val="10.0"/>
      <color rgb="FFEAEA68"/>
      <name val="Kosugi Maru"/>
    </font>
    <font>
      <b/>
      <sz val="10.0"/>
      <color rgb="FFEAEA68"/>
      <name val="Kosugi Maru"/>
    </font>
    <font>
      <color rgb="FFEAEA68"/>
      <name val="Kosugi Maru"/>
    </font>
    <font>
      <sz val="10.0"/>
      <color rgb="FFCCEFB0"/>
      <name val="Kosugi Maru"/>
    </font>
    <font>
      <b/>
      <sz val="10.0"/>
      <color rgb="FFCCEFB0"/>
      <name val="Kosugi Maru"/>
    </font>
    <font>
      <color rgb="FFCCEFB0"/>
      <name val="Kosugi Maru"/>
    </font>
    <font>
      <color rgb="FF000000"/>
    </font>
    <font>
      <sz val="10.0"/>
      <color rgb="FF5885C0"/>
      <name val="Sawarabi Mincho"/>
    </font>
    <font>
      <b/>
      <sz val="10.0"/>
      <color rgb="FF5885C0"/>
      <name val="Sawarabi Mincho"/>
    </font>
    <font>
      <color rgb="FF5885C0"/>
      <name val="Sawarabi Mincho"/>
    </font>
    <font>
      <b/>
      <name val="Arial"/>
    </font>
    <font>
      <sz val="10.0"/>
      <color rgb="FFB2B8BD"/>
      <name val="Kosugi Maru"/>
    </font>
    <font>
      <b/>
      <sz val="10.0"/>
      <color rgb="FFB2B8BD"/>
      <name val="Kosugi Maru"/>
    </font>
    <font>
      <color rgb="FFB2B8BD"/>
      <name val="Kosugi Maru"/>
    </font>
    <font>
      <sz val="10.0"/>
      <color rgb="FF8CE689"/>
      <name val="Kosugi Maru"/>
    </font>
    <font>
      <b/>
      <sz val="10.0"/>
      <color rgb="FF8CE689"/>
      <name val="Kosugi Maru"/>
    </font>
    <font>
      <color rgb="FF8CE689"/>
      <name val="Kosugi Maru"/>
    </font>
    <font>
      <sz val="10.0"/>
      <color rgb="FF757575"/>
      <name val="Sawarabi Mincho"/>
    </font>
    <font>
      <b/>
      <sz val="10.0"/>
      <color rgb="FF757575"/>
      <name val="Sawarabi Mincho"/>
    </font>
    <font>
      <color rgb="FF757575"/>
      <name val="Sawarabi Mincho"/>
    </font>
    <font>
      <sz val="10.0"/>
      <color rgb="FF24AA72"/>
      <name val="Kosugi Maru"/>
    </font>
    <font>
      <b/>
      <sz val="10.0"/>
      <color rgb="FF24AA72"/>
      <name val="Kosugi Maru"/>
    </font>
    <font>
      <color rgb="FF24AA72"/>
      <name val="Kosugi Maru"/>
    </font>
    <font>
      <sz val="10.0"/>
      <color rgb="FF4E77DB"/>
      <name val="Kosugi Maru"/>
    </font>
    <font>
      <b/>
      <sz val="10.0"/>
      <color rgb="FF4E77DB"/>
      <name val="Kosugi Maru"/>
    </font>
    <font>
      <color rgb="FF4E77DB"/>
      <name val="Kosugi Maru"/>
    </font>
    <font>
      <sz val="10.0"/>
      <color rgb="FFE1E0DC"/>
      <name val="Kosugi Maru"/>
    </font>
    <font>
      <b/>
      <sz val="10.0"/>
      <color rgb="FFE1E0DC"/>
      <name val="Kosugi Maru"/>
    </font>
    <font>
      <color rgb="FFE1E0DC"/>
      <name val="Kosugi Maru"/>
    </font>
    <font>
      <sz val="10.0"/>
      <color rgb="FF86DED1"/>
      <name val="Kosugi Maru"/>
    </font>
    <font>
      <b/>
      <sz val="10.0"/>
      <color rgb="FF86DED1"/>
      <name val="Kosugi Maru"/>
    </font>
    <font>
      <color rgb="FF86DED1"/>
      <name val="Kosugi Maru"/>
    </font>
    <font>
      <sz val="10.0"/>
      <color rgb="FF5D8F72"/>
      <name val="Sawarabi Mincho"/>
    </font>
    <font>
      <b/>
      <sz val="10.0"/>
      <color rgb="FF5D8F72"/>
      <name val="Sawarabi Mincho"/>
    </font>
    <font>
      <color rgb="FF5D8F72"/>
      <name val="Sawarabi Mincho"/>
    </font>
    <font>
      <sz val="10.0"/>
      <color rgb="FF1A1E54"/>
      <name val="Sawarabi Mincho"/>
    </font>
    <font>
      <b/>
      <sz val="10.0"/>
      <color rgb="FF1A1E54"/>
      <name val="Sawarabi Mincho"/>
    </font>
    <font>
      <color rgb="FF1A1E54"/>
      <name val="Sawarabi Mincho"/>
    </font>
    <font>
      <sz val="10.0"/>
      <color rgb="FFCC4242"/>
      <name val="Sawarabi Mincho"/>
    </font>
    <font>
      <b/>
      <sz val="10.0"/>
      <color rgb="FFCC4242"/>
      <name val="Sawarabi Mincho"/>
    </font>
    <font>
      <color rgb="FFCC4242"/>
      <name val="Sawarabi Mincho"/>
    </font>
    <font>
      <sz val="10.0"/>
      <color rgb="FF5D6FC4"/>
      <name val="Sawarabi Mincho"/>
    </font>
    <font>
      <b/>
      <sz val="10.0"/>
      <color rgb="FF5D6FC4"/>
      <name val="Sawarabi Mincho"/>
    </font>
    <font>
      <color rgb="FF5D6FC4"/>
      <name val="Sawarabi Mincho"/>
    </font>
    <font>
      <sz val="10.0"/>
      <color rgb="FFEBB253"/>
      <name val="Sawarabi Mincho"/>
    </font>
    <font>
      <b/>
      <sz val="10.0"/>
      <color rgb="FFEBB253"/>
      <name val="Sawarabi Mincho"/>
    </font>
    <font>
      <color rgb="FFEBB253"/>
      <name val="Sawarabi Mincho"/>
    </font>
    <font>
      <name val="Roboto"/>
    </font>
    <font>
      <sz val="10.0"/>
      <color rgb="FF91E5C1"/>
      <name val="Sawarabi Mincho"/>
    </font>
    <font>
      <b/>
      <sz val="10.0"/>
      <color rgb="FF91E5C1"/>
      <name val="Sawarabi Mincho"/>
    </font>
    <font>
      <color rgb="FF91E5C1"/>
      <name val="Sawarabi Mincho"/>
    </font>
    <font>
      <sz val="10.0"/>
      <color rgb="FFFBE36B"/>
      <name val="Kosugi Maru"/>
    </font>
    <font>
      <b/>
      <sz val="10.0"/>
      <color rgb="FFFBE36B"/>
      <name val="Kosugi Maru"/>
    </font>
    <font>
      <color rgb="FFFBE36B"/>
      <name val="Kosugi Maru"/>
    </font>
    <font>
      <sz val="10.0"/>
      <color rgb="FF212227"/>
      <name val="Sawarabi Mincho"/>
    </font>
    <font>
      <b/>
      <sz val="10.0"/>
      <color rgb="FF212227"/>
      <name val="Sawarabi Mincho"/>
    </font>
    <font>
      <color rgb="FF212227"/>
      <name val="Sawarabi Mincho"/>
    </font>
    <font>
      <sz val="10.0"/>
      <color rgb="FFA02F3A"/>
      <name val="Sawarabi Mincho"/>
    </font>
    <font>
      <b/>
      <sz val="10.0"/>
      <color rgb="FFA02F3A"/>
      <name val="Sawarabi Mincho"/>
    </font>
    <font>
      <color rgb="FFA02F3A"/>
      <name val="Sawarabi Mincho"/>
    </font>
    <font>
      <sz val="10.0"/>
      <color rgb="FF59BF38"/>
      <name val="Kosugi Maru"/>
    </font>
    <font>
      <b/>
      <sz val="10.0"/>
      <color rgb="FF59BF38"/>
      <name val="Kosugi Maru"/>
    </font>
    <font>
      <color rgb="FF59BF38"/>
      <name val="Kosugi Maru"/>
    </font>
    <font>
      <sz val="10.0"/>
      <color rgb="FFB9613B"/>
      <name val="Kosugi Maru"/>
    </font>
    <font>
      <b/>
      <sz val="10.0"/>
      <color rgb="FFB9613B"/>
      <name val="Kosugi Maru"/>
    </font>
    <font>
      <color rgb="FFB9613B"/>
      <name val="Kosugi Maru"/>
    </font>
    <font>
      <sz val="10.0"/>
      <color rgb="FF7C797B"/>
      <name val="Sawarabi Mincho"/>
    </font>
    <font>
      <b/>
      <sz val="10.0"/>
      <color rgb="FF7C797B"/>
      <name val="Sawarabi Mincho"/>
    </font>
    <font>
      <color rgb="FF7C797B"/>
      <name val="Sawarabi Mincho"/>
    </font>
    <font>
      <sz val="10.0"/>
      <color rgb="FFD0504D"/>
      <name val="Sawarabi Mincho"/>
    </font>
    <font>
      <b/>
      <sz val="10.0"/>
      <color rgb="FFD0504D"/>
      <name val="Sawarabi Mincho"/>
    </font>
    <font>
      <color rgb="FFD0504D"/>
      <name val="Sawarabi Mincho"/>
    </font>
    <font>
      <sz val="10.0"/>
      <color rgb="FF3F4044"/>
      <name val="Sawarabi Mincho"/>
    </font>
    <font>
      <b/>
      <sz val="10.0"/>
      <color rgb="FF3F4044"/>
      <name val="Sawarabi Mincho"/>
    </font>
    <font>
      <color rgb="FF3F4044"/>
      <name val="Sawarabi Mincho"/>
    </font>
    <font>
      <sz val="10.0"/>
      <color rgb="FF7E93C9"/>
      <name val="Sawarabi Mincho"/>
    </font>
    <font>
      <b/>
      <sz val="10.0"/>
      <color rgb="FF7E93C9"/>
      <name val="Sawarabi Mincho"/>
    </font>
    <font>
      <color rgb="FF7E93C9"/>
      <name val="Sawarabi Mincho"/>
    </font>
    <font>
      <sz val="10.0"/>
      <color rgb="FF202020"/>
      <name val="Sawarabi Mincho"/>
    </font>
    <font>
      <b/>
      <sz val="10.0"/>
      <color rgb="FF202020"/>
      <name val="Sawarabi Mincho"/>
    </font>
    <font>
      <color rgb="FF202020"/>
      <name val="Sawarabi Mincho"/>
    </font>
    <font>
      <sz val="10.0"/>
      <color rgb="FFEE9426"/>
      <name val="Kosugi Maru"/>
    </font>
    <font>
      <b/>
      <sz val="10.0"/>
      <color rgb="FFEE9426"/>
      <name val="Kosugi Maru"/>
    </font>
    <font>
      <color rgb="FFEE9426"/>
      <name val="Kosugi Maru"/>
    </font>
    <font>
      <sz val="10.0"/>
      <color rgb="FF483849"/>
      <name val="Sawarabi Mincho"/>
    </font>
    <font>
      <b/>
      <sz val="10.0"/>
      <color rgb="FF483849"/>
      <name val="Sawarabi Mincho"/>
    </font>
    <font>
      <color rgb="FF483849"/>
      <name val="Sawarabi Mincho"/>
    </font>
    <font>
      <sz val="10.0"/>
      <color rgb="FF8E4038"/>
      <name val="Sawarabi Mincho"/>
    </font>
    <font>
      <b/>
      <sz val="10.0"/>
      <color rgb="FF8E4038"/>
      <name val="Sawarabi Mincho"/>
    </font>
    <font>
      <color rgb="FF8E4038"/>
      <name val="Sawarabi Mincho"/>
    </font>
    <font>
      <sz val="10.0"/>
      <color rgb="FF05709D"/>
      <name val="Sawarabi Mincho"/>
    </font>
    <font>
      <b/>
      <sz val="10.0"/>
      <color rgb="FF05709D"/>
      <name val="Sawarabi Mincho"/>
    </font>
    <font>
      <color rgb="FF05709D"/>
      <name val="Sawarabi Mincho"/>
    </font>
    <font>
      <sz val="10.0"/>
      <color rgb="FF485F43"/>
      <name val="Sawarabi Mincho"/>
    </font>
    <font>
      <b/>
      <sz val="10.0"/>
      <color rgb="FF485F43"/>
      <name val="Sawarabi Mincho"/>
    </font>
    <font>
      <color rgb="FF485F43"/>
      <name val="Sawarabi Mincho"/>
    </font>
    <font>
      <sz val="10.0"/>
      <color rgb="FFFFDC45"/>
      <name val="Kosugi Maru"/>
    </font>
    <font>
      <b/>
      <sz val="10.0"/>
      <color rgb="FFFFDC45"/>
      <name val="Kosugi Maru"/>
    </font>
    <font>
      <color rgb="FFFFDC45"/>
      <name val="Kosugi Maru"/>
    </font>
    <font>
      <sz val="10.0"/>
      <color rgb="FFC84134"/>
      <name val="Sawarabi Mincho"/>
    </font>
    <font>
      <b/>
      <sz val="10.0"/>
      <color rgb="FFC84134"/>
      <name val="Sawarabi Mincho"/>
    </font>
    <font>
      <color rgb="FFC84134"/>
      <name val="Sawarabi Mincho"/>
    </font>
    <font>
      <sz val="10.0"/>
      <color rgb="FF1A7F2E"/>
      <name val="Kosugi Maru"/>
    </font>
    <font>
      <b/>
      <sz val="10.0"/>
      <color rgb="FF1A7F2E"/>
      <name val="Kosugi Maru"/>
    </font>
    <font>
      <color rgb="FF1A7F2E"/>
      <name val="Kosugi Maru"/>
    </font>
    <font>
      <sz val="10.0"/>
      <color rgb="FFB20101"/>
      <name val="Sawarabi Mincho"/>
    </font>
    <font>
      <b/>
      <sz val="10.0"/>
      <color rgb="FFB20101"/>
      <name val="Sawarabi Mincho"/>
    </font>
    <font>
      <color rgb="FFB20101"/>
      <name val="Sawarabi Mincho"/>
    </font>
    <font>
      <sz val="10.0"/>
      <color rgb="FFD7BEF4"/>
      <name val="Sawarabi Mincho"/>
    </font>
    <font>
      <b/>
      <sz val="10.0"/>
      <color rgb="FFD7BEF4"/>
      <name val="Sawarabi Mincho"/>
    </font>
    <font>
      <color rgb="FFD7BEF4"/>
      <name val="Sawarabi Mincho"/>
    </font>
    <font>
      <sz val="10.0"/>
      <color rgb="FFFBDF7F"/>
      <name val="Kosugi Maru"/>
    </font>
    <font>
      <b/>
      <sz val="10.0"/>
      <color rgb="FFFBDF7F"/>
      <name val="Kosugi Maru"/>
    </font>
    <font>
      <color rgb="FFFBDF7F"/>
      <name val="Kosugi Maru"/>
    </font>
    <font>
      <sz val="10.0"/>
      <color rgb="FF6EB2FB"/>
      <name val="Sawarabi Mincho"/>
    </font>
    <font>
      <b/>
      <sz val="10.0"/>
      <color rgb="FF6EB2FB"/>
      <name val="Sawarabi Mincho"/>
    </font>
    <font>
      <color rgb="FF6EB2FB"/>
      <name val="Sawarabi Mincho"/>
    </font>
    <font>
      <sz val="10.0"/>
      <color rgb="FF90E8B9"/>
      <name val="Sawarabi Mincho"/>
    </font>
    <font>
      <b/>
      <sz val="10.0"/>
      <color rgb="FF90E8B9"/>
      <name val="Sawarabi Mincho"/>
    </font>
    <font>
      <color rgb="FF90E8B9"/>
      <name val="Sawarabi Mincho"/>
    </font>
    <font>
      <sz val="10.0"/>
      <color rgb="FFFFFF5A"/>
      <name val="Kosugi Maru"/>
    </font>
    <font>
      <b/>
      <sz val="10.0"/>
      <color rgb="FFFFFF5A"/>
      <name val="Kosugi Maru"/>
    </font>
    <font>
      <color rgb="FFFFFF5A"/>
      <name val="Kosugi Maru"/>
    </font>
    <font>
      <sz val="10.0"/>
      <color rgb="FFE06666"/>
      <name val="Arial"/>
    </font>
    <font>
      <sz val="10.0"/>
      <color rgb="FF666666"/>
      <name val="Arial"/>
    </font>
    <font>
      <sz val="10.0"/>
      <color rgb="FFDDDDDD"/>
      <name val="Kosugi Maru"/>
    </font>
    <font>
      <b/>
      <sz val="10.0"/>
      <color rgb="FFDDDDDD"/>
      <name val="Kosugi Maru"/>
    </font>
    <font>
      <color rgb="FFDDDDDD"/>
      <name val="Kosugi Maru"/>
    </font>
    <font>
      <sz val="10.0"/>
      <color rgb="FFEFEFEF"/>
      <name val="Sawarabi Mincho"/>
    </font>
    <font>
      <sz val="10.0"/>
      <color rgb="FFB96A69"/>
      <name val="Sawarabi Mincho"/>
    </font>
    <font>
      <sz val="10.0"/>
      <color rgb="FFE6F9C8"/>
      <name val="Sawarabi Mincho"/>
    </font>
    <font>
      <sz val="10.0"/>
      <color rgb="FF992118"/>
      <name val="Sawarabi Mincho"/>
    </font>
    <font>
      <color rgb="FFC8CFE3"/>
      <name val="Sawarabi Mincho"/>
    </font>
    <font>
      <u/>
      <color rgb="FF1155CC"/>
      <name val="Arial"/>
    </font>
    <font>
      <u/>
      <color rgb="FF0000FF"/>
      <name val="Arial"/>
    </font>
    <font>
      <u/>
      <color rgb="FF1155CC"/>
      <name val="Arial"/>
    </font>
    <font>
      <name val="Monospace"/>
    </font>
    <font>
      <b/>
      <name val="Monospace"/>
    </font>
    <font>
      <sz val="10.0"/>
      <color rgb="FFB7B7B7"/>
      <name val="Arial"/>
    </font>
    <font>
      <color rgb="FFB7B7B7"/>
      <name val="Arial"/>
    </font>
    <font>
      <color rgb="FFC9DAF8"/>
      <name val="Arial"/>
    </font>
  </fonts>
  <fills count="142">
    <fill>
      <patternFill patternType="none"/>
    </fill>
    <fill>
      <patternFill patternType="lightGray"/>
    </fill>
    <fill>
      <patternFill patternType="solid">
        <fgColor rgb="FF434343"/>
        <bgColor rgb="FF434343"/>
      </patternFill>
    </fill>
    <fill>
      <patternFill patternType="solid">
        <fgColor rgb="FFCCCCCC"/>
        <bgColor rgb="FFCCCCCC"/>
      </patternFill>
    </fill>
    <fill>
      <patternFill patternType="solid">
        <fgColor rgb="FFF3F3F3"/>
        <bgColor rgb="FFF3F3F3"/>
      </patternFill>
    </fill>
    <fill>
      <patternFill patternType="solid">
        <fgColor rgb="FF999999"/>
        <bgColor rgb="FF999999"/>
      </patternFill>
    </fill>
    <fill>
      <patternFill patternType="solid">
        <fgColor rgb="FF6AA84F"/>
        <bgColor rgb="FF6AA84F"/>
      </patternFill>
    </fill>
    <fill>
      <patternFill patternType="solid">
        <fgColor rgb="FF55ACEE"/>
        <bgColor rgb="FF55ACEE"/>
      </patternFill>
    </fill>
    <fill>
      <patternFill patternType="solid">
        <fgColor rgb="FF7386D2"/>
        <bgColor rgb="FF7386D2"/>
      </patternFill>
    </fill>
    <fill>
      <patternFill patternType="solid">
        <fgColor rgb="FFCD201F"/>
        <bgColor rgb="FFCD201F"/>
      </patternFill>
    </fill>
    <fill>
      <patternFill patternType="solid">
        <fgColor rgb="FFFFFF00"/>
        <bgColor rgb="FFFFFF00"/>
      </patternFill>
    </fill>
    <fill>
      <patternFill patternType="solid">
        <fgColor rgb="FFFFFFFF"/>
        <bgColor rgb="FFFFFFFF"/>
      </patternFill>
    </fill>
    <fill>
      <patternFill patternType="solid">
        <fgColor rgb="FFEC2320"/>
        <bgColor rgb="FFEC2320"/>
      </patternFill>
    </fill>
    <fill>
      <patternFill patternType="solid">
        <fgColor rgb="FFF1C40F"/>
        <bgColor rgb="FFF1C40F"/>
      </patternFill>
    </fill>
    <fill>
      <patternFill patternType="solid">
        <fgColor rgb="FFF9E79F"/>
        <bgColor rgb="FFF9E79F"/>
      </patternFill>
    </fill>
    <fill>
      <patternFill patternType="solid">
        <fgColor rgb="FF52BE80"/>
        <bgColor rgb="FF52BE80"/>
      </patternFill>
    </fill>
    <fill>
      <patternFill patternType="solid">
        <fgColor rgb="FFA9DFBF"/>
        <bgColor rgb="FFA9DFBF"/>
      </patternFill>
    </fill>
    <fill>
      <patternFill patternType="solid">
        <fgColor rgb="FFE9F7EF"/>
        <bgColor rgb="FFE9F7EF"/>
      </patternFill>
    </fill>
    <fill>
      <patternFill patternType="solid">
        <fgColor rgb="FFFFF2CC"/>
        <bgColor rgb="FFFFF2CC"/>
      </patternFill>
    </fill>
    <fill>
      <patternFill patternType="solid">
        <fgColor rgb="FF3498DB"/>
        <bgColor rgb="FF3498DB"/>
      </patternFill>
    </fill>
    <fill>
      <patternFill patternType="solid">
        <fgColor rgb="FF85C1E9"/>
        <bgColor rgb="FF85C1E9"/>
      </patternFill>
    </fill>
    <fill>
      <patternFill patternType="solid">
        <fgColor rgb="FFD4E6F1"/>
        <bgColor rgb="FFD4E6F1"/>
      </patternFill>
    </fill>
    <fill>
      <patternFill patternType="solid">
        <fgColor rgb="FFF4EEEE"/>
        <bgColor rgb="FFF4EEEE"/>
      </patternFill>
    </fill>
    <fill>
      <patternFill patternType="solid">
        <fgColor rgb="FFE74C3C"/>
        <bgColor rgb="FFE74C3C"/>
      </patternFill>
    </fill>
    <fill>
      <patternFill patternType="solid">
        <fgColor rgb="FFF1948A"/>
        <bgColor rgb="FFF1948A"/>
      </patternFill>
    </fill>
    <fill>
      <patternFill patternType="solid">
        <fgColor rgb="FFFADBD8"/>
        <bgColor rgb="FFFADBD8"/>
      </patternFill>
    </fill>
    <fill>
      <patternFill patternType="solid">
        <fgColor rgb="FFF2D7D5"/>
        <bgColor rgb="FFF2D7D5"/>
      </patternFill>
    </fill>
    <fill>
      <patternFill patternType="solid">
        <fgColor rgb="FF666666"/>
        <bgColor rgb="FF666666"/>
      </patternFill>
    </fill>
    <fill>
      <patternFill patternType="solid">
        <fgColor rgb="FFEB984E"/>
        <bgColor rgb="FFEB984E"/>
      </patternFill>
    </fill>
    <fill>
      <patternFill patternType="solid">
        <fgColor rgb="FFF0B27A"/>
        <bgColor rgb="FFF0B27A"/>
      </patternFill>
    </fill>
    <fill>
      <patternFill patternType="solid">
        <fgColor rgb="FFFAE5D3"/>
        <bgColor rgb="FFFAE5D3"/>
      </patternFill>
    </fill>
    <fill>
      <patternFill patternType="solid">
        <fgColor rgb="FF717D7E"/>
        <bgColor rgb="FF717D7E"/>
      </patternFill>
    </fill>
    <fill>
      <patternFill patternType="solid">
        <fgColor rgb="FFAAB7B8"/>
        <bgColor rgb="FFAAB7B8"/>
      </patternFill>
    </fill>
    <fill>
      <patternFill patternType="solid">
        <fgColor rgb="FFEAEDED"/>
        <bgColor rgb="FFEAEDED"/>
      </patternFill>
    </fill>
    <fill>
      <patternFill patternType="solid">
        <fgColor rgb="FF566573"/>
        <bgColor rgb="FF566573"/>
      </patternFill>
    </fill>
    <fill>
      <patternFill patternType="solid">
        <fgColor rgb="FFABB2B9"/>
        <bgColor rgb="FFABB2B9"/>
      </patternFill>
    </fill>
    <fill>
      <patternFill patternType="solid">
        <fgColor rgb="FFEAECEE"/>
        <bgColor rgb="FFEAECEE"/>
      </patternFill>
    </fill>
    <fill>
      <patternFill patternType="solid">
        <fgColor rgb="FF916E88"/>
        <bgColor rgb="FF916E88"/>
      </patternFill>
    </fill>
    <fill>
      <patternFill patternType="solid">
        <fgColor rgb="FFC7B5C2"/>
        <bgColor rgb="FFC7B5C2"/>
      </patternFill>
    </fill>
    <fill>
      <patternFill patternType="solid">
        <fgColor rgb="FFE3D8E0"/>
        <bgColor rgb="FFE3D8E0"/>
      </patternFill>
    </fill>
    <fill>
      <patternFill patternType="solid">
        <fgColor rgb="FF007D1E"/>
        <bgColor rgb="FF007D1E"/>
      </patternFill>
    </fill>
    <fill>
      <patternFill patternType="solid">
        <fgColor rgb="FF5BB8D4"/>
        <bgColor rgb="FF5BB8D4"/>
      </patternFill>
    </fill>
    <fill>
      <patternFill patternType="solid">
        <fgColor rgb="FFFE8116"/>
        <bgColor rgb="FFFE8116"/>
      </patternFill>
    </fill>
    <fill>
      <patternFill patternType="solid">
        <fgColor rgb="FFF4E4E3"/>
        <bgColor rgb="FFF4E4E3"/>
      </patternFill>
    </fill>
    <fill>
      <patternFill patternType="solid">
        <fgColor rgb="FFE2E9F3"/>
        <bgColor rgb="FFE2E9F3"/>
      </patternFill>
    </fill>
    <fill>
      <patternFill patternType="solid">
        <fgColor rgb="FFE7ECF3"/>
        <bgColor rgb="FFE7ECF3"/>
      </patternFill>
    </fill>
    <fill>
      <patternFill patternType="solid">
        <fgColor rgb="FF32474A"/>
        <bgColor rgb="FF32474A"/>
      </patternFill>
    </fill>
    <fill>
      <patternFill patternType="solid">
        <fgColor rgb="FF00A920"/>
        <bgColor rgb="FF00A920"/>
      </patternFill>
    </fill>
    <fill>
      <patternFill patternType="solid">
        <fgColor rgb="FFF2C0C4"/>
        <bgColor rgb="FFF2C0C4"/>
      </patternFill>
    </fill>
    <fill>
      <patternFill patternType="solid">
        <fgColor rgb="FFF59D26"/>
        <bgColor rgb="FFF59D26"/>
      </patternFill>
    </fill>
    <fill>
      <patternFill patternType="solid">
        <fgColor rgb="FFFDDD05"/>
        <bgColor rgb="FFFDDD05"/>
      </patternFill>
    </fill>
    <fill>
      <patternFill patternType="solid">
        <fgColor rgb="FF4EBC56"/>
        <bgColor rgb="FF4EBC56"/>
      </patternFill>
    </fill>
    <fill>
      <patternFill patternType="solid">
        <fgColor rgb="FFDE413D"/>
        <bgColor rgb="FFDE413D"/>
      </patternFill>
    </fill>
    <fill>
      <patternFill patternType="solid">
        <fgColor rgb="FF6B56B1"/>
        <bgColor rgb="FF6B56B1"/>
      </patternFill>
    </fill>
    <fill>
      <patternFill patternType="solid">
        <fgColor rgb="FFEFADBB"/>
        <bgColor rgb="FFEFADBB"/>
      </patternFill>
    </fill>
    <fill>
      <patternFill patternType="solid">
        <fgColor rgb="FFFE7EA2"/>
        <bgColor rgb="FFFE7EA2"/>
      </patternFill>
    </fill>
    <fill>
      <patternFill patternType="solid">
        <fgColor rgb="FFF5BF2D"/>
        <bgColor rgb="FFF5BF2D"/>
      </patternFill>
    </fill>
    <fill>
      <patternFill patternType="solid">
        <fgColor rgb="FF44745E"/>
        <bgColor rgb="FF44745E"/>
      </patternFill>
    </fill>
    <fill>
      <patternFill patternType="solid">
        <fgColor rgb="FF72EAED"/>
        <bgColor rgb="FF72EAED"/>
      </patternFill>
    </fill>
    <fill>
      <patternFill patternType="solid">
        <fgColor rgb="FF756FD0"/>
        <bgColor rgb="FF756FD0"/>
      </patternFill>
    </fill>
    <fill>
      <patternFill patternType="solid">
        <fgColor rgb="FFEE7A9F"/>
        <bgColor rgb="FFEE7A9F"/>
      </patternFill>
    </fill>
    <fill>
      <patternFill patternType="solid">
        <fgColor rgb="FFB3B3B3"/>
        <bgColor rgb="FFB3B3B3"/>
      </patternFill>
    </fill>
    <fill>
      <patternFill patternType="solid">
        <fgColor rgb="FFFAFD8A"/>
        <bgColor rgb="FFFAFD8A"/>
      </patternFill>
    </fill>
    <fill>
      <patternFill patternType="solid">
        <fgColor rgb="FF464EC2"/>
        <bgColor rgb="FF464EC2"/>
      </patternFill>
    </fill>
    <fill>
      <patternFill patternType="solid">
        <fgColor rgb="FF5DA8C8"/>
        <bgColor rgb="FF5DA8C8"/>
      </patternFill>
    </fill>
    <fill>
      <patternFill patternType="solid">
        <fgColor rgb="FF7EA6C7"/>
        <bgColor rgb="FF7EA6C7"/>
      </patternFill>
    </fill>
    <fill>
      <patternFill patternType="solid">
        <fgColor rgb="FF70A174"/>
        <bgColor rgb="FF70A174"/>
      </patternFill>
    </fill>
    <fill>
      <patternFill patternType="solid">
        <fgColor rgb="FF4F0F0F"/>
        <bgColor rgb="FF4F0F0F"/>
      </patternFill>
    </fill>
    <fill>
      <patternFill patternType="solid">
        <fgColor rgb="FF7974A4"/>
        <bgColor rgb="FF7974A4"/>
      </patternFill>
    </fill>
    <fill>
      <patternFill patternType="solid">
        <fgColor rgb="FF852924"/>
        <bgColor rgb="FF852924"/>
      </patternFill>
    </fill>
    <fill>
      <patternFill patternType="solid">
        <fgColor rgb="FF3D4960"/>
        <bgColor rgb="FF3D4960"/>
      </patternFill>
    </fill>
    <fill>
      <patternFill patternType="solid">
        <fgColor rgb="FFBCBCBC"/>
        <bgColor rgb="FFBCBCBC"/>
      </patternFill>
    </fill>
    <fill>
      <patternFill patternType="solid">
        <fgColor rgb="FF464664"/>
        <bgColor rgb="FF464664"/>
      </patternFill>
    </fill>
    <fill>
      <patternFill patternType="solid">
        <fgColor rgb="FFEBEBEB"/>
        <bgColor rgb="FFEBEBEB"/>
      </patternFill>
    </fill>
    <fill>
      <patternFill patternType="solid">
        <fgColor rgb="FF252434"/>
        <bgColor rgb="FF252434"/>
      </patternFill>
    </fill>
    <fill>
      <patternFill patternType="solid">
        <fgColor rgb="FF67B8CF"/>
        <bgColor rgb="FF67B8CF"/>
      </patternFill>
    </fill>
    <fill>
      <patternFill patternType="solid">
        <fgColor rgb="FFFDE51B"/>
        <bgColor rgb="FFFDE51B"/>
      </patternFill>
    </fill>
    <fill>
      <patternFill patternType="solid">
        <fgColor rgb="FF658198"/>
        <bgColor rgb="FF658198"/>
      </patternFill>
    </fill>
    <fill>
      <patternFill patternType="solid">
        <fgColor rgb="FF2D3A9F"/>
        <bgColor rgb="FF2D3A9F"/>
      </patternFill>
    </fill>
    <fill>
      <patternFill patternType="solid">
        <fgColor rgb="FFA8E9FD"/>
        <bgColor rgb="FFA8E9FD"/>
      </patternFill>
    </fill>
    <fill>
      <patternFill patternType="solid">
        <fgColor rgb="FF215B18"/>
        <bgColor rgb="FF215B18"/>
      </patternFill>
    </fill>
    <fill>
      <patternFill patternType="solid">
        <fgColor rgb="FFED8B5D"/>
        <bgColor rgb="FFED8B5D"/>
      </patternFill>
    </fill>
    <fill>
      <patternFill patternType="solid">
        <fgColor rgb="FFA94338"/>
        <bgColor rgb="FFA94338"/>
      </patternFill>
    </fill>
    <fill>
      <patternFill patternType="solid">
        <fgColor rgb="FFEDD261"/>
        <bgColor rgb="FFEDD261"/>
      </patternFill>
    </fill>
    <fill>
      <patternFill patternType="solid">
        <fgColor rgb="FF5764DB"/>
        <bgColor rgb="FF5764DB"/>
      </patternFill>
    </fill>
    <fill>
      <patternFill patternType="solid">
        <fgColor rgb="FFEAEA68"/>
        <bgColor rgb="FFEAEA68"/>
      </patternFill>
    </fill>
    <fill>
      <patternFill patternType="solid">
        <fgColor rgb="FFCCEFB0"/>
        <bgColor rgb="FFCCEFB0"/>
      </patternFill>
    </fill>
    <fill>
      <patternFill patternType="solid">
        <fgColor rgb="FFEFEFEF"/>
        <bgColor rgb="FFEFEFEF"/>
      </patternFill>
    </fill>
    <fill>
      <patternFill patternType="solid">
        <fgColor rgb="FF5885C0"/>
        <bgColor rgb="FF5885C0"/>
      </patternFill>
    </fill>
    <fill>
      <patternFill patternType="solid">
        <fgColor rgb="FFB2B8BD"/>
        <bgColor rgb="FFB2B8BD"/>
      </patternFill>
    </fill>
    <fill>
      <patternFill patternType="solid">
        <fgColor rgb="FF8CE689"/>
        <bgColor rgb="FF8CE689"/>
      </patternFill>
    </fill>
    <fill>
      <patternFill patternType="solid">
        <fgColor rgb="FF757575"/>
        <bgColor rgb="FF757575"/>
      </patternFill>
    </fill>
    <fill>
      <patternFill patternType="solid">
        <fgColor rgb="FF24AA72"/>
        <bgColor rgb="FF24AA72"/>
      </patternFill>
    </fill>
    <fill>
      <patternFill patternType="solid">
        <fgColor rgb="FF4E77DB"/>
        <bgColor rgb="FF4E77DB"/>
      </patternFill>
    </fill>
    <fill>
      <patternFill patternType="solid">
        <fgColor rgb="FFE1E0DC"/>
        <bgColor rgb="FFE1E0DC"/>
      </patternFill>
    </fill>
    <fill>
      <patternFill patternType="solid">
        <fgColor rgb="FF86DED1"/>
        <bgColor rgb="FF86DED1"/>
      </patternFill>
    </fill>
    <fill>
      <patternFill patternType="solid">
        <fgColor rgb="FF5D8F72"/>
        <bgColor rgb="FF5D8F72"/>
      </patternFill>
    </fill>
    <fill>
      <patternFill patternType="solid">
        <fgColor rgb="FF1A1E54"/>
        <bgColor rgb="FF1A1E54"/>
      </patternFill>
    </fill>
    <fill>
      <patternFill patternType="solid">
        <fgColor rgb="FFCC4242"/>
        <bgColor rgb="FFCC4242"/>
      </patternFill>
    </fill>
    <fill>
      <patternFill patternType="solid">
        <fgColor rgb="FF5D6FC4"/>
        <bgColor rgb="FF5D6FC4"/>
      </patternFill>
    </fill>
    <fill>
      <patternFill patternType="solid">
        <fgColor rgb="FFEBB253"/>
        <bgColor rgb="FFEBB253"/>
      </patternFill>
    </fill>
    <fill>
      <patternFill patternType="solid">
        <fgColor rgb="FF91E5C1"/>
        <bgColor rgb="FF91E5C1"/>
      </patternFill>
    </fill>
    <fill>
      <patternFill patternType="solid">
        <fgColor rgb="FFFBE36B"/>
        <bgColor rgb="FFFBE36B"/>
      </patternFill>
    </fill>
    <fill>
      <patternFill patternType="solid">
        <fgColor rgb="FF212227"/>
        <bgColor rgb="FF212227"/>
      </patternFill>
    </fill>
    <fill>
      <patternFill patternType="solid">
        <fgColor rgb="FFA02F3A"/>
        <bgColor rgb="FFA02F3A"/>
      </patternFill>
    </fill>
    <fill>
      <patternFill patternType="solid">
        <fgColor rgb="FF19FF19"/>
        <bgColor rgb="FF19FF19"/>
      </patternFill>
    </fill>
    <fill>
      <patternFill patternType="solid">
        <fgColor rgb="FF009EFF"/>
        <bgColor rgb="FF009EFF"/>
      </patternFill>
    </fill>
    <fill>
      <patternFill patternType="solid">
        <fgColor rgb="FFFFE500"/>
        <bgColor rgb="FFFFE500"/>
      </patternFill>
    </fill>
    <fill>
      <patternFill patternType="solid">
        <fgColor rgb="FF6600FF"/>
        <bgColor rgb="FF6600FF"/>
      </patternFill>
    </fill>
    <fill>
      <patternFill patternType="solid">
        <fgColor rgb="FFFF0000"/>
        <bgColor rgb="FFFF0000"/>
      </patternFill>
    </fill>
    <fill>
      <patternFill patternType="solid">
        <fgColor rgb="FF59BF38"/>
        <bgColor rgb="FF59BF38"/>
      </patternFill>
    </fill>
    <fill>
      <patternFill patternType="solid">
        <fgColor rgb="FFB9613B"/>
        <bgColor rgb="FFB9613B"/>
      </patternFill>
    </fill>
    <fill>
      <patternFill patternType="solid">
        <fgColor rgb="FF7C797B"/>
        <bgColor rgb="FF7C797B"/>
      </patternFill>
    </fill>
    <fill>
      <patternFill patternType="solid">
        <fgColor rgb="FFD0504D"/>
        <bgColor rgb="FFD0504D"/>
      </patternFill>
    </fill>
    <fill>
      <patternFill patternType="solid">
        <fgColor rgb="FF3F4044"/>
        <bgColor rgb="FF3F4044"/>
      </patternFill>
    </fill>
    <fill>
      <patternFill patternType="solid">
        <fgColor rgb="FF7E93C9"/>
        <bgColor rgb="FF7E93C9"/>
      </patternFill>
    </fill>
    <fill>
      <patternFill patternType="solid">
        <fgColor rgb="FF202020"/>
        <bgColor rgb="FF202020"/>
      </patternFill>
    </fill>
    <fill>
      <patternFill patternType="solid">
        <fgColor rgb="FF252525"/>
        <bgColor rgb="FF252525"/>
      </patternFill>
    </fill>
    <fill>
      <patternFill patternType="solid">
        <fgColor rgb="FFEE9426"/>
        <bgColor rgb="FFEE9426"/>
      </patternFill>
    </fill>
    <fill>
      <patternFill patternType="solid">
        <fgColor rgb="FF483849"/>
        <bgColor rgb="FF483849"/>
      </patternFill>
    </fill>
    <fill>
      <patternFill patternType="solid">
        <fgColor rgb="FF8E4038"/>
        <bgColor rgb="FF8E4038"/>
      </patternFill>
    </fill>
    <fill>
      <patternFill patternType="solid">
        <fgColor rgb="FF05709D"/>
        <bgColor rgb="FF05709D"/>
      </patternFill>
    </fill>
    <fill>
      <patternFill patternType="solid">
        <fgColor rgb="FF485F43"/>
        <bgColor rgb="FF485F43"/>
      </patternFill>
    </fill>
    <fill>
      <patternFill patternType="solid">
        <fgColor rgb="FFFFDC45"/>
        <bgColor rgb="FFFFDC45"/>
      </patternFill>
    </fill>
    <fill>
      <patternFill patternType="solid">
        <fgColor rgb="FFC84134"/>
        <bgColor rgb="FFC84134"/>
      </patternFill>
    </fill>
    <fill>
      <patternFill patternType="solid">
        <fgColor rgb="FFD9D9D9"/>
        <bgColor rgb="FFD9D9D9"/>
      </patternFill>
    </fill>
    <fill>
      <patternFill patternType="solid">
        <fgColor rgb="FF1A7F2E"/>
        <bgColor rgb="FF1A7F2E"/>
      </patternFill>
    </fill>
    <fill>
      <patternFill patternType="solid">
        <fgColor rgb="FFB20101"/>
        <bgColor rgb="FFB20101"/>
      </patternFill>
    </fill>
    <fill>
      <patternFill patternType="solid">
        <fgColor rgb="FFFFE599"/>
        <bgColor rgb="FFFFE599"/>
      </patternFill>
    </fill>
    <fill>
      <patternFill patternType="solid">
        <fgColor rgb="FFD7BEF4"/>
        <bgColor rgb="FFD7BEF4"/>
      </patternFill>
    </fill>
    <fill>
      <patternFill patternType="solid">
        <fgColor rgb="FFFBDF7F"/>
        <bgColor rgb="FFFBDF7F"/>
      </patternFill>
    </fill>
    <fill>
      <patternFill patternType="solid">
        <fgColor rgb="FF6EB2FB"/>
        <bgColor rgb="FF6EB2FB"/>
      </patternFill>
    </fill>
    <fill>
      <patternFill patternType="solid">
        <fgColor rgb="FF90E8B9"/>
        <bgColor rgb="FF90E8B9"/>
      </patternFill>
    </fill>
    <fill>
      <patternFill patternType="solid">
        <fgColor rgb="FFFFFF5A"/>
        <bgColor rgb="FFFFFF5A"/>
      </patternFill>
    </fill>
    <fill>
      <patternFill patternType="solid">
        <fgColor rgb="FFDDDDDD"/>
        <bgColor rgb="FFDDDDDD"/>
      </patternFill>
    </fill>
    <fill>
      <patternFill patternType="solid">
        <fgColor rgb="FFB96A69"/>
        <bgColor rgb="FFB96A69"/>
      </patternFill>
    </fill>
    <fill>
      <patternFill patternType="solid">
        <fgColor rgb="FFE6F9C8"/>
        <bgColor rgb="FFE6F9C8"/>
      </patternFill>
    </fill>
    <fill>
      <patternFill patternType="solid">
        <fgColor rgb="FF992118"/>
        <bgColor rgb="FF992118"/>
      </patternFill>
    </fill>
    <fill>
      <patternFill patternType="solid">
        <fgColor rgb="FFC8CFE3"/>
        <bgColor rgb="FFC8CFE3"/>
      </patternFill>
    </fill>
    <fill>
      <patternFill patternType="solid">
        <fgColor rgb="FF1155CC"/>
        <bgColor rgb="FF1155CC"/>
      </patternFill>
    </fill>
    <fill>
      <patternFill patternType="solid">
        <fgColor rgb="FF6D9EEB"/>
        <bgColor rgb="FF6D9EEB"/>
      </patternFill>
    </fill>
    <fill>
      <patternFill patternType="solid">
        <fgColor rgb="FFC9DAF8"/>
        <bgColor rgb="FFC9DAF8"/>
      </patternFill>
    </fill>
  </fills>
  <borders count="1045">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left style="thin">
        <color rgb="FFFFFFFF"/>
      </left>
      <bottom style="thin">
        <color rgb="FFFFFFFF"/>
      </bottom>
    </border>
    <border>
      <bottom style="thin">
        <color rgb="FFFFFFFF"/>
      </bottom>
    </border>
    <border>
      <right style="thin">
        <color rgb="FFFFFFFF"/>
      </right>
      <bottom style="thin">
        <color rgb="FFFFFFFF"/>
      </bottom>
    </border>
    <border>
      <right/>
      <top style="thin">
        <color rgb="FFFFFFFF"/>
      </top>
    </border>
    <border>
      <right/>
      <bottom style="thin">
        <color rgb="FFFFFFFF"/>
      </bottom>
    </border>
    <border>
      <left style="thin">
        <color rgb="FFFFFFFF"/>
      </left>
      <right style="thin">
        <color rgb="FFFFFFFF"/>
      </right>
      <top style="thin">
        <color rgb="FFFFFFFF"/>
      </top>
      <bottom style="thin">
        <color rgb="FFFFFFFF"/>
      </bottom>
    </border>
    <border>
      <left style="thin">
        <color rgb="FFEC2320"/>
      </left>
      <right style="thin">
        <color rgb="FFEC2320"/>
      </right>
      <top style="thin">
        <color rgb="FFEC2320"/>
      </top>
      <bottom style="thin">
        <color rgb="FFEC2320"/>
      </bottom>
    </border>
    <border>
      <left style="thin">
        <color rgb="FFEC2320"/>
      </left>
      <top style="thin">
        <color rgb="FFEC2320"/>
      </top>
    </border>
    <border>
      <top style="thin">
        <color rgb="FFEC2320"/>
      </top>
    </border>
    <border>
      <right style="thin">
        <color rgb="FFEC2320"/>
      </right>
      <top style="thin">
        <color rgb="FFEC2320"/>
      </top>
    </border>
    <border>
      <left style="thin">
        <color rgb="FFEC2320"/>
      </left>
    </border>
    <border>
      <right style="thin">
        <color rgb="FFEC2320"/>
      </right>
    </border>
    <border>
      <left style="thin">
        <color rgb="FFEC2320"/>
      </left>
      <bottom style="thin">
        <color rgb="FFEC2320"/>
      </bottom>
    </border>
    <border>
      <bottom style="thin">
        <color rgb="FFEC2320"/>
      </bottom>
    </border>
    <border>
      <right style="thin">
        <color rgb="FFEC2320"/>
      </right>
      <bottom style="thin">
        <color rgb="FFEC2320"/>
      </bottom>
    </border>
    <border>
      <left style="thin">
        <color rgb="FFEC2320"/>
      </left>
      <right style="thin">
        <color rgb="FFEC2320"/>
      </right>
      <top style="thin">
        <color rgb="FFEC2320"/>
      </top>
    </border>
    <border>
      <left style="thin">
        <color rgb="FFEC2320"/>
      </left>
      <right style="thin">
        <color rgb="FFEC2320"/>
      </right>
      <bottom style="thin">
        <color rgb="FFEC232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top style="thin">
        <color rgb="FF000000"/>
      </top>
    </border>
    <border>
      <bottom style="thin">
        <color rgb="FF000000"/>
      </bottom>
    </border>
    <border>
      <left style="thin">
        <color rgb="FF000000"/>
      </left>
    </border>
    <border>
      <left style="thin">
        <color rgb="FF007D1E"/>
      </left>
      <right style="thin">
        <color rgb="FF007D1E"/>
      </right>
      <top style="thin">
        <color rgb="FF007D1E"/>
      </top>
      <bottom style="thin">
        <color rgb="FF007D1E"/>
      </bottom>
    </border>
    <border>
      <left style="thin">
        <color rgb="FF007D1E"/>
      </left>
      <top style="thin">
        <color rgb="FF007D1E"/>
      </top>
    </border>
    <border>
      <top style="thin">
        <color rgb="FF007D1E"/>
      </top>
    </border>
    <border>
      <right style="thin">
        <color rgb="FF007D1E"/>
      </right>
      <top style="thin">
        <color rgb="FF007D1E"/>
      </top>
    </border>
    <border>
      <left style="thin">
        <color rgb="FF007D1E"/>
      </left>
    </border>
    <border>
      <right style="thin">
        <color rgb="FF007D1E"/>
      </right>
    </border>
    <border>
      <left style="thin">
        <color rgb="FF007D1E"/>
      </left>
      <bottom style="thin">
        <color rgb="FF007D1E"/>
      </bottom>
    </border>
    <border>
      <bottom style="thin">
        <color rgb="FF007D1E"/>
      </bottom>
    </border>
    <border>
      <right style="thin">
        <color rgb="FF007D1E"/>
      </right>
      <bottom style="thin">
        <color rgb="FF007D1E"/>
      </bottom>
    </border>
    <border>
      <left style="thin">
        <color rgb="FF007D1E"/>
      </left>
      <right style="thin">
        <color rgb="FF007D1E"/>
      </right>
      <top style="thin">
        <color rgb="FF007D1E"/>
      </top>
    </border>
    <border>
      <left style="thin">
        <color rgb="FF007D1E"/>
      </left>
      <right style="thin">
        <color rgb="FF007D1E"/>
      </right>
      <bottom style="thin">
        <color rgb="FF007D1E"/>
      </bottom>
    </border>
    <border>
      <left style="thin">
        <color rgb="FF007D1E"/>
      </left>
      <right style="thin">
        <color rgb="FF007D1E"/>
      </right>
    </border>
    <border>
      <left style="thin">
        <color rgb="FF5BB8D4"/>
      </left>
      <right style="thin">
        <color rgb="FF5BB8D4"/>
      </right>
      <top style="thin">
        <color rgb="FF5BB8D4"/>
      </top>
      <bottom style="thin">
        <color rgb="FF5BB8D4"/>
      </bottom>
    </border>
    <border>
      <left style="thin">
        <color rgb="FF5BB8D4"/>
      </left>
      <top style="thin">
        <color rgb="FF5BB8D4"/>
      </top>
    </border>
    <border>
      <top style="thin">
        <color rgb="FF5BB8D4"/>
      </top>
    </border>
    <border>
      <right style="thin">
        <color rgb="FF5BB8D4"/>
      </right>
      <top style="thin">
        <color rgb="FF5BB8D4"/>
      </top>
    </border>
    <border>
      <left style="thin">
        <color rgb="FF5BB8D4"/>
      </left>
    </border>
    <border>
      <right style="thin">
        <color rgb="FF5BB8D4"/>
      </right>
    </border>
    <border>
      <left style="thin">
        <color rgb="FF5BB8D4"/>
      </left>
      <bottom style="thin">
        <color rgb="FF5BB8D4"/>
      </bottom>
    </border>
    <border>
      <bottom style="thin">
        <color rgb="FF5BB8D4"/>
      </bottom>
    </border>
    <border>
      <right style="thin">
        <color rgb="FF5BB8D4"/>
      </right>
      <bottom style="thin">
        <color rgb="FF5BB8D4"/>
      </bottom>
    </border>
    <border>
      <left style="thin">
        <color rgb="FF5BB8D4"/>
      </left>
      <right style="thin">
        <color rgb="FF5BB8D4"/>
      </right>
      <top style="thin">
        <color rgb="FF5BB8D4"/>
      </top>
    </border>
    <border>
      <left style="thin">
        <color rgb="FF5BB8D4"/>
      </left>
      <right style="thin">
        <color rgb="FF5BB8D4"/>
      </right>
      <bottom style="thin">
        <color rgb="FF5BB8D4"/>
      </bottom>
    </border>
    <border>
      <left style="thin">
        <color rgb="FF5BB8D4"/>
      </left>
      <right style="thin">
        <color rgb="FF5BB8D4"/>
      </right>
    </border>
    <border>
      <left style="thin">
        <color rgb="FFFE8116"/>
      </left>
      <right style="thin">
        <color rgb="FFFE8116"/>
      </right>
      <top style="thin">
        <color rgb="FFFE8116"/>
      </top>
      <bottom style="thin">
        <color rgb="FFFE8116"/>
      </bottom>
    </border>
    <border>
      <left style="thin">
        <color rgb="FFFE8116"/>
      </left>
      <top style="thin">
        <color rgb="FFFE8116"/>
      </top>
    </border>
    <border>
      <top style="thin">
        <color rgb="FFFE8116"/>
      </top>
    </border>
    <border>
      <right style="thin">
        <color rgb="FFFE8116"/>
      </right>
      <top style="thin">
        <color rgb="FFFE8116"/>
      </top>
    </border>
    <border>
      <left style="thin">
        <color rgb="FFFE8116"/>
      </left>
    </border>
    <border>
      <right style="thin">
        <color rgb="FFFE8116"/>
      </right>
    </border>
    <border>
      <left style="thin">
        <color rgb="FFFE8116"/>
      </left>
      <bottom style="thin">
        <color rgb="FFFE8116"/>
      </bottom>
    </border>
    <border>
      <bottom style="thin">
        <color rgb="FFFE8116"/>
      </bottom>
    </border>
    <border>
      <right style="thin">
        <color rgb="FFFE8116"/>
      </right>
      <bottom style="thin">
        <color rgb="FFFE8116"/>
      </bottom>
    </border>
    <border>
      <left style="thin">
        <color rgb="FFFE8116"/>
      </left>
      <right style="thin">
        <color rgb="FFFE8116"/>
      </right>
      <top style="thin">
        <color rgb="FFFE8116"/>
      </top>
    </border>
    <border>
      <left style="thin">
        <color rgb="FFFE8116"/>
      </left>
      <right style="thin">
        <color rgb="FFFE8116"/>
      </right>
      <bottom style="thin">
        <color rgb="FFFE8116"/>
      </bottom>
    </border>
    <border>
      <left style="thin">
        <color rgb="FFFE8116"/>
      </left>
      <right style="thin">
        <color rgb="FFFE8116"/>
      </right>
    </border>
    <border>
      <left style="thin">
        <color rgb="FF32474A"/>
      </left>
      <right style="thin">
        <color rgb="FF32474A"/>
      </right>
      <top style="thin">
        <color rgb="FF32474A"/>
      </top>
      <bottom style="thin">
        <color rgb="FF32474A"/>
      </bottom>
    </border>
    <border>
      <left style="thin">
        <color rgb="FF32474A"/>
      </left>
      <top style="thin">
        <color rgb="FF32474A"/>
      </top>
    </border>
    <border>
      <top style="thin">
        <color rgb="FF32474A"/>
      </top>
    </border>
    <border>
      <right style="thin">
        <color rgb="FF32474A"/>
      </right>
      <top style="thin">
        <color rgb="FF32474A"/>
      </top>
    </border>
    <border>
      <left style="thin">
        <color rgb="FF32474A"/>
      </left>
    </border>
    <border>
      <right style="thin">
        <color rgb="FF32474A"/>
      </right>
    </border>
    <border>
      <left style="thin">
        <color rgb="FF32474A"/>
      </left>
      <bottom style="thin">
        <color rgb="FF32474A"/>
      </bottom>
    </border>
    <border>
      <bottom style="thin">
        <color rgb="FF32474A"/>
      </bottom>
    </border>
    <border>
      <right style="thin">
        <color rgb="FF32474A"/>
      </right>
      <bottom style="thin">
        <color rgb="FF32474A"/>
      </bottom>
    </border>
    <border>
      <left style="thin">
        <color rgb="FF32474A"/>
      </left>
      <right style="thin">
        <color rgb="FF32474A"/>
      </right>
      <top style="thin">
        <color rgb="FF32474A"/>
      </top>
    </border>
    <border>
      <left style="thin">
        <color rgb="FF32474A"/>
      </left>
      <right style="thin">
        <color rgb="FF32474A"/>
      </right>
      <bottom style="thin">
        <color rgb="FF32474A"/>
      </bottom>
    </border>
    <border>
      <left style="thin">
        <color rgb="FF32474A"/>
      </left>
      <right style="thin">
        <color rgb="FF32474A"/>
      </right>
    </border>
    <border>
      <left style="thin">
        <color rgb="FF00A920"/>
      </left>
      <right style="thin">
        <color rgb="FF00A920"/>
      </right>
      <top style="thin">
        <color rgb="FF00A920"/>
      </top>
      <bottom style="thin">
        <color rgb="FF00A920"/>
      </bottom>
    </border>
    <border>
      <left style="thin">
        <color rgb="FF00A920"/>
      </left>
      <top style="thin">
        <color rgb="FF00A920"/>
      </top>
    </border>
    <border>
      <top style="thin">
        <color rgb="FF00A920"/>
      </top>
    </border>
    <border>
      <right style="thin">
        <color rgb="FF00A920"/>
      </right>
      <top style="thin">
        <color rgb="FF00A920"/>
      </top>
    </border>
    <border>
      <left style="thin">
        <color rgb="FF00A920"/>
      </left>
    </border>
    <border>
      <right style="thin">
        <color rgb="FF00A920"/>
      </right>
    </border>
    <border>
      <left style="thin">
        <color rgb="FF00A920"/>
      </left>
      <bottom style="thin">
        <color rgb="FF00A920"/>
      </bottom>
    </border>
    <border>
      <bottom style="thin">
        <color rgb="FF00A920"/>
      </bottom>
    </border>
    <border>
      <right style="thin">
        <color rgb="FF00A920"/>
      </right>
      <bottom style="thin">
        <color rgb="FF00A920"/>
      </bottom>
    </border>
    <border>
      <left style="thin">
        <color rgb="FF00A920"/>
      </left>
      <right style="thin">
        <color rgb="FF00A920"/>
      </right>
      <top style="thin">
        <color rgb="FF00A920"/>
      </top>
    </border>
    <border>
      <left style="thin">
        <color rgb="FF00A920"/>
      </left>
      <right style="thin">
        <color rgb="FF00A920"/>
      </right>
      <bottom style="thin">
        <color rgb="FF00A920"/>
      </bottom>
    </border>
    <border>
      <left style="thin">
        <color rgb="FF00A920"/>
      </left>
      <right style="thin">
        <color rgb="FF00A920"/>
      </right>
    </border>
    <border>
      <left style="thin">
        <color rgb="FFF2C0C4"/>
      </left>
      <right style="thin">
        <color rgb="FFF2C0C4"/>
      </right>
      <top style="thin">
        <color rgb="FFF2C0C4"/>
      </top>
      <bottom style="thin">
        <color rgb="FFF2C0C4"/>
      </bottom>
    </border>
    <border>
      <left style="thin">
        <color rgb="FFF2C0C4"/>
      </left>
      <top style="thin">
        <color rgb="FFF2C0C4"/>
      </top>
    </border>
    <border>
      <top style="thin">
        <color rgb="FFF2C0C4"/>
      </top>
    </border>
    <border>
      <right style="thin">
        <color rgb="FFF2C0C4"/>
      </right>
      <top style="thin">
        <color rgb="FFF2C0C4"/>
      </top>
    </border>
    <border>
      <left style="thin">
        <color rgb="FFF2C0C4"/>
      </left>
    </border>
    <border>
      <right style="thin">
        <color rgb="FFF2C0C4"/>
      </right>
    </border>
    <border>
      <left style="thin">
        <color rgb="FFF2C0C4"/>
      </left>
      <bottom style="thin">
        <color rgb="FFF2C0C4"/>
      </bottom>
    </border>
    <border>
      <bottom style="thin">
        <color rgb="FFF2C0C4"/>
      </bottom>
    </border>
    <border>
      <right style="thin">
        <color rgb="FFF2C0C4"/>
      </right>
      <bottom style="thin">
        <color rgb="FFF2C0C4"/>
      </bottom>
    </border>
    <border>
      <left style="thin">
        <color rgb="FFF2C0C4"/>
      </left>
      <right style="thin">
        <color rgb="FFF2C0C4"/>
      </right>
      <top style="thin">
        <color rgb="FFF2C0C4"/>
      </top>
    </border>
    <border>
      <left style="thin">
        <color rgb="FFF2C0C4"/>
      </left>
      <right style="thin">
        <color rgb="FFF2C0C4"/>
      </right>
      <bottom style="thin">
        <color rgb="FFF2C0C4"/>
      </bottom>
    </border>
    <border>
      <left style="thin">
        <color rgb="FFF2C0C4"/>
      </left>
      <right style="thin">
        <color rgb="FFF2C0C4"/>
      </right>
    </border>
    <border>
      <left style="thin">
        <color rgb="FFF59D26"/>
      </left>
      <right style="thin">
        <color rgb="FFF59D26"/>
      </right>
      <top style="thin">
        <color rgb="FFF59D26"/>
      </top>
      <bottom style="thin">
        <color rgb="FFF59D26"/>
      </bottom>
    </border>
    <border>
      <left style="thin">
        <color rgb="FFF59D26"/>
      </left>
      <top style="thin">
        <color rgb="FFF59D26"/>
      </top>
    </border>
    <border>
      <top style="thin">
        <color rgb="FFF59D26"/>
      </top>
    </border>
    <border>
      <right style="thin">
        <color rgb="FFF59D26"/>
      </right>
      <top style="thin">
        <color rgb="FFF59D26"/>
      </top>
    </border>
    <border>
      <left style="thin">
        <color rgb="FFF59D26"/>
      </left>
    </border>
    <border>
      <right style="thin">
        <color rgb="FFF59D26"/>
      </right>
    </border>
    <border>
      <left style="thin">
        <color rgb="FFF59D26"/>
      </left>
      <bottom style="thin">
        <color rgb="FFF59D26"/>
      </bottom>
    </border>
    <border>
      <bottom style="thin">
        <color rgb="FFF59D26"/>
      </bottom>
    </border>
    <border>
      <right style="thin">
        <color rgb="FFF59D26"/>
      </right>
      <bottom style="thin">
        <color rgb="FFF59D26"/>
      </bottom>
    </border>
    <border>
      <left style="thin">
        <color rgb="FFF59D26"/>
      </left>
      <right style="thin">
        <color rgb="FFF59D26"/>
      </right>
      <top style="thin">
        <color rgb="FFF59D26"/>
      </top>
    </border>
    <border>
      <left style="thin">
        <color rgb="FFF59D26"/>
      </left>
      <right style="thin">
        <color rgb="FFF59D26"/>
      </right>
      <bottom style="thin">
        <color rgb="FFF59D26"/>
      </bottom>
    </border>
    <border>
      <left style="thin">
        <color rgb="FFF59D26"/>
      </left>
      <right style="thin">
        <color rgb="FFF59D26"/>
      </right>
    </border>
    <border>
      <left style="thin">
        <color rgb="FFFDDD05"/>
      </left>
      <right style="thin">
        <color rgb="FFFDDD05"/>
      </right>
      <top style="thin">
        <color rgb="FFFDDD05"/>
      </top>
      <bottom style="thin">
        <color rgb="FFFDDD05"/>
      </bottom>
    </border>
    <border>
      <left style="thin">
        <color rgb="FFFDDD05"/>
      </left>
      <top style="thin">
        <color rgb="FFFDDD05"/>
      </top>
    </border>
    <border>
      <top style="thin">
        <color rgb="FFFDDD05"/>
      </top>
    </border>
    <border>
      <right style="thin">
        <color rgb="FFFDDD05"/>
      </right>
      <top style="thin">
        <color rgb="FFFDDD05"/>
      </top>
    </border>
    <border>
      <left style="thin">
        <color rgb="FFFDDD05"/>
      </left>
    </border>
    <border>
      <right style="thin">
        <color rgb="FFFDDD05"/>
      </right>
    </border>
    <border>
      <left style="thin">
        <color rgb="FFFDDD05"/>
      </left>
      <bottom style="thin">
        <color rgb="FFFDDD05"/>
      </bottom>
    </border>
    <border>
      <bottom style="thin">
        <color rgb="FFFDDD05"/>
      </bottom>
    </border>
    <border>
      <right style="thin">
        <color rgb="FFFDDD05"/>
      </right>
      <bottom style="thin">
        <color rgb="FFFDDD05"/>
      </bottom>
    </border>
    <border>
      <left style="thin">
        <color rgb="FFFDDD05"/>
      </left>
      <right style="thin">
        <color rgb="FFFDDD05"/>
      </right>
      <top style="thin">
        <color rgb="FFFDDD05"/>
      </top>
    </border>
    <border>
      <left style="thin">
        <color rgb="FFFDDD05"/>
      </left>
      <right style="thin">
        <color rgb="FFFDDD05"/>
      </right>
      <bottom style="thin">
        <color rgb="FFFDDD05"/>
      </bottom>
    </border>
    <border>
      <left style="thin">
        <color rgb="FFFDDD05"/>
      </left>
      <right style="thin">
        <color rgb="FFFDDD05"/>
      </right>
    </border>
    <border>
      <left style="thin">
        <color rgb="FF4EBC56"/>
      </left>
      <right style="thin">
        <color rgb="FF4EBC56"/>
      </right>
      <top style="thin">
        <color rgb="FF4EBC56"/>
      </top>
      <bottom style="thin">
        <color rgb="FF4EBC56"/>
      </bottom>
    </border>
    <border>
      <left style="thin">
        <color rgb="FF4EBC56"/>
      </left>
      <top style="thin">
        <color rgb="FF4EBC56"/>
      </top>
    </border>
    <border>
      <top style="thin">
        <color rgb="FF4EBC56"/>
      </top>
    </border>
    <border>
      <right style="thin">
        <color rgb="FF4EBC56"/>
      </right>
      <top style="thin">
        <color rgb="FF4EBC56"/>
      </top>
    </border>
    <border>
      <left style="thin">
        <color rgb="FF4EBC56"/>
      </left>
    </border>
    <border>
      <right style="thin">
        <color rgb="FF4EBC56"/>
      </right>
    </border>
    <border>
      <left style="thin">
        <color rgb="FF4EBC56"/>
      </left>
      <bottom style="thin">
        <color rgb="FF4EBC56"/>
      </bottom>
    </border>
    <border>
      <bottom style="thin">
        <color rgb="FF4EBC56"/>
      </bottom>
    </border>
    <border>
      <right style="thin">
        <color rgb="FF4EBC56"/>
      </right>
      <bottom style="thin">
        <color rgb="FF4EBC56"/>
      </bottom>
    </border>
    <border>
      <left style="thin">
        <color rgb="FF4EBC56"/>
      </left>
      <right style="thin">
        <color rgb="FF4EBC56"/>
      </right>
      <top style="thin">
        <color rgb="FF4EBC56"/>
      </top>
    </border>
    <border>
      <left style="thin">
        <color rgb="FF4EBC56"/>
      </left>
      <right style="thin">
        <color rgb="FF4EBC56"/>
      </right>
      <bottom style="thin">
        <color rgb="FF4EBC56"/>
      </bottom>
    </border>
    <border>
      <left style="thin">
        <color rgb="FFDE413D"/>
      </left>
      <right style="thin">
        <color rgb="FFDE413D"/>
      </right>
      <top style="thin">
        <color rgb="FFDE413D"/>
      </top>
      <bottom style="thin">
        <color rgb="FFDE413D"/>
      </bottom>
    </border>
    <border>
      <left style="thin">
        <color rgb="FFDE413D"/>
      </left>
      <top style="thin">
        <color rgb="FFDE413D"/>
      </top>
    </border>
    <border>
      <top style="thin">
        <color rgb="FFDE413D"/>
      </top>
    </border>
    <border>
      <right style="thin">
        <color rgb="FFDE413D"/>
      </right>
      <top style="thin">
        <color rgb="FFDE413D"/>
      </top>
    </border>
    <border>
      <left style="thin">
        <color rgb="FFDE413D"/>
      </left>
    </border>
    <border>
      <right style="thin">
        <color rgb="FFDE413D"/>
      </right>
    </border>
    <border>
      <left style="thin">
        <color rgb="FFDE413D"/>
      </left>
      <bottom style="thin">
        <color rgb="FFDE413D"/>
      </bottom>
    </border>
    <border>
      <bottom style="thin">
        <color rgb="FFDE413D"/>
      </bottom>
    </border>
    <border>
      <right style="thin">
        <color rgb="FFDE413D"/>
      </right>
      <bottom style="thin">
        <color rgb="FFDE413D"/>
      </bottom>
    </border>
    <border>
      <left style="thin">
        <color rgb="FFDE413D"/>
      </left>
      <right style="thin">
        <color rgb="FFDE413D"/>
      </right>
      <top style="thin">
        <color rgb="FFDE413D"/>
      </top>
    </border>
    <border>
      <left style="thin">
        <color rgb="FFDE413D"/>
      </left>
      <right style="thin">
        <color rgb="FFDE413D"/>
      </right>
      <bottom style="thin">
        <color rgb="FFDE413D"/>
      </bottom>
    </border>
    <border>
      <left style="thin">
        <color rgb="FF6B56B1"/>
      </left>
      <right style="thin">
        <color rgb="FF6B56B1"/>
      </right>
      <top style="thin">
        <color rgb="FF6B56B1"/>
      </top>
      <bottom style="thin">
        <color rgb="FF6B56B1"/>
      </bottom>
    </border>
    <border>
      <left style="thin">
        <color rgb="FF6B56B1"/>
      </left>
      <top style="thin">
        <color rgb="FF6B56B1"/>
      </top>
    </border>
    <border>
      <top style="thin">
        <color rgb="FF6B56B1"/>
      </top>
    </border>
    <border>
      <right style="thin">
        <color rgb="FF6B56B1"/>
      </right>
      <top style="thin">
        <color rgb="FF6B56B1"/>
      </top>
    </border>
    <border>
      <left style="thin">
        <color rgb="FF6B56B1"/>
      </left>
    </border>
    <border>
      <right style="thin">
        <color rgb="FF6B56B1"/>
      </right>
    </border>
    <border>
      <left style="thin">
        <color rgb="FF6B56B1"/>
      </left>
      <bottom style="thin">
        <color rgb="FF6B56B1"/>
      </bottom>
    </border>
    <border>
      <bottom style="thin">
        <color rgb="FF6B56B1"/>
      </bottom>
    </border>
    <border>
      <right style="thin">
        <color rgb="FF6B56B1"/>
      </right>
      <bottom style="thin">
        <color rgb="FF6B56B1"/>
      </bottom>
    </border>
    <border>
      <left style="thin">
        <color rgb="FF6B56B1"/>
      </left>
      <right style="thin">
        <color rgb="FF6B56B1"/>
      </right>
      <top style="thin">
        <color rgb="FF6B56B1"/>
      </top>
    </border>
    <border>
      <left style="thin">
        <color rgb="FF6B56B1"/>
      </left>
      <right style="thin">
        <color rgb="FF6B56B1"/>
      </right>
      <bottom style="thin">
        <color rgb="FF6B56B1"/>
      </bottom>
    </border>
    <border>
      <left style="thin">
        <color rgb="FFEFADBB"/>
      </left>
      <right style="thin">
        <color rgb="FFEFADBB"/>
      </right>
      <top style="thin">
        <color rgb="FFEFADBB"/>
      </top>
      <bottom style="thin">
        <color rgb="FFEFADBB"/>
      </bottom>
    </border>
    <border>
      <left style="thin">
        <color rgb="FFEFADBB"/>
      </left>
      <top style="thin">
        <color rgb="FFEFADBB"/>
      </top>
    </border>
    <border>
      <top style="thin">
        <color rgb="FFEFADBB"/>
      </top>
    </border>
    <border>
      <right style="thin">
        <color rgb="FFEFADBB"/>
      </right>
      <top style="thin">
        <color rgb="FFEFADBB"/>
      </top>
    </border>
    <border>
      <left style="thin">
        <color rgb="FFEFADBB"/>
      </left>
    </border>
    <border>
      <right style="thin">
        <color rgb="FFEFADBB"/>
      </right>
    </border>
    <border>
      <left style="thin">
        <color rgb="FFEFADBB"/>
      </left>
      <bottom style="thin">
        <color rgb="FFEFADBB"/>
      </bottom>
    </border>
    <border>
      <bottom style="thin">
        <color rgb="FFEFADBB"/>
      </bottom>
    </border>
    <border>
      <right style="thin">
        <color rgb="FFEFADBB"/>
      </right>
      <bottom style="thin">
        <color rgb="FFEFADBB"/>
      </bottom>
    </border>
    <border>
      <left style="thin">
        <color rgb="FFEFADBB"/>
      </left>
      <right style="thin">
        <color rgb="FFEFADBB"/>
      </right>
      <top style="thin">
        <color rgb="FFEFADBB"/>
      </top>
    </border>
    <border>
      <left style="thin">
        <color rgb="FFEFADBB"/>
      </left>
      <right style="thin">
        <color rgb="FFEFADBB"/>
      </right>
      <bottom style="thin">
        <color rgb="FFEFADBB"/>
      </bottom>
    </border>
    <border>
      <left style="thin">
        <color rgb="FFFE7EA2"/>
      </left>
      <right style="thin">
        <color rgb="FFFE7EA2"/>
      </right>
      <top style="thin">
        <color rgb="FFFE7EA2"/>
      </top>
      <bottom style="thin">
        <color rgb="FFFE7EA2"/>
      </bottom>
    </border>
    <border>
      <left style="thin">
        <color rgb="FFFE7EA2"/>
      </left>
      <top style="thin">
        <color rgb="FFFE7EA2"/>
      </top>
    </border>
    <border>
      <top style="thin">
        <color rgb="FFFE7EA2"/>
      </top>
    </border>
    <border>
      <right style="thin">
        <color rgb="FFFE7EA2"/>
      </right>
      <top style="thin">
        <color rgb="FFFE7EA2"/>
      </top>
    </border>
    <border>
      <left style="thin">
        <color rgb="FFFE7EA2"/>
      </left>
    </border>
    <border>
      <right style="thin">
        <color rgb="FFFE7EA2"/>
      </right>
    </border>
    <border>
      <left style="thin">
        <color rgb="FFFE7EA2"/>
      </left>
      <bottom style="thin">
        <color rgb="FFFE7EA2"/>
      </bottom>
    </border>
    <border>
      <bottom style="thin">
        <color rgb="FFFE7EA2"/>
      </bottom>
    </border>
    <border>
      <right style="thin">
        <color rgb="FFFE7EA2"/>
      </right>
      <bottom style="thin">
        <color rgb="FFFE7EA2"/>
      </bottom>
    </border>
    <border>
      <left style="thin">
        <color rgb="FFFE7EA2"/>
      </left>
      <right style="thin">
        <color rgb="FFFE7EA2"/>
      </right>
      <top style="thin">
        <color rgb="FFFE7EA2"/>
      </top>
    </border>
    <border>
      <left style="thin">
        <color rgb="FFFE7EA2"/>
      </left>
      <right style="thin">
        <color rgb="FFFE7EA2"/>
      </right>
      <bottom style="thin">
        <color rgb="FFFE7EA2"/>
      </bottom>
    </border>
    <border>
      <left style="thin">
        <color rgb="FFF5BF2D"/>
      </left>
      <right style="thin">
        <color rgb="FFF5BF2D"/>
      </right>
      <top style="thin">
        <color rgb="FFF5BF2D"/>
      </top>
      <bottom style="thin">
        <color rgb="FFF5BF2D"/>
      </bottom>
    </border>
    <border>
      <left style="thin">
        <color rgb="FFF5BF2D"/>
      </left>
      <top style="thin">
        <color rgb="FFF5BF2D"/>
      </top>
    </border>
    <border>
      <top style="thin">
        <color rgb="FFF5BF2D"/>
      </top>
    </border>
    <border>
      <right style="thin">
        <color rgb="FFF5BF2D"/>
      </right>
      <top style="thin">
        <color rgb="FFF5BF2D"/>
      </top>
    </border>
    <border>
      <left style="thin">
        <color rgb="FFF5BF2D"/>
      </left>
    </border>
    <border>
      <right style="thin">
        <color rgb="FFF5BF2D"/>
      </right>
    </border>
    <border>
      <left style="thin">
        <color rgb="FFF5BF2D"/>
      </left>
      <bottom style="thin">
        <color rgb="FFF5BF2D"/>
      </bottom>
    </border>
    <border>
      <bottom style="thin">
        <color rgb="FFF5BF2D"/>
      </bottom>
    </border>
    <border>
      <right style="thin">
        <color rgb="FFF5BF2D"/>
      </right>
      <bottom style="thin">
        <color rgb="FFF5BF2D"/>
      </bottom>
    </border>
    <border>
      <left style="thin">
        <color rgb="FFF5BF2D"/>
      </left>
      <right style="thin">
        <color rgb="FFF5BF2D"/>
      </right>
      <top style="thin">
        <color rgb="FFF5BF2D"/>
      </top>
    </border>
    <border>
      <left style="thin">
        <color rgb="FFF5BF2D"/>
      </left>
      <right style="thin">
        <color rgb="FFF5BF2D"/>
      </right>
      <bottom style="thin">
        <color rgb="FFF5BF2D"/>
      </bottom>
    </border>
    <border>
      <left style="thin">
        <color rgb="FF44745E"/>
      </left>
      <right style="thin">
        <color rgb="FF44745E"/>
      </right>
      <top style="thin">
        <color rgb="FF44745E"/>
      </top>
      <bottom style="thin">
        <color rgb="FF44745E"/>
      </bottom>
    </border>
    <border>
      <left style="thin">
        <color rgb="FF44745E"/>
      </left>
      <top style="thin">
        <color rgb="FF44745E"/>
      </top>
    </border>
    <border>
      <top style="thin">
        <color rgb="FF44745E"/>
      </top>
    </border>
    <border>
      <right style="thin">
        <color rgb="FF44745E"/>
      </right>
      <top style="thin">
        <color rgb="FF44745E"/>
      </top>
    </border>
    <border>
      <left style="thin">
        <color rgb="FF44745E"/>
      </left>
    </border>
    <border>
      <right style="thin">
        <color rgb="FF44745E"/>
      </right>
    </border>
    <border>
      <left style="thin">
        <color rgb="FF44745E"/>
      </left>
      <bottom style="thin">
        <color rgb="FF44745E"/>
      </bottom>
    </border>
    <border>
      <bottom style="thin">
        <color rgb="FF44745E"/>
      </bottom>
    </border>
    <border>
      <right style="thin">
        <color rgb="FF44745E"/>
      </right>
      <bottom style="thin">
        <color rgb="FF44745E"/>
      </bottom>
    </border>
    <border>
      <left style="thin">
        <color rgb="FF44745E"/>
      </left>
      <right style="thin">
        <color rgb="FF44745E"/>
      </right>
      <top style="thin">
        <color rgb="FF44745E"/>
      </top>
    </border>
    <border>
      <left style="thin">
        <color rgb="FF44745E"/>
      </left>
      <right style="thin">
        <color rgb="FF44745E"/>
      </right>
      <bottom style="thin">
        <color rgb="FF44745E"/>
      </bottom>
    </border>
    <border>
      <left style="thin">
        <color rgb="FF72EAED"/>
      </left>
      <right style="thin">
        <color rgb="FF72EAED"/>
      </right>
      <top style="thin">
        <color rgb="FF72EAED"/>
      </top>
      <bottom style="thin">
        <color rgb="FF72EAED"/>
      </bottom>
    </border>
    <border>
      <left style="thin">
        <color rgb="FF72EAED"/>
      </left>
      <top style="thin">
        <color rgb="FF72EAED"/>
      </top>
    </border>
    <border>
      <top style="thin">
        <color rgb="FF72EAED"/>
      </top>
    </border>
    <border>
      <right style="thin">
        <color rgb="FF72EAED"/>
      </right>
      <top style="thin">
        <color rgb="FF72EAED"/>
      </top>
    </border>
    <border>
      <left style="thin">
        <color rgb="FF72EAED"/>
      </left>
    </border>
    <border>
      <right style="thin">
        <color rgb="FF72EAED"/>
      </right>
    </border>
    <border>
      <left style="thin">
        <color rgb="FF72EAED"/>
      </left>
      <bottom style="thin">
        <color rgb="FF72EAED"/>
      </bottom>
    </border>
    <border>
      <bottom style="thin">
        <color rgb="FF72EAED"/>
      </bottom>
    </border>
    <border>
      <right style="thin">
        <color rgb="FF72EAED"/>
      </right>
      <bottom style="thin">
        <color rgb="FF72EAED"/>
      </bottom>
    </border>
    <border>
      <left style="thin">
        <color rgb="FF72EAED"/>
      </left>
      <right style="thin">
        <color rgb="FF72EAED"/>
      </right>
      <top style="thin">
        <color rgb="FF72EAED"/>
      </top>
    </border>
    <border>
      <left style="thin">
        <color rgb="FF72EAED"/>
      </left>
      <right style="thin">
        <color rgb="FF72EAED"/>
      </right>
      <bottom style="thin">
        <color rgb="FF72EAED"/>
      </bottom>
    </border>
    <border>
      <left style="thin">
        <color rgb="FF756FD0"/>
      </left>
      <right style="thin">
        <color rgb="FF756FD0"/>
      </right>
      <top style="thin">
        <color rgb="FF756FD0"/>
      </top>
      <bottom style="thin">
        <color rgb="FF756FD0"/>
      </bottom>
    </border>
    <border>
      <left style="thin">
        <color rgb="FF756FD0"/>
      </left>
      <top style="thin">
        <color rgb="FF756FD0"/>
      </top>
    </border>
    <border>
      <top style="thin">
        <color rgb="FF756FD0"/>
      </top>
    </border>
    <border>
      <right style="thin">
        <color rgb="FF756FD0"/>
      </right>
      <top style="thin">
        <color rgb="FF756FD0"/>
      </top>
    </border>
    <border>
      <left style="thin">
        <color rgb="FF756FD0"/>
      </left>
    </border>
    <border>
      <right style="thin">
        <color rgb="FF756FD0"/>
      </right>
    </border>
    <border>
      <left style="thin">
        <color rgb="FF756FD0"/>
      </left>
      <bottom style="thin">
        <color rgb="FF756FD0"/>
      </bottom>
    </border>
    <border>
      <bottom style="thin">
        <color rgb="FF756FD0"/>
      </bottom>
    </border>
    <border>
      <right style="thin">
        <color rgb="FF756FD0"/>
      </right>
      <bottom style="thin">
        <color rgb="FF756FD0"/>
      </bottom>
    </border>
    <border>
      <left style="thin">
        <color rgb="FF756FD0"/>
      </left>
      <right style="thin">
        <color rgb="FF756FD0"/>
      </right>
      <top style="thin">
        <color rgb="FF756FD0"/>
      </top>
    </border>
    <border>
      <left style="thin">
        <color rgb="FF756FD0"/>
      </left>
      <right style="thin">
        <color rgb="FF756FD0"/>
      </right>
      <bottom style="thin">
        <color rgb="FF756FD0"/>
      </bottom>
    </border>
    <border>
      <left style="thin">
        <color rgb="FFEE7A9F"/>
      </left>
      <right style="thin">
        <color rgb="FFEE7A9F"/>
      </right>
      <top style="thin">
        <color rgb="FFEE7A9F"/>
      </top>
      <bottom style="thin">
        <color rgb="FFEE7A9F"/>
      </bottom>
    </border>
    <border>
      <left style="thin">
        <color rgb="FFEE7A9F"/>
      </left>
      <top style="thin">
        <color rgb="FFEE7A9F"/>
      </top>
    </border>
    <border>
      <top style="thin">
        <color rgb="FFEE7A9F"/>
      </top>
    </border>
    <border>
      <right style="thin">
        <color rgb="FFEE7A9F"/>
      </right>
      <top style="thin">
        <color rgb="FFEE7A9F"/>
      </top>
    </border>
    <border>
      <left style="thin">
        <color rgb="FFEE7A9F"/>
      </left>
    </border>
    <border>
      <right style="thin">
        <color rgb="FFEE7A9F"/>
      </right>
    </border>
    <border>
      <left style="thin">
        <color rgb="FFEE7A9F"/>
      </left>
      <bottom style="thin">
        <color rgb="FFEE7A9F"/>
      </bottom>
    </border>
    <border>
      <bottom style="thin">
        <color rgb="FFEE7A9F"/>
      </bottom>
    </border>
    <border>
      <right style="thin">
        <color rgb="FFEE7A9F"/>
      </right>
      <bottom style="thin">
        <color rgb="FFEE7A9F"/>
      </bottom>
    </border>
    <border>
      <left style="thin">
        <color rgb="FFEE7A9F"/>
      </left>
      <right style="thin">
        <color rgb="FFEE7A9F"/>
      </right>
      <top style="thin">
        <color rgb="FFEE7A9F"/>
      </top>
    </border>
    <border>
      <left style="thin">
        <color rgb="FFEE7A9F"/>
      </left>
      <right style="thin">
        <color rgb="FFEE7A9F"/>
      </right>
      <bottom style="thin">
        <color rgb="FFEE7A9F"/>
      </bottom>
    </border>
    <border>
      <left style="thin">
        <color rgb="FFB3B3B3"/>
      </left>
      <right style="thin">
        <color rgb="FFB3B3B3"/>
      </right>
      <top style="thin">
        <color rgb="FFB3B3B3"/>
      </top>
      <bottom style="thin">
        <color rgb="FFB3B3B3"/>
      </bottom>
    </border>
    <border>
      <left style="thin">
        <color rgb="FFB3B3B3"/>
      </left>
      <top style="thin">
        <color rgb="FFB3B3B3"/>
      </top>
    </border>
    <border>
      <top style="thin">
        <color rgb="FFB3B3B3"/>
      </top>
    </border>
    <border>
      <right style="thin">
        <color rgb="FFB3B3B3"/>
      </right>
      <top style="thin">
        <color rgb="FFB3B3B3"/>
      </top>
    </border>
    <border>
      <left style="thin">
        <color rgb="FFB3B3B3"/>
      </left>
    </border>
    <border>
      <right style="thin">
        <color rgb="FFB3B3B3"/>
      </right>
    </border>
    <border>
      <left style="thin">
        <color rgb="FFB3B3B3"/>
      </left>
      <bottom style="thin">
        <color rgb="FFB3B3B3"/>
      </bottom>
    </border>
    <border>
      <bottom style="thin">
        <color rgb="FFB3B3B3"/>
      </bottom>
    </border>
    <border>
      <right style="thin">
        <color rgb="FFB3B3B3"/>
      </right>
      <bottom style="thin">
        <color rgb="FFB3B3B3"/>
      </bottom>
    </border>
    <border>
      <left style="thin">
        <color rgb="FFB3B3B3"/>
      </left>
      <right style="thin">
        <color rgb="FFB3B3B3"/>
      </right>
      <top style="thin">
        <color rgb="FFB3B3B3"/>
      </top>
    </border>
    <border>
      <left style="thin">
        <color rgb="FFB3B3B3"/>
      </left>
      <right style="thin">
        <color rgb="FFB3B3B3"/>
      </right>
      <bottom style="thin">
        <color rgb="FFB3B3B3"/>
      </bottom>
    </border>
    <border>
      <left style="thin">
        <color rgb="FFFAFD8A"/>
      </left>
      <right style="thin">
        <color rgb="FFFAFD8A"/>
      </right>
      <top style="thin">
        <color rgb="FFFAFD8A"/>
      </top>
      <bottom style="thin">
        <color rgb="FFFAFD8A"/>
      </bottom>
    </border>
    <border>
      <left style="thin">
        <color rgb="FFFAFD8A"/>
      </left>
      <top style="thin">
        <color rgb="FFFAFD8A"/>
      </top>
    </border>
    <border>
      <top style="thin">
        <color rgb="FFFAFD8A"/>
      </top>
    </border>
    <border>
      <right style="thin">
        <color rgb="FFFAFD8A"/>
      </right>
      <top style="thin">
        <color rgb="FFFAFD8A"/>
      </top>
    </border>
    <border>
      <left style="thin">
        <color rgb="FFFAFD8A"/>
      </left>
    </border>
    <border>
      <right style="thin">
        <color rgb="FFFAFD8A"/>
      </right>
    </border>
    <border>
      <left style="thin">
        <color rgb="FFFAFD8A"/>
      </left>
      <bottom style="thin">
        <color rgb="FFFAFD8A"/>
      </bottom>
    </border>
    <border>
      <bottom style="thin">
        <color rgb="FFFAFD8A"/>
      </bottom>
    </border>
    <border>
      <right style="thin">
        <color rgb="FFFAFD8A"/>
      </right>
      <bottom style="thin">
        <color rgb="FFFAFD8A"/>
      </bottom>
    </border>
    <border>
      <left style="thin">
        <color rgb="FFFAFD8A"/>
      </left>
      <right style="thin">
        <color rgb="FFFAFD8A"/>
      </right>
      <top style="thin">
        <color rgb="FFFAFD8A"/>
      </top>
    </border>
    <border>
      <left style="thin">
        <color rgb="FFFAFD8A"/>
      </left>
      <right style="thin">
        <color rgb="FFFAFD8A"/>
      </right>
      <bottom style="thin">
        <color rgb="FFFAFD8A"/>
      </bottom>
    </border>
    <border>
      <left style="thin">
        <color rgb="FF464EC2"/>
      </left>
      <right style="thin">
        <color rgb="FF464EC2"/>
      </right>
      <top style="thin">
        <color rgb="FF464EC2"/>
      </top>
      <bottom style="thin">
        <color rgb="FF464EC2"/>
      </bottom>
    </border>
    <border>
      <left style="thin">
        <color rgb="FF464EC2"/>
      </left>
      <top style="thin">
        <color rgb="FF464EC2"/>
      </top>
    </border>
    <border>
      <top style="thin">
        <color rgb="FF464EC2"/>
      </top>
    </border>
    <border>
      <right style="thin">
        <color rgb="FF464EC2"/>
      </right>
      <top style="thin">
        <color rgb="FF464EC2"/>
      </top>
    </border>
    <border>
      <left style="thin">
        <color rgb="FF464EC2"/>
      </left>
    </border>
    <border>
      <right style="thin">
        <color rgb="FF464EC2"/>
      </right>
    </border>
    <border>
      <left style="thin">
        <color rgb="FF464EC2"/>
      </left>
      <bottom style="thin">
        <color rgb="FF464EC2"/>
      </bottom>
    </border>
    <border>
      <bottom style="thin">
        <color rgb="FF464EC2"/>
      </bottom>
    </border>
    <border>
      <right style="thin">
        <color rgb="FF464EC2"/>
      </right>
      <bottom style="thin">
        <color rgb="FF464EC2"/>
      </bottom>
    </border>
    <border>
      <left style="thin">
        <color rgb="FF464EC2"/>
      </left>
      <right style="thin">
        <color rgb="FF464EC2"/>
      </right>
      <top style="thin">
        <color rgb="FF464EC2"/>
      </top>
    </border>
    <border>
      <left style="thin">
        <color rgb="FF464EC2"/>
      </left>
      <right style="thin">
        <color rgb="FF464EC2"/>
      </right>
      <bottom style="thin">
        <color rgb="FF464EC2"/>
      </bottom>
    </border>
    <border>
      <left style="thin">
        <color rgb="FF464EC2"/>
      </left>
      <right style="thin">
        <color rgb="FF464EC2"/>
      </right>
    </border>
    <border>
      <left style="thin">
        <color rgb="FF5DA8C8"/>
      </left>
      <right style="thin">
        <color rgb="FF5DA8C8"/>
      </right>
      <top style="thin">
        <color rgb="FF5DA8C8"/>
      </top>
      <bottom style="thin">
        <color rgb="FF5DA8C8"/>
      </bottom>
    </border>
    <border>
      <left style="thin">
        <color rgb="FF5DA8C8"/>
      </left>
      <top style="thin">
        <color rgb="FF5DA8C8"/>
      </top>
    </border>
    <border>
      <top style="thin">
        <color rgb="FF5DA8C8"/>
      </top>
    </border>
    <border>
      <right style="thin">
        <color rgb="FF5DA8C8"/>
      </right>
      <top style="thin">
        <color rgb="FF5DA8C8"/>
      </top>
    </border>
    <border>
      <left style="thin">
        <color rgb="FF5DA8C8"/>
      </left>
    </border>
    <border>
      <right style="thin">
        <color rgb="FF5DA8C8"/>
      </right>
    </border>
    <border>
      <left style="thin">
        <color rgb="FF5DA8C8"/>
      </left>
      <bottom style="thin">
        <color rgb="FF5DA8C8"/>
      </bottom>
    </border>
    <border>
      <bottom style="thin">
        <color rgb="FF5DA8C8"/>
      </bottom>
    </border>
    <border>
      <right style="thin">
        <color rgb="FF5DA8C8"/>
      </right>
      <bottom style="thin">
        <color rgb="FF5DA8C8"/>
      </bottom>
    </border>
    <border>
      <left style="thin">
        <color rgb="FF5DA8C8"/>
      </left>
      <right style="thin">
        <color rgb="FF5DA8C8"/>
      </right>
      <top style="thin">
        <color rgb="FF5DA8C8"/>
      </top>
    </border>
    <border>
      <left style="thin">
        <color rgb="FF5DA8C8"/>
      </left>
      <right style="thin">
        <color rgb="FF5DA8C8"/>
      </right>
      <bottom style="thin">
        <color rgb="FF5DA8C8"/>
      </bottom>
    </border>
    <border>
      <left style="thin">
        <color rgb="FF7EA6C7"/>
      </left>
      <right style="thin">
        <color rgb="FF7EA6C7"/>
      </right>
      <top style="thin">
        <color rgb="FF7EA6C7"/>
      </top>
      <bottom style="thin">
        <color rgb="FF7EA6C7"/>
      </bottom>
    </border>
    <border>
      <left style="thin">
        <color rgb="FF7EA6C7"/>
      </left>
      <top style="thin">
        <color rgb="FF7EA6C7"/>
      </top>
    </border>
    <border>
      <top style="thin">
        <color rgb="FF7EA6C7"/>
      </top>
    </border>
    <border>
      <right style="thin">
        <color rgb="FF7EA6C7"/>
      </right>
      <top style="thin">
        <color rgb="FF7EA6C7"/>
      </top>
    </border>
    <border>
      <left style="thin">
        <color rgb="FF7EA6C7"/>
      </left>
    </border>
    <border>
      <right style="thin">
        <color rgb="FF7EA6C7"/>
      </right>
    </border>
    <border>
      <left style="thin">
        <color rgb="FF7EA6C7"/>
      </left>
      <bottom style="thin">
        <color rgb="FF7EA6C7"/>
      </bottom>
    </border>
    <border>
      <bottom style="thin">
        <color rgb="FF7EA6C7"/>
      </bottom>
    </border>
    <border>
      <right style="thin">
        <color rgb="FF7EA6C7"/>
      </right>
      <bottom style="thin">
        <color rgb="FF7EA6C7"/>
      </bottom>
    </border>
    <border>
      <left style="thin">
        <color rgb="FF7EA6C7"/>
      </left>
      <right style="thin">
        <color rgb="FF7EA6C7"/>
      </right>
      <top style="thin">
        <color rgb="FF7EA6C7"/>
      </top>
    </border>
    <border>
      <left style="thin">
        <color rgb="FF7EA6C7"/>
      </left>
      <right style="thin">
        <color rgb="FF7EA6C7"/>
      </right>
      <bottom style="thin">
        <color rgb="FF7EA6C7"/>
      </bottom>
    </border>
    <border>
      <left style="thin">
        <color rgb="FF70A174"/>
      </left>
      <right style="thin">
        <color rgb="FF70A174"/>
      </right>
      <top style="thin">
        <color rgb="FF70A174"/>
      </top>
      <bottom style="thin">
        <color rgb="FF70A174"/>
      </bottom>
    </border>
    <border>
      <left style="thin">
        <color rgb="FF70A174"/>
      </left>
      <top style="thin">
        <color rgb="FF70A174"/>
      </top>
    </border>
    <border>
      <top style="thin">
        <color rgb="FF70A174"/>
      </top>
    </border>
    <border>
      <right style="thin">
        <color rgb="FF70A174"/>
      </right>
      <top style="thin">
        <color rgb="FF70A174"/>
      </top>
    </border>
    <border>
      <left style="thin">
        <color rgb="FF70A174"/>
      </left>
    </border>
    <border>
      <right style="thin">
        <color rgb="FF70A174"/>
      </right>
    </border>
    <border>
      <left style="thin">
        <color rgb="FF70A174"/>
      </left>
      <bottom style="thin">
        <color rgb="FF70A174"/>
      </bottom>
    </border>
    <border>
      <bottom style="thin">
        <color rgb="FF70A174"/>
      </bottom>
    </border>
    <border>
      <right style="thin">
        <color rgb="FF70A174"/>
      </right>
      <bottom style="thin">
        <color rgb="FF70A174"/>
      </bottom>
    </border>
    <border>
      <left style="thin">
        <color rgb="FF70A174"/>
      </left>
      <right style="thin">
        <color rgb="FF70A174"/>
      </right>
      <top style="thin">
        <color rgb="FF70A174"/>
      </top>
    </border>
    <border>
      <left style="thin">
        <color rgb="FF70A174"/>
      </left>
      <right style="thin">
        <color rgb="FF70A174"/>
      </right>
      <bottom style="thin">
        <color rgb="FF70A174"/>
      </bottom>
    </border>
    <border>
      <left style="thin">
        <color rgb="FF4F0F0F"/>
      </left>
      <right style="thin">
        <color rgb="FF4F0F0F"/>
      </right>
      <top style="thin">
        <color rgb="FF4F0F0F"/>
      </top>
      <bottom style="thin">
        <color rgb="FF4F0F0F"/>
      </bottom>
    </border>
    <border>
      <left style="thin">
        <color rgb="FF4F0F0F"/>
      </left>
      <top style="thin">
        <color rgb="FF4F0F0F"/>
      </top>
    </border>
    <border>
      <top style="thin">
        <color rgb="FF4F0F0F"/>
      </top>
    </border>
    <border>
      <right style="thin">
        <color rgb="FF4F0F0F"/>
      </right>
      <top style="thin">
        <color rgb="FF4F0F0F"/>
      </top>
    </border>
    <border>
      <left style="thin">
        <color rgb="FF4F0F0F"/>
      </left>
    </border>
    <border>
      <right style="thin">
        <color rgb="FF4F0F0F"/>
      </right>
    </border>
    <border>
      <left style="thin">
        <color rgb="FF4F0F0F"/>
      </left>
      <bottom style="thin">
        <color rgb="FF4F0F0F"/>
      </bottom>
    </border>
    <border>
      <bottom style="thin">
        <color rgb="FF4F0F0F"/>
      </bottom>
    </border>
    <border>
      <right style="thin">
        <color rgb="FF4F0F0F"/>
      </right>
      <bottom style="thin">
        <color rgb="FF4F0F0F"/>
      </bottom>
    </border>
    <border>
      <left style="thin">
        <color rgb="FF4F0F0F"/>
      </left>
      <right style="thin">
        <color rgb="FF4F0F0F"/>
      </right>
      <top style="thin">
        <color rgb="FF4F0F0F"/>
      </top>
    </border>
    <border>
      <left style="thin">
        <color rgb="FF4F0F0F"/>
      </left>
      <right style="thin">
        <color rgb="FF4F0F0F"/>
      </right>
      <bottom style="thin">
        <color rgb="FF4F0F0F"/>
      </bottom>
    </border>
    <border>
      <left style="thin">
        <color rgb="FF7974A4"/>
      </left>
      <right style="thin">
        <color rgb="FF7974A4"/>
      </right>
      <top style="thin">
        <color rgb="FF7974A4"/>
      </top>
      <bottom style="thin">
        <color rgb="FF7974A4"/>
      </bottom>
    </border>
    <border>
      <left style="thin">
        <color rgb="FF7974A4"/>
      </left>
      <top style="thin">
        <color rgb="FF7974A4"/>
      </top>
    </border>
    <border>
      <top style="thin">
        <color rgb="FF7974A4"/>
      </top>
    </border>
    <border>
      <right style="thin">
        <color rgb="FF7974A4"/>
      </right>
      <top style="thin">
        <color rgb="FF7974A4"/>
      </top>
    </border>
    <border>
      <left style="thin">
        <color rgb="FF7974A4"/>
      </left>
    </border>
    <border>
      <right style="thin">
        <color rgb="FF7974A4"/>
      </right>
    </border>
    <border>
      <left style="thin">
        <color rgb="FF7974A4"/>
      </left>
      <bottom style="thin">
        <color rgb="FF7974A4"/>
      </bottom>
    </border>
    <border>
      <bottom style="thin">
        <color rgb="FF7974A4"/>
      </bottom>
    </border>
    <border>
      <right style="thin">
        <color rgb="FF7974A4"/>
      </right>
      <bottom style="thin">
        <color rgb="FF7974A4"/>
      </bottom>
    </border>
    <border>
      <left style="thin">
        <color rgb="FF7974A4"/>
      </left>
      <right style="thin">
        <color rgb="FF7974A4"/>
      </right>
      <top style="thin">
        <color rgb="FF7974A4"/>
      </top>
    </border>
    <border>
      <left style="thin">
        <color rgb="FF7974A4"/>
      </left>
      <right style="thin">
        <color rgb="FF7974A4"/>
      </right>
      <bottom style="thin">
        <color rgb="FF7974A4"/>
      </bottom>
    </border>
    <border>
      <left style="thin">
        <color rgb="FF852924"/>
      </left>
      <right style="thin">
        <color rgb="FF852924"/>
      </right>
      <top style="thin">
        <color rgb="FF852924"/>
      </top>
      <bottom style="thin">
        <color rgb="FF852924"/>
      </bottom>
    </border>
    <border>
      <left style="thin">
        <color rgb="FF852924"/>
      </left>
      <top style="thin">
        <color rgb="FF852924"/>
      </top>
    </border>
    <border>
      <top style="thin">
        <color rgb="FF852924"/>
      </top>
    </border>
    <border>
      <right style="thin">
        <color rgb="FF852924"/>
      </right>
      <top style="thin">
        <color rgb="FF852924"/>
      </top>
    </border>
    <border>
      <left style="thin">
        <color rgb="FF852924"/>
      </left>
    </border>
    <border>
      <right style="thin">
        <color rgb="FF852924"/>
      </right>
    </border>
    <border>
      <left style="thin">
        <color rgb="FF852924"/>
      </left>
      <bottom style="thin">
        <color rgb="FF852924"/>
      </bottom>
    </border>
    <border>
      <bottom style="thin">
        <color rgb="FF852924"/>
      </bottom>
    </border>
    <border>
      <right style="thin">
        <color rgb="FF852924"/>
      </right>
      <bottom style="thin">
        <color rgb="FF852924"/>
      </bottom>
    </border>
    <border>
      <left style="thin">
        <color rgb="FF852924"/>
      </left>
      <right style="thin">
        <color rgb="FF852924"/>
      </right>
      <top style="thin">
        <color rgb="FF852924"/>
      </top>
    </border>
    <border>
      <left style="thin">
        <color rgb="FF852924"/>
      </left>
      <right style="thin">
        <color rgb="FF852924"/>
      </right>
      <bottom style="thin">
        <color rgb="FF852924"/>
      </bottom>
    </border>
    <border>
      <left style="thin">
        <color rgb="FF3D4960"/>
      </left>
      <right style="thin">
        <color rgb="FF3D4960"/>
      </right>
      <top style="thin">
        <color rgb="FF3D4960"/>
      </top>
      <bottom style="thin">
        <color rgb="FF3D4960"/>
      </bottom>
    </border>
    <border>
      <left style="thin">
        <color rgb="FF3D4960"/>
      </left>
      <top style="thin">
        <color rgb="FF3D4960"/>
      </top>
    </border>
    <border>
      <top style="thin">
        <color rgb="FF3D4960"/>
      </top>
    </border>
    <border>
      <right style="thin">
        <color rgb="FF3D4960"/>
      </right>
      <top style="thin">
        <color rgb="FF3D4960"/>
      </top>
    </border>
    <border>
      <left style="thin">
        <color rgb="FF3D4960"/>
      </left>
    </border>
    <border>
      <right style="thin">
        <color rgb="FF3D4960"/>
      </right>
    </border>
    <border>
      <left style="thin">
        <color rgb="FF3D4960"/>
      </left>
      <bottom style="thin">
        <color rgb="FF3D4960"/>
      </bottom>
    </border>
    <border>
      <bottom style="thin">
        <color rgb="FF3D4960"/>
      </bottom>
    </border>
    <border>
      <right style="thin">
        <color rgb="FF3D4960"/>
      </right>
      <bottom style="thin">
        <color rgb="FF3D4960"/>
      </bottom>
    </border>
    <border>
      <left style="thin">
        <color rgb="FF3D4960"/>
      </left>
      <right style="thin">
        <color rgb="FF3D4960"/>
      </right>
      <top style="thin">
        <color rgb="FF3D4960"/>
      </top>
    </border>
    <border>
      <left style="thin">
        <color rgb="FF3D4960"/>
      </left>
      <right style="thin">
        <color rgb="FF3D4960"/>
      </right>
      <bottom style="thin">
        <color rgb="FF3D4960"/>
      </bottom>
    </border>
    <border>
      <left style="thin">
        <color rgb="FFBCBCBC"/>
      </left>
      <right style="thin">
        <color rgb="FFBCBCBC"/>
      </right>
      <top style="thin">
        <color rgb="FFBCBCBC"/>
      </top>
      <bottom style="thin">
        <color rgb="FFBCBCBC"/>
      </bottom>
    </border>
    <border>
      <left style="thin">
        <color rgb="FFBCBCBC"/>
      </left>
      <top style="thin">
        <color rgb="FFBCBCBC"/>
      </top>
    </border>
    <border>
      <top style="thin">
        <color rgb="FFBCBCBC"/>
      </top>
    </border>
    <border>
      <right style="thin">
        <color rgb="FFBCBCBC"/>
      </right>
      <top style="thin">
        <color rgb="FFBCBCBC"/>
      </top>
    </border>
    <border>
      <left style="thin">
        <color rgb="FFBCBCBC"/>
      </left>
    </border>
    <border>
      <right style="thin">
        <color rgb="FFBCBCBC"/>
      </right>
    </border>
    <border>
      <left style="thin">
        <color rgb="FFBCBCBC"/>
      </left>
      <bottom style="thin">
        <color rgb="FFBCBCBC"/>
      </bottom>
    </border>
    <border>
      <bottom style="thin">
        <color rgb="FFBCBCBC"/>
      </bottom>
    </border>
    <border>
      <right style="thin">
        <color rgb="FFBCBCBC"/>
      </right>
      <bottom style="thin">
        <color rgb="FFBCBCBC"/>
      </bottom>
    </border>
    <border>
      <left style="thin">
        <color rgb="FFBCBCBC"/>
      </left>
      <right style="thin">
        <color rgb="FFBCBCBC"/>
      </right>
      <top style="thin">
        <color rgb="FFBCBCBC"/>
      </top>
    </border>
    <border>
      <left style="thin">
        <color rgb="FFBCBCBC"/>
      </left>
      <right style="thin">
        <color rgb="FFBCBCBC"/>
      </right>
      <bottom style="thin">
        <color rgb="FFBCBCBC"/>
      </bottom>
    </border>
    <border>
      <left style="thin">
        <color rgb="FF464664"/>
      </left>
      <right style="thin">
        <color rgb="FF464664"/>
      </right>
      <top style="thin">
        <color rgb="FF464664"/>
      </top>
      <bottom style="thin">
        <color rgb="FF464664"/>
      </bottom>
    </border>
    <border>
      <left style="thin">
        <color rgb="FF464664"/>
      </left>
      <top style="thin">
        <color rgb="FF464664"/>
      </top>
    </border>
    <border>
      <top style="thin">
        <color rgb="FF464664"/>
      </top>
    </border>
    <border>
      <right style="thin">
        <color rgb="FF464664"/>
      </right>
      <top style="thin">
        <color rgb="FF464664"/>
      </top>
    </border>
    <border>
      <left style="thin">
        <color rgb="FF464664"/>
      </left>
    </border>
    <border>
      <right style="thin">
        <color rgb="FF464664"/>
      </right>
    </border>
    <border>
      <left style="thin">
        <color rgb="FF464664"/>
      </left>
      <bottom style="thin">
        <color rgb="FF464664"/>
      </bottom>
    </border>
    <border>
      <bottom style="thin">
        <color rgb="FF464664"/>
      </bottom>
    </border>
    <border>
      <right style="thin">
        <color rgb="FF464664"/>
      </right>
      <bottom style="thin">
        <color rgb="FF464664"/>
      </bottom>
    </border>
    <border>
      <left style="thin">
        <color rgb="FF464664"/>
      </left>
      <right style="thin">
        <color rgb="FF464664"/>
      </right>
      <top style="thin">
        <color rgb="FF464664"/>
      </top>
    </border>
    <border>
      <left style="thin">
        <color rgb="FF464664"/>
      </left>
      <right style="thin">
        <color rgb="FF464664"/>
      </right>
      <bottom style="thin">
        <color rgb="FF464664"/>
      </bottom>
    </border>
    <border>
      <left style="thin">
        <color rgb="FFEBEBEB"/>
      </left>
      <right style="thin">
        <color rgb="FFEBEBEB"/>
      </right>
      <top style="thin">
        <color rgb="FFEBEBEB"/>
      </top>
      <bottom style="thin">
        <color rgb="FFEBEBEB"/>
      </bottom>
    </border>
    <border>
      <left style="thin">
        <color rgb="FFEBEBEB"/>
      </left>
      <top style="thin">
        <color rgb="FFEBEBEB"/>
      </top>
    </border>
    <border>
      <top style="thin">
        <color rgb="FFEBEBEB"/>
      </top>
    </border>
    <border>
      <right style="thin">
        <color rgb="FFEBEBEB"/>
      </right>
      <top style="thin">
        <color rgb="FFEBEBEB"/>
      </top>
    </border>
    <border>
      <left style="thin">
        <color rgb="FFEBEBEB"/>
      </left>
    </border>
    <border>
      <right style="thin">
        <color rgb="FFEBEBEB"/>
      </right>
    </border>
    <border>
      <left style="thin">
        <color rgb="FFEBEBEB"/>
      </left>
      <bottom style="thin">
        <color rgb="FFEBEBEB"/>
      </bottom>
    </border>
    <border>
      <bottom style="thin">
        <color rgb="FFEBEBEB"/>
      </bottom>
    </border>
    <border>
      <right style="thin">
        <color rgb="FFEBEBEB"/>
      </right>
      <bottom style="thin">
        <color rgb="FFEBEBEB"/>
      </bottom>
    </border>
    <border>
      <left style="thin">
        <color rgb="FFEBEBEB"/>
      </left>
      <right style="thin">
        <color rgb="FFEBEBEB"/>
      </right>
      <top style="thin">
        <color rgb="FFEBEBEB"/>
      </top>
    </border>
    <border>
      <left style="thin">
        <color rgb="FFEBEBEB"/>
      </left>
      <right style="thin">
        <color rgb="FFEBEBEB"/>
      </right>
      <bottom style="thin">
        <color rgb="FFEBEBEB"/>
      </bottom>
    </border>
    <border>
      <left style="thin">
        <color rgb="FF252434"/>
      </left>
      <right style="thin">
        <color rgb="FF252434"/>
      </right>
      <top style="thin">
        <color rgb="FF252434"/>
      </top>
      <bottom style="thin">
        <color rgb="FF252434"/>
      </bottom>
    </border>
    <border>
      <left style="thin">
        <color rgb="FF252434"/>
      </left>
      <top style="thin">
        <color rgb="FF252434"/>
      </top>
    </border>
    <border>
      <top style="thin">
        <color rgb="FF252434"/>
      </top>
    </border>
    <border>
      <right style="thin">
        <color rgb="FF252434"/>
      </right>
      <top style="thin">
        <color rgb="FF252434"/>
      </top>
    </border>
    <border>
      <left style="thin">
        <color rgb="FF252434"/>
      </left>
    </border>
    <border>
      <right style="thin">
        <color rgb="FF252434"/>
      </right>
    </border>
    <border>
      <left style="thin">
        <color rgb="FF252434"/>
      </left>
      <bottom style="thin">
        <color rgb="FF252434"/>
      </bottom>
    </border>
    <border>
      <bottom style="thin">
        <color rgb="FF252434"/>
      </bottom>
    </border>
    <border>
      <right style="thin">
        <color rgb="FF252434"/>
      </right>
      <bottom style="thin">
        <color rgb="FF252434"/>
      </bottom>
    </border>
    <border>
      <left style="thin">
        <color rgb="FF252434"/>
      </left>
      <right style="thin">
        <color rgb="FF252434"/>
      </right>
      <top style="thin">
        <color rgb="FF252434"/>
      </top>
    </border>
    <border>
      <left style="thin">
        <color rgb="FF252434"/>
      </left>
      <right style="thin">
        <color rgb="FF252434"/>
      </right>
      <bottom style="thin">
        <color rgb="FF252434"/>
      </bottom>
    </border>
    <border>
      <left style="thin">
        <color rgb="FF67B8CF"/>
      </left>
      <right style="thin">
        <color rgb="FF67B8CF"/>
      </right>
      <top style="thin">
        <color rgb="FF67B8CF"/>
      </top>
      <bottom style="thin">
        <color rgb="FF67B8CF"/>
      </bottom>
    </border>
    <border>
      <left style="thin">
        <color rgb="FF67B8CF"/>
      </left>
      <top style="thin">
        <color rgb="FF67B8CF"/>
      </top>
    </border>
    <border>
      <top style="thin">
        <color rgb="FF67B8CF"/>
      </top>
    </border>
    <border>
      <right style="thin">
        <color rgb="FF67B8CF"/>
      </right>
      <top style="thin">
        <color rgb="FF67B8CF"/>
      </top>
    </border>
    <border>
      <left style="thin">
        <color rgb="FF67B8CF"/>
      </left>
    </border>
    <border>
      <right style="thin">
        <color rgb="FF67B8CF"/>
      </right>
    </border>
    <border>
      <left style="thin">
        <color rgb="FF67B8CF"/>
      </left>
      <bottom style="thin">
        <color rgb="FF67B8CF"/>
      </bottom>
    </border>
    <border>
      <bottom style="thin">
        <color rgb="FF67B8CF"/>
      </bottom>
    </border>
    <border>
      <right style="thin">
        <color rgb="FF67B8CF"/>
      </right>
      <bottom style="thin">
        <color rgb="FF67B8CF"/>
      </bottom>
    </border>
    <border>
      <left style="thin">
        <color rgb="FF67B8CF"/>
      </left>
      <right style="thin">
        <color rgb="FF67B8CF"/>
      </right>
      <top style="thin">
        <color rgb="FF67B8CF"/>
      </top>
    </border>
    <border>
      <left style="thin">
        <color rgb="FF67B8CF"/>
      </left>
      <right style="thin">
        <color rgb="FF67B8CF"/>
      </right>
      <bottom style="thin">
        <color rgb="FF67B8CF"/>
      </bottom>
    </border>
    <border>
      <left style="thin">
        <color rgb="FFFDE51B"/>
      </left>
      <right style="thin">
        <color rgb="FFFDE51B"/>
      </right>
      <top style="thin">
        <color rgb="FFFDE51B"/>
      </top>
      <bottom style="thin">
        <color rgb="FFFDE51B"/>
      </bottom>
    </border>
    <border>
      <left style="thin">
        <color rgb="FFFDE51B"/>
      </left>
      <top style="thin">
        <color rgb="FFFDE51B"/>
      </top>
    </border>
    <border>
      <top style="thin">
        <color rgb="FFFDE51B"/>
      </top>
    </border>
    <border>
      <right style="thin">
        <color rgb="FFFDE51B"/>
      </right>
      <top style="thin">
        <color rgb="FFFDE51B"/>
      </top>
    </border>
    <border>
      <left style="thin">
        <color rgb="FFFDE51B"/>
      </left>
    </border>
    <border>
      <right style="thin">
        <color rgb="FFFDE51B"/>
      </right>
    </border>
    <border>
      <left style="thin">
        <color rgb="FFFDE51B"/>
      </left>
      <bottom style="thin">
        <color rgb="FFFDE51B"/>
      </bottom>
    </border>
    <border>
      <bottom style="thin">
        <color rgb="FFFDE51B"/>
      </bottom>
    </border>
    <border>
      <right style="thin">
        <color rgb="FFFDE51B"/>
      </right>
      <bottom style="thin">
        <color rgb="FFFDE51B"/>
      </bottom>
    </border>
    <border>
      <left style="thin">
        <color rgb="FFFDE51B"/>
      </left>
      <right style="thin">
        <color rgb="FFFDE51B"/>
      </right>
      <top style="thin">
        <color rgb="FFFDE51B"/>
      </top>
    </border>
    <border>
      <left style="thin">
        <color rgb="FFFDE51B"/>
      </left>
      <right style="thin">
        <color rgb="FFFDE51B"/>
      </right>
      <bottom style="thin">
        <color rgb="FFFDE51B"/>
      </bottom>
    </border>
    <border>
      <left style="thin">
        <color rgb="FF658198"/>
      </left>
      <right style="thin">
        <color rgb="FF658198"/>
      </right>
      <top style="thin">
        <color rgb="FF658198"/>
      </top>
      <bottom style="thin">
        <color rgb="FF658198"/>
      </bottom>
    </border>
    <border>
      <left style="thin">
        <color rgb="FF658198"/>
      </left>
      <top style="thin">
        <color rgb="FF658198"/>
      </top>
    </border>
    <border>
      <top style="thin">
        <color rgb="FF658198"/>
      </top>
    </border>
    <border>
      <right style="thin">
        <color rgb="FF658198"/>
      </right>
      <top style="thin">
        <color rgb="FF658198"/>
      </top>
    </border>
    <border>
      <left style="thin">
        <color rgb="FF658198"/>
      </left>
    </border>
    <border>
      <right style="thin">
        <color rgb="FF658198"/>
      </right>
    </border>
    <border>
      <left style="thin">
        <color rgb="FF658198"/>
      </left>
      <bottom style="thin">
        <color rgb="FF658198"/>
      </bottom>
    </border>
    <border>
      <bottom style="thin">
        <color rgb="FF658198"/>
      </bottom>
    </border>
    <border>
      <right style="thin">
        <color rgb="FF658198"/>
      </right>
      <bottom style="thin">
        <color rgb="FF658198"/>
      </bottom>
    </border>
    <border>
      <left style="thin">
        <color rgb="FF658198"/>
      </left>
      <right style="thin">
        <color rgb="FF658198"/>
      </right>
      <top style="thin">
        <color rgb="FF658198"/>
      </top>
    </border>
    <border>
      <left style="thin">
        <color rgb="FF658198"/>
      </left>
      <right style="thin">
        <color rgb="FF658198"/>
      </right>
      <bottom style="thin">
        <color rgb="FF658198"/>
      </bottom>
    </border>
    <border>
      <left style="thin">
        <color rgb="FF2D3A9F"/>
      </left>
      <right style="thin">
        <color rgb="FF2D3A9F"/>
      </right>
      <top style="thin">
        <color rgb="FF2D3A9F"/>
      </top>
      <bottom style="thin">
        <color rgb="FF2D3A9F"/>
      </bottom>
    </border>
    <border>
      <left style="thin">
        <color rgb="FF2D3A9F"/>
      </left>
      <top style="thin">
        <color rgb="FF2D3A9F"/>
      </top>
    </border>
    <border>
      <top style="thin">
        <color rgb="FF2D3A9F"/>
      </top>
    </border>
    <border>
      <right style="thin">
        <color rgb="FF2D3A9F"/>
      </right>
      <top style="thin">
        <color rgb="FF2D3A9F"/>
      </top>
    </border>
    <border>
      <left style="thin">
        <color rgb="FF2D3A9F"/>
      </left>
    </border>
    <border>
      <right style="thin">
        <color rgb="FF2D3A9F"/>
      </right>
    </border>
    <border>
      <left style="thin">
        <color rgb="FF2D3A9F"/>
      </left>
      <bottom style="thin">
        <color rgb="FF2D3A9F"/>
      </bottom>
    </border>
    <border>
      <bottom style="thin">
        <color rgb="FF2D3A9F"/>
      </bottom>
    </border>
    <border>
      <right style="thin">
        <color rgb="FF2D3A9F"/>
      </right>
      <bottom style="thin">
        <color rgb="FF2D3A9F"/>
      </bottom>
    </border>
    <border>
      <left style="thin">
        <color rgb="FF2D3A9F"/>
      </left>
      <right style="thin">
        <color rgb="FF2D3A9F"/>
      </right>
      <top style="thin">
        <color rgb="FF2D3A9F"/>
      </top>
    </border>
    <border>
      <left style="thin">
        <color rgb="FF2D3A9F"/>
      </left>
      <right style="thin">
        <color rgb="FF2D3A9F"/>
      </right>
      <bottom style="thin">
        <color rgb="FF2D3A9F"/>
      </bottom>
    </border>
    <border>
      <left style="thin">
        <color rgb="FFA8E9FD"/>
      </left>
      <right style="thin">
        <color rgb="FFA8E9FD"/>
      </right>
      <top style="thin">
        <color rgb="FFA8E9FD"/>
      </top>
      <bottom style="thin">
        <color rgb="FFA8E9FD"/>
      </bottom>
    </border>
    <border>
      <left style="thin">
        <color rgb="FFA8E9FD"/>
      </left>
      <top style="thin">
        <color rgb="FFA8E9FD"/>
      </top>
    </border>
    <border>
      <top style="thin">
        <color rgb="FFA8E9FD"/>
      </top>
    </border>
    <border>
      <right style="thin">
        <color rgb="FFA8E9FD"/>
      </right>
      <top style="thin">
        <color rgb="FFA8E9FD"/>
      </top>
    </border>
    <border>
      <left style="thin">
        <color rgb="FFA8E9FD"/>
      </left>
    </border>
    <border>
      <right style="thin">
        <color rgb="FFA8E9FD"/>
      </right>
    </border>
    <border>
      <left style="thin">
        <color rgb="FFA8E9FD"/>
      </left>
      <bottom style="thin">
        <color rgb="FFA8E9FD"/>
      </bottom>
    </border>
    <border>
      <bottom style="thin">
        <color rgb="FFA8E9FD"/>
      </bottom>
    </border>
    <border>
      <right style="thin">
        <color rgb="FFA8E9FD"/>
      </right>
      <bottom style="thin">
        <color rgb="FFA8E9FD"/>
      </bottom>
    </border>
    <border>
      <left style="thin">
        <color rgb="FFA8E9FD"/>
      </left>
      <right style="thin">
        <color rgb="FFA8E9FD"/>
      </right>
      <top style="thin">
        <color rgb="FFA8E9FD"/>
      </top>
    </border>
    <border>
      <left style="thin">
        <color rgb="FFA8E9FD"/>
      </left>
      <right style="thin">
        <color rgb="FFA8E9FD"/>
      </right>
      <bottom style="thin">
        <color rgb="FFA8E9FD"/>
      </bottom>
    </border>
    <border>
      <left style="thin">
        <color rgb="FF215B18"/>
      </left>
      <right style="thin">
        <color rgb="FF215B18"/>
      </right>
      <top style="thin">
        <color rgb="FF215B18"/>
      </top>
      <bottom style="thin">
        <color rgb="FF215B18"/>
      </bottom>
    </border>
    <border>
      <left style="thin">
        <color rgb="FF215B18"/>
      </left>
      <top style="thin">
        <color rgb="FF215B18"/>
      </top>
    </border>
    <border>
      <top style="thin">
        <color rgb="FF215B18"/>
      </top>
    </border>
    <border>
      <right style="thin">
        <color rgb="FF215B18"/>
      </right>
      <top style="thin">
        <color rgb="FF215B18"/>
      </top>
    </border>
    <border>
      <left style="thin">
        <color rgb="FF215B18"/>
      </left>
    </border>
    <border>
      <right style="thin">
        <color rgb="FF215B18"/>
      </right>
    </border>
    <border>
      <left style="thin">
        <color rgb="FF215B18"/>
      </left>
      <bottom style="thin">
        <color rgb="FF215B18"/>
      </bottom>
    </border>
    <border>
      <bottom style="thin">
        <color rgb="FF215B18"/>
      </bottom>
    </border>
    <border>
      <right style="thin">
        <color rgb="FF215B18"/>
      </right>
      <bottom style="thin">
        <color rgb="FF215B18"/>
      </bottom>
    </border>
    <border>
      <left style="thin">
        <color rgb="FF215B18"/>
      </left>
      <right style="thin">
        <color rgb="FF215B18"/>
      </right>
      <top style="thin">
        <color rgb="FF215B18"/>
      </top>
    </border>
    <border>
      <left style="thin">
        <color rgb="FF215B18"/>
      </left>
      <right style="thin">
        <color rgb="FF215B18"/>
      </right>
      <bottom style="thin">
        <color rgb="FF215B18"/>
      </bottom>
    </border>
    <border>
      <left style="thin">
        <color rgb="FFED8B5D"/>
      </left>
      <right style="thin">
        <color rgb="FFED8B5D"/>
      </right>
      <top style="thin">
        <color rgb="FFED8B5D"/>
      </top>
      <bottom style="thin">
        <color rgb="FFED8B5D"/>
      </bottom>
    </border>
    <border>
      <left style="thin">
        <color rgb="FFED8B5D"/>
      </left>
      <top style="thin">
        <color rgb="FFED8B5D"/>
      </top>
    </border>
    <border>
      <top style="thin">
        <color rgb="FFED8B5D"/>
      </top>
    </border>
    <border>
      <right style="thin">
        <color rgb="FFED8B5D"/>
      </right>
      <top style="thin">
        <color rgb="FFED8B5D"/>
      </top>
    </border>
    <border>
      <left style="thin">
        <color rgb="FFED8B5D"/>
      </left>
    </border>
    <border>
      <right style="thin">
        <color rgb="FFED8B5D"/>
      </right>
    </border>
    <border>
      <left style="thin">
        <color rgb="FFED8B5D"/>
      </left>
      <bottom style="thin">
        <color rgb="FFED8B5D"/>
      </bottom>
    </border>
    <border>
      <bottom style="thin">
        <color rgb="FFED8B5D"/>
      </bottom>
    </border>
    <border>
      <right style="thin">
        <color rgb="FFED8B5D"/>
      </right>
      <bottom style="thin">
        <color rgb="FFED8B5D"/>
      </bottom>
    </border>
    <border>
      <left style="thin">
        <color rgb="FFED8B5D"/>
      </left>
      <right style="thin">
        <color rgb="FFED8B5D"/>
      </right>
      <top style="thin">
        <color rgb="FFED8B5D"/>
      </top>
    </border>
    <border>
      <left style="thin">
        <color rgb="FFED8B5D"/>
      </left>
      <right style="thin">
        <color rgb="FFED8B5D"/>
      </right>
      <bottom style="thin">
        <color rgb="FFED8B5D"/>
      </bottom>
    </border>
    <border>
      <left style="thin">
        <color rgb="FFA94338"/>
      </left>
      <right style="thin">
        <color rgb="FFA94338"/>
      </right>
      <top style="thin">
        <color rgb="FFA94338"/>
      </top>
      <bottom style="thin">
        <color rgb="FFA94338"/>
      </bottom>
    </border>
    <border>
      <left style="thin">
        <color rgb="FFA94338"/>
      </left>
      <top style="thin">
        <color rgb="FFA94338"/>
      </top>
    </border>
    <border>
      <top style="thin">
        <color rgb="FFA94338"/>
      </top>
    </border>
    <border>
      <right style="thin">
        <color rgb="FFA94338"/>
      </right>
      <top style="thin">
        <color rgb="FFA94338"/>
      </top>
    </border>
    <border>
      <left style="thin">
        <color rgb="FFA94338"/>
      </left>
    </border>
    <border>
      <right style="thin">
        <color rgb="FFA94338"/>
      </right>
    </border>
    <border>
      <left style="thin">
        <color rgb="FFA94338"/>
      </left>
      <bottom style="thin">
        <color rgb="FFA94338"/>
      </bottom>
    </border>
    <border>
      <bottom style="thin">
        <color rgb="FFA94338"/>
      </bottom>
    </border>
    <border>
      <right style="thin">
        <color rgb="FFA94338"/>
      </right>
      <bottom style="thin">
        <color rgb="FFA94338"/>
      </bottom>
    </border>
    <border>
      <left style="thin">
        <color rgb="FFA94338"/>
      </left>
      <right style="thin">
        <color rgb="FFA94338"/>
      </right>
      <top style="thin">
        <color rgb="FFA94338"/>
      </top>
    </border>
    <border>
      <left style="thin">
        <color rgb="FFA94338"/>
      </left>
      <right style="thin">
        <color rgb="FFA94338"/>
      </right>
      <bottom style="thin">
        <color rgb="FFA94338"/>
      </bottom>
    </border>
    <border>
      <left style="thin">
        <color rgb="FFEDD261"/>
      </left>
      <right style="thin">
        <color rgb="FFEDD261"/>
      </right>
      <top style="thin">
        <color rgb="FFEDD261"/>
      </top>
      <bottom style="thin">
        <color rgb="FFEDD261"/>
      </bottom>
    </border>
    <border>
      <left style="thin">
        <color rgb="FFEDD261"/>
      </left>
      <top style="thin">
        <color rgb="FFEDD261"/>
      </top>
    </border>
    <border>
      <top style="thin">
        <color rgb="FFEDD261"/>
      </top>
    </border>
    <border>
      <right style="thin">
        <color rgb="FFEDD261"/>
      </right>
      <top style="thin">
        <color rgb="FFEDD261"/>
      </top>
    </border>
    <border>
      <left style="thin">
        <color rgb="FFEDD261"/>
      </left>
    </border>
    <border>
      <right style="thin">
        <color rgb="FFEDD261"/>
      </right>
    </border>
    <border>
      <left style="thin">
        <color rgb="FFEDD261"/>
      </left>
      <bottom style="thin">
        <color rgb="FFEDD261"/>
      </bottom>
    </border>
    <border>
      <bottom style="thin">
        <color rgb="FFEDD261"/>
      </bottom>
    </border>
    <border>
      <right style="thin">
        <color rgb="FFEDD261"/>
      </right>
      <bottom style="thin">
        <color rgb="FFEDD261"/>
      </bottom>
    </border>
    <border>
      <left style="thin">
        <color rgb="FFEDD261"/>
      </left>
      <right style="thin">
        <color rgb="FFEDD261"/>
      </right>
      <top style="thin">
        <color rgb="FFEDD261"/>
      </top>
    </border>
    <border>
      <left style="thin">
        <color rgb="FFEDD261"/>
      </left>
      <right style="thin">
        <color rgb="FFEDD261"/>
      </right>
      <bottom style="thin">
        <color rgb="FFEDD261"/>
      </bottom>
    </border>
    <border>
      <left style="thin">
        <color rgb="FF5764DB"/>
      </left>
      <right style="thin">
        <color rgb="FF5764DB"/>
      </right>
      <top style="thin">
        <color rgb="FF5764DB"/>
      </top>
      <bottom style="thin">
        <color rgb="FF5764DB"/>
      </bottom>
    </border>
    <border>
      <left style="thin">
        <color rgb="FF5764DB"/>
      </left>
      <top style="thin">
        <color rgb="FF5764DB"/>
      </top>
    </border>
    <border>
      <top style="thin">
        <color rgb="FF5764DB"/>
      </top>
    </border>
    <border>
      <right style="thin">
        <color rgb="FF5764DB"/>
      </right>
      <top style="thin">
        <color rgb="FF5764DB"/>
      </top>
    </border>
    <border>
      <left style="thin">
        <color rgb="FF5764DB"/>
      </left>
    </border>
    <border>
      <right style="thin">
        <color rgb="FF5764DB"/>
      </right>
    </border>
    <border>
      <left style="thin">
        <color rgb="FF5764DB"/>
      </left>
      <bottom style="thin">
        <color rgb="FF5764DB"/>
      </bottom>
    </border>
    <border>
      <bottom style="thin">
        <color rgb="FF5764DB"/>
      </bottom>
    </border>
    <border>
      <right style="thin">
        <color rgb="FF5764DB"/>
      </right>
      <bottom style="thin">
        <color rgb="FF5764DB"/>
      </bottom>
    </border>
    <border>
      <left style="thin">
        <color rgb="FF5764DB"/>
      </left>
      <right style="thin">
        <color rgb="FF5764DB"/>
      </right>
      <top style="thin">
        <color rgb="FF5764DB"/>
      </top>
    </border>
    <border>
      <left style="thin">
        <color rgb="FF5764DB"/>
      </left>
      <right style="thin">
        <color rgb="FF5764DB"/>
      </right>
      <bottom style="thin">
        <color rgb="FF5764DB"/>
      </bottom>
    </border>
    <border>
      <left style="thin">
        <color rgb="FFEAEA68"/>
      </left>
      <right style="thin">
        <color rgb="FFEAEA68"/>
      </right>
      <top style="thin">
        <color rgb="FFEAEA68"/>
      </top>
      <bottom style="thin">
        <color rgb="FFEAEA68"/>
      </bottom>
    </border>
    <border>
      <left style="thin">
        <color rgb="FFEAEA68"/>
      </left>
      <top style="thin">
        <color rgb="FFEAEA68"/>
      </top>
    </border>
    <border>
      <top style="thin">
        <color rgb="FFEAEA68"/>
      </top>
    </border>
    <border>
      <right style="thin">
        <color rgb="FFEAEA68"/>
      </right>
      <top style="thin">
        <color rgb="FFEAEA68"/>
      </top>
    </border>
    <border>
      <left style="thin">
        <color rgb="FFEAEA68"/>
      </left>
    </border>
    <border>
      <right style="thin">
        <color rgb="FFEAEA68"/>
      </right>
    </border>
    <border>
      <left style="thin">
        <color rgb="FFEAEA68"/>
      </left>
      <bottom style="thin">
        <color rgb="FFEAEA68"/>
      </bottom>
    </border>
    <border>
      <bottom style="thin">
        <color rgb="FFEAEA68"/>
      </bottom>
    </border>
    <border>
      <right style="thin">
        <color rgb="FFEAEA68"/>
      </right>
      <bottom style="thin">
        <color rgb="FFEAEA68"/>
      </bottom>
    </border>
    <border>
      <left style="thin">
        <color rgb="FFEAEA68"/>
      </left>
      <right style="thin">
        <color rgb="FFEAEA68"/>
      </right>
      <top style="thin">
        <color rgb="FFEAEA68"/>
      </top>
    </border>
    <border>
      <left style="thin">
        <color rgb="FFEAEA68"/>
      </left>
      <right style="thin">
        <color rgb="FFEAEA68"/>
      </right>
      <bottom style="thin">
        <color rgb="FFEAEA68"/>
      </bottom>
    </border>
    <border>
      <left style="thin">
        <color rgb="FFCCEFB0"/>
      </left>
      <right style="thin">
        <color rgb="FFCCEFB0"/>
      </right>
      <top style="thin">
        <color rgb="FFCCEFB0"/>
      </top>
      <bottom style="thin">
        <color rgb="FFCCEFB0"/>
      </bottom>
    </border>
    <border>
      <left style="thin">
        <color rgb="FFCCEFB0"/>
      </left>
      <top style="thin">
        <color rgb="FFCCEFB0"/>
      </top>
    </border>
    <border>
      <top style="thin">
        <color rgb="FFCCEFB0"/>
      </top>
    </border>
    <border>
      <right style="thin">
        <color rgb="FFCCEFB0"/>
      </right>
      <top style="thin">
        <color rgb="FFCCEFB0"/>
      </top>
    </border>
    <border>
      <left style="thin">
        <color rgb="FFCCEFB0"/>
      </left>
    </border>
    <border>
      <right style="thin">
        <color rgb="FFCCEFB0"/>
      </right>
    </border>
    <border>
      <left style="thin">
        <color rgb="FFCCEFB0"/>
      </left>
      <bottom style="thin">
        <color rgb="FFCCEFB0"/>
      </bottom>
    </border>
    <border>
      <bottom style="thin">
        <color rgb="FFCCEFB0"/>
      </bottom>
    </border>
    <border>
      <right style="thin">
        <color rgb="FFCCEFB0"/>
      </right>
      <bottom style="thin">
        <color rgb="FFCCEFB0"/>
      </bottom>
    </border>
    <border>
      <left style="thin">
        <color rgb="FFCCEFB0"/>
      </left>
      <right style="thin">
        <color rgb="FFCCEFB0"/>
      </right>
      <top style="thin">
        <color rgb="FFCCEFB0"/>
      </top>
    </border>
    <border>
      <left style="thin">
        <color rgb="FFCCEFB0"/>
      </left>
      <right style="thin">
        <color rgb="FFCCEFB0"/>
      </right>
      <bottom style="thin">
        <color rgb="FFCCEFB0"/>
      </bottom>
    </border>
    <border>
      <left style="thin">
        <color rgb="FF5885C0"/>
      </left>
      <right style="thin">
        <color rgb="FF5885C0"/>
      </right>
      <top style="thin">
        <color rgb="FF5885C0"/>
      </top>
      <bottom style="thin">
        <color rgb="FF5885C0"/>
      </bottom>
    </border>
    <border>
      <left style="thin">
        <color rgb="FF5885C0"/>
      </left>
      <top style="thin">
        <color rgb="FF5885C0"/>
      </top>
    </border>
    <border>
      <top style="thin">
        <color rgb="FF5885C0"/>
      </top>
    </border>
    <border>
      <right style="thin">
        <color rgb="FF5885C0"/>
      </right>
      <top style="thin">
        <color rgb="FF5885C0"/>
      </top>
    </border>
    <border>
      <left style="thin">
        <color rgb="FF5885C0"/>
      </left>
    </border>
    <border>
      <right style="thin">
        <color rgb="FF5885C0"/>
      </right>
    </border>
    <border>
      <left style="thin">
        <color rgb="FF5885C0"/>
      </left>
      <bottom style="thin">
        <color rgb="FF5885C0"/>
      </bottom>
    </border>
    <border>
      <bottom style="thin">
        <color rgb="FF5885C0"/>
      </bottom>
    </border>
    <border>
      <right style="thin">
        <color rgb="FF5885C0"/>
      </right>
      <bottom style="thin">
        <color rgb="FF5885C0"/>
      </bottom>
    </border>
    <border>
      <left style="thin">
        <color rgb="FF5885C0"/>
      </left>
      <right style="thin">
        <color rgb="FF5885C0"/>
      </right>
      <top style="thin">
        <color rgb="FF5885C0"/>
      </top>
    </border>
    <border>
      <left style="thin">
        <color rgb="FF5885C0"/>
      </left>
      <right style="thin">
        <color rgb="FF5885C0"/>
      </right>
      <bottom style="thin">
        <color rgb="FF5885C0"/>
      </bottom>
    </border>
    <border>
      <left style="thin">
        <color rgb="FFB2B8BD"/>
      </left>
      <right style="thin">
        <color rgb="FFB2B8BD"/>
      </right>
      <top style="thin">
        <color rgb="FFB2B8BD"/>
      </top>
      <bottom style="thin">
        <color rgb="FFB2B8BD"/>
      </bottom>
    </border>
    <border>
      <left style="thin">
        <color rgb="FFB2B8BD"/>
      </left>
      <top style="thin">
        <color rgb="FFB2B8BD"/>
      </top>
    </border>
    <border>
      <top style="thin">
        <color rgb="FFB2B8BD"/>
      </top>
    </border>
    <border>
      <right style="thin">
        <color rgb="FFB2B8BD"/>
      </right>
      <top style="thin">
        <color rgb="FFB2B8BD"/>
      </top>
    </border>
    <border>
      <left style="thin">
        <color rgb="FFB2B8BD"/>
      </left>
    </border>
    <border>
      <right style="thin">
        <color rgb="FFB2B8BD"/>
      </right>
    </border>
    <border>
      <left style="thin">
        <color rgb="FFB2B8BD"/>
      </left>
      <bottom style="thin">
        <color rgb="FFB2B8BD"/>
      </bottom>
    </border>
    <border>
      <bottom style="thin">
        <color rgb="FFB2B8BD"/>
      </bottom>
    </border>
    <border>
      <right style="thin">
        <color rgb="FFB2B8BD"/>
      </right>
      <bottom style="thin">
        <color rgb="FFB2B8BD"/>
      </bottom>
    </border>
    <border>
      <left style="thin">
        <color rgb="FFB2B8BD"/>
      </left>
      <right style="thin">
        <color rgb="FFB2B8BD"/>
      </right>
      <top style="thin">
        <color rgb="FFB2B8BD"/>
      </top>
    </border>
    <border>
      <left style="thin">
        <color rgb="FFB2B8BD"/>
      </left>
      <right style="thin">
        <color rgb="FFB2B8BD"/>
      </right>
      <bottom style="thin">
        <color rgb="FFB2B8BD"/>
      </bottom>
    </border>
    <border>
      <left style="thin">
        <color rgb="FF8CE689"/>
      </left>
      <right style="thin">
        <color rgb="FF8CE689"/>
      </right>
      <top style="thin">
        <color rgb="FF8CE689"/>
      </top>
      <bottom style="thin">
        <color rgb="FF8CE689"/>
      </bottom>
    </border>
    <border>
      <left style="thin">
        <color rgb="FF8CE689"/>
      </left>
      <top style="thin">
        <color rgb="FF8CE689"/>
      </top>
    </border>
    <border>
      <top style="thin">
        <color rgb="FF8CE689"/>
      </top>
    </border>
    <border>
      <right style="thin">
        <color rgb="FF8CE689"/>
      </right>
      <top style="thin">
        <color rgb="FF8CE689"/>
      </top>
    </border>
    <border>
      <left style="thin">
        <color rgb="FF8CE689"/>
      </left>
    </border>
    <border>
      <right style="thin">
        <color rgb="FF8CE689"/>
      </right>
    </border>
    <border>
      <left style="thin">
        <color rgb="FF8CE689"/>
      </left>
      <bottom style="thin">
        <color rgb="FF8CE689"/>
      </bottom>
    </border>
    <border>
      <bottom style="thin">
        <color rgb="FF8CE689"/>
      </bottom>
    </border>
    <border>
      <right style="thin">
        <color rgb="FF8CE689"/>
      </right>
      <bottom style="thin">
        <color rgb="FF8CE689"/>
      </bottom>
    </border>
    <border>
      <left style="thin">
        <color rgb="FF8CE689"/>
      </left>
      <right style="thin">
        <color rgb="FF8CE689"/>
      </right>
      <top style="thin">
        <color rgb="FF8CE689"/>
      </top>
    </border>
    <border>
      <left style="thin">
        <color rgb="FF8CE689"/>
      </left>
      <right style="thin">
        <color rgb="FF8CE689"/>
      </right>
      <bottom style="thin">
        <color rgb="FF8CE689"/>
      </bottom>
    </border>
    <border>
      <left style="thin">
        <color rgb="FF8CE689"/>
      </left>
      <right style="thin">
        <color rgb="FF8CE689"/>
      </right>
    </border>
    <border>
      <left style="thin">
        <color rgb="FF757575"/>
      </left>
      <right style="thin">
        <color rgb="FF757575"/>
      </right>
      <top style="thin">
        <color rgb="FF757575"/>
      </top>
      <bottom style="thin">
        <color rgb="FF757575"/>
      </bottom>
    </border>
    <border>
      <left style="thin">
        <color rgb="FF757575"/>
      </left>
      <top style="thin">
        <color rgb="FF757575"/>
      </top>
    </border>
    <border>
      <top style="thin">
        <color rgb="FF757575"/>
      </top>
    </border>
    <border>
      <right style="thin">
        <color rgb="FF757575"/>
      </right>
      <top style="thin">
        <color rgb="FF757575"/>
      </top>
    </border>
    <border>
      <left style="thin">
        <color rgb="FF757575"/>
      </left>
    </border>
    <border>
      <right style="thin">
        <color rgb="FF757575"/>
      </right>
    </border>
    <border>
      <left style="thin">
        <color rgb="FF757575"/>
      </left>
      <bottom style="thin">
        <color rgb="FF757575"/>
      </bottom>
    </border>
    <border>
      <bottom style="thin">
        <color rgb="FF757575"/>
      </bottom>
    </border>
    <border>
      <right style="thin">
        <color rgb="FF757575"/>
      </right>
      <bottom style="thin">
        <color rgb="FF757575"/>
      </bottom>
    </border>
    <border>
      <left style="thin">
        <color rgb="FF757575"/>
      </left>
      <right style="thin">
        <color rgb="FF757575"/>
      </right>
      <top style="thin">
        <color rgb="FF757575"/>
      </top>
    </border>
    <border>
      <left style="thin">
        <color rgb="FF757575"/>
      </left>
      <right style="thin">
        <color rgb="FF757575"/>
      </right>
      <bottom style="thin">
        <color rgb="FF757575"/>
      </bottom>
    </border>
    <border>
      <left style="thin">
        <color rgb="FF24AA72"/>
      </left>
      <right style="thin">
        <color rgb="FF24AA72"/>
      </right>
      <top style="thin">
        <color rgb="FF24AA72"/>
      </top>
      <bottom style="thin">
        <color rgb="FF24AA72"/>
      </bottom>
    </border>
    <border>
      <left style="thin">
        <color rgb="FF24AA72"/>
      </left>
      <top style="thin">
        <color rgb="FF24AA72"/>
      </top>
    </border>
    <border>
      <top style="thin">
        <color rgb="FF24AA72"/>
      </top>
    </border>
    <border>
      <right style="thin">
        <color rgb="FF24AA72"/>
      </right>
      <top style="thin">
        <color rgb="FF24AA72"/>
      </top>
    </border>
    <border>
      <left style="thin">
        <color rgb="FF24AA72"/>
      </left>
    </border>
    <border>
      <right style="thin">
        <color rgb="FF24AA72"/>
      </right>
    </border>
    <border>
      <left style="thin">
        <color rgb="FF24AA72"/>
      </left>
      <bottom style="thin">
        <color rgb="FF24AA72"/>
      </bottom>
    </border>
    <border>
      <bottom style="thin">
        <color rgb="FF24AA72"/>
      </bottom>
    </border>
    <border>
      <right style="thin">
        <color rgb="FF24AA72"/>
      </right>
      <bottom style="thin">
        <color rgb="FF24AA72"/>
      </bottom>
    </border>
    <border>
      <left style="thin">
        <color rgb="FF24AA72"/>
      </left>
      <right style="thin">
        <color rgb="FF24AA72"/>
      </right>
      <top style="thin">
        <color rgb="FF24AA72"/>
      </top>
    </border>
    <border>
      <left style="thin">
        <color rgb="FF24AA72"/>
      </left>
      <right style="thin">
        <color rgb="FF24AA72"/>
      </right>
      <bottom style="thin">
        <color rgb="FF24AA72"/>
      </bottom>
    </border>
    <border>
      <left style="thin">
        <color rgb="FF4E77DB"/>
      </left>
      <right style="thin">
        <color rgb="FF4E77DB"/>
      </right>
      <top style="thin">
        <color rgb="FF4E77DB"/>
      </top>
      <bottom style="thin">
        <color rgb="FF4E77DB"/>
      </bottom>
    </border>
    <border>
      <left style="thin">
        <color rgb="FF4E77DB"/>
      </left>
      <top style="thin">
        <color rgb="FF4E77DB"/>
      </top>
    </border>
    <border>
      <top style="thin">
        <color rgb="FF4E77DB"/>
      </top>
    </border>
    <border>
      <right style="thin">
        <color rgb="FF4E77DB"/>
      </right>
      <top style="thin">
        <color rgb="FF4E77DB"/>
      </top>
    </border>
    <border>
      <left style="thin">
        <color rgb="FF4E77DB"/>
      </left>
    </border>
    <border>
      <right style="thin">
        <color rgb="FF4E77DB"/>
      </right>
    </border>
    <border>
      <left style="thin">
        <color rgb="FF4E77DB"/>
      </left>
      <bottom style="thin">
        <color rgb="FF4E77DB"/>
      </bottom>
    </border>
    <border>
      <bottom style="thin">
        <color rgb="FF4E77DB"/>
      </bottom>
    </border>
    <border>
      <right style="thin">
        <color rgb="FF4E77DB"/>
      </right>
      <bottom style="thin">
        <color rgb="FF4E77DB"/>
      </bottom>
    </border>
    <border>
      <left style="thin">
        <color rgb="FF4E77DB"/>
      </left>
      <right style="thin">
        <color rgb="FF4E77DB"/>
      </right>
      <top style="thin">
        <color rgb="FF4E77DB"/>
      </top>
    </border>
    <border>
      <left style="thin">
        <color rgb="FF4E77DB"/>
      </left>
      <right style="thin">
        <color rgb="FF4E77DB"/>
      </right>
      <bottom style="thin">
        <color rgb="FF4E77DB"/>
      </bottom>
    </border>
    <border>
      <left style="thin">
        <color rgb="FFE1E0DC"/>
      </left>
      <right style="thin">
        <color rgb="FFE1E0DC"/>
      </right>
      <top style="thin">
        <color rgb="FFE1E0DC"/>
      </top>
      <bottom style="thin">
        <color rgb="FFE1E0DC"/>
      </bottom>
    </border>
    <border>
      <left style="thin">
        <color rgb="FFE1E0DC"/>
      </left>
      <top style="thin">
        <color rgb="FFE1E0DC"/>
      </top>
    </border>
    <border>
      <top style="thin">
        <color rgb="FFE1E0DC"/>
      </top>
    </border>
    <border>
      <right style="thin">
        <color rgb="FFE1E0DC"/>
      </right>
      <top style="thin">
        <color rgb="FFE1E0DC"/>
      </top>
    </border>
    <border>
      <left style="thin">
        <color rgb="FFE1E0DC"/>
      </left>
    </border>
    <border>
      <right style="thin">
        <color rgb="FFE1E0DC"/>
      </right>
    </border>
    <border>
      <left style="thin">
        <color rgb="FFE1E0DC"/>
      </left>
      <bottom style="thin">
        <color rgb="FFE1E0DC"/>
      </bottom>
    </border>
    <border>
      <bottom style="thin">
        <color rgb="FFE1E0DC"/>
      </bottom>
    </border>
    <border>
      <right style="thin">
        <color rgb="FFE1E0DC"/>
      </right>
      <bottom style="thin">
        <color rgb="FFE1E0DC"/>
      </bottom>
    </border>
    <border>
      <left style="thin">
        <color rgb="FFE1E0DC"/>
      </left>
      <right style="thin">
        <color rgb="FFE1E0DC"/>
      </right>
      <top style="thin">
        <color rgb="FFE1E0DC"/>
      </top>
    </border>
    <border>
      <left style="thin">
        <color rgb="FFE1E0DC"/>
      </left>
      <right style="thin">
        <color rgb="FFE1E0DC"/>
      </right>
      <bottom style="thin">
        <color rgb="FFE1E0DC"/>
      </bottom>
    </border>
    <border>
      <left style="thin">
        <color rgb="FF86DED1"/>
      </left>
      <right style="thin">
        <color rgb="FF86DED1"/>
      </right>
      <top style="thin">
        <color rgb="FF86DED1"/>
      </top>
      <bottom style="thin">
        <color rgb="FF86DED1"/>
      </bottom>
    </border>
    <border>
      <left style="thin">
        <color rgb="FF86DED1"/>
      </left>
      <top style="thin">
        <color rgb="FF86DED1"/>
      </top>
    </border>
    <border>
      <top style="thin">
        <color rgb="FF86DED1"/>
      </top>
    </border>
    <border>
      <right style="thin">
        <color rgb="FF86DED1"/>
      </right>
      <top style="thin">
        <color rgb="FF86DED1"/>
      </top>
    </border>
    <border>
      <left style="thin">
        <color rgb="FF86DED1"/>
      </left>
    </border>
    <border>
      <right style="thin">
        <color rgb="FF86DED1"/>
      </right>
    </border>
    <border>
      <left style="thin">
        <color rgb="FF86DED1"/>
      </left>
      <bottom style="thin">
        <color rgb="FF86DED1"/>
      </bottom>
    </border>
    <border>
      <bottom style="thin">
        <color rgb="FF86DED1"/>
      </bottom>
    </border>
    <border>
      <right style="thin">
        <color rgb="FF86DED1"/>
      </right>
      <bottom style="thin">
        <color rgb="FF86DED1"/>
      </bottom>
    </border>
    <border>
      <left style="thin">
        <color rgb="FF86DED1"/>
      </left>
      <right style="thin">
        <color rgb="FF86DED1"/>
      </right>
      <top style="thin">
        <color rgb="FF86DED1"/>
      </top>
    </border>
    <border>
      <left style="thin">
        <color rgb="FF86DED1"/>
      </left>
      <right style="thin">
        <color rgb="FF86DED1"/>
      </right>
      <bottom style="thin">
        <color rgb="FF86DED1"/>
      </bottom>
    </border>
    <border>
      <left style="thin">
        <color rgb="FF5D8F72"/>
      </left>
      <right style="thin">
        <color rgb="FF5D8F72"/>
      </right>
      <top style="thin">
        <color rgb="FF5D8F72"/>
      </top>
      <bottom style="thin">
        <color rgb="FF5D8F72"/>
      </bottom>
    </border>
    <border>
      <left style="thin">
        <color rgb="FF5D8F72"/>
      </left>
      <top style="thin">
        <color rgb="FF5D8F72"/>
      </top>
    </border>
    <border>
      <top style="thin">
        <color rgb="FF5D8F72"/>
      </top>
    </border>
    <border>
      <right style="thin">
        <color rgb="FF5D8F72"/>
      </right>
      <top style="thin">
        <color rgb="FF5D8F72"/>
      </top>
    </border>
    <border>
      <left style="thin">
        <color rgb="FF5D8F72"/>
      </left>
    </border>
    <border>
      <right style="thin">
        <color rgb="FF5D8F72"/>
      </right>
    </border>
    <border>
      <left style="thin">
        <color rgb="FF5D8F72"/>
      </left>
      <bottom style="thin">
        <color rgb="FF5D8F72"/>
      </bottom>
    </border>
    <border>
      <bottom style="thin">
        <color rgb="FF5D8F72"/>
      </bottom>
    </border>
    <border>
      <right style="thin">
        <color rgb="FF5D8F72"/>
      </right>
      <bottom style="thin">
        <color rgb="FF5D8F72"/>
      </bottom>
    </border>
    <border>
      <left style="thin">
        <color rgb="FF5D8F72"/>
      </left>
      <right style="thin">
        <color rgb="FF5D8F72"/>
      </right>
      <top style="thin">
        <color rgb="FF5D8F72"/>
      </top>
    </border>
    <border>
      <left style="thin">
        <color rgb="FF5D8F72"/>
      </left>
      <right style="thin">
        <color rgb="FF5D8F72"/>
      </right>
      <bottom style="thin">
        <color rgb="FF5D8F72"/>
      </bottom>
    </border>
    <border>
      <left style="thin">
        <color rgb="FF1A1E54"/>
      </left>
      <right style="thin">
        <color rgb="FF1A1E54"/>
      </right>
      <top style="thin">
        <color rgb="FF1A1E54"/>
      </top>
      <bottom style="thin">
        <color rgb="FF1A1E54"/>
      </bottom>
    </border>
    <border>
      <left style="thin">
        <color rgb="FF1A1E54"/>
      </left>
      <top style="thin">
        <color rgb="FF1A1E54"/>
      </top>
    </border>
    <border>
      <top style="thin">
        <color rgb="FF1A1E54"/>
      </top>
    </border>
    <border>
      <right style="thin">
        <color rgb="FF1A1E54"/>
      </right>
      <top style="thin">
        <color rgb="FF1A1E54"/>
      </top>
    </border>
    <border>
      <left style="thin">
        <color rgb="FF1A1E54"/>
      </left>
    </border>
    <border>
      <right style="thin">
        <color rgb="FF1A1E54"/>
      </right>
    </border>
    <border>
      <left style="thin">
        <color rgb="FF1A1E54"/>
      </left>
      <bottom style="thin">
        <color rgb="FF1A1E54"/>
      </bottom>
    </border>
    <border>
      <bottom style="thin">
        <color rgb="FF1A1E54"/>
      </bottom>
    </border>
    <border>
      <right style="thin">
        <color rgb="FF1A1E54"/>
      </right>
      <bottom style="thin">
        <color rgb="FF1A1E54"/>
      </bottom>
    </border>
    <border>
      <left style="thin">
        <color rgb="FF1A1E54"/>
      </left>
      <right style="thin">
        <color rgb="FF1A1E54"/>
      </right>
      <top style="thin">
        <color rgb="FF1A1E54"/>
      </top>
    </border>
    <border>
      <left style="thin">
        <color rgb="FF1A1E54"/>
      </left>
      <right style="thin">
        <color rgb="FF1A1E54"/>
      </right>
      <bottom style="thin">
        <color rgb="FF1A1E54"/>
      </bottom>
    </border>
    <border>
      <left style="thin">
        <color rgb="FFCC4242"/>
      </left>
      <right style="thin">
        <color rgb="FFCC4242"/>
      </right>
      <top style="thin">
        <color rgb="FFCC4242"/>
      </top>
      <bottom style="thin">
        <color rgb="FFCC4242"/>
      </bottom>
    </border>
    <border>
      <left style="thin">
        <color rgb="FFCC4242"/>
      </left>
      <top style="thin">
        <color rgb="FFCC4242"/>
      </top>
    </border>
    <border>
      <top style="thin">
        <color rgb="FFCC4242"/>
      </top>
    </border>
    <border>
      <right style="thin">
        <color rgb="FFCC4242"/>
      </right>
      <top style="thin">
        <color rgb="FFCC4242"/>
      </top>
    </border>
    <border>
      <left style="thin">
        <color rgb="FFCC4242"/>
      </left>
    </border>
    <border>
      <right style="thin">
        <color rgb="FFCC4242"/>
      </right>
    </border>
    <border>
      <left style="thin">
        <color rgb="FFCC4242"/>
      </left>
      <bottom style="thin">
        <color rgb="FFCC4242"/>
      </bottom>
    </border>
    <border>
      <bottom style="thin">
        <color rgb="FFCC4242"/>
      </bottom>
    </border>
    <border>
      <right style="thin">
        <color rgb="FFCC4242"/>
      </right>
      <bottom style="thin">
        <color rgb="FFCC4242"/>
      </bottom>
    </border>
    <border>
      <left style="thin">
        <color rgb="FFCC4242"/>
      </left>
      <right style="thin">
        <color rgb="FFCC4242"/>
      </right>
      <top style="thin">
        <color rgb="FFCC4242"/>
      </top>
    </border>
    <border>
      <left style="thin">
        <color rgb="FFCC4242"/>
      </left>
      <right style="thin">
        <color rgb="FFCC4242"/>
      </right>
      <bottom style="thin">
        <color rgb="FFCC4242"/>
      </bottom>
    </border>
    <border>
      <left style="thin">
        <color rgb="FF5D6FC4"/>
      </left>
      <right style="thin">
        <color rgb="FF5D6FC4"/>
      </right>
      <top style="thin">
        <color rgb="FF5D6FC4"/>
      </top>
      <bottom style="thin">
        <color rgb="FF5D6FC4"/>
      </bottom>
    </border>
    <border>
      <left style="thin">
        <color rgb="FF5D6FC4"/>
      </left>
      <top style="thin">
        <color rgb="FF5D6FC4"/>
      </top>
    </border>
    <border>
      <top style="thin">
        <color rgb="FF5D6FC4"/>
      </top>
    </border>
    <border>
      <right style="thin">
        <color rgb="FF5D6FC4"/>
      </right>
      <top style="thin">
        <color rgb="FF5D6FC4"/>
      </top>
    </border>
    <border>
      <left style="thin">
        <color rgb="FF5D6FC4"/>
      </left>
    </border>
    <border>
      <right style="thin">
        <color rgb="FF5D6FC4"/>
      </right>
    </border>
    <border>
      <left style="thin">
        <color rgb="FF5D6FC4"/>
      </left>
      <bottom style="thin">
        <color rgb="FF5D6FC4"/>
      </bottom>
    </border>
    <border>
      <bottom style="thin">
        <color rgb="FF5D6FC4"/>
      </bottom>
    </border>
    <border>
      <right style="thin">
        <color rgb="FF5D6FC4"/>
      </right>
      <bottom style="thin">
        <color rgb="FF5D6FC4"/>
      </bottom>
    </border>
    <border>
      <left style="thin">
        <color rgb="FF5D6FC4"/>
      </left>
      <right style="thin">
        <color rgb="FF5D6FC4"/>
      </right>
      <top style="thin">
        <color rgb="FF5D6FC4"/>
      </top>
    </border>
    <border>
      <left style="thin">
        <color rgb="FF5D6FC4"/>
      </left>
      <right style="thin">
        <color rgb="FF5D6FC4"/>
      </right>
      <bottom style="thin">
        <color rgb="FF5D6FC4"/>
      </bottom>
    </border>
    <border>
      <left style="thin">
        <color rgb="FFEBB253"/>
      </left>
      <right style="thin">
        <color rgb="FFEBB253"/>
      </right>
      <top style="thin">
        <color rgb="FFEBB253"/>
      </top>
      <bottom style="thin">
        <color rgb="FFEBB253"/>
      </bottom>
    </border>
    <border>
      <left style="thin">
        <color rgb="FFEBB253"/>
      </left>
      <top style="thin">
        <color rgb="FFEBB253"/>
      </top>
    </border>
    <border>
      <top style="thin">
        <color rgb="FFEBB253"/>
      </top>
    </border>
    <border>
      <right style="thin">
        <color rgb="FFEBB253"/>
      </right>
      <top style="thin">
        <color rgb="FFEBB253"/>
      </top>
    </border>
    <border>
      <left style="thin">
        <color rgb="FFEBB253"/>
      </left>
    </border>
    <border>
      <right style="thin">
        <color rgb="FFEBB253"/>
      </right>
    </border>
    <border>
      <left style="thin">
        <color rgb="FFEBB253"/>
      </left>
      <bottom style="thin">
        <color rgb="FFEBB253"/>
      </bottom>
    </border>
    <border>
      <bottom style="thin">
        <color rgb="FFEBB253"/>
      </bottom>
    </border>
    <border>
      <right style="thin">
        <color rgb="FFEBB253"/>
      </right>
      <bottom style="thin">
        <color rgb="FFEBB253"/>
      </bottom>
    </border>
    <border>
      <left style="thin">
        <color rgb="FFEBB253"/>
      </left>
      <right style="thin">
        <color rgb="FFEBB253"/>
      </right>
      <top style="thin">
        <color rgb="FFEBB253"/>
      </top>
    </border>
    <border>
      <left style="thin">
        <color rgb="FFEBB253"/>
      </left>
      <right style="thin">
        <color rgb="FFEBB253"/>
      </right>
      <bottom style="thin">
        <color rgb="FFEBB253"/>
      </bottom>
    </border>
    <border>
      <left style="thin">
        <color rgb="FF91E5C1"/>
      </left>
      <right style="thin">
        <color rgb="FF91E5C1"/>
      </right>
      <top style="thin">
        <color rgb="FF91E5C1"/>
      </top>
      <bottom style="thin">
        <color rgb="FF91E5C1"/>
      </bottom>
    </border>
    <border>
      <left style="thin">
        <color rgb="FF91E5C1"/>
      </left>
      <top style="thin">
        <color rgb="FF91E5C1"/>
      </top>
    </border>
    <border>
      <top style="thin">
        <color rgb="FF91E5C1"/>
      </top>
    </border>
    <border>
      <right style="thin">
        <color rgb="FF91E5C1"/>
      </right>
      <top style="thin">
        <color rgb="FF91E5C1"/>
      </top>
    </border>
    <border>
      <left style="thin">
        <color rgb="FF91E5C1"/>
      </left>
    </border>
    <border>
      <right style="thin">
        <color rgb="FF91E5C1"/>
      </right>
    </border>
    <border>
      <left style="thin">
        <color rgb="FF91E5C1"/>
      </left>
      <bottom style="thin">
        <color rgb="FF91E5C1"/>
      </bottom>
    </border>
    <border>
      <bottom style="thin">
        <color rgb="FF91E5C1"/>
      </bottom>
    </border>
    <border>
      <right style="thin">
        <color rgb="FF91E5C1"/>
      </right>
      <bottom style="thin">
        <color rgb="FF91E5C1"/>
      </bottom>
    </border>
    <border>
      <left style="thin">
        <color rgb="FF91E5C1"/>
      </left>
      <right style="thin">
        <color rgb="FF91E5C1"/>
      </right>
      <top style="thin">
        <color rgb="FF91E5C1"/>
      </top>
    </border>
    <border>
      <left style="thin">
        <color rgb="FF91E5C1"/>
      </left>
      <right style="thin">
        <color rgb="FF91E5C1"/>
      </right>
      <bottom style="thin">
        <color rgb="FF91E5C1"/>
      </bottom>
    </border>
    <border>
      <left style="thin">
        <color rgb="FFFBE36B"/>
      </left>
      <right style="thin">
        <color rgb="FFFBE36B"/>
      </right>
      <top style="thin">
        <color rgb="FFFBE36B"/>
      </top>
      <bottom style="thin">
        <color rgb="FFFBE36B"/>
      </bottom>
    </border>
    <border>
      <left style="thin">
        <color rgb="FFFBE36B"/>
      </left>
      <top style="thin">
        <color rgb="FFFBE36B"/>
      </top>
    </border>
    <border>
      <top style="thin">
        <color rgb="FFFBE36B"/>
      </top>
    </border>
    <border>
      <right style="thin">
        <color rgb="FFFBE36B"/>
      </right>
      <top style="thin">
        <color rgb="FFFBE36B"/>
      </top>
    </border>
    <border>
      <left style="thin">
        <color rgb="FFFBE36B"/>
      </left>
    </border>
    <border>
      <right style="thin">
        <color rgb="FFFBE36B"/>
      </right>
    </border>
    <border>
      <left style="thin">
        <color rgb="FFFBE36B"/>
      </left>
      <bottom style="thin">
        <color rgb="FFFBE36B"/>
      </bottom>
    </border>
    <border>
      <bottom style="thin">
        <color rgb="FFFBE36B"/>
      </bottom>
    </border>
    <border>
      <right style="thin">
        <color rgb="FFFBE36B"/>
      </right>
      <bottom style="thin">
        <color rgb="FFFBE36B"/>
      </bottom>
    </border>
    <border>
      <left style="thin">
        <color rgb="FFFBE36B"/>
      </left>
      <right style="thin">
        <color rgb="FFFBE36B"/>
      </right>
      <top style="thin">
        <color rgb="FFFBE36B"/>
      </top>
    </border>
    <border>
      <left style="thin">
        <color rgb="FFFBE36B"/>
      </left>
      <right style="thin">
        <color rgb="FFFBE36B"/>
      </right>
      <bottom style="thin">
        <color rgb="FFFBE36B"/>
      </bottom>
    </border>
    <border>
      <left style="thin">
        <color rgb="FF212227"/>
      </left>
      <right style="thin">
        <color rgb="FF212227"/>
      </right>
      <top style="thin">
        <color rgb="FF212227"/>
      </top>
      <bottom style="thin">
        <color rgb="FF212227"/>
      </bottom>
    </border>
    <border>
      <left style="thin">
        <color rgb="FF212227"/>
      </left>
      <top style="thin">
        <color rgb="FF212227"/>
      </top>
    </border>
    <border>
      <top style="thin">
        <color rgb="FF212227"/>
      </top>
    </border>
    <border>
      <right style="thin">
        <color rgb="FF212227"/>
      </right>
      <top style="thin">
        <color rgb="FF212227"/>
      </top>
    </border>
    <border>
      <left style="thin">
        <color rgb="FF212227"/>
      </left>
    </border>
    <border>
      <right style="thin">
        <color rgb="FF212227"/>
      </right>
    </border>
    <border>
      <left style="thin">
        <color rgb="FF212227"/>
      </left>
      <bottom style="thin">
        <color rgb="FF212227"/>
      </bottom>
    </border>
    <border>
      <bottom style="thin">
        <color rgb="FF212227"/>
      </bottom>
    </border>
    <border>
      <right style="thin">
        <color rgb="FF212227"/>
      </right>
      <bottom style="thin">
        <color rgb="FF212227"/>
      </bottom>
    </border>
    <border>
      <left style="thin">
        <color rgb="FF212227"/>
      </left>
      <right style="thin">
        <color rgb="FF212227"/>
      </right>
      <top style="thin">
        <color rgb="FF212227"/>
      </top>
    </border>
    <border>
      <left style="thin">
        <color rgb="FF212227"/>
      </left>
      <right style="thin">
        <color rgb="FF212227"/>
      </right>
      <bottom style="thin">
        <color rgb="FF212227"/>
      </bottom>
    </border>
    <border>
      <left style="thin">
        <color rgb="FFA02F3A"/>
      </left>
      <right style="thin">
        <color rgb="FFA02F3A"/>
      </right>
      <top style="thin">
        <color rgb="FFA02F3A"/>
      </top>
      <bottom style="thin">
        <color rgb="FFA02F3A"/>
      </bottom>
    </border>
    <border>
      <left style="thin">
        <color rgb="FFA02F3A"/>
      </left>
      <top style="thin">
        <color rgb="FFA02F3A"/>
      </top>
    </border>
    <border>
      <top style="thin">
        <color rgb="FFA02F3A"/>
      </top>
    </border>
    <border>
      <right style="thin">
        <color rgb="FFA02F3A"/>
      </right>
      <top style="thin">
        <color rgb="FFA02F3A"/>
      </top>
    </border>
    <border>
      <left style="thin">
        <color rgb="FFA02F3A"/>
      </left>
    </border>
    <border>
      <right style="thin">
        <color rgb="FFA02F3A"/>
      </right>
    </border>
    <border>
      <left style="thin">
        <color rgb="FFA02F3A"/>
      </left>
      <bottom style="thin">
        <color rgb="FFA02F3A"/>
      </bottom>
    </border>
    <border>
      <bottom style="thin">
        <color rgb="FFA02F3A"/>
      </bottom>
    </border>
    <border>
      <right style="thin">
        <color rgb="FFA02F3A"/>
      </right>
      <bottom style="thin">
        <color rgb="FFA02F3A"/>
      </bottom>
    </border>
    <border>
      <left style="thin">
        <color rgb="FFA02F3A"/>
      </left>
      <right style="thin">
        <color rgb="FFA02F3A"/>
      </right>
      <top style="thin">
        <color rgb="FFA02F3A"/>
      </top>
    </border>
    <border>
      <left style="thin">
        <color rgb="FFA02F3A"/>
      </left>
      <right style="thin">
        <color rgb="FFA02F3A"/>
      </right>
      <bottom style="thin">
        <color rgb="FFA02F3A"/>
      </bottom>
    </border>
    <border>
      <left style="thin">
        <color rgb="FF59BF38"/>
      </left>
      <right style="thin">
        <color rgb="FF59BF38"/>
      </right>
      <top style="thin">
        <color rgb="FF59BF38"/>
      </top>
      <bottom style="thin">
        <color rgb="FF59BF38"/>
      </bottom>
    </border>
    <border>
      <left style="thin">
        <color rgb="FF59BF38"/>
      </left>
      <top style="thin">
        <color rgb="FF59BF38"/>
      </top>
    </border>
    <border>
      <top style="thin">
        <color rgb="FF59BF38"/>
      </top>
    </border>
    <border>
      <right style="thin">
        <color rgb="FF59BF38"/>
      </right>
      <top style="thin">
        <color rgb="FF59BF38"/>
      </top>
    </border>
    <border>
      <left style="thin">
        <color rgb="FF59BF38"/>
      </left>
    </border>
    <border>
      <right style="thin">
        <color rgb="FF59BF38"/>
      </right>
    </border>
    <border>
      <left style="thin">
        <color rgb="FF59BF38"/>
      </left>
      <bottom style="thin">
        <color rgb="FF59BF38"/>
      </bottom>
    </border>
    <border>
      <bottom style="thin">
        <color rgb="FF59BF38"/>
      </bottom>
    </border>
    <border>
      <right style="thin">
        <color rgb="FF59BF38"/>
      </right>
      <bottom style="thin">
        <color rgb="FF59BF38"/>
      </bottom>
    </border>
    <border>
      <left style="thin">
        <color rgb="FF59BF38"/>
      </left>
      <right style="thin">
        <color rgb="FF59BF38"/>
      </right>
      <top style="thin">
        <color rgb="FF59BF38"/>
      </top>
    </border>
    <border>
      <left style="thin">
        <color rgb="FF59BF38"/>
      </left>
      <right style="thin">
        <color rgb="FF59BF38"/>
      </right>
      <bottom style="thin">
        <color rgb="FF59BF38"/>
      </bottom>
    </border>
    <border>
      <left style="thin">
        <color rgb="FFB9613B"/>
      </left>
      <right style="thin">
        <color rgb="FFB9613B"/>
      </right>
      <top style="thin">
        <color rgb="FFB9613B"/>
      </top>
      <bottom style="thin">
        <color rgb="FFB9613B"/>
      </bottom>
    </border>
    <border>
      <left style="thin">
        <color rgb="FFB9613B"/>
      </left>
      <top style="thin">
        <color rgb="FFB9613B"/>
      </top>
    </border>
    <border>
      <top style="thin">
        <color rgb="FFB9613B"/>
      </top>
    </border>
    <border>
      <right style="thin">
        <color rgb="FFB9613B"/>
      </right>
      <top style="thin">
        <color rgb="FFB9613B"/>
      </top>
    </border>
    <border>
      <left style="thin">
        <color rgb="FFB9613B"/>
      </left>
    </border>
    <border>
      <right style="thin">
        <color rgb="FFB9613B"/>
      </right>
    </border>
    <border>
      <left style="thin">
        <color rgb="FFB9613B"/>
      </left>
      <bottom style="thin">
        <color rgb="FFB9613B"/>
      </bottom>
    </border>
    <border>
      <bottom style="thin">
        <color rgb="FFB9613B"/>
      </bottom>
    </border>
    <border>
      <right style="thin">
        <color rgb="FFB9613B"/>
      </right>
      <bottom style="thin">
        <color rgb="FFB9613B"/>
      </bottom>
    </border>
    <border>
      <left style="thin">
        <color rgb="FFB9613B"/>
      </left>
      <right style="thin">
        <color rgb="FFB9613B"/>
      </right>
      <top style="thin">
        <color rgb="FFB9613B"/>
      </top>
    </border>
    <border>
      <left style="thin">
        <color rgb="FFB9613B"/>
      </left>
      <right style="thin">
        <color rgb="FFB9613B"/>
      </right>
      <bottom style="thin">
        <color rgb="FFB9613B"/>
      </bottom>
    </border>
    <border>
      <left style="thin">
        <color rgb="FF7C797B"/>
      </left>
      <right style="thin">
        <color rgb="FF7C797B"/>
      </right>
      <top style="thin">
        <color rgb="FF7C797B"/>
      </top>
      <bottom style="thin">
        <color rgb="FF7C797B"/>
      </bottom>
    </border>
    <border>
      <left style="thin">
        <color rgb="FF7C797B"/>
      </left>
      <top style="thin">
        <color rgb="FF7C797B"/>
      </top>
    </border>
    <border>
      <top style="thin">
        <color rgb="FF7C797B"/>
      </top>
    </border>
    <border>
      <right style="thin">
        <color rgb="FF7C797B"/>
      </right>
      <top style="thin">
        <color rgb="FF7C797B"/>
      </top>
    </border>
    <border>
      <left style="thin">
        <color rgb="FF7C797B"/>
      </left>
    </border>
    <border>
      <right style="thin">
        <color rgb="FF7C797B"/>
      </right>
    </border>
    <border>
      <left style="thin">
        <color rgb="FF7C797B"/>
      </left>
      <bottom style="thin">
        <color rgb="FF7C797B"/>
      </bottom>
    </border>
    <border>
      <bottom style="thin">
        <color rgb="FF7C797B"/>
      </bottom>
    </border>
    <border>
      <right style="thin">
        <color rgb="FF7C797B"/>
      </right>
      <bottom style="thin">
        <color rgb="FF7C797B"/>
      </bottom>
    </border>
    <border>
      <left style="thin">
        <color rgb="FF7C797B"/>
      </left>
      <right style="thin">
        <color rgb="FF7C797B"/>
      </right>
      <top style="thin">
        <color rgb="FF7C797B"/>
      </top>
    </border>
    <border>
      <left style="thin">
        <color rgb="FF7C797B"/>
      </left>
      <right style="thin">
        <color rgb="FF7C797B"/>
      </right>
      <bottom style="thin">
        <color rgb="FF7C797B"/>
      </bottom>
    </border>
    <border>
      <left style="thin">
        <color rgb="FF7C797B"/>
      </left>
      <right style="thin">
        <color rgb="FF7C797B"/>
      </right>
    </border>
    <border>
      <left style="thin">
        <color rgb="FFD0504D"/>
      </left>
      <right style="thin">
        <color rgb="FFD0504D"/>
      </right>
      <top style="thin">
        <color rgb="FFD0504D"/>
      </top>
      <bottom style="thin">
        <color rgb="FFD0504D"/>
      </bottom>
    </border>
    <border>
      <left style="thin">
        <color rgb="FFD0504D"/>
      </left>
      <top style="thin">
        <color rgb="FFD0504D"/>
      </top>
    </border>
    <border>
      <top style="thin">
        <color rgb="FFD0504D"/>
      </top>
    </border>
    <border>
      <right style="thin">
        <color rgb="FFD0504D"/>
      </right>
      <top style="thin">
        <color rgb="FFD0504D"/>
      </top>
    </border>
    <border>
      <left style="thin">
        <color rgb="FFD0504D"/>
      </left>
    </border>
    <border>
      <right style="thin">
        <color rgb="FFD0504D"/>
      </right>
    </border>
    <border>
      <left style="thin">
        <color rgb="FFD0504D"/>
      </left>
      <bottom style="thin">
        <color rgb="FFD0504D"/>
      </bottom>
    </border>
    <border>
      <bottom style="thin">
        <color rgb="FFD0504D"/>
      </bottom>
    </border>
    <border>
      <right style="thin">
        <color rgb="FFD0504D"/>
      </right>
      <bottom style="thin">
        <color rgb="FFD0504D"/>
      </bottom>
    </border>
    <border>
      <left style="thin">
        <color rgb="FFD0504D"/>
      </left>
      <right style="thin">
        <color rgb="FFD0504D"/>
      </right>
      <top style="thin">
        <color rgb="FFD0504D"/>
      </top>
    </border>
    <border>
      <left style="thin">
        <color rgb="FFD0504D"/>
      </left>
      <right style="thin">
        <color rgb="FFD0504D"/>
      </right>
      <bottom style="thin">
        <color rgb="FFD0504D"/>
      </bottom>
    </border>
    <border>
      <left style="thin">
        <color rgb="FFD0504D"/>
      </left>
      <right style="thin">
        <color rgb="FFD0504D"/>
      </right>
    </border>
    <border>
      <left style="thin">
        <color rgb="FF3F4044"/>
      </left>
      <right style="thin">
        <color rgb="FF3F4044"/>
      </right>
      <top style="thin">
        <color rgb="FF3F4044"/>
      </top>
      <bottom style="thin">
        <color rgb="FF3F4044"/>
      </bottom>
    </border>
    <border>
      <left style="thin">
        <color rgb="FF3F4044"/>
      </left>
      <top style="thin">
        <color rgb="FF3F4044"/>
      </top>
    </border>
    <border>
      <top style="thin">
        <color rgb="FF3F4044"/>
      </top>
    </border>
    <border>
      <right style="thin">
        <color rgb="FF3F4044"/>
      </right>
      <top style="thin">
        <color rgb="FF3F4044"/>
      </top>
    </border>
    <border>
      <left style="thin">
        <color rgb="FF3F4044"/>
      </left>
    </border>
    <border>
      <right style="thin">
        <color rgb="FF3F4044"/>
      </right>
    </border>
    <border>
      <left style="thin">
        <color rgb="FF3F4044"/>
      </left>
      <bottom style="thin">
        <color rgb="FF3F4044"/>
      </bottom>
    </border>
    <border>
      <bottom style="thin">
        <color rgb="FF3F4044"/>
      </bottom>
    </border>
    <border>
      <right style="thin">
        <color rgb="FF3F4044"/>
      </right>
      <bottom style="thin">
        <color rgb="FF3F4044"/>
      </bottom>
    </border>
    <border>
      <left style="thin">
        <color rgb="FF3F4044"/>
      </left>
      <right style="thin">
        <color rgb="FF3F4044"/>
      </right>
      <top style="thin">
        <color rgb="FF3F4044"/>
      </top>
    </border>
    <border>
      <left style="thin">
        <color rgb="FF3F4044"/>
      </left>
      <right style="thin">
        <color rgb="FF3F4044"/>
      </right>
      <bottom style="thin">
        <color rgb="FF3F4044"/>
      </bottom>
    </border>
    <border>
      <left style="thin">
        <color rgb="FF3F4044"/>
      </left>
      <right style="thin">
        <color rgb="FF3F4044"/>
      </right>
    </border>
    <border>
      <left style="thin">
        <color rgb="FF7E93C9"/>
      </left>
      <right style="thin">
        <color rgb="FF7E93C9"/>
      </right>
      <top style="thin">
        <color rgb="FF7E93C9"/>
      </top>
      <bottom style="thin">
        <color rgb="FF7E93C9"/>
      </bottom>
    </border>
    <border>
      <left style="thin">
        <color rgb="FF7E93C9"/>
      </left>
      <top style="thin">
        <color rgb="FF7E93C9"/>
      </top>
    </border>
    <border>
      <top style="thin">
        <color rgb="FF7E93C9"/>
      </top>
    </border>
    <border>
      <right style="thin">
        <color rgb="FF7E93C9"/>
      </right>
      <top style="thin">
        <color rgb="FF7E93C9"/>
      </top>
    </border>
    <border>
      <left style="thin">
        <color rgb="FF7E93C9"/>
      </left>
    </border>
    <border>
      <right style="thin">
        <color rgb="FF7E93C9"/>
      </right>
    </border>
    <border>
      <left style="thin">
        <color rgb="FF7E93C9"/>
      </left>
      <bottom style="thin">
        <color rgb="FF7E93C9"/>
      </bottom>
    </border>
    <border>
      <bottom style="thin">
        <color rgb="FF7E93C9"/>
      </bottom>
    </border>
    <border>
      <right style="thin">
        <color rgb="FF7E93C9"/>
      </right>
      <bottom style="thin">
        <color rgb="FF7E93C9"/>
      </bottom>
    </border>
    <border>
      <left style="thin">
        <color rgb="FF7E93C9"/>
      </left>
      <right style="thin">
        <color rgb="FF7E93C9"/>
      </right>
      <top style="thin">
        <color rgb="FF7E93C9"/>
      </top>
    </border>
    <border>
      <left style="thin">
        <color rgb="FF7E93C9"/>
      </left>
      <right style="thin">
        <color rgb="FF7E93C9"/>
      </right>
      <bottom style="thin">
        <color rgb="FF7E93C9"/>
      </bottom>
    </border>
    <border>
      <left style="thin">
        <color rgb="FF202020"/>
      </left>
      <right style="thin">
        <color rgb="FF202020"/>
      </right>
      <top style="thin">
        <color rgb="FF202020"/>
      </top>
      <bottom style="thin">
        <color rgb="FF202020"/>
      </bottom>
    </border>
    <border>
      <left style="thin">
        <color rgb="FF202020"/>
      </left>
      <top style="thin">
        <color rgb="FF202020"/>
      </top>
    </border>
    <border>
      <top style="thin">
        <color rgb="FF202020"/>
      </top>
    </border>
    <border>
      <right style="thin">
        <color rgb="FF202020"/>
      </right>
      <top style="thin">
        <color rgb="FF202020"/>
      </top>
    </border>
    <border>
      <left style="thin">
        <color rgb="FF202020"/>
      </left>
    </border>
    <border>
      <right style="thin">
        <color rgb="FF202020"/>
      </right>
    </border>
    <border>
      <left style="thin">
        <color rgb="FF202020"/>
      </left>
      <bottom style="thin">
        <color rgb="FF202020"/>
      </bottom>
    </border>
    <border>
      <bottom style="thin">
        <color rgb="FF202020"/>
      </bottom>
    </border>
    <border>
      <right style="thin">
        <color rgb="FF202020"/>
      </right>
      <bottom style="thin">
        <color rgb="FF202020"/>
      </bottom>
    </border>
    <border>
      <left style="thin">
        <color rgb="FF202020"/>
      </left>
      <right style="thin">
        <color rgb="FF202020"/>
      </right>
      <top style="thin">
        <color rgb="FF202020"/>
      </top>
    </border>
    <border>
      <left style="thin">
        <color rgb="FF202020"/>
      </left>
      <right style="thin">
        <color rgb="FF202020"/>
      </right>
      <bottom style="thin">
        <color rgb="FF202020"/>
      </bottom>
    </border>
    <border>
      <left style="thin">
        <color rgb="FF202020"/>
      </left>
      <right style="thin">
        <color rgb="FF202020"/>
      </right>
    </border>
    <border>
      <left style="thin">
        <color rgb="FFEE9426"/>
      </left>
      <right style="thin">
        <color rgb="FFEE9426"/>
      </right>
      <top style="thin">
        <color rgb="FFEE9426"/>
      </top>
      <bottom style="thin">
        <color rgb="FFEE9426"/>
      </bottom>
    </border>
    <border>
      <left style="thin">
        <color rgb="FFEE9426"/>
      </left>
      <top style="thin">
        <color rgb="FFEE9426"/>
      </top>
    </border>
    <border>
      <top style="thin">
        <color rgb="FFEE9426"/>
      </top>
    </border>
    <border>
      <right style="thin">
        <color rgb="FFEE9426"/>
      </right>
      <top style="thin">
        <color rgb="FFEE9426"/>
      </top>
    </border>
    <border>
      <left style="thin">
        <color rgb="FFEE9426"/>
      </left>
    </border>
    <border>
      <right style="thin">
        <color rgb="FFEE9426"/>
      </right>
    </border>
    <border>
      <left style="thin">
        <color rgb="FFEE9426"/>
      </left>
      <bottom style="thin">
        <color rgb="FFEE9426"/>
      </bottom>
    </border>
    <border>
      <bottom style="thin">
        <color rgb="FFEE9426"/>
      </bottom>
    </border>
    <border>
      <right style="thin">
        <color rgb="FFEE9426"/>
      </right>
      <bottom style="thin">
        <color rgb="FFEE9426"/>
      </bottom>
    </border>
    <border>
      <left style="thin">
        <color rgb="FFEE9426"/>
      </left>
      <right style="thin">
        <color rgb="FFEE9426"/>
      </right>
      <top style="thin">
        <color rgb="FFEE9426"/>
      </top>
    </border>
    <border>
      <left style="thin">
        <color rgb="FFEE9426"/>
      </left>
      <right style="thin">
        <color rgb="FFEE9426"/>
      </right>
      <bottom style="thin">
        <color rgb="FFEE9426"/>
      </bottom>
    </border>
    <border>
      <left style="thin">
        <color rgb="FF483849"/>
      </left>
      <right style="thin">
        <color rgb="FF483849"/>
      </right>
      <top style="thin">
        <color rgb="FF483849"/>
      </top>
      <bottom style="thin">
        <color rgb="FF483849"/>
      </bottom>
    </border>
    <border>
      <left style="thin">
        <color rgb="FF483849"/>
      </left>
      <top style="thin">
        <color rgb="FF483849"/>
      </top>
    </border>
    <border>
      <top style="thin">
        <color rgb="FF483849"/>
      </top>
    </border>
    <border>
      <right style="thin">
        <color rgb="FF483849"/>
      </right>
      <top style="thin">
        <color rgb="FF483849"/>
      </top>
    </border>
    <border>
      <left style="thin">
        <color rgb="FF483849"/>
      </left>
    </border>
    <border>
      <right style="thin">
        <color rgb="FF483849"/>
      </right>
    </border>
    <border>
      <left style="thin">
        <color rgb="FF483849"/>
      </left>
      <bottom style="thin">
        <color rgb="FF483849"/>
      </bottom>
    </border>
    <border>
      <bottom style="thin">
        <color rgb="FF483849"/>
      </bottom>
    </border>
    <border>
      <right style="thin">
        <color rgb="FF483849"/>
      </right>
      <bottom style="thin">
        <color rgb="FF483849"/>
      </bottom>
    </border>
    <border>
      <left style="thin">
        <color rgb="FF483849"/>
      </left>
      <right style="thin">
        <color rgb="FF483849"/>
      </right>
      <top style="thin">
        <color rgb="FF483849"/>
      </top>
    </border>
    <border>
      <left style="thin">
        <color rgb="FF483849"/>
      </left>
      <right style="thin">
        <color rgb="FF483849"/>
      </right>
      <bottom style="thin">
        <color rgb="FF483849"/>
      </bottom>
    </border>
    <border>
      <left style="thin">
        <color rgb="FF8E4038"/>
      </left>
      <right style="thin">
        <color rgb="FF8E4038"/>
      </right>
      <top style="thin">
        <color rgb="FF8E4038"/>
      </top>
      <bottom style="thin">
        <color rgb="FF8E4038"/>
      </bottom>
    </border>
    <border>
      <left style="thin">
        <color rgb="FF8E4038"/>
      </left>
      <top style="thin">
        <color rgb="FF8E4038"/>
      </top>
    </border>
    <border>
      <top style="thin">
        <color rgb="FF8E4038"/>
      </top>
    </border>
    <border>
      <right style="thin">
        <color rgb="FF8E4038"/>
      </right>
      <top style="thin">
        <color rgb="FF8E4038"/>
      </top>
    </border>
    <border>
      <left style="thin">
        <color rgb="FF8E4038"/>
      </left>
    </border>
    <border>
      <right style="thin">
        <color rgb="FF8E4038"/>
      </right>
    </border>
    <border>
      <left style="thin">
        <color rgb="FF8E4038"/>
      </left>
      <bottom style="thin">
        <color rgb="FF8E4038"/>
      </bottom>
    </border>
    <border>
      <bottom style="thin">
        <color rgb="FF8E4038"/>
      </bottom>
    </border>
    <border>
      <right style="thin">
        <color rgb="FF8E4038"/>
      </right>
      <bottom style="thin">
        <color rgb="FF8E4038"/>
      </bottom>
    </border>
    <border>
      <left style="thin">
        <color rgb="FF8E4038"/>
      </left>
      <right style="thin">
        <color rgb="FF8E4038"/>
      </right>
      <top style="thin">
        <color rgb="FF8E4038"/>
      </top>
    </border>
    <border>
      <left style="thin">
        <color rgb="FF8E4038"/>
      </left>
      <right style="thin">
        <color rgb="FF8E4038"/>
      </right>
      <bottom style="thin">
        <color rgb="FF8E4038"/>
      </bottom>
    </border>
    <border>
      <left style="thin">
        <color rgb="FF05709D"/>
      </left>
      <right style="thin">
        <color rgb="FF05709D"/>
      </right>
      <top style="thin">
        <color rgb="FF05709D"/>
      </top>
      <bottom style="thin">
        <color rgb="FF05709D"/>
      </bottom>
    </border>
    <border>
      <left style="thin">
        <color rgb="FF05709D"/>
      </left>
      <top style="thin">
        <color rgb="FF05709D"/>
      </top>
    </border>
    <border>
      <top style="thin">
        <color rgb="FF05709D"/>
      </top>
    </border>
    <border>
      <right style="thin">
        <color rgb="FF05709D"/>
      </right>
      <top style="thin">
        <color rgb="FF05709D"/>
      </top>
    </border>
    <border>
      <left style="thin">
        <color rgb="FF05709D"/>
      </left>
    </border>
    <border>
      <right style="thin">
        <color rgb="FF05709D"/>
      </right>
    </border>
    <border>
      <left style="thin">
        <color rgb="FF05709D"/>
      </left>
      <bottom style="thin">
        <color rgb="FF05709D"/>
      </bottom>
    </border>
    <border>
      <bottom style="thin">
        <color rgb="FF05709D"/>
      </bottom>
    </border>
    <border>
      <right style="thin">
        <color rgb="FF05709D"/>
      </right>
      <bottom style="thin">
        <color rgb="FF05709D"/>
      </bottom>
    </border>
    <border>
      <left style="thin">
        <color rgb="FF05709D"/>
      </left>
      <right style="thin">
        <color rgb="FF05709D"/>
      </right>
      <top style="thin">
        <color rgb="FF05709D"/>
      </top>
    </border>
    <border>
      <left style="thin">
        <color rgb="FF05709D"/>
      </left>
      <right style="thin">
        <color rgb="FF05709D"/>
      </right>
      <bottom style="thin">
        <color rgb="FF05709D"/>
      </bottom>
    </border>
    <border>
      <left style="thin">
        <color rgb="FF485F43"/>
      </left>
      <right style="thin">
        <color rgb="FF485F43"/>
      </right>
      <top style="thin">
        <color rgb="FF485F43"/>
      </top>
      <bottom style="thin">
        <color rgb="FF485F43"/>
      </bottom>
    </border>
    <border>
      <left style="thin">
        <color rgb="FF485F43"/>
      </left>
      <top style="thin">
        <color rgb="FF485F43"/>
      </top>
    </border>
    <border>
      <top style="thin">
        <color rgb="FF485F43"/>
      </top>
    </border>
    <border>
      <right style="thin">
        <color rgb="FF485F43"/>
      </right>
      <top style="thin">
        <color rgb="FF485F43"/>
      </top>
    </border>
    <border>
      <left style="thin">
        <color rgb="FF485F43"/>
      </left>
    </border>
    <border>
      <right style="thin">
        <color rgb="FF485F43"/>
      </right>
    </border>
    <border>
      <left style="thin">
        <color rgb="FF485F43"/>
      </left>
      <bottom style="thin">
        <color rgb="FF485F43"/>
      </bottom>
    </border>
    <border>
      <bottom style="thin">
        <color rgb="FF485F43"/>
      </bottom>
    </border>
    <border>
      <right style="thin">
        <color rgb="FF485F43"/>
      </right>
      <bottom style="thin">
        <color rgb="FF485F43"/>
      </bottom>
    </border>
    <border>
      <left style="thin">
        <color rgb="FF485F43"/>
      </left>
      <right style="thin">
        <color rgb="FF485F43"/>
      </right>
      <top style="thin">
        <color rgb="FF485F43"/>
      </top>
    </border>
    <border>
      <left style="thin">
        <color rgb="FF485F43"/>
      </left>
      <right style="thin">
        <color rgb="FF485F43"/>
      </right>
      <bottom style="thin">
        <color rgb="FF485F43"/>
      </bottom>
    </border>
    <border>
      <left style="thin">
        <color rgb="FFFFDC45"/>
      </left>
      <right style="thin">
        <color rgb="FFFFDC45"/>
      </right>
      <top style="thin">
        <color rgb="FFFFDC45"/>
      </top>
      <bottom style="thin">
        <color rgb="FFFFDC45"/>
      </bottom>
    </border>
    <border>
      <left style="thin">
        <color rgb="FFFFDC45"/>
      </left>
      <top style="thin">
        <color rgb="FFFFDC45"/>
      </top>
    </border>
    <border>
      <top style="thin">
        <color rgb="FFFFDC45"/>
      </top>
    </border>
    <border>
      <right style="thin">
        <color rgb="FFFFDC45"/>
      </right>
      <top style="thin">
        <color rgb="FFFFDC45"/>
      </top>
    </border>
    <border>
      <left style="thin">
        <color rgb="FFFFDC45"/>
      </left>
    </border>
    <border>
      <right style="thin">
        <color rgb="FFFFDC45"/>
      </right>
    </border>
    <border>
      <left style="thin">
        <color rgb="FFFFDC45"/>
      </left>
      <bottom style="thin">
        <color rgb="FFFFDC45"/>
      </bottom>
    </border>
    <border>
      <bottom style="thin">
        <color rgb="FFFFDC45"/>
      </bottom>
    </border>
    <border>
      <right style="thin">
        <color rgb="FFFFDC45"/>
      </right>
      <bottom style="thin">
        <color rgb="FFFFDC45"/>
      </bottom>
    </border>
    <border>
      <left style="thin">
        <color rgb="FFFFDC45"/>
      </left>
      <right style="thin">
        <color rgb="FFFFDC45"/>
      </right>
      <top style="thin">
        <color rgb="FFFFDC45"/>
      </top>
    </border>
    <border>
      <left style="thin">
        <color rgb="FFFFDC45"/>
      </left>
      <right style="thin">
        <color rgb="FFFFDC45"/>
      </right>
      <bottom style="thin">
        <color rgb="FFFFDC45"/>
      </bottom>
    </border>
    <border>
      <left style="thin">
        <color rgb="FFC84134"/>
      </left>
      <right style="thin">
        <color rgb="FFC84134"/>
      </right>
      <top style="thin">
        <color rgb="FFC84134"/>
      </top>
      <bottom style="thin">
        <color rgb="FFC84134"/>
      </bottom>
    </border>
    <border>
      <left style="thin">
        <color rgb="FFC84134"/>
      </left>
      <top style="thin">
        <color rgb="FFC84134"/>
      </top>
    </border>
    <border>
      <top style="thin">
        <color rgb="FFC84134"/>
      </top>
    </border>
    <border>
      <right style="thin">
        <color rgb="FFC84134"/>
      </right>
      <top style="thin">
        <color rgb="FFC84134"/>
      </top>
    </border>
    <border>
      <left style="thin">
        <color rgb="FFC84134"/>
      </left>
    </border>
    <border>
      <right style="thin">
        <color rgb="FFC84134"/>
      </right>
    </border>
    <border>
      <left style="thin">
        <color rgb="FFC84134"/>
      </left>
      <bottom style="thin">
        <color rgb="FFC84134"/>
      </bottom>
    </border>
    <border>
      <bottom style="thin">
        <color rgb="FFC84134"/>
      </bottom>
    </border>
    <border>
      <right style="thin">
        <color rgb="FFC84134"/>
      </right>
      <bottom style="thin">
        <color rgb="FFC84134"/>
      </bottom>
    </border>
    <border>
      <left style="thin">
        <color rgb="FFC84134"/>
      </left>
      <right style="thin">
        <color rgb="FFC84134"/>
      </right>
      <top style="thin">
        <color rgb="FFC84134"/>
      </top>
    </border>
    <border>
      <left style="thin">
        <color rgb="FFC84134"/>
      </left>
      <right style="thin">
        <color rgb="FFC84134"/>
      </right>
      <bottom style="thin">
        <color rgb="FFC84134"/>
      </bottom>
    </border>
    <border>
      <left style="thin">
        <color rgb="FF1A7F2E"/>
      </left>
      <right style="thin">
        <color rgb="FF1A7F2E"/>
      </right>
      <top style="thin">
        <color rgb="FF1A7F2E"/>
      </top>
      <bottom style="thin">
        <color rgb="FF1A7F2E"/>
      </bottom>
    </border>
    <border>
      <left style="thin">
        <color rgb="FF1A7F2E"/>
      </left>
      <top style="thin">
        <color rgb="FF1A7F2E"/>
      </top>
    </border>
    <border>
      <top style="thin">
        <color rgb="FF1A7F2E"/>
      </top>
    </border>
    <border>
      <right style="thin">
        <color rgb="FF1A7F2E"/>
      </right>
      <top style="thin">
        <color rgb="FF1A7F2E"/>
      </top>
    </border>
    <border>
      <left style="thin">
        <color rgb="FF1A7F2E"/>
      </left>
    </border>
    <border>
      <right style="thin">
        <color rgb="FF1A7F2E"/>
      </right>
    </border>
    <border>
      <left style="thin">
        <color rgb="FF1A7F2E"/>
      </left>
      <bottom style="thin">
        <color rgb="FF1A7F2E"/>
      </bottom>
    </border>
    <border>
      <bottom style="thin">
        <color rgb="FF1A7F2E"/>
      </bottom>
    </border>
    <border>
      <right style="thin">
        <color rgb="FF1A7F2E"/>
      </right>
      <bottom style="thin">
        <color rgb="FF1A7F2E"/>
      </bottom>
    </border>
    <border>
      <left style="thin">
        <color rgb="FF1A7F2E"/>
      </left>
      <right style="thin">
        <color rgb="FF1A7F2E"/>
      </right>
      <top style="thin">
        <color rgb="FF1A7F2E"/>
      </top>
    </border>
    <border>
      <left style="thin">
        <color rgb="FF1A7F2E"/>
      </left>
      <right style="thin">
        <color rgb="FF1A7F2E"/>
      </right>
      <bottom style="thin">
        <color rgb="FF1A7F2E"/>
      </bottom>
    </border>
    <border>
      <left style="thin">
        <color rgb="FFB20101"/>
      </left>
      <right style="thin">
        <color rgb="FFB20101"/>
      </right>
      <top style="thin">
        <color rgb="FFB20101"/>
      </top>
      <bottom style="thin">
        <color rgb="FFB20101"/>
      </bottom>
    </border>
    <border>
      <left style="thin">
        <color rgb="FFB20101"/>
      </left>
      <top style="thin">
        <color rgb="FFB20101"/>
      </top>
    </border>
    <border>
      <top style="thin">
        <color rgb="FFB20101"/>
      </top>
    </border>
    <border>
      <right style="thin">
        <color rgb="FFB20101"/>
      </right>
      <top style="thin">
        <color rgb="FFB20101"/>
      </top>
    </border>
    <border>
      <left style="thin">
        <color rgb="FFB20101"/>
      </left>
    </border>
    <border>
      <right style="thin">
        <color rgb="FFB20101"/>
      </right>
    </border>
    <border>
      <left style="thin">
        <color rgb="FFB20101"/>
      </left>
      <bottom style="thin">
        <color rgb="FFB20101"/>
      </bottom>
    </border>
    <border>
      <bottom style="thin">
        <color rgb="FFB20101"/>
      </bottom>
    </border>
    <border>
      <right style="thin">
        <color rgb="FFB20101"/>
      </right>
      <bottom style="thin">
        <color rgb="FFB20101"/>
      </bottom>
    </border>
    <border>
      <left style="thin">
        <color rgb="FFB20101"/>
      </left>
      <right style="thin">
        <color rgb="FFB20101"/>
      </right>
      <top style="thin">
        <color rgb="FFB20101"/>
      </top>
    </border>
    <border>
      <left style="thin">
        <color rgb="FFB20101"/>
      </left>
      <right style="thin">
        <color rgb="FFB20101"/>
      </right>
      <bottom style="thin">
        <color rgb="FFB20101"/>
      </bottom>
    </border>
    <border>
      <left style="thin">
        <color rgb="FFB20101"/>
      </left>
      <right style="thin">
        <color rgb="FFB20101"/>
      </right>
    </border>
    <border>
      <left style="thin">
        <color rgb="FFD7BEF4"/>
      </left>
      <right style="thin">
        <color rgb="FFD7BEF4"/>
      </right>
      <top style="thin">
        <color rgb="FFD7BEF4"/>
      </top>
      <bottom style="thin">
        <color rgb="FFD7BEF4"/>
      </bottom>
    </border>
    <border>
      <left style="thin">
        <color rgb="FFD7BEF4"/>
      </left>
      <top style="thin">
        <color rgb="FFD7BEF4"/>
      </top>
    </border>
    <border>
      <top style="thin">
        <color rgb="FFD7BEF4"/>
      </top>
    </border>
    <border>
      <right style="thin">
        <color rgb="FFD7BEF4"/>
      </right>
      <top style="thin">
        <color rgb="FFD7BEF4"/>
      </top>
    </border>
    <border>
      <left style="thin">
        <color rgb="FFD7BEF4"/>
      </left>
    </border>
    <border>
      <right style="thin">
        <color rgb="FFD7BEF4"/>
      </right>
    </border>
    <border>
      <left style="thin">
        <color rgb="FFD7BEF4"/>
      </left>
      <bottom style="thin">
        <color rgb="FFD7BEF4"/>
      </bottom>
    </border>
    <border>
      <bottom style="thin">
        <color rgb="FFD7BEF4"/>
      </bottom>
    </border>
    <border>
      <right style="thin">
        <color rgb="FFD7BEF4"/>
      </right>
      <bottom style="thin">
        <color rgb="FFD7BEF4"/>
      </bottom>
    </border>
    <border>
      <left style="thin">
        <color rgb="FFD7BEF4"/>
      </left>
      <right style="thin">
        <color rgb="FFD7BEF4"/>
      </right>
      <top style="thin">
        <color rgb="FFD7BEF4"/>
      </top>
    </border>
    <border>
      <left style="thin">
        <color rgb="FFD7BEF4"/>
      </left>
      <right style="thin">
        <color rgb="FFD7BEF4"/>
      </right>
      <bottom style="thin">
        <color rgb="FFD7BEF4"/>
      </bottom>
    </border>
    <border>
      <left style="thin">
        <color rgb="FFD7BEF4"/>
      </left>
      <right style="thin">
        <color rgb="FFD7BEF4"/>
      </right>
    </border>
    <border>
      <left style="thin">
        <color rgb="FFFBDF7F"/>
      </left>
      <right style="thin">
        <color rgb="FFFBDF7F"/>
      </right>
      <top style="thin">
        <color rgb="FFFBDF7F"/>
      </top>
      <bottom style="thin">
        <color rgb="FFFBDF7F"/>
      </bottom>
    </border>
    <border>
      <left style="thin">
        <color rgb="FFFBDF7F"/>
      </left>
      <top style="thin">
        <color rgb="FFFBDF7F"/>
      </top>
    </border>
    <border>
      <top style="thin">
        <color rgb="FFFBDF7F"/>
      </top>
    </border>
    <border>
      <right style="thin">
        <color rgb="FFFBDF7F"/>
      </right>
      <top style="thin">
        <color rgb="FFFBDF7F"/>
      </top>
    </border>
    <border>
      <left style="thin">
        <color rgb="FFFBDF7F"/>
      </left>
    </border>
    <border>
      <right style="thin">
        <color rgb="FFFBDF7F"/>
      </right>
    </border>
    <border>
      <left style="thin">
        <color rgb="FFFBDF7F"/>
      </left>
      <bottom style="thin">
        <color rgb="FFFBDF7F"/>
      </bottom>
    </border>
    <border>
      <bottom style="thin">
        <color rgb="FFFBDF7F"/>
      </bottom>
    </border>
    <border>
      <right style="thin">
        <color rgb="FFFBDF7F"/>
      </right>
      <bottom style="thin">
        <color rgb="FFFBDF7F"/>
      </bottom>
    </border>
    <border>
      <left style="thin">
        <color rgb="FFFBDF7F"/>
      </left>
      <right style="thin">
        <color rgb="FFFBDF7F"/>
      </right>
      <top style="thin">
        <color rgb="FFFBDF7F"/>
      </top>
    </border>
    <border>
      <left style="thin">
        <color rgb="FFFBDF7F"/>
      </left>
      <right style="thin">
        <color rgb="FFFBDF7F"/>
      </right>
      <bottom style="thin">
        <color rgb="FFFBDF7F"/>
      </bottom>
    </border>
    <border>
      <left style="thin">
        <color rgb="FFFBDF7F"/>
      </left>
      <right style="thin">
        <color rgb="FFFBDF7F"/>
      </right>
    </border>
    <border>
      <left style="thin">
        <color rgb="FF6EB2FB"/>
      </left>
      <right style="thin">
        <color rgb="FF6EB2FB"/>
      </right>
      <top style="thin">
        <color rgb="FF6EB2FB"/>
      </top>
      <bottom style="thin">
        <color rgb="FF6EB2FB"/>
      </bottom>
    </border>
    <border>
      <left style="thin">
        <color rgb="FF6EB2FB"/>
      </left>
      <top style="thin">
        <color rgb="FF6EB2FB"/>
      </top>
    </border>
    <border>
      <top style="thin">
        <color rgb="FF6EB2FB"/>
      </top>
    </border>
    <border>
      <right style="thin">
        <color rgb="FF6EB2FB"/>
      </right>
      <top style="thin">
        <color rgb="FF6EB2FB"/>
      </top>
    </border>
    <border>
      <left style="thin">
        <color rgb="FF6EB2FB"/>
      </left>
    </border>
    <border>
      <right style="thin">
        <color rgb="FF6EB2FB"/>
      </right>
    </border>
    <border>
      <left style="thin">
        <color rgb="FF6EB2FB"/>
      </left>
      <bottom style="thin">
        <color rgb="FF6EB2FB"/>
      </bottom>
    </border>
    <border>
      <bottom style="thin">
        <color rgb="FF6EB2FB"/>
      </bottom>
    </border>
    <border>
      <right style="thin">
        <color rgb="FF6EB2FB"/>
      </right>
      <bottom style="thin">
        <color rgb="FF6EB2FB"/>
      </bottom>
    </border>
    <border>
      <left style="thin">
        <color rgb="FF6EB2FB"/>
      </left>
      <right style="thin">
        <color rgb="FF6EB2FB"/>
      </right>
      <top style="thin">
        <color rgb="FF6EB2FB"/>
      </top>
    </border>
    <border>
      <left style="thin">
        <color rgb="FF6EB2FB"/>
      </left>
      <right style="thin">
        <color rgb="FF6EB2FB"/>
      </right>
      <bottom style="thin">
        <color rgb="FF6EB2FB"/>
      </bottom>
    </border>
    <border>
      <left style="thin">
        <color rgb="FF6EB2FB"/>
      </left>
      <right style="thin">
        <color rgb="FF6EB2FB"/>
      </right>
    </border>
    <border>
      <left style="thin">
        <color rgb="FF90E8B9"/>
      </left>
      <right style="thin">
        <color rgb="FF90E8B9"/>
      </right>
      <top style="thin">
        <color rgb="FF90E8B9"/>
      </top>
      <bottom style="thin">
        <color rgb="FF90E8B9"/>
      </bottom>
    </border>
    <border>
      <left style="thin">
        <color rgb="FF90E8B9"/>
      </left>
      <top style="thin">
        <color rgb="FF90E8B9"/>
      </top>
    </border>
    <border>
      <top style="thin">
        <color rgb="FF90E8B9"/>
      </top>
    </border>
    <border>
      <right style="thin">
        <color rgb="FF90E8B9"/>
      </right>
      <top style="thin">
        <color rgb="FF90E8B9"/>
      </top>
    </border>
    <border>
      <left style="thin">
        <color rgb="FF90E8B9"/>
      </left>
    </border>
    <border>
      <right style="thin">
        <color rgb="FF90E8B9"/>
      </right>
    </border>
    <border>
      <left style="thin">
        <color rgb="FF90E8B9"/>
      </left>
      <bottom style="thin">
        <color rgb="FF90E8B9"/>
      </bottom>
    </border>
    <border>
      <bottom style="thin">
        <color rgb="FF90E8B9"/>
      </bottom>
    </border>
    <border>
      <right style="thin">
        <color rgb="FF90E8B9"/>
      </right>
      <bottom style="thin">
        <color rgb="FF90E8B9"/>
      </bottom>
    </border>
    <border>
      <left style="thin">
        <color rgb="FF90E8B9"/>
      </left>
      <right style="thin">
        <color rgb="FF90E8B9"/>
      </right>
      <top style="thin">
        <color rgb="FF90E8B9"/>
      </top>
    </border>
    <border>
      <left style="thin">
        <color rgb="FF90E8B9"/>
      </left>
      <right style="thin">
        <color rgb="FF90E8B9"/>
      </right>
      <bottom style="thin">
        <color rgb="FF90E8B9"/>
      </bottom>
    </border>
    <border>
      <left style="thin">
        <color rgb="FF90E8B9"/>
      </left>
      <right style="thin">
        <color rgb="FF90E8B9"/>
      </right>
    </border>
    <border>
      <left style="thin">
        <color rgb="FFFFFF5A"/>
      </left>
      <right style="thin">
        <color rgb="FFFFFF5A"/>
      </right>
      <top style="thin">
        <color rgb="FFFFFF5A"/>
      </top>
      <bottom style="thin">
        <color rgb="FFFFFF5A"/>
      </bottom>
    </border>
    <border>
      <left style="thin">
        <color rgb="FFFFFF5A"/>
      </left>
      <top style="thin">
        <color rgb="FFFFFF5A"/>
      </top>
    </border>
    <border>
      <top style="thin">
        <color rgb="FFFFFF5A"/>
      </top>
    </border>
    <border>
      <right style="thin">
        <color rgb="FFFFFF5A"/>
      </right>
      <top style="thin">
        <color rgb="FFFFFF5A"/>
      </top>
    </border>
    <border>
      <left style="thin">
        <color rgb="FFFFFF5A"/>
      </left>
    </border>
    <border>
      <right style="thin">
        <color rgb="FFFFFF5A"/>
      </right>
    </border>
    <border>
      <left style="thin">
        <color rgb="FFFFFF5A"/>
      </left>
      <bottom style="thin">
        <color rgb="FFFFFF5A"/>
      </bottom>
    </border>
    <border>
      <bottom style="thin">
        <color rgb="FFFFFF5A"/>
      </bottom>
    </border>
    <border>
      <right style="thin">
        <color rgb="FFFFFF5A"/>
      </right>
      <bottom style="thin">
        <color rgb="FFFFFF5A"/>
      </bottom>
    </border>
    <border>
      <left style="thin">
        <color rgb="FFFFFF5A"/>
      </left>
      <right style="thin">
        <color rgb="FFFFFF5A"/>
      </right>
      <top style="thin">
        <color rgb="FFFFFF5A"/>
      </top>
    </border>
    <border>
      <left style="thin">
        <color rgb="FFFFFF5A"/>
      </left>
      <right style="thin">
        <color rgb="FFFFFF5A"/>
      </right>
      <bottom style="thin">
        <color rgb="FFFFFF5A"/>
      </bottom>
    </border>
    <border>
      <left style="thin">
        <color rgb="FFFFFF5A"/>
      </left>
      <right style="thin">
        <color rgb="FFFFFF5A"/>
      </right>
    </border>
    <border>
      <left style="thin">
        <color rgb="FFDDDDDD"/>
      </left>
      <right style="thin">
        <color rgb="FFDDDDDD"/>
      </right>
      <top style="thin">
        <color rgb="FFDDDDDD"/>
      </top>
      <bottom style="thin">
        <color rgb="FFDDDDDD"/>
      </bottom>
    </border>
    <border>
      <left style="thin">
        <color rgb="FFDDDDDD"/>
      </left>
      <top style="thin">
        <color rgb="FFDDDDDD"/>
      </top>
    </border>
    <border>
      <top style="thin">
        <color rgb="FFDDDDDD"/>
      </top>
    </border>
    <border>
      <right style="thin">
        <color rgb="FFDDDDDD"/>
      </right>
      <top style="thin">
        <color rgb="FFDDDDDD"/>
      </top>
    </border>
    <border>
      <left style="thin">
        <color rgb="FFDDDDDD"/>
      </left>
    </border>
    <border>
      <right style="thin">
        <color rgb="FFDDDDDD"/>
      </right>
    </border>
    <border>
      <left style="thin">
        <color rgb="FFDDDDDD"/>
      </left>
      <bottom style="thin">
        <color rgb="FFDDDDDD"/>
      </bottom>
    </border>
    <border>
      <bottom style="thin">
        <color rgb="FFDDDDDD"/>
      </bottom>
    </border>
    <border>
      <right style="thin">
        <color rgb="FFDDDDDD"/>
      </right>
      <bottom style="thin">
        <color rgb="FFDDDDDD"/>
      </bottom>
    </border>
    <border>
      <left style="thin">
        <color rgb="FFDDDDDD"/>
      </left>
      <right style="thin">
        <color rgb="FFDDDDDD"/>
      </right>
      <top style="thin">
        <color rgb="FFDDDDDD"/>
      </top>
    </border>
    <border>
      <left style="thin">
        <color rgb="FFDDDDDD"/>
      </left>
      <right style="thin">
        <color rgb="FFDDDDDD"/>
      </right>
      <bottom style="thin">
        <color rgb="FFDDDDDD"/>
      </bottom>
    </border>
    <border>
      <left style="thin">
        <color rgb="FFDDDDDD"/>
      </left>
      <right style="thin">
        <color rgb="FFDDDDDD"/>
      </right>
    </border>
    <border>
      <left style="thin">
        <color rgb="FFEFEFEF"/>
      </left>
      <right style="thin">
        <color rgb="FFEFEFEF"/>
      </right>
      <top style="thin">
        <color rgb="FFEFEFEF"/>
      </top>
      <bottom style="thin">
        <color rgb="FFEFEFEF"/>
      </bottom>
    </border>
    <border>
      <left style="thin">
        <color rgb="FFEFEFEF"/>
      </left>
      <top style="thin">
        <color rgb="FFEFEFEF"/>
      </top>
    </border>
    <border>
      <top style="thin">
        <color rgb="FFEFEFEF"/>
      </top>
    </border>
    <border>
      <right style="thin">
        <color rgb="FFEFEFEF"/>
      </right>
      <top style="thin">
        <color rgb="FFEFEFEF"/>
      </top>
    </border>
    <border>
      <left style="thin">
        <color rgb="FFEFEFEF"/>
      </left>
    </border>
    <border>
      <right style="thin">
        <color rgb="FFEFEFEF"/>
      </right>
    </border>
    <border>
      <left style="thin">
        <color rgb="FFEFEFEF"/>
      </left>
      <bottom style="thin">
        <color rgb="FFEFEFEF"/>
      </bottom>
    </border>
    <border>
      <bottom style="thin">
        <color rgb="FFEFEFEF"/>
      </bottom>
    </border>
    <border>
      <right style="thin">
        <color rgb="FFEFEFEF"/>
      </right>
      <bottom style="thin">
        <color rgb="FFEFEFEF"/>
      </bottom>
    </border>
    <border>
      <left style="thin">
        <color rgb="FFEFEFEF"/>
      </left>
      <right style="thin">
        <color rgb="FFEFEFEF"/>
      </right>
      <top style="thin">
        <color rgb="FFEFEFEF"/>
      </top>
    </border>
    <border>
      <left style="thin">
        <color rgb="FFEFEFEF"/>
      </left>
      <right style="thin">
        <color rgb="FFEFEFEF"/>
      </right>
      <bottom style="thin">
        <color rgb="FFEFEFEF"/>
      </bottom>
    </border>
    <border>
      <left style="thin">
        <color rgb="FFEFEFEF"/>
      </left>
      <right style="thin">
        <color rgb="FFEFEFEF"/>
      </right>
    </border>
    <border>
      <left style="thin">
        <color rgb="FFB96A69"/>
      </left>
      <right style="thin">
        <color rgb="FFB96A69"/>
      </right>
      <top style="thin">
        <color rgb="FFB96A69"/>
      </top>
      <bottom style="thin">
        <color rgb="FFB96A69"/>
      </bottom>
    </border>
    <border>
      <left style="thin">
        <color rgb="FFB96A69"/>
      </left>
      <top style="thin">
        <color rgb="FFB96A69"/>
      </top>
    </border>
    <border>
      <top style="thin">
        <color rgb="FFB96A69"/>
      </top>
    </border>
    <border>
      <right style="thin">
        <color rgb="FFB96A69"/>
      </right>
      <top style="thin">
        <color rgb="FFB96A69"/>
      </top>
    </border>
    <border>
      <left style="thin">
        <color rgb="FFB96A69"/>
      </left>
    </border>
    <border>
      <right style="thin">
        <color rgb="FFB96A69"/>
      </right>
    </border>
    <border>
      <left style="thin">
        <color rgb="FFB96A69"/>
      </left>
      <bottom style="thin">
        <color rgb="FFB96A69"/>
      </bottom>
    </border>
    <border>
      <bottom style="thin">
        <color rgb="FFB96A69"/>
      </bottom>
    </border>
    <border>
      <right style="thin">
        <color rgb="FFB96A69"/>
      </right>
      <bottom style="thin">
        <color rgb="FFB96A69"/>
      </bottom>
    </border>
    <border>
      <left style="thin">
        <color rgb="FFB96A69"/>
      </left>
      <right style="thin">
        <color rgb="FFB96A69"/>
      </right>
      <top style="thin">
        <color rgb="FFB96A69"/>
      </top>
    </border>
    <border>
      <left style="thin">
        <color rgb="FFB96A69"/>
      </left>
      <right style="thin">
        <color rgb="FFB96A69"/>
      </right>
      <bottom style="thin">
        <color rgb="FFB96A69"/>
      </bottom>
    </border>
    <border>
      <left style="thin">
        <color rgb="FFB96A69"/>
      </left>
      <right style="thin">
        <color rgb="FFB96A69"/>
      </right>
    </border>
    <border>
      <left style="thin">
        <color rgb="FFE6F9C8"/>
      </left>
      <right style="thin">
        <color rgb="FFE6F9C8"/>
      </right>
      <top style="thin">
        <color rgb="FFE6F9C8"/>
      </top>
      <bottom style="thin">
        <color rgb="FFE6F9C8"/>
      </bottom>
    </border>
    <border>
      <left style="thin">
        <color rgb="FFE6F9C8"/>
      </left>
      <top style="thin">
        <color rgb="FFE6F9C8"/>
      </top>
    </border>
    <border>
      <top style="thin">
        <color rgb="FFE6F9C8"/>
      </top>
    </border>
    <border>
      <right style="thin">
        <color rgb="FFE6F9C8"/>
      </right>
      <top style="thin">
        <color rgb="FFE6F9C8"/>
      </top>
    </border>
    <border>
      <left style="thin">
        <color rgb="FFE6F9C8"/>
      </left>
    </border>
    <border>
      <right style="thin">
        <color rgb="FFE6F9C8"/>
      </right>
    </border>
    <border>
      <left style="thin">
        <color rgb="FFE6F9C8"/>
      </left>
      <bottom style="thin">
        <color rgb="FFE6F9C8"/>
      </bottom>
    </border>
    <border>
      <bottom style="thin">
        <color rgb="FFE6F9C8"/>
      </bottom>
    </border>
    <border>
      <right style="thin">
        <color rgb="FFE6F9C8"/>
      </right>
      <bottom style="thin">
        <color rgb="FFE6F9C8"/>
      </bottom>
    </border>
    <border>
      <left style="thin">
        <color rgb="FFE6F9C8"/>
      </left>
      <right style="thin">
        <color rgb="FFE6F9C8"/>
      </right>
      <top style="thin">
        <color rgb="FFE6F9C8"/>
      </top>
    </border>
    <border>
      <left style="thin">
        <color rgb="FFE6F9C8"/>
      </left>
      <right style="thin">
        <color rgb="FFE6F9C8"/>
      </right>
      <bottom style="thin">
        <color rgb="FFE6F9C8"/>
      </bottom>
    </border>
    <border>
      <left style="thin">
        <color rgb="FFE6F9C8"/>
      </left>
      <right style="thin">
        <color rgb="FFE6F9C8"/>
      </right>
    </border>
    <border>
      <left style="thin">
        <color rgb="FF992118"/>
      </left>
      <right style="thin">
        <color rgb="FF992118"/>
      </right>
      <top style="thin">
        <color rgb="FF992118"/>
      </top>
      <bottom style="thin">
        <color rgb="FF992118"/>
      </bottom>
    </border>
    <border>
      <left style="thin">
        <color rgb="FF992118"/>
      </left>
      <top style="thin">
        <color rgb="FF992118"/>
      </top>
    </border>
    <border>
      <top style="thin">
        <color rgb="FF992118"/>
      </top>
    </border>
    <border>
      <right style="thin">
        <color rgb="FF992118"/>
      </right>
      <top style="thin">
        <color rgb="FF992118"/>
      </top>
    </border>
    <border>
      <left style="thin">
        <color rgb="FF992118"/>
      </left>
    </border>
    <border>
      <right style="thin">
        <color rgb="FF992118"/>
      </right>
    </border>
    <border>
      <left style="thin">
        <color rgb="FF992118"/>
      </left>
      <bottom style="thin">
        <color rgb="FF992118"/>
      </bottom>
    </border>
    <border>
      <bottom style="thin">
        <color rgb="FF992118"/>
      </bottom>
    </border>
    <border>
      <right style="thin">
        <color rgb="FF992118"/>
      </right>
      <bottom style="thin">
        <color rgb="FF992118"/>
      </bottom>
    </border>
    <border>
      <left style="thin">
        <color rgb="FF992118"/>
      </left>
      <right style="thin">
        <color rgb="FF992118"/>
      </right>
      <top style="thin">
        <color rgb="FF992118"/>
      </top>
    </border>
    <border>
      <left style="thin">
        <color rgb="FF992118"/>
      </left>
      <right style="thin">
        <color rgb="FF992118"/>
      </right>
      <bottom style="thin">
        <color rgb="FF992118"/>
      </bottom>
    </border>
    <border>
      <left style="thin">
        <color rgb="FF992118"/>
      </left>
      <right style="thin">
        <color rgb="FF992118"/>
      </right>
    </border>
    <border>
      <left style="thin">
        <color rgb="FFC8CFE3"/>
      </left>
      <right style="thin">
        <color rgb="FFC8CFE3"/>
      </right>
      <top style="thin">
        <color rgb="FFC8CFE3"/>
      </top>
      <bottom style="thin">
        <color rgb="FFC8CFE3"/>
      </bottom>
    </border>
    <border>
      <left style="thin">
        <color rgb="FFC8CFE3"/>
      </left>
      <top style="thin">
        <color rgb="FFC8CFE3"/>
      </top>
    </border>
    <border>
      <top style="thin">
        <color rgb="FFC8CFE3"/>
      </top>
    </border>
    <border>
      <right style="thin">
        <color rgb="FFC8CFE3"/>
      </right>
      <top style="thin">
        <color rgb="FFC8CFE3"/>
      </top>
    </border>
    <border>
      <left style="thin">
        <color rgb="FFC8CFE3"/>
      </left>
    </border>
    <border>
      <right style="thin">
        <color rgb="FFC8CFE3"/>
      </right>
    </border>
    <border>
      <left style="thin">
        <color rgb="FFC8CFE3"/>
      </left>
      <bottom style="thin">
        <color rgb="FFC8CFE3"/>
      </bottom>
    </border>
    <border>
      <bottom style="thin">
        <color rgb="FFC8CFE3"/>
      </bottom>
    </border>
    <border>
      <right style="thin">
        <color rgb="FFC8CFE3"/>
      </right>
      <bottom style="thin">
        <color rgb="FFC8CFE3"/>
      </bottom>
    </border>
    <border>
      <left style="thin">
        <color rgb="FFC8CFE3"/>
      </left>
      <right style="thin">
        <color rgb="FFC8CFE3"/>
      </right>
      <top style="thin">
        <color rgb="FFC8CFE3"/>
      </top>
    </border>
    <border>
      <left style="thin">
        <color rgb="FFC8CFE3"/>
      </left>
      <right style="thin">
        <color rgb="FFC8CFE3"/>
      </right>
      <bottom style="thin">
        <color rgb="FFC8CFE3"/>
      </bottom>
    </border>
    <border>
      <left style="thin">
        <color rgb="FFC8CFE3"/>
      </left>
      <right style="thin">
        <color rgb="FFC8CFE3"/>
      </right>
    </border>
    <border>
      <right style="double">
        <color rgb="FF000000"/>
      </right>
      <top style="thin">
        <color rgb="FF000000"/>
      </top>
      <bottom style="thin">
        <color rgb="FF000000"/>
      </bottom>
    </border>
    <border>
      <right style="double">
        <color rgb="FF000000"/>
      </right>
      <bottom style="thin">
        <color rgb="FF000000"/>
      </bottom>
    </border>
    <border>
      <left style="thin">
        <color rgb="FF000000"/>
      </left>
      <right style="medium">
        <color rgb="FF000000"/>
      </right>
      <top style="thin">
        <color rgb="FF000000"/>
      </top>
      <bottom style="thin">
        <color rgb="FF000000"/>
      </bottom>
    </border>
    <border>
      <left style="thin">
        <color rgb="FF000000"/>
      </left>
      <right style="double">
        <color rgb="FF000000"/>
      </right>
      <top style="thin">
        <color rgb="FF000000"/>
      </top>
      <bottom style="thin">
        <color rgb="FF000000"/>
      </bottom>
    </border>
    <border>
      <left style="double">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bottom style="thin">
        <color rgb="FF000000"/>
      </bottom>
    </border>
    <border>
      <left style="medium">
        <color rgb="FF000000"/>
      </left>
      <top style="thin">
        <color rgb="FF000000"/>
      </top>
      <bottom style="thin">
        <color rgb="FF000000"/>
      </bottom>
    </border>
    <border>
      <left style="thin">
        <color rgb="FF1A1E54"/>
      </left>
      <right style="thin">
        <color rgb="FF1A1E54"/>
      </right>
    </border>
  </borders>
  <cellStyleXfs count="1">
    <xf borderId="0" fillId="0" fontId="0" numFmtId="0" applyAlignment="1" applyFont="1"/>
  </cellStyleXfs>
  <cellXfs count="3847">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2" numFmtId="0" xfId="0" applyBorder="1" applyFont="1"/>
    <xf borderId="3" fillId="0" fontId="2" numFmtId="0" xfId="0" applyBorder="1" applyFont="1"/>
    <xf borderId="4" fillId="2" fontId="3" numFmtId="0" xfId="0" applyAlignment="1" applyBorder="1" applyFill="1" applyFont="1">
      <alignment horizontal="center" readingOrder="0" shrinkToFit="0" vertical="center" wrapText="0"/>
    </xf>
    <xf borderId="5" fillId="0" fontId="2" numFmtId="0" xfId="0" applyBorder="1" applyFont="1"/>
    <xf borderId="6" fillId="0" fontId="2" numFmtId="0" xfId="0" applyBorder="1" applyFont="1"/>
    <xf borderId="1" fillId="3" fontId="4" numFmtId="0" xfId="0" applyAlignment="1" applyBorder="1" applyFill="1" applyFont="1">
      <alignment horizontal="center" readingOrder="0" shrinkToFit="0" vertical="center" wrapText="0"/>
    </xf>
    <xf borderId="7" fillId="0" fontId="2" numFmtId="0" xfId="0" applyBorder="1" applyFont="1"/>
    <xf borderId="8" fillId="0" fontId="2" numFmtId="0" xfId="0" applyBorder="1" applyFont="1"/>
    <xf borderId="1" fillId="4" fontId="5" numFmtId="0" xfId="0" applyAlignment="1" applyBorder="1" applyFill="1" applyFont="1">
      <alignment horizontal="center" readingOrder="0" shrinkToFit="0" vertical="center" wrapText="0"/>
    </xf>
    <xf borderId="9" fillId="0" fontId="2" numFmtId="0" xfId="0" applyBorder="1" applyFont="1"/>
    <xf borderId="10" fillId="0" fontId="2" numFmtId="0" xfId="0" applyBorder="1" applyFont="1"/>
    <xf borderId="11" fillId="0" fontId="2" numFmtId="0" xfId="0" applyBorder="1" applyFont="1"/>
    <xf borderId="1" fillId="5" fontId="6" numFmtId="0" xfId="0" applyAlignment="1" applyBorder="1" applyFill="1" applyFont="1">
      <alignment horizontal="center" readingOrder="0" shrinkToFit="0" vertical="center" wrapText="0"/>
    </xf>
    <xf borderId="4" fillId="6" fontId="7" numFmtId="0" xfId="0" applyAlignment="1" applyBorder="1" applyFill="1" applyFont="1">
      <alignment horizontal="center" readingOrder="0" shrinkToFit="0" vertical="center" wrapText="0"/>
    </xf>
    <xf borderId="4" fillId="7" fontId="8" numFmtId="0" xfId="0" applyAlignment="1" applyBorder="1" applyFill="1" applyFont="1">
      <alignment horizontal="center" readingOrder="0" shrinkToFit="0" vertical="center" wrapText="0"/>
    </xf>
    <xf borderId="4" fillId="8" fontId="9" numFmtId="0" xfId="0" applyAlignment="1" applyBorder="1" applyFill="1" applyFont="1">
      <alignment horizontal="center" readingOrder="0" shrinkToFit="0" vertical="center" wrapText="0"/>
    </xf>
    <xf borderId="4" fillId="9" fontId="10" numFmtId="0" xfId="0" applyAlignment="1" applyBorder="1" applyFill="1" applyFont="1">
      <alignment horizontal="center" readingOrder="0" shrinkToFit="0" vertical="center" wrapText="0"/>
    </xf>
    <xf borderId="1" fillId="0" fontId="11" numFmtId="0" xfId="0" applyAlignment="1" applyBorder="1" applyFont="1">
      <alignment horizontal="left" readingOrder="0" shrinkToFit="0" vertical="center" wrapText="0"/>
    </xf>
    <xf borderId="4" fillId="0" fontId="12" numFmtId="49" xfId="0" applyAlignment="1" applyBorder="1" applyFont="1" applyNumberFormat="1">
      <alignment readingOrder="0" shrinkToFit="0" vertical="bottom" wrapText="0"/>
    </xf>
    <xf borderId="12" fillId="0" fontId="2" numFmtId="0" xfId="0" applyBorder="1" applyFont="1"/>
    <xf borderId="13" fillId="0" fontId="2" numFmtId="0" xfId="0" applyBorder="1" applyFont="1"/>
    <xf borderId="1" fillId="0" fontId="13" numFmtId="49" xfId="0" applyAlignment="1" applyBorder="1" applyFont="1" applyNumberFormat="1">
      <alignment horizontal="center" readingOrder="0" shrinkToFit="0" vertical="center" wrapText="0"/>
    </xf>
    <xf borderId="4" fillId="10" fontId="14" numFmtId="49" xfId="0" applyAlignment="1" applyBorder="1" applyFill="1" applyFont="1" applyNumberFormat="1">
      <alignment horizontal="center" readingOrder="0" shrinkToFit="0" vertical="center" wrapText="0"/>
    </xf>
    <xf borderId="1" fillId="0" fontId="15" numFmtId="0" xfId="0" applyAlignment="1" applyBorder="1" applyFont="1">
      <alignment horizontal="left" readingOrder="0" shrinkToFit="0" vertical="center" wrapText="0"/>
    </xf>
    <xf borderId="4" fillId="0" fontId="16" numFmtId="0" xfId="0" applyAlignment="1" applyBorder="1" applyFont="1">
      <alignment horizontal="left" readingOrder="0" shrinkToFit="0" vertical="center" wrapText="0"/>
    </xf>
    <xf borderId="1" fillId="0" fontId="12" numFmtId="0" xfId="0" applyAlignment="1" applyBorder="1" applyFont="1">
      <alignment horizontal="left" readingOrder="0" shrinkToFit="0" vertical="center" wrapText="0"/>
    </xf>
    <xf borderId="4" fillId="0" fontId="16" numFmtId="0" xfId="0" applyAlignment="1" applyBorder="1" applyFont="1">
      <alignment horizontal="left" readingOrder="0" shrinkToFit="0" vertical="top" wrapText="0"/>
    </xf>
    <xf borderId="1" fillId="0" fontId="17" numFmtId="0" xfId="0" applyAlignment="1" applyBorder="1" applyFont="1">
      <alignment horizontal="left" readingOrder="0" shrinkToFit="0" vertical="center" wrapText="0"/>
    </xf>
    <xf borderId="14" fillId="0" fontId="18" numFmtId="0" xfId="0" applyAlignment="1" applyBorder="1" applyFont="1">
      <alignment horizontal="left" readingOrder="0" shrinkToFit="0" vertical="center" wrapText="0"/>
    </xf>
    <xf borderId="14" fillId="0" fontId="19" numFmtId="0" xfId="0" applyAlignment="1" applyBorder="1" applyFont="1">
      <alignment horizontal="left" readingOrder="0" shrinkToFit="0" vertical="center" wrapText="0"/>
    </xf>
    <xf borderId="1" fillId="0" fontId="20" numFmtId="0" xfId="0" applyAlignment="1" applyBorder="1" applyFont="1">
      <alignment horizontal="left" readingOrder="0" shrinkToFit="0" vertical="center" wrapText="0"/>
    </xf>
    <xf borderId="14" fillId="0" fontId="21" numFmtId="0" xfId="0" applyAlignment="1" applyBorder="1" applyFont="1">
      <alignment horizontal="left" readingOrder="0" shrinkToFit="0" vertical="center" wrapText="0"/>
    </xf>
    <xf borderId="14" fillId="0" fontId="12" numFmtId="0" xfId="0" applyAlignment="1" applyBorder="1" applyFont="1">
      <alignment horizontal="left" readingOrder="0" shrinkToFit="0" vertical="center" wrapText="0"/>
    </xf>
    <xf borderId="14" fillId="0" fontId="22" numFmtId="0" xfId="0" applyAlignment="1" applyBorder="1" applyFont="1">
      <alignment horizontal="left" shrinkToFit="0" vertical="center" wrapText="0"/>
    </xf>
    <xf borderId="14" fillId="0" fontId="22" numFmtId="49" xfId="0" applyAlignment="1" applyBorder="1" applyFont="1" applyNumberFormat="1">
      <alignment horizontal="left" shrinkToFit="0" vertical="center" wrapText="0"/>
    </xf>
    <xf borderId="14" fillId="0" fontId="1" numFmtId="0" xfId="0" applyAlignment="1" applyBorder="1" applyFont="1">
      <alignment horizontal="left" readingOrder="0" shrinkToFit="0" vertical="center" wrapText="0"/>
    </xf>
    <xf borderId="14" fillId="0" fontId="0" numFmtId="49" xfId="0" applyAlignment="1" applyBorder="1" applyFont="1" applyNumberFormat="1">
      <alignment horizontal="left" readingOrder="0" shrinkToFit="0" vertical="center" wrapText="0"/>
    </xf>
    <xf borderId="14" fillId="0" fontId="0" numFmtId="49" xfId="0" applyAlignment="1" applyBorder="1" applyFont="1" applyNumberFormat="1">
      <alignment horizontal="left" shrinkToFit="0" vertical="center" wrapText="0"/>
    </xf>
    <xf borderId="14" fillId="0" fontId="0" numFmtId="0" xfId="0" applyAlignment="1" applyBorder="1" applyFont="1">
      <alignment horizontal="left" readingOrder="0" shrinkToFit="0" vertical="center" wrapText="0"/>
    </xf>
    <xf borderId="14" fillId="0" fontId="0" numFmtId="0" xfId="0" applyAlignment="1" applyBorder="1" applyFont="1">
      <alignment horizontal="left" shrinkToFit="0" vertical="center" wrapText="0"/>
    </xf>
    <xf borderId="0" fillId="0" fontId="23" numFmtId="0" xfId="0" applyFont="1"/>
    <xf borderId="4" fillId="0" fontId="0" numFmtId="0" xfId="0" applyAlignment="1" applyBorder="1" applyFont="1">
      <alignment horizontal="left" readingOrder="0" shrinkToFit="0" vertical="center" wrapText="0"/>
    </xf>
    <xf borderId="0" fillId="11" fontId="24" numFmtId="0" xfId="0" applyFill="1" applyFont="1"/>
    <xf borderId="10" fillId="0" fontId="25" numFmtId="0" xfId="0" applyBorder="1" applyFont="1"/>
    <xf borderId="5" fillId="0" fontId="0" numFmtId="0" xfId="0" applyAlignment="1" applyBorder="1" applyFont="1">
      <alignment horizontal="left" readingOrder="0" shrinkToFit="0" vertical="center" wrapText="0"/>
    </xf>
    <xf borderId="6" fillId="0" fontId="0" numFmtId="0" xfId="0" applyAlignment="1" applyBorder="1" applyFont="1">
      <alignment horizontal="left" readingOrder="0" shrinkToFit="0" vertical="center" wrapText="0"/>
    </xf>
    <xf borderId="0" fillId="0" fontId="0" numFmtId="0" xfId="0" applyAlignment="1" applyFont="1">
      <alignment horizontal="left" readingOrder="0" shrinkToFit="0" vertical="center" wrapText="0"/>
    </xf>
    <xf borderId="8" fillId="0" fontId="0" numFmtId="0" xfId="0" applyAlignment="1" applyBorder="1" applyFont="1">
      <alignment horizontal="left" readingOrder="0" shrinkToFit="0" vertical="center" wrapText="0"/>
    </xf>
    <xf borderId="7" fillId="0" fontId="0" numFmtId="0" xfId="0" applyAlignment="1" applyBorder="1" applyFont="1">
      <alignment horizontal="left" readingOrder="0" shrinkToFit="0" vertical="center" wrapText="0"/>
    </xf>
    <xf borderId="9" fillId="0" fontId="26" numFmtId="0" xfId="0" applyAlignment="1" applyBorder="1" applyFont="1">
      <alignment horizontal="left" readingOrder="0" shrinkToFit="0" vertical="center" wrapText="0"/>
    </xf>
    <xf borderId="10" fillId="0" fontId="0" numFmtId="0" xfId="0" applyAlignment="1" applyBorder="1" applyFont="1">
      <alignment horizontal="left" readingOrder="0" shrinkToFit="0" vertical="center" wrapText="0"/>
    </xf>
    <xf borderId="11" fillId="0" fontId="0" numFmtId="0" xfId="0" applyAlignment="1" applyBorder="1" applyFont="1">
      <alignment horizontal="left" readingOrder="0" shrinkToFit="0" vertical="center" wrapText="0"/>
    </xf>
    <xf borderId="14" fillId="0" fontId="27" numFmtId="49" xfId="0" applyAlignment="1" applyBorder="1" applyFont="1" applyNumberFormat="1">
      <alignment horizontal="left" readingOrder="0" shrinkToFit="0" vertical="center" wrapText="0"/>
    </xf>
    <xf borderId="14" fillId="0" fontId="28" numFmtId="0" xfId="0" applyAlignment="1" applyBorder="1" applyFont="1">
      <alignment horizontal="left" readingOrder="0" shrinkToFit="0" vertical="center" wrapText="0"/>
    </xf>
    <xf borderId="14" fillId="0" fontId="28" numFmtId="49" xfId="0" applyAlignment="1" applyBorder="1" applyFont="1" applyNumberFormat="1">
      <alignment horizontal="left" readingOrder="0" shrinkToFit="0" vertical="center" wrapText="0"/>
    </xf>
    <xf borderId="14" fillId="0" fontId="1" numFmtId="49" xfId="0" applyAlignment="1" applyBorder="1" applyFont="1" applyNumberFormat="1">
      <alignment horizontal="left" readingOrder="0" shrinkToFit="0" vertical="center" wrapText="0"/>
    </xf>
    <xf borderId="15" fillId="12" fontId="29" numFmtId="0" xfId="0" applyAlignment="1" applyBorder="1" applyFill="1" applyFont="1">
      <alignment horizontal="left" readingOrder="0" shrinkToFit="0" vertical="center" wrapText="0"/>
    </xf>
    <xf borderId="15" fillId="12" fontId="30" numFmtId="0" xfId="0" applyAlignment="1" applyBorder="1" applyFont="1">
      <alignment horizontal="center" readingOrder="0" shrinkToFit="0" vertical="center" wrapText="0"/>
    </xf>
    <xf borderId="16" fillId="12" fontId="30" numFmtId="0" xfId="0" applyAlignment="1" applyBorder="1" applyFont="1">
      <alignment horizontal="left" readingOrder="0" shrinkToFit="0" vertical="center" wrapText="0"/>
    </xf>
    <xf borderId="17" fillId="0" fontId="2" numFmtId="0" xfId="0" applyBorder="1" applyFont="1"/>
    <xf borderId="18" fillId="0" fontId="2" numFmtId="0" xfId="0" applyBorder="1" applyFont="1"/>
    <xf borderId="16" fillId="12" fontId="31" numFmtId="0" xfId="0" applyAlignment="1" applyBorder="1" applyFont="1">
      <alignment horizontal="center" readingOrder="0" shrinkToFit="0" vertical="center" wrapText="0"/>
    </xf>
    <xf borderId="16" fillId="12" fontId="31" numFmtId="0" xfId="0" applyAlignment="1" applyBorder="1" applyFont="1">
      <alignment horizontal="left" readingOrder="0" vertical="center"/>
    </xf>
    <xf borderId="15" fillId="12" fontId="32" numFmtId="0" xfId="0" applyAlignment="1" applyBorder="1" applyFont="1">
      <alignment vertical="center"/>
    </xf>
    <xf borderId="15" fillId="12" fontId="29" numFmtId="0" xfId="0" applyAlignment="1" applyBorder="1" applyFont="1">
      <alignment readingOrder="0" shrinkToFit="0" vertical="center" wrapText="0"/>
    </xf>
    <xf borderId="15" fillId="12" fontId="29" numFmtId="49" xfId="0" applyAlignment="1" applyBorder="1" applyFont="1" applyNumberFormat="1">
      <alignment horizontal="left" readingOrder="0" shrinkToFit="0" vertical="center" wrapText="0"/>
    </xf>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15" fillId="12" fontId="31" numFmtId="0" xfId="0" applyAlignment="1" applyBorder="1" applyFont="1">
      <alignment horizontal="center" readingOrder="0" shrinkToFit="0" vertical="center" wrapText="0"/>
    </xf>
    <xf borderId="15" fillId="12" fontId="31" numFmtId="0" xfId="0" applyAlignment="1" applyBorder="1" applyFont="1">
      <alignment horizontal="left" readingOrder="0" vertical="center"/>
    </xf>
    <xf borderId="15" fillId="12" fontId="32" numFmtId="0" xfId="0" applyBorder="1" applyFont="1"/>
    <xf borderId="24" fillId="12" fontId="33" numFmtId="0" xfId="0" applyAlignment="1" applyBorder="1" applyFont="1">
      <alignment horizontal="center" vertical="bottom"/>
    </xf>
    <xf borderId="25" fillId="0" fontId="2" numFmtId="0" xfId="0" applyBorder="1" applyFont="1"/>
    <xf borderId="15" fillId="12" fontId="33" numFmtId="0" xfId="0" applyBorder="1" applyFont="1"/>
    <xf borderId="15" fillId="12" fontId="34" numFmtId="0" xfId="0" applyAlignment="1" applyBorder="1" applyFont="1">
      <alignment readingOrder="0" shrinkToFit="0" vertical="center" wrapText="0"/>
    </xf>
    <xf borderId="15" fillId="12" fontId="33" numFmtId="0" xfId="0" applyAlignment="1" applyBorder="1" applyFont="1">
      <alignment vertical="center"/>
    </xf>
    <xf borderId="24" fillId="12" fontId="35" numFmtId="0" xfId="0" applyAlignment="1" applyBorder="1" applyFont="1">
      <alignment horizontal="center" readingOrder="0" vertical="bottom"/>
    </xf>
    <xf borderId="15" fillId="12" fontId="33" numFmtId="0" xfId="0" applyAlignment="1" applyBorder="1" applyFont="1">
      <alignment vertical="center"/>
    </xf>
    <xf borderId="16" fillId="12" fontId="36" numFmtId="164" xfId="0" applyAlignment="1" applyBorder="1" applyFont="1" applyNumberFormat="1">
      <alignment horizontal="center" readingOrder="0" vertical="center"/>
    </xf>
    <xf borderId="24" fillId="12" fontId="32" numFmtId="0" xfId="0" applyAlignment="1" applyBorder="1" applyFont="1">
      <alignment horizontal="center"/>
    </xf>
    <xf borderId="24" fillId="12" fontId="32" numFmtId="0" xfId="0" applyAlignment="1" applyBorder="1" applyFont="1">
      <alignment horizontal="center" readingOrder="0"/>
    </xf>
    <xf borderId="16" fillId="12" fontId="30" numFmtId="0" xfId="0" applyAlignment="1" applyBorder="1" applyFont="1">
      <alignment horizontal="center" readingOrder="0" shrinkToFit="0" vertical="center" wrapText="0"/>
    </xf>
    <xf borderId="15" fillId="12" fontId="32" numFmtId="0" xfId="0" applyAlignment="1" applyBorder="1" applyFont="1">
      <alignment horizontal="center"/>
    </xf>
    <xf borderId="0" fillId="0" fontId="30" numFmtId="0" xfId="0" applyAlignment="1" applyFont="1">
      <alignment horizontal="center" readingOrder="0" shrinkToFit="0" vertical="center" wrapText="0"/>
    </xf>
    <xf borderId="0" fillId="0" fontId="29" numFmtId="0" xfId="0" applyAlignment="1" applyFont="1">
      <alignment horizontal="center" readingOrder="0" shrinkToFit="0" vertical="center" wrapText="0"/>
    </xf>
    <xf borderId="0" fillId="0" fontId="30" numFmtId="0" xfId="0" applyAlignment="1" applyFont="1">
      <alignment horizontal="left" readingOrder="0" shrinkToFit="0" vertical="center" wrapText="0"/>
    </xf>
    <xf borderId="0" fillId="0" fontId="32" numFmtId="0" xfId="0" applyFont="1"/>
    <xf borderId="0" fillId="0" fontId="29" numFmtId="0" xfId="0" applyAlignment="1" applyFont="1">
      <alignment readingOrder="0" shrinkToFit="0" vertical="center" wrapText="0"/>
    </xf>
    <xf borderId="0" fillId="0" fontId="32" numFmtId="0" xfId="0" applyAlignment="1" applyFont="1">
      <alignment vertical="center"/>
    </xf>
    <xf borderId="0" fillId="0" fontId="37" numFmtId="0" xfId="0" applyAlignment="1" applyFont="1">
      <alignment horizontal="center" readingOrder="0" shrinkToFit="0" vertical="center" wrapText="0"/>
    </xf>
    <xf borderId="0" fillId="0" fontId="38" numFmtId="0" xfId="0" applyAlignment="1" applyFont="1">
      <alignment horizontal="center" readingOrder="0" shrinkToFit="0" vertical="center" wrapText="0"/>
    </xf>
    <xf borderId="0" fillId="0" fontId="37" numFmtId="0" xfId="0" applyAlignment="1" applyFont="1">
      <alignment horizontal="left" readingOrder="0" shrinkToFit="0" vertical="center" wrapText="0"/>
    </xf>
    <xf borderId="0" fillId="0" fontId="39" numFmtId="0" xfId="0" applyAlignment="1" applyFont="1">
      <alignment readingOrder="0"/>
    </xf>
    <xf borderId="0" fillId="0" fontId="40" numFmtId="0" xfId="0" applyFont="1"/>
    <xf borderId="0" fillId="11" fontId="41" numFmtId="0" xfId="0" applyAlignment="1" applyFont="1">
      <alignment readingOrder="0" shrinkToFit="0" vertical="center" wrapText="0"/>
    </xf>
    <xf borderId="0" fillId="11" fontId="17" numFmtId="0" xfId="0" applyAlignment="1" applyFont="1">
      <alignment horizontal="center" readingOrder="0" shrinkToFit="0" vertical="center" wrapText="0"/>
    </xf>
    <xf borderId="0" fillId="0" fontId="17" numFmtId="0" xfId="0" applyAlignment="1" applyFont="1">
      <alignment horizontal="left" readingOrder="0" shrinkToFit="0" vertical="center" wrapText="0"/>
    </xf>
    <xf borderId="0" fillId="0" fontId="40" numFmtId="0" xfId="0" applyAlignment="1" applyFont="1">
      <alignment vertical="center"/>
    </xf>
    <xf borderId="26" fillId="13" fontId="42" numFmtId="0" xfId="0" applyAlignment="1" applyBorder="1" applyFill="1" applyFont="1">
      <alignment horizontal="left" readingOrder="0" shrinkToFit="0" vertical="center" wrapText="0"/>
    </xf>
    <xf borderId="27" fillId="0" fontId="2" numFmtId="0" xfId="0" applyBorder="1" applyFont="1"/>
    <xf borderId="0" fillId="0" fontId="40" numFmtId="0" xfId="0" applyAlignment="1" applyFont="1">
      <alignment readingOrder="0"/>
    </xf>
    <xf borderId="28" fillId="0" fontId="2" numFmtId="0" xfId="0" applyBorder="1" applyFont="1"/>
    <xf borderId="29" fillId="0" fontId="2" numFmtId="0" xfId="0" applyBorder="1" applyFont="1"/>
    <xf borderId="30" fillId="13" fontId="17" numFmtId="0" xfId="0" applyAlignment="1" applyBorder="1" applyFont="1">
      <alignment horizontal="left" readingOrder="0" shrinkToFit="0" vertical="center" wrapText="0"/>
    </xf>
    <xf borderId="31" fillId="0" fontId="2" numFmtId="0" xfId="0" applyBorder="1" applyFont="1"/>
    <xf borderId="32" fillId="0" fontId="2" numFmtId="0" xfId="0" applyBorder="1" applyFont="1"/>
    <xf borderId="0" fillId="11" fontId="41" numFmtId="0" xfId="0" applyAlignment="1" applyFont="1">
      <alignment shrinkToFit="0" vertical="center" wrapText="0"/>
    </xf>
    <xf borderId="33" fillId="14" fontId="41" numFmtId="0" xfId="0" applyAlignment="1" applyBorder="1" applyFill="1" applyFont="1">
      <alignment readingOrder="0" shrinkToFit="0" vertical="center" wrapText="0"/>
    </xf>
    <xf borderId="33" fillId="11" fontId="41" numFmtId="49" xfId="0" applyAlignment="1" applyBorder="1" applyFont="1" applyNumberFormat="1">
      <alignment horizontal="center" readingOrder="0" shrinkToFit="0" vertical="center" wrapText="0"/>
    </xf>
    <xf borderId="0" fillId="11" fontId="41" numFmtId="49" xfId="0" applyAlignment="1" applyFont="1" applyNumberFormat="1">
      <alignment horizontal="center" readingOrder="0" shrinkToFit="0" vertical="center" wrapText="0"/>
    </xf>
    <xf borderId="33" fillId="0" fontId="2" numFmtId="165" xfId="0" applyBorder="1" applyFont="1" applyNumberFormat="1"/>
    <xf borderId="33" fillId="14" fontId="41" numFmtId="0" xfId="0" applyAlignment="1" applyBorder="1" applyFont="1">
      <alignment horizontal="left" readingOrder="0" shrinkToFit="0" vertical="center" wrapText="0"/>
    </xf>
    <xf borderId="0" fillId="11" fontId="41" numFmtId="0" xfId="0" applyAlignment="1" applyFont="1">
      <alignment horizontal="center" readingOrder="0" shrinkToFit="0" vertical="center" wrapText="0"/>
    </xf>
    <xf borderId="0" fillId="0" fontId="41" numFmtId="0" xfId="0" applyAlignment="1" applyFont="1">
      <alignment shrinkToFit="0" vertical="center" wrapText="0"/>
    </xf>
    <xf borderId="26" fillId="15" fontId="42" numFmtId="0" xfId="0" applyAlignment="1" applyBorder="1" applyFill="1" applyFont="1">
      <alignment readingOrder="0" shrinkToFit="0" vertical="center" wrapText="0"/>
    </xf>
    <xf borderId="0" fillId="0" fontId="43" numFmtId="0" xfId="0" applyAlignment="1" applyFont="1">
      <alignment horizontal="center" readingOrder="0" shrinkToFit="0" vertical="center" wrapText="0"/>
    </xf>
    <xf borderId="0" fillId="0" fontId="44" numFmtId="0" xfId="0" applyAlignment="1" applyFont="1">
      <alignment horizontal="left" readingOrder="0" shrinkToFit="0" vertical="center" wrapText="0"/>
    </xf>
    <xf borderId="0" fillId="0" fontId="44" numFmtId="49" xfId="0" applyAlignment="1" applyFont="1" applyNumberFormat="1">
      <alignment horizontal="left" readingOrder="0" shrinkToFit="0" vertical="center" wrapText="0"/>
    </xf>
    <xf borderId="0" fillId="0" fontId="44" numFmtId="4" xfId="0" applyAlignment="1" applyFont="1" applyNumberFormat="1">
      <alignment horizontal="left" readingOrder="0" shrinkToFit="0" vertical="center" wrapText="0"/>
    </xf>
    <xf borderId="0" fillId="11" fontId="44" numFmtId="0" xfId="0" applyAlignment="1" applyFont="1">
      <alignment horizontal="center" readingOrder="0" shrinkToFit="0" vertical="center" wrapText="0"/>
    </xf>
    <xf borderId="0" fillId="11" fontId="43" numFmtId="0" xfId="0" applyAlignment="1" applyFont="1">
      <alignment horizontal="center" readingOrder="0" shrinkToFit="0" vertical="center" wrapText="0"/>
    </xf>
    <xf borderId="0" fillId="11" fontId="45" numFmtId="0" xfId="0" applyAlignment="1" applyFont="1">
      <alignment horizontal="center" readingOrder="0" shrinkToFit="0" vertical="center" wrapText="0"/>
    </xf>
    <xf borderId="31" fillId="15" fontId="17" numFmtId="49" xfId="0" applyAlignment="1" applyBorder="1" applyFont="1" applyNumberFormat="1">
      <alignment horizontal="center" readingOrder="0" shrinkToFit="0" vertical="center" wrapText="0"/>
    </xf>
    <xf borderId="33" fillId="15" fontId="17" numFmtId="49" xfId="0" applyAlignment="1" applyBorder="1" applyFont="1" applyNumberFormat="1">
      <alignment horizontal="center" readingOrder="0" shrinkToFit="0" vertical="center" wrapText="0"/>
    </xf>
    <xf borderId="31" fillId="15" fontId="17" numFmtId="0" xfId="0" applyAlignment="1" applyBorder="1" applyFont="1">
      <alignment horizontal="center" readingOrder="0" shrinkToFit="0" vertical="center" wrapText="0"/>
    </xf>
    <xf borderId="30" fillId="15" fontId="17" numFmtId="0" xfId="0" applyAlignment="1" applyBorder="1" applyFont="1">
      <alignment horizontal="left" readingOrder="0" shrinkToFit="0" vertical="center" wrapText="0"/>
    </xf>
    <xf borderId="33" fillId="15" fontId="17" numFmtId="0" xfId="0" applyAlignment="1" applyBorder="1" applyFont="1">
      <alignment horizontal="center" readingOrder="0" shrinkToFit="0" vertical="center" wrapText="0"/>
    </xf>
    <xf borderId="33" fillId="15" fontId="46" numFmtId="0" xfId="0" applyAlignment="1" applyBorder="1" applyFont="1">
      <alignment horizontal="center" readingOrder="0" shrinkToFit="0" vertical="center" wrapText="0"/>
    </xf>
    <xf borderId="34" fillId="16" fontId="41" numFmtId="0" xfId="0" applyAlignment="1" applyBorder="1" applyFill="1" applyFont="1">
      <alignment readingOrder="0" shrinkToFit="0" vertical="center" wrapText="0"/>
    </xf>
    <xf borderId="33" fillId="17" fontId="41" numFmtId="49" xfId="0" applyAlignment="1" applyBorder="1" applyFill="1" applyFont="1" applyNumberFormat="1">
      <alignment horizontal="left" readingOrder="0" shrinkToFit="0" vertical="center" wrapText="0"/>
    </xf>
    <xf borderId="33" fillId="0" fontId="47" numFmtId="49" xfId="0" applyAlignment="1" applyBorder="1" applyFont="1" applyNumberFormat="1">
      <alignment horizontal="center" readingOrder="0" shrinkToFit="0" vertical="center" wrapText="0"/>
    </xf>
    <xf borderId="31" fillId="0" fontId="40" numFmtId="49" xfId="0" applyAlignment="1" applyBorder="1" applyFont="1" applyNumberFormat="1">
      <alignment horizontal="center" readingOrder="0" shrinkToFit="0" vertical="center" wrapText="0"/>
    </xf>
    <xf borderId="33" fillId="0" fontId="40" numFmtId="49" xfId="0" applyAlignment="1" applyBorder="1" applyFont="1" applyNumberFormat="1">
      <alignment horizontal="center" readingOrder="0" shrinkToFit="0" vertical="center" wrapText="0"/>
    </xf>
    <xf borderId="33" fillId="0" fontId="41" numFmtId="0" xfId="0" applyAlignment="1" applyBorder="1" applyFont="1">
      <alignment horizontal="center" readingOrder="0" shrinkToFit="0" vertical="center" wrapText="0"/>
    </xf>
    <xf borderId="31" fillId="0" fontId="41" numFmtId="49" xfId="0" applyAlignment="1" applyBorder="1" applyFont="1" applyNumberFormat="1">
      <alignment horizontal="center" readingOrder="0" shrinkToFit="0" vertical="center" wrapText="0"/>
    </xf>
    <xf borderId="30" fillId="0" fontId="41" numFmtId="0" xfId="0" applyAlignment="1" applyBorder="1" applyFont="1">
      <alignment horizontal="left" readingOrder="0" shrinkToFit="0" vertical="top" wrapText="1"/>
    </xf>
    <xf borderId="33" fillId="0" fontId="48" numFmtId="0" xfId="0" applyAlignment="1" applyBorder="1" applyFont="1">
      <alignment horizontal="center" shrinkToFit="0" vertical="center" wrapText="0"/>
    </xf>
    <xf borderId="31" fillId="0" fontId="40" numFmtId="0" xfId="0" applyAlignment="1" applyBorder="1" applyFont="1">
      <alignment horizontal="center" shrinkToFit="0" vertical="center" wrapText="0"/>
    </xf>
    <xf borderId="31" fillId="11" fontId="40" numFmtId="0" xfId="0" applyAlignment="1" applyBorder="1" applyFont="1">
      <alignment horizontal="center" shrinkToFit="0" vertical="center" wrapText="0"/>
    </xf>
    <xf borderId="31" fillId="18" fontId="40" numFmtId="0" xfId="0" applyAlignment="1" applyBorder="1" applyFill="1" applyFont="1">
      <alignment horizontal="center" shrinkToFit="0" vertical="center" wrapText="0"/>
    </xf>
    <xf borderId="33" fillId="11" fontId="41" numFmtId="0" xfId="0" applyAlignment="1" applyBorder="1" applyFont="1">
      <alignment horizontal="center" readingOrder="0" shrinkToFit="0" vertical="center" wrapText="0"/>
    </xf>
    <xf borderId="35" fillId="0" fontId="2" numFmtId="0" xfId="0" applyBorder="1" applyFont="1"/>
    <xf borderId="36" fillId="17" fontId="41" numFmtId="49" xfId="0" applyAlignment="1" applyBorder="1" applyFont="1" applyNumberFormat="1">
      <alignment horizontal="left" readingOrder="0" shrinkToFit="0" vertical="center" wrapText="0"/>
    </xf>
    <xf borderId="36" fillId="0" fontId="47" numFmtId="49" xfId="0" applyAlignment="1" applyBorder="1" applyFont="1" applyNumberFormat="1">
      <alignment horizontal="center" readingOrder="0" shrinkToFit="0" vertical="center" wrapText="0"/>
    </xf>
    <xf borderId="29" fillId="0" fontId="40" numFmtId="49" xfId="0" applyAlignment="1" applyBorder="1" applyFont="1" applyNumberFormat="1">
      <alignment horizontal="center" readingOrder="0" shrinkToFit="0" vertical="center" wrapText="0"/>
    </xf>
    <xf borderId="36" fillId="0" fontId="40" numFmtId="49" xfId="0" applyAlignment="1" applyBorder="1" applyFont="1" applyNumberFormat="1">
      <alignment horizontal="center" readingOrder="0" shrinkToFit="0" vertical="center" wrapText="0"/>
    </xf>
    <xf borderId="30" fillId="11" fontId="41" numFmtId="0" xfId="0" applyAlignment="1" applyBorder="1" applyFont="1">
      <alignment horizontal="left" readingOrder="0" shrinkToFit="0" vertical="top" wrapText="1"/>
    </xf>
    <xf borderId="36" fillId="0" fontId="48" numFmtId="0" xfId="0" applyAlignment="1" applyBorder="1" applyFont="1">
      <alignment horizontal="center" shrinkToFit="0" vertical="center" wrapText="0"/>
    </xf>
    <xf borderId="29" fillId="0" fontId="40" numFmtId="0" xfId="0" applyAlignment="1" applyBorder="1" applyFont="1">
      <alignment horizontal="center" shrinkToFit="0" vertical="center" wrapText="0"/>
    </xf>
    <xf borderId="29" fillId="11" fontId="40" numFmtId="0" xfId="0" applyAlignment="1" applyBorder="1" applyFont="1">
      <alignment horizontal="center" shrinkToFit="0" vertical="center" wrapText="0"/>
    </xf>
    <xf borderId="29" fillId="18" fontId="40" numFmtId="0" xfId="0" applyAlignment="1" applyBorder="1" applyFont="1">
      <alignment horizontal="center" shrinkToFit="0" vertical="center" wrapText="0"/>
    </xf>
    <xf borderId="36" fillId="0" fontId="2" numFmtId="0" xfId="0" applyBorder="1" applyFont="1"/>
    <xf borderId="29" fillId="0" fontId="40" numFmtId="49" xfId="0" applyAlignment="1" applyBorder="1" applyFont="1" applyNumberFormat="1">
      <alignment horizontal="center" shrinkToFit="0" vertical="center" wrapText="0"/>
    </xf>
    <xf borderId="36" fillId="0" fontId="40" numFmtId="49" xfId="0" applyAlignment="1" applyBorder="1" applyFont="1" applyNumberFormat="1">
      <alignment horizontal="center" shrinkToFit="0" vertical="center" wrapText="0"/>
    </xf>
    <xf borderId="30" fillId="11" fontId="49" numFmtId="0" xfId="0" applyAlignment="1" applyBorder="1" applyFont="1">
      <alignment horizontal="left" readingOrder="0" shrinkToFit="0" vertical="top" wrapText="1"/>
    </xf>
    <xf borderId="36" fillId="17" fontId="41" numFmtId="49" xfId="0" applyAlignment="1" applyBorder="1" applyFont="1" applyNumberFormat="1">
      <alignment horizontal="left" shrinkToFit="0" vertical="center" wrapText="0"/>
    </xf>
    <xf borderId="37" fillId="0" fontId="40" numFmtId="49" xfId="0" applyAlignment="1" applyBorder="1" applyFont="1" applyNumberFormat="1">
      <alignment horizontal="center" shrinkToFit="0" vertical="center" wrapText="0"/>
    </xf>
    <xf borderId="31" fillId="10" fontId="41" numFmtId="49" xfId="0" applyAlignment="1" applyBorder="1" applyFont="1" applyNumberFormat="1">
      <alignment horizontal="center" readingOrder="0" shrinkToFit="0" vertical="center" wrapText="0"/>
    </xf>
    <xf borderId="26" fillId="11" fontId="41" numFmtId="0" xfId="0" applyAlignment="1" applyBorder="1" applyFont="1">
      <alignment horizontal="left" readingOrder="0" shrinkToFit="0" vertical="top" wrapText="1"/>
    </xf>
    <xf borderId="38" fillId="0" fontId="2" numFmtId="0" xfId="0" applyBorder="1" applyFont="1"/>
    <xf borderId="36" fillId="0" fontId="40" numFmtId="0" xfId="0" applyAlignment="1" applyBorder="1" applyFont="1">
      <alignment horizontal="center" shrinkToFit="0" vertical="center" wrapText="0"/>
    </xf>
    <xf borderId="34" fillId="11" fontId="41" numFmtId="0" xfId="0" applyAlignment="1" applyBorder="1" applyFont="1">
      <alignment horizontal="center" readingOrder="0" shrinkToFit="0" vertical="center" wrapText="0"/>
    </xf>
    <xf borderId="36" fillId="0" fontId="47" numFmtId="49" xfId="0" applyAlignment="1" applyBorder="1" applyFont="1" applyNumberFormat="1">
      <alignment horizontal="center" shrinkToFit="0" vertical="center" wrapText="0"/>
    </xf>
    <xf borderId="39" fillId="0" fontId="2" numFmtId="0" xfId="0" applyBorder="1" applyFont="1"/>
    <xf borderId="36" fillId="0" fontId="40" numFmtId="0" xfId="0" applyAlignment="1" applyBorder="1" applyFont="1">
      <alignment horizontal="center" shrinkToFit="0" vertical="center" wrapText="0"/>
    </xf>
    <xf borderId="33" fillId="16" fontId="41" numFmtId="0" xfId="0" applyAlignment="1" applyBorder="1" applyFont="1">
      <alignment readingOrder="0" shrinkToFit="0" vertical="center" wrapText="0"/>
    </xf>
    <xf borderId="36" fillId="0" fontId="48" numFmtId="0" xfId="0" applyAlignment="1" applyBorder="1" applyFont="1">
      <alignment horizontal="center" shrinkToFit="0" vertical="center" wrapText="0"/>
    </xf>
    <xf borderId="36" fillId="11" fontId="40" numFmtId="0" xfId="0" applyAlignment="1" applyBorder="1" applyFont="1">
      <alignment horizontal="center" shrinkToFit="0" vertical="center" wrapText="0"/>
    </xf>
    <xf borderId="30" fillId="11" fontId="0" numFmtId="0" xfId="0" applyAlignment="1" applyBorder="1" applyFont="1">
      <alignment horizontal="left" readingOrder="0" shrinkToFit="0" vertical="top" wrapText="1"/>
    </xf>
    <xf borderId="36" fillId="11" fontId="40" numFmtId="0" xfId="0" applyAlignment="1" applyBorder="1" applyFont="1">
      <alignment horizontal="center" shrinkToFit="0" vertical="center" wrapText="0"/>
    </xf>
    <xf borderId="26" fillId="11" fontId="0" numFmtId="0" xfId="0" applyAlignment="1" applyBorder="1" applyFont="1">
      <alignment horizontal="left" readingOrder="0" shrinkToFit="0" vertical="top" wrapText="1"/>
    </xf>
    <xf borderId="0" fillId="0" fontId="41" numFmtId="0" xfId="0" applyAlignment="1" applyFont="1">
      <alignment horizontal="left" shrinkToFit="0" vertical="center" wrapText="0"/>
    </xf>
    <xf borderId="0" fillId="0" fontId="41" numFmtId="49" xfId="0" applyAlignment="1" applyFont="1" applyNumberFormat="1">
      <alignment shrinkToFit="0" vertical="center" wrapText="0"/>
    </xf>
    <xf borderId="26" fillId="19" fontId="50" numFmtId="0" xfId="0" applyAlignment="1" applyBorder="1" applyFill="1" applyFont="1">
      <alignment readingOrder="0" shrinkToFit="0" vertical="center" wrapText="0"/>
    </xf>
    <xf borderId="0" fillId="0" fontId="44" numFmtId="49" xfId="0" applyAlignment="1" applyFont="1" applyNumberFormat="1">
      <alignment horizontal="center" readingOrder="0" shrinkToFit="0" vertical="center" wrapText="0"/>
    </xf>
    <xf borderId="0" fillId="0" fontId="44" numFmtId="0" xfId="0" applyAlignment="1" applyFont="1">
      <alignment horizontal="center" readingOrder="0" shrinkToFit="0" vertical="center" wrapText="0"/>
    </xf>
    <xf borderId="0" fillId="0" fontId="51" numFmtId="0" xfId="0" applyAlignment="1" applyFont="1">
      <alignment horizontal="center" readingOrder="0" shrinkToFit="0" vertical="center" wrapText="0"/>
    </xf>
    <xf borderId="33" fillId="19" fontId="44" numFmtId="49" xfId="0" applyAlignment="1" applyBorder="1" applyFont="1" applyNumberFormat="1">
      <alignment horizontal="center" readingOrder="0" shrinkToFit="0" vertical="center" wrapText="0"/>
    </xf>
    <xf borderId="30" fillId="19" fontId="44" numFmtId="49" xfId="0" applyAlignment="1" applyBorder="1" applyFont="1" applyNumberFormat="1">
      <alignment horizontal="center" readingOrder="0" shrinkToFit="0" vertical="center" wrapText="0"/>
    </xf>
    <xf borderId="33" fillId="19" fontId="44" numFmtId="0" xfId="0" applyAlignment="1" applyBorder="1" applyFont="1">
      <alignment horizontal="center" readingOrder="0" shrinkToFit="0" vertical="center" wrapText="0"/>
    </xf>
    <xf borderId="31" fillId="19" fontId="44" numFmtId="0" xfId="0" applyAlignment="1" applyBorder="1" applyFont="1">
      <alignment horizontal="center" readingOrder="0" shrinkToFit="0" vertical="center" wrapText="0"/>
    </xf>
    <xf borderId="33" fillId="19" fontId="45" numFmtId="0" xfId="0" applyAlignment="1" applyBorder="1" applyFont="1">
      <alignment horizontal="center" readingOrder="0" shrinkToFit="0" vertical="center" wrapText="0"/>
    </xf>
    <xf borderId="30" fillId="19" fontId="45" numFmtId="0" xfId="0" applyAlignment="1" applyBorder="1" applyFont="1">
      <alignment horizontal="left" readingOrder="0" shrinkToFit="0" vertical="top" wrapText="0"/>
    </xf>
    <xf borderId="34" fillId="20" fontId="41" numFmtId="0" xfId="0" applyAlignment="1" applyBorder="1" applyFill="1" applyFont="1">
      <alignment readingOrder="0" shrinkToFit="0" vertical="center" wrapText="0"/>
    </xf>
    <xf borderId="33" fillId="21" fontId="47" numFmtId="49" xfId="0" applyBorder="1" applyFill="1" applyFont="1" applyNumberFormat="1"/>
    <xf borderId="31" fillId="0" fontId="47" numFmtId="49" xfId="0" applyAlignment="1" applyBorder="1" applyFont="1" applyNumberFormat="1">
      <alignment horizontal="center" readingOrder="0" shrinkToFit="0" wrapText="0"/>
    </xf>
    <xf borderId="37" fillId="0" fontId="0" numFmtId="49" xfId="0" applyAlignment="1" applyBorder="1" applyFont="1" applyNumberFormat="1">
      <alignment horizontal="center" readingOrder="0" shrinkToFit="0" vertical="center" wrapText="0"/>
    </xf>
    <xf borderId="33" fillId="0" fontId="47" numFmtId="49" xfId="0" applyAlignment="1" applyBorder="1" applyFont="1" applyNumberFormat="1">
      <alignment horizontal="center" shrinkToFit="0" vertical="center" wrapText="0"/>
    </xf>
    <xf borderId="36" fillId="0" fontId="41" numFmtId="0" xfId="0" applyAlignment="1" applyBorder="1" applyFont="1">
      <alignment horizontal="center" readingOrder="0" shrinkToFit="0" vertical="center" wrapText="0"/>
    </xf>
    <xf borderId="34" fillId="0" fontId="41" numFmtId="49" xfId="0" applyAlignment="1" applyBorder="1" applyFont="1" applyNumberFormat="1">
      <alignment horizontal="center" shrinkToFit="0" vertical="center" wrapText="0"/>
    </xf>
    <xf borderId="37" fillId="0" fontId="41" numFmtId="49" xfId="0" applyAlignment="1" applyBorder="1" applyFont="1" applyNumberFormat="1">
      <alignment horizontal="center" readingOrder="0" shrinkToFit="0" vertical="center" wrapText="0"/>
    </xf>
    <xf borderId="33" fillId="0" fontId="52" numFmtId="0" xfId="0" applyAlignment="1" applyBorder="1" applyFont="1">
      <alignment horizontal="center" shrinkToFit="0" vertical="center" wrapText="0"/>
    </xf>
    <xf borderId="31" fillId="0" fontId="53" numFmtId="0" xfId="0" applyAlignment="1" applyBorder="1" applyFont="1">
      <alignment horizontal="center" shrinkToFit="0" vertical="center" wrapText="0"/>
    </xf>
    <xf borderId="31" fillId="11" fontId="53" numFmtId="0" xfId="0" applyAlignment="1" applyBorder="1" applyFont="1">
      <alignment horizontal="center" shrinkToFit="0" vertical="center" wrapText="0"/>
    </xf>
    <xf borderId="33" fillId="11" fontId="49" numFmtId="0" xfId="0" applyAlignment="1" applyBorder="1" applyFont="1">
      <alignment horizontal="center" readingOrder="0" shrinkToFit="0" vertical="center" wrapText="0"/>
    </xf>
    <xf borderId="26" fillId="11" fontId="49" numFmtId="0" xfId="0" applyAlignment="1" applyBorder="1" applyFont="1">
      <alignment horizontal="center" readingOrder="0" shrinkToFit="0" vertical="center" wrapText="0"/>
    </xf>
    <xf borderId="36" fillId="21" fontId="47" numFmtId="49" xfId="0" applyBorder="1" applyFont="1" applyNumberFormat="1"/>
    <xf borderId="29" fillId="0" fontId="47" numFmtId="49" xfId="0" applyAlignment="1" applyBorder="1" applyFont="1" applyNumberFormat="1">
      <alignment horizontal="center" readingOrder="0" shrinkToFit="0" wrapText="0"/>
    </xf>
    <xf borderId="36" fillId="0" fontId="52" numFmtId="0" xfId="0" applyAlignment="1" applyBorder="1" applyFont="1">
      <alignment horizontal="center" shrinkToFit="0" vertical="center" wrapText="0"/>
    </xf>
    <xf borderId="29" fillId="0" fontId="53" numFmtId="0" xfId="0" applyAlignment="1" applyBorder="1" applyFont="1">
      <alignment horizontal="center" shrinkToFit="0" vertical="center" wrapText="0"/>
    </xf>
    <xf borderId="29" fillId="11" fontId="53" numFmtId="0" xfId="0" applyAlignment="1" applyBorder="1" applyFont="1">
      <alignment horizontal="center" shrinkToFit="0" vertical="center" wrapText="0"/>
    </xf>
    <xf borderId="36" fillId="21" fontId="40" numFmtId="49" xfId="0" applyBorder="1" applyFont="1" applyNumberFormat="1"/>
    <xf borderId="37" fillId="0" fontId="0" numFmtId="49" xfId="0" applyAlignment="1" applyBorder="1" applyFont="1" applyNumberFormat="1">
      <alignment horizontal="center" shrinkToFit="0" vertical="center" wrapText="0"/>
    </xf>
    <xf borderId="36" fillId="21" fontId="40" numFmtId="49" xfId="0" applyAlignment="1" applyBorder="1" applyFont="1" applyNumberFormat="1">
      <alignment readingOrder="0"/>
    </xf>
    <xf borderId="29" fillId="0" fontId="47" numFmtId="49" xfId="0" applyAlignment="1" applyBorder="1" applyFont="1" applyNumberFormat="1">
      <alignment horizontal="center" shrinkToFit="0" wrapText="0"/>
    </xf>
    <xf borderId="37" fillId="0" fontId="2" numFmtId="0" xfId="0" applyBorder="1" applyFont="1"/>
    <xf borderId="36" fillId="22" fontId="52" numFmtId="0" xfId="0" applyAlignment="1" applyBorder="1" applyFill="1" applyFont="1">
      <alignment horizontal="center" shrinkToFit="0" vertical="center" wrapText="0"/>
    </xf>
    <xf borderId="40" fillId="0" fontId="2" numFmtId="0" xfId="0" applyBorder="1" applyFont="1"/>
    <xf borderId="33" fillId="20" fontId="41" numFmtId="0" xfId="0" applyAlignment="1" applyBorder="1" applyFont="1">
      <alignment readingOrder="0" shrinkToFit="0" vertical="center" wrapText="0"/>
    </xf>
    <xf borderId="29" fillId="0" fontId="0" numFmtId="49" xfId="0" applyAlignment="1" applyBorder="1" applyFont="1" applyNumberFormat="1">
      <alignment horizontal="center" readingOrder="0" shrinkToFit="0" vertical="center" wrapText="0"/>
    </xf>
    <xf borderId="33" fillId="0" fontId="41" numFmtId="49" xfId="0" applyAlignment="1" applyBorder="1" applyFont="1" applyNumberFormat="1">
      <alignment horizontal="center" shrinkToFit="0" vertical="center" wrapText="0"/>
    </xf>
    <xf borderId="29" fillId="0" fontId="41" numFmtId="49" xfId="0" applyAlignment="1" applyBorder="1" applyFont="1" applyNumberFormat="1">
      <alignment horizontal="center" readingOrder="0" shrinkToFit="0" vertical="center" wrapText="0"/>
    </xf>
    <xf borderId="36" fillId="0" fontId="53" numFmtId="0" xfId="0" applyAlignment="1" applyBorder="1" applyFont="1">
      <alignment horizontal="center" shrinkToFit="0" vertical="center" wrapText="0"/>
    </xf>
    <xf borderId="30" fillId="11" fontId="49" numFmtId="0" xfId="0" applyAlignment="1" applyBorder="1" applyFont="1">
      <alignment horizontal="center" readingOrder="0" shrinkToFit="0" vertical="center" wrapText="0"/>
    </xf>
    <xf borderId="36" fillId="21" fontId="40" numFmtId="49" xfId="0" applyAlignment="1" applyBorder="1" applyFont="1" applyNumberFormat="1">
      <alignment readingOrder="0" vertical="center"/>
    </xf>
    <xf borderId="26" fillId="11" fontId="49" numFmtId="0" xfId="0" applyAlignment="1" applyBorder="1" applyFont="1">
      <alignment horizontal="left" readingOrder="0" shrinkToFit="0" vertical="top" wrapText="0"/>
    </xf>
    <xf borderId="36" fillId="21" fontId="40" numFmtId="49" xfId="0" applyAlignment="1" applyBorder="1" applyFont="1" applyNumberFormat="1">
      <alignment vertical="center"/>
    </xf>
    <xf borderId="36" fillId="0" fontId="52" numFmtId="0" xfId="0" applyAlignment="1" applyBorder="1" applyFont="1">
      <alignment horizontal="center" shrinkToFit="0" vertical="center" wrapText="0"/>
    </xf>
    <xf borderId="0" fillId="11" fontId="17" numFmtId="0" xfId="0" applyAlignment="1" applyFont="1">
      <alignment readingOrder="0" shrinkToFit="0" vertical="center" wrapText="0"/>
    </xf>
    <xf borderId="0" fillId="11" fontId="17" numFmtId="49" xfId="0" applyAlignment="1" applyFont="1" applyNumberFormat="1">
      <alignment horizontal="left" readingOrder="0" shrinkToFit="0" vertical="center" wrapText="0"/>
    </xf>
    <xf borderId="0" fillId="11" fontId="17" numFmtId="49" xfId="0" applyAlignment="1" applyFont="1" applyNumberFormat="1">
      <alignment horizontal="center" readingOrder="0" shrinkToFit="0" vertical="center" wrapText="0"/>
    </xf>
    <xf borderId="0" fillId="11" fontId="17" numFmtId="49" xfId="0" applyAlignment="1" applyFont="1" applyNumberFormat="1">
      <alignment horizontal="center" shrinkToFit="0" vertical="center" wrapText="0"/>
    </xf>
    <xf borderId="0" fillId="0" fontId="41" numFmtId="0" xfId="0" applyAlignment="1" applyFont="1">
      <alignment horizontal="center" shrinkToFit="0" vertical="center" wrapText="0"/>
    </xf>
    <xf borderId="0" fillId="11" fontId="41" numFmtId="0" xfId="0" applyAlignment="1" applyFont="1">
      <alignment horizontal="center" shrinkToFit="0" vertical="center" wrapText="0"/>
    </xf>
    <xf borderId="30" fillId="23" fontId="50" numFmtId="0" xfId="0" applyAlignment="1" applyBorder="1" applyFill="1" applyFont="1">
      <alignment readingOrder="0" shrinkToFit="0" vertical="center" wrapText="0"/>
    </xf>
    <xf borderId="30" fillId="23" fontId="44" numFmtId="0" xfId="0" applyAlignment="1" applyBorder="1" applyFont="1">
      <alignment readingOrder="0" shrinkToFit="0" vertical="center" wrapText="0"/>
    </xf>
    <xf borderId="33" fillId="23" fontId="44" numFmtId="49" xfId="0" applyAlignment="1" applyBorder="1" applyFont="1" applyNumberFormat="1">
      <alignment horizontal="center" readingOrder="0" shrinkToFit="0" vertical="center" wrapText="0"/>
    </xf>
    <xf borderId="31" fillId="23" fontId="44" numFmtId="49" xfId="0" applyAlignment="1" applyBorder="1" applyFont="1" applyNumberFormat="1">
      <alignment horizontal="center" readingOrder="0" shrinkToFit="0" vertical="center" wrapText="0"/>
    </xf>
    <xf borderId="31" fillId="23" fontId="44" numFmtId="0" xfId="0" applyAlignment="1" applyBorder="1" applyFont="1">
      <alignment horizontal="center" readingOrder="0" shrinkToFit="0" vertical="center" wrapText="0"/>
    </xf>
    <xf borderId="30" fillId="23" fontId="44" numFmtId="0" xfId="0" applyAlignment="1" applyBorder="1" applyFont="1">
      <alignment horizontal="left" readingOrder="0" shrinkToFit="0" vertical="center" wrapText="0"/>
    </xf>
    <xf borderId="33" fillId="23" fontId="44" numFmtId="0" xfId="0" applyAlignment="1" applyBorder="1" applyFont="1">
      <alignment horizontal="center" readingOrder="0" shrinkToFit="0" vertical="center" wrapText="0"/>
    </xf>
    <xf borderId="33" fillId="23" fontId="45" numFmtId="0" xfId="0" applyAlignment="1" applyBorder="1" applyFont="1">
      <alignment horizontal="center" readingOrder="0" shrinkToFit="0" vertical="center" wrapText="0"/>
    </xf>
    <xf borderId="34" fillId="24" fontId="41" numFmtId="0" xfId="0" applyAlignment="1" applyBorder="1" applyFill="1" applyFont="1">
      <alignment readingOrder="0" shrinkToFit="0" vertical="center" wrapText="0"/>
    </xf>
    <xf borderId="33" fillId="25" fontId="40" numFmtId="49" xfId="0" applyAlignment="1" applyBorder="1" applyFill="1" applyFont="1" applyNumberFormat="1">
      <alignment vertical="center"/>
    </xf>
    <xf borderId="33" fillId="0" fontId="41" numFmtId="49" xfId="0" applyAlignment="1" applyBorder="1" applyFont="1" applyNumberFormat="1">
      <alignment horizontal="center" readingOrder="0" shrinkToFit="0" vertical="center" wrapText="0"/>
    </xf>
    <xf borderId="26" fillId="11" fontId="41" numFmtId="0" xfId="0" applyAlignment="1" applyBorder="1" applyFont="1">
      <alignment horizontal="left" readingOrder="0" shrinkToFit="0" vertical="top" wrapText="0"/>
    </xf>
    <xf borderId="33" fillId="0" fontId="48" numFmtId="0" xfId="0" applyAlignment="1" applyBorder="1" applyFont="1">
      <alignment horizontal="center" shrinkToFit="0" vertical="center" wrapText="0"/>
    </xf>
    <xf borderId="36" fillId="26" fontId="40" numFmtId="49" xfId="0" applyAlignment="1" applyBorder="1" applyFill="1" applyFont="1" applyNumberFormat="1">
      <alignment shrinkToFit="0" vertical="center" wrapText="0"/>
    </xf>
    <xf borderId="33" fillId="25" fontId="41" numFmtId="49" xfId="0" applyAlignment="1" applyBorder="1" applyFont="1" applyNumberFormat="1">
      <alignment horizontal="left" readingOrder="0" shrinkToFit="0" vertical="center" wrapText="0"/>
    </xf>
    <xf borderId="33" fillId="0" fontId="0" numFmtId="49" xfId="0" applyAlignment="1" applyBorder="1" applyFont="1" applyNumberFormat="1">
      <alignment horizontal="center" readingOrder="0" shrinkToFit="0" vertical="center" wrapText="0"/>
    </xf>
    <xf borderId="29" fillId="11" fontId="0" numFmtId="49" xfId="0" applyAlignment="1" applyBorder="1" applyFont="1" applyNumberFormat="1">
      <alignment horizontal="center" readingOrder="0" shrinkToFit="0" vertical="center" wrapText="0"/>
    </xf>
    <xf borderId="33" fillId="0" fontId="0" numFmtId="0" xfId="0" applyAlignment="1" applyBorder="1" applyFont="1">
      <alignment horizontal="center" readingOrder="0" shrinkToFit="0" vertical="center" wrapText="0"/>
    </xf>
    <xf borderId="30" fillId="11" fontId="0" numFmtId="0" xfId="0" applyAlignment="1" applyBorder="1" applyFont="1">
      <alignment horizontal="left" readingOrder="0" shrinkToFit="0" vertical="top" wrapText="0"/>
    </xf>
    <xf borderId="33" fillId="0" fontId="40" numFmtId="0" xfId="0" applyAlignment="1" applyBorder="1" applyFont="1">
      <alignment horizontal="center" shrinkToFit="0" vertical="center" wrapText="0"/>
    </xf>
    <xf borderId="33" fillId="25" fontId="40" numFmtId="49" xfId="0" applyAlignment="1" applyBorder="1" applyFont="1" applyNumberFormat="1">
      <alignment readingOrder="0" shrinkToFit="0" vertical="center" wrapText="0"/>
    </xf>
    <xf borderId="34" fillId="27" fontId="41" numFmtId="49" xfId="0" applyAlignment="1" applyBorder="1" applyFill="1" applyFont="1" applyNumberFormat="1">
      <alignment horizontal="center" readingOrder="0" shrinkToFit="0" vertical="center" wrapText="0"/>
    </xf>
    <xf borderId="33" fillId="0" fontId="40" numFmtId="0" xfId="0" applyAlignment="1" applyBorder="1" applyFont="1">
      <alignment horizontal="center" shrinkToFit="0" vertical="center" wrapText="0"/>
    </xf>
    <xf borderId="31" fillId="0" fontId="40" numFmtId="0" xfId="0" applyAlignment="1" applyBorder="1" applyFont="1">
      <alignment horizontal="center" shrinkToFit="0" vertical="center" wrapText="0"/>
    </xf>
    <xf borderId="31" fillId="11" fontId="40" numFmtId="0" xfId="0" applyAlignment="1" applyBorder="1" applyFont="1">
      <alignment horizontal="center" shrinkToFit="0" vertical="center" wrapText="0"/>
    </xf>
    <xf borderId="31" fillId="18" fontId="40" numFmtId="0" xfId="0" applyAlignment="1" applyBorder="1" applyFont="1">
      <alignment horizontal="center" shrinkToFit="0" vertical="center" wrapText="0"/>
    </xf>
    <xf borderId="36" fillId="25" fontId="40" numFmtId="49" xfId="0" applyAlignment="1" applyBorder="1" applyFont="1" applyNumberFormat="1">
      <alignment readingOrder="0" shrinkToFit="0" vertical="center" wrapText="0"/>
    </xf>
    <xf borderId="29" fillId="0" fontId="40" numFmtId="0" xfId="0" applyAlignment="1" applyBorder="1" applyFont="1">
      <alignment horizontal="center" shrinkToFit="0" vertical="center" wrapText="0"/>
    </xf>
    <xf borderId="29" fillId="11" fontId="40" numFmtId="0" xfId="0" applyAlignment="1" applyBorder="1" applyFont="1">
      <alignment horizontal="center" shrinkToFit="0" vertical="center" wrapText="0"/>
    </xf>
    <xf borderId="29" fillId="18" fontId="40" numFmtId="0" xfId="0" applyAlignment="1" applyBorder="1" applyFont="1">
      <alignment horizontal="center" shrinkToFit="0" vertical="center" wrapText="0"/>
    </xf>
    <xf borderId="33" fillId="24" fontId="41" numFmtId="0" xfId="0" applyAlignment="1" applyBorder="1" applyFont="1">
      <alignment readingOrder="0" shrinkToFit="0" vertical="center" wrapText="0"/>
    </xf>
    <xf borderId="36" fillId="0" fontId="40" numFmtId="49" xfId="0" applyAlignment="1" applyBorder="1" applyFont="1" applyNumberFormat="1">
      <alignment horizontal="center" readingOrder="0" vertical="center"/>
    </xf>
    <xf borderId="33" fillId="27" fontId="41" numFmtId="0" xfId="0" applyAlignment="1" applyBorder="1" applyFont="1">
      <alignment horizontal="center" shrinkToFit="0" vertical="center" wrapText="0"/>
    </xf>
    <xf borderId="33" fillId="27" fontId="40" numFmtId="49" xfId="0" applyAlignment="1" applyBorder="1" applyFont="1" applyNumberFormat="1">
      <alignment vertical="center"/>
    </xf>
    <xf borderId="33" fillId="27" fontId="40" numFmtId="49" xfId="0" applyBorder="1" applyFont="1" applyNumberFormat="1"/>
    <xf borderId="26" fillId="28" fontId="42" numFmtId="0" xfId="0" applyAlignment="1" applyBorder="1" applyFill="1" applyFont="1">
      <alignment readingOrder="0" shrinkToFit="0" vertical="center" wrapText="0"/>
    </xf>
    <xf borderId="0" fillId="11" fontId="41" numFmtId="49" xfId="0" applyAlignment="1" applyFont="1" applyNumberFormat="1">
      <alignment horizontal="center" shrinkToFit="0" vertical="center" wrapText="0"/>
    </xf>
    <xf borderId="33" fillId="28" fontId="17" numFmtId="49" xfId="0" applyAlignment="1" applyBorder="1" applyFont="1" applyNumberFormat="1">
      <alignment horizontal="center" readingOrder="0" shrinkToFit="0" vertical="center" wrapText="0"/>
    </xf>
    <xf borderId="31" fillId="28" fontId="17" numFmtId="0" xfId="0" applyAlignment="1" applyBorder="1" applyFont="1">
      <alignment horizontal="center" readingOrder="0" shrinkToFit="0" vertical="center" wrapText="0"/>
    </xf>
    <xf borderId="30" fillId="29" fontId="41" numFmtId="0" xfId="0" applyAlignment="1" applyBorder="1" applyFill="1" applyFont="1">
      <alignment readingOrder="0" shrinkToFit="0" vertical="center" wrapText="0"/>
    </xf>
    <xf borderId="33" fillId="30" fontId="41" numFmtId="49" xfId="0" applyAlignment="1" applyBorder="1" applyFill="1" applyFont="1" applyNumberFormat="1">
      <alignment horizontal="left" readingOrder="0" shrinkToFit="0" vertical="center" wrapText="0"/>
    </xf>
    <xf borderId="26" fillId="29" fontId="41" numFmtId="0" xfId="0" applyAlignment="1" applyBorder="1" applyFont="1">
      <alignment readingOrder="0" shrinkToFit="0" vertical="center" wrapText="0"/>
    </xf>
    <xf borderId="40" fillId="0" fontId="41" numFmtId="49" xfId="0" applyAlignment="1" applyBorder="1" applyFont="1" applyNumberFormat="1">
      <alignment horizontal="center" shrinkToFit="0" vertical="center" wrapText="0"/>
    </xf>
    <xf borderId="0" fillId="0" fontId="41" numFmtId="49" xfId="0" applyAlignment="1" applyFont="1" applyNumberFormat="1">
      <alignment horizontal="center" shrinkToFit="0" vertical="center" wrapText="0"/>
    </xf>
    <xf borderId="30" fillId="28" fontId="17" numFmtId="0" xfId="0" applyAlignment="1" applyBorder="1" applyFont="1">
      <alignment readingOrder="0" shrinkToFit="0" vertical="center" wrapText="0"/>
    </xf>
    <xf borderId="30" fillId="28" fontId="17" numFmtId="49" xfId="0" applyAlignment="1" applyBorder="1" applyFont="1" applyNumberFormat="1">
      <alignment horizontal="left" readingOrder="0" shrinkToFit="0" vertical="center" wrapText="0"/>
    </xf>
    <xf borderId="33" fillId="28" fontId="17" numFmtId="0" xfId="0" applyAlignment="1" applyBorder="1" applyFont="1">
      <alignment horizontal="center" readingOrder="0" shrinkToFit="0" vertical="center" wrapText="0"/>
    </xf>
    <xf borderId="33" fillId="28" fontId="46" numFmtId="0" xfId="0" applyAlignment="1" applyBorder="1" applyFont="1">
      <alignment horizontal="center" readingOrder="0" shrinkToFit="0" vertical="center" wrapText="0"/>
    </xf>
    <xf borderId="0" fillId="11" fontId="17" numFmtId="0" xfId="0" applyAlignment="1" applyFont="1">
      <alignment horizontal="center" shrinkToFit="0" vertical="center" wrapText="0"/>
    </xf>
    <xf borderId="34" fillId="29" fontId="41" numFmtId="0" xfId="0" applyAlignment="1" applyBorder="1" applyFont="1">
      <alignment readingOrder="0" shrinkToFit="0" vertical="center" wrapText="0"/>
    </xf>
    <xf borderId="34" fillId="11" fontId="41" numFmtId="49" xfId="0" applyAlignment="1" applyBorder="1" applyFont="1" applyNumberFormat="1">
      <alignment horizontal="center" readingOrder="0" shrinkToFit="0" vertical="center" wrapText="0"/>
    </xf>
    <xf borderId="26" fillId="0" fontId="41" numFmtId="166" xfId="0" applyAlignment="1" applyBorder="1" applyFont="1" applyNumberFormat="1">
      <alignment horizontal="left" readingOrder="0" shrinkToFit="0" vertical="top" wrapText="0"/>
    </xf>
    <xf borderId="33" fillId="27" fontId="41" numFmtId="49" xfId="0" applyAlignment="1" applyBorder="1" applyFont="1" applyNumberFormat="1">
      <alignment horizontal="center" readingOrder="0" shrinkToFit="0" vertical="center" wrapText="0"/>
    </xf>
    <xf borderId="33" fillId="0" fontId="41" numFmtId="0" xfId="0" applyAlignment="1" applyBorder="1" applyFont="1">
      <alignment horizontal="center" shrinkToFit="0" vertical="center" wrapText="0"/>
    </xf>
    <xf borderId="26" fillId="0" fontId="41" numFmtId="0" xfId="0" applyAlignment="1" applyBorder="1" applyFont="1">
      <alignment horizontal="left" readingOrder="0" shrinkToFit="0" vertical="top" wrapText="1"/>
    </xf>
    <xf borderId="26" fillId="31" fontId="50" numFmtId="0" xfId="0" applyAlignment="1" applyBorder="1" applyFill="1" applyFont="1">
      <alignment readingOrder="0" shrinkToFit="0" vertical="center" wrapText="0"/>
    </xf>
    <xf borderId="33" fillId="31" fontId="44" numFmtId="49" xfId="0" applyAlignment="1" applyBorder="1" applyFont="1" applyNumberFormat="1">
      <alignment horizontal="center" readingOrder="0" shrinkToFit="0" vertical="center" wrapText="0"/>
    </xf>
    <xf borderId="0" fillId="11" fontId="41" numFmtId="49" xfId="0" applyAlignment="1" applyFont="1" applyNumberFormat="1">
      <alignment shrinkToFit="0" vertical="center" wrapText="0"/>
    </xf>
    <xf borderId="26" fillId="32" fontId="41" numFmtId="0" xfId="0" applyAlignment="1" applyBorder="1" applyFill="1" applyFont="1">
      <alignment readingOrder="0" shrinkToFit="0" vertical="center" wrapText="0"/>
    </xf>
    <xf borderId="30" fillId="33" fontId="41" numFmtId="0" xfId="0" applyAlignment="1" applyBorder="1" applyFill="1" applyFont="1">
      <alignment readingOrder="0" shrinkToFit="0" vertical="center" wrapText="0"/>
    </xf>
    <xf borderId="0" fillId="0" fontId="41" numFmtId="49" xfId="0" applyAlignment="1" applyFont="1" applyNumberFormat="1">
      <alignment horizontal="center" readingOrder="0" shrinkToFit="0" vertical="center" wrapText="0"/>
    </xf>
    <xf borderId="0" fillId="0" fontId="41" numFmtId="0" xfId="0" applyAlignment="1" applyFont="1">
      <alignment horizontal="center" readingOrder="0" shrinkToFit="0" vertical="center" wrapText="0"/>
    </xf>
    <xf borderId="0" fillId="11" fontId="41" numFmtId="0" xfId="0" applyAlignment="1" applyFont="1">
      <alignment horizontal="center" shrinkToFit="0" vertical="center" wrapText="0"/>
    </xf>
    <xf borderId="0" fillId="11" fontId="41" numFmtId="49" xfId="0" applyAlignment="1" applyFont="1" applyNumberFormat="1">
      <alignment horizontal="left" shrinkToFit="0" vertical="center" wrapText="0"/>
    </xf>
    <xf borderId="0" fillId="11" fontId="41" numFmtId="49" xfId="0" applyAlignment="1" applyFont="1" applyNumberFormat="1">
      <alignment horizontal="right" shrinkToFit="0" vertical="center" wrapText="0"/>
    </xf>
    <xf borderId="26" fillId="34" fontId="50" numFmtId="0" xfId="0" applyAlignment="1" applyBorder="1" applyFill="1" applyFont="1">
      <alignment horizontal="left" readingOrder="0" shrinkToFit="0" vertical="center" wrapText="0"/>
    </xf>
    <xf borderId="33" fillId="34" fontId="44" numFmtId="49" xfId="0" applyAlignment="1" applyBorder="1" applyFont="1" applyNumberFormat="1">
      <alignment horizontal="center" readingOrder="0" shrinkToFit="0" vertical="center" wrapText="0"/>
    </xf>
    <xf borderId="31" fillId="34" fontId="44" numFmtId="0" xfId="0" applyAlignment="1" applyBorder="1" applyFont="1">
      <alignment horizontal="center" readingOrder="0" shrinkToFit="0" vertical="center" wrapText="0"/>
    </xf>
    <xf borderId="30" fillId="34" fontId="54" numFmtId="0" xfId="0" applyAlignment="1" applyBorder="1" applyFont="1">
      <alignment shrinkToFit="0" vertical="center" wrapText="0"/>
    </xf>
    <xf borderId="33" fillId="34" fontId="54" numFmtId="49" xfId="0" applyAlignment="1" applyBorder="1" applyFont="1" applyNumberFormat="1">
      <alignment horizontal="center" shrinkToFit="0" vertical="center" wrapText="0"/>
    </xf>
    <xf borderId="34" fillId="35" fontId="41" numFmtId="0" xfId="0" applyAlignment="1" applyBorder="1" applyFill="1" applyFont="1">
      <alignment horizontal="left" readingOrder="0" shrinkToFit="0" vertical="center" wrapText="0"/>
    </xf>
    <xf borderId="33" fillId="36" fontId="41" numFmtId="49" xfId="0" applyAlignment="1" applyBorder="1" applyFill="1" applyFont="1" applyNumberFormat="1">
      <alignment horizontal="left" readingOrder="0" shrinkToFit="0" vertical="center" wrapText="0"/>
    </xf>
    <xf borderId="33" fillId="27" fontId="41" numFmtId="49" xfId="0" applyAlignment="1" applyBorder="1" applyFont="1" applyNumberFormat="1">
      <alignment horizontal="center" shrinkToFit="0" vertical="center" wrapText="0"/>
    </xf>
    <xf borderId="34" fillId="35" fontId="40" numFmtId="0" xfId="0" applyAlignment="1" applyBorder="1" applyFont="1">
      <alignment shrinkToFit="0" vertical="center" wrapText="0"/>
    </xf>
    <xf borderId="33" fillId="36" fontId="40" numFmtId="49" xfId="0" applyAlignment="1" applyBorder="1" applyFont="1" applyNumberFormat="1">
      <alignment shrinkToFit="0" vertical="center" wrapText="0"/>
    </xf>
    <xf borderId="30" fillId="34" fontId="54" numFmtId="0" xfId="0" applyAlignment="1" applyBorder="1" applyFont="1">
      <alignment readingOrder="0" shrinkToFit="0" vertical="center" wrapText="0"/>
    </xf>
    <xf borderId="34" fillId="35" fontId="40" numFmtId="0" xfId="0" applyAlignment="1" applyBorder="1" applyFont="1">
      <alignment readingOrder="0" shrinkToFit="0" vertical="center" wrapText="0"/>
    </xf>
    <xf borderId="33" fillId="36" fontId="40" numFmtId="49" xfId="0" applyAlignment="1" applyBorder="1" applyFont="1" applyNumberFormat="1">
      <alignment readingOrder="0" shrinkToFit="0" vertical="center" wrapText="0"/>
    </xf>
    <xf borderId="33" fillId="0" fontId="40" numFmtId="49" xfId="0" applyAlignment="1" applyBorder="1" applyFont="1" applyNumberFormat="1">
      <alignment horizontal="center"/>
    </xf>
    <xf borderId="33" fillId="0" fontId="40" numFmtId="0" xfId="0" applyAlignment="1" applyBorder="1" applyFont="1">
      <alignment horizontal="center"/>
    </xf>
    <xf borderId="34" fillId="0" fontId="40" numFmtId="49" xfId="0" applyAlignment="1" applyBorder="1" applyFont="1" applyNumberFormat="1">
      <alignment horizontal="center" vertical="center"/>
    </xf>
    <xf borderId="34" fillId="0" fontId="40" numFmtId="0" xfId="0" applyAlignment="1" applyBorder="1" applyFont="1">
      <alignment horizontal="center" vertical="center"/>
    </xf>
    <xf borderId="36" fillId="36" fontId="41" numFmtId="49" xfId="0" applyAlignment="1" applyBorder="1" applyFont="1" applyNumberFormat="1">
      <alignment horizontal="left" readingOrder="0" shrinkToFit="0" vertical="center" wrapText="0"/>
    </xf>
    <xf borderId="28" fillId="34" fontId="54" numFmtId="0" xfId="0" applyAlignment="1" applyBorder="1" applyFont="1">
      <alignment readingOrder="0" shrinkToFit="0" vertical="center" wrapText="0"/>
    </xf>
    <xf borderId="33" fillId="35" fontId="40" numFmtId="0" xfId="0" applyAlignment="1" applyBorder="1" applyFont="1">
      <alignment readingOrder="0" shrinkToFit="0" vertical="center" wrapText="0"/>
    </xf>
    <xf borderId="29" fillId="36" fontId="40" numFmtId="49" xfId="0" applyAlignment="1" applyBorder="1" applyFont="1" applyNumberFormat="1">
      <alignment readingOrder="0" shrinkToFit="0" vertical="center" wrapText="0"/>
    </xf>
    <xf borderId="0" fillId="0" fontId="40" numFmtId="49" xfId="0" applyAlignment="1" applyFont="1" applyNumberFormat="1">
      <alignment vertical="center"/>
    </xf>
    <xf borderId="30" fillId="35" fontId="40" numFmtId="0" xfId="0" applyAlignment="1" applyBorder="1" applyFont="1">
      <alignment readingOrder="0" shrinkToFit="0" vertical="center" wrapText="0"/>
    </xf>
    <xf borderId="30" fillId="36" fontId="40" numFmtId="49" xfId="0" applyAlignment="1" applyBorder="1" applyFont="1" applyNumberFormat="1">
      <alignment shrinkToFit="0" vertical="center" wrapText="0"/>
    </xf>
    <xf borderId="0" fillId="0" fontId="40" numFmtId="0" xfId="0" applyAlignment="1" applyFont="1">
      <alignment readingOrder="0" vertical="center"/>
    </xf>
    <xf borderId="0" fillId="0" fontId="40" numFmtId="0" xfId="0" applyAlignment="1" applyFont="1">
      <alignment readingOrder="0" vertical="center"/>
    </xf>
    <xf borderId="32" fillId="0" fontId="40" numFmtId="49" xfId="0" applyAlignment="1" applyBorder="1" applyFont="1" applyNumberFormat="1">
      <alignment vertical="center"/>
    </xf>
    <xf borderId="0" fillId="0" fontId="40" numFmtId="0" xfId="0" applyAlignment="1" applyFont="1">
      <alignment vertical="center"/>
    </xf>
    <xf borderId="0" fillId="0" fontId="40" numFmtId="0" xfId="0" applyAlignment="1" applyFont="1">
      <alignment horizontal="center"/>
    </xf>
    <xf borderId="30" fillId="37" fontId="50" numFmtId="49" xfId="0" applyAlignment="1" applyBorder="1" applyFill="1" applyFont="1" applyNumberFormat="1">
      <alignment vertical="center"/>
    </xf>
    <xf borderId="30" fillId="37" fontId="54" numFmtId="49" xfId="0" applyAlignment="1" applyBorder="1" applyFont="1" applyNumberFormat="1">
      <alignment vertical="center"/>
    </xf>
    <xf borderId="33" fillId="37" fontId="54" numFmtId="49" xfId="0" applyAlignment="1" applyBorder="1" applyFont="1" applyNumberFormat="1">
      <alignment horizontal="center" vertical="center"/>
    </xf>
    <xf borderId="34" fillId="38" fontId="40" numFmtId="0" xfId="0" applyAlignment="1" applyBorder="1" applyFill="1" applyFont="1">
      <alignment vertical="center"/>
    </xf>
    <xf borderId="33" fillId="39" fontId="40" numFmtId="49" xfId="0" applyAlignment="1" applyBorder="1" applyFill="1" applyFont="1" applyNumberFormat="1">
      <alignment vertical="center"/>
    </xf>
    <xf borderId="33" fillId="11" fontId="40" numFmtId="49" xfId="0" applyAlignment="1" applyBorder="1" applyFont="1" applyNumberFormat="1">
      <alignment horizontal="center" vertical="center"/>
    </xf>
    <xf borderId="33" fillId="38" fontId="40" numFmtId="0" xfId="0" applyAlignment="1" applyBorder="1" applyFont="1">
      <alignment vertical="center"/>
    </xf>
    <xf borderId="41" fillId="40" fontId="55" numFmtId="0" xfId="0" applyAlignment="1" applyBorder="1" applyFill="1" applyFont="1">
      <alignment horizontal="left" readingOrder="0" shrinkToFit="0" vertical="center" wrapText="0"/>
    </xf>
    <xf borderId="41" fillId="40" fontId="56" numFmtId="0" xfId="0" applyAlignment="1" applyBorder="1" applyFont="1">
      <alignment horizontal="center" readingOrder="0" shrinkToFit="0" vertical="center" wrapText="0"/>
    </xf>
    <xf borderId="42" fillId="40" fontId="56" numFmtId="0" xfId="0" applyAlignment="1" applyBorder="1" applyFont="1">
      <alignment horizontal="left" readingOrder="0" shrinkToFit="0" vertical="center" wrapText="0"/>
    </xf>
    <xf borderId="43" fillId="0" fontId="2" numFmtId="0" xfId="0" applyBorder="1" applyFont="1"/>
    <xf borderId="44" fillId="0" fontId="2" numFmtId="0" xfId="0" applyBorder="1" applyFont="1"/>
    <xf borderId="42" fillId="40" fontId="57" numFmtId="0" xfId="0" applyAlignment="1" applyBorder="1" applyFont="1">
      <alignment horizontal="center" readingOrder="0" shrinkToFit="0" vertical="center" wrapText="0"/>
    </xf>
    <xf borderId="42" fillId="40" fontId="57" numFmtId="0" xfId="0" applyAlignment="1" applyBorder="1" applyFont="1">
      <alignment horizontal="left" readingOrder="0" vertical="center"/>
    </xf>
    <xf borderId="41" fillId="40" fontId="58" numFmtId="0" xfId="0" applyAlignment="1" applyBorder="1" applyFont="1">
      <alignment vertical="center"/>
    </xf>
    <xf borderId="41" fillId="40" fontId="55" numFmtId="0" xfId="0" applyAlignment="1" applyBorder="1" applyFont="1">
      <alignment readingOrder="0" shrinkToFit="0" vertical="center" wrapText="0"/>
    </xf>
    <xf borderId="41" fillId="40" fontId="55" numFmtId="49" xfId="0" applyAlignment="1" applyBorder="1" applyFont="1" applyNumberFormat="1">
      <alignment horizontal="left" readingOrder="0" shrinkToFit="0" vertical="center" wrapText="0"/>
    </xf>
    <xf borderId="45" fillId="0" fontId="2" numFmtId="0" xfId="0" applyBorder="1" applyFont="1"/>
    <xf borderId="46" fillId="0" fontId="2" numFmtId="0" xfId="0" applyBorder="1" applyFont="1"/>
    <xf borderId="47" fillId="0" fontId="2" numFmtId="0" xfId="0" applyBorder="1" applyFont="1"/>
    <xf borderId="48" fillId="0" fontId="2" numFmtId="0" xfId="0" applyBorder="1" applyFont="1"/>
    <xf borderId="49" fillId="0" fontId="2" numFmtId="0" xfId="0" applyBorder="1" applyFont="1"/>
    <xf borderId="41" fillId="40" fontId="57" numFmtId="0" xfId="0" applyAlignment="1" applyBorder="1" applyFont="1">
      <alignment horizontal="center" readingOrder="0" shrinkToFit="0" vertical="center" wrapText="0"/>
    </xf>
    <xf borderId="41" fillId="40" fontId="57" numFmtId="0" xfId="0" applyAlignment="1" applyBorder="1" applyFont="1">
      <alignment horizontal="left" readingOrder="0" vertical="center"/>
    </xf>
    <xf borderId="41" fillId="40" fontId="58" numFmtId="0" xfId="0" applyBorder="1" applyFont="1"/>
    <xf borderId="50" fillId="40" fontId="59" numFmtId="0" xfId="0" applyAlignment="1" applyBorder="1" applyFont="1">
      <alignment horizontal="center" vertical="bottom"/>
    </xf>
    <xf borderId="51" fillId="0" fontId="2" numFmtId="0" xfId="0" applyBorder="1" applyFont="1"/>
    <xf borderId="41" fillId="40" fontId="59" numFmtId="0" xfId="0" applyBorder="1" applyFont="1"/>
    <xf borderId="41" fillId="40" fontId="60" numFmtId="0" xfId="0" applyAlignment="1" applyBorder="1" applyFont="1">
      <alignment readingOrder="0" shrinkToFit="0" vertical="center" wrapText="0"/>
    </xf>
    <xf borderId="41" fillId="40" fontId="59" numFmtId="0" xfId="0" applyAlignment="1" applyBorder="1" applyFont="1">
      <alignment vertical="center"/>
    </xf>
    <xf borderId="50" fillId="40" fontId="61" numFmtId="0" xfId="0" applyAlignment="1" applyBorder="1" applyFont="1">
      <alignment horizontal="center" readingOrder="0" vertical="bottom"/>
    </xf>
    <xf borderId="41" fillId="40" fontId="59" numFmtId="0" xfId="0" applyAlignment="1" applyBorder="1" applyFont="1">
      <alignment vertical="center"/>
    </xf>
    <xf borderId="42" fillId="40" fontId="62" numFmtId="164" xfId="0" applyAlignment="1" applyBorder="1" applyFont="1" applyNumberFormat="1">
      <alignment horizontal="center" readingOrder="0" vertical="center"/>
    </xf>
    <xf borderId="50" fillId="40" fontId="56" numFmtId="0" xfId="0" applyAlignment="1" applyBorder="1" applyFont="1">
      <alignment horizontal="center" readingOrder="0" shrinkToFit="0" vertical="center" wrapText="0"/>
    </xf>
    <xf borderId="50" fillId="40" fontId="58" numFmtId="0" xfId="0" applyAlignment="1" applyBorder="1" applyFont="1">
      <alignment horizontal="center"/>
    </xf>
    <xf borderId="52" fillId="0" fontId="2" numFmtId="0" xfId="0" applyBorder="1" applyFont="1"/>
    <xf borderId="41" fillId="40" fontId="58" numFmtId="0" xfId="0" applyAlignment="1" applyBorder="1" applyFont="1">
      <alignment horizontal="center"/>
    </xf>
    <xf borderId="0" fillId="0" fontId="39" numFmtId="0" xfId="0" applyFont="1"/>
    <xf borderId="30" fillId="15" fontId="17" numFmtId="0" xfId="0" applyAlignment="1" applyBorder="1" applyFont="1">
      <alignment horizontal="left" readingOrder="0" shrinkToFit="0" vertical="center" wrapText="1"/>
    </xf>
    <xf borderId="30" fillId="0" fontId="0" numFmtId="0" xfId="0" applyAlignment="1" applyBorder="1" applyFont="1">
      <alignment horizontal="left" readingOrder="0" shrinkToFit="0" vertical="top" wrapText="1"/>
    </xf>
    <xf borderId="33" fillId="11" fontId="41" numFmtId="0" xfId="0" applyAlignment="1" applyBorder="1" applyFont="1">
      <alignment horizontal="center" shrinkToFit="0" vertical="center" wrapText="0"/>
    </xf>
    <xf borderId="33" fillId="10" fontId="0" numFmtId="49" xfId="0" applyAlignment="1" applyBorder="1" applyFont="1" applyNumberFormat="1">
      <alignment horizontal="center" readingOrder="0" shrinkToFit="0" vertical="center" wrapText="0"/>
    </xf>
    <xf borderId="33" fillId="10" fontId="41" numFmtId="49" xfId="0" applyAlignment="1" applyBorder="1" applyFont="1" applyNumberFormat="1">
      <alignment horizontal="center" readingOrder="0" shrinkToFit="0" vertical="center" wrapText="0"/>
    </xf>
    <xf borderId="30" fillId="0" fontId="49" numFmtId="0" xfId="0" applyAlignment="1" applyBorder="1" applyFont="1">
      <alignment horizontal="left" readingOrder="0" shrinkToFit="0" vertical="top" wrapText="1"/>
    </xf>
    <xf borderId="34" fillId="0" fontId="41" numFmtId="49" xfId="0" applyAlignment="1" applyBorder="1" applyFont="1" applyNumberFormat="1">
      <alignment horizontal="center" readingOrder="0" shrinkToFit="0" vertical="center" wrapText="0"/>
    </xf>
    <xf borderId="26" fillId="0" fontId="49" numFmtId="0" xfId="0" applyAlignment="1" applyBorder="1" applyFont="1">
      <alignment horizontal="left" readingOrder="0" shrinkToFit="0" vertical="top" wrapText="1"/>
    </xf>
    <xf borderId="34" fillId="0" fontId="0" numFmtId="49" xfId="0" applyAlignment="1" applyBorder="1" applyFont="1" applyNumberFormat="1">
      <alignment horizontal="center" readingOrder="0" shrinkToFit="0" vertical="center" wrapText="0"/>
    </xf>
    <xf borderId="26" fillId="0" fontId="40" numFmtId="0" xfId="0" applyAlignment="1" applyBorder="1" applyFont="1">
      <alignment readingOrder="0" shrinkToFit="0" vertical="top" wrapText="1"/>
    </xf>
    <xf borderId="30" fillId="0" fontId="40" numFmtId="0" xfId="0" applyAlignment="1" applyBorder="1" applyFont="1">
      <alignment readingOrder="0" shrinkToFit="0" vertical="top" wrapText="1"/>
    </xf>
    <xf borderId="30" fillId="19" fontId="45" numFmtId="0" xfId="0" applyAlignment="1" applyBorder="1" applyFont="1">
      <alignment horizontal="left" readingOrder="0" shrinkToFit="0" vertical="top" wrapText="1"/>
    </xf>
    <xf borderId="33" fillId="21" fontId="41" numFmtId="49" xfId="0" applyAlignment="1" applyBorder="1" applyFont="1" applyNumberFormat="1">
      <alignment horizontal="left" readingOrder="0" shrinkToFit="0" vertical="center" wrapText="0"/>
    </xf>
    <xf borderId="37" fillId="0" fontId="41" numFmtId="49" xfId="0" applyAlignment="1" applyBorder="1" applyFont="1" applyNumberFormat="1">
      <alignment horizontal="center" shrinkToFit="0" vertical="center" wrapText="0"/>
    </xf>
    <xf borderId="36" fillId="10" fontId="41" numFmtId="49" xfId="0" applyAlignment="1" applyBorder="1" applyFont="1" applyNumberFormat="1">
      <alignment horizontal="center" readingOrder="0" shrinkToFit="0" vertical="center" wrapText="0"/>
    </xf>
    <xf borderId="33" fillId="0" fontId="49" numFmtId="0" xfId="0" applyAlignment="1" applyBorder="1" applyFont="1">
      <alignment horizontal="center" readingOrder="0" shrinkToFit="0" vertical="center" wrapText="0"/>
    </xf>
    <xf borderId="33" fillId="0" fontId="49" numFmtId="0" xfId="0" applyAlignment="1" applyBorder="1" applyFont="1">
      <alignment horizontal="center" shrinkToFit="0" vertical="center" wrapText="0"/>
    </xf>
    <xf borderId="26" fillId="0" fontId="49" numFmtId="0" xfId="0" applyAlignment="1" applyBorder="1" applyFont="1">
      <alignment horizontal="center" readingOrder="0" shrinkToFit="0" vertical="center" wrapText="1"/>
    </xf>
    <xf borderId="37" fillId="10" fontId="41" numFmtId="49" xfId="0" applyAlignment="1" applyBorder="1" applyFont="1" applyNumberFormat="1">
      <alignment horizontal="center" readingOrder="0" shrinkToFit="0" vertical="center" wrapText="0"/>
    </xf>
    <xf borderId="29" fillId="0" fontId="41" numFmtId="49" xfId="0" applyAlignment="1" applyBorder="1" applyFont="1" applyNumberFormat="1">
      <alignment horizontal="center" shrinkToFit="0" vertical="center" wrapText="0"/>
    </xf>
    <xf borderId="30" fillId="0" fontId="41" numFmtId="0" xfId="0" applyAlignment="1" applyBorder="1" applyFont="1">
      <alignment horizontal="left" readingOrder="0" shrinkToFit="0" vertical="center" wrapText="1"/>
    </xf>
    <xf borderId="30" fillId="23" fontId="44" numFmtId="0" xfId="0" applyAlignment="1" applyBorder="1" applyFont="1">
      <alignment horizontal="left" readingOrder="0" shrinkToFit="0" vertical="center" wrapText="1"/>
    </xf>
    <xf borderId="34" fillId="24" fontId="40" numFmtId="0" xfId="0" applyAlignment="1" applyBorder="1" applyFont="1">
      <alignment shrinkToFit="0" vertical="center" wrapText="0"/>
    </xf>
    <xf borderId="31" fillId="25" fontId="40" numFmtId="49" xfId="0" applyAlignment="1" applyBorder="1" applyFont="1" applyNumberFormat="1">
      <alignment readingOrder="0" shrinkToFit="0" vertical="center" wrapText="0"/>
    </xf>
    <xf borderId="31" fillId="11" fontId="47" numFmtId="49" xfId="0" applyAlignment="1" applyBorder="1" applyFont="1" applyNumberFormat="1">
      <alignment horizontal="center" shrinkToFit="0" vertical="center" wrapText="0"/>
    </xf>
    <xf borderId="26" fillId="10" fontId="41" numFmtId="0" xfId="0" applyAlignment="1" applyBorder="1" applyFont="1">
      <alignment horizontal="left" readingOrder="0" shrinkToFit="0" vertical="top" wrapText="1"/>
    </xf>
    <xf borderId="29" fillId="26" fontId="40" numFmtId="49" xfId="0" applyAlignment="1" applyBorder="1" applyFont="1" applyNumberFormat="1">
      <alignment shrinkToFit="0" vertical="center" wrapText="0"/>
    </xf>
    <xf borderId="29" fillId="11" fontId="47" numFmtId="49" xfId="0" applyAlignment="1" applyBorder="1" applyFont="1" applyNumberFormat="1">
      <alignment horizontal="center" shrinkToFit="0" vertical="center" wrapText="0"/>
    </xf>
    <xf borderId="35" fillId="24" fontId="40" numFmtId="0" xfId="0" applyAlignment="1" applyBorder="1" applyFont="1">
      <alignment shrinkToFit="0" vertical="center" wrapText="0"/>
    </xf>
    <xf borderId="29" fillId="26" fontId="40" numFmtId="49" xfId="0" applyAlignment="1" applyBorder="1" applyFont="1" applyNumberFormat="1">
      <alignment readingOrder="0" shrinkToFit="0" vertical="center" wrapText="0"/>
    </xf>
    <xf borderId="34" fillId="0" fontId="47" numFmtId="49" xfId="0" applyAlignment="1" applyBorder="1" applyFont="1" applyNumberFormat="1">
      <alignment horizontal="center" shrinkToFit="0" vertical="center" wrapText="0"/>
    </xf>
    <xf borderId="27" fillId="0" fontId="47" numFmtId="49" xfId="0" applyAlignment="1" applyBorder="1" applyFont="1" applyNumberFormat="1">
      <alignment horizontal="center" readingOrder="0" shrinkToFit="0" vertical="center" wrapText="0"/>
    </xf>
    <xf borderId="27" fillId="0" fontId="40" numFmtId="49" xfId="0" applyAlignment="1" applyBorder="1" applyFont="1" applyNumberFormat="1">
      <alignment horizontal="center" readingOrder="0" shrinkToFit="0" vertical="center" wrapText="0"/>
    </xf>
    <xf borderId="34" fillId="0" fontId="41" numFmtId="0" xfId="0" applyAlignment="1" applyBorder="1" applyFont="1">
      <alignment horizontal="center" readingOrder="0" shrinkToFit="0" vertical="center" wrapText="0"/>
    </xf>
    <xf borderId="26" fillId="0" fontId="0" numFmtId="0" xfId="0" applyAlignment="1" applyBorder="1" applyFont="1">
      <alignment horizontal="left" readingOrder="0" shrinkToFit="0" vertical="top" wrapText="1"/>
    </xf>
    <xf borderId="35" fillId="24" fontId="41" numFmtId="0" xfId="0" applyAlignment="1" applyBorder="1" applyFont="1">
      <alignment shrinkToFit="0" vertical="center" wrapText="0"/>
    </xf>
    <xf borderId="31" fillId="0" fontId="40" numFmtId="49" xfId="0" applyAlignment="1" applyBorder="1" applyFont="1" applyNumberFormat="1">
      <alignment horizontal="center" shrinkToFit="0" vertical="center" wrapText="0"/>
    </xf>
    <xf borderId="29" fillId="0" fontId="47" numFmtId="49" xfId="0" applyAlignment="1" applyBorder="1" applyFont="1" applyNumberFormat="1">
      <alignment horizontal="center" readingOrder="0" shrinkToFit="0" vertical="center" wrapText="0"/>
    </xf>
    <xf borderId="29" fillId="0" fontId="47" numFmtId="49" xfId="0" applyAlignment="1" applyBorder="1" applyFont="1" applyNumberFormat="1">
      <alignment horizontal="center" shrinkToFit="0" vertical="center" wrapText="0"/>
    </xf>
    <xf borderId="34" fillId="27" fontId="49" numFmtId="49" xfId="0" applyAlignment="1" applyBorder="1" applyFont="1" applyNumberFormat="1">
      <alignment horizontal="center" readingOrder="0" shrinkToFit="0" vertical="center" wrapText="0"/>
    </xf>
    <xf borderId="36" fillId="0" fontId="41" numFmtId="49" xfId="0" applyAlignment="1" applyBorder="1" applyFont="1" applyNumberFormat="1">
      <alignment horizontal="center" readingOrder="0" shrinkToFit="0" vertical="center" wrapText="0"/>
    </xf>
    <xf borderId="29" fillId="25" fontId="41" numFmtId="49" xfId="0" applyAlignment="1" applyBorder="1" applyFont="1" applyNumberFormat="1">
      <alignment readingOrder="0" shrinkToFit="0" vertical="center" wrapText="0"/>
    </xf>
    <xf borderId="33" fillId="10" fontId="40" numFmtId="49" xfId="0" applyAlignment="1" applyBorder="1" applyFont="1" applyNumberFormat="1">
      <alignment horizontal="center" readingOrder="0" shrinkToFit="0" vertical="center" wrapText="0"/>
    </xf>
    <xf borderId="27" fillId="10" fontId="40" numFmtId="49" xfId="0" applyAlignment="1" applyBorder="1" applyFont="1" applyNumberFormat="1">
      <alignment horizontal="center" readingOrder="0" shrinkToFit="0" vertical="center" wrapText="0"/>
    </xf>
    <xf borderId="33" fillId="25" fontId="40" numFmtId="49" xfId="0" applyAlignment="1" applyBorder="1" applyFont="1" applyNumberFormat="1">
      <alignment shrinkToFit="0" vertical="center" wrapText="0"/>
    </xf>
    <xf borderId="37" fillId="0" fontId="40" numFmtId="49" xfId="0" applyAlignment="1" applyBorder="1" applyFont="1" applyNumberFormat="1">
      <alignment horizontal="center" readingOrder="0" shrinkToFit="0" vertical="center" wrapText="0"/>
    </xf>
    <xf borderId="36" fillId="25" fontId="40" numFmtId="49" xfId="0" applyAlignment="1" applyBorder="1" applyFont="1" applyNumberFormat="1">
      <alignment shrinkToFit="0" vertical="center" wrapText="0"/>
    </xf>
    <xf borderId="33" fillId="29" fontId="41" numFmtId="0" xfId="0" applyAlignment="1" applyBorder="1" applyFont="1">
      <alignment readingOrder="0" shrinkToFit="0" vertical="center" wrapText="0"/>
    </xf>
    <xf borderId="33" fillId="27" fontId="49" numFmtId="49" xfId="0" applyAlignment="1" applyBorder="1" applyFont="1" applyNumberFormat="1">
      <alignment horizontal="center" readingOrder="0" shrinkToFit="0" vertical="center" wrapText="0"/>
    </xf>
    <xf borderId="30" fillId="0" fontId="0" numFmtId="0" xfId="0" applyAlignment="1" applyBorder="1" applyFont="1">
      <alignment horizontal="left" readingOrder="0" shrinkToFit="0" vertical="top" wrapText="0"/>
    </xf>
    <xf borderId="34" fillId="29" fontId="40" numFmtId="0" xfId="0" applyAlignment="1" applyBorder="1" applyFont="1">
      <alignment shrinkToFit="0" vertical="center" wrapText="0"/>
    </xf>
    <xf borderId="31" fillId="30" fontId="40" numFmtId="49" xfId="0" applyAlignment="1" applyBorder="1" applyFont="1" applyNumberFormat="1">
      <alignment shrinkToFit="0" vertical="center" wrapText="0"/>
    </xf>
    <xf borderId="26" fillId="0" fontId="41" numFmtId="0" xfId="0" applyAlignment="1" applyBorder="1" applyFont="1">
      <alignment horizontal="left" readingOrder="0" shrinkToFit="0" vertical="top" wrapText="0"/>
    </xf>
    <xf borderId="29" fillId="30" fontId="40" numFmtId="49" xfId="0" applyAlignment="1" applyBorder="1" applyFont="1" applyNumberFormat="1">
      <alignment shrinkToFit="0" vertical="center" wrapText="0"/>
    </xf>
    <xf borderId="35" fillId="29" fontId="40" numFmtId="0" xfId="0" applyAlignment="1" applyBorder="1" applyFont="1">
      <alignment shrinkToFit="0" vertical="center" wrapText="0"/>
    </xf>
    <xf borderId="26" fillId="0" fontId="41" numFmtId="0" xfId="0" applyAlignment="1" applyBorder="1" applyFont="1">
      <alignment horizontal="left" shrinkToFit="0" vertical="top" wrapText="0"/>
    </xf>
    <xf borderId="53" fillId="41" fontId="63" numFmtId="0" xfId="0" applyAlignment="1" applyBorder="1" applyFill="1" applyFont="1">
      <alignment horizontal="left" readingOrder="0" shrinkToFit="0" vertical="center" wrapText="0"/>
    </xf>
    <xf borderId="53" fillId="41" fontId="64" numFmtId="0" xfId="0" applyAlignment="1" applyBorder="1" applyFont="1">
      <alignment horizontal="center" readingOrder="0" shrinkToFit="0" vertical="center" wrapText="0"/>
    </xf>
    <xf borderId="54" fillId="41" fontId="64" numFmtId="0" xfId="0" applyAlignment="1" applyBorder="1" applyFont="1">
      <alignment horizontal="left" readingOrder="0" shrinkToFit="0" vertical="center" wrapText="0"/>
    </xf>
    <xf borderId="55" fillId="0" fontId="2" numFmtId="0" xfId="0" applyBorder="1" applyFont="1"/>
    <xf borderId="56" fillId="0" fontId="2" numFmtId="0" xfId="0" applyBorder="1" applyFont="1"/>
    <xf borderId="54" fillId="41" fontId="65" numFmtId="0" xfId="0" applyAlignment="1" applyBorder="1" applyFont="1">
      <alignment horizontal="center" readingOrder="0" shrinkToFit="0" vertical="center" wrapText="0"/>
    </xf>
    <xf borderId="54" fillId="41" fontId="65" numFmtId="0" xfId="0" applyAlignment="1" applyBorder="1" applyFont="1">
      <alignment horizontal="left" readingOrder="0" vertical="center"/>
    </xf>
    <xf borderId="53" fillId="41" fontId="66" numFmtId="0" xfId="0" applyAlignment="1" applyBorder="1" applyFont="1">
      <alignment vertical="center"/>
    </xf>
    <xf borderId="53" fillId="41" fontId="63" numFmtId="0" xfId="0" applyAlignment="1" applyBorder="1" applyFont="1">
      <alignment readingOrder="0" shrinkToFit="0" vertical="center" wrapText="0"/>
    </xf>
    <xf borderId="53" fillId="41" fontId="63" numFmtId="49" xfId="0" applyAlignment="1" applyBorder="1" applyFont="1" applyNumberFormat="1">
      <alignment horizontal="left" readingOrder="0" shrinkToFit="0" vertical="center" wrapText="0"/>
    </xf>
    <xf borderId="57" fillId="0" fontId="2" numFmtId="0" xfId="0" applyBorder="1" applyFont="1"/>
    <xf borderId="58" fillId="0" fontId="2" numFmtId="0" xfId="0" applyBorder="1" applyFont="1"/>
    <xf borderId="59" fillId="0" fontId="2" numFmtId="0" xfId="0" applyBorder="1" applyFont="1"/>
    <xf borderId="60" fillId="0" fontId="2" numFmtId="0" xfId="0" applyBorder="1" applyFont="1"/>
    <xf borderId="61" fillId="0" fontId="2" numFmtId="0" xfId="0" applyBorder="1" applyFont="1"/>
    <xf borderId="53" fillId="41" fontId="65" numFmtId="0" xfId="0" applyAlignment="1" applyBorder="1" applyFont="1">
      <alignment horizontal="center" readingOrder="0" shrinkToFit="0" vertical="center" wrapText="0"/>
    </xf>
    <xf borderId="53" fillId="41" fontId="65" numFmtId="0" xfId="0" applyAlignment="1" applyBorder="1" applyFont="1">
      <alignment horizontal="left" readingOrder="0" vertical="center"/>
    </xf>
    <xf borderId="53" fillId="41" fontId="66" numFmtId="0" xfId="0" applyBorder="1" applyFont="1"/>
    <xf borderId="62" fillId="41" fontId="67" numFmtId="0" xfId="0" applyAlignment="1" applyBorder="1" applyFont="1">
      <alignment horizontal="center" vertical="bottom"/>
    </xf>
    <xf borderId="63" fillId="0" fontId="2" numFmtId="0" xfId="0" applyBorder="1" applyFont="1"/>
    <xf borderId="53" fillId="41" fontId="67" numFmtId="0" xfId="0" applyBorder="1" applyFont="1"/>
    <xf borderId="53" fillId="41" fontId="68" numFmtId="0" xfId="0" applyAlignment="1" applyBorder="1" applyFont="1">
      <alignment readingOrder="0" shrinkToFit="0" vertical="center" wrapText="0"/>
    </xf>
    <xf borderId="53" fillId="41" fontId="67" numFmtId="0" xfId="0" applyAlignment="1" applyBorder="1" applyFont="1">
      <alignment vertical="center"/>
    </xf>
    <xf borderId="62" fillId="41" fontId="69" numFmtId="0" xfId="0" applyAlignment="1" applyBorder="1" applyFont="1">
      <alignment horizontal="center" readingOrder="0" vertical="bottom"/>
    </xf>
    <xf borderId="53" fillId="41" fontId="67" numFmtId="0" xfId="0" applyAlignment="1" applyBorder="1" applyFont="1">
      <alignment vertical="center"/>
    </xf>
    <xf borderId="54" fillId="41" fontId="70" numFmtId="164" xfId="0" applyAlignment="1" applyBorder="1" applyFont="1" applyNumberFormat="1">
      <alignment horizontal="center" readingOrder="0" vertical="center"/>
    </xf>
    <xf borderId="62" fillId="41" fontId="64" numFmtId="0" xfId="0" applyAlignment="1" applyBorder="1" applyFont="1">
      <alignment horizontal="center" readingOrder="0" shrinkToFit="0" vertical="center" wrapText="0"/>
    </xf>
    <xf borderId="62" fillId="41" fontId="66" numFmtId="0" xfId="0" applyAlignment="1" applyBorder="1" applyFont="1">
      <alignment horizontal="center"/>
    </xf>
    <xf borderId="64" fillId="0" fontId="2" numFmtId="0" xfId="0" applyBorder="1" applyFont="1"/>
    <xf borderId="53" fillId="41" fontId="66" numFmtId="0" xfId="0" applyAlignment="1" applyBorder="1" applyFont="1">
      <alignment horizontal="center"/>
    </xf>
    <xf borderId="33" fillId="0" fontId="2" numFmtId="165" xfId="0" applyAlignment="1" applyBorder="1" applyFont="1" applyNumberFormat="1">
      <alignment readingOrder="0"/>
    </xf>
    <xf borderId="31" fillId="10" fontId="40" numFmtId="49" xfId="0" applyAlignment="1" applyBorder="1" applyFont="1" applyNumberFormat="1">
      <alignment horizontal="center" readingOrder="0" shrinkToFit="0" vertical="center" wrapText="0"/>
    </xf>
    <xf borderId="30" fillId="10" fontId="0" numFmtId="0" xfId="0" applyAlignment="1" applyBorder="1" applyFont="1">
      <alignment horizontal="left" readingOrder="0" shrinkToFit="0" vertical="top" wrapText="1"/>
    </xf>
    <xf borderId="29" fillId="10" fontId="41" numFmtId="49" xfId="0" applyAlignment="1" applyBorder="1" applyFont="1" applyNumberFormat="1">
      <alignment horizontal="center" readingOrder="0" shrinkToFit="0" vertical="center" wrapText="0"/>
    </xf>
    <xf borderId="33" fillId="0" fontId="47" numFmtId="49" xfId="0" applyAlignment="1" applyBorder="1" applyFont="1" applyNumberFormat="1">
      <alignment horizontal="center" readingOrder="0" shrinkToFit="0" wrapText="0"/>
    </xf>
    <xf borderId="37" fillId="11" fontId="41" numFmtId="49" xfId="0" applyAlignment="1" applyBorder="1" applyFont="1" applyNumberFormat="1">
      <alignment horizontal="center" shrinkToFit="0" vertical="center" wrapText="0"/>
    </xf>
    <xf borderId="33" fillId="0" fontId="40" numFmtId="49" xfId="0" applyAlignment="1" applyBorder="1" applyFont="1" applyNumberFormat="1">
      <alignment horizontal="center" readingOrder="0" shrinkToFit="0" wrapText="0"/>
    </xf>
    <xf borderId="34" fillId="11" fontId="41" numFmtId="49" xfId="0" applyAlignment="1" applyBorder="1" applyFont="1" applyNumberFormat="1">
      <alignment horizontal="center" shrinkToFit="0" vertical="center" wrapText="0"/>
    </xf>
    <xf borderId="37" fillId="11" fontId="41" numFmtId="49" xfId="0" applyAlignment="1" applyBorder="1" applyFont="1" applyNumberFormat="1">
      <alignment horizontal="center" readingOrder="0" shrinkToFit="0" vertical="center" wrapText="0"/>
    </xf>
    <xf borderId="26" fillId="11" fontId="49" numFmtId="0" xfId="0" applyAlignment="1" applyBorder="1" applyFont="1">
      <alignment horizontal="left" readingOrder="0" shrinkToFit="0" vertical="top" wrapText="1"/>
    </xf>
    <xf borderId="36" fillId="0" fontId="47" numFmtId="49" xfId="0" applyAlignment="1" applyBorder="1" applyFont="1" applyNumberFormat="1">
      <alignment horizontal="center" shrinkToFit="0" wrapText="0"/>
    </xf>
    <xf borderId="36" fillId="0" fontId="40" numFmtId="49" xfId="0" applyAlignment="1" applyBorder="1" applyFont="1" applyNumberFormat="1">
      <alignment horizontal="center" readingOrder="0" shrinkToFit="0" wrapText="0"/>
    </xf>
    <xf borderId="33" fillId="21" fontId="40" numFmtId="49" xfId="0" applyAlignment="1" applyBorder="1" applyFont="1" applyNumberFormat="1">
      <alignment shrinkToFit="0" wrapText="0"/>
    </xf>
    <xf borderId="36" fillId="0" fontId="47" numFmtId="49" xfId="0" applyAlignment="1" applyBorder="1" applyFont="1" applyNumberFormat="1">
      <alignment horizontal="center" readingOrder="0" shrinkToFit="0" wrapText="0"/>
    </xf>
    <xf borderId="36" fillId="21" fontId="40" numFmtId="49" xfId="0" applyAlignment="1" applyBorder="1" applyFont="1" applyNumberFormat="1">
      <alignment shrinkToFit="0" wrapText="0"/>
    </xf>
    <xf borderId="34" fillId="25" fontId="41" numFmtId="49" xfId="0" applyAlignment="1" applyBorder="1" applyFont="1" applyNumberFormat="1">
      <alignment horizontal="left" readingOrder="0" shrinkToFit="0" vertical="center" wrapText="0"/>
    </xf>
    <xf borderId="31" fillId="0" fontId="41" numFmtId="0" xfId="0" applyAlignment="1" applyBorder="1" applyFont="1">
      <alignment horizontal="center" readingOrder="0" shrinkToFit="0" vertical="center" wrapText="0"/>
    </xf>
    <xf borderId="33" fillId="27" fontId="53" numFmtId="49" xfId="0" applyAlignment="1" applyBorder="1" applyFont="1" applyNumberFormat="1">
      <alignment horizontal="center" shrinkToFit="0" wrapText="0"/>
    </xf>
    <xf borderId="33" fillId="25" fontId="40" numFmtId="49" xfId="0" applyAlignment="1" applyBorder="1" applyFont="1" applyNumberFormat="1">
      <alignment readingOrder="0"/>
    </xf>
    <xf borderId="36" fillId="25" fontId="40" numFmtId="49" xfId="0" applyAlignment="1" applyBorder="1" applyFont="1" applyNumberFormat="1">
      <alignment readingOrder="0"/>
    </xf>
    <xf borderId="29" fillId="11" fontId="41" numFmtId="49" xfId="0" applyAlignment="1" applyBorder="1" applyFont="1" applyNumberFormat="1">
      <alignment horizontal="center" readingOrder="0" shrinkToFit="0" vertical="center" wrapText="0"/>
    </xf>
    <xf borderId="33" fillId="25" fontId="40" numFmtId="49" xfId="0" applyAlignment="1" applyBorder="1" applyFont="1" applyNumberFormat="1">
      <alignment shrinkToFit="0" wrapText="0"/>
    </xf>
    <xf borderId="34" fillId="0" fontId="47" numFmtId="49" xfId="0" applyAlignment="1" applyBorder="1" applyFont="1" applyNumberFormat="1">
      <alignment horizontal="center" readingOrder="0" shrinkToFit="0" vertical="center" wrapText="0"/>
    </xf>
    <xf borderId="33" fillId="22" fontId="41" numFmtId="0" xfId="0" applyAlignment="1" applyBorder="1" applyFont="1">
      <alignment horizontal="center" readingOrder="0" shrinkToFit="0" vertical="center" wrapText="0"/>
    </xf>
    <xf borderId="36" fillId="25" fontId="40" numFmtId="49" xfId="0" applyAlignment="1" applyBorder="1" applyFont="1" applyNumberFormat="1">
      <alignment shrinkToFit="0" wrapText="0"/>
    </xf>
    <xf borderId="35" fillId="27" fontId="47" numFmtId="49" xfId="0" applyAlignment="1" applyBorder="1" applyFont="1" applyNumberFormat="1">
      <alignment horizontal="center" shrinkToFit="0" vertical="center" wrapText="0"/>
    </xf>
    <xf borderId="40" fillId="11" fontId="0" numFmtId="0" xfId="0" applyAlignment="1" applyBorder="1" applyFont="1">
      <alignment horizontal="left" readingOrder="0" shrinkToFit="0" vertical="top" wrapText="1"/>
    </xf>
    <xf borderId="34" fillId="24" fontId="41" numFmtId="0" xfId="0" applyAlignment="1" applyBorder="1" applyFont="1">
      <alignment shrinkToFit="0" vertical="center" wrapText="0"/>
    </xf>
    <xf borderId="33" fillId="27" fontId="49" numFmtId="0" xfId="0" applyAlignment="1" applyBorder="1" applyFont="1">
      <alignment horizontal="center" readingOrder="0" shrinkToFit="0" vertical="center" wrapText="0"/>
    </xf>
    <xf borderId="33" fillId="27" fontId="41" numFmtId="0" xfId="0" applyAlignment="1" applyBorder="1" applyFont="1">
      <alignment horizontal="center" readingOrder="0" shrinkToFit="0" vertical="center" wrapText="0"/>
    </xf>
    <xf borderId="36" fillId="27" fontId="53" numFmtId="49" xfId="0" applyAlignment="1" applyBorder="1" applyFont="1" applyNumberFormat="1">
      <alignment horizontal="center" shrinkToFit="0" wrapText="0"/>
    </xf>
    <xf borderId="36" fillId="25" fontId="40" numFmtId="49" xfId="0" applyAlignment="1" applyBorder="1" applyFont="1" applyNumberFormat="1">
      <alignment readingOrder="0" shrinkToFit="0" wrapText="0"/>
    </xf>
    <xf borderId="0" fillId="0" fontId="41" numFmtId="166" xfId="0" applyAlignment="1" applyFont="1" applyNumberFormat="1">
      <alignment horizontal="center" readingOrder="0" shrinkToFit="0" vertical="center" wrapText="0"/>
    </xf>
    <xf borderId="65" fillId="42" fontId="71" numFmtId="0" xfId="0" applyAlignment="1" applyBorder="1" applyFill="1" applyFont="1">
      <alignment horizontal="left" readingOrder="0" shrinkToFit="0" vertical="center" wrapText="0"/>
    </xf>
    <xf borderId="65" fillId="42" fontId="72" numFmtId="0" xfId="0" applyAlignment="1" applyBorder="1" applyFont="1">
      <alignment horizontal="center" readingOrder="0" shrinkToFit="0" vertical="center" wrapText="0"/>
    </xf>
    <xf borderId="66" fillId="42" fontId="72" numFmtId="0" xfId="0" applyAlignment="1" applyBorder="1" applyFont="1">
      <alignment horizontal="left" readingOrder="0" shrinkToFit="0" vertical="center" wrapText="0"/>
    </xf>
    <xf borderId="67" fillId="0" fontId="2" numFmtId="0" xfId="0" applyBorder="1" applyFont="1"/>
    <xf borderId="68" fillId="0" fontId="2" numFmtId="0" xfId="0" applyBorder="1" applyFont="1"/>
    <xf borderId="66" fillId="42" fontId="57" numFmtId="0" xfId="0" applyAlignment="1" applyBorder="1" applyFont="1">
      <alignment horizontal="center" readingOrder="0" shrinkToFit="0" vertical="center" wrapText="0"/>
    </xf>
    <xf borderId="66" fillId="42" fontId="57" numFmtId="0" xfId="0" applyAlignment="1" applyBorder="1" applyFont="1">
      <alignment horizontal="left" readingOrder="0" vertical="center"/>
    </xf>
    <xf borderId="65" fillId="42" fontId="73" numFmtId="0" xfId="0" applyAlignment="1" applyBorder="1" applyFont="1">
      <alignment vertical="center"/>
    </xf>
    <xf borderId="65" fillId="42" fontId="71" numFmtId="0" xfId="0" applyAlignment="1" applyBorder="1" applyFont="1">
      <alignment readingOrder="0" shrinkToFit="0" vertical="center" wrapText="0"/>
    </xf>
    <xf borderId="65" fillId="42" fontId="71" numFmtId="49" xfId="0" applyAlignment="1" applyBorder="1" applyFont="1" applyNumberFormat="1">
      <alignment horizontal="left" readingOrder="0" shrinkToFit="0" vertical="center" wrapText="0"/>
    </xf>
    <xf borderId="69" fillId="0" fontId="2" numFmtId="0" xfId="0" applyBorder="1" applyFont="1"/>
    <xf borderId="70" fillId="0" fontId="2" numFmtId="0" xfId="0" applyBorder="1" applyFont="1"/>
    <xf borderId="71" fillId="0" fontId="2" numFmtId="0" xfId="0" applyBorder="1" applyFont="1"/>
    <xf borderId="72" fillId="0" fontId="2" numFmtId="0" xfId="0" applyBorder="1" applyFont="1"/>
    <xf borderId="73" fillId="0" fontId="2" numFmtId="0" xfId="0" applyBorder="1" applyFont="1"/>
    <xf borderId="65" fillId="42" fontId="57" numFmtId="0" xfId="0" applyAlignment="1" applyBorder="1" applyFont="1">
      <alignment horizontal="center" readingOrder="0" shrinkToFit="0" vertical="center" wrapText="0"/>
    </xf>
    <xf borderId="65" fillId="42" fontId="57" numFmtId="0" xfId="0" applyAlignment="1" applyBorder="1" applyFont="1">
      <alignment horizontal="left" readingOrder="0" vertical="center"/>
    </xf>
    <xf borderId="65" fillId="42" fontId="73" numFmtId="0" xfId="0" applyBorder="1" applyFont="1"/>
    <xf borderId="74" fillId="42" fontId="59" numFmtId="0" xfId="0" applyAlignment="1" applyBorder="1" applyFont="1">
      <alignment horizontal="center" vertical="bottom"/>
    </xf>
    <xf borderId="75" fillId="0" fontId="2" numFmtId="0" xfId="0" applyBorder="1" applyFont="1"/>
    <xf borderId="65" fillId="42" fontId="59" numFmtId="0" xfId="0" applyBorder="1" applyFont="1"/>
    <xf borderId="65" fillId="42" fontId="60" numFmtId="0" xfId="0" applyAlignment="1" applyBorder="1" applyFont="1">
      <alignment readingOrder="0" shrinkToFit="0" vertical="center" wrapText="0"/>
    </xf>
    <xf borderId="65" fillId="42" fontId="59" numFmtId="0" xfId="0" applyAlignment="1" applyBorder="1" applyFont="1">
      <alignment vertical="center"/>
    </xf>
    <xf borderId="74" fillId="42" fontId="61" numFmtId="0" xfId="0" applyAlignment="1" applyBorder="1" applyFont="1">
      <alignment horizontal="center" readingOrder="0" vertical="bottom"/>
    </xf>
    <xf borderId="65" fillId="42" fontId="59" numFmtId="0" xfId="0" applyAlignment="1" applyBorder="1" applyFont="1">
      <alignment vertical="center"/>
    </xf>
    <xf borderId="66" fillId="42" fontId="62" numFmtId="164" xfId="0" applyAlignment="1" applyBorder="1" applyFont="1" applyNumberFormat="1">
      <alignment horizontal="center" readingOrder="0" vertical="center"/>
    </xf>
    <xf borderId="74" fillId="42" fontId="72" numFmtId="0" xfId="0" applyAlignment="1" applyBorder="1" applyFont="1">
      <alignment horizontal="center" readingOrder="0" shrinkToFit="0" vertical="center" wrapText="0"/>
    </xf>
    <xf borderId="74" fillId="42" fontId="73" numFmtId="0" xfId="0" applyAlignment="1" applyBorder="1" applyFont="1">
      <alignment horizontal="center"/>
    </xf>
    <xf borderId="76" fillId="0" fontId="2" numFmtId="0" xfId="0" applyBorder="1" applyFont="1"/>
    <xf borderId="65" fillId="42" fontId="73" numFmtId="0" xfId="0" applyAlignment="1" applyBorder="1" applyFont="1">
      <alignment horizontal="center"/>
    </xf>
    <xf borderId="33" fillId="17" fontId="40" numFmtId="49" xfId="0" applyAlignment="1" applyBorder="1" applyFont="1" applyNumberFormat="1">
      <alignment shrinkToFit="0" wrapText="0"/>
    </xf>
    <xf borderId="33" fillId="11" fontId="40" numFmtId="49" xfId="0" applyAlignment="1" applyBorder="1" applyFont="1" applyNumberFormat="1">
      <alignment horizontal="center" readingOrder="0" shrinkToFit="0" vertical="center" wrapText="0"/>
    </xf>
    <xf borderId="33" fillId="11" fontId="40" numFmtId="49" xfId="0" applyAlignment="1" applyBorder="1" applyFont="1" applyNumberFormat="1">
      <alignment horizontal="center" shrinkToFit="0" vertical="center" wrapText="0"/>
    </xf>
    <xf borderId="36" fillId="17" fontId="40" numFmtId="49" xfId="0" applyAlignment="1" applyBorder="1" applyFont="1" applyNumberFormat="1">
      <alignment shrinkToFit="0" wrapText="0"/>
    </xf>
    <xf borderId="36" fillId="11" fontId="40" numFmtId="49" xfId="0" applyAlignment="1" applyBorder="1" applyFont="1" applyNumberFormat="1">
      <alignment horizontal="center" readingOrder="0" shrinkToFit="0" vertical="center" wrapText="0"/>
    </xf>
    <xf borderId="36" fillId="11" fontId="40" numFmtId="49" xfId="0" applyAlignment="1" applyBorder="1" applyFont="1" applyNumberFormat="1">
      <alignment horizontal="center" shrinkToFit="0" vertical="center" wrapText="0"/>
    </xf>
    <xf borderId="35" fillId="0" fontId="40" numFmtId="49" xfId="0" applyAlignment="1" applyBorder="1" applyFont="1" applyNumberFormat="1">
      <alignment horizontal="center" readingOrder="0" shrinkToFit="0" vertical="center" wrapText="0"/>
    </xf>
    <xf borderId="29" fillId="10" fontId="40" numFmtId="49" xfId="0" applyAlignment="1" applyBorder="1" applyFont="1" applyNumberFormat="1">
      <alignment horizontal="center" readingOrder="0" shrinkToFit="0" vertical="center" wrapText="0"/>
    </xf>
    <xf borderId="29" fillId="11" fontId="40" numFmtId="49" xfId="0" applyAlignment="1" applyBorder="1" applyFont="1" applyNumberFormat="1">
      <alignment horizontal="center" shrinkToFit="0" vertical="center" wrapText="0"/>
    </xf>
    <xf borderId="35" fillId="11" fontId="40" numFmtId="49" xfId="0" applyAlignment="1" applyBorder="1" applyFont="1" applyNumberFormat="1">
      <alignment horizontal="center" shrinkToFit="0" vertical="center" wrapText="0"/>
    </xf>
    <xf borderId="29" fillId="11" fontId="40" numFmtId="49" xfId="0" applyAlignment="1" applyBorder="1" applyFont="1" applyNumberFormat="1">
      <alignment horizontal="center" readingOrder="0" shrinkToFit="0" vertical="center" wrapText="0"/>
    </xf>
    <xf borderId="36" fillId="17" fontId="40" numFmtId="49" xfId="0" applyAlignment="1" applyBorder="1" applyFont="1" applyNumberFormat="1">
      <alignment readingOrder="0" shrinkToFit="0" wrapText="0"/>
    </xf>
    <xf borderId="36" fillId="17" fontId="40" numFmtId="49" xfId="0" applyAlignment="1" applyBorder="1" applyFont="1" applyNumberFormat="1">
      <alignment readingOrder="0"/>
    </xf>
    <xf borderId="35" fillId="11" fontId="40" numFmtId="49" xfId="0" applyAlignment="1" applyBorder="1" applyFont="1" applyNumberFormat="1">
      <alignment horizontal="center" readingOrder="0" shrinkToFit="0" vertical="center" wrapText="0"/>
    </xf>
    <xf borderId="36" fillId="17" fontId="40" numFmtId="49" xfId="0" applyBorder="1" applyFont="1" applyNumberFormat="1"/>
    <xf borderId="33" fillId="21" fontId="40" numFmtId="49" xfId="0" applyAlignment="1" applyBorder="1" applyFont="1" applyNumberFormat="1">
      <alignment shrinkToFit="0" vertical="center" wrapText="0"/>
    </xf>
    <xf borderId="33" fillId="0" fontId="40" numFmtId="49" xfId="0" applyAlignment="1" applyBorder="1" applyFont="1" applyNumberFormat="1">
      <alignment horizontal="center" shrinkToFit="0" vertical="center" wrapText="0"/>
    </xf>
    <xf borderId="33" fillId="11" fontId="40" numFmtId="0" xfId="0" applyAlignment="1" applyBorder="1" applyFont="1">
      <alignment horizontal="center" shrinkToFit="0" vertical="center" wrapText="0"/>
    </xf>
    <xf borderId="36" fillId="21" fontId="40" numFmtId="49" xfId="0" applyAlignment="1" applyBorder="1" applyFont="1" applyNumberFormat="1">
      <alignment shrinkToFit="0" vertical="center" wrapText="0"/>
    </xf>
    <xf borderId="36" fillId="21" fontId="40" numFmtId="49" xfId="0" applyAlignment="1" applyBorder="1" applyFont="1" applyNumberFormat="1">
      <alignment readingOrder="0" shrinkToFit="0" vertical="center" wrapText="0"/>
    </xf>
    <xf borderId="31" fillId="11" fontId="40" numFmtId="0" xfId="0" applyAlignment="1" applyBorder="1" applyFont="1">
      <alignment horizontal="center" readingOrder="0" shrinkToFit="0" vertical="center" wrapText="0"/>
    </xf>
    <xf borderId="36" fillId="10" fontId="40" numFmtId="49" xfId="0" applyAlignment="1" applyBorder="1" applyFont="1" applyNumberFormat="1">
      <alignment horizontal="center" readingOrder="0" shrinkToFit="0" vertical="center" wrapText="0"/>
    </xf>
    <xf borderId="34" fillId="27" fontId="41" numFmtId="0" xfId="0" applyAlignment="1" applyBorder="1" applyFont="1">
      <alignment horizontal="center" readingOrder="0" shrinkToFit="0" vertical="center" wrapText="0"/>
    </xf>
    <xf borderId="36" fillId="27" fontId="40" numFmtId="49" xfId="0" applyAlignment="1" applyBorder="1" applyFont="1" applyNumberFormat="1">
      <alignment horizontal="center" shrinkToFit="0" vertical="center" wrapText="0"/>
    </xf>
    <xf borderId="31" fillId="0" fontId="40" numFmtId="49" xfId="0" applyAlignment="1" applyBorder="1" applyFont="1" applyNumberFormat="1">
      <alignment horizontal="center" readingOrder="0" shrinkToFit="0" wrapText="0"/>
    </xf>
    <xf borderId="29" fillId="11" fontId="40" numFmtId="49" xfId="0" applyAlignment="1" applyBorder="1" applyFont="1" applyNumberFormat="1">
      <alignment horizontal="center" readingOrder="0" shrinkToFit="0" wrapText="0"/>
    </xf>
    <xf borderId="29" fillId="0" fontId="40" numFmtId="49" xfId="0" applyAlignment="1" applyBorder="1" applyFont="1" applyNumberFormat="1">
      <alignment horizontal="center" readingOrder="0" shrinkToFit="0" wrapText="0"/>
    </xf>
    <xf borderId="29" fillId="10" fontId="40" numFmtId="49" xfId="0" applyAlignment="1" applyBorder="1" applyFont="1" applyNumberFormat="1">
      <alignment horizontal="center" readingOrder="0" shrinkToFit="0" wrapText="0"/>
    </xf>
    <xf borderId="33" fillId="43" fontId="40" numFmtId="0" xfId="0" applyAlignment="1" applyBorder="1" applyFill="1" applyFont="1">
      <alignment horizontal="center" shrinkToFit="0" vertical="center" wrapText="0"/>
    </xf>
    <xf borderId="31" fillId="44" fontId="40" numFmtId="0" xfId="0" applyAlignment="1" applyBorder="1" applyFill="1" applyFont="1">
      <alignment horizontal="center" shrinkToFit="0" vertical="center" wrapText="0"/>
    </xf>
    <xf borderId="29" fillId="25" fontId="40" numFmtId="49" xfId="0" applyAlignment="1" applyBorder="1" applyFont="1" applyNumberFormat="1">
      <alignment readingOrder="0" shrinkToFit="0" vertical="center" wrapText="0"/>
    </xf>
    <xf borderId="31" fillId="27" fontId="41" numFmtId="49" xfId="0" applyAlignment="1" applyBorder="1" applyFont="1" applyNumberFormat="1">
      <alignment horizontal="center" readingOrder="0" shrinkToFit="0" vertical="center" wrapText="0"/>
    </xf>
    <xf borderId="36" fillId="43" fontId="40" numFmtId="0" xfId="0" applyAlignment="1" applyBorder="1" applyFont="1">
      <alignment horizontal="center" shrinkToFit="0" vertical="center" wrapText="0"/>
    </xf>
    <xf borderId="29" fillId="44" fontId="40" numFmtId="0" xfId="0" applyAlignment="1" applyBorder="1" applyFont="1">
      <alignment horizontal="center" shrinkToFit="0" vertical="center" wrapText="0"/>
    </xf>
    <xf borderId="29" fillId="0" fontId="40" numFmtId="0" xfId="0" applyAlignment="1" applyBorder="1" applyFont="1">
      <alignment horizontal="center" readingOrder="0" shrinkToFit="0" vertical="center" wrapText="0"/>
    </xf>
    <xf borderId="29" fillId="45" fontId="40" numFmtId="0" xfId="0" applyAlignment="1" applyBorder="1" applyFill="1" applyFont="1">
      <alignment horizontal="center" shrinkToFit="0" vertical="center" wrapText="0"/>
    </xf>
    <xf borderId="35" fillId="24" fontId="41" numFmtId="0" xfId="0" applyAlignment="1" applyBorder="1" applyFont="1">
      <alignment readingOrder="0" shrinkToFit="0" vertical="center" wrapText="0"/>
    </xf>
    <xf borderId="33" fillId="10" fontId="40" numFmtId="49" xfId="0" applyAlignment="1" applyBorder="1" applyFont="1" applyNumberFormat="1">
      <alignment horizontal="center" readingOrder="0" shrinkToFit="0" wrapText="0"/>
    </xf>
    <xf borderId="34" fillId="0" fontId="40" numFmtId="49" xfId="0" applyAlignment="1" applyBorder="1" applyFont="1" applyNumberFormat="1">
      <alignment horizontal="center" shrinkToFit="0" vertical="center" wrapText="0"/>
    </xf>
    <xf borderId="27" fillId="0" fontId="41" numFmtId="49" xfId="0" applyAlignment="1" applyBorder="1" applyFont="1" applyNumberFormat="1">
      <alignment horizontal="center" readingOrder="0" shrinkToFit="0" vertical="center" wrapText="0"/>
    </xf>
    <xf borderId="26" fillId="11" fontId="49" numFmtId="0" xfId="0" applyAlignment="1" applyBorder="1" applyFont="1">
      <alignment horizontal="left" shrinkToFit="0" vertical="top" wrapText="1"/>
    </xf>
    <xf borderId="36" fillId="0" fontId="40" numFmtId="49" xfId="0" applyAlignment="1" applyBorder="1" applyFont="1" applyNumberFormat="1">
      <alignment horizontal="center" shrinkToFit="0" wrapText="0"/>
    </xf>
    <xf borderId="36" fillId="27" fontId="40" numFmtId="49" xfId="0" applyAlignment="1" applyBorder="1" applyFont="1" applyNumberFormat="1">
      <alignment horizontal="center" shrinkToFit="0" wrapText="0"/>
    </xf>
    <xf borderId="33" fillId="27" fontId="49" numFmtId="0" xfId="0" applyAlignment="1" applyBorder="1" applyFont="1">
      <alignment horizontal="center" shrinkToFit="0" vertical="center" wrapText="0"/>
    </xf>
    <xf borderId="77" fillId="46" fontId="74" numFmtId="0" xfId="0" applyAlignment="1" applyBorder="1" applyFill="1" applyFont="1">
      <alignment horizontal="left" readingOrder="0" shrinkToFit="0" vertical="center" wrapText="0"/>
    </xf>
    <xf borderId="77" fillId="46" fontId="75" numFmtId="0" xfId="0" applyAlignment="1" applyBorder="1" applyFont="1">
      <alignment horizontal="center" readingOrder="0" shrinkToFit="0" vertical="center" wrapText="0"/>
    </xf>
    <xf borderId="78" fillId="46" fontId="75" numFmtId="0" xfId="0" applyAlignment="1" applyBorder="1" applyFont="1">
      <alignment horizontal="left" readingOrder="0" shrinkToFit="0" vertical="center" wrapText="0"/>
    </xf>
    <xf borderId="79" fillId="0" fontId="2" numFmtId="0" xfId="0" applyBorder="1" applyFont="1"/>
    <xf borderId="80" fillId="0" fontId="2" numFmtId="0" xfId="0" applyBorder="1" applyFont="1"/>
    <xf borderId="78" fillId="46" fontId="57" numFmtId="0" xfId="0" applyAlignment="1" applyBorder="1" applyFont="1">
      <alignment horizontal="center" readingOrder="0" shrinkToFit="0" vertical="center" wrapText="0"/>
    </xf>
    <xf borderId="78" fillId="46" fontId="57" numFmtId="0" xfId="0" applyAlignment="1" applyBorder="1" applyFont="1">
      <alignment horizontal="left" readingOrder="0" vertical="center"/>
    </xf>
    <xf borderId="77" fillId="46" fontId="76" numFmtId="0" xfId="0" applyAlignment="1" applyBorder="1" applyFont="1">
      <alignment vertical="center"/>
    </xf>
    <xf borderId="77" fillId="46" fontId="74" numFmtId="0" xfId="0" applyAlignment="1" applyBorder="1" applyFont="1">
      <alignment readingOrder="0" shrinkToFit="0" vertical="center" wrapText="0"/>
    </xf>
    <xf borderId="77" fillId="46" fontId="74" numFmtId="49" xfId="0" applyAlignment="1" applyBorder="1" applyFont="1" applyNumberFormat="1">
      <alignment horizontal="left" readingOrder="0" shrinkToFit="0" vertical="center" wrapText="0"/>
    </xf>
    <xf borderId="81" fillId="0" fontId="2" numFmtId="0" xfId="0" applyBorder="1" applyFont="1"/>
    <xf borderId="82" fillId="0" fontId="2" numFmtId="0" xfId="0" applyBorder="1" applyFont="1"/>
    <xf borderId="83" fillId="0" fontId="2" numFmtId="0" xfId="0" applyBorder="1" applyFont="1"/>
    <xf borderId="84" fillId="0" fontId="2" numFmtId="0" xfId="0" applyBorder="1" applyFont="1"/>
    <xf borderId="85" fillId="0" fontId="2" numFmtId="0" xfId="0" applyBorder="1" applyFont="1"/>
    <xf borderId="77" fillId="46" fontId="57" numFmtId="0" xfId="0" applyAlignment="1" applyBorder="1" applyFont="1">
      <alignment horizontal="center" readingOrder="0" shrinkToFit="0" vertical="center" wrapText="0"/>
    </xf>
    <xf borderId="77" fillId="46" fontId="57" numFmtId="0" xfId="0" applyAlignment="1" applyBorder="1" applyFont="1">
      <alignment horizontal="left" readingOrder="0" vertical="center"/>
    </xf>
    <xf borderId="77" fillId="46" fontId="76" numFmtId="0" xfId="0" applyBorder="1" applyFont="1"/>
    <xf borderId="86" fillId="46" fontId="59" numFmtId="0" xfId="0" applyAlignment="1" applyBorder="1" applyFont="1">
      <alignment horizontal="center" vertical="bottom"/>
    </xf>
    <xf borderId="87" fillId="0" fontId="2" numFmtId="0" xfId="0" applyBorder="1" applyFont="1"/>
    <xf borderId="77" fillId="46" fontId="59" numFmtId="0" xfId="0" applyBorder="1" applyFont="1"/>
    <xf borderId="77" fillId="46" fontId="60" numFmtId="0" xfId="0" applyAlignment="1" applyBorder="1" applyFont="1">
      <alignment readingOrder="0" shrinkToFit="0" vertical="center" wrapText="0"/>
    </xf>
    <xf borderId="77" fillId="46" fontId="59" numFmtId="0" xfId="0" applyAlignment="1" applyBorder="1" applyFont="1">
      <alignment vertical="center"/>
    </xf>
    <xf borderId="86" fillId="46" fontId="61" numFmtId="0" xfId="0" applyAlignment="1" applyBorder="1" applyFont="1">
      <alignment horizontal="center" readingOrder="0" vertical="bottom"/>
    </xf>
    <xf borderId="77" fillId="46" fontId="59" numFmtId="0" xfId="0" applyAlignment="1" applyBorder="1" applyFont="1">
      <alignment vertical="center"/>
    </xf>
    <xf borderId="78" fillId="46" fontId="62" numFmtId="164" xfId="0" applyAlignment="1" applyBorder="1" applyFont="1" applyNumberFormat="1">
      <alignment horizontal="center" readingOrder="0" vertical="center"/>
    </xf>
    <xf borderId="86" fillId="46" fontId="75" numFmtId="0" xfId="0" applyAlignment="1" applyBorder="1" applyFont="1">
      <alignment horizontal="center" readingOrder="0" shrinkToFit="0" vertical="center" wrapText="0"/>
    </xf>
    <xf borderId="86" fillId="46" fontId="76" numFmtId="0" xfId="0" applyAlignment="1" applyBorder="1" applyFont="1">
      <alignment horizontal="center"/>
    </xf>
    <xf borderId="88" fillId="0" fontId="2" numFmtId="0" xfId="0" applyBorder="1" applyFont="1"/>
    <xf borderId="77" fillId="46" fontId="76" numFmtId="0" xfId="0" applyAlignment="1" applyBorder="1" applyFont="1">
      <alignment horizontal="center"/>
    </xf>
    <xf borderId="31" fillId="11" fontId="40" numFmtId="49" xfId="0" applyAlignment="1" applyBorder="1" applyFont="1" applyNumberFormat="1">
      <alignment horizontal="center" readingOrder="0" shrinkToFit="0" wrapText="0"/>
    </xf>
    <xf borderId="33" fillId="0" fontId="40" numFmtId="49" xfId="0" applyAlignment="1" applyBorder="1" applyFont="1" applyNumberFormat="1">
      <alignment horizontal="center" shrinkToFit="0" wrapText="0"/>
    </xf>
    <xf borderId="89" fillId="47" fontId="77" numFmtId="0" xfId="0" applyAlignment="1" applyBorder="1" applyFill="1" applyFont="1">
      <alignment horizontal="left" readingOrder="0" shrinkToFit="0" vertical="center" wrapText="0"/>
    </xf>
    <xf borderId="89" fillId="47" fontId="78" numFmtId="0" xfId="0" applyAlignment="1" applyBorder="1" applyFont="1">
      <alignment horizontal="center" readingOrder="0" shrinkToFit="0" vertical="center" wrapText="0"/>
    </xf>
    <xf borderId="90" fillId="47" fontId="78" numFmtId="0" xfId="0" applyAlignment="1" applyBorder="1" applyFont="1">
      <alignment horizontal="left" readingOrder="0" shrinkToFit="0" vertical="center" wrapText="0"/>
    </xf>
    <xf borderId="91" fillId="0" fontId="2" numFmtId="0" xfId="0" applyBorder="1" applyFont="1"/>
    <xf borderId="92" fillId="0" fontId="2" numFmtId="0" xfId="0" applyBorder="1" applyFont="1"/>
    <xf borderId="90" fillId="47" fontId="31" numFmtId="0" xfId="0" applyAlignment="1" applyBorder="1" applyFont="1">
      <alignment horizontal="center" readingOrder="0" shrinkToFit="0" vertical="center" wrapText="0"/>
    </xf>
    <xf borderId="90" fillId="47" fontId="31" numFmtId="0" xfId="0" applyAlignment="1" applyBorder="1" applyFont="1">
      <alignment horizontal="left" readingOrder="0" vertical="center"/>
    </xf>
    <xf borderId="89" fillId="47" fontId="79" numFmtId="0" xfId="0" applyAlignment="1" applyBorder="1" applyFont="1">
      <alignment vertical="center"/>
    </xf>
    <xf borderId="89" fillId="47" fontId="77" numFmtId="0" xfId="0" applyAlignment="1" applyBorder="1" applyFont="1">
      <alignment readingOrder="0" shrinkToFit="0" vertical="center" wrapText="0"/>
    </xf>
    <xf borderId="89" fillId="47" fontId="77" numFmtId="49" xfId="0" applyAlignment="1" applyBorder="1" applyFont="1" applyNumberFormat="1">
      <alignment horizontal="left" readingOrder="0" shrinkToFit="0" vertical="center" wrapText="0"/>
    </xf>
    <xf borderId="93" fillId="0" fontId="2" numFmtId="0" xfId="0" applyBorder="1" applyFont="1"/>
    <xf borderId="94" fillId="0" fontId="2" numFmtId="0" xfId="0" applyBorder="1" applyFont="1"/>
    <xf borderId="95" fillId="0" fontId="2" numFmtId="0" xfId="0" applyBorder="1" applyFont="1"/>
    <xf borderId="96" fillId="0" fontId="2" numFmtId="0" xfId="0" applyBorder="1" applyFont="1"/>
    <xf borderId="97" fillId="0" fontId="2" numFmtId="0" xfId="0" applyBorder="1" applyFont="1"/>
    <xf borderId="89" fillId="47" fontId="31" numFmtId="0" xfId="0" applyAlignment="1" applyBorder="1" applyFont="1">
      <alignment horizontal="center" readingOrder="0" shrinkToFit="0" vertical="center" wrapText="0"/>
    </xf>
    <xf borderId="89" fillId="47" fontId="31" numFmtId="0" xfId="0" applyAlignment="1" applyBorder="1" applyFont="1">
      <alignment horizontal="left" readingOrder="0" vertical="center"/>
    </xf>
    <xf borderId="89" fillId="47" fontId="79" numFmtId="0" xfId="0" applyBorder="1" applyFont="1"/>
    <xf borderId="98" fillId="47" fontId="33" numFmtId="0" xfId="0" applyAlignment="1" applyBorder="1" applyFont="1">
      <alignment horizontal="center" vertical="bottom"/>
    </xf>
    <xf borderId="99" fillId="0" fontId="2" numFmtId="0" xfId="0" applyBorder="1" applyFont="1"/>
    <xf borderId="89" fillId="47" fontId="33" numFmtId="0" xfId="0" applyBorder="1" applyFont="1"/>
    <xf borderId="89" fillId="47" fontId="34" numFmtId="0" xfId="0" applyAlignment="1" applyBorder="1" applyFont="1">
      <alignment readingOrder="0" shrinkToFit="0" vertical="center" wrapText="0"/>
    </xf>
    <xf borderId="89" fillId="47" fontId="33" numFmtId="0" xfId="0" applyAlignment="1" applyBorder="1" applyFont="1">
      <alignment vertical="center"/>
    </xf>
    <xf borderId="98" fillId="47" fontId="35" numFmtId="0" xfId="0" applyAlignment="1" applyBorder="1" applyFont="1">
      <alignment horizontal="center" readingOrder="0" vertical="bottom"/>
    </xf>
    <xf borderId="89" fillId="47" fontId="33" numFmtId="0" xfId="0" applyAlignment="1" applyBorder="1" applyFont="1">
      <alignment vertical="center"/>
    </xf>
    <xf borderId="90" fillId="47" fontId="36" numFmtId="164" xfId="0" applyAlignment="1" applyBorder="1" applyFont="1" applyNumberFormat="1">
      <alignment horizontal="center" readingOrder="0" vertical="center"/>
    </xf>
    <xf borderId="98" fillId="47" fontId="78" numFmtId="0" xfId="0" applyAlignment="1" applyBorder="1" applyFont="1">
      <alignment horizontal="center" readingOrder="0" shrinkToFit="0" vertical="center" wrapText="0"/>
    </xf>
    <xf borderId="98" fillId="47" fontId="79" numFmtId="0" xfId="0" applyAlignment="1" applyBorder="1" applyFont="1">
      <alignment horizontal="center"/>
    </xf>
    <xf borderId="100" fillId="0" fontId="2" numFmtId="0" xfId="0" applyBorder="1" applyFont="1"/>
    <xf borderId="89" fillId="47" fontId="79" numFmtId="0" xfId="0" applyAlignment="1" applyBorder="1" applyFont="1">
      <alignment horizontal="center"/>
    </xf>
    <xf borderId="31" fillId="0" fontId="0" numFmtId="49" xfId="0" applyAlignment="1" applyBorder="1" applyFont="1" applyNumberFormat="1">
      <alignment horizontal="center" readingOrder="0" shrinkToFit="0" vertical="center" wrapText="0"/>
    </xf>
    <xf borderId="36" fillId="0" fontId="0" numFmtId="49" xfId="0" applyAlignment="1" applyBorder="1" applyFont="1" applyNumberFormat="1">
      <alignment horizontal="center" readingOrder="0" shrinkToFit="0" vertical="center" wrapText="0"/>
    </xf>
    <xf borderId="36" fillId="0" fontId="0" numFmtId="0" xfId="0" applyAlignment="1" applyBorder="1" applyFont="1">
      <alignment horizontal="center" readingOrder="0" shrinkToFit="0" vertical="center" wrapText="0"/>
    </xf>
    <xf borderId="26" fillId="11" fontId="41" numFmtId="0" xfId="0" applyAlignment="1" applyBorder="1" applyFont="1">
      <alignment horizontal="center" readingOrder="0" shrinkToFit="0" vertical="center" wrapText="1"/>
    </xf>
    <xf borderId="29" fillId="0" fontId="0" numFmtId="49" xfId="0" applyAlignment="1" applyBorder="1" applyFont="1" applyNumberFormat="1">
      <alignment horizontal="center" shrinkToFit="0" vertical="center" wrapText="0"/>
    </xf>
    <xf borderId="33" fillId="11" fontId="41" numFmtId="49" xfId="0" applyAlignment="1" applyBorder="1" applyFont="1" applyNumberFormat="1">
      <alignment horizontal="center" shrinkToFit="0" vertical="center" wrapText="0"/>
    </xf>
    <xf borderId="30" fillId="11" fontId="41" numFmtId="0" xfId="0" applyAlignment="1" applyBorder="1" applyFont="1">
      <alignment horizontal="center" readingOrder="0" shrinkToFit="0" vertical="center" wrapText="1"/>
    </xf>
    <xf borderId="30" fillId="11" fontId="49" numFmtId="0" xfId="0" applyAlignment="1" applyBorder="1" applyFont="1">
      <alignment horizontal="left" shrinkToFit="0" vertical="top" wrapText="1"/>
    </xf>
    <xf borderId="33" fillId="25" fontId="41" numFmtId="49" xfId="0" applyAlignment="1" applyBorder="1" applyFont="1" applyNumberFormat="1">
      <alignment readingOrder="0" shrinkToFit="0" vertical="center" wrapText="0"/>
    </xf>
    <xf borderId="33" fillId="24" fontId="41" numFmtId="0" xfId="0" applyAlignment="1" applyBorder="1" applyFont="1">
      <alignment shrinkToFit="0" vertical="center" wrapText="0"/>
    </xf>
    <xf borderId="33" fillId="25" fontId="41" numFmtId="49" xfId="0" applyAlignment="1" applyBorder="1" applyFont="1" applyNumberFormat="1">
      <alignment shrinkToFit="0" vertical="center" wrapText="0"/>
    </xf>
    <xf borderId="101" fillId="48" fontId="80" numFmtId="0" xfId="0" applyAlignment="1" applyBorder="1" applyFill="1" applyFont="1">
      <alignment horizontal="left" readingOrder="0" shrinkToFit="0" vertical="center" wrapText="0"/>
    </xf>
    <xf borderId="101" fillId="48" fontId="81" numFmtId="0" xfId="0" applyAlignment="1" applyBorder="1" applyFont="1">
      <alignment horizontal="center" readingOrder="0" shrinkToFit="0" vertical="center" wrapText="0"/>
    </xf>
    <xf borderId="102" fillId="48" fontId="81" numFmtId="0" xfId="0" applyAlignment="1" applyBorder="1" applyFont="1">
      <alignment horizontal="left" readingOrder="0" shrinkToFit="0" vertical="center" wrapText="0"/>
    </xf>
    <xf borderId="103" fillId="0" fontId="2" numFmtId="0" xfId="0" applyBorder="1" applyFont="1"/>
    <xf borderId="104" fillId="0" fontId="2" numFmtId="0" xfId="0" applyBorder="1" applyFont="1"/>
    <xf borderId="102" fillId="48" fontId="82" numFmtId="0" xfId="0" applyAlignment="1" applyBorder="1" applyFont="1">
      <alignment horizontal="center" readingOrder="0" shrinkToFit="0" vertical="center" wrapText="0"/>
    </xf>
    <xf borderId="102" fillId="48" fontId="82" numFmtId="0" xfId="0" applyAlignment="1" applyBorder="1" applyFont="1">
      <alignment horizontal="left" readingOrder="0" vertical="center"/>
    </xf>
    <xf borderId="101" fillId="48" fontId="83" numFmtId="0" xfId="0" applyAlignment="1" applyBorder="1" applyFont="1">
      <alignment vertical="center"/>
    </xf>
    <xf borderId="101" fillId="48" fontId="80" numFmtId="0" xfId="0" applyAlignment="1" applyBorder="1" applyFont="1">
      <alignment readingOrder="0" shrinkToFit="0" vertical="center" wrapText="0"/>
    </xf>
    <xf borderId="101" fillId="48" fontId="80" numFmtId="49" xfId="0" applyAlignment="1" applyBorder="1" applyFont="1" applyNumberFormat="1">
      <alignment horizontal="left" readingOrder="0" shrinkToFit="0" vertical="center" wrapText="0"/>
    </xf>
    <xf borderId="105" fillId="0" fontId="2" numFmtId="0" xfId="0" applyBorder="1" applyFont="1"/>
    <xf borderId="106" fillId="0" fontId="2" numFmtId="0" xfId="0" applyBorder="1" applyFont="1"/>
    <xf borderId="107" fillId="0" fontId="2" numFmtId="0" xfId="0" applyBorder="1" applyFont="1"/>
    <xf borderId="108" fillId="0" fontId="2" numFmtId="0" xfId="0" applyBorder="1" applyFont="1"/>
    <xf borderId="109" fillId="0" fontId="2" numFmtId="0" xfId="0" applyBorder="1" applyFont="1"/>
    <xf borderId="101" fillId="48" fontId="82" numFmtId="0" xfId="0" applyAlignment="1" applyBorder="1" applyFont="1">
      <alignment horizontal="center" readingOrder="0" shrinkToFit="0" vertical="center" wrapText="0"/>
    </xf>
    <xf borderId="101" fillId="48" fontId="82" numFmtId="0" xfId="0" applyAlignment="1" applyBorder="1" applyFont="1">
      <alignment horizontal="left" readingOrder="0" vertical="center"/>
    </xf>
    <xf borderId="101" fillId="48" fontId="83" numFmtId="0" xfId="0" applyBorder="1" applyFont="1"/>
    <xf borderId="110" fillId="48" fontId="84" numFmtId="0" xfId="0" applyAlignment="1" applyBorder="1" applyFont="1">
      <alignment horizontal="center" vertical="bottom"/>
    </xf>
    <xf borderId="111" fillId="0" fontId="2" numFmtId="0" xfId="0" applyBorder="1" applyFont="1"/>
    <xf borderId="101" fillId="48" fontId="84" numFmtId="0" xfId="0" applyBorder="1" applyFont="1"/>
    <xf borderId="101" fillId="48" fontId="85" numFmtId="0" xfId="0" applyAlignment="1" applyBorder="1" applyFont="1">
      <alignment readingOrder="0" shrinkToFit="0" vertical="center" wrapText="0"/>
    </xf>
    <xf borderId="101" fillId="48" fontId="84" numFmtId="0" xfId="0" applyAlignment="1" applyBorder="1" applyFont="1">
      <alignment vertical="center"/>
    </xf>
    <xf borderId="110" fillId="48" fontId="86" numFmtId="0" xfId="0" applyAlignment="1" applyBorder="1" applyFont="1">
      <alignment horizontal="center" readingOrder="0" vertical="bottom"/>
    </xf>
    <xf borderId="101" fillId="48" fontId="84" numFmtId="0" xfId="0" applyAlignment="1" applyBorder="1" applyFont="1">
      <alignment vertical="center"/>
    </xf>
    <xf borderId="102" fillId="48" fontId="87" numFmtId="164" xfId="0" applyAlignment="1" applyBorder="1" applyFont="1" applyNumberFormat="1">
      <alignment horizontal="center" readingOrder="0" vertical="center"/>
    </xf>
    <xf borderId="110" fillId="48" fontId="81" numFmtId="0" xfId="0" applyAlignment="1" applyBorder="1" applyFont="1">
      <alignment horizontal="center" readingOrder="0" shrinkToFit="0" vertical="center" wrapText="0"/>
    </xf>
    <xf borderId="110" fillId="48" fontId="83" numFmtId="0" xfId="0" applyAlignment="1" applyBorder="1" applyFont="1">
      <alignment horizontal="center"/>
    </xf>
    <xf borderId="112" fillId="0" fontId="2" numFmtId="0" xfId="0" applyBorder="1" applyFont="1"/>
    <xf borderId="101" fillId="48" fontId="83" numFmtId="0" xfId="0" applyAlignment="1" applyBorder="1" applyFont="1">
      <alignment horizontal="center"/>
    </xf>
    <xf borderId="29" fillId="27" fontId="49" numFmtId="49" xfId="0" applyAlignment="1" applyBorder="1" applyFont="1" applyNumberFormat="1">
      <alignment horizontal="center" shrinkToFit="0" vertical="center" wrapText="0"/>
    </xf>
    <xf borderId="29" fillId="27" fontId="41" numFmtId="0" xfId="0" applyAlignment="1" applyBorder="1" applyFont="1">
      <alignment horizontal="center" shrinkToFit="0" vertical="center" wrapText="0"/>
    </xf>
    <xf borderId="29" fillId="27" fontId="41" numFmtId="49" xfId="0" applyAlignment="1" applyBorder="1" applyFont="1" applyNumberFormat="1">
      <alignment horizontal="center" shrinkToFit="0" vertical="center" wrapText="0"/>
    </xf>
    <xf borderId="26" fillId="10" fontId="0" numFmtId="0" xfId="0" applyAlignment="1" applyBorder="1" applyFont="1">
      <alignment horizontal="left" readingOrder="0" shrinkToFit="0" vertical="top" wrapText="1"/>
    </xf>
    <xf borderId="26" fillId="11" fontId="41" numFmtId="0" xfId="0" applyAlignment="1" applyBorder="1" applyFont="1">
      <alignment horizontal="center" readingOrder="0" shrinkToFit="0" vertical="center" wrapText="0"/>
    </xf>
    <xf borderId="30" fillId="11" fontId="41" numFmtId="0" xfId="0" applyAlignment="1" applyBorder="1" applyFont="1">
      <alignment horizontal="center" readingOrder="0" shrinkToFit="0" vertical="center" wrapText="0"/>
    </xf>
    <xf borderId="33" fillId="26" fontId="41" numFmtId="49" xfId="0" applyAlignment="1" applyBorder="1" applyFont="1" applyNumberFormat="1">
      <alignment horizontal="left" readingOrder="0" shrinkToFit="0" vertical="center" wrapText="0"/>
    </xf>
    <xf borderId="31" fillId="0" fontId="49" numFmtId="49" xfId="0" applyAlignment="1" applyBorder="1" applyFont="1" applyNumberFormat="1">
      <alignment horizontal="center" readingOrder="0" shrinkToFit="0" vertical="center" wrapText="0"/>
    </xf>
    <xf borderId="31" fillId="27" fontId="49" numFmtId="49" xfId="0" applyAlignment="1" applyBorder="1" applyFont="1" applyNumberFormat="1">
      <alignment horizontal="center" readingOrder="0" shrinkToFit="0" vertical="center" wrapText="0"/>
    </xf>
    <xf borderId="26" fillId="11" fontId="0" numFmtId="0" xfId="0" applyAlignment="1" applyBorder="1" applyFont="1">
      <alignment horizontal="left" readingOrder="0" shrinkToFit="0" vertical="top" wrapText="0"/>
    </xf>
    <xf borderId="35" fillId="0" fontId="41" numFmtId="49" xfId="0" applyAlignment="1" applyBorder="1" applyFont="1" applyNumberFormat="1">
      <alignment horizontal="center" readingOrder="0" shrinkToFit="0" vertical="center" wrapText="0"/>
    </xf>
    <xf borderId="26" fillId="10" fontId="41" numFmtId="0" xfId="0" applyAlignment="1" applyBorder="1" applyFont="1">
      <alignment horizontal="left" readingOrder="0" shrinkToFit="0" vertical="top" wrapText="0"/>
    </xf>
    <xf borderId="32" fillId="28" fontId="17" numFmtId="49" xfId="0" applyAlignment="1" applyBorder="1" applyFont="1" applyNumberFormat="1">
      <alignment horizontal="left" readingOrder="0" shrinkToFit="0" vertical="center" wrapText="0"/>
    </xf>
    <xf borderId="26" fillId="0" fontId="41" numFmtId="0" xfId="0" applyAlignment="1" applyBorder="1" applyFont="1">
      <alignment horizontal="left" readingOrder="0" shrinkToFit="0" vertical="top" wrapText="0"/>
    </xf>
    <xf borderId="113" fillId="49" fontId="88" numFmtId="0" xfId="0" applyAlignment="1" applyBorder="1" applyFill="1" applyFont="1">
      <alignment horizontal="left" readingOrder="0" shrinkToFit="0" vertical="center" wrapText="0"/>
    </xf>
    <xf borderId="113" fillId="49" fontId="89" numFmtId="0" xfId="0" applyAlignment="1" applyBorder="1" applyFont="1">
      <alignment horizontal="center" readingOrder="0" shrinkToFit="0" vertical="center" wrapText="0"/>
    </xf>
    <xf borderId="114" fillId="49" fontId="89" numFmtId="0" xfId="0" applyAlignment="1" applyBorder="1" applyFont="1">
      <alignment horizontal="left" readingOrder="0" shrinkToFit="0" vertical="center" wrapText="0"/>
    </xf>
    <xf borderId="115" fillId="0" fontId="2" numFmtId="0" xfId="0" applyBorder="1" applyFont="1"/>
    <xf borderId="116" fillId="0" fontId="2" numFmtId="0" xfId="0" applyBorder="1" applyFont="1"/>
    <xf borderId="114" fillId="49" fontId="57" numFmtId="0" xfId="0" applyAlignment="1" applyBorder="1" applyFont="1">
      <alignment horizontal="center" readingOrder="0" shrinkToFit="0" vertical="center" wrapText="0"/>
    </xf>
    <xf borderId="114" fillId="49" fontId="57" numFmtId="0" xfId="0" applyAlignment="1" applyBorder="1" applyFont="1">
      <alignment horizontal="left" readingOrder="0" vertical="center"/>
    </xf>
    <xf borderId="113" fillId="49" fontId="90" numFmtId="0" xfId="0" applyAlignment="1" applyBorder="1" applyFont="1">
      <alignment vertical="center"/>
    </xf>
    <xf borderId="113" fillId="49" fontId="88" numFmtId="0" xfId="0" applyAlignment="1" applyBorder="1" applyFont="1">
      <alignment readingOrder="0" shrinkToFit="0" vertical="center" wrapText="0"/>
    </xf>
    <xf borderId="113" fillId="49" fontId="88" numFmtId="49" xfId="0" applyAlignment="1" applyBorder="1" applyFont="1" applyNumberFormat="1">
      <alignment horizontal="left" readingOrder="0" shrinkToFit="0" vertical="center" wrapText="0"/>
    </xf>
    <xf borderId="117" fillId="0" fontId="2" numFmtId="0" xfId="0" applyBorder="1" applyFont="1"/>
    <xf borderId="118" fillId="0" fontId="2" numFmtId="0" xfId="0" applyBorder="1" applyFont="1"/>
    <xf borderId="119" fillId="0" fontId="2" numFmtId="0" xfId="0" applyBorder="1" applyFont="1"/>
    <xf borderId="120" fillId="0" fontId="2" numFmtId="0" xfId="0" applyBorder="1" applyFont="1"/>
    <xf borderId="121" fillId="0" fontId="2" numFmtId="0" xfId="0" applyBorder="1" applyFont="1"/>
    <xf borderId="113" fillId="49" fontId="57" numFmtId="0" xfId="0" applyAlignment="1" applyBorder="1" applyFont="1">
      <alignment horizontal="center" readingOrder="0" shrinkToFit="0" vertical="center" wrapText="0"/>
    </xf>
    <xf borderId="113" fillId="49" fontId="57" numFmtId="0" xfId="0" applyAlignment="1" applyBorder="1" applyFont="1">
      <alignment horizontal="left" readingOrder="0" vertical="center"/>
    </xf>
    <xf borderId="113" fillId="49" fontId="90" numFmtId="0" xfId="0" applyBorder="1" applyFont="1"/>
    <xf borderId="122" fillId="49" fontId="59" numFmtId="0" xfId="0" applyAlignment="1" applyBorder="1" applyFont="1">
      <alignment horizontal="center" vertical="bottom"/>
    </xf>
    <xf borderId="123" fillId="0" fontId="2" numFmtId="0" xfId="0" applyBorder="1" applyFont="1"/>
    <xf borderId="113" fillId="49" fontId="59" numFmtId="0" xfId="0" applyBorder="1" applyFont="1"/>
    <xf borderId="113" fillId="49" fontId="60" numFmtId="0" xfId="0" applyAlignment="1" applyBorder="1" applyFont="1">
      <alignment readingOrder="0" shrinkToFit="0" vertical="center" wrapText="0"/>
    </xf>
    <xf borderId="113" fillId="49" fontId="59" numFmtId="0" xfId="0" applyAlignment="1" applyBorder="1" applyFont="1">
      <alignment vertical="center"/>
    </xf>
    <xf borderId="122" fillId="49" fontId="61" numFmtId="0" xfId="0" applyAlignment="1" applyBorder="1" applyFont="1">
      <alignment horizontal="center" readingOrder="0" vertical="bottom"/>
    </xf>
    <xf borderId="113" fillId="49" fontId="59" numFmtId="0" xfId="0" applyAlignment="1" applyBorder="1" applyFont="1">
      <alignment vertical="center"/>
    </xf>
    <xf borderId="114" fillId="49" fontId="62" numFmtId="164" xfId="0" applyAlignment="1" applyBorder="1" applyFont="1" applyNumberFormat="1">
      <alignment horizontal="center" readingOrder="0" vertical="center"/>
    </xf>
    <xf borderId="122" fillId="49" fontId="89" numFmtId="0" xfId="0" applyAlignment="1" applyBorder="1" applyFont="1">
      <alignment horizontal="center" readingOrder="0" shrinkToFit="0" vertical="center" wrapText="0"/>
    </xf>
    <xf borderId="122" fillId="49" fontId="90" numFmtId="0" xfId="0" applyAlignment="1" applyBorder="1" applyFont="1">
      <alignment horizontal="center"/>
    </xf>
    <xf borderId="124" fillId="0" fontId="2" numFmtId="0" xfId="0" applyBorder="1" applyFont="1"/>
    <xf borderId="113" fillId="49" fontId="90" numFmtId="0" xfId="0" applyAlignment="1" applyBorder="1" applyFont="1">
      <alignment horizontal="center"/>
    </xf>
    <xf borderId="31" fillId="11" fontId="41" numFmtId="49" xfId="0" applyAlignment="1" applyBorder="1" applyFont="1" applyNumberFormat="1">
      <alignment horizontal="center" readingOrder="0" shrinkToFit="0" vertical="center" wrapText="0"/>
    </xf>
    <xf borderId="33" fillId="27" fontId="53" numFmtId="49" xfId="0" applyAlignment="1" applyBorder="1" applyFont="1" applyNumberFormat="1">
      <alignment vertical="center"/>
    </xf>
    <xf borderId="125" fillId="50" fontId="91" numFmtId="0" xfId="0" applyAlignment="1" applyBorder="1" applyFill="1" applyFont="1">
      <alignment horizontal="left" readingOrder="0" shrinkToFit="0" vertical="center" wrapText="0"/>
    </xf>
    <xf borderId="125" fillId="50" fontId="92" numFmtId="0" xfId="0" applyAlignment="1" applyBorder="1" applyFont="1">
      <alignment horizontal="center" readingOrder="0" shrinkToFit="0" vertical="center" wrapText="0"/>
    </xf>
    <xf borderId="126" fillId="50" fontId="92" numFmtId="0" xfId="0" applyAlignment="1" applyBorder="1" applyFont="1">
      <alignment horizontal="left" readingOrder="0" shrinkToFit="0" vertical="center" wrapText="0"/>
    </xf>
    <xf borderId="127" fillId="0" fontId="2" numFmtId="0" xfId="0" applyBorder="1" applyFont="1"/>
    <xf borderId="128" fillId="0" fontId="2" numFmtId="0" xfId="0" applyBorder="1" applyFont="1"/>
    <xf borderId="126" fillId="50" fontId="82" numFmtId="0" xfId="0" applyAlignment="1" applyBorder="1" applyFont="1">
      <alignment horizontal="center" readingOrder="0" shrinkToFit="0" vertical="center" wrapText="0"/>
    </xf>
    <xf borderId="126" fillId="50" fontId="82" numFmtId="0" xfId="0" applyAlignment="1" applyBorder="1" applyFont="1">
      <alignment horizontal="left" readingOrder="0" vertical="center"/>
    </xf>
    <xf borderId="125" fillId="50" fontId="93" numFmtId="0" xfId="0" applyAlignment="1" applyBorder="1" applyFont="1">
      <alignment vertical="center"/>
    </xf>
    <xf borderId="125" fillId="50" fontId="91" numFmtId="0" xfId="0" applyAlignment="1" applyBorder="1" applyFont="1">
      <alignment readingOrder="0" shrinkToFit="0" vertical="center" wrapText="0"/>
    </xf>
    <xf borderId="125" fillId="50" fontId="91" numFmtId="49" xfId="0" applyAlignment="1" applyBorder="1" applyFont="1" applyNumberFormat="1">
      <alignment horizontal="left" readingOrder="0" shrinkToFit="0" vertical="center" wrapText="0"/>
    </xf>
    <xf borderId="129" fillId="0" fontId="2" numFmtId="0" xfId="0" applyBorder="1" applyFont="1"/>
    <xf borderId="130" fillId="0" fontId="2" numFmtId="0" xfId="0" applyBorder="1" applyFont="1"/>
    <xf borderId="131" fillId="0" fontId="2" numFmtId="0" xfId="0" applyBorder="1" applyFont="1"/>
    <xf borderId="132" fillId="0" fontId="2" numFmtId="0" xfId="0" applyBorder="1" applyFont="1"/>
    <xf borderId="133" fillId="0" fontId="2" numFmtId="0" xfId="0" applyBorder="1" applyFont="1"/>
    <xf borderId="125" fillId="50" fontId="82" numFmtId="0" xfId="0" applyAlignment="1" applyBorder="1" applyFont="1">
      <alignment horizontal="center" readingOrder="0" shrinkToFit="0" vertical="center" wrapText="0"/>
    </xf>
    <xf borderId="125" fillId="50" fontId="82" numFmtId="0" xfId="0" applyAlignment="1" applyBorder="1" applyFont="1">
      <alignment horizontal="left" readingOrder="0" vertical="center"/>
    </xf>
    <xf borderId="125" fillId="50" fontId="93" numFmtId="0" xfId="0" applyBorder="1" applyFont="1"/>
    <xf borderId="134" fillId="50" fontId="84" numFmtId="0" xfId="0" applyAlignment="1" applyBorder="1" applyFont="1">
      <alignment horizontal="center" vertical="bottom"/>
    </xf>
    <xf borderId="135" fillId="0" fontId="2" numFmtId="0" xfId="0" applyBorder="1" applyFont="1"/>
    <xf borderId="125" fillId="50" fontId="84" numFmtId="0" xfId="0" applyBorder="1" applyFont="1"/>
    <xf borderId="125" fillId="50" fontId="85" numFmtId="0" xfId="0" applyAlignment="1" applyBorder="1" applyFont="1">
      <alignment readingOrder="0" shrinkToFit="0" vertical="center" wrapText="0"/>
    </xf>
    <xf borderId="125" fillId="50" fontId="84" numFmtId="0" xfId="0" applyAlignment="1" applyBorder="1" applyFont="1">
      <alignment vertical="center"/>
    </xf>
    <xf borderId="134" fillId="50" fontId="86" numFmtId="0" xfId="0" applyAlignment="1" applyBorder="1" applyFont="1">
      <alignment horizontal="center" readingOrder="0" vertical="bottom"/>
    </xf>
    <xf borderId="125" fillId="50" fontId="84" numFmtId="0" xfId="0" applyAlignment="1" applyBorder="1" applyFont="1">
      <alignment vertical="center"/>
    </xf>
    <xf borderId="126" fillId="50" fontId="87" numFmtId="164" xfId="0" applyAlignment="1" applyBorder="1" applyFont="1" applyNumberFormat="1">
      <alignment horizontal="center" readingOrder="0" vertical="center"/>
    </xf>
    <xf borderId="134" fillId="50" fontId="92" numFmtId="0" xfId="0" applyAlignment="1" applyBorder="1" applyFont="1">
      <alignment horizontal="center" readingOrder="0" shrinkToFit="0" vertical="center" wrapText="0"/>
    </xf>
    <xf borderId="134" fillId="50" fontId="93" numFmtId="0" xfId="0" applyAlignment="1" applyBorder="1" applyFont="1">
      <alignment horizontal="center"/>
    </xf>
    <xf borderId="136" fillId="0" fontId="2" numFmtId="0" xfId="0" applyBorder="1" applyFont="1"/>
    <xf borderId="125" fillId="50" fontId="93" numFmtId="0" xfId="0" applyAlignment="1" applyBorder="1" applyFont="1">
      <alignment horizontal="center"/>
    </xf>
    <xf borderId="31" fillId="26" fontId="40" numFmtId="49" xfId="0" applyAlignment="1" applyBorder="1" applyFont="1" applyNumberFormat="1">
      <alignment shrinkToFit="0" wrapText="0"/>
    </xf>
    <xf borderId="27" fillId="0" fontId="40" numFmtId="49" xfId="0" applyAlignment="1" applyBorder="1" applyFont="1" applyNumberFormat="1">
      <alignment horizontal="center" shrinkToFit="0" vertical="center" wrapText="0"/>
    </xf>
    <xf borderId="29" fillId="26" fontId="40" numFmtId="49" xfId="0" applyAlignment="1" applyBorder="1" applyFont="1" applyNumberFormat="1">
      <alignment shrinkToFit="0" wrapText="0"/>
    </xf>
    <xf borderId="29" fillId="0" fontId="40" numFmtId="49" xfId="0" applyAlignment="1" applyBorder="1" applyFont="1" applyNumberFormat="1">
      <alignment horizontal="center" readingOrder="0" vertical="center"/>
    </xf>
    <xf borderId="36" fillId="24" fontId="40" numFmtId="0" xfId="0" applyAlignment="1" applyBorder="1" applyFont="1">
      <alignment shrinkToFit="0" wrapText="0"/>
    </xf>
    <xf borderId="29" fillId="26" fontId="40" numFmtId="49" xfId="0" applyAlignment="1" applyBorder="1" applyFont="1" applyNumberFormat="1">
      <alignment readingOrder="0" shrinkToFit="0" wrapText="0"/>
    </xf>
    <xf borderId="137" fillId="51" fontId="94" numFmtId="0" xfId="0" applyAlignment="1" applyBorder="1" applyFill="1" applyFont="1">
      <alignment horizontal="left" readingOrder="0" shrinkToFit="0" vertical="center" wrapText="0"/>
    </xf>
    <xf borderId="137" fillId="51" fontId="95" numFmtId="0" xfId="0" applyAlignment="1" applyBorder="1" applyFont="1">
      <alignment horizontal="center" readingOrder="0" shrinkToFit="0" vertical="center" wrapText="0"/>
    </xf>
    <xf borderId="138" fillId="51" fontId="95" numFmtId="0" xfId="0" applyAlignment="1" applyBorder="1" applyFont="1">
      <alignment horizontal="left" readingOrder="0" shrinkToFit="0" vertical="center" wrapText="0"/>
    </xf>
    <xf borderId="139" fillId="0" fontId="2" numFmtId="0" xfId="0" applyBorder="1" applyFont="1"/>
    <xf borderId="140" fillId="0" fontId="2" numFmtId="0" xfId="0" applyBorder="1" applyFont="1"/>
    <xf borderId="138" fillId="51" fontId="31" numFmtId="0" xfId="0" applyAlignment="1" applyBorder="1" applyFont="1">
      <alignment horizontal="center" readingOrder="0" shrinkToFit="0" vertical="center" wrapText="0"/>
    </xf>
    <xf borderId="138" fillId="51" fontId="31" numFmtId="0" xfId="0" applyAlignment="1" applyBorder="1" applyFont="1">
      <alignment horizontal="left" readingOrder="0" vertical="center"/>
    </xf>
    <xf borderId="137" fillId="51" fontId="96" numFmtId="0" xfId="0" applyAlignment="1" applyBorder="1" applyFont="1">
      <alignment vertical="center"/>
    </xf>
    <xf borderId="137" fillId="51" fontId="94" numFmtId="0" xfId="0" applyAlignment="1" applyBorder="1" applyFont="1">
      <alignment readingOrder="0" shrinkToFit="0" vertical="center" wrapText="0"/>
    </xf>
    <xf borderId="137" fillId="51" fontId="94" numFmtId="49" xfId="0" applyAlignment="1" applyBorder="1" applyFont="1" applyNumberFormat="1">
      <alignment horizontal="left" readingOrder="0" shrinkToFit="0" vertical="center" wrapText="0"/>
    </xf>
    <xf borderId="141" fillId="0" fontId="2" numFmtId="0" xfId="0" applyBorder="1" applyFont="1"/>
    <xf borderId="142" fillId="0" fontId="2" numFmtId="0" xfId="0" applyBorder="1" applyFont="1"/>
    <xf borderId="143" fillId="0" fontId="2" numFmtId="0" xfId="0" applyBorder="1" applyFont="1"/>
    <xf borderId="144" fillId="0" fontId="2" numFmtId="0" xfId="0" applyBorder="1" applyFont="1"/>
    <xf borderId="145" fillId="0" fontId="2" numFmtId="0" xfId="0" applyBorder="1" applyFont="1"/>
    <xf borderId="137" fillId="51" fontId="31" numFmtId="0" xfId="0" applyAlignment="1" applyBorder="1" applyFont="1">
      <alignment horizontal="center" readingOrder="0" shrinkToFit="0" vertical="center" wrapText="0"/>
    </xf>
    <xf borderId="137" fillId="51" fontId="31" numFmtId="0" xfId="0" applyAlignment="1" applyBorder="1" applyFont="1">
      <alignment horizontal="left" readingOrder="0" vertical="center"/>
    </xf>
    <xf borderId="137" fillId="51" fontId="96" numFmtId="0" xfId="0" applyBorder="1" applyFont="1"/>
    <xf borderId="146" fillId="51" fontId="33" numFmtId="0" xfId="0" applyAlignment="1" applyBorder="1" applyFont="1">
      <alignment horizontal="center" vertical="bottom"/>
    </xf>
    <xf borderId="147" fillId="0" fontId="2" numFmtId="0" xfId="0" applyBorder="1" applyFont="1"/>
    <xf borderId="137" fillId="51" fontId="33" numFmtId="0" xfId="0" applyBorder="1" applyFont="1"/>
    <xf borderId="137" fillId="51" fontId="34" numFmtId="0" xfId="0" applyAlignment="1" applyBorder="1" applyFont="1">
      <alignment readingOrder="0" shrinkToFit="0" vertical="center" wrapText="0"/>
    </xf>
    <xf borderId="137" fillId="51" fontId="33" numFmtId="0" xfId="0" applyAlignment="1" applyBorder="1" applyFont="1">
      <alignment vertical="center"/>
    </xf>
    <xf borderId="146" fillId="51" fontId="35" numFmtId="0" xfId="0" applyAlignment="1" applyBorder="1" applyFont="1">
      <alignment horizontal="center" readingOrder="0" vertical="bottom"/>
    </xf>
    <xf borderId="137" fillId="51" fontId="33" numFmtId="0" xfId="0" applyAlignment="1" applyBorder="1" applyFont="1">
      <alignment vertical="center"/>
    </xf>
    <xf borderId="138" fillId="51" fontId="36" numFmtId="164" xfId="0" applyAlignment="1" applyBorder="1" applyFont="1" applyNumberFormat="1">
      <alignment horizontal="center" readingOrder="0" vertical="center"/>
    </xf>
    <xf borderId="146" fillId="51" fontId="96" numFmtId="0" xfId="0" applyAlignment="1" applyBorder="1" applyFont="1">
      <alignment horizontal="center"/>
    </xf>
    <xf borderId="138" fillId="51" fontId="95" numFmtId="0" xfId="0" applyAlignment="1" applyBorder="1" applyFont="1">
      <alignment horizontal="center" readingOrder="0" shrinkToFit="0" vertical="center" wrapText="0"/>
    </xf>
    <xf borderId="137" fillId="51" fontId="96" numFmtId="0" xfId="0" applyAlignment="1" applyBorder="1" applyFont="1">
      <alignment horizontal="center"/>
    </xf>
    <xf borderId="33" fillId="11" fontId="40" numFmtId="0" xfId="0" applyAlignment="1" applyBorder="1" applyFont="1">
      <alignment horizontal="center" shrinkToFit="0" wrapText="0"/>
    </xf>
    <xf borderId="31" fillId="11" fontId="40" numFmtId="0" xfId="0" applyAlignment="1" applyBorder="1" applyFont="1">
      <alignment horizontal="center" shrinkToFit="0" wrapText="0"/>
    </xf>
    <xf borderId="37" fillId="11" fontId="40" numFmtId="49" xfId="0" applyAlignment="1" applyBorder="1" applyFont="1" applyNumberFormat="1">
      <alignment horizontal="center" readingOrder="0" shrinkToFit="0" vertical="center" wrapText="0"/>
    </xf>
    <xf borderId="32" fillId="15" fontId="17" numFmtId="49" xfId="0" applyAlignment="1" applyBorder="1" applyFont="1" applyNumberFormat="1">
      <alignment horizontal="left" readingOrder="0" shrinkToFit="0" vertical="center" wrapText="0"/>
    </xf>
    <xf borderId="33" fillId="11" fontId="40" numFmtId="0" xfId="0" applyAlignment="1" applyBorder="1" applyFont="1">
      <alignment horizontal="center" shrinkToFit="0" vertical="center" wrapText="0"/>
    </xf>
    <xf borderId="33" fillId="21" fontId="40" numFmtId="49" xfId="0" applyBorder="1" applyFont="1" applyNumberFormat="1"/>
    <xf borderId="29" fillId="11" fontId="41" numFmtId="49" xfId="0" applyAlignment="1" applyBorder="1" applyFont="1" applyNumberFormat="1">
      <alignment horizontal="center" shrinkToFit="0" vertical="center" wrapText="0"/>
    </xf>
    <xf borderId="33" fillId="21" fontId="40" numFmtId="49" xfId="0" applyAlignment="1" applyBorder="1" applyFont="1" applyNumberFormat="1">
      <alignment readingOrder="0" shrinkToFit="0" vertical="center" wrapText="0"/>
    </xf>
    <xf borderId="31" fillId="0" fontId="47" numFmtId="49" xfId="0" applyAlignment="1" applyBorder="1" applyFont="1" applyNumberFormat="1">
      <alignment horizontal="center" readingOrder="0" shrinkToFit="0" vertical="center" wrapText="0"/>
    </xf>
    <xf borderId="36" fillId="26" fontId="40" numFmtId="49" xfId="0" applyAlignment="1" applyBorder="1" applyFont="1" applyNumberFormat="1">
      <alignment readingOrder="0" shrinkToFit="0" vertical="center" wrapText="0"/>
    </xf>
    <xf borderId="33" fillId="0" fontId="40" numFmtId="0" xfId="0" applyAlignment="1" applyBorder="1" applyFont="1">
      <alignment horizontal="center" readingOrder="0" shrinkToFit="0" wrapText="0"/>
    </xf>
    <xf borderId="31" fillId="0" fontId="40" numFmtId="0" xfId="0" applyAlignment="1" applyBorder="1" applyFont="1">
      <alignment horizontal="center" shrinkToFit="0" wrapText="0"/>
    </xf>
    <xf borderId="29" fillId="10" fontId="0" numFmtId="49" xfId="0" applyAlignment="1" applyBorder="1" applyFont="1" applyNumberFormat="1">
      <alignment horizontal="center" readingOrder="0" shrinkToFit="0" vertical="center" wrapText="0"/>
    </xf>
    <xf borderId="31" fillId="27" fontId="53" numFmtId="49" xfId="0" applyAlignment="1" applyBorder="1" applyFont="1" applyNumberFormat="1">
      <alignment vertical="center"/>
    </xf>
    <xf borderId="31" fillId="27" fontId="53" numFmtId="49" xfId="0" applyBorder="1" applyFont="1" applyNumberFormat="1"/>
    <xf borderId="31" fillId="27" fontId="40" numFmtId="49" xfId="0" applyBorder="1" applyFont="1" applyNumberFormat="1"/>
    <xf borderId="33" fillId="27" fontId="53" numFmtId="49" xfId="0" applyBorder="1" applyFont="1" applyNumberFormat="1"/>
    <xf borderId="30" fillId="27" fontId="41" numFmtId="0" xfId="0" applyAlignment="1" applyBorder="1" applyFont="1">
      <alignment horizontal="center" shrinkToFit="0" vertical="center" wrapText="0"/>
    </xf>
    <xf borderId="30" fillId="0" fontId="41" numFmtId="0" xfId="0" applyAlignment="1" applyBorder="1" applyFont="1">
      <alignment horizontal="left" readingOrder="0" shrinkToFit="0" vertical="top" wrapText="0"/>
    </xf>
    <xf borderId="33" fillId="0" fontId="40" numFmtId="0" xfId="0" applyAlignment="1" applyBorder="1" applyFont="1">
      <alignment horizontal="center" shrinkToFit="0" wrapText="0"/>
    </xf>
    <xf borderId="31" fillId="0" fontId="40" numFmtId="0" xfId="0" applyAlignment="1" applyBorder="1" applyFont="1">
      <alignment horizontal="center" shrinkToFit="0" wrapText="0"/>
    </xf>
    <xf borderId="31" fillId="11" fontId="40" numFmtId="0" xfId="0" applyAlignment="1" applyBorder="1" applyFont="1">
      <alignment horizontal="center" shrinkToFit="0" wrapText="0"/>
    </xf>
    <xf borderId="33" fillId="11" fontId="0" numFmtId="0" xfId="0" applyAlignment="1" applyBorder="1" applyFont="1">
      <alignment horizontal="center" readingOrder="0" shrinkToFit="0" vertical="center" wrapText="0"/>
    </xf>
    <xf borderId="148" fillId="52" fontId="97" numFmtId="0" xfId="0" applyAlignment="1" applyBorder="1" applyFill="1" applyFont="1">
      <alignment horizontal="left" readingOrder="0" shrinkToFit="0" vertical="center" wrapText="0"/>
    </xf>
    <xf borderId="148" fillId="52" fontId="98" numFmtId="0" xfId="0" applyAlignment="1" applyBorder="1" applyFont="1">
      <alignment horizontal="center" readingOrder="0" shrinkToFit="0" vertical="center" wrapText="0"/>
    </xf>
    <xf borderId="149" fillId="52" fontId="98" numFmtId="0" xfId="0" applyAlignment="1" applyBorder="1" applyFont="1">
      <alignment horizontal="left" readingOrder="0" shrinkToFit="0" vertical="center" wrapText="0"/>
    </xf>
    <xf borderId="150" fillId="0" fontId="2" numFmtId="0" xfId="0" applyBorder="1" applyFont="1"/>
    <xf borderId="151" fillId="0" fontId="2" numFmtId="0" xfId="0" applyBorder="1" applyFont="1"/>
    <xf borderId="149" fillId="52" fontId="31" numFmtId="0" xfId="0" applyAlignment="1" applyBorder="1" applyFont="1">
      <alignment horizontal="center" readingOrder="0" shrinkToFit="0" vertical="center" wrapText="0"/>
    </xf>
    <xf borderId="149" fillId="52" fontId="31" numFmtId="0" xfId="0" applyAlignment="1" applyBorder="1" applyFont="1">
      <alignment horizontal="left" readingOrder="0" vertical="center"/>
    </xf>
    <xf borderId="148" fillId="52" fontId="99" numFmtId="0" xfId="0" applyAlignment="1" applyBorder="1" applyFont="1">
      <alignment vertical="center"/>
    </xf>
    <xf borderId="148" fillId="52" fontId="97" numFmtId="0" xfId="0" applyAlignment="1" applyBorder="1" applyFont="1">
      <alignment readingOrder="0" shrinkToFit="0" vertical="center" wrapText="0"/>
    </xf>
    <xf borderId="148" fillId="52" fontId="97" numFmtId="49" xfId="0" applyAlignment="1" applyBorder="1" applyFont="1" applyNumberFormat="1">
      <alignment horizontal="left" readingOrder="0" shrinkToFit="0" vertical="center" wrapText="0"/>
    </xf>
    <xf borderId="152" fillId="0" fontId="2" numFmtId="0" xfId="0" applyBorder="1" applyFont="1"/>
    <xf borderId="153" fillId="0" fontId="2" numFmtId="0" xfId="0" applyBorder="1" applyFont="1"/>
    <xf borderId="154" fillId="0" fontId="2" numFmtId="0" xfId="0" applyBorder="1" applyFont="1"/>
    <xf borderId="155" fillId="0" fontId="2" numFmtId="0" xfId="0" applyBorder="1" applyFont="1"/>
    <xf borderId="156" fillId="0" fontId="2" numFmtId="0" xfId="0" applyBorder="1" applyFont="1"/>
    <xf borderId="148" fillId="52" fontId="31" numFmtId="0" xfId="0" applyAlignment="1" applyBorder="1" applyFont="1">
      <alignment horizontal="center" readingOrder="0" shrinkToFit="0" vertical="center" wrapText="0"/>
    </xf>
    <xf borderId="148" fillId="52" fontId="31" numFmtId="0" xfId="0" applyAlignment="1" applyBorder="1" applyFont="1">
      <alignment horizontal="left" readingOrder="0" vertical="center"/>
    </xf>
    <xf borderId="148" fillId="52" fontId="99" numFmtId="0" xfId="0" applyBorder="1" applyFont="1"/>
    <xf borderId="157" fillId="52" fontId="33" numFmtId="0" xfId="0" applyAlignment="1" applyBorder="1" applyFont="1">
      <alignment horizontal="center" vertical="bottom"/>
    </xf>
    <xf borderId="158" fillId="0" fontId="2" numFmtId="0" xfId="0" applyBorder="1" applyFont="1"/>
    <xf borderId="148" fillId="52" fontId="33" numFmtId="0" xfId="0" applyBorder="1" applyFont="1"/>
    <xf borderId="148" fillId="52" fontId="34" numFmtId="0" xfId="0" applyAlignment="1" applyBorder="1" applyFont="1">
      <alignment readingOrder="0" shrinkToFit="0" vertical="center" wrapText="0"/>
    </xf>
    <xf borderId="148" fillId="52" fontId="33" numFmtId="0" xfId="0" applyAlignment="1" applyBorder="1" applyFont="1">
      <alignment vertical="center"/>
    </xf>
    <xf borderId="157" fillId="52" fontId="35" numFmtId="0" xfId="0" applyAlignment="1" applyBorder="1" applyFont="1">
      <alignment horizontal="center" readingOrder="0" vertical="bottom"/>
    </xf>
    <xf borderId="148" fillId="52" fontId="33" numFmtId="0" xfId="0" applyAlignment="1" applyBorder="1" applyFont="1">
      <alignment vertical="center"/>
    </xf>
    <xf borderId="149" fillId="52" fontId="36" numFmtId="164" xfId="0" applyAlignment="1" applyBorder="1" applyFont="1" applyNumberFormat="1">
      <alignment horizontal="center" readingOrder="0" vertical="center"/>
    </xf>
    <xf borderId="157" fillId="52" fontId="99" numFmtId="0" xfId="0" applyAlignment="1" applyBorder="1" applyFont="1">
      <alignment horizontal="center"/>
    </xf>
    <xf borderId="149" fillId="52" fontId="98" numFmtId="0" xfId="0" applyAlignment="1" applyBorder="1" applyFont="1">
      <alignment horizontal="center" readingOrder="0" shrinkToFit="0" vertical="center" wrapText="0"/>
    </xf>
    <xf borderId="148" fillId="52" fontId="99" numFmtId="0" xfId="0" applyAlignment="1" applyBorder="1" applyFont="1">
      <alignment horizontal="center"/>
    </xf>
    <xf borderId="33" fillId="26" fontId="41" numFmtId="0" xfId="0" applyAlignment="1" applyBorder="1" applyFont="1">
      <alignment horizontal="center" readingOrder="0" shrinkToFit="0" vertical="center" wrapText="0"/>
    </xf>
    <xf borderId="29" fillId="27" fontId="0" numFmtId="49" xfId="0" applyAlignment="1" applyBorder="1" applyFont="1" applyNumberFormat="1">
      <alignment horizontal="center" readingOrder="0" shrinkToFit="0" vertical="center" wrapText="0"/>
    </xf>
    <xf borderId="33" fillId="27" fontId="0" numFmtId="0" xfId="0" applyAlignment="1" applyBorder="1" applyFont="1">
      <alignment horizontal="center" shrinkToFit="0" vertical="center" wrapText="0"/>
    </xf>
    <xf borderId="37" fillId="11" fontId="0" numFmtId="49" xfId="0" applyAlignment="1" applyBorder="1" applyFont="1" applyNumberFormat="1">
      <alignment horizontal="center" readingOrder="0" shrinkToFit="0" vertical="center" wrapText="0"/>
    </xf>
    <xf borderId="37" fillId="11" fontId="0" numFmtId="49" xfId="0" applyAlignment="1" applyBorder="1" applyFont="1" applyNumberFormat="1">
      <alignment horizontal="center" shrinkToFit="0" vertical="center" wrapText="0"/>
    </xf>
    <xf borderId="33" fillId="11" fontId="49" numFmtId="0" xfId="0" applyAlignment="1" applyBorder="1" applyFont="1">
      <alignment horizontal="center" shrinkToFit="0" vertical="center" wrapText="0"/>
    </xf>
    <xf borderId="37" fillId="10" fontId="0" numFmtId="49" xfId="0" applyAlignment="1" applyBorder="1" applyFont="1" applyNumberFormat="1">
      <alignment horizontal="center" readingOrder="0" shrinkToFit="0" vertical="center" wrapText="0"/>
    </xf>
    <xf borderId="34" fillId="27" fontId="0" numFmtId="49" xfId="0" applyAlignment="1" applyBorder="1" applyFont="1" applyNumberFormat="1">
      <alignment horizontal="center" readingOrder="0" shrinkToFit="0" vertical="center" wrapText="0"/>
    </xf>
    <xf borderId="159" fillId="53" fontId="100" numFmtId="0" xfId="0" applyAlignment="1" applyBorder="1" applyFill="1" applyFont="1">
      <alignment horizontal="left" readingOrder="0" shrinkToFit="0" vertical="center" wrapText="0"/>
    </xf>
    <xf borderId="159" fillId="53" fontId="101" numFmtId="0" xfId="0" applyAlignment="1" applyBorder="1" applyFont="1">
      <alignment horizontal="center" readingOrder="0" shrinkToFit="0" vertical="center" wrapText="0"/>
    </xf>
    <xf borderId="160" fillId="53" fontId="101" numFmtId="0" xfId="0" applyAlignment="1" applyBorder="1" applyFont="1">
      <alignment horizontal="left" readingOrder="0" shrinkToFit="0" vertical="center" wrapText="0"/>
    </xf>
    <xf borderId="161" fillId="0" fontId="2" numFmtId="0" xfId="0" applyBorder="1" applyFont="1"/>
    <xf borderId="162" fillId="0" fontId="2" numFmtId="0" xfId="0" applyBorder="1" applyFont="1"/>
    <xf borderId="160" fillId="53" fontId="57" numFmtId="0" xfId="0" applyAlignment="1" applyBorder="1" applyFont="1">
      <alignment horizontal="center" readingOrder="0" shrinkToFit="0" vertical="center" wrapText="0"/>
    </xf>
    <xf borderId="160" fillId="53" fontId="57" numFmtId="0" xfId="0" applyAlignment="1" applyBorder="1" applyFont="1">
      <alignment horizontal="left" readingOrder="0" vertical="center"/>
    </xf>
    <xf borderId="159" fillId="53" fontId="102" numFmtId="0" xfId="0" applyAlignment="1" applyBorder="1" applyFont="1">
      <alignment vertical="center"/>
    </xf>
    <xf borderId="159" fillId="53" fontId="100" numFmtId="0" xfId="0" applyAlignment="1" applyBorder="1" applyFont="1">
      <alignment readingOrder="0" shrinkToFit="0" vertical="center" wrapText="0"/>
    </xf>
    <xf borderId="159" fillId="53" fontId="100" numFmtId="49" xfId="0" applyAlignment="1" applyBorder="1" applyFont="1" applyNumberFormat="1">
      <alignment horizontal="left" readingOrder="0" shrinkToFit="0" vertical="center" wrapText="0"/>
    </xf>
    <xf borderId="163" fillId="0" fontId="2" numFmtId="0" xfId="0" applyBorder="1" applyFont="1"/>
    <xf borderId="164" fillId="0" fontId="2" numFmtId="0" xfId="0" applyBorder="1" applyFont="1"/>
    <xf borderId="165" fillId="0" fontId="2" numFmtId="0" xfId="0" applyBorder="1" applyFont="1"/>
    <xf borderId="166" fillId="0" fontId="2" numFmtId="0" xfId="0" applyBorder="1" applyFont="1"/>
    <xf borderId="167" fillId="0" fontId="2" numFmtId="0" xfId="0" applyBorder="1" applyFont="1"/>
    <xf borderId="159" fillId="53" fontId="57" numFmtId="0" xfId="0" applyAlignment="1" applyBorder="1" applyFont="1">
      <alignment horizontal="center" readingOrder="0" shrinkToFit="0" vertical="center" wrapText="0"/>
    </xf>
    <xf borderId="159" fillId="53" fontId="57" numFmtId="0" xfId="0" applyAlignment="1" applyBorder="1" applyFont="1">
      <alignment horizontal="left" readingOrder="0" vertical="center"/>
    </xf>
    <xf borderId="159" fillId="53" fontId="102" numFmtId="0" xfId="0" applyBorder="1" applyFont="1"/>
    <xf borderId="168" fillId="53" fontId="59" numFmtId="0" xfId="0" applyAlignment="1" applyBorder="1" applyFont="1">
      <alignment horizontal="center" vertical="bottom"/>
    </xf>
    <xf borderId="169" fillId="0" fontId="2" numFmtId="0" xfId="0" applyBorder="1" applyFont="1"/>
    <xf borderId="159" fillId="53" fontId="59" numFmtId="0" xfId="0" applyBorder="1" applyFont="1"/>
    <xf borderId="159" fillId="53" fontId="60" numFmtId="0" xfId="0" applyAlignment="1" applyBorder="1" applyFont="1">
      <alignment readingOrder="0" shrinkToFit="0" vertical="center" wrapText="0"/>
    </xf>
    <xf borderId="159" fillId="53" fontId="59" numFmtId="0" xfId="0" applyAlignment="1" applyBorder="1" applyFont="1">
      <alignment vertical="center"/>
    </xf>
    <xf borderId="168" fillId="53" fontId="61" numFmtId="0" xfId="0" applyAlignment="1" applyBorder="1" applyFont="1">
      <alignment horizontal="center" readingOrder="0" vertical="bottom"/>
    </xf>
    <xf borderId="159" fillId="53" fontId="59" numFmtId="0" xfId="0" applyAlignment="1" applyBorder="1" applyFont="1">
      <alignment vertical="center"/>
    </xf>
    <xf borderId="160" fillId="53" fontId="62" numFmtId="164" xfId="0" applyAlignment="1" applyBorder="1" applyFont="1" applyNumberFormat="1">
      <alignment horizontal="center" readingOrder="0" vertical="center"/>
    </xf>
    <xf borderId="168" fillId="53" fontId="102" numFmtId="0" xfId="0" applyAlignment="1" applyBorder="1" applyFont="1">
      <alignment horizontal="center"/>
    </xf>
    <xf borderId="160" fillId="53" fontId="101" numFmtId="0" xfId="0" applyAlignment="1" applyBorder="1" applyFont="1">
      <alignment horizontal="center" readingOrder="0" shrinkToFit="0" vertical="center" wrapText="0"/>
    </xf>
    <xf borderId="159" fillId="53" fontId="102" numFmtId="0" xfId="0" applyAlignment="1" applyBorder="1" applyFont="1">
      <alignment horizontal="center"/>
    </xf>
    <xf borderId="0" fillId="0" fontId="103" numFmtId="0" xfId="0" applyAlignment="1" applyFont="1">
      <alignment horizontal="center" readingOrder="0" shrinkToFit="0" vertical="center" wrapText="0"/>
    </xf>
    <xf borderId="0" fillId="0" fontId="34" numFmtId="0" xfId="0" applyAlignment="1" applyFont="1">
      <alignment horizontal="center" readingOrder="0" shrinkToFit="0" vertical="center" wrapText="0"/>
    </xf>
    <xf borderId="0" fillId="0" fontId="103" numFmtId="0" xfId="0" applyAlignment="1" applyFont="1">
      <alignment horizontal="left" readingOrder="0" shrinkToFit="0" vertical="center" wrapText="0"/>
    </xf>
    <xf borderId="0" fillId="0" fontId="33" numFmtId="0" xfId="0" applyFont="1"/>
    <xf borderId="0" fillId="0" fontId="34" numFmtId="0" xfId="0" applyAlignment="1" applyFont="1">
      <alignment readingOrder="0" shrinkToFit="0" vertical="center" wrapText="0"/>
    </xf>
    <xf borderId="0" fillId="0" fontId="104" numFmtId="0" xfId="0" applyFont="1"/>
    <xf borderId="0" fillId="11" fontId="43" numFmtId="0" xfId="0" applyAlignment="1" applyFont="1">
      <alignment readingOrder="0" shrinkToFit="0" vertical="center" wrapText="0"/>
    </xf>
    <xf borderId="29" fillId="27" fontId="0" numFmtId="49" xfId="0" applyAlignment="1" applyBorder="1" applyFont="1" applyNumberFormat="1">
      <alignment horizontal="center" shrinkToFit="0" vertical="center" wrapText="0"/>
    </xf>
    <xf borderId="29" fillId="27" fontId="0" numFmtId="0" xfId="0" applyAlignment="1" applyBorder="1" applyFont="1">
      <alignment horizontal="center" shrinkToFit="0" vertical="center" wrapText="0"/>
    </xf>
    <xf borderId="34" fillId="0" fontId="0" numFmtId="0" xfId="0" applyAlignment="1" applyBorder="1" applyFont="1">
      <alignment horizontal="center" readingOrder="0" shrinkToFit="0" vertical="center" wrapText="0"/>
    </xf>
    <xf borderId="36" fillId="11" fontId="40" numFmtId="0" xfId="0" applyAlignment="1" applyBorder="1" applyFont="1">
      <alignment horizontal="center" shrinkToFit="0" wrapText="0"/>
    </xf>
    <xf borderId="29" fillId="11" fontId="40" numFmtId="0" xfId="0" applyAlignment="1" applyBorder="1" applyFont="1">
      <alignment horizontal="center" shrinkToFit="0" wrapText="0"/>
    </xf>
    <xf borderId="34" fillId="10" fontId="0" numFmtId="49" xfId="0" applyAlignment="1" applyBorder="1" applyFont="1" applyNumberFormat="1">
      <alignment horizontal="center" readingOrder="0" shrinkToFit="0" vertical="center" wrapText="0"/>
    </xf>
    <xf borderId="29" fillId="25" fontId="41" numFmtId="49" xfId="0" applyAlignment="1" applyBorder="1" applyFont="1" applyNumberFormat="1">
      <alignment shrinkToFit="0" vertical="center" wrapText="0"/>
    </xf>
    <xf borderId="26" fillId="0" fontId="0" numFmtId="0" xfId="0" applyAlignment="1" applyBorder="1" applyFont="1">
      <alignment horizontal="left" shrinkToFit="0" vertical="top" wrapText="1"/>
    </xf>
    <xf borderId="170" fillId="54" fontId="105" numFmtId="0" xfId="0" applyAlignment="1" applyBorder="1" applyFill="1" applyFont="1">
      <alignment horizontal="left" readingOrder="0" shrinkToFit="0" vertical="center" wrapText="0"/>
    </xf>
    <xf borderId="170" fillId="54" fontId="106" numFmtId="0" xfId="0" applyAlignment="1" applyBorder="1" applyFont="1">
      <alignment horizontal="center" readingOrder="0" shrinkToFit="0" vertical="center" wrapText="0"/>
    </xf>
    <xf borderId="171" fillId="54" fontId="106" numFmtId="0" xfId="0" applyAlignment="1" applyBorder="1" applyFont="1">
      <alignment horizontal="left" readingOrder="0" shrinkToFit="0" vertical="center" wrapText="0"/>
    </xf>
    <xf borderId="172" fillId="0" fontId="2" numFmtId="0" xfId="0" applyBorder="1" applyFont="1"/>
    <xf borderId="173" fillId="0" fontId="2" numFmtId="0" xfId="0" applyBorder="1" applyFont="1"/>
    <xf borderId="171" fillId="54" fontId="82" numFmtId="0" xfId="0" applyAlignment="1" applyBorder="1" applyFont="1">
      <alignment horizontal="center" readingOrder="0" shrinkToFit="0" vertical="center" wrapText="0"/>
    </xf>
    <xf borderId="171" fillId="54" fontId="82" numFmtId="0" xfId="0" applyAlignment="1" applyBorder="1" applyFont="1">
      <alignment horizontal="left" readingOrder="0" vertical="center"/>
    </xf>
    <xf borderId="170" fillId="54" fontId="107" numFmtId="0" xfId="0" applyAlignment="1" applyBorder="1" applyFont="1">
      <alignment vertical="center"/>
    </xf>
    <xf borderId="170" fillId="54" fontId="105" numFmtId="0" xfId="0" applyAlignment="1" applyBorder="1" applyFont="1">
      <alignment readingOrder="0" shrinkToFit="0" vertical="center" wrapText="0"/>
    </xf>
    <xf borderId="170" fillId="54" fontId="105" numFmtId="49" xfId="0" applyAlignment="1" applyBorder="1" applyFont="1" applyNumberFormat="1">
      <alignment horizontal="left" readingOrder="0" shrinkToFit="0" vertical="center" wrapText="0"/>
    </xf>
    <xf borderId="174" fillId="0" fontId="2" numFmtId="0" xfId="0" applyBorder="1" applyFont="1"/>
    <xf borderId="175" fillId="0" fontId="2" numFmtId="0" xfId="0" applyBorder="1" applyFont="1"/>
    <xf borderId="176" fillId="0" fontId="2" numFmtId="0" xfId="0" applyBorder="1" applyFont="1"/>
    <xf borderId="177" fillId="0" fontId="2" numFmtId="0" xfId="0" applyBorder="1" applyFont="1"/>
    <xf borderId="178" fillId="0" fontId="2" numFmtId="0" xfId="0" applyBorder="1" applyFont="1"/>
    <xf borderId="170" fillId="54" fontId="82" numFmtId="0" xfId="0" applyAlignment="1" applyBorder="1" applyFont="1">
      <alignment horizontal="center" readingOrder="0" shrinkToFit="0" vertical="center" wrapText="0"/>
    </xf>
    <xf borderId="170" fillId="54" fontId="82" numFmtId="0" xfId="0" applyAlignment="1" applyBorder="1" applyFont="1">
      <alignment horizontal="left" readingOrder="0" vertical="center"/>
    </xf>
    <xf borderId="170" fillId="54" fontId="107" numFmtId="0" xfId="0" applyBorder="1" applyFont="1"/>
    <xf borderId="179" fillId="54" fontId="84" numFmtId="0" xfId="0" applyAlignment="1" applyBorder="1" applyFont="1">
      <alignment horizontal="center" vertical="bottom"/>
    </xf>
    <xf borderId="180" fillId="0" fontId="2" numFmtId="0" xfId="0" applyBorder="1" applyFont="1"/>
    <xf borderId="170" fillId="54" fontId="84" numFmtId="0" xfId="0" applyBorder="1" applyFont="1"/>
    <xf borderId="170" fillId="54" fontId="85" numFmtId="0" xfId="0" applyAlignment="1" applyBorder="1" applyFont="1">
      <alignment readingOrder="0" shrinkToFit="0" vertical="center" wrapText="0"/>
    </xf>
    <xf borderId="170" fillId="54" fontId="84" numFmtId="0" xfId="0" applyAlignment="1" applyBorder="1" applyFont="1">
      <alignment vertical="center"/>
    </xf>
    <xf borderId="179" fillId="54" fontId="86" numFmtId="0" xfId="0" applyAlignment="1" applyBorder="1" applyFont="1">
      <alignment horizontal="center" readingOrder="0" vertical="bottom"/>
    </xf>
    <xf borderId="170" fillId="54" fontId="84" numFmtId="0" xfId="0" applyAlignment="1" applyBorder="1" applyFont="1">
      <alignment vertical="center"/>
    </xf>
    <xf borderId="171" fillId="54" fontId="87" numFmtId="164" xfId="0" applyAlignment="1" applyBorder="1" applyFont="1" applyNumberFormat="1">
      <alignment horizontal="center" readingOrder="0" vertical="center"/>
    </xf>
    <xf borderId="179" fillId="54" fontId="107" numFmtId="0" xfId="0" applyAlignment="1" applyBorder="1" applyFont="1">
      <alignment horizontal="center"/>
    </xf>
    <xf borderId="171" fillId="54" fontId="106" numFmtId="0" xfId="0" applyAlignment="1" applyBorder="1" applyFont="1">
      <alignment horizontal="center" readingOrder="0" shrinkToFit="0" vertical="center" wrapText="0"/>
    </xf>
    <xf borderId="170" fillId="54" fontId="107" numFmtId="0" xfId="0" applyAlignment="1" applyBorder="1" applyFont="1">
      <alignment horizontal="center"/>
    </xf>
    <xf borderId="34" fillId="10" fontId="41" numFmtId="49" xfId="0" applyAlignment="1" applyBorder="1" applyFont="1" applyNumberFormat="1">
      <alignment horizontal="center" readingOrder="0" shrinkToFit="0" vertical="center" wrapText="0"/>
    </xf>
    <xf borderId="33" fillId="0" fontId="49" numFmtId="49" xfId="0" applyAlignment="1" applyBorder="1" applyFont="1" applyNumberFormat="1">
      <alignment horizontal="center" readingOrder="0" shrinkToFit="0" vertical="center" wrapText="0"/>
    </xf>
    <xf borderId="30" fillId="10" fontId="41" numFmtId="0" xfId="0" applyAlignment="1" applyBorder="1" applyFont="1">
      <alignment horizontal="left" readingOrder="0" shrinkToFit="0" vertical="top" wrapText="1"/>
    </xf>
    <xf borderId="33" fillId="27" fontId="53" numFmtId="0" xfId="0" applyBorder="1" applyFont="1"/>
    <xf borderId="33" fillId="27" fontId="40" numFmtId="0" xfId="0" applyBorder="1" applyFont="1"/>
    <xf borderId="31" fillId="27" fontId="40" numFmtId="0" xfId="0" applyBorder="1" applyFont="1"/>
    <xf borderId="31" fillId="27" fontId="40" numFmtId="0" xfId="0" applyBorder="1" applyFont="1"/>
    <xf borderId="181" fillId="55" fontId="108" numFmtId="0" xfId="0" applyAlignment="1" applyBorder="1" applyFill="1" applyFont="1">
      <alignment horizontal="left" readingOrder="0" shrinkToFit="0" vertical="center" wrapText="0"/>
    </xf>
    <xf borderId="181" fillId="55" fontId="109" numFmtId="0" xfId="0" applyAlignment="1" applyBorder="1" applyFont="1">
      <alignment horizontal="center" readingOrder="0" shrinkToFit="0" vertical="center" wrapText="0"/>
    </xf>
    <xf borderId="182" fillId="55" fontId="109" numFmtId="0" xfId="0" applyAlignment="1" applyBorder="1" applyFont="1">
      <alignment horizontal="left" readingOrder="0" shrinkToFit="0" vertical="center" wrapText="0"/>
    </xf>
    <xf borderId="183" fillId="0" fontId="2" numFmtId="0" xfId="0" applyBorder="1" applyFont="1"/>
    <xf borderId="184" fillId="0" fontId="2" numFmtId="0" xfId="0" applyBorder="1" applyFont="1"/>
    <xf borderId="182" fillId="55" fontId="82" numFmtId="0" xfId="0" applyAlignment="1" applyBorder="1" applyFont="1">
      <alignment horizontal="center" readingOrder="0" shrinkToFit="0" vertical="center" wrapText="0"/>
    </xf>
    <xf borderId="182" fillId="55" fontId="82" numFmtId="0" xfId="0" applyAlignment="1" applyBorder="1" applyFont="1">
      <alignment horizontal="left" readingOrder="0" vertical="center"/>
    </xf>
    <xf borderId="181" fillId="55" fontId="110" numFmtId="0" xfId="0" applyAlignment="1" applyBorder="1" applyFont="1">
      <alignment vertical="center"/>
    </xf>
    <xf borderId="181" fillId="55" fontId="108" numFmtId="0" xfId="0" applyAlignment="1" applyBorder="1" applyFont="1">
      <alignment readingOrder="0" shrinkToFit="0" vertical="center" wrapText="0"/>
    </xf>
    <xf borderId="181" fillId="55" fontId="108" numFmtId="49" xfId="0" applyAlignment="1" applyBorder="1" applyFont="1" applyNumberFormat="1">
      <alignment horizontal="left" readingOrder="0" shrinkToFit="0" vertical="center" wrapText="0"/>
    </xf>
    <xf borderId="185" fillId="0" fontId="2" numFmtId="0" xfId="0" applyBorder="1" applyFont="1"/>
    <xf borderId="186" fillId="0" fontId="2" numFmtId="0" xfId="0" applyBorder="1" applyFont="1"/>
    <xf borderId="187" fillId="0" fontId="2" numFmtId="0" xfId="0" applyBorder="1" applyFont="1"/>
    <xf borderId="188" fillId="0" fontId="2" numFmtId="0" xfId="0" applyBorder="1" applyFont="1"/>
    <xf borderId="189" fillId="0" fontId="2" numFmtId="0" xfId="0" applyBorder="1" applyFont="1"/>
    <xf borderId="181" fillId="55" fontId="82" numFmtId="0" xfId="0" applyAlignment="1" applyBorder="1" applyFont="1">
      <alignment horizontal="center" readingOrder="0" shrinkToFit="0" vertical="center" wrapText="0"/>
    </xf>
    <xf borderId="181" fillId="55" fontId="82" numFmtId="0" xfId="0" applyAlignment="1" applyBorder="1" applyFont="1">
      <alignment horizontal="left" readingOrder="0" vertical="center"/>
    </xf>
    <xf borderId="181" fillId="55" fontId="110" numFmtId="0" xfId="0" applyBorder="1" applyFont="1"/>
    <xf borderId="190" fillId="55" fontId="84" numFmtId="0" xfId="0" applyAlignment="1" applyBorder="1" applyFont="1">
      <alignment horizontal="center" vertical="bottom"/>
    </xf>
    <xf borderId="191" fillId="0" fontId="2" numFmtId="0" xfId="0" applyBorder="1" applyFont="1"/>
    <xf borderId="181" fillId="55" fontId="84" numFmtId="0" xfId="0" applyBorder="1" applyFont="1"/>
    <xf borderId="181" fillId="55" fontId="85" numFmtId="0" xfId="0" applyAlignment="1" applyBorder="1" applyFont="1">
      <alignment readingOrder="0" shrinkToFit="0" vertical="center" wrapText="0"/>
    </xf>
    <xf borderId="181" fillId="55" fontId="84" numFmtId="0" xfId="0" applyAlignment="1" applyBorder="1" applyFont="1">
      <alignment vertical="center"/>
    </xf>
    <xf borderId="190" fillId="55" fontId="86" numFmtId="0" xfId="0" applyAlignment="1" applyBorder="1" applyFont="1">
      <alignment horizontal="center" readingOrder="0" vertical="bottom"/>
    </xf>
    <xf borderId="181" fillId="55" fontId="84" numFmtId="0" xfId="0" applyAlignment="1" applyBorder="1" applyFont="1">
      <alignment vertical="center"/>
    </xf>
    <xf borderId="182" fillId="55" fontId="87" numFmtId="164" xfId="0" applyAlignment="1" applyBorder="1" applyFont="1" applyNumberFormat="1">
      <alignment horizontal="center" readingOrder="0" vertical="center"/>
    </xf>
    <xf borderId="190" fillId="55" fontId="110" numFmtId="0" xfId="0" applyAlignment="1" applyBorder="1" applyFont="1">
      <alignment horizontal="center"/>
    </xf>
    <xf borderId="182" fillId="55" fontId="109" numFmtId="0" xfId="0" applyAlignment="1" applyBorder="1" applyFont="1">
      <alignment horizontal="center" readingOrder="0" shrinkToFit="0" vertical="center" wrapText="0"/>
    </xf>
    <xf borderId="181" fillId="55" fontId="110" numFmtId="0" xfId="0" applyAlignment="1" applyBorder="1" applyFont="1">
      <alignment horizontal="center"/>
    </xf>
    <xf borderId="33" fillId="18" fontId="17" numFmtId="49" xfId="0" applyAlignment="1" applyBorder="1" applyFont="1" applyNumberFormat="1">
      <alignment horizontal="center" readingOrder="0" shrinkToFit="0" vertical="center" wrapText="0"/>
    </xf>
    <xf borderId="192" fillId="56" fontId="111" numFmtId="0" xfId="0" applyAlignment="1" applyBorder="1" applyFill="1" applyFont="1">
      <alignment horizontal="left" readingOrder="0" shrinkToFit="0" vertical="center" wrapText="0"/>
    </xf>
    <xf borderId="192" fillId="56" fontId="112" numFmtId="0" xfId="0" applyAlignment="1" applyBorder="1" applyFont="1">
      <alignment horizontal="center" readingOrder="0" shrinkToFit="0" vertical="center" wrapText="0"/>
    </xf>
    <xf borderId="193" fillId="56" fontId="112" numFmtId="0" xfId="0" applyAlignment="1" applyBorder="1" applyFont="1">
      <alignment horizontal="left" readingOrder="0" shrinkToFit="0" vertical="center" wrapText="0"/>
    </xf>
    <xf borderId="194" fillId="0" fontId="2" numFmtId="0" xfId="0" applyBorder="1" applyFont="1"/>
    <xf borderId="195" fillId="0" fontId="2" numFmtId="0" xfId="0" applyBorder="1" applyFont="1"/>
    <xf borderId="193" fillId="56" fontId="82" numFmtId="0" xfId="0" applyAlignment="1" applyBorder="1" applyFont="1">
      <alignment horizontal="center" readingOrder="0" shrinkToFit="0" vertical="center" wrapText="0"/>
    </xf>
    <xf borderId="193" fillId="56" fontId="82" numFmtId="0" xfId="0" applyAlignment="1" applyBorder="1" applyFont="1">
      <alignment horizontal="left" readingOrder="0" vertical="center"/>
    </xf>
    <xf borderId="192" fillId="56" fontId="113" numFmtId="0" xfId="0" applyAlignment="1" applyBorder="1" applyFont="1">
      <alignment vertical="center"/>
    </xf>
    <xf borderId="192" fillId="56" fontId="111" numFmtId="0" xfId="0" applyAlignment="1" applyBorder="1" applyFont="1">
      <alignment readingOrder="0" shrinkToFit="0" vertical="center" wrapText="0"/>
    </xf>
    <xf borderId="192" fillId="56" fontId="111" numFmtId="49" xfId="0" applyAlignment="1" applyBorder="1" applyFont="1" applyNumberFormat="1">
      <alignment horizontal="left" readingOrder="0" shrinkToFit="0" vertical="center" wrapText="0"/>
    </xf>
    <xf borderId="196" fillId="0" fontId="2" numFmtId="0" xfId="0" applyBorder="1" applyFont="1"/>
    <xf borderId="197" fillId="0" fontId="2" numFmtId="0" xfId="0" applyBorder="1" applyFont="1"/>
    <xf borderId="198" fillId="0" fontId="2" numFmtId="0" xfId="0" applyBorder="1" applyFont="1"/>
    <xf borderId="199" fillId="0" fontId="2" numFmtId="0" xfId="0" applyBorder="1" applyFont="1"/>
    <xf borderId="200" fillId="0" fontId="2" numFmtId="0" xfId="0" applyBorder="1" applyFont="1"/>
    <xf borderId="192" fillId="56" fontId="82" numFmtId="0" xfId="0" applyAlignment="1" applyBorder="1" applyFont="1">
      <alignment horizontal="center" readingOrder="0" shrinkToFit="0" vertical="center" wrapText="0"/>
    </xf>
    <xf borderId="192" fillId="56" fontId="82" numFmtId="0" xfId="0" applyAlignment="1" applyBorder="1" applyFont="1">
      <alignment horizontal="left" readingOrder="0" vertical="center"/>
    </xf>
    <xf borderId="192" fillId="56" fontId="113" numFmtId="0" xfId="0" applyBorder="1" applyFont="1"/>
    <xf borderId="201" fillId="56" fontId="84" numFmtId="0" xfId="0" applyAlignment="1" applyBorder="1" applyFont="1">
      <alignment horizontal="center" vertical="bottom"/>
    </xf>
    <xf borderId="202" fillId="0" fontId="2" numFmtId="0" xfId="0" applyBorder="1" applyFont="1"/>
    <xf borderId="192" fillId="56" fontId="84" numFmtId="0" xfId="0" applyBorder="1" applyFont="1"/>
    <xf borderId="192" fillId="56" fontId="85" numFmtId="0" xfId="0" applyAlignment="1" applyBorder="1" applyFont="1">
      <alignment readingOrder="0" shrinkToFit="0" vertical="center" wrapText="0"/>
    </xf>
    <xf borderId="192" fillId="56" fontId="84" numFmtId="0" xfId="0" applyAlignment="1" applyBorder="1" applyFont="1">
      <alignment vertical="center"/>
    </xf>
    <xf borderId="201" fillId="56" fontId="86" numFmtId="0" xfId="0" applyAlignment="1" applyBorder="1" applyFont="1">
      <alignment horizontal="center" readingOrder="0" vertical="bottom"/>
    </xf>
    <xf borderId="192" fillId="56" fontId="84" numFmtId="0" xfId="0" applyAlignment="1" applyBorder="1" applyFont="1">
      <alignment vertical="center"/>
    </xf>
    <xf borderId="193" fillId="56" fontId="87" numFmtId="164" xfId="0" applyAlignment="1" applyBorder="1" applyFont="1" applyNumberFormat="1">
      <alignment horizontal="center" readingOrder="0" vertical="center"/>
    </xf>
    <xf borderId="201" fillId="56" fontId="113" numFmtId="0" xfId="0" applyAlignment="1" applyBorder="1" applyFont="1">
      <alignment horizontal="center"/>
    </xf>
    <xf borderId="193" fillId="56" fontId="112" numFmtId="0" xfId="0" applyAlignment="1" applyBorder="1" applyFont="1">
      <alignment horizontal="center" readingOrder="0" shrinkToFit="0" vertical="center" wrapText="0"/>
    </xf>
    <xf borderId="192" fillId="56" fontId="113" numFmtId="0" xfId="0" applyAlignment="1" applyBorder="1" applyFont="1">
      <alignment horizontal="center"/>
    </xf>
    <xf borderId="33" fillId="11" fontId="49" numFmtId="49" xfId="0" applyAlignment="1" applyBorder="1" applyFont="1" applyNumberFormat="1">
      <alignment horizontal="center" readingOrder="0" shrinkToFit="0" vertical="center" wrapText="0"/>
    </xf>
    <xf borderId="203" fillId="57" fontId="114" numFmtId="0" xfId="0" applyAlignment="1" applyBorder="1" applyFill="1" applyFont="1">
      <alignment horizontal="left" readingOrder="0" shrinkToFit="0" vertical="center" wrapText="0"/>
    </xf>
    <xf borderId="203" fillId="57" fontId="115" numFmtId="0" xfId="0" applyAlignment="1" applyBorder="1" applyFont="1">
      <alignment horizontal="center" readingOrder="0" shrinkToFit="0" vertical="center" wrapText="0"/>
    </xf>
    <xf borderId="204" fillId="57" fontId="115" numFmtId="0" xfId="0" applyAlignment="1" applyBorder="1" applyFont="1">
      <alignment horizontal="left" readingOrder="0" shrinkToFit="0" vertical="center" wrapText="0"/>
    </xf>
    <xf borderId="205" fillId="0" fontId="2" numFmtId="0" xfId="0" applyBorder="1" applyFont="1"/>
    <xf borderId="206" fillId="0" fontId="2" numFmtId="0" xfId="0" applyBorder="1" applyFont="1"/>
    <xf borderId="204" fillId="57" fontId="57" numFmtId="0" xfId="0" applyAlignment="1" applyBorder="1" applyFont="1">
      <alignment horizontal="center" readingOrder="0" shrinkToFit="0" vertical="center" wrapText="0"/>
    </xf>
    <xf borderId="204" fillId="57" fontId="57" numFmtId="0" xfId="0" applyAlignment="1" applyBorder="1" applyFont="1">
      <alignment horizontal="left" readingOrder="0" vertical="center"/>
    </xf>
    <xf borderId="203" fillId="57" fontId="116" numFmtId="0" xfId="0" applyAlignment="1" applyBorder="1" applyFont="1">
      <alignment vertical="center"/>
    </xf>
    <xf borderId="203" fillId="57" fontId="114" numFmtId="0" xfId="0" applyAlignment="1" applyBorder="1" applyFont="1">
      <alignment readingOrder="0" shrinkToFit="0" vertical="center" wrapText="0"/>
    </xf>
    <xf borderId="203" fillId="57" fontId="114" numFmtId="49" xfId="0" applyAlignment="1" applyBorder="1" applyFont="1" applyNumberFormat="1">
      <alignment horizontal="left" readingOrder="0" shrinkToFit="0" vertical="center" wrapText="0"/>
    </xf>
    <xf borderId="207" fillId="0" fontId="2" numFmtId="0" xfId="0" applyBorder="1" applyFont="1"/>
    <xf borderId="208" fillId="0" fontId="2" numFmtId="0" xfId="0" applyBorder="1" applyFont="1"/>
    <xf borderId="209" fillId="0" fontId="2" numFmtId="0" xfId="0" applyBorder="1" applyFont="1"/>
    <xf borderId="210" fillId="0" fontId="2" numFmtId="0" xfId="0" applyBorder="1" applyFont="1"/>
    <xf borderId="211" fillId="0" fontId="2" numFmtId="0" xfId="0" applyBorder="1" applyFont="1"/>
    <xf borderId="203" fillId="57" fontId="57" numFmtId="0" xfId="0" applyAlignment="1" applyBorder="1" applyFont="1">
      <alignment horizontal="center" readingOrder="0" shrinkToFit="0" vertical="center" wrapText="0"/>
    </xf>
    <xf borderId="203" fillId="57" fontId="57" numFmtId="0" xfId="0" applyAlignment="1" applyBorder="1" applyFont="1">
      <alignment horizontal="left" readingOrder="0" vertical="center"/>
    </xf>
    <xf borderId="203" fillId="57" fontId="116" numFmtId="0" xfId="0" applyBorder="1" applyFont="1"/>
    <xf borderId="212" fillId="57" fontId="59" numFmtId="0" xfId="0" applyAlignment="1" applyBorder="1" applyFont="1">
      <alignment horizontal="center" vertical="bottom"/>
    </xf>
    <xf borderId="213" fillId="0" fontId="2" numFmtId="0" xfId="0" applyBorder="1" applyFont="1"/>
    <xf borderId="203" fillId="57" fontId="59" numFmtId="0" xfId="0" applyBorder="1" applyFont="1"/>
    <xf borderId="203" fillId="57" fontId="60" numFmtId="0" xfId="0" applyAlignment="1" applyBorder="1" applyFont="1">
      <alignment readingOrder="0" shrinkToFit="0" vertical="center" wrapText="0"/>
    </xf>
    <xf borderId="203" fillId="57" fontId="59" numFmtId="0" xfId="0" applyAlignment="1" applyBorder="1" applyFont="1">
      <alignment vertical="center"/>
    </xf>
    <xf borderId="212" fillId="57" fontId="61" numFmtId="0" xfId="0" applyAlignment="1" applyBorder="1" applyFont="1">
      <alignment horizontal="center" readingOrder="0" vertical="bottom"/>
    </xf>
    <xf borderId="203" fillId="57" fontId="59" numFmtId="0" xfId="0" applyAlignment="1" applyBorder="1" applyFont="1">
      <alignment vertical="center"/>
    </xf>
    <xf borderId="204" fillId="57" fontId="62" numFmtId="164" xfId="0" applyAlignment="1" applyBorder="1" applyFont="1" applyNumberFormat="1">
      <alignment horizontal="center" readingOrder="0" vertical="center"/>
    </xf>
    <xf borderId="212" fillId="57" fontId="116" numFmtId="0" xfId="0" applyAlignment="1" applyBorder="1" applyFont="1">
      <alignment horizontal="center"/>
    </xf>
    <xf borderId="204" fillId="57" fontId="115" numFmtId="0" xfId="0" applyAlignment="1" applyBorder="1" applyFont="1">
      <alignment horizontal="center" readingOrder="0" shrinkToFit="0" vertical="center" wrapText="0"/>
    </xf>
    <xf borderId="203" fillId="57" fontId="116" numFmtId="0" xfId="0" applyAlignment="1" applyBorder="1" applyFont="1">
      <alignment horizontal="center"/>
    </xf>
    <xf borderId="214" fillId="58" fontId="117" numFmtId="0" xfId="0" applyAlignment="1" applyBorder="1" applyFill="1" applyFont="1">
      <alignment horizontal="left" readingOrder="0" shrinkToFit="0" vertical="center" wrapText="0"/>
    </xf>
    <xf borderId="214" fillId="58" fontId="118" numFmtId="0" xfId="0" applyAlignment="1" applyBorder="1" applyFont="1">
      <alignment horizontal="center" readingOrder="0" shrinkToFit="0" vertical="center" wrapText="0"/>
    </xf>
    <xf borderId="215" fillId="58" fontId="118" numFmtId="0" xfId="0" applyAlignment="1" applyBorder="1" applyFont="1">
      <alignment horizontal="left" readingOrder="0" shrinkToFit="0" vertical="center" wrapText="0"/>
    </xf>
    <xf borderId="216" fillId="0" fontId="2" numFmtId="0" xfId="0" applyBorder="1" applyFont="1"/>
    <xf borderId="217" fillId="0" fontId="2" numFmtId="0" xfId="0" applyBorder="1" applyFont="1"/>
    <xf borderId="215" fillId="58" fontId="82" numFmtId="0" xfId="0" applyAlignment="1" applyBorder="1" applyFont="1">
      <alignment horizontal="center" readingOrder="0" shrinkToFit="0" vertical="center" wrapText="0"/>
    </xf>
    <xf borderId="215" fillId="58" fontId="82" numFmtId="0" xfId="0" applyAlignment="1" applyBorder="1" applyFont="1">
      <alignment horizontal="left" readingOrder="0" vertical="center"/>
    </xf>
    <xf borderId="214" fillId="58" fontId="119" numFmtId="0" xfId="0" applyAlignment="1" applyBorder="1" applyFont="1">
      <alignment vertical="center"/>
    </xf>
    <xf borderId="214" fillId="58" fontId="117" numFmtId="0" xfId="0" applyAlignment="1" applyBorder="1" applyFont="1">
      <alignment readingOrder="0" shrinkToFit="0" vertical="center" wrapText="0"/>
    </xf>
    <xf borderId="214" fillId="58" fontId="117" numFmtId="49" xfId="0" applyAlignment="1" applyBorder="1" applyFont="1" applyNumberFormat="1">
      <alignment horizontal="left" readingOrder="0" shrinkToFit="0" vertical="center" wrapText="0"/>
    </xf>
    <xf borderId="218" fillId="0" fontId="2" numFmtId="0" xfId="0" applyBorder="1" applyFont="1"/>
    <xf borderId="219" fillId="0" fontId="2" numFmtId="0" xfId="0" applyBorder="1" applyFont="1"/>
    <xf borderId="220" fillId="0" fontId="2" numFmtId="0" xfId="0" applyBorder="1" applyFont="1"/>
    <xf borderId="221" fillId="0" fontId="2" numFmtId="0" xfId="0" applyBorder="1" applyFont="1"/>
    <xf borderId="222" fillId="0" fontId="2" numFmtId="0" xfId="0" applyBorder="1" applyFont="1"/>
    <xf borderId="214" fillId="58" fontId="82" numFmtId="0" xfId="0" applyAlignment="1" applyBorder="1" applyFont="1">
      <alignment horizontal="center" readingOrder="0" shrinkToFit="0" vertical="center" wrapText="0"/>
    </xf>
    <xf borderId="214" fillId="58" fontId="82" numFmtId="0" xfId="0" applyAlignment="1" applyBorder="1" applyFont="1">
      <alignment horizontal="left" readingOrder="0" vertical="center"/>
    </xf>
    <xf borderId="214" fillId="58" fontId="119" numFmtId="0" xfId="0" applyBorder="1" applyFont="1"/>
    <xf borderId="223" fillId="58" fontId="84" numFmtId="0" xfId="0" applyAlignment="1" applyBorder="1" applyFont="1">
      <alignment horizontal="center" vertical="bottom"/>
    </xf>
    <xf borderId="224" fillId="0" fontId="2" numFmtId="0" xfId="0" applyBorder="1" applyFont="1"/>
    <xf borderId="214" fillId="58" fontId="84" numFmtId="0" xfId="0" applyBorder="1" applyFont="1"/>
    <xf borderId="214" fillId="58" fontId="85" numFmtId="0" xfId="0" applyAlignment="1" applyBorder="1" applyFont="1">
      <alignment readingOrder="0" shrinkToFit="0" vertical="center" wrapText="0"/>
    </xf>
    <xf borderId="214" fillId="58" fontId="84" numFmtId="0" xfId="0" applyAlignment="1" applyBorder="1" applyFont="1">
      <alignment vertical="center"/>
    </xf>
    <xf borderId="223" fillId="58" fontId="86" numFmtId="0" xfId="0" applyAlignment="1" applyBorder="1" applyFont="1">
      <alignment horizontal="center" readingOrder="0" vertical="bottom"/>
    </xf>
    <xf borderId="214" fillId="58" fontId="84" numFmtId="0" xfId="0" applyAlignment="1" applyBorder="1" applyFont="1">
      <alignment vertical="center"/>
    </xf>
    <xf borderId="215" fillId="58" fontId="87" numFmtId="164" xfId="0" applyAlignment="1" applyBorder="1" applyFont="1" applyNumberFormat="1">
      <alignment horizontal="center" readingOrder="0" vertical="center"/>
    </xf>
    <xf borderId="223" fillId="58" fontId="119" numFmtId="0" xfId="0" applyAlignment="1" applyBorder="1" applyFont="1">
      <alignment horizontal="center"/>
    </xf>
    <xf borderId="215" fillId="58" fontId="118" numFmtId="0" xfId="0" applyAlignment="1" applyBorder="1" applyFont="1">
      <alignment horizontal="center" readingOrder="0" shrinkToFit="0" vertical="center" wrapText="0"/>
    </xf>
    <xf borderId="214" fillId="58" fontId="119" numFmtId="0" xfId="0" applyAlignment="1" applyBorder="1" applyFont="1">
      <alignment horizontal="center"/>
    </xf>
    <xf borderId="0" fillId="11" fontId="44" numFmtId="0" xfId="0" applyAlignment="1" applyFont="1">
      <alignment horizontal="left" readingOrder="0" shrinkToFit="0" vertical="center" wrapText="0"/>
    </xf>
    <xf borderId="30" fillId="11" fontId="41" numFmtId="0" xfId="0" applyAlignment="1" applyBorder="1" applyFont="1">
      <alignment horizontal="left" readingOrder="0" shrinkToFit="0" vertical="center" wrapText="1"/>
    </xf>
    <xf borderId="0" fillId="0" fontId="41" numFmtId="0" xfId="0" applyAlignment="1" applyFont="1">
      <alignment horizontal="left" readingOrder="0" shrinkToFit="0" vertical="center" wrapText="0"/>
    </xf>
    <xf borderId="0" fillId="11" fontId="41" numFmtId="0" xfId="0" applyAlignment="1" applyFont="1">
      <alignment horizontal="left" shrinkToFit="0" vertical="center" wrapText="0"/>
    </xf>
    <xf borderId="34" fillId="35" fontId="40" numFmtId="0" xfId="0" applyAlignment="1" applyBorder="1" applyFont="1">
      <alignment shrinkToFit="0" vertical="center" wrapText="0"/>
    </xf>
    <xf borderId="225" fillId="59" fontId="120" numFmtId="0" xfId="0" applyAlignment="1" applyBorder="1" applyFill="1" applyFont="1">
      <alignment horizontal="left" readingOrder="0" shrinkToFit="0" vertical="center" wrapText="0"/>
    </xf>
    <xf borderId="225" fillId="59" fontId="121" numFmtId="0" xfId="0" applyAlignment="1" applyBorder="1" applyFont="1">
      <alignment horizontal="center" readingOrder="0" shrinkToFit="0" vertical="center" wrapText="0"/>
    </xf>
    <xf borderId="226" fillId="59" fontId="121" numFmtId="0" xfId="0" applyAlignment="1" applyBorder="1" applyFont="1">
      <alignment horizontal="left" readingOrder="0" shrinkToFit="0" vertical="center" wrapText="0"/>
    </xf>
    <xf borderId="227" fillId="0" fontId="2" numFmtId="0" xfId="0" applyBorder="1" applyFont="1"/>
    <xf borderId="228" fillId="0" fontId="2" numFmtId="0" xfId="0" applyBorder="1" applyFont="1"/>
    <xf borderId="226" fillId="59" fontId="57" numFmtId="0" xfId="0" applyAlignment="1" applyBorder="1" applyFont="1">
      <alignment horizontal="center" readingOrder="0" shrinkToFit="0" vertical="center" wrapText="0"/>
    </xf>
    <xf borderId="226" fillId="59" fontId="57" numFmtId="0" xfId="0" applyAlignment="1" applyBorder="1" applyFont="1">
      <alignment horizontal="left" readingOrder="0" vertical="center"/>
    </xf>
    <xf borderId="225" fillId="59" fontId="122" numFmtId="0" xfId="0" applyAlignment="1" applyBorder="1" applyFont="1">
      <alignment vertical="center"/>
    </xf>
    <xf borderId="225" fillId="59" fontId="120" numFmtId="0" xfId="0" applyAlignment="1" applyBorder="1" applyFont="1">
      <alignment readingOrder="0" shrinkToFit="0" vertical="center" wrapText="0"/>
    </xf>
    <xf borderId="225" fillId="59" fontId="120" numFmtId="49" xfId="0" applyAlignment="1" applyBorder="1" applyFont="1" applyNumberFormat="1">
      <alignment horizontal="left" readingOrder="0" shrinkToFit="0" vertical="center" wrapText="0"/>
    </xf>
    <xf borderId="229" fillId="0" fontId="2" numFmtId="0" xfId="0" applyBorder="1" applyFont="1"/>
    <xf borderId="230" fillId="0" fontId="2" numFmtId="0" xfId="0" applyBorder="1" applyFont="1"/>
    <xf borderId="231" fillId="0" fontId="2" numFmtId="0" xfId="0" applyBorder="1" applyFont="1"/>
    <xf borderId="232" fillId="0" fontId="2" numFmtId="0" xfId="0" applyBorder="1" applyFont="1"/>
    <xf borderId="233" fillId="0" fontId="2" numFmtId="0" xfId="0" applyBorder="1" applyFont="1"/>
    <xf borderId="225" fillId="59" fontId="57" numFmtId="0" xfId="0" applyAlignment="1" applyBorder="1" applyFont="1">
      <alignment horizontal="center" readingOrder="0" shrinkToFit="0" vertical="center" wrapText="0"/>
    </xf>
    <xf borderId="225" fillId="59" fontId="57" numFmtId="0" xfId="0" applyAlignment="1" applyBorder="1" applyFont="1">
      <alignment horizontal="left" readingOrder="0" vertical="center"/>
    </xf>
    <xf borderId="225" fillId="59" fontId="122" numFmtId="0" xfId="0" applyBorder="1" applyFont="1"/>
    <xf borderId="234" fillId="59" fontId="59" numFmtId="0" xfId="0" applyAlignment="1" applyBorder="1" applyFont="1">
      <alignment horizontal="center" vertical="bottom"/>
    </xf>
    <xf borderId="235" fillId="0" fontId="2" numFmtId="0" xfId="0" applyBorder="1" applyFont="1"/>
    <xf borderId="225" fillId="59" fontId="59" numFmtId="0" xfId="0" applyBorder="1" applyFont="1"/>
    <xf borderId="225" fillId="59" fontId="60" numFmtId="0" xfId="0" applyAlignment="1" applyBorder="1" applyFont="1">
      <alignment readingOrder="0" shrinkToFit="0" vertical="center" wrapText="0"/>
    </xf>
    <xf borderId="225" fillId="59" fontId="59" numFmtId="0" xfId="0" applyAlignment="1" applyBorder="1" applyFont="1">
      <alignment vertical="center"/>
    </xf>
    <xf borderId="234" fillId="59" fontId="61" numFmtId="0" xfId="0" applyAlignment="1" applyBorder="1" applyFont="1">
      <alignment horizontal="center" readingOrder="0" vertical="bottom"/>
    </xf>
    <xf borderId="225" fillId="59" fontId="59" numFmtId="0" xfId="0" applyAlignment="1" applyBorder="1" applyFont="1">
      <alignment vertical="center"/>
    </xf>
    <xf borderId="226" fillId="59" fontId="62" numFmtId="164" xfId="0" applyAlignment="1" applyBorder="1" applyFont="1" applyNumberFormat="1">
      <alignment horizontal="center" readingOrder="0" vertical="center"/>
    </xf>
    <xf borderId="234" fillId="59" fontId="122" numFmtId="0" xfId="0" applyAlignment="1" applyBorder="1" applyFont="1">
      <alignment horizontal="center"/>
    </xf>
    <xf borderId="226" fillId="59" fontId="121" numFmtId="0" xfId="0" applyAlignment="1" applyBorder="1" applyFont="1">
      <alignment horizontal="center" readingOrder="0" shrinkToFit="0" vertical="center" wrapText="0"/>
    </xf>
    <xf borderId="225" fillId="59" fontId="122" numFmtId="0" xfId="0" applyAlignment="1" applyBorder="1" applyFont="1">
      <alignment horizontal="center"/>
    </xf>
    <xf borderId="236" fillId="60" fontId="123" numFmtId="0" xfId="0" applyAlignment="1" applyBorder="1" applyFill="1" applyFont="1">
      <alignment horizontal="left" readingOrder="0" shrinkToFit="0" vertical="center" wrapText="0"/>
    </xf>
    <xf borderId="236" fillId="60" fontId="124" numFmtId="0" xfId="0" applyAlignment="1" applyBorder="1" applyFont="1">
      <alignment horizontal="center" readingOrder="0" shrinkToFit="0" vertical="center" wrapText="0"/>
    </xf>
    <xf borderId="237" fillId="60" fontId="124" numFmtId="0" xfId="0" applyAlignment="1" applyBorder="1" applyFont="1">
      <alignment horizontal="left" readingOrder="0" shrinkToFit="0" vertical="center" wrapText="0"/>
    </xf>
    <xf borderId="238" fillId="0" fontId="2" numFmtId="0" xfId="0" applyBorder="1" applyFont="1"/>
    <xf borderId="239" fillId="0" fontId="2" numFmtId="0" xfId="0" applyBorder="1" applyFont="1"/>
    <xf borderId="237" fillId="60" fontId="82" numFmtId="0" xfId="0" applyAlignment="1" applyBorder="1" applyFont="1">
      <alignment horizontal="center" readingOrder="0" shrinkToFit="0" vertical="center" wrapText="0"/>
    </xf>
    <xf borderId="237" fillId="60" fontId="82" numFmtId="0" xfId="0" applyAlignment="1" applyBorder="1" applyFont="1">
      <alignment horizontal="left" readingOrder="0" vertical="center"/>
    </xf>
    <xf borderId="236" fillId="60" fontId="125" numFmtId="0" xfId="0" applyAlignment="1" applyBorder="1" applyFont="1">
      <alignment vertical="center"/>
    </xf>
    <xf borderId="236" fillId="60" fontId="123" numFmtId="0" xfId="0" applyAlignment="1" applyBorder="1" applyFont="1">
      <alignment readingOrder="0" shrinkToFit="0" vertical="center" wrapText="0"/>
    </xf>
    <xf borderId="236" fillId="60" fontId="123" numFmtId="49" xfId="0" applyAlignment="1" applyBorder="1" applyFont="1" applyNumberFormat="1">
      <alignment horizontal="left" readingOrder="0" shrinkToFit="0" vertical="center" wrapText="0"/>
    </xf>
    <xf borderId="240" fillId="0" fontId="2" numFmtId="0" xfId="0" applyBorder="1" applyFont="1"/>
    <xf borderId="241" fillId="0" fontId="2" numFmtId="0" xfId="0" applyBorder="1" applyFont="1"/>
    <xf borderId="242" fillId="0" fontId="2" numFmtId="0" xfId="0" applyBorder="1" applyFont="1"/>
    <xf borderId="243" fillId="0" fontId="2" numFmtId="0" xfId="0" applyBorder="1" applyFont="1"/>
    <xf borderId="244" fillId="0" fontId="2" numFmtId="0" xfId="0" applyBorder="1" applyFont="1"/>
    <xf borderId="236" fillId="60" fontId="82" numFmtId="0" xfId="0" applyAlignment="1" applyBorder="1" applyFont="1">
      <alignment horizontal="center" readingOrder="0" shrinkToFit="0" vertical="center" wrapText="0"/>
    </xf>
    <xf borderId="236" fillId="60" fontId="82" numFmtId="0" xfId="0" applyAlignment="1" applyBorder="1" applyFont="1">
      <alignment horizontal="left" readingOrder="0" vertical="center"/>
    </xf>
    <xf borderId="236" fillId="60" fontId="125" numFmtId="0" xfId="0" applyBorder="1" applyFont="1"/>
    <xf borderId="245" fillId="60" fontId="84" numFmtId="0" xfId="0" applyAlignment="1" applyBorder="1" applyFont="1">
      <alignment horizontal="center" vertical="bottom"/>
    </xf>
    <xf borderId="246" fillId="0" fontId="2" numFmtId="0" xfId="0" applyBorder="1" applyFont="1"/>
    <xf borderId="236" fillId="60" fontId="84" numFmtId="0" xfId="0" applyBorder="1" applyFont="1"/>
    <xf borderId="236" fillId="60" fontId="85" numFmtId="0" xfId="0" applyAlignment="1" applyBorder="1" applyFont="1">
      <alignment readingOrder="0" shrinkToFit="0" vertical="center" wrapText="0"/>
    </xf>
    <xf borderId="236" fillId="60" fontId="84" numFmtId="0" xfId="0" applyAlignment="1" applyBorder="1" applyFont="1">
      <alignment vertical="center"/>
    </xf>
    <xf borderId="245" fillId="60" fontId="86" numFmtId="0" xfId="0" applyAlignment="1" applyBorder="1" applyFont="1">
      <alignment horizontal="center" readingOrder="0" vertical="bottom"/>
    </xf>
    <xf borderId="236" fillId="60" fontId="84" numFmtId="0" xfId="0" applyAlignment="1" applyBorder="1" applyFont="1">
      <alignment vertical="center"/>
    </xf>
    <xf borderId="237" fillId="60" fontId="87" numFmtId="164" xfId="0" applyAlignment="1" applyBorder="1" applyFont="1" applyNumberFormat="1">
      <alignment horizontal="center" readingOrder="0" vertical="center"/>
    </xf>
    <xf borderId="245" fillId="60" fontId="125" numFmtId="0" xfId="0" applyAlignment="1" applyBorder="1" applyFont="1">
      <alignment horizontal="center"/>
    </xf>
    <xf borderId="237" fillId="60" fontId="124" numFmtId="0" xfId="0" applyAlignment="1" applyBorder="1" applyFont="1">
      <alignment horizontal="center" readingOrder="0" shrinkToFit="0" vertical="center" wrapText="0"/>
    </xf>
    <xf borderId="236" fillId="60" fontId="125" numFmtId="0" xfId="0" applyAlignment="1" applyBorder="1" applyFont="1">
      <alignment horizontal="center"/>
    </xf>
    <xf borderId="27" fillId="10" fontId="41" numFmtId="49" xfId="0" applyAlignment="1" applyBorder="1" applyFont="1" applyNumberFormat="1">
      <alignment horizontal="center" readingOrder="0" shrinkToFit="0" vertical="center" wrapText="0"/>
    </xf>
    <xf borderId="33" fillId="18" fontId="41" numFmtId="49" xfId="0" applyAlignment="1" applyBorder="1" applyFont="1" applyNumberFormat="1">
      <alignment horizontal="left" readingOrder="0" shrinkToFit="0" vertical="center" wrapText="0"/>
    </xf>
    <xf borderId="33" fillId="11" fontId="0" numFmtId="49" xfId="0" applyAlignment="1" applyBorder="1" applyFont="1" applyNumberFormat="1">
      <alignment horizontal="center" readingOrder="0" shrinkToFit="0" vertical="center" wrapText="0"/>
    </xf>
    <xf borderId="247" fillId="61" fontId="126" numFmtId="0" xfId="0" applyAlignment="1" applyBorder="1" applyFill="1" applyFont="1">
      <alignment horizontal="left" readingOrder="0" shrinkToFit="0" vertical="center" wrapText="0"/>
    </xf>
    <xf borderId="247" fillId="61" fontId="127" numFmtId="0" xfId="0" applyAlignment="1" applyBorder="1" applyFont="1">
      <alignment horizontal="center" readingOrder="0" shrinkToFit="0" vertical="center" wrapText="0"/>
    </xf>
    <xf borderId="248" fillId="61" fontId="127" numFmtId="0" xfId="0" applyAlignment="1" applyBorder="1" applyFont="1">
      <alignment horizontal="left" readingOrder="0" shrinkToFit="0" vertical="center" wrapText="0"/>
    </xf>
    <xf borderId="249" fillId="0" fontId="2" numFmtId="0" xfId="0" applyBorder="1" applyFont="1"/>
    <xf borderId="250" fillId="0" fontId="2" numFmtId="0" xfId="0" applyBorder="1" applyFont="1"/>
    <xf borderId="248" fillId="61" fontId="82" numFmtId="0" xfId="0" applyAlignment="1" applyBorder="1" applyFont="1">
      <alignment horizontal="center" readingOrder="0" shrinkToFit="0" vertical="center" wrapText="0"/>
    </xf>
    <xf borderId="248" fillId="61" fontId="82" numFmtId="0" xfId="0" applyAlignment="1" applyBorder="1" applyFont="1">
      <alignment horizontal="left" readingOrder="0" vertical="center"/>
    </xf>
    <xf borderId="247" fillId="61" fontId="128" numFmtId="0" xfId="0" applyAlignment="1" applyBorder="1" applyFont="1">
      <alignment vertical="center"/>
    </xf>
    <xf borderId="247" fillId="61" fontId="126" numFmtId="0" xfId="0" applyAlignment="1" applyBorder="1" applyFont="1">
      <alignment readingOrder="0" shrinkToFit="0" vertical="center" wrapText="0"/>
    </xf>
    <xf borderId="247" fillId="61" fontId="126" numFmtId="49" xfId="0" applyAlignment="1" applyBorder="1" applyFont="1" applyNumberFormat="1">
      <alignment horizontal="left" readingOrder="0" shrinkToFit="0" vertical="center" wrapText="0"/>
    </xf>
    <xf borderId="251" fillId="0" fontId="2" numFmtId="0" xfId="0" applyBorder="1" applyFont="1"/>
    <xf borderId="252" fillId="0" fontId="2" numFmtId="0" xfId="0" applyBorder="1" applyFont="1"/>
    <xf borderId="253" fillId="0" fontId="2" numFmtId="0" xfId="0" applyBorder="1" applyFont="1"/>
    <xf borderId="254" fillId="0" fontId="2" numFmtId="0" xfId="0" applyBorder="1" applyFont="1"/>
    <xf borderId="255" fillId="0" fontId="2" numFmtId="0" xfId="0" applyBorder="1" applyFont="1"/>
    <xf borderId="247" fillId="61" fontId="82" numFmtId="0" xfId="0" applyAlignment="1" applyBorder="1" applyFont="1">
      <alignment horizontal="center" readingOrder="0" shrinkToFit="0" vertical="center" wrapText="0"/>
    </xf>
    <xf borderId="247" fillId="61" fontId="82" numFmtId="0" xfId="0" applyAlignment="1" applyBorder="1" applyFont="1">
      <alignment horizontal="left" readingOrder="0" vertical="center"/>
    </xf>
    <xf borderId="247" fillId="61" fontId="128" numFmtId="0" xfId="0" applyBorder="1" applyFont="1"/>
    <xf borderId="256" fillId="61" fontId="84" numFmtId="0" xfId="0" applyAlignment="1" applyBorder="1" applyFont="1">
      <alignment horizontal="center" vertical="bottom"/>
    </xf>
    <xf borderId="257" fillId="0" fontId="2" numFmtId="0" xfId="0" applyBorder="1" applyFont="1"/>
    <xf borderId="247" fillId="61" fontId="84" numFmtId="0" xfId="0" applyBorder="1" applyFont="1"/>
    <xf borderId="247" fillId="61" fontId="85" numFmtId="0" xfId="0" applyAlignment="1" applyBorder="1" applyFont="1">
      <alignment readingOrder="0" shrinkToFit="0" vertical="center" wrapText="0"/>
    </xf>
    <xf borderId="247" fillId="61" fontId="84" numFmtId="0" xfId="0" applyAlignment="1" applyBorder="1" applyFont="1">
      <alignment vertical="center"/>
    </xf>
    <xf borderId="256" fillId="61" fontId="86" numFmtId="0" xfId="0" applyAlignment="1" applyBorder="1" applyFont="1">
      <alignment horizontal="center" readingOrder="0" vertical="bottom"/>
    </xf>
    <xf borderId="247" fillId="61" fontId="84" numFmtId="0" xfId="0" applyAlignment="1" applyBorder="1" applyFont="1">
      <alignment vertical="center"/>
    </xf>
    <xf borderId="248" fillId="61" fontId="87" numFmtId="164" xfId="0" applyAlignment="1" applyBorder="1" applyFont="1" applyNumberFormat="1">
      <alignment horizontal="center" readingOrder="0" vertical="center"/>
    </xf>
    <xf borderId="256" fillId="61" fontId="128" numFmtId="0" xfId="0" applyAlignment="1" applyBorder="1" applyFont="1">
      <alignment horizontal="center"/>
    </xf>
    <xf borderId="248" fillId="61" fontId="127" numFmtId="0" xfId="0" applyAlignment="1" applyBorder="1" applyFont="1">
      <alignment horizontal="center" readingOrder="0" shrinkToFit="0" vertical="center" wrapText="0"/>
    </xf>
    <xf borderId="247" fillId="61" fontId="128" numFmtId="0" xfId="0" applyAlignment="1" applyBorder="1" applyFont="1">
      <alignment horizontal="center"/>
    </xf>
    <xf borderId="0" fillId="0" fontId="42" numFmtId="0" xfId="0" applyAlignment="1" applyFont="1">
      <alignment readingOrder="0" shrinkToFit="0" vertical="center" wrapText="0"/>
    </xf>
    <xf borderId="0" fillId="0" fontId="17" numFmtId="0" xfId="0" applyAlignment="1" applyFont="1">
      <alignment horizontal="center" readingOrder="0" shrinkToFit="0" vertical="center" wrapText="0"/>
    </xf>
    <xf borderId="31" fillId="11" fontId="53" numFmtId="0" xfId="0" applyAlignment="1" applyBorder="1" applyFont="1">
      <alignment horizontal="center" shrinkToFit="0" vertical="center" wrapText="0"/>
    </xf>
    <xf borderId="26" fillId="11" fontId="49" numFmtId="0" xfId="0" applyAlignment="1" applyBorder="1" applyFont="1">
      <alignment horizontal="center" readingOrder="0" shrinkToFit="0" vertical="center" wrapText="1"/>
    </xf>
    <xf borderId="36" fillId="10" fontId="40" numFmtId="49" xfId="0" applyAlignment="1" applyBorder="1" applyFont="1" applyNumberFormat="1">
      <alignment horizontal="center" readingOrder="0" shrinkToFit="0" wrapText="0"/>
    </xf>
    <xf borderId="29" fillId="0" fontId="40" numFmtId="49" xfId="0" applyAlignment="1" applyBorder="1" applyFont="1" applyNumberFormat="1">
      <alignment horizontal="center" shrinkToFit="0" wrapText="0"/>
    </xf>
    <xf borderId="30" fillId="11" fontId="49" numFmtId="0" xfId="0" applyAlignment="1" applyBorder="1" applyFont="1">
      <alignment horizontal="center" readingOrder="0" shrinkToFit="0" vertical="center" wrapText="1"/>
    </xf>
    <xf borderId="36" fillId="0" fontId="40" numFmtId="49" xfId="0" applyAlignment="1" applyBorder="1" applyFont="1" applyNumberFormat="1">
      <alignment horizontal="center" readingOrder="0"/>
    </xf>
    <xf borderId="26" fillId="0" fontId="49" numFmtId="0" xfId="0" applyAlignment="1" applyBorder="1" applyFont="1">
      <alignment horizontal="left" shrinkToFit="0" vertical="top" wrapText="0"/>
    </xf>
    <xf borderId="0" fillId="0" fontId="40" numFmtId="0" xfId="0" applyAlignment="1" applyFont="1">
      <alignment horizontal="center" readingOrder="0"/>
    </xf>
    <xf borderId="258" fillId="62" fontId="129" numFmtId="0" xfId="0" applyAlignment="1" applyBorder="1" applyFill="1" applyFont="1">
      <alignment horizontal="left" readingOrder="0" shrinkToFit="0" vertical="center" wrapText="0"/>
    </xf>
    <xf borderId="258" fillId="62" fontId="130" numFmtId="0" xfId="0" applyAlignment="1" applyBorder="1" applyFont="1">
      <alignment horizontal="center" readingOrder="0" shrinkToFit="0" vertical="center" wrapText="0"/>
    </xf>
    <xf borderId="259" fillId="62" fontId="130" numFmtId="0" xfId="0" applyAlignment="1" applyBorder="1" applyFont="1">
      <alignment horizontal="left" readingOrder="0" shrinkToFit="0" vertical="center" wrapText="0"/>
    </xf>
    <xf borderId="260" fillId="0" fontId="2" numFmtId="0" xfId="0" applyBorder="1" applyFont="1"/>
    <xf borderId="261" fillId="0" fontId="2" numFmtId="0" xfId="0" applyBorder="1" applyFont="1"/>
    <xf borderId="259" fillId="62" fontId="82" numFmtId="0" xfId="0" applyAlignment="1" applyBorder="1" applyFont="1">
      <alignment horizontal="center" readingOrder="0" shrinkToFit="0" vertical="center" wrapText="0"/>
    </xf>
    <xf borderId="259" fillId="62" fontId="82" numFmtId="0" xfId="0" applyAlignment="1" applyBorder="1" applyFont="1">
      <alignment horizontal="left" readingOrder="0" vertical="center"/>
    </xf>
    <xf borderId="258" fillId="62" fontId="131" numFmtId="0" xfId="0" applyAlignment="1" applyBorder="1" applyFont="1">
      <alignment vertical="center"/>
    </xf>
    <xf borderId="258" fillId="62" fontId="129" numFmtId="0" xfId="0" applyAlignment="1" applyBorder="1" applyFont="1">
      <alignment readingOrder="0" shrinkToFit="0" vertical="center" wrapText="0"/>
    </xf>
    <xf borderId="258" fillId="62" fontId="129" numFmtId="49" xfId="0" applyAlignment="1" applyBorder="1" applyFont="1" applyNumberFormat="1">
      <alignment horizontal="left" readingOrder="0" shrinkToFit="0" vertical="center" wrapText="0"/>
    </xf>
    <xf borderId="262" fillId="0" fontId="2" numFmtId="0" xfId="0" applyBorder="1" applyFont="1"/>
    <xf borderId="263" fillId="0" fontId="2" numFmtId="0" xfId="0" applyBorder="1" applyFont="1"/>
    <xf borderId="264" fillId="0" fontId="2" numFmtId="0" xfId="0" applyBorder="1" applyFont="1"/>
    <xf borderId="265" fillId="0" fontId="2" numFmtId="0" xfId="0" applyBorder="1" applyFont="1"/>
    <xf borderId="266" fillId="0" fontId="2" numFmtId="0" xfId="0" applyBorder="1" applyFont="1"/>
    <xf borderId="258" fillId="62" fontId="82" numFmtId="0" xfId="0" applyAlignment="1" applyBorder="1" applyFont="1">
      <alignment horizontal="center" readingOrder="0" shrinkToFit="0" vertical="center" wrapText="0"/>
    </xf>
    <xf borderId="258" fillId="62" fontId="82" numFmtId="0" xfId="0" applyAlignment="1" applyBorder="1" applyFont="1">
      <alignment horizontal="left" readingOrder="0" vertical="center"/>
    </xf>
    <xf borderId="258" fillId="62" fontId="131" numFmtId="0" xfId="0" applyBorder="1" applyFont="1"/>
    <xf borderId="267" fillId="62" fontId="84" numFmtId="0" xfId="0" applyAlignment="1" applyBorder="1" applyFont="1">
      <alignment horizontal="center" vertical="bottom"/>
    </xf>
    <xf borderId="268" fillId="0" fontId="2" numFmtId="0" xfId="0" applyBorder="1" applyFont="1"/>
    <xf borderId="258" fillId="62" fontId="84" numFmtId="0" xfId="0" applyBorder="1" applyFont="1"/>
    <xf borderId="258" fillId="62" fontId="85" numFmtId="0" xfId="0" applyAlignment="1" applyBorder="1" applyFont="1">
      <alignment readingOrder="0" shrinkToFit="0" vertical="center" wrapText="0"/>
    </xf>
    <xf borderId="258" fillId="62" fontId="84" numFmtId="0" xfId="0" applyAlignment="1" applyBorder="1" applyFont="1">
      <alignment vertical="center"/>
    </xf>
    <xf borderId="267" fillId="62" fontId="86" numFmtId="0" xfId="0" applyAlignment="1" applyBorder="1" applyFont="1">
      <alignment horizontal="center" readingOrder="0" vertical="bottom"/>
    </xf>
    <xf borderId="258" fillId="62" fontId="84" numFmtId="0" xfId="0" applyAlignment="1" applyBorder="1" applyFont="1">
      <alignment vertical="center"/>
    </xf>
    <xf borderId="259" fillId="62" fontId="87" numFmtId="164" xfId="0" applyAlignment="1" applyBorder="1" applyFont="1" applyNumberFormat="1">
      <alignment horizontal="center" readingOrder="0" vertical="center"/>
    </xf>
    <xf borderId="267" fillId="62" fontId="131" numFmtId="0" xfId="0" applyAlignment="1" applyBorder="1" applyFont="1">
      <alignment horizontal="center"/>
    </xf>
    <xf borderId="259" fillId="62" fontId="130" numFmtId="0" xfId="0" applyAlignment="1" applyBorder="1" applyFont="1">
      <alignment horizontal="center" readingOrder="0" shrinkToFit="0" vertical="center" wrapText="0"/>
    </xf>
    <xf borderId="258" fillId="62" fontId="131" numFmtId="0" xfId="0" applyAlignment="1" applyBorder="1" applyFont="1">
      <alignment horizontal="center"/>
    </xf>
    <xf borderId="27" fillId="11" fontId="40" numFmtId="49" xfId="0" applyAlignment="1" applyBorder="1" applyFont="1" applyNumberFormat="1">
      <alignment horizontal="center" readingOrder="0" shrinkToFit="0" vertical="center" wrapText="0"/>
    </xf>
    <xf borderId="38" fillId="10" fontId="40" numFmtId="0" xfId="0" applyAlignment="1" applyBorder="1" applyFont="1">
      <alignment readingOrder="0" shrinkToFit="0" vertical="top" wrapText="1"/>
    </xf>
    <xf borderId="29" fillId="27" fontId="40" numFmtId="49" xfId="0" applyAlignment="1" applyBorder="1" applyFont="1" applyNumberFormat="1">
      <alignment vertical="center"/>
    </xf>
    <xf borderId="29" fillId="27" fontId="40" numFmtId="0" xfId="0" applyAlignment="1" applyBorder="1" applyFont="1">
      <alignment vertical="center"/>
    </xf>
    <xf borderId="34" fillId="24" fontId="40" numFmtId="0" xfId="0" applyAlignment="1" applyBorder="1" applyFont="1">
      <alignment readingOrder="0" shrinkToFit="0" vertical="center" wrapText="0"/>
    </xf>
    <xf borderId="27" fillId="11" fontId="40" numFmtId="49" xfId="0" applyAlignment="1" applyBorder="1" applyFont="1" applyNumberFormat="1">
      <alignment horizontal="center" shrinkToFit="0" vertical="center" wrapText="0"/>
    </xf>
    <xf borderId="36" fillId="24" fontId="40" numFmtId="0" xfId="0" applyAlignment="1" applyBorder="1" applyFont="1">
      <alignment shrinkToFit="0" vertical="center" wrapText="0"/>
    </xf>
    <xf borderId="29" fillId="25" fontId="40" numFmtId="49" xfId="0" applyAlignment="1" applyBorder="1" applyFont="1" applyNumberFormat="1">
      <alignment shrinkToFit="0" vertical="center" wrapText="0"/>
    </xf>
    <xf borderId="30" fillId="28" fontId="17" numFmtId="49" xfId="0" applyAlignment="1" applyBorder="1" applyFont="1" applyNumberFormat="1">
      <alignment horizontal="left" readingOrder="0" shrinkToFit="0" vertical="center" wrapText="1"/>
    </xf>
    <xf borderId="30" fillId="0" fontId="41" numFmtId="0" xfId="0" applyAlignment="1" applyBorder="1" applyFont="1">
      <alignment horizontal="left" readingOrder="0" shrinkToFit="0" vertical="center" wrapText="0"/>
    </xf>
    <xf borderId="26" fillId="0" fontId="41" numFmtId="0" xfId="0" applyAlignment="1" applyBorder="1" applyFont="1">
      <alignment horizontal="left" shrinkToFit="0" vertical="top" wrapText="1"/>
    </xf>
    <xf borderId="269" fillId="63" fontId="132" numFmtId="0" xfId="0" applyAlignment="1" applyBorder="1" applyFill="1" applyFont="1">
      <alignment horizontal="left" readingOrder="0" shrinkToFit="0" vertical="center" wrapText="0"/>
    </xf>
    <xf borderId="269" fillId="63" fontId="133" numFmtId="0" xfId="0" applyAlignment="1" applyBorder="1" applyFont="1">
      <alignment horizontal="center" readingOrder="0" shrinkToFit="0" vertical="center" wrapText="0"/>
    </xf>
    <xf borderId="270" fillId="63" fontId="133" numFmtId="0" xfId="0" applyAlignment="1" applyBorder="1" applyFont="1">
      <alignment horizontal="left" readingOrder="0" shrinkToFit="0" vertical="center" wrapText="0"/>
    </xf>
    <xf borderId="271" fillId="0" fontId="2" numFmtId="0" xfId="0" applyBorder="1" applyFont="1"/>
    <xf borderId="272" fillId="0" fontId="2" numFmtId="0" xfId="0" applyBorder="1" applyFont="1"/>
    <xf borderId="270" fillId="63" fontId="57" numFmtId="0" xfId="0" applyAlignment="1" applyBorder="1" applyFont="1">
      <alignment horizontal="center" readingOrder="0" shrinkToFit="0" vertical="center" wrapText="0"/>
    </xf>
    <xf borderId="270" fillId="63" fontId="57" numFmtId="0" xfId="0" applyAlignment="1" applyBorder="1" applyFont="1">
      <alignment horizontal="left" readingOrder="0" vertical="center"/>
    </xf>
    <xf borderId="269" fillId="63" fontId="134" numFmtId="0" xfId="0" applyAlignment="1" applyBorder="1" applyFont="1">
      <alignment vertical="center"/>
    </xf>
    <xf borderId="269" fillId="63" fontId="132" numFmtId="0" xfId="0" applyAlignment="1" applyBorder="1" applyFont="1">
      <alignment readingOrder="0" shrinkToFit="0" vertical="center" wrapText="0"/>
    </xf>
    <xf borderId="269" fillId="63" fontId="132" numFmtId="49" xfId="0" applyAlignment="1" applyBorder="1" applyFont="1" applyNumberFormat="1">
      <alignment horizontal="left" readingOrder="0" shrinkToFit="0" vertical="center" wrapText="0"/>
    </xf>
    <xf borderId="273" fillId="0" fontId="2" numFmtId="0" xfId="0" applyBorder="1" applyFont="1"/>
    <xf borderId="274" fillId="0" fontId="2" numFmtId="0" xfId="0" applyBorder="1" applyFont="1"/>
    <xf borderId="275" fillId="0" fontId="2" numFmtId="0" xfId="0" applyBorder="1" applyFont="1"/>
    <xf borderId="276" fillId="0" fontId="2" numFmtId="0" xfId="0" applyBorder="1" applyFont="1"/>
    <xf borderId="277" fillId="0" fontId="2" numFmtId="0" xfId="0" applyBorder="1" applyFont="1"/>
    <xf borderId="269" fillId="63" fontId="57" numFmtId="0" xfId="0" applyAlignment="1" applyBorder="1" applyFont="1">
      <alignment horizontal="center" readingOrder="0" shrinkToFit="0" vertical="center" wrapText="0"/>
    </xf>
    <xf borderId="269" fillId="63" fontId="57" numFmtId="0" xfId="0" applyAlignment="1" applyBorder="1" applyFont="1">
      <alignment horizontal="left" readingOrder="0" vertical="center"/>
    </xf>
    <xf borderId="269" fillId="63" fontId="134" numFmtId="0" xfId="0" applyBorder="1" applyFont="1"/>
    <xf borderId="278" fillId="63" fontId="59" numFmtId="0" xfId="0" applyAlignment="1" applyBorder="1" applyFont="1">
      <alignment horizontal="center" vertical="bottom"/>
    </xf>
    <xf borderId="279" fillId="0" fontId="2" numFmtId="0" xfId="0" applyBorder="1" applyFont="1"/>
    <xf borderId="269" fillId="63" fontId="59" numFmtId="0" xfId="0" applyBorder="1" applyFont="1"/>
    <xf borderId="269" fillId="63" fontId="60" numFmtId="0" xfId="0" applyAlignment="1" applyBorder="1" applyFont="1">
      <alignment readingOrder="0" shrinkToFit="0" vertical="center" wrapText="0"/>
    </xf>
    <xf borderId="269" fillId="63" fontId="59" numFmtId="0" xfId="0" applyAlignment="1" applyBorder="1" applyFont="1">
      <alignment vertical="center"/>
    </xf>
    <xf borderId="278" fillId="63" fontId="61" numFmtId="0" xfId="0" applyAlignment="1" applyBorder="1" applyFont="1">
      <alignment horizontal="center" readingOrder="0" vertical="bottom"/>
    </xf>
    <xf borderId="269" fillId="63" fontId="59" numFmtId="0" xfId="0" applyAlignment="1" applyBorder="1" applyFont="1">
      <alignment vertical="center"/>
    </xf>
    <xf borderId="270" fillId="63" fontId="62" numFmtId="164" xfId="0" applyAlignment="1" applyBorder="1" applyFont="1" applyNumberFormat="1">
      <alignment horizontal="center" readingOrder="0" vertical="center"/>
    </xf>
    <xf borderId="278" fillId="63" fontId="133" numFmtId="0" xfId="0" applyAlignment="1" applyBorder="1" applyFont="1">
      <alignment horizontal="center" readingOrder="0" shrinkToFit="0" vertical="center" wrapText="0"/>
    </xf>
    <xf borderId="278" fillId="63" fontId="134" numFmtId="0" xfId="0" applyAlignment="1" applyBorder="1" applyFont="1">
      <alignment horizontal="center"/>
    </xf>
    <xf borderId="280" fillId="0" fontId="2" numFmtId="0" xfId="0" applyBorder="1" applyFont="1"/>
    <xf borderId="269" fillId="63" fontId="134" numFmtId="0" xfId="0" applyAlignment="1" applyBorder="1" applyFont="1">
      <alignment horizontal="center"/>
    </xf>
    <xf borderId="35" fillId="0" fontId="41" numFmtId="0" xfId="0" applyAlignment="1" applyBorder="1" applyFont="1">
      <alignment horizontal="center" readingOrder="0" shrinkToFit="0" vertical="center" wrapText="0"/>
    </xf>
    <xf borderId="36" fillId="24" fontId="41" numFmtId="0" xfId="0" applyAlignment="1" applyBorder="1" applyFont="1">
      <alignment readingOrder="0" shrinkToFit="0" vertical="center" wrapText="0"/>
    </xf>
    <xf borderId="281" fillId="64" fontId="135" numFmtId="0" xfId="0" applyAlignment="1" applyBorder="1" applyFill="1" applyFont="1">
      <alignment horizontal="left" readingOrder="0" shrinkToFit="0" vertical="center" wrapText="0"/>
    </xf>
    <xf borderId="281" fillId="64" fontId="136" numFmtId="0" xfId="0" applyAlignment="1" applyBorder="1" applyFont="1">
      <alignment horizontal="center" readingOrder="0" shrinkToFit="0" vertical="center" wrapText="0"/>
    </xf>
    <xf borderId="282" fillId="64" fontId="136" numFmtId="0" xfId="0" applyAlignment="1" applyBorder="1" applyFont="1">
      <alignment horizontal="left" readingOrder="0" shrinkToFit="0" vertical="center" wrapText="0"/>
    </xf>
    <xf borderId="283" fillId="0" fontId="2" numFmtId="0" xfId="0" applyBorder="1" applyFont="1"/>
    <xf borderId="284" fillId="0" fontId="2" numFmtId="0" xfId="0" applyBorder="1" applyFont="1"/>
    <xf borderId="282" fillId="64" fontId="65" numFmtId="0" xfId="0" applyAlignment="1" applyBorder="1" applyFont="1">
      <alignment horizontal="center" readingOrder="0" shrinkToFit="0" vertical="center" wrapText="0"/>
    </xf>
    <xf borderId="282" fillId="64" fontId="65" numFmtId="0" xfId="0" applyAlignment="1" applyBorder="1" applyFont="1">
      <alignment horizontal="left" readingOrder="0" vertical="center"/>
    </xf>
    <xf borderId="281" fillId="64" fontId="137" numFmtId="0" xfId="0" applyAlignment="1" applyBorder="1" applyFont="1">
      <alignment vertical="center"/>
    </xf>
    <xf borderId="281" fillId="64" fontId="135" numFmtId="0" xfId="0" applyAlignment="1" applyBorder="1" applyFont="1">
      <alignment readingOrder="0" shrinkToFit="0" vertical="center" wrapText="0"/>
    </xf>
    <xf borderId="281" fillId="64" fontId="135" numFmtId="49" xfId="0" applyAlignment="1" applyBorder="1" applyFont="1" applyNumberFormat="1">
      <alignment horizontal="left" readingOrder="0" shrinkToFit="0" vertical="center" wrapText="0"/>
    </xf>
    <xf borderId="285" fillId="0" fontId="2" numFmtId="0" xfId="0" applyBorder="1" applyFont="1"/>
    <xf borderId="286" fillId="0" fontId="2" numFmtId="0" xfId="0" applyBorder="1" applyFont="1"/>
    <xf borderId="287" fillId="0" fontId="2" numFmtId="0" xfId="0" applyBorder="1" applyFont="1"/>
    <xf borderId="288" fillId="0" fontId="2" numFmtId="0" xfId="0" applyBorder="1" applyFont="1"/>
    <xf borderId="289" fillId="0" fontId="2" numFmtId="0" xfId="0" applyBorder="1" applyFont="1"/>
    <xf borderId="281" fillId="64" fontId="65" numFmtId="0" xfId="0" applyAlignment="1" applyBorder="1" applyFont="1">
      <alignment horizontal="center" readingOrder="0" shrinkToFit="0" vertical="center" wrapText="0"/>
    </xf>
    <xf borderId="281" fillId="64" fontId="65" numFmtId="0" xfId="0" applyAlignment="1" applyBorder="1" applyFont="1">
      <alignment horizontal="left" readingOrder="0" vertical="center"/>
    </xf>
    <xf borderId="281" fillId="64" fontId="137" numFmtId="0" xfId="0" applyBorder="1" applyFont="1"/>
    <xf borderId="290" fillId="64" fontId="67" numFmtId="0" xfId="0" applyAlignment="1" applyBorder="1" applyFont="1">
      <alignment horizontal="center" vertical="bottom"/>
    </xf>
    <xf borderId="291" fillId="0" fontId="2" numFmtId="0" xfId="0" applyBorder="1" applyFont="1"/>
    <xf borderId="281" fillId="64" fontId="67" numFmtId="0" xfId="0" applyBorder="1" applyFont="1"/>
    <xf borderId="281" fillId="64" fontId="68" numFmtId="0" xfId="0" applyAlignment="1" applyBorder="1" applyFont="1">
      <alignment readingOrder="0" shrinkToFit="0" vertical="center" wrapText="0"/>
    </xf>
    <xf borderId="281" fillId="64" fontId="67" numFmtId="0" xfId="0" applyAlignment="1" applyBorder="1" applyFont="1">
      <alignment vertical="center"/>
    </xf>
    <xf borderId="290" fillId="64" fontId="69" numFmtId="0" xfId="0" applyAlignment="1" applyBorder="1" applyFont="1">
      <alignment horizontal="center" readingOrder="0" vertical="bottom"/>
    </xf>
    <xf borderId="281" fillId="64" fontId="67" numFmtId="0" xfId="0" applyAlignment="1" applyBorder="1" applyFont="1">
      <alignment vertical="center"/>
    </xf>
    <xf borderId="282" fillId="64" fontId="70" numFmtId="164" xfId="0" applyAlignment="1" applyBorder="1" applyFont="1" applyNumberFormat="1">
      <alignment horizontal="center" readingOrder="0" vertical="center"/>
    </xf>
    <xf borderId="290" fillId="64" fontId="137" numFmtId="0" xfId="0" applyAlignment="1" applyBorder="1" applyFont="1">
      <alignment horizontal="center"/>
    </xf>
    <xf borderId="282" fillId="64" fontId="136" numFmtId="0" xfId="0" applyAlignment="1" applyBorder="1" applyFont="1">
      <alignment horizontal="center" readingOrder="0" shrinkToFit="0" vertical="center" wrapText="0"/>
    </xf>
    <xf borderId="281" fillId="64" fontId="137" numFmtId="0" xfId="0" applyAlignment="1" applyBorder="1" applyFont="1">
      <alignment horizontal="center"/>
    </xf>
    <xf borderId="30" fillId="11" fontId="49" numFmtId="0" xfId="0" applyAlignment="1" applyBorder="1" applyFont="1">
      <alignment horizontal="left" readingOrder="0" shrinkToFit="0" vertical="top" wrapText="0"/>
    </xf>
    <xf borderId="30" fillId="11" fontId="41" numFmtId="0" xfId="0" applyAlignment="1" applyBorder="1" applyFont="1">
      <alignment horizontal="left" readingOrder="0" shrinkToFit="0" vertical="top" wrapText="0"/>
    </xf>
    <xf borderId="36" fillId="0" fontId="41" numFmtId="0" xfId="0" applyAlignment="1" applyBorder="1" applyFont="1">
      <alignment horizontal="left" readingOrder="0" shrinkToFit="0" vertical="center" wrapText="0"/>
    </xf>
    <xf borderId="33" fillId="0" fontId="41" numFmtId="0" xfId="0" applyAlignment="1" applyBorder="1" applyFont="1">
      <alignment horizontal="left" readingOrder="0" shrinkToFit="0" vertical="center" wrapText="0"/>
    </xf>
    <xf quotePrefix="1" borderId="33" fillId="43" fontId="41" numFmtId="0" xfId="0" applyAlignment="1" applyBorder="1" applyFont="1">
      <alignment horizontal="center" readingOrder="0" shrinkToFit="0" vertical="center" wrapText="0"/>
    </xf>
    <xf borderId="292" fillId="65" fontId="138" numFmtId="0" xfId="0" applyAlignment="1" applyBorder="1" applyFill="1" applyFont="1">
      <alignment horizontal="left" readingOrder="0" shrinkToFit="0" vertical="center" wrapText="0"/>
    </xf>
    <xf borderId="292" fillId="65" fontId="139" numFmtId="0" xfId="0" applyAlignment="1" applyBorder="1" applyFont="1">
      <alignment horizontal="center" readingOrder="0" shrinkToFit="0" vertical="center" wrapText="0"/>
    </xf>
    <xf borderId="293" fillId="65" fontId="139" numFmtId="0" xfId="0" applyAlignment="1" applyBorder="1" applyFont="1">
      <alignment horizontal="left" readingOrder="0" shrinkToFit="0" vertical="center" wrapText="0"/>
    </xf>
    <xf borderId="294" fillId="0" fontId="2" numFmtId="0" xfId="0" applyBorder="1" applyFont="1"/>
    <xf borderId="295" fillId="0" fontId="2" numFmtId="0" xfId="0" applyBorder="1" applyFont="1"/>
    <xf borderId="293" fillId="65" fontId="65" numFmtId="0" xfId="0" applyAlignment="1" applyBorder="1" applyFont="1">
      <alignment horizontal="center" readingOrder="0" shrinkToFit="0" vertical="center" wrapText="0"/>
    </xf>
    <xf borderId="293" fillId="65" fontId="65" numFmtId="0" xfId="0" applyAlignment="1" applyBorder="1" applyFont="1">
      <alignment horizontal="left" readingOrder="0" vertical="center"/>
    </xf>
    <xf borderId="292" fillId="65" fontId="140" numFmtId="0" xfId="0" applyAlignment="1" applyBorder="1" applyFont="1">
      <alignment vertical="center"/>
    </xf>
    <xf borderId="292" fillId="65" fontId="138" numFmtId="0" xfId="0" applyAlignment="1" applyBorder="1" applyFont="1">
      <alignment readingOrder="0" shrinkToFit="0" vertical="center" wrapText="0"/>
    </xf>
    <xf borderId="292" fillId="65" fontId="138" numFmtId="49" xfId="0" applyAlignment="1" applyBorder="1" applyFont="1" applyNumberFormat="1">
      <alignment horizontal="left" readingOrder="0" shrinkToFit="0" vertical="center" wrapText="0"/>
    </xf>
    <xf borderId="296" fillId="0" fontId="2" numFmtId="0" xfId="0" applyBorder="1" applyFont="1"/>
    <xf borderId="297" fillId="0" fontId="2" numFmtId="0" xfId="0" applyBorder="1" applyFont="1"/>
    <xf borderId="298" fillId="0" fontId="2" numFmtId="0" xfId="0" applyBorder="1" applyFont="1"/>
    <xf borderId="299" fillId="0" fontId="2" numFmtId="0" xfId="0" applyBorder="1" applyFont="1"/>
    <xf borderId="300" fillId="0" fontId="2" numFmtId="0" xfId="0" applyBorder="1" applyFont="1"/>
    <xf borderId="292" fillId="65" fontId="65" numFmtId="0" xfId="0" applyAlignment="1" applyBorder="1" applyFont="1">
      <alignment horizontal="center" readingOrder="0" shrinkToFit="0" vertical="center" wrapText="0"/>
    </xf>
    <xf borderId="292" fillId="65" fontId="65" numFmtId="0" xfId="0" applyAlignment="1" applyBorder="1" applyFont="1">
      <alignment horizontal="left" readingOrder="0" vertical="center"/>
    </xf>
    <xf borderId="292" fillId="65" fontId="140" numFmtId="0" xfId="0" applyBorder="1" applyFont="1"/>
    <xf borderId="301" fillId="65" fontId="67" numFmtId="0" xfId="0" applyAlignment="1" applyBorder="1" applyFont="1">
      <alignment horizontal="center" vertical="bottom"/>
    </xf>
    <xf borderId="302" fillId="0" fontId="2" numFmtId="0" xfId="0" applyBorder="1" applyFont="1"/>
    <xf borderId="292" fillId="65" fontId="67" numFmtId="0" xfId="0" applyBorder="1" applyFont="1"/>
    <xf borderId="292" fillId="65" fontId="68" numFmtId="0" xfId="0" applyAlignment="1" applyBorder="1" applyFont="1">
      <alignment readingOrder="0" shrinkToFit="0" vertical="center" wrapText="0"/>
    </xf>
    <xf borderId="292" fillId="65" fontId="67" numFmtId="0" xfId="0" applyAlignment="1" applyBorder="1" applyFont="1">
      <alignment vertical="center"/>
    </xf>
    <xf borderId="301" fillId="65" fontId="69" numFmtId="0" xfId="0" applyAlignment="1" applyBorder="1" applyFont="1">
      <alignment horizontal="center" readingOrder="0" vertical="bottom"/>
    </xf>
    <xf borderId="292" fillId="65" fontId="67" numFmtId="0" xfId="0" applyAlignment="1" applyBorder="1" applyFont="1">
      <alignment vertical="center"/>
    </xf>
    <xf borderId="293" fillId="65" fontId="70" numFmtId="164" xfId="0" applyAlignment="1" applyBorder="1" applyFont="1" applyNumberFormat="1">
      <alignment horizontal="center" readingOrder="0" vertical="center"/>
    </xf>
    <xf borderId="301" fillId="65" fontId="140" numFmtId="0" xfId="0" applyAlignment="1" applyBorder="1" applyFont="1">
      <alignment horizontal="center"/>
    </xf>
    <xf borderId="293" fillId="65" fontId="139" numFmtId="0" xfId="0" applyAlignment="1" applyBorder="1" applyFont="1">
      <alignment horizontal="center" readingOrder="0" shrinkToFit="0" vertical="center" wrapText="0"/>
    </xf>
    <xf borderId="292" fillId="65" fontId="140" numFmtId="0" xfId="0" applyAlignment="1" applyBorder="1" applyFont="1">
      <alignment horizontal="center"/>
    </xf>
    <xf borderId="303" fillId="66" fontId="141" numFmtId="0" xfId="0" applyAlignment="1" applyBorder="1" applyFill="1" applyFont="1">
      <alignment horizontal="left" readingOrder="0" shrinkToFit="0" vertical="center" wrapText="0"/>
    </xf>
    <xf borderId="303" fillId="66" fontId="142" numFmtId="0" xfId="0" applyAlignment="1" applyBorder="1" applyFont="1">
      <alignment horizontal="center" readingOrder="0" shrinkToFit="0" vertical="center" wrapText="0"/>
    </xf>
    <xf borderId="304" fillId="66" fontId="142" numFmtId="0" xfId="0" applyAlignment="1" applyBorder="1" applyFont="1">
      <alignment horizontal="left" readingOrder="0" shrinkToFit="0" vertical="center" wrapText="0"/>
    </xf>
    <xf borderId="305" fillId="0" fontId="2" numFmtId="0" xfId="0" applyBorder="1" applyFont="1"/>
    <xf borderId="306" fillId="0" fontId="2" numFmtId="0" xfId="0" applyBorder="1" applyFont="1"/>
    <xf borderId="304" fillId="66" fontId="31" numFmtId="0" xfId="0" applyAlignment="1" applyBorder="1" applyFont="1">
      <alignment horizontal="center" readingOrder="0" shrinkToFit="0" vertical="center" wrapText="0"/>
    </xf>
    <xf borderId="304" fillId="66" fontId="31" numFmtId="0" xfId="0" applyAlignment="1" applyBorder="1" applyFont="1">
      <alignment horizontal="left" readingOrder="0" vertical="center"/>
    </xf>
    <xf borderId="303" fillId="66" fontId="143" numFmtId="0" xfId="0" applyAlignment="1" applyBorder="1" applyFont="1">
      <alignment vertical="center"/>
    </xf>
    <xf borderId="303" fillId="66" fontId="141" numFmtId="0" xfId="0" applyAlignment="1" applyBorder="1" applyFont="1">
      <alignment readingOrder="0" shrinkToFit="0" vertical="center" wrapText="0"/>
    </xf>
    <xf borderId="303" fillId="66" fontId="141" numFmtId="49" xfId="0" applyAlignment="1" applyBorder="1" applyFont="1" applyNumberFormat="1">
      <alignment horizontal="left" readingOrder="0" shrinkToFit="0" vertical="center" wrapText="0"/>
    </xf>
    <xf borderId="307" fillId="0" fontId="2" numFmtId="0" xfId="0" applyBorder="1" applyFont="1"/>
    <xf borderId="308" fillId="0" fontId="2" numFmtId="0" xfId="0" applyBorder="1" applyFont="1"/>
    <xf borderId="309" fillId="0" fontId="2" numFmtId="0" xfId="0" applyBorder="1" applyFont="1"/>
    <xf borderId="310" fillId="0" fontId="2" numFmtId="0" xfId="0" applyBorder="1" applyFont="1"/>
    <xf borderId="311" fillId="0" fontId="2" numFmtId="0" xfId="0" applyBorder="1" applyFont="1"/>
    <xf borderId="303" fillId="66" fontId="31" numFmtId="0" xfId="0" applyAlignment="1" applyBorder="1" applyFont="1">
      <alignment horizontal="center" readingOrder="0" shrinkToFit="0" vertical="center" wrapText="0"/>
    </xf>
    <xf borderId="303" fillId="66" fontId="31" numFmtId="0" xfId="0" applyAlignment="1" applyBorder="1" applyFont="1">
      <alignment horizontal="left" readingOrder="0" vertical="center"/>
    </xf>
    <xf borderId="303" fillId="66" fontId="143" numFmtId="0" xfId="0" applyBorder="1" applyFont="1"/>
    <xf borderId="312" fillId="66" fontId="33" numFmtId="0" xfId="0" applyAlignment="1" applyBorder="1" applyFont="1">
      <alignment horizontal="center" vertical="bottom"/>
    </xf>
    <xf borderId="313" fillId="0" fontId="2" numFmtId="0" xfId="0" applyBorder="1" applyFont="1"/>
    <xf borderId="303" fillId="66" fontId="33" numFmtId="0" xfId="0" applyBorder="1" applyFont="1"/>
    <xf borderId="303" fillId="66" fontId="34" numFmtId="0" xfId="0" applyAlignment="1" applyBorder="1" applyFont="1">
      <alignment readingOrder="0" shrinkToFit="0" vertical="center" wrapText="0"/>
    </xf>
    <xf borderId="303" fillId="66" fontId="33" numFmtId="0" xfId="0" applyAlignment="1" applyBorder="1" applyFont="1">
      <alignment vertical="center"/>
    </xf>
    <xf borderId="312" fillId="66" fontId="35" numFmtId="0" xfId="0" applyAlignment="1" applyBorder="1" applyFont="1">
      <alignment horizontal="center" readingOrder="0" vertical="bottom"/>
    </xf>
    <xf borderId="303" fillId="66" fontId="33" numFmtId="0" xfId="0" applyAlignment="1" applyBorder="1" applyFont="1">
      <alignment vertical="center"/>
    </xf>
    <xf borderId="304" fillId="66" fontId="36" numFmtId="164" xfId="0" applyAlignment="1" applyBorder="1" applyFont="1" applyNumberFormat="1">
      <alignment horizontal="center" readingOrder="0" vertical="center"/>
    </xf>
    <xf borderId="312" fillId="66" fontId="143" numFmtId="0" xfId="0" applyAlignment="1" applyBorder="1" applyFont="1">
      <alignment horizontal="center"/>
    </xf>
    <xf borderId="304" fillId="66" fontId="142" numFmtId="0" xfId="0" applyAlignment="1" applyBorder="1" applyFont="1">
      <alignment horizontal="center" readingOrder="0" shrinkToFit="0" vertical="center" wrapText="0"/>
    </xf>
    <xf borderId="303" fillId="66" fontId="143" numFmtId="0" xfId="0" applyAlignment="1" applyBorder="1" applyFont="1">
      <alignment horizontal="center"/>
    </xf>
    <xf borderId="35" fillId="27" fontId="41" numFmtId="49" xfId="0" applyAlignment="1" applyBorder="1" applyFont="1" applyNumberFormat="1">
      <alignment horizontal="center" readingOrder="0" shrinkToFit="0" vertical="center" wrapText="0"/>
    </xf>
    <xf borderId="314" fillId="67" fontId="144" numFmtId="0" xfId="0" applyAlignment="1" applyBorder="1" applyFill="1" applyFont="1">
      <alignment horizontal="left" readingOrder="0" shrinkToFit="0" vertical="center" wrapText="0"/>
    </xf>
    <xf borderId="314" fillId="67" fontId="145" numFmtId="0" xfId="0" applyAlignment="1" applyBorder="1" applyFont="1">
      <alignment horizontal="center" readingOrder="0" shrinkToFit="0" vertical="center" wrapText="0"/>
    </xf>
    <xf borderId="315" fillId="67" fontId="145" numFmtId="0" xfId="0" applyAlignment="1" applyBorder="1" applyFont="1">
      <alignment horizontal="left" readingOrder="0" shrinkToFit="0" vertical="center" wrapText="0"/>
    </xf>
    <xf borderId="316" fillId="0" fontId="2" numFmtId="0" xfId="0" applyBorder="1" applyFont="1"/>
    <xf borderId="317" fillId="0" fontId="2" numFmtId="0" xfId="0" applyBorder="1" applyFont="1"/>
    <xf borderId="315" fillId="67" fontId="57" numFmtId="0" xfId="0" applyAlignment="1" applyBorder="1" applyFont="1">
      <alignment horizontal="center" readingOrder="0" shrinkToFit="0" vertical="center" wrapText="0"/>
    </xf>
    <xf borderId="315" fillId="67" fontId="57" numFmtId="0" xfId="0" applyAlignment="1" applyBorder="1" applyFont="1">
      <alignment horizontal="left" readingOrder="0" vertical="center"/>
    </xf>
    <xf borderId="314" fillId="67" fontId="146" numFmtId="0" xfId="0" applyAlignment="1" applyBorder="1" applyFont="1">
      <alignment vertical="center"/>
    </xf>
    <xf borderId="314" fillId="67" fontId="144" numFmtId="0" xfId="0" applyAlignment="1" applyBorder="1" applyFont="1">
      <alignment readingOrder="0" shrinkToFit="0" vertical="center" wrapText="0"/>
    </xf>
    <xf borderId="314" fillId="67" fontId="144" numFmtId="49" xfId="0" applyAlignment="1" applyBorder="1" applyFont="1" applyNumberFormat="1">
      <alignment horizontal="left" readingOrder="0" shrinkToFit="0" vertical="center" wrapText="0"/>
    </xf>
    <xf borderId="318" fillId="0" fontId="2" numFmtId="0" xfId="0" applyBorder="1" applyFont="1"/>
    <xf borderId="319" fillId="0" fontId="2" numFmtId="0" xfId="0" applyBorder="1" applyFont="1"/>
    <xf borderId="320" fillId="0" fontId="2" numFmtId="0" xfId="0" applyBorder="1" applyFont="1"/>
    <xf borderId="321" fillId="0" fontId="2" numFmtId="0" xfId="0" applyBorder="1" applyFont="1"/>
    <xf borderId="322" fillId="0" fontId="2" numFmtId="0" xfId="0" applyBorder="1" applyFont="1"/>
    <xf borderId="314" fillId="67" fontId="57" numFmtId="0" xfId="0" applyAlignment="1" applyBorder="1" applyFont="1">
      <alignment horizontal="center" readingOrder="0" shrinkToFit="0" vertical="center" wrapText="0"/>
    </xf>
    <xf borderId="314" fillId="67" fontId="57" numFmtId="0" xfId="0" applyAlignment="1" applyBorder="1" applyFont="1">
      <alignment horizontal="left" readingOrder="0" vertical="center"/>
    </xf>
    <xf borderId="314" fillId="67" fontId="146" numFmtId="0" xfId="0" applyBorder="1" applyFont="1"/>
    <xf borderId="323" fillId="67" fontId="59" numFmtId="0" xfId="0" applyAlignment="1" applyBorder="1" applyFont="1">
      <alignment horizontal="center" vertical="bottom"/>
    </xf>
    <xf borderId="324" fillId="0" fontId="2" numFmtId="0" xfId="0" applyBorder="1" applyFont="1"/>
    <xf borderId="314" fillId="67" fontId="59" numFmtId="0" xfId="0" applyBorder="1" applyFont="1"/>
    <xf borderId="314" fillId="67" fontId="60" numFmtId="0" xfId="0" applyAlignment="1" applyBorder="1" applyFont="1">
      <alignment readingOrder="0" shrinkToFit="0" vertical="center" wrapText="0"/>
    </xf>
    <xf borderId="314" fillId="67" fontId="59" numFmtId="0" xfId="0" applyAlignment="1" applyBorder="1" applyFont="1">
      <alignment vertical="center"/>
    </xf>
    <xf borderId="323" fillId="67" fontId="61" numFmtId="0" xfId="0" applyAlignment="1" applyBorder="1" applyFont="1">
      <alignment horizontal="center" readingOrder="0" vertical="bottom"/>
    </xf>
    <xf borderId="314" fillId="67" fontId="59" numFmtId="0" xfId="0" applyAlignment="1" applyBorder="1" applyFont="1">
      <alignment vertical="center"/>
    </xf>
    <xf borderId="315" fillId="67" fontId="62" numFmtId="164" xfId="0" applyAlignment="1" applyBorder="1" applyFont="1" applyNumberFormat="1">
      <alignment horizontal="center" readingOrder="0" vertical="center"/>
    </xf>
    <xf borderId="323" fillId="67" fontId="146" numFmtId="0" xfId="0" applyAlignment="1" applyBorder="1" applyFont="1">
      <alignment horizontal="center"/>
    </xf>
    <xf borderId="315" fillId="67" fontId="145" numFmtId="0" xfId="0" applyAlignment="1" applyBorder="1" applyFont="1">
      <alignment horizontal="center" readingOrder="0" shrinkToFit="0" vertical="center" wrapText="0"/>
    </xf>
    <xf borderId="314" fillId="67" fontId="146" numFmtId="0" xfId="0" applyAlignment="1" applyBorder="1" applyFont="1">
      <alignment horizontal="center"/>
    </xf>
    <xf borderId="35" fillId="0" fontId="0" numFmtId="49" xfId="0" applyAlignment="1" applyBorder="1" applyFont="1" applyNumberFormat="1">
      <alignment horizontal="center" readingOrder="0" shrinkToFit="0" vertical="center" wrapText="0"/>
    </xf>
    <xf borderId="36" fillId="24" fontId="41" numFmtId="0" xfId="0" applyAlignment="1" applyBorder="1" applyFont="1">
      <alignment shrinkToFit="0" vertical="center" wrapText="0"/>
    </xf>
    <xf borderId="325" fillId="68" fontId="147" numFmtId="0" xfId="0" applyAlignment="1" applyBorder="1" applyFill="1" applyFont="1">
      <alignment horizontal="left" readingOrder="0" shrinkToFit="0" vertical="center" wrapText="0"/>
    </xf>
    <xf borderId="325" fillId="68" fontId="148" numFmtId="0" xfId="0" applyAlignment="1" applyBorder="1" applyFont="1">
      <alignment horizontal="center" readingOrder="0" shrinkToFit="0" vertical="center" wrapText="0"/>
    </xf>
    <xf borderId="326" fillId="68" fontId="148" numFmtId="0" xfId="0" applyAlignment="1" applyBorder="1" applyFont="1">
      <alignment horizontal="left" readingOrder="0" shrinkToFit="0" vertical="center" wrapText="0"/>
    </xf>
    <xf borderId="327" fillId="0" fontId="2" numFmtId="0" xfId="0" applyBorder="1" applyFont="1"/>
    <xf borderId="328" fillId="0" fontId="2" numFmtId="0" xfId="0" applyBorder="1" applyFont="1"/>
    <xf borderId="326" fillId="68" fontId="57" numFmtId="0" xfId="0" applyAlignment="1" applyBorder="1" applyFont="1">
      <alignment horizontal="center" readingOrder="0" shrinkToFit="0" vertical="center" wrapText="0"/>
    </xf>
    <xf borderId="326" fillId="68" fontId="57" numFmtId="0" xfId="0" applyAlignment="1" applyBorder="1" applyFont="1">
      <alignment horizontal="left" readingOrder="0" vertical="center"/>
    </xf>
    <xf borderId="325" fillId="68" fontId="149" numFmtId="0" xfId="0" applyAlignment="1" applyBorder="1" applyFont="1">
      <alignment vertical="center"/>
    </xf>
    <xf borderId="325" fillId="68" fontId="147" numFmtId="0" xfId="0" applyAlignment="1" applyBorder="1" applyFont="1">
      <alignment readingOrder="0" shrinkToFit="0" vertical="center" wrapText="0"/>
    </xf>
    <xf borderId="325" fillId="68" fontId="147" numFmtId="49" xfId="0" applyAlignment="1" applyBorder="1" applyFont="1" applyNumberFormat="1">
      <alignment horizontal="left" readingOrder="0" shrinkToFit="0" vertical="center" wrapText="0"/>
    </xf>
    <xf borderId="329" fillId="0" fontId="2" numFmtId="0" xfId="0" applyBorder="1" applyFont="1"/>
    <xf borderId="330" fillId="0" fontId="2" numFmtId="0" xfId="0" applyBorder="1" applyFont="1"/>
    <xf borderId="331" fillId="0" fontId="2" numFmtId="0" xfId="0" applyBorder="1" applyFont="1"/>
    <xf borderId="332" fillId="0" fontId="2" numFmtId="0" xfId="0" applyBorder="1" applyFont="1"/>
    <xf borderId="333" fillId="0" fontId="2" numFmtId="0" xfId="0" applyBorder="1" applyFont="1"/>
    <xf borderId="325" fillId="68" fontId="57" numFmtId="0" xfId="0" applyAlignment="1" applyBorder="1" applyFont="1">
      <alignment horizontal="center" readingOrder="0" shrinkToFit="0" vertical="center" wrapText="0"/>
    </xf>
    <xf borderId="325" fillId="68" fontId="57" numFmtId="0" xfId="0" applyAlignment="1" applyBorder="1" applyFont="1">
      <alignment horizontal="left" readingOrder="0" vertical="center"/>
    </xf>
    <xf borderId="325" fillId="68" fontId="149" numFmtId="0" xfId="0" applyBorder="1" applyFont="1"/>
    <xf borderId="334" fillId="68" fontId="59" numFmtId="0" xfId="0" applyAlignment="1" applyBorder="1" applyFont="1">
      <alignment horizontal="center" vertical="bottom"/>
    </xf>
    <xf borderId="335" fillId="0" fontId="2" numFmtId="0" xfId="0" applyBorder="1" applyFont="1"/>
    <xf borderId="325" fillId="68" fontId="59" numFmtId="0" xfId="0" applyBorder="1" applyFont="1"/>
    <xf borderId="325" fillId="68" fontId="60" numFmtId="0" xfId="0" applyAlignment="1" applyBorder="1" applyFont="1">
      <alignment readingOrder="0" shrinkToFit="0" vertical="center" wrapText="0"/>
    </xf>
    <xf borderId="325" fillId="68" fontId="59" numFmtId="0" xfId="0" applyAlignment="1" applyBorder="1" applyFont="1">
      <alignment vertical="center"/>
    </xf>
    <xf borderId="334" fillId="68" fontId="61" numFmtId="0" xfId="0" applyAlignment="1" applyBorder="1" applyFont="1">
      <alignment horizontal="center" readingOrder="0" vertical="bottom"/>
    </xf>
    <xf borderId="325" fillId="68" fontId="59" numFmtId="0" xfId="0" applyAlignment="1" applyBorder="1" applyFont="1">
      <alignment vertical="center"/>
    </xf>
    <xf borderId="326" fillId="68" fontId="62" numFmtId="164" xfId="0" applyAlignment="1" applyBorder="1" applyFont="1" applyNumberFormat="1">
      <alignment horizontal="center" readingOrder="0" vertical="center"/>
    </xf>
    <xf borderId="334" fillId="68" fontId="149" numFmtId="0" xfId="0" applyAlignment="1" applyBorder="1" applyFont="1">
      <alignment horizontal="center"/>
    </xf>
    <xf borderId="326" fillId="68" fontId="148" numFmtId="0" xfId="0" applyAlignment="1" applyBorder="1" applyFont="1">
      <alignment horizontal="center" readingOrder="0" shrinkToFit="0" vertical="center" wrapText="0"/>
    </xf>
    <xf borderId="325" fillId="68" fontId="149" numFmtId="0" xfId="0" applyAlignment="1" applyBorder="1" applyFont="1">
      <alignment horizontal="center"/>
    </xf>
    <xf borderId="31" fillId="10" fontId="0" numFmtId="49" xfId="0" applyAlignment="1" applyBorder="1" applyFont="1" applyNumberFormat="1">
      <alignment horizontal="center" readingOrder="0" shrinkToFit="0" vertical="center" wrapText="0"/>
    </xf>
    <xf borderId="0" fillId="0" fontId="49" numFmtId="0" xfId="0" applyAlignment="1" applyFont="1">
      <alignment horizontal="center" shrinkToFit="0" vertical="center" wrapText="0"/>
    </xf>
    <xf borderId="0" fillId="11" fontId="49" numFmtId="0" xfId="0" applyAlignment="1" applyFont="1">
      <alignment horizontal="center" shrinkToFit="0" vertical="center" wrapText="0"/>
    </xf>
    <xf borderId="0" fillId="11" fontId="49" numFmtId="0" xfId="0" applyAlignment="1" applyFont="1">
      <alignment horizontal="center" readingOrder="0" shrinkToFit="0" vertical="center" wrapText="0"/>
    </xf>
    <xf borderId="33" fillId="10" fontId="41" numFmtId="0" xfId="0" applyAlignment="1" applyBorder="1" applyFont="1">
      <alignment horizontal="center" readingOrder="0" shrinkToFit="0" vertical="center" wrapText="0"/>
    </xf>
    <xf borderId="33" fillId="0" fontId="44" numFmtId="0" xfId="0" applyAlignment="1" applyBorder="1" applyFont="1">
      <alignment horizontal="center" readingOrder="0" shrinkToFit="0" vertical="center" wrapText="0"/>
    </xf>
    <xf borderId="33" fillId="0" fontId="45" numFmtId="0" xfId="0" applyAlignment="1" applyBorder="1" applyFont="1">
      <alignment horizontal="center" readingOrder="0" shrinkToFit="0" vertical="center" wrapText="0"/>
    </xf>
    <xf borderId="336" fillId="69" fontId="150" numFmtId="0" xfId="0" applyAlignment="1" applyBorder="1" applyFill="1" applyFont="1">
      <alignment horizontal="left" readingOrder="0" shrinkToFit="0" vertical="center" wrapText="0"/>
    </xf>
    <xf borderId="336" fillId="69" fontId="151" numFmtId="0" xfId="0" applyAlignment="1" applyBorder="1" applyFont="1">
      <alignment horizontal="center" readingOrder="0" shrinkToFit="0" vertical="center" wrapText="0"/>
    </xf>
    <xf borderId="337" fillId="69" fontId="151" numFmtId="0" xfId="0" applyAlignment="1" applyBorder="1" applyFont="1">
      <alignment horizontal="left" readingOrder="0" shrinkToFit="0" vertical="center" wrapText="0"/>
    </xf>
    <xf borderId="338" fillId="0" fontId="2" numFmtId="0" xfId="0" applyBorder="1" applyFont="1"/>
    <xf borderId="339" fillId="0" fontId="2" numFmtId="0" xfId="0" applyBorder="1" applyFont="1"/>
    <xf borderId="337" fillId="69" fontId="57" numFmtId="0" xfId="0" applyAlignment="1" applyBorder="1" applyFont="1">
      <alignment horizontal="center" readingOrder="0" shrinkToFit="0" vertical="center" wrapText="0"/>
    </xf>
    <xf borderId="337" fillId="69" fontId="57" numFmtId="0" xfId="0" applyAlignment="1" applyBorder="1" applyFont="1">
      <alignment horizontal="left" readingOrder="0" vertical="center"/>
    </xf>
    <xf borderId="336" fillId="69" fontId="152" numFmtId="0" xfId="0" applyAlignment="1" applyBorder="1" applyFont="1">
      <alignment vertical="center"/>
    </xf>
    <xf borderId="336" fillId="69" fontId="150" numFmtId="0" xfId="0" applyAlignment="1" applyBorder="1" applyFont="1">
      <alignment readingOrder="0" shrinkToFit="0" vertical="center" wrapText="0"/>
    </xf>
    <xf borderId="336" fillId="69" fontId="150" numFmtId="49" xfId="0" applyAlignment="1" applyBorder="1" applyFont="1" applyNumberFormat="1">
      <alignment horizontal="left" readingOrder="0" shrinkToFit="0" vertical="center" wrapText="0"/>
    </xf>
    <xf borderId="340" fillId="0" fontId="2" numFmtId="0" xfId="0" applyBorder="1" applyFont="1"/>
    <xf borderId="341" fillId="0" fontId="2" numFmtId="0" xfId="0" applyBorder="1" applyFont="1"/>
    <xf borderId="342" fillId="0" fontId="2" numFmtId="0" xfId="0" applyBorder="1" applyFont="1"/>
    <xf borderId="343" fillId="0" fontId="2" numFmtId="0" xfId="0" applyBorder="1" applyFont="1"/>
    <xf borderId="344" fillId="0" fontId="2" numFmtId="0" xfId="0" applyBorder="1" applyFont="1"/>
    <xf borderId="336" fillId="69" fontId="57" numFmtId="0" xfId="0" applyAlignment="1" applyBorder="1" applyFont="1">
      <alignment horizontal="center" readingOrder="0" shrinkToFit="0" vertical="center" wrapText="0"/>
    </xf>
    <xf borderId="336" fillId="69" fontId="57" numFmtId="0" xfId="0" applyAlignment="1" applyBorder="1" applyFont="1">
      <alignment horizontal="left" readingOrder="0" vertical="center"/>
    </xf>
    <xf borderId="336" fillId="69" fontId="152" numFmtId="0" xfId="0" applyBorder="1" applyFont="1"/>
    <xf borderId="345" fillId="69" fontId="59" numFmtId="0" xfId="0" applyAlignment="1" applyBorder="1" applyFont="1">
      <alignment horizontal="center" vertical="bottom"/>
    </xf>
    <xf borderId="346" fillId="0" fontId="2" numFmtId="0" xfId="0" applyBorder="1" applyFont="1"/>
    <xf borderId="336" fillId="69" fontId="59" numFmtId="0" xfId="0" applyBorder="1" applyFont="1"/>
    <xf borderId="336" fillId="69" fontId="60" numFmtId="0" xfId="0" applyAlignment="1" applyBorder="1" applyFont="1">
      <alignment readingOrder="0" shrinkToFit="0" vertical="center" wrapText="0"/>
    </xf>
    <xf borderId="336" fillId="69" fontId="59" numFmtId="0" xfId="0" applyAlignment="1" applyBorder="1" applyFont="1">
      <alignment vertical="center"/>
    </xf>
    <xf borderId="345" fillId="69" fontId="61" numFmtId="0" xfId="0" applyAlignment="1" applyBorder="1" applyFont="1">
      <alignment horizontal="center" readingOrder="0" vertical="bottom"/>
    </xf>
    <xf borderId="336" fillId="69" fontId="59" numFmtId="0" xfId="0" applyAlignment="1" applyBorder="1" applyFont="1">
      <alignment vertical="center"/>
    </xf>
    <xf borderId="337" fillId="69" fontId="62" numFmtId="164" xfId="0" applyAlignment="1" applyBorder="1" applyFont="1" applyNumberFormat="1">
      <alignment horizontal="center" readingOrder="0" vertical="center"/>
    </xf>
    <xf borderId="345" fillId="69" fontId="152" numFmtId="0" xfId="0" applyAlignment="1" applyBorder="1" applyFont="1">
      <alignment horizontal="center"/>
    </xf>
    <xf borderId="337" fillId="69" fontId="151" numFmtId="0" xfId="0" applyAlignment="1" applyBorder="1" applyFont="1">
      <alignment horizontal="center" readingOrder="0" shrinkToFit="0" vertical="center" wrapText="0"/>
    </xf>
    <xf borderId="336" fillId="69" fontId="152" numFmtId="0" xfId="0" applyAlignment="1" applyBorder="1" applyFont="1">
      <alignment horizontal="center"/>
    </xf>
    <xf borderId="31" fillId="11" fontId="0" numFmtId="49" xfId="0" applyAlignment="1" applyBorder="1" applyFont="1" applyNumberFormat="1">
      <alignment horizontal="center" readingOrder="0" shrinkToFit="0" vertical="center" wrapText="0"/>
    </xf>
    <xf borderId="34" fillId="11" fontId="0" numFmtId="49" xfId="0" applyAlignment="1" applyBorder="1" applyFont="1" applyNumberFormat="1">
      <alignment horizontal="center" shrinkToFit="0" vertical="center" wrapText="0"/>
    </xf>
    <xf borderId="29" fillId="11" fontId="0" numFmtId="49" xfId="0" applyAlignment="1" applyBorder="1" applyFont="1" applyNumberFormat="1">
      <alignment horizontal="center" shrinkToFit="0" vertical="center" wrapText="0"/>
    </xf>
    <xf borderId="33" fillId="11" fontId="0" numFmtId="49" xfId="0" applyAlignment="1" applyBorder="1" applyFont="1" applyNumberFormat="1">
      <alignment horizontal="center" shrinkToFit="0" vertical="center" wrapText="0"/>
    </xf>
    <xf borderId="33" fillId="27" fontId="0" numFmtId="49" xfId="0" applyAlignment="1" applyBorder="1" applyFont="1" applyNumberFormat="1">
      <alignment horizontal="center" readingOrder="0" shrinkToFit="0" vertical="center" wrapText="0"/>
    </xf>
    <xf borderId="34" fillId="11" fontId="0" numFmtId="49" xfId="0" applyAlignment="1" applyBorder="1" applyFont="1" applyNumberFormat="1">
      <alignment horizontal="center" readingOrder="0" shrinkToFit="0" vertical="center" wrapText="0"/>
    </xf>
    <xf borderId="347" fillId="70" fontId="153" numFmtId="0" xfId="0" applyAlignment="1" applyBorder="1" applyFill="1" applyFont="1">
      <alignment horizontal="left" readingOrder="0" shrinkToFit="0" vertical="center" wrapText="0"/>
    </xf>
    <xf borderId="347" fillId="70" fontId="154" numFmtId="0" xfId="0" applyAlignment="1" applyBorder="1" applyFont="1">
      <alignment horizontal="center" readingOrder="0" shrinkToFit="0" vertical="center" wrapText="0"/>
    </xf>
    <xf borderId="348" fillId="70" fontId="154" numFmtId="0" xfId="0" applyAlignment="1" applyBorder="1" applyFont="1">
      <alignment horizontal="left" readingOrder="0" shrinkToFit="0" vertical="center" wrapText="0"/>
    </xf>
    <xf borderId="349" fillId="0" fontId="2" numFmtId="0" xfId="0" applyBorder="1" applyFont="1"/>
    <xf borderId="350" fillId="0" fontId="2" numFmtId="0" xfId="0" applyBorder="1" applyFont="1"/>
    <xf borderId="348" fillId="70" fontId="57" numFmtId="0" xfId="0" applyAlignment="1" applyBorder="1" applyFont="1">
      <alignment horizontal="center" readingOrder="0" shrinkToFit="0" vertical="center" wrapText="0"/>
    </xf>
    <xf borderId="348" fillId="70" fontId="57" numFmtId="0" xfId="0" applyAlignment="1" applyBorder="1" applyFont="1">
      <alignment horizontal="left" readingOrder="0" vertical="center"/>
    </xf>
    <xf borderId="347" fillId="70" fontId="155" numFmtId="0" xfId="0" applyAlignment="1" applyBorder="1" applyFont="1">
      <alignment vertical="center"/>
    </xf>
    <xf borderId="347" fillId="70" fontId="153" numFmtId="0" xfId="0" applyAlignment="1" applyBorder="1" applyFont="1">
      <alignment readingOrder="0" shrinkToFit="0" vertical="center" wrapText="0"/>
    </xf>
    <xf borderId="347" fillId="70" fontId="153" numFmtId="49" xfId="0" applyAlignment="1" applyBorder="1" applyFont="1" applyNumberFormat="1">
      <alignment horizontal="left" readingOrder="0" shrinkToFit="0" vertical="center" wrapText="0"/>
    </xf>
    <xf borderId="351" fillId="0" fontId="2" numFmtId="0" xfId="0" applyBorder="1" applyFont="1"/>
    <xf borderId="352" fillId="0" fontId="2" numFmtId="0" xfId="0" applyBorder="1" applyFont="1"/>
    <xf borderId="353" fillId="0" fontId="2" numFmtId="0" xfId="0" applyBorder="1" applyFont="1"/>
    <xf borderId="354" fillId="0" fontId="2" numFmtId="0" xfId="0" applyBorder="1" applyFont="1"/>
    <xf borderId="355" fillId="0" fontId="2" numFmtId="0" xfId="0" applyBorder="1" applyFont="1"/>
    <xf borderId="347" fillId="70" fontId="57" numFmtId="0" xfId="0" applyAlignment="1" applyBorder="1" applyFont="1">
      <alignment horizontal="center" readingOrder="0" shrinkToFit="0" vertical="center" wrapText="0"/>
    </xf>
    <xf borderId="347" fillId="70" fontId="57" numFmtId="0" xfId="0" applyAlignment="1" applyBorder="1" applyFont="1">
      <alignment horizontal="left" readingOrder="0" vertical="center"/>
    </xf>
    <xf borderId="347" fillId="70" fontId="155" numFmtId="0" xfId="0" applyBorder="1" applyFont="1"/>
    <xf borderId="356" fillId="70" fontId="59" numFmtId="0" xfId="0" applyAlignment="1" applyBorder="1" applyFont="1">
      <alignment horizontal="center" vertical="bottom"/>
    </xf>
    <xf borderId="357" fillId="0" fontId="2" numFmtId="0" xfId="0" applyBorder="1" applyFont="1"/>
    <xf borderId="347" fillId="70" fontId="59" numFmtId="0" xfId="0" applyBorder="1" applyFont="1"/>
    <xf borderId="347" fillId="70" fontId="60" numFmtId="0" xfId="0" applyAlignment="1" applyBorder="1" applyFont="1">
      <alignment readingOrder="0" shrinkToFit="0" vertical="center" wrapText="0"/>
    </xf>
    <xf borderId="347" fillId="70" fontId="59" numFmtId="0" xfId="0" applyAlignment="1" applyBorder="1" applyFont="1">
      <alignment vertical="center"/>
    </xf>
    <xf borderId="356" fillId="70" fontId="61" numFmtId="0" xfId="0" applyAlignment="1" applyBorder="1" applyFont="1">
      <alignment horizontal="center" readingOrder="0" vertical="bottom"/>
    </xf>
    <xf borderId="347" fillId="70" fontId="59" numFmtId="0" xfId="0" applyAlignment="1" applyBorder="1" applyFont="1">
      <alignment vertical="center"/>
    </xf>
    <xf borderId="348" fillId="70" fontId="62" numFmtId="164" xfId="0" applyAlignment="1" applyBorder="1" applyFont="1" applyNumberFormat="1">
      <alignment horizontal="center" readingOrder="0" vertical="center"/>
    </xf>
    <xf borderId="356" fillId="70" fontId="155" numFmtId="0" xfId="0" applyAlignment="1" applyBorder="1" applyFont="1">
      <alignment horizontal="center"/>
    </xf>
    <xf borderId="348" fillId="70" fontId="154" numFmtId="0" xfId="0" applyAlignment="1" applyBorder="1" applyFont="1">
      <alignment horizontal="center" readingOrder="0" shrinkToFit="0" vertical="center" wrapText="0"/>
    </xf>
    <xf borderId="347" fillId="70" fontId="155" numFmtId="0" xfId="0" applyAlignment="1" applyBorder="1" applyFont="1">
      <alignment horizontal="center"/>
    </xf>
    <xf borderId="36" fillId="11" fontId="0" numFmtId="49" xfId="0" applyAlignment="1" applyBorder="1" applyFont="1" applyNumberFormat="1">
      <alignment horizontal="center" readingOrder="0" shrinkToFit="0" vertical="center" wrapText="0"/>
    </xf>
    <xf borderId="358" fillId="71" fontId="156" numFmtId="0" xfId="0" applyAlignment="1" applyBorder="1" applyFill="1" applyFont="1">
      <alignment horizontal="left" readingOrder="0" shrinkToFit="0" vertical="center" wrapText="0"/>
    </xf>
    <xf borderId="358" fillId="71" fontId="157" numFmtId="0" xfId="0" applyAlignment="1" applyBorder="1" applyFont="1">
      <alignment horizontal="center" readingOrder="0" shrinkToFit="0" vertical="center" wrapText="0"/>
    </xf>
    <xf borderId="359" fillId="71" fontId="157" numFmtId="0" xfId="0" applyAlignment="1" applyBorder="1" applyFont="1">
      <alignment horizontal="left" readingOrder="0" shrinkToFit="0" vertical="center" wrapText="0"/>
    </xf>
    <xf borderId="360" fillId="0" fontId="2" numFmtId="0" xfId="0" applyBorder="1" applyFont="1"/>
    <xf borderId="361" fillId="0" fontId="2" numFmtId="0" xfId="0" applyBorder="1" applyFont="1"/>
    <xf borderId="359" fillId="71" fontId="82" numFmtId="0" xfId="0" applyAlignment="1" applyBorder="1" applyFont="1">
      <alignment horizontal="center" readingOrder="0" shrinkToFit="0" vertical="center" wrapText="0"/>
    </xf>
    <xf borderId="359" fillId="71" fontId="82" numFmtId="0" xfId="0" applyAlignment="1" applyBorder="1" applyFont="1">
      <alignment horizontal="left" readingOrder="0" vertical="center"/>
    </xf>
    <xf borderId="358" fillId="71" fontId="158" numFmtId="0" xfId="0" applyAlignment="1" applyBorder="1" applyFont="1">
      <alignment vertical="center"/>
    </xf>
    <xf borderId="358" fillId="71" fontId="156" numFmtId="0" xfId="0" applyAlignment="1" applyBorder="1" applyFont="1">
      <alignment readingOrder="0" shrinkToFit="0" vertical="center" wrapText="0"/>
    </xf>
    <xf borderId="358" fillId="71" fontId="156" numFmtId="49" xfId="0" applyAlignment="1" applyBorder="1" applyFont="1" applyNumberFormat="1">
      <alignment horizontal="left" readingOrder="0" shrinkToFit="0" vertical="center" wrapText="0"/>
    </xf>
    <xf borderId="362" fillId="0" fontId="2" numFmtId="0" xfId="0" applyBorder="1" applyFont="1"/>
    <xf borderId="363" fillId="0" fontId="2" numFmtId="0" xfId="0" applyBorder="1" applyFont="1"/>
    <xf borderId="364" fillId="0" fontId="2" numFmtId="0" xfId="0" applyBorder="1" applyFont="1"/>
    <xf borderId="365" fillId="0" fontId="2" numFmtId="0" xfId="0" applyBorder="1" applyFont="1"/>
    <xf borderId="366" fillId="0" fontId="2" numFmtId="0" xfId="0" applyBorder="1" applyFont="1"/>
    <xf borderId="358" fillId="71" fontId="82" numFmtId="0" xfId="0" applyAlignment="1" applyBorder="1" applyFont="1">
      <alignment horizontal="center" readingOrder="0" shrinkToFit="0" vertical="center" wrapText="0"/>
    </xf>
    <xf borderId="358" fillId="71" fontId="82" numFmtId="0" xfId="0" applyAlignment="1" applyBorder="1" applyFont="1">
      <alignment horizontal="left" readingOrder="0" vertical="center"/>
    </xf>
    <xf borderId="358" fillId="71" fontId="158" numFmtId="0" xfId="0" applyBorder="1" applyFont="1"/>
    <xf borderId="367" fillId="71" fontId="84" numFmtId="0" xfId="0" applyAlignment="1" applyBorder="1" applyFont="1">
      <alignment horizontal="center" vertical="bottom"/>
    </xf>
    <xf borderId="368" fillId="0" fontId="2" numFmtId="0" xfId="0" applyBorder="1" applyFont="1"/>
    <xf borderId="358" fillId="71" fontId="84" numFmtId="0" xfId="0" applyBorder="1" applyFont="1"/>
    <xf borderId="358" fillId="71" fontId="85" numFmtId="0" xfId="0" applyAlignment="1" applyBorder="1" applyFont="1">
      <alignment readingOrder="0" shrinkToFit="0" vertical="center" wrapText="0"/>
    </xf>
    <xf borderId="358" fillId="71" fontId="84" numFmtId="0" xfId="0" applyAlignment="1" applyBorder="1" applyFont="1">
      <alignment vertical="center"/>
    </xf>
    <xf borderId="367" fillId="71" fontId="86" numFmtId="0" xfId="0" applyAlignment="1" applyBorder="1" applyFont="1">
      <alignment horizontal="center" readingOrder="0" vertical="bottom"/>
    </xf>
    <xf borderId="358" fillId="71" fontId="84" numFmtId="0" xfId="0" applyAlignment="1" applyBorder="1" applyFont="1">
      <alignment vertical="center"/>
    </xf>
    <xf borderId="359" fillId="71" fontId="87" numFmtId="164" xfId="0" applyAlignment="1" applyBorder="1" applyFont="1" applyNumberFormat="1">
      <alignment horizontal="center" readingOrder="0" vertical="center"/>
    </xf>
    <xf borderId="367" fillId="71" fontId="158" numFmtId="0" xfId="0" applyAlignment="1" applyBorder="1" applyFont="1">
      <alignment horizontal="center"/>
    </xf>
    <xf borderId="359" fillId="71" fontId="157" numFmtId="0" xfId="0" applyAlignment="1" applyBorder="1" applyFont="1">
      <alignment horizontal="center" readingOrder="0" shrinkToFit="0" vertical="center" wrapText="0"/>
    </xf>
    <xf borderId="358" fillId="71" fontId="158" numFmtId="0" xfId="0" applyAlignment="1" applyBorder="1" applyFont="1">
      <alignment horizontal="center"/>
    </xf>
    <xf borderId="29" fillId="0" fontId="0" numFmtId="49" xfId="0" applyAlignment="1" applyBorder="1" applyFont="1" applyNumberFormat="1">
      <alignment horizontal="center" readingOrder="0" shrinkToFit="0" vertical="center" wrapText="0"/>
    </xf>
    <xf borderId="33" fillId="0" fontId="0" numFmtId="49" xfId="0" applyAlignment="1" applyBorder="1" applyFont="1" applyNumberFormat="1">
      <alignment horizontal="center" readingOrder="0" shrinkToFit="0" vertical="center" wrapText="0"/>
    </xf>
    <xf borderId="37" fillId="25" fontId="41" numFmtId="49" xfId="0" applyAlignment="1" applyBorder="1" applyFont="1" applyNumberFormat="1">
      <alignment readingOrder="0" shrinkToFit="0" vertical="center" wrapText="0"/>
    </xf>
    <xf borderId="369" fillId="72" fontId="159" numFmtId="0" xfId="0" applyAlignment="1" applyBorder="1" applyFill="1" applyFont="1">
      <alignment horizontal="left" readingOrder="0" shrinkToFit="0" vertical="center" wrapText="0"/>
    </xf>
    <xf borderId="369" fillId="72" fontId="160" numFmtId="0" xfId="0" applyAlignment="1" applyBorder="1" applyFont="1">
      <alignment horizontal="center" readingOrder="0" shrinkToFit="0" vertical="center" wrapText="0"/>
    </xf>
    <xf borderId="370" fillId="72" fontId="160" numFmtId="0" xfId="0" applyAlignment="1" applyBorder="1" applyFont="1">
      <alignment horizontal="left" readingOrder="0" shrinkToFit="0" vertical="center" wrapText="0"/>
    </xf>
    <xf borderId="371" fillId="0" fontId="2" numFmtId="0" xfId="0" applyBorder="1" applyFont="1"/>
    <xf borderId="372" fillId="0" fontId="2" numFmtId="0" xfId="0" applyBorder="1" applyFont="1"/>
    <xf borderId="370" fillId="72" fontId="57" numFmtId="0" xfId="0" applyAlignment="1" applyBorder="1" applyFont="1">
      <alignment horizontal="center" readingOrder="0" shrinkToFit="0" vertical="center" wrapText="0"/>
    </xf>
    <xf borderId="370" fillId="72" fontId="57" numFmtId="0" xfId="0" applyAlignment="1" applyBorder="1" applyFont="1">
      <alignment horizontal="left" readingOrder="0" vertical="center"/>
    </xf>
    <xf borderId="369" fillId="72" fontId="161" numFmtId="0" xfId="0" applyAlignment="1" applyBorder="1" applyFont="1">
      <alignment vertical="center"/>
    </xf>
    <xf borderId="369" fillId="72" fontId="159" numFmtId="0" xfId="0" applyAlignment="1" applyBorder="1" applyFont="1">
      <alignment readingOrder="0" shrinkToFit="0" vertical="center" wrapText="0"/>
    </xf>
    <xf borderId="369" fillId="72" fontId="159" numFmtId="49" xfId="0" applyAlignment="1" applyBorder="1" applyFont="1" applyNumberFormat="1">
      <alignment horizontal="left" readingOrder="0" shrinkToFit="0" vertical="center" wrapText="0"/>
    </xf>
    <xf borderId="373" fillId="0" fontId="2" numFmtId="0" xfId="0" applyBorder="1" applyFont="1"/>
    <xf borderId="374" fillId="0" fontId="2" numFmtId="0" xfId="0" applyBorder="1" applyFont="1"/>
    <xf borderId="375" fillId="0" fontId="2" numFmtId="0" xfId="0" applyBorder="1" applyFont="1"/>
    <xf borderId="376" fillId="0" fontId="2" numFmtId="0" xfId="0" applyBorder="1" applyFont="1"/>
    <xf borderId="377" fillId="0" fontId="2" numFmtId="0" xfId="0" applyBorder="1" applyFont="1"/>
    <xf borderId="369" fillId="72" fontId="57" numFmtId="0" xfId="0" applyAlignment="1" applyBorder="1" applyFont="1">
      <alignment horizontal="center" readingOrder="0" shrinkToFit="0" vertical="center" wrapText="0"/>
    </xf>
    <xf borderId="369" fillId="72" fontId="57" numFmtId="0" xfId="0" applyAlignment="1" applyBorder="1" applyFont="1">
      <alignment horizontal="left" readingOrder="0" vertical="center"/>
    </xf>
    <xf borderId="369" fillId="72" fontId="161" numFmtId="0" xfId="0" applyBorder="1" applyFont="1"/>
    <xf borderId="378" fillId="72" fontId="59" numFmtId="0" xfId="0" applyAlignment="1" applyBorder="1" applyFont="1">
      <alignment horizontal="center" vertical="bottom"/>
    </xf>
    <xf borderId="379" fillId="0" fontId="2" numFmtId="0" xfId="0" applyBorder="1" applyFont="1"/>
    <xf borderId="369" fillId="72" fontId="59" numFmtId="0" xfId="0" applyBorder="1" applyFont="1"/>
    <xf borderId="369" fillId="72" fontId="60" numFmtId="0" xfId="0" applyAlignment="1" applyBorder="1" applyFont="1">
      <alignment readingOrder="0" shrinkToFit="0" vertical="center" wrapText="0"/>
    </xf>
    <xf borderId="369" fillId="72" fontId="59" numFmtId="0" xfId="0" applyAlignment="1" applyBorder="1" applyFont="1">
      <alignment vertical="center"/>
    </xf>
    <xf borderId="378" fillId="72" fontId="61" numFmtId="0" xfId="0" applyAlignment="1" applyBorder="1" applyFont="1">
      <alignment horizontal="center" readingOrder="0" vertical="bottom"/>
    </xf>
    <xf borderId="369" fillId="72" fontId="59" numFmtId="0" xfId="0" applyAlignment="1" applyBorder="1" applyFont="1">
      <alignment vertical="center"/>
    </xf>
    <xf borderId="370" fillId="72" fontId="62" numFmtId="164" xfId="0" applyAlignment="1" applyBorder="1" applyFont="1" applyNumberFormat="1">
      <alignment horizontal="center" readingOrder="0" vertical="center"/>
    </xf>
    <xf borderId="378" fillId="72" fontId="161" numFmtId="0" xfId="0" applyAlignment="1" applyBorder="1" applyFont="1">
      <alignment horizontal="center"/>
    </xf>
    <xf borderId="370" fillId="72" fontId="160" numFmtId="0" xfId="0" applyAlignment="1" applyBorder="1" applyFont="1">
      <alignment horizontal="center" readingOrder="0" shrinkToFit="0" vertical="center" wrapText="0"/>
    </xf>
    <xf borderId="369" fillId="72" fontId="161" numFmtId="0" xfId="0" applyAlignment="1" applyBorder="1" applyFont="1">
      <alignment horizontal="center"/>
    </xf>
    <xf borderId="33" fillId="11" fontId="40" numFmtId="0" xfId="0" applyBorder="1" applyFont="1"/>
    <xf borderId="31" fillId="11" fontId="40" numFmtId="0" xfId="0" applyBorder="1" applyFont="1"/>
    <xf borderId="26" fillId="0" fontId="49" numFmtId="0" xfId="0" applyAlignment="1" applyBorder="1" applyFont="1">
      <alignment horizontal="left" shrinkToFit="0" vertical="top" wrapText="1"/>
    </xf>
    <xf borderId="380" fillId="73" fontId="162" numFmtId="0" xfId="0" applyAlignment="1" applyBorder="1" applyFill="1" applyFont="1">
      <alignment horizontal="left" readingOrder="0" shrinkToFit="0" vertical="center" wrapText="0"/>
    </xf>
    <xf borderId="380" fillId="73" fontId="163" numFmtId="0" xfId="0" applyAlignment="1" applyBorder="1" applyFont="1">
      <alignment horizontal="center" readingOrder="0" shrinkToFit="0" vertical="center" wrapText="0"/>
    </xf>
    <xf borderId="381" fillId="73" fontId="163" numFmtId="0" xfId="0" applyAlignment="1" applyBorder="1" applyFont="1">
      <alignment horizontal="left" readingOrder="0" shrinkToFit="0" vertical="center" wrapText="0"/>
    </xf>
    <xf borderId="382" fillId="0" fontId="2" numFmtId="0" xfId="0" applyBorder="1" applyFont="1"/>
    <xf borderId="383" fillId="0" fontId="2" numFmtId="0" xfId="0" applyBorder="1" applyFont="1"/>
    <xf borderId="381" fillId="73" fontId="82" numFmtId="0" xfId="0" applyAlignment="1" applyBorder="1" applyFont="1">
      <alignment horizontal="center" readingOrder="0" shrinkToFit="0" vertical="center" wrapText="0"/>
    </xf>
    <xf borderId="381" fillId="73" fontId="82" numFmtId="0" xfId="0" applyAlignment="1" applyBorder="1" applyFont="1">
      <alignment horizontal="left" readingOrder="0" vertical="center"/>
    </xf>
    <xf borderId="380" fillId="73" fontId="164" numFmtId="0" xfId="0" applyAlignment="1" applyBorder="1" applyFont="1">
      <alignment vertical="center"/>
    </xf>
    <xf borderId="380" fillId="73" fontId="162" numFmtId="0" xfId="0" applyAlignment="1" applyBorder="1" applyFont="1">
      <alignment readingOrder="0" shrinkToFit="0" vertical="center" wrapText="0"/>
    </xf>
    <xf borderId="380" fillId="73" fontId="162" numFmtId="49" xfId="0" applyAlignment="1" applyBorder="1" applyFont="1" applyNumberFormat="1">
      <alignment horizontal="left" readingOrder="0" shrinkToFit="0" vertical="center" wrapText="0"/>
    </xf>
    <xf borderId="384" fillId="0" fontId="2" numFmtId="0" xfId="0" applyBorder="1" applyFont="1"/>
    <xf borderId="385" fillId="0" fontId="2" numFmtId="0" xfId="0" applyBorder="1" applyFont="1"/>
    <xf borderId="386" fillId="0" fontId="2" numFmtId="0" xfId="0" applyBorder="1" applyFont="1"/>
    <xf borderId="387" fillId="0" fontId="2" numFmtId="0" xfId="0" applyBorder="1" applyFont="1"/>
    <xf borderId="388" fillId="0" fontId="2" numFmtId="0" xfId="0" applyBorder="1" applyFont="1"/>
    <xf borderId="380" fillId="73" fontId="82" numFmtId="0" xfId="0" applyAlignment="1" applyBorder="1" applyFont="1">
      <alignment horizontal="center" readingOrder="0" shrinkToFit="0" vertical="center" wrapText="0"/>
    </xf>
    <xf borderId="380" fillId="73" fontId="82" numFmtId="0" xfId="0" applyAlignment="1" applyBorder="1" applyFont="1">
      <alignment horizontal="left" readingOrder="0" vertical="center"/>
    </xf>
    <xf borderId="380" fillId="73" fontId="164" numFmtId="0" xfId="0" applyBorder="1" applyFont="1"/>
    <xf borderId="389" fillId="73" fontId="84" numFmtId="0" xfId="0" applyAlignment="1" applyBorder="1" applyFont="1">
      <alignment horizontal="center" vertical="bottom"/>
    </xf>
    <xf borderId="390" fillId="0" fontId="2" numFmtId="0" xfId="0" applyBorder="1" applyFont="1"/>
    <xf borderId="380" fillId="73" fontId="84" numFmtId="0" xfId="0" applyBorder="1" applyFont="1"/>
    <xf borderId="380" fillId="73" fontId="85" numFmtId="0" xfId="0" applyAlignment="1" applyBorder="1" applyFont="1">
      <alignment readingOrder="0" shrinkToFit="0" vertical="center" wrapText="0"/>
    </xf>
    <xf borderId="380" fillId="73" fontId="84" numFmtId="0" xfId="0" applyAlignment="1" applyBorder="1" applyFont="1">
      <alignment vertical="center"/>
    </xf>
    <xf borderId="389" fillId="73" fontId="86" numFmtId="0" xfId="0" applyAlignment="1" applyBorder="1" applyFont="1">
      <alignment horizontal="center" readingOrder="0" vertical="bottom"/>
    </xf>
    <xf borderId="380" fillId="73" fontId="84" numFmtId="0" xfId="0" applyAlignment="1" applyBorder="1" applyFont="1">
      <alignment vertical="center"/>
    </xf>
    <xf borderId="381" fillId="73" fontId="87" numFmtId="164" xfId="0" applyAlignment="1" applyBorder="1" applyFont="1" applyNumberFormat="1">
      <alignment horizontal="center" readingOrder="0" vertical="center"/>
    </xf>
    <xf borderId="389" fillId="73" fontId="164" numFmtId="0" xfId="0" applyAlignment="1" applyBorder="1" applyFont="1">
      <alignment horizontal="center"/>
    </xf>
    <xf borderId="381" fillId="73" fontId="163" numFmtId="0" xfId="0" applyAlignment="1" applyBorder="1" applyFont="1">
      <alignment horizontal="center" readingOrder="0" shrinkToFit="0" vertical="center" wrapText="0"/>
    </xf>
    <xf borderId="380" fillId="73" fontId="164" numFmtId="0" xfId="0" applyAlignment="1" applyBorder="1" applyFont="1">
      <alignment horizontal="center"/>
    </xf>
    <xf borderId="36" fillId="0" fontId="165" numFmtId="0" xfId="0" applyAlignment="1" applyBorder="1" applyFont="1">
      <alignment horizontal="center" readingOrder="0" shrinkToFit="0" vertical="center" wrapText="0"/>
    </xf>
    <xf borderId="33" fillId="0" fontId="165" numFmtId="0" xfId="0" applyAlignment="1" applyBorder="1" applyFont="1">
      <alignment horizontal="center" readingOrder="0" shrinkToFit="0" vertical="center" wrapText="0"/>
    </xf>
    <xf borderId="34" fillId="10" fontId="41" numFmtId="49" xfId="0" applyAlignment="1" applyBorder="1" applyFont="1" applyNumberFormat="1">
      <alignment horizontal="center" shrinkToFit="0" vertical="center" wrapText="0"/>
    </xf>
    <xf borderId="26" fillId="0" fontId="0" numFmtId="49" xfId="0" applyAlignment="1" applyBorder="1" applyFont="1" applyNumberFormat="1">
      <alignment horizontal="left" readingOrder="0" shrinkToFit="0" vertical="top" wrapText="0"/>
    </xf>
    <xf borderId="34" fillId="10" fontId="40" numFmtId="0" xfId="0" applyAlignment="1" applyBorder="1" applyFont="1">
      <alignment horizontal="center" vertical="center"/>
    </xf>
    <xf borderId="391" fillId="74" fontId="166" numFmtId="0" xfId="0" applyAlignment="1" applyBorder="1" applyFill="1" applyFont="1">
      <alignment horizontal="left" readingOrder="0" shrinkToFit="0" vertical="center" wrapText="0"/>
    </xf>
    <xf borderId="391" fillId="74" fontId="167" numFmtId="0" xfId="0" applyAlignment="1" applyBorder="1" applyFont="1">
      <alignment horizontal="center" readingOrder="0" shrinkToFit="0" vertical="center" wrapText="0"/>
    </xf>
    <xf borderId="392" fillId="74" fontId="167" numFmtId="0" xfId="0" applyAlignment="1" applyBorder="1" applyFont="1">
      <alignment horizontal="left" readingOrder="0" shrinkToFit="0" vertical="center" wrapText="0"/>
    </xf>
    <xf borderId="393" fillId="0" fontId="2" numFmtId="0" xfId="0" applyBorder="1" applyFont="1"/>
    <xf borderId="394" fillId="0" fontId="2" numFmtId="0" xfId="0" applyBorder="1" applyFont="1"/>
    <xf borderId="392" fillId="74" fontId="57" numFmtId="0" xfId="0" applyAlignment="1" applyBorder="1" applyFont="1">
      <alignment horizontal="center" readingOrder="0" shrinkToFit="0" vertical="center" wrapText="0"/>
    </xf>
    <xf borderId="392" fillId="74" fontId="57" numFmtId="0" xfId="0" applyAlignment="1" applyBorder="1" applyFont="1">
      <alignment horizontal="left" readingOrder="0" vertical="center"/>
    </xf>
    <xf borderId="391" fillId="74" fontId="168" numFmtId="0" xfId="0" applyAlignment="1" applyBorder="1" applyFont="1">
      <alignment vertical="center"/>
    </xf>
    <xf borderId="391" fillId="74" fontId="166" numFmtId="0" xfId="0" applyAlignment="1" applyBorder="1" applyFont="1">
      <alignment readingOrder="0" shrinkToFit="0" vertical="center" wrapText="0"/>
    </xf>
    <xf borderId="391" fillId="74" fontId="166" numFmtId="49" xfId="0" applyAlignment="1" applyBorder="1" applyFont="1" applyNumberFormat="1">
      <alignment horizontal="left" readingOrder="0" shrinkToFit="0" vertical="center" wrapText="0"/>
    </xf>
    <xf borderId="395" fillId="0" fontId="2" numFmtId="0" xfId="0" applyBorder="1" applyFont="1"/>
    <xf borderId="396" fillId="0" fontId="2" numFmtId="0" xfId="0" applyBorder="1" applyFont="1"/>
    <xf borderId="397" fillId="0" fontId="2" numFmtId="0" xfId="0" applyBorder="1" applyFont="1"/>
    <xf borderId="398" fillId="0" fontId="2" numFmtId="0" xfId="0" applyBorder="1" applyFont="1"/>
    <xf borderId="399" fillId="0" fontId="2" numFmtId="0" xfId="0" applyBorder="1" applyFont="1"/>
    <xf borderId="391" fillId="74" fontId="57" numFmtId="0" xfId="0" applyAlignment="1" applyBorder="1" applyFont="1">
      <alignment horizontal="center" readingOrder="0" shrinkToFit="0" vertical="center" wrapText="0"/>
    </xf>
    <xf borderId="391" fillId="74" fontId="57" numFmtId="0" xfId="0" applyAlignment="1" applyBorder="1" applyFont="1">
      <alignment horizontal="left" readingOrder="0" vertical="center"/>
    </xf>
    <xf borderId="391" fillId="74" fontId="168" numFmtId="0" xfId="0" applyBorder="1" applyFont="1"/>
    <xf borderId="400" fillId="74" fontId="59" numFmtId="0" xfId="0" applyAlignment="1" applyBorder="1" applyFont="1">
      <alignment horizontal="center" vertical="bottom"/>
    </xf>
    <xf borderId="401" fillId="0" fontId="2" numFmtId="0" xfId="0" applyBorder="1" applyFont="1"/>
    <xf borderId="391" fillId="74" fontId="59" numFmtId="0" xfId="0" applyBorder="1" applyFont="1"/>
    <xf borderId="391" fillId="74" fontId="60" numFmtId="0" xfId="0" applyAlignment="1" applyBorder="1" applyFont="1">
      <alignment readingOrder="0" shrinkToFit="0" vertical="center" wrapText="0"/>
    </xf>
    <xf borderId="391" fillId="74" fontId="59" numFmtId="0" xfId="0" applyAlignment="1" applyBorder="1" applyFont="1">
      <alignment vertical="center"/>
    </xf>
    <xf borderId="400" fillId="74" fontId="61" numFmtId="0" xfId="0" applyAlignment="1" applyBorder="1" applyFont="1">
      <alignment horizontal="center" readingOrder="0" vertical="bottom"/>
    </xf>
    <xf borderId="391" fillId="74" fontId="59" numFmtId="0" xfId="0" applyAlignment="1" applyBorder="1" applyFont="1">
      <alignment vertical="center"/>
    </xf>
    <xf borderId="392" fillId="74" fontId="62" numFmtId="164" xfId="0" applyAlignment="1" applyBorder="1" applyFont="1" applyNumberFormat="1">
      <alignment horizontal="center" readingOrder="0" vertical="center"/>
    </xf>
    <xf borderId="400" fillId="74" fontId="168" numFmtId="0" xfId="0" applyAlignment="1" applyBorder="1" applyFont="1">
      <alignment horizontal="center"/>
    </xf>
    <xf borderId="392" fillId="74" fontId="167" numFmtId="0" xfId="0" applyAlignment="1" applyBorder="1" applyFont="1">
      <alignment horizontal="center" readingOrder="0" shrinkToFit="0" vertical="center" wrapText="0"/>
    </xf>
    <xf borderId="391" fillId="74" fontId="168" numFmtId="0" xfId="0" applyAlignment="1" applyBorder="1" applyFont="1">
      <alignment horizontal="center"/>
    </xf>
    <xf borderId="402" fillId="75" fontId="169" numFmtId="0" xfId="0" applyAlignment="1" applyBorder="1" applyFill="1" applyFont="1">
      <alignment horizontal="left" readingOrder="0" shrinkToFit="0" vertical="center" wrapText="0"/>
    </xf>
    <xf borderId="402" fillId="75" fontId="170" numFmtId="0" xfId="0" applyAlignment="1" applyBorder="1" applyFont="1">
      <alignment horizontal="center" readingOrder="0" shrinkToFit="0" vertical="center" wrapText="0"/>
    </xf>
    <xf borderId="403" fillId="75" fontId="170" numFmtId="0" xfId="0" applyAlignment="1" applyBorder="1" applyFont="1">
      <alignment horizontal="left" readingOrder="0" shrinkToFit="0" vertical="center" wrapText="0"/>
    </xf>
    <xf borderId="404" fillId="0" fontId="2" numFmtId="0" xfId="0" applyBorder="1" applyFont="1"/>
    <xf borderId="405" fillId="0" fontId="2" numFmtId="0" xfId="0" applyBorder="1" applyFont="1"/>
    <xf borderId="403" fillId="75" fontId="65" numFmtId="0" xfId="0" applyAlignment="1" applyBorder="1" applyFont="1">
      <alignment horizontal="center" readingOrder="0" shrinkToFit="0" vertical="center" wrapText="0"/>
    </xf>
    <xf borderId="403" fillId="75" fontId="65" numFmtId="0" xfId="0" applyAlignment="1" applyBorder="1" applyFont="1">
      <alignment horizontal="left" readingOrder="0" vertical="center"/>
    </xf>
    <xf borderId="402" fillId="75" fontId="171" numFmtId="0" xfId="0" applyAlignment="1" applyBorder="1" applyFont="1">
      <alignment vertical="center"/>
    </xf>
    <xf borderId="402" fillId="75" fontId="169" numFmtId="0" xfId="0" applyAlignment="1" applyBorder="1" applyFont="1">
      <alignment readingOrder="0" shrinkToFit="0" vertical="center" wrapText="0"/>
    </xf>
    <xf borderId="402" fillId="75" fontId="169" numFmtId="49" xfId="0" applyAlignment="1" applyBorder="1" applyFont="1" applyNumberFormat="1">
      <alignment horizontal="left" readingOrder="0" shrinkToFit="0" vertical="center" wrapText="0"/>
    </xf>
    <xf borderId="406" fillId="0" fontId="2" numFmtId="0" xfId="0" applyBorder="1" applyFont="1"/>
    <xf borderId="407" fillId="0" fontId="2" numFmtId="0" xfId="0" applyBorder="1" applyFont="1"/>
    <xf borderId="408" fillId="0" fontId="2" numFmtId="0" xfId="0" applyBorder="1" applyFont="1"/>
    <xf borderId="409" fillId="0" fontId="2" numFmtId="0" xfId="0" applyBorder="1" applyFont="1"/>
    <xf borderId="410" fillId="0" fontId="2" numFmtId="0" xfId="0" applyBorder="1" applyFont="1"/>
    <xf borderId="402" fillId="75" fontId="65" numFmtId="0" xfId="0" applyAlignment="1" applyBorder="1" applyFont="1">
      <alignment horizontal="center" readingOrder="0" shrinkToFit="0" vertical="center" wrapText="0"/>
    </xf>
    <xf borderId="402" fillId="75" fontId="65" numFmtId="0" xfId="0" applyAlignment="1" applyBorder="1" applyFont="1">
      <alignment horizontal="left" readingOrder="0" vertical="center"/>
    </xf>
    <xf borderId="402" fillId="75" fontId="171" numFmtId="0" xfId="0" applyBorder="1" applyFont="1"/>
    <xf borderId="411" fillId="75" fontId="67" numFmtId="0" xfId="0" applyAlignment="1" applyBorder="1" applyFont="1">
      <alignment horizontal="center" vertical="bottom"/>
    </xf>
    <xf borderId="412" fillId="0" fontId="2" numFmtId="0" xfId="0" applyBorder="1" applyFont="1"/>
    <xf borderId="402" fillId="75" fontId="67" numFmtId="0" xfId="0" applyBorder="1" applyFont="1"/>
    <xf borderId="402" fillId="75" fontId="68" numFmtId="0" xfId="0" applyAlignment="1" applyBorder="1" applyFont="1">
      <alignment readingOrder="0" shrinkToFit="0" vertical="center" wrapText="0"/>
    </xf>
    <xf borderId="402" fillId="75" fontId="67" numFmtId="0" xfId="0" applyAlignment="1" applyBorder="1" applyFont="1">
      <alignment vertical="center"/>
    </xf>
    <xf borderId="411" fillId="75" fontId="69" numFmtId="0" xfId="0" applyAlignment="1" applyBorder="1" applyFont="1">
      <alignment horizontal="center" readingOrder="0" vertical="bottom"/>
    </xf>
    <xf borderId="402" fillId="75" fontId="67" numFmtId="0" xfId="0" applyAlignment="1" applyBorder="1" applyFont="1">
      <alignment vertical="center"/>
    </xf>
    <xf borderId="403" fillId="75" fontId="70" numFmtId="164" xfId="0" applyAlignment="1" applyBorder="1" applyFont="1" applyNumberFormat="1">
      <alignment horizontal="center" readingOrder="0" vertical="center"/>
    </xf>
    <xf borderId="411" fillId="75" fontId="171" numFmtId="0" xfId="0" applyAlignment="1" applyBorder="1" applyFont="1">
      <alignment horizontal="center"/>
    </xf>
    <xf borderId="403" fillId="75" fontId="170" numFmtId="0" xfId="0" applyAlignment="1" applyBorder="1" applyFont="1">
      <alignment horizontal="center" readingOrder="0" shrinkToFit="0" vertical="center" wrapText="0"/>
    </xf>
    <xf borderId="402" fillId="75" fontId="171" numFmtId="0" xfId="0" applyAlignment="1" applyBorder="1" applyFont="1">
      <alignment horizontal="center"/>
    </xf>
    <xf borderId="33" fillId="11" fontId="17" numFmtId="0" xfId="0" applyAlignment="1" applyBorder="1" applyFont="1">
      <alignment horizontal="center" readingOrder="0" shrinkToFit="0" vertical="center" wrapText="0"/>
    </xf>
    <xf borderId="413" fillId="76" fontId="172" numFmtId="0" xfId="0" applyAlignment="1" applyBorder="1" applyFill="1" applyFont="1">
      <alignment horizontal="left" readingOrder="0" shrinkToFit="0" vertical="center" wrapText="0"/>
    </xf>
    <xf borderId="413" fillId="76" fontId="173" numFmtId="0" xfId="0" applyAlignment="1" applyBorder="1" applyFont="1">
      <alignment horizontal="center" readingOrder="0" shrinkToFit="0" vertical="center" wrapText="0"/>
    </xf>
    <xf borderId="414" fillId="76" fontId="173" numFmtId="0" xfId="0" applyAlignment="1" applyBorder="1" applyFont="1">
      <alignment horizontal="left" readingOrder="0" shrinkToFit="0" vertical="center" wrapText="0"/>
    </xf>
    <xf borderId="415" fillId="0" fontId="2" numFmtId="0" xfId="0" applyBorder="1" applyFont="1"/>
    <xf borderId="416" fillId="0" fontId="2" numFmtId="0" xfId="0" applyBorder="1" applyFont="1"/>
    <xf borderId="414" fillId="76" fontId="82" numFmtId="0" xfId="0" applyAlignment="1" applyBorder="1" applyFont="1">
      <alignment horizontal="center" readingOrder="0" shrinkToFit="0" vertical="center" wrapText="0"/>
    </xf>
    <xf borderId="414" fillId="76" fontId="82" numFmtId="0" xfId="0" applyAlignment="1" applyBorder="1" applyFont="1">
      <alignment horizontal="left" readingOrder="0" vertical="center"/>
    </xf>
    <xf borderId="413" fillId="76" fontId="174" numFmtId="0" xfId="0" applyAlignment="1" applyBorder="1" applyFont="1">
      <alignment vertical="center"/>
    </xf>
    <xf borderId="413" fillId="76" fontId="172" numFmtId="0" xfId="0" applyAlignment="1" applyBorder="1" applyFont="1">
      <alignment readingOrder="0" shrinkToFit="0" vertical="center" wrapText="0"/>
    </xf>
    <xf borderId="413" fillId="76" fontId="172" numFmtId="49" xfId="0" applyAlignment="1" applyBorder="1" applyFont="1" applyNumberFormat="1">
      <alignment horizontal="left" readingOrder="0" shrinkToFit="0" vertical="center" wrapText="0"/>
    </xf>
    <xf borderId="417" fillId="0" fontId="2" numFmtId="0" xfId="0" applyBorder="1" applyFont="1"/>
    <xf borderId="418" fillId="0" fontId="2" numFmtId="0" xfId="0" applyBorder="1" applyFont="1"/>
    <xf borderId="419" fillId="0" fontId="2" numFmtId="0" xfId="0" applyBorder="1" applyFont="1"/>
    <xf borderId="420" fillId="0" fontId="2" numFmtId="0" xfId="0" applyBorder="1" applyFont="1"/>
    <xf borderId="421" fillId="0" fontId="2" numFmtId="0" xfId="0" applyBorder="1" applyFont="1"/>
    <xf borderId="413" fillId="76" fontId="82" numFmtId="0" xfId="0" applyAlignment="1" applyBorder="1" applyFont="1">
      <alignment horizontal="center" readingOrder="0" shrinkToFit="0" vertical="center" wrapText="0"/>
    </xf>
    <xf borderId="413" fillId="76" fontId="82" numFmtId="0" xfId="0" applyAlignment="1" applyBorder="1" applyFont="1">
      <alignment horizontal="left" readingOrder="0" vertical="center"/>
    </xf>
    <xf borderId="413" fillId="76" fontId="174" numFmtId="0" xfId="0" applyBorder="1" applyFont="1"/>
    <xf borderId="422" fillId="76" fontId="84" numFmtId="0" xfId="0" applyAlignment="1" applyBorder="1" applyFont="1">
      <alignment horizontal="center" vertical="bottom"/>
    </xf>
    <xf borderId="423" fillId="0" fontId="2" numFmtId="0" xfId="0" applyBorder="1" applyFont="1"/>
    <xf borderId="413" fillId="76" fontId="84" numFmtId="0" xfId="0" applyBorder="1" applyFont="1"/>
    <xf borderId="413" fillId="76" fontId="85" numFmtId="0" xfId="0" applyAlignment="1" applyBorder="1" applyFont="1">
      <alignment readingOrder="0" shrinkToFit="0" vertical="center" wrapText="0"/>
    </xf>
    <xf borderId="413" fillId="76" fontId="84" numFmtId="0" xfId="0" applyAlignment="1" applyBorder="1" applyFont="1">
      <alignment vertical="center"/>
    </xf>
    <xf borderId="422" fillId="76" fontId="86" numFmtId="0" xfId="0" applyAlignment="1" applyBorder="1" applyFont="1">
      <alignment horizontal="center" readingOrder="0" vertical="bottom"/>
    </xf>
    <xf borderId="413" fillId="76" fontId="84" numFmtId="0" xfId="0" applyAlignment="1" applyBorder="1" applyFont="1">
      <alignment vertical="center"/>
    </xf>
    <xf borderId="414" fillId="76" fontId="87" numFmtId="164" xfId="0" applyAlignment="1" applyBorder="1" applyFont="1" applyNumberFormat="1">
      <alignment horizontal="center" readingOrder="0" vertical="center"/>
    </xf>
    <xf borderId="422" fillId="76" fontId="174" numFmtId="0" xfId="0" applyAlignment="1" applyBorder="1" applyFont="1">
      <alignment horizontal="center"/>
    </xf>
    <xf borderId="414" fillId="76" fontId="173" numFmtId="0" xfId="0" applyAlignment="1" applyBorder="1" applyFont="1">
      <alignment horizontal="center" readingOrder="0" shrinkToFit="0" vertical="center" wrapText="0"/>
    </xf>
    <xf borderId="413" fillId="76" fontId="174" numFmtId="0" xfId="0" applyAlignment="1" applyBorder="1" applyFont="1">
      <alignment horizontal="center"/>
    </xf>
    <xf borderId="424" fillId="77" fontId="175" numFmtId="0" xfId="0" applyAlignment="1" applyBorder="1" applyFill="1" applyFont="1">
      <alignment horizontal="left" readingOrder="0" shrinkToFit="0" vertical="center" wrapText="0"/>
    </xf>
    <xf borderId="424" fillId="77" fontId="176" numFmtId="0" xfId="0" applyAlignment="1" applyBorder="1" applyFont="1">
      <alignment horizontal="center" readingOrder="0" shrinkToFit="0" vertical="center" wrapText="0"/>
    </xf>
    <xf borderId="425" fillId="77" fontId="176" numFmtId="0" xfId="0" applyAlignment="1" applyBorder="1" applyFont="1">
      <alignment horizontal="left" readingOrder="0" shrinkToFit="0" vertical="center" wrapText="0"/>
    </xf>
    <xf borderId="426" fillId="0" fontId="2" numFmtId="0" xfId="0" applyBorder="1" applyFont="1"/>
    <xf borderId="427" fillId="0" fontId="2" numFmtId="0" xfId="0" applyBorder="1" applyFont="1"/>
    <xf borderId="425" fillId="77" fontId="57" numFmtId="0" xfId="0" applyAlignment="1" applyBorder="1" applyFont="1">
      <alignment horizontal="center" readingOrder="0" shrinkToFit="0" vertical="center" wrapText="0"/>
    </xf>
    <xf borderId="425" fillId="77" fontId="57" numFmtId="0" xfId="0" applyAlignment="1" applyBorder="1" applyFont="1">
      <alignment horizontal="left" readingOrder="0" vertical="center"/>
    </xf>
    <xf borderId="424" fillId="77" fontId="177" numFmtId="0" xfId="0" applyAlignment="1" applyBorder="1" applyFont="1">
      <alignment vertical="center"/>
    </xf>
    <xf borderId="424" fillId="77" fontId="175" numFmtId="0" xfId="0" applyAlignment="1" applyBorder="1" applyFont="1">
      <alignment readingOrder="0" shrinkToFit="0" vertical="center" wrapText="0"/>
    </xf>
    <xf borderId="424" fillId="77" fontId="175" numFmtId="49" xfId="0" applyAlignment="1" applyBorder="1" applyFont="1" applyNumberFormat="1">
      <alignment horizontal="left" readingOrder="0" shrinkToFit="0" vertical="center" wrapText="0"/>
    </xf>
    <xf borderId="428" fillId="0" fontId="2" numFmtId="0" xfId="0" applyBorder="1" applyFont="1"/>
    <xf borderId="429" fillId="0" fontId="2" numFmtId="0" xfId="0" applyBorder="1" applyFont="1"/>
    <xf borderId="430" fillId="0" fontId="2" numFmtId="0" xfId="0" applyBorder="1" applyFont="1"/>
    <xf borderId="431" fillId="0" fontId="2" numFmtId="0" xfId="0" applyBorder="1" applyFont="1"/>
    <xf borderId="432" fillId="0" fontId="2" numFmtId="0" xfId="0" applyBorder="1" applyFont="1"/>
    <xf borderId="424" fillId="77" fontId="57" numFmtId="0" xfId="0" applyAlignment="1" applyBorder="1" applyFont="1">
      <alignment horizontal="center" readingOrder="0" shrinkToFit="0" vertical="center" wrapText="0"/>
    </xf>
    <xf borderId="424" fillId="77" fontId="57" numFmtId="0" xfId="0" applyAlignment="1" applyBorder="1" applyFont="1">
      <alignment horizontal="left" readingOrder="0" vertical="center"/>
    </xf>
    <xf borderId="424" fillId="77" fontId="177" numFmtId="0" xfId="0" applyBorder="1" applyFont="1"/>
    <xf borderId="433" fillId="77" fontId="59" numFmtId="0" xfId="0" applyAlignment="1" applyBorder="1" applyFont="1">
      <alignment horizontal="center" vertical="bottom"/>
    </xf>
    <xf borderId="434" fillId="0" fontId="2" numFmtId="0" xfId="0" applyBorder="1" applyFont="1"/>
    <xf borderId="424" fillId="77" fontId="59" numFmtId="0" xfId="0" applyBorder="1" applyFont="1"/>
    <xf borderId="424" fillId="77" fontId="60" numFmtId="0" xfId="0" applyAlignment="1" applyBorder="1" applyFont="1">
      <alignment readingOrder="0" shrinkToFit="0" vertical="center" wrapText="0"/>
    </xf>
    <xf borderId="424" fillId="77" fontId="59" numFmtId="0" xfId="0" applyAlignment="1" applyBorder="1" applyFont="1">
      <alignment vertical="center"/>
    </xf>
    <xf borderId="433" fillId="77" fontId="61" numFmtId="0" xfId="0" applyAlignment="1" applyBorder="1" applyFont="1">
      <alignment horizontal="center" readingOrder="0" vertical="bottom"/>
    </xf>
    <xf borderId="424" fillId="77" fontId="59" numFmtId="0" xfId="0" applyAlignment="1" applyBorder="1" applyFont="1">
      <alignment vertical="center"/>
    </xf>
    <xf borderId="425" fillId="77" fontId="62" numFmtId="164" xfId="0" applyAlignment="1" applyBorder="1" applyFont="1" applyNumberFormat="1">
      <alignment horizontal="center" readingOrder="0" vertical="center"/>
    </xf>
    <xf borderId="433" fillId="77" fontId="177" numFmtId="0" xfId="0" applyAlignment="1" applyBorder="1" applyFont="1">
      <alignment horizontal="center"/>
    </xf>
    <xf borderId="425" fillId="77" fontId="176" numFmtId="0" xfId="0" applyAlignment="1" applyBorder="1" applyFont="1">
      <alignment horizontal="center" readingOrder="0" shrinkToFit="0" vertical="center" wrapText="0"/>
    </xf>
    <xf borderId="424" fillId="77" fontId="177" numFmtId="0" xfId="0" applyAlignment="1" applyBorder="1" applyFont="1">
      <alignment horizontal="center"/>
    </xf>
    <xf borderId="435" fillId="78" fontId="178" numFmtId="0" xfId="0" applyAlignment="1" applyBorder="1" applyFill="1" applyFont="1">
      <alignment horizontal="left" readingOrder="0" shrinkToFit="0" vertical="center" wrapText="0"/>
    </xf>
    <xf borderId="435" fillId="78" fontId="179" numFmtId="0" xfId="0" applyAlignment="1" applyBorder="1" applyFont="1">
      <alignment horizontal="center" readingOrder="0" shrinkToFit="0" vertical="center" wrapText="0"/>
    </xf>
    <xf borderId="436" fillId="78" fontId="179" numFmtId="0" xfId="0" applyAlignment="1" applyBorder="1" applyFont="1">
      <alignment horizontal="left" readingOrder="0" shrinkToFit="0" vertical="center" wrapText="0"/>
    </xf>
    <xf borderId="437" fillId="0" fontId="2" numFmtId="0" xfId="0" applyBorder="1" applyFont="1"/>
    <xf borderId="438" fillId="0" fontId="2" numFmtId="0" xfId="0" applyBorder="1" applyFont="1"/>
    <xf borderId="436" fillId="78" fontId="57" numFmtId="0" xfId="0" applyAlignment="1" applyBorder="1" applyFont="1">
      <alignment horizontal="center" readingOrder="0" shrinkToFit="0" vertical="center" wrapText="0"/>
    </xf>
    <xf borderId="436" fillId="78" fontId="57" numFmtId="0" xfId="0" applyAlignment="1" applyBorder="1" applyFont="1">
      <alignment horizontal="left" readingOrder="0" vertical="center"/>
    </xf>
    <xf borderId="435" fillId="78" fontId="180" numFmtId="0" xfId="0" applyAlignment="1" applyBorder="1" applyFont="1">
      <alignment vertical="center"/>
    </xf>
    <xf borderId="435" fillId="78" fontId="178" numFmtId="0" xfId="0" applyAlignment="1" applyBorder="1" applyFont="1">
      <alignment readingOrder="0" shrinkToFit="0" vertical="center" wrapText="0"/>
    </xf>
    <xf borderId="435" fillId="78" fontId="178" numFmtId="49" xfId="0" applyAlignment="1" applyBorder="1" applyFont="1" applyNumberFormat="1">
      <alignment horizontal="left" readingOrder="0" shrinkToFit="0" vertical="center" wrapText="0"/>
    </xf>
    <xf borderId="439" fillId="0" fontId="2" numFmtId="0" xfId="0" applyBorder="1" applyFont="1"/>
    <xf borderId="440" fillId="0" fontId="2" numFmtId="0" xfId="0" applyBorder="1" applyFont="1"/>
    <xf borderId="441" fillId="0" fontId="2" numFmtId="0" xfId="0" applyBorder="1" applyFont="1"/>
    <xf borderId="442" fillId="0" fontId="2" numFmtId="0" xfId="0" applyBorder="1" applyFont="1"/>
    <xf borderId="443" fillId="0" fontId="2" numFmtId="0" xfId="0" applyBorder="1" applyFont="1"/>
    <xf borderId="435" fillId="78" fontId="57" numFmtId="0" xfId="0" applyAlignment="1" applyBorder="1" applyFont="1">
      <alignment horizontal="center" readingOrder="0" shrinkToFit="0" vertical="center" wrapText="0"/>
    </xf>
    <xf borderId="435" fillId="78" fontId="57" numFmtId="0" xfId="0" applyAlignment="1" applyBorder="1" applyFont="1">
      <alignment horizontal="left" readingOrder="0" vertical="center"/>
    </xf>
    <xf borderId="435" fillId="78" fontId="180" numFmtId="0" xfId="0" applyBorder="1" applyFont="1"/>
    <xf borderId="444" fillId="78" fontId="59" numFmtId="0" xfId="0" applyAlignment="1" applyBorder="1" applyFont="1">
      <alignment horizontal="center" vertical="bottom"/>
    </xf>
    <xf borderId="445" fillId="0" fontId="2" numFmtId="0" xfId="0" applyBorder="1" applyFont="1"/>
    <xf borderId="435" fillId="78" fontId="59" numFmtId="0" xfId="0" applyBorder="1" applyFont="1"/>
    <xf borderId="435" fillId="78" fontId="60" numFmtId="0" xfId="0" applyAlignment="1" applyBorder="1" applyFont="1">
      <alignment readingOrder="0" shrinkToFit="0" vertical="center" wrapText="0"/>
    </xf>
    <xf borderId="435" fillId="78" fontId="59" numFmtId="0" xfId="0" applyAlignment="1" applyBorder="1" applyFont="1">
      <alignment vertical="center"/>
    </xf>
    <xf borderId="444" fillId="78" fontId="61" numFmtId="0" xfId="0" applyAlignment="1" applyBorder="1" applyFont="1">
      <alignment horizontal="center" readingOrder="0" vertical="bottom"/>
    </xf>
    <xf borderId="435" fillId="78" fontId="59" numFmtId="0" xfId="0" applyAlignment="1" applyBorder="1" applyFont="1">
      <alignment vertical="center"/>
    </xf>
    <xf borderId="436" fillId="78" fontId="62" numFmtId="164" xfId="0" applyAlignment="1" applyBorder="1" applyFont="1" applyNumberFormat="1">
      <alignment horizontal="center" readingOrder="0" vertical="center"/>
    </xf>
    <xf borderId="444" fillId="78" fontId="180" numFmtId="0" xfId="0" applyAlignment="1" applyBorder="1" applyFont="1">
      <alignment horizontal="center"/>
    </xf>
    <xf borderId="436" fillId="78" fontId="179" numFmtId="0" xfId="0" applyAlignment="1" applyBorder="1" applyFont="1">
      <alignment horizontal="center" readingOrder="0" shrinkToFit="0" vertical="center" wrapText="0"/>
    </xf>
    <xf borderId="435" fillId="78" fontId="180" numFmtId="0" xfId="0" applyAlignment="1" applyBorder="1" applyFont="1">
      <alignment horizontal="center"/>
    </xf>
    <xf borderId="33" fillId="0" fontId="41" numFmtId="0" xfId="0" applyAlignment="1" applyBorder="1" applyFont="1">
      <alignment horizontal="center" shrinkToFit="0" vertical="center" wrapText="0"/>
    </xf>
    <xf borderId="33" fillId="27" fontId="49" numFmtId="49" xfId="0" applyAlignment="1" applyBorder="1" applyFont="1" applyNumberFormat="1">
      <alignment horizontal="center" shrinkToFit="0" vertical="center" wrapText="0"/>
    </xf>
    <xf borderId="31" fillId="23" fontId="44" numFmtId="49" xfId="0" applyAlignment="1" applyBorder="1" applyFont="1" applyNumberFormat="1">
      <alignment horizontal="center" shrinkToFit="0" vertical="center" wrapText="0"/>
    </xf>
    <xf borderId="31" fillId="23" fontId="44" numFmtId="0" xfId="0" applyAlignment="1" applyBorder="1" applyFont="1">
      <alignment horizontal="center" shrinkToFit="0" vertical="center" wrapText="0"/>
    </xf>
    <xf borderId="31" fillId="0" fontId="41" numFmtId="49" xfId="0" applyAlignment="1" applyBorder="1" applyFont="1" applyNumberFormat="1">
      <alignment horizontal="center" shrinkToFit="0" vertical="center" wrapText="0"/>
    </xf>
    <xf borderId="34" fillId="0" fontId="41" numFmtId="0" xfId="0" applyAlignment="1" applyBorder="1" applyFont="1">
      <alignment horizontal="center" shrinkToFit="0" vertical="center" wrapText="0"/>
    </xf>
    <xf borderId="27" fillId="0" fontId="41" numFmtId="49" xfId="0" applyAlignment="1" applyBorder="1" applyFont="1" applyNumberFormat="1">
      <alignment horizontal="center" shrinkToFit="0" vertical="center" wrapText="0"/>
    </xf>
    <xf borderId="35" fillId="27" fontId="49" numFmtId="49" xfId="0" applyAlignment="1" applyBorder="1" applyFont="1" applyNumberFormat="1">
      <alignment horizontal="center" readingOrder="0" shrinkToFit="0" vertical="center" wrapText="0"/>
    </xf>
    <xf borderId="446" fillId="79" fontId="181" numFmtId="0" xfId="0" applyAlignment="1" applyBorder="1" applyFill="1" applyFont="1">
      <alignment horizontal="left" readingOrder="0" shrinkToFit="0" vertical="center" wrapText="0"/>
    </xf>
    <xf borderId="446" fillId="79" fontId="182" numFmtId="0" xfId="0" applyAlignment="1" applyBorder="1" applyFont="1">
      <alignment horizontal="center" readingOrder="0" shrinkToFit="0" vertical="center" wrapText="0"/>
    </xf>
    <xf borderId="447" fillId="79" fontId="182" numFmtId="0" xfId="0" applyAlignment="1" applyBorder="1" applyFont="1">
      <alignment horizontal="left" readingOrder="0" shrinkToFit="0" vertical="center" wrapText="0"/>
    </xf>
    <xf borderId="448" fillId="0" fontId="2" numFmtId="0" xfId="0" applyBorder="1" applyFont="1"/>
    <xf borderId="449" fillId="0" fontId="2" numFmtId="0" xfId="0" applyBorder="1" applyFont="1"/>
    <xf borderId="447" fillId="79" fontId="82" numFmtId="0" xfId="0" applyAlignment="1" applyBorder="1" applyFont="1">
      <alignment horizontal="center" readingOrder="0" shrinkToFit="0" vertical="center" wrapText="0"/>
    </xf>
    <xf borderId="447" fillId="79" fontId="82" numFmtId="0" xfId="0" applyAlignment="1" applyBorder="1" applyFont="1">
      <alignment horizontal="left" readingOrder="0" vertical="center"/>
    </xf>
    <xf borderId="446" fillId="79" fontId="183" numFmtId="0" xfId="0" applyAlignment="1" applyBorder="1" applyFont="1">
      <alignment vertical="center"/>
    </xf>
    <xf borderId="446" fillId="79" fontId="181" numFmtId="0" xfId="0" applyAlignment="1" applyBorder="1" applyFont="1">
      <alignment readingOrder="0" shrinkToFit="0" vertical="center" wrapText="0"/>
    </xf>
    <xf borderId="446" fillId="79" fontId="181" numFmtId="49" xfId="0" applyAlignment="1" applyBorder="1" applyFont="1" applyNumberFormat="1">
      <alignment horizontal="left" readingOrder="0" shrinkToFit="0" vertical="center" wrapText="0"/>
    </xf>
    <xf borderId="450" fillId="0" fontId="2" numFmtId="0" xfId="0" applyBorder="1" applyFont="1"/>
    <xf borderId="451" fillId="0" fontId="2" numFmtId="0" xfId="0" applyBorder="1" applyFont="1"/>
    <xf borderId="452" fillId="0" fontId="2" numFmtId="0" xfId="0" applyBorder="1" applyFont="1"/>
    <xf borderId="453" fillId="0" fontId="2" numFmtId="0" xfId="0" applyBorder="1" applyFont="1"/>
    <xf borderId="454" fillId="0" fontId="2" numFmtId="0" xfId="0" applyBorder="1" applyFont="1"/>
    <xf borderId="446" fillId="79" fontId="82" numFmtId="0" xfId="0" applyAlignment="1" applyBorder="1" applyFont="1">
      <alignment horizontal="center" readingOrder="0" shrinkToFit="0" vertical="center" wrapText="0"/>
    </xf>
    <xf borderId="446" fillId="79" fontId="82" numFmtId="0" xfId="0" applyAlignment="1" applyBorder="1" applyFont="1">
      <alignment horizontal="left" readingOrder="0" vertical="center"/>
    </xf>
    <xf borderId="446" fillId="79" fontId="183" numFmtId="0" xfId="0" applyBorder="1" applyFont="1"/>
    <xf borderId="455" fillId="79" fontId="84" numFmtId="0" xfId="0" applyAlignment="1" applyBorder="1" applyFont="1">
      <alignment horizontal="center" vertical="bottom"/>
    </xf>
    <xf borderId="456" fillId="0" fontId="2" numFmtId="0" xfId="0" applyBorder="1" applyFont="1"/>
    <xf borderId="446" fillId="79" fontId="84" numFmtId="0" xfId="0" applyBorder="1" applyFont="1"/>
    <xf borderId="446" fillId="79" fontId="85" numFmtId="0" xfId="0" applyAlignment="1" applyBorder="1" applyFont="1">
      <alignment readingOrder="0" shrinkToFit="0" vertical="center" wrapText="0"/>
    </xf>
    <xf borderId="446" fillId="79" fontId="84" numFmtId="0" xfId="0" applyAlignment="1" applyBorder="1" applyFont="1">
      <alignment vertical="center"/>
    </xf>
    <xf borderId="455" fillId="79" fontId="86" numFmtId="0" xfId="0" applyAlignment="1" applyBorder="1" applyFont="1">
      <alignment horizontal="center" readingOrder="0" vertical="bottom"/>
    </xf>
    <xf borderId="446" fillId="79" fontId="84" numFmtId="0" xfId="0" applyAlignment="1" applyBorder="1" applyFont="1">
      <alignment vertical="center"/>
    </xf>
    <xf borderId="447" fillId="79" fontId="87" numFmtId="164" xfId="0" applyAlignment="1" applyBorder="1" applyFont="1" applyNumberFormat="1">
      <alignment horizontal="center" readingOrder="0" vertical="center"/>
    </xf>
    <xf borderId="455" fillId="79" fontId="183" numFmtId="0" xfId="0" applyAlignment="1" applyBorder="1" applyFont="1">
      <alignment horizontal="center"/>
    </xf>
    <xf borderId="447" fillId="79" fontId="182" numFmtId="0" xfId="0" applyAlignment="1" applyBorder="1" applyFont="1">
      <alignment horizontal="center" readingOrder="0" shrinkToFit="0" vertical="center" wrapText="0"/>
    </xf>
    <xf borderId="446" fillId="79" fontId="183" numFmtId="0" xfId="0" applyAlignment="1" applyBorder="1" applyFont="1">
      <alignment horizontal="center"/>
    </xf>
    <xf borderId="34" fillId="36" fontId="41" numFmtId="49" xfId="0" applyAlignment="1" applyBorder="1" applyFont="1" applyNumberFormat="1">
      <alignment horizontal="left" readingOrder="0" shrinkToFit="0" vertical="center" wrapText="0"/>
    </xf>
    <xf borderId="457" fillId="80" fontId="184" numFmtId="0" xfId="0" applyAlignment="1" applyBorder="1" applyFill="1" applyFont="1">
      <alignment horizontal="left" readingOrder="0" shrinkToFit="0" vertical="center" wrapText="0"/>
    </xf>
    <xf borderId="457" fillId="80" fontId="185" numFmtId="0" xfId="0" applyAlignment="1" applyBorder="1" applyFont="1">
      <alignment horizontal="center" readingOrder="0" shrinkToFit="0" vertical="center" wrapText="0"/>
    </xf>
    <xf borderId="458" fillId="80" fontId="185" numFmtId="0" xfId="0" applyAlignment="1" applyBorder="1" applyFont="1">
      <alignment horizontal="left" readingOrder="0" shrinkToFit="0" vertical="center" wrapText="0"/>
    </xf>
    <xf borderId="459" fillId="0" fontId="2" numFmtId="0" xfId="0" applyBorder="1" applyFont="1"/>
    <xf borderId="460" fillId="0" fontId="2" numFmtId="0" xfId="0" applyBorder="1" applyFont="1"/>
    <xf borderId="458" fillId="80" fontId="31" numFmtId="0" xfId="0" applyAlignment="1" applyBorder="1" applyFont="1">
      <alignment horizontal="center" readingOrder="0" shrinkToFit="0" vertical="center" wrapText="0"/>
    </xf>
    <xf borderId="458" fillId="80" fontId="31" numFmtId="0" xfId="0" applyAlignment="1" applyBorder="1" applyFont="1">
      <alignment horizontal="left" readingOrder="0" vertical="center"/>
    </xf>
    <xf borderId="457" fillId="80" fontId="186" numFmtId="0" xfId="0" applyAlignment="1" applyBorder="1" applyFont="1">
      <alignment vertical="center"/>
    </xf>
    <xf borderId="457" fillId="80" fontId="184" numFmtId="0" xfId="0" applyAlignment="1" applyBorder="1" applyFont="1">
      <alignment readingOrder="0" shrinkToFit="0" vertical="center" wrapText="0"/>
    </xf>
    <xf borderId="457" fillId="80" fontId="184" numFmtId="49" xfId="0" applyAlignment="1" applyBorder="1" applyFont="1" applyNumberFormat="1">
      <alignment horizontal="left" readingOrder="0" shrinkToFit="0" vertical="center" wrapText="0"/>
    </xf>
    <xf borderId="461" fillId="0" fontId="2" numFmtId="0" xfId="0" applyBorder="1" applyFont="1"/>
    <xf borderId="462" fillId="0" fontId="2" numFmtId="0" xfId="0" applyBorder="1" applyFont="1"/>
    <xf borderId="463" fillId="0" fontId="2" numFmtId="0" xfId="0" applyBorder="1" applyFont="1"/>
    <xf borderId="464" fillId="0" fontId="2" numFmtId="0" xfId="0" applyBorder="1" applyFont="1"/>
    <xf borderId="465" fillId="0" fontId="2" numFmtId="0" xfId="0" applyBorder="1" applyFont="1"/>
    <xf borderId="457" fillId="80" fontId="31" numFmtId="0" xfId="0" applyAlignment="1" applyBorder="1" applyFont="1">
      <alignment horizontal="center" readingOrder="0" shrinkToFit="0" vertical="center" wrapText="0"/>
    </xf>
    <xf borderId="457" fillId="80" fontId="31" numFmtId="0" xfId="0" applyAlignment="1" applyBorder="1" applyFont="1">
      <alignment horizontal="left" readingOrder="0" vertical="center"/>
    </xf>
    <xf borderId="457" fillId="80" fontId="186" numFmtId="0" xfId="0" applyBorder="1" applyFont="1"/>
    <xf borderId="466" fillId="80" fontId="33" numFmtId="0" xfId="0" applyAlignment="1" applyBorder="1" applyFont="1">
      <alignment horizontal="center" vertical="bottom"/>
    </xf>
    <xf borderId="467" fillId="0" fontId="2" numFmtId="0" xfId="0" applyBorder="1" applyFont="1"/>
    <xf borderId="457" fillId="80" fontId="33" numFmtId="0" xfId="0" applyBorder="1" applyFont="1"/>
    <xf borderId="457" fillId="80" fontId="34" numFmtId="0" xfId="0" applyAlignment="1" applyBorder="1" applyFont="1">
      <alignment readingOrder="0" shrinkToFit="0" vertical="center" wrapText="0"/>
    </xf>
    <xf borderId="457" fillId="80" fontId="33" numFmtId="0" xfId="0" applyAlignment="1" applyBorder="1" applyFont="1">
      <alignment vertical="center"/>
    </xf>
    <xf borderId="466" fillId="80" fontId="35" numFmtId="0" xfId="0" applyAlignment="1" applyBorder="1" applyFont="1">
      <alignment horizontal="center" readingOrder="0" vertical="bottom"/>
    </xf>
    <xf borderId="457" fillId="80" fontId="33" numFmtId="0" xfId="0" applyAlignment="1" applyBorder="1" applyFont="1">
      <alignment vertical="center"/>
    </xf>
    <xf borderId="458" fillId="80" fontId="36" numFmtId="164" xfId="0" applyAlignment="1" applyBorder="1" applyFont="1" applyNumberFormat="1">
      <alignment horizontal="center" readingOrder="0" vertical="center"/>
    </xf>
    <xf borderId="466" fillId="80" fontId="186" numFmtId="0" xfId="0" applyAlignment="1" applyBorder="1" applyFont="1">
      <alignment horizontal="center"/>
    </xf>
    <xf borderId="458" fillId="80" fontId="185" numFmtId="0" xfId="0" applyAlignment="1" applyBorder="1" applyFont="1">
      <alignment horizontal="center" readingOrder="0" shrinkToFit="0" vertical="center" wrapText="0"/>
    </xf>
    <xf borderId="457" fillId="80" fontId="186" numFmtId="0" xfId="0" applyAlignment="1" applyBorder="1" applyFont="1">
      <alignment horizontal="center"/>
    </xf>
    <xf borderId="468" fillId="81" fontId="187" numFmtId="0" xfId="0" applyAlignment="1" applyBorder="1" applyFill="1" applyFont="1">
      <alignment horizontal="left" readingOrder="0" shrinkToFit="0" vertical="center" wrapText="0"/>
    </xf>
    <xf borderId="468" fillId="81" fontId="188" numFmtId="0" xfId="0" applyAlignment="1" applyBorder="1" applyFont="1">
      <alignment horizontal="center" readingOrder="0" shrinkToFit="0" vertical="center" wrapText="0"/>
    </xf>
    <xf borderId="469" fillId="81" fontId="188" numFmtId="0" xfId="0" applyAlignment="1" applyBorder="1" applyFont="1">
      <alignment horizontal="left" readingOrder="0" shrinkToFit="0" vertical="center" wrapText="0"/>
    </xf>
    <xf borderId="470" fillId="0" fontId="2" numFmtId="0" xfId="0" applyBorder="1" applyFont="1"/>
    <xf borderId="471" fillId="0" fontId="2" numFmtId="0" xfId="0" applyBorder="1" applyFont="1"/>
    <xf borderId="469" fillId="81" fontId="65" numFmtId="0" xfId="0" applyAlignment="1" applyBorder="1" applyFont="1">
      <alignment horizontal="center" readingOrder="0" shrinkToFit="0" vertical="center" wrapText="0"/>
    </xf>
    <xf borderId="469" fillId="81" fontId="65" numFmtId="0" xfId="0" applyAlignment="1" applyBorder="1" applyFont="1">
      <alignment horizontal="left" readingOrder="0" vertical="center"/>
    </xf>
    <xf borderId="468" fillId="81" fontId="189" numFmtId="0" xfId="0" applyAlignment="1" applyBorder="1" applyFont="1">
      <alignment vertical="center"/>
    </xf>
    <xf borderId="468" fillId="81" fontId="187" numFmtId="0" xfId="0" applyAlignment="1" applyBorder="1" applyFont="1">
      <alignment readingOrder="0" shrinkToFit="0" vertical="center" wrapText="0"/>
    </xf>
    <xf borderId="468" fillId="81" fontId="187" numFmtId="49" xfId="0" applyAlignment="1" applyBorder="1" applyFont="1" applyNumberFormat="1">
      <alignment horizontal="left" readingOrder="0" shrinkToFit="0" vertical="center" wrapText="0"/>
    </xf>
    <xf borderId="472" fillId="0" fontId="2" numFmtId="0" xfId="0" applyBorder="1" applyFont="1"/>
    <xf borderId="473" fillId="0" fontId="2" numFmtId="0" xfId="0" applyBorder="1" applyFont="1"/>
    <xf borderId="474" fillId="0" fontId="2" numFmtId="0" xfId="0" applyBorder="1" applyFont="1"/>
    <xf borderId="475" fillId="0" fontId="2" numFmtId="0" xfId="0" applyBorder="1" applyFont="1"/>
    <xf borderId="476" fillId="0" fontId="2" numFmtId="0" xfId="0" applyBorder="1" applyFont="1"/>
    <xf borderId="468" fillId="81" fontId="65" numFmtId="0" xfId="0" applyAlignment="1" applyBorder="1" applyFont="1">
      <alignment horizontal="center" readingOrder="0" shrinkToFit="0" vertical="center" wrapText="0"/>
    </xf>
    <xf borderId="468" fillId="81" fontId="65" numFmtId="0" xfId="0" applyAlignment="1" applyBorder="1" applyFont="1">
      <alignment horizontal="left" readingOrder="0" vertical="center"/>
    </xf>
    <xf borderId="468" fillId="81" fontId="189" numFmtId="0" xfId="0" applyBorder="1" applyFont="1"/>
    <xf borderId="477" fillId="81" fontId="67" numFmtId="0" xfId="0" applyAlignment="1" applyBorder="1" applyFont="1">
      <alignment horizontal="center" vertical="bottom"/>
    </xf>
    <xf borderId="478" fillId="0" fontId="2" numFmtId="0" xfId="0" applyBorder="1" applyFont="1"/>
    <xf borderId="468" fillId="81" fontId="67" numFmtId="0" xfId="0" applyBorder="1" applyFont="1"/>
    <xf borderId="468" fillId="81" fontId="68" numFmtId="0" xfId="0" applyAlignment="1" applyBorder="1" applyFont="1">
      <alignment readingOrder="0" shrinkToFit="0" vertical="center" wrapText="0"/>
    </xf>
    <xf borderId="468" fillId="81" fontId="67" numFmtId="0" xfId="0" applyAlignment="1" applyBorder="1" applyFont="1">
      <alignment vertical="center"/>
    </xf>
    <xf borderId="477" fillId="81" fontId="69" numFmtId="0" xfId="0" applyAlignment="1" applyBorder="1" applyFont="1">
      <alignment horizontal="center" readingOrder="0" vertical="bottom"/>
    </xf>
    <xf borderId="468" fillId="81" fontId="67" numFmtId="0" xfId="0" applyAlignment="1" applyBorder="1" applyFont="1">
      <alignment vertical="center"/>
    </xf>
    <xf borderId="469" fillId="81" fontId="70" numFmtId="164" xfId="0" applyAlignment="1" applyBorder="1" applyFont="1" applyNumberFormat="1">
      <alignment horizontal="center" readingOrder="0" vertical="center"/>
    </xf>
    <xf borderId="477" fillId="81" fontId="189" numFmtId="0" xfId="0" applyAlignment="1" applyBorder="1" applyFont="1">
      <alignment horizontal="center"/>
    </xf>
    <xf borderId="469" fillId="81" fontId="188" numFmtId="0" xfId="0" applyAlignment="1" applyBorder="1" applyFont="1">
      <alignment horizontal="center" readingOrder="0" shrinkToFit="0" vertical="center" wrapText="0"/>
    </xf>
    <xf borderId="468" fillId="81" fontId="189" numFmtId="0" xfId="0" applyAlignment="1" applyBorder="1" applyFont="1">
      <alignment horizontal="center"/>
    </xf>
    <xf borderId="33" fillId="10" fontId="41" numFmtId="49" xfId="0" applyAlignment="1" applyBorder="1" applyFont="1" applyNumberFormat="1">
      <alignment horizontal="center" shrinkToFit="0" vertical="center" wrapText="0"/>
    </xf>
    <xf borderId="31" fillId="27" fontId="40" numFmtId="49" xfId="0" applyAlignment="1" applyBorder="1" applyFont="1" applyNumberFormat="1">
      <alignment vertical="center"/>
    </xf>
    <xf borderId="33" fillId="24" fontId="40" numFmtId="0" xfId="0" applyAlignment="1" applyBorder="1" applyFont="1">
      <alignment shrinkToFit="0" vertical="center" wrapText="0"/>
    </xf>
    <xf borderId="31" fillId="25" fontId="40" numFmtId="49" xfId="0" applyAlignment="1" applyBorder="1" applyFont="1" applyNumberFormat="1">
      <alignment vertical="center"/>
    </xf>
    <xf borderId="31" fillId="11" fontId="40" numFmtId="49" xfId="0" applyAlignment="1" applyBorder="1" applyFont="1" applyNumberFormat="1">
      <alignment horizontal="center" shrinkToFit="0" vertical="center" wrapText="0"/>
    </xf>
    <xf borderId="31" fillId="27" fontId="40" numFmtId="0" xfId="0" applyAlignment="1" applyBorder="1" applyFont="1">
      <alignment vertical="center"/>
    </xf>
    <xf borderId="32" fillId="11" fontId="40" numFmtId="0" xfId="0" applyAlignment="1" applyBorder="1" applyFont="1">
      <alignment shrinkToFit="0" vertical="center" wrapText="1"/>
    </xf>
    <xf borderId="31" fillId="11" fontId="40" numFmtId="0" xfId="0" applyAlignment="1" applyBorder="1" applyFont="1">
      <alignment vertical="center"/>
    </xf>
    <xf borderId="479" fillId="82" fontId="190" numFmtId="0" xfId="0" applyAlignment="1" applyBorder="1" applyFill="1" applyFont="1">
      <alignment horizontal="left" readingOrder="0" shrinkToFit="0" vertical="center" wrapText="0"/>
    </xf>
    <xf borderId="479" fillId="82" fontId="191" numFmtId="0" xfId="0" applyAlignment="1" applyBorder="1" applyFont="1">
      <alignment horizontal="center" readingOrder="0" shrinkToFit="0" vertical="center" wrapText="0"/>
    </xf>
    <xf borderId="480" fillId="82" fontId="191" numFmtId="0" xfId="0" applyAlignment="1" applyBorder="1" applyFont="1">
      <alignment horizontal="left" readingOrder="0" shrinkToFit="0" vertical="center" wrapText="0"/>
    </xf>
    <xf borderId="481" fillId="0" fontId="2" numFmtId="0" xfId="0" applyBorder="1" applyFont="1"/>
    <xf borderId="482" fillId="0" fontId="2" numFmtId="0" xfId="0" applyBorder="1" applyFont="1"/>
    <xf borderId="480" fillId="82" fontId="31" numFmtId="0" xfId="0" applyAlignment="1" applyBorder="1" applyFont="1">
      <alignment horizontal="center" readingOrder="0" shrinkToFit="0" vertical="center" wrapText="0"/>
    </xf>
    <xf borderId="480" fillId="82" fontId="31" numFmtId="0" xfId="0" applyAlignment="1" applyBorder="1" applyFont="1">
      <alignment horizontal="left" readingOrder="0" vertical="center"/>
    </xf>
    <xf borderId="479" fillId="82" fontId="192" numFmtId="0" xfId="0" applyAlignment="1" applyBorder="1" applyFont="1">
      <alignment vertical="center"/>
    </xf>
    <xf borderId="479" fillId="82" fontId="190" numFmtId="0" xfId="0" applyAlignment="1" applyBorder="1" applyFont="1">
      <alignment readingOrder="0" shrinkToFit="0" vertical="center" wrapText="0"/>
    </xf>
    <xf borderId="479" fillId="82" fontId="190" numFmtId="49" xfId="0" applyAlignment="1" applyBorder="1" applyFont="1" applyNumberFormat="1">
      <alignment horizontal="left" readingOrder="0" shrinkToFit="0" vertical="center" wrapText="0"/>
    </xf>
    <xf borderId="483" fillId="0" fontId="2" numFmtId="0" xfId="0" applyBorder="1" applyFont="1"/>
    <xf borderId="484" fillId="0" fontId="2" numFmtId="0" xfId="0" applyBorder="1" applyFont="1"/>
    <xf borderId="485" fillId="0" fontId="2" numFmtId="0" xfId="0" applyBorder="1" applyFont="1"/>
    <xf borderId="486" fillId="0" fontId="2" numFmtId="0" xfId="0" applyBorder="1" applyFont="1"/>
    <xf borderId="487" fillId="0" fontId="2" numFmtId="0" xfId="0" applyBorder="1" applyFont="1"/>
    <xf borderId="479" fillId="82" fontId="31" numFmtId="0" xfId="0" applyAlignment="1" applyBorder="1" applyFont="1">
      <alignment horizontal="center" readingOrder="0" shrinkToFit="0" vertical="center" wrapText="0"/>
    </xf>
    <xf borderId="479" fillId="82" fontId="31" numFmtId="0" xfId="0" applyAlignment="1" applyBorder="1" applyFont="1">
      <alignment horizontal="left" readingOrder="0" vertical="center"/>
    </xf>
    <xf borderId="479" fillId="82" fontId="192" numFmtId="0" xfId="0" applyBorder="1" applyFont="1"/>
    <xf borderId="488" fillId="82" fontId="33" numFmtId="0" xfId="0" applyAlignment="1" applyBorder="1" applyFont="1">
      <alignment horizontal="center" vertical="bottom"/>
    </xf>
    <xf borderId="489" fillId="0" fontId="2" numFmtId="0" xfId="0" applyBorder="1" applyFont="1"/>
    <xf borderId="479" fillId="82" fontId="33" numFmtId="0" xfId="0" applyBorder="1" applyFont="1"/>
    <xf borderId="479" fillId="82" fontId="34" numFmtId="0" xfId="0" applyAlignment="1" applyBorder="1" applyFont="1">
      <alignment readingOrder="0" shrinkToFit="0" vertical="center" wrapText="0"/>
    </xf>
    <xf borderId="479" fillId="82" fontId="33" numFmtId="0" xfId="0" applyAlignment="1" applyBorder="1" applyFont="1">
      <alignment vertical="center"/>
    </xf>
    <xf borderId="488" fillId="82" fontId="35" numFmtId="0" xfId="0" applyAlignment="1" applyBorder="1" applyFont="1">
      <alignment horizontal="center" readingOrder="0" vertical="bottom"/>
    </xf>
    <xf borderId="479" fillId="82" fontId="33" numFmtId="0" xfId="0" applyAlignment="1" applyBorder="1" applyFont="1">
      <alignment vertical="center"/>
    </xf>
    <xf borderId="480" fillId="82" fontId="36" numFmtId="164" xfId="0" applyAlignment="1" applyBorder="1" applyFont="1" applyNumberFormat="1">
      <alignment horizontal="center" readingOrder="0" vertical="center"/>
    </xf>
    <xf borderId="488" fillId="82" fontId="192" numFmtId="0" xfId="0" applyAlignment="1" applyBorder="1" applyFont="1">
      <alignment horizontal="center"/>
    </xf>
    <xf borderId="480" fillId="82" fontId="191" numFmtId="0" xfId="0" applyAlignment="1" applyBorder="1" applyFont="1">
      <alignment horizontal="center" readingOrder="0" shrinkToFit="0" vertical="center" wrapText="0"/>
    </xf>
    <xf borderId="479" fillId="82" fontId="192" numFmtId="0" xfId="0" applyAlignment="1" applyBorder="1" applyFont="1">
      <alignment horizontal="center"/>
    </xf>
    <xf borderId="490" fillId="83" fontId="193" numFmtId="0" xfId="0" applyAlignment="1" applyBorder="1" applyFill="1" applyFont="1">
      <alignment horizontal="left" readingOrder="0" shrinkToFit="0" vertical="center" wrapText="0"/>
    </xf>
    <xf borderId="490" fillId="83" fontId="194" numFmtId="0" xfId="0" applyAlignment="1" applyBorder="1" applyFont="1">
      <alignment horizontal="center" readingOrder="0" shrinkToFit="0" vertical="center" wrapText="0"/>
    </xf>
    <xf borderId="491" fillId="83" fontId="194" numFmtId="0" xfId="0" applyAlignment="1" applyBorder="1" applyFont="1">
      <alignment horizontal="left" readingOrder="0" shrinkToFit="0" vertical="center" wrapText="0"/>
    </xf>
    <xf borderId="492" fillId="0" fontId="2" numFmtId="0" xfId="0" applyBorder="1" applyFont="1"/>
    <xf borderId="493" fillId="0" fontId="2" numFmtId="0" xfId="0" applyBorder="1" applyFont="1"/>
    <xf borderId="491" fillId="83" fontId="82" numFmtId="0" xfId="0" applyAlignment="1" applyBorder="1" applyFont="1">
      <alignment horizontal="center" readingOrder="0" shrinkToFit="0" vertical="center" wrapText="0"/>
    </xf>
    <xf borderId="491" fillId="83" fontId="82" numFmtId="0" xfId="0" applyAlignment="1" applyBorder="1" applyFont="1">
      <alignment horizontal="left" readingOrder="0" vertical="center"/>
    </xf>
    <xf borderId="490" fillId="83" fontId="195" numFmtId="0" xfId="0" applyAlignment="1" applyBorder="1" applyFont="1">
      <alignment vertical="center"/>
    </xf>
    <xf borderId="490" fillId="83" fontId="193" numFmtId="0" xfId="0" applyAlignment="1" applyBorder="1" applyFont="1">
      <alignment readingOrder="0" shrinkToFit="0" vertical="center" wrapText="0"/>
    </xf>
    <xf borderId="490" fillId="83" fontId="193" numFmtId="49" xfId="0" applyAlignment="1" applyBorder="1" applyFont="1" applyNumberFormat="1">
      <alignment horizontal="left" readingOrder="0" shrinkToFit="0" vertical="center" wrapText="0"/>
    </xf>
    <xf borderId="494" fillId="0" fontId="2" numFmtId="0" xfId="0" applyBorder="1" applyFont="1"/>
    <xf borderId="495" fillId="0" fontId="2" numFmtId="0" xfId="0" applyBorder="1" applyFont="1"/>
    <xf borderId="496" fillId="0" fontId="2" numFmtId="0" xfId="0" applyBorder="1" applyFont="1"/>
    <xf borderId="497" fillId="0" fontId="2" numFmtId="0" xfId="0" applyBorder="1" applyFont="1"/>
    <xf borderId="498" fillId="0" fontId="2" numFmtId="0" xfId="0" applyBorder="1" applyFont="1"/>
    <xf borderId="490" fillId="83" fontId="82" numFmtId="0" xfId="0" applyAlignment="1" applyBorder="1" applyFont="1">
      <alignment horizontal="center" readingOrder="0" shrinkToFit="0" vertical="center" wrapText="0"/>
    </xf>
    <xf borderId="490" fillId="83" fontId="82" numFmtId="0" xfId="0" applyAlignment="1" applyBorder="1" applyFont="1">
      <alignment horizontal="left" readingOrder="0" vertical="center"/>
    </xf>
    <xf borderId="490" fillId="83" fontId="195" numFmtId="0" xfId="0" applyBorder="1" applyFont="1"/>
    <xf borderId="499" fillId="83" fontId="84" numFmtId="0" xfId="0" applyAlignment="1" applyBorder="1" applyFont="1">
      <alignment horizontal="center" vertical="bottom"/>
    </xf>
    <xf borderId="500" fillId="0" fontId="2" numFmtId="0" xfId="0" applyBorder="1" applyFont="1"/>
    <xf borderId="490" fillId="83" fontId="84" numFmtId="0" xfId="0" applyBorder="1" applyFont="1"/>
    <xf borderId="490" fillId="83" fontId="85" numFmtId="0" xfId="0" applyAlignment="1" applyBorder="1" applyFont="1">
      <alignment readingOrder="0" shrinkToFit="0" vertical="center" wrapText="0"/>
    </xf>
    <xf borderId="490" fillId="83" fontId="84" numFmtId="0" xfId="0" applyAlignment="1" applyBorder="1" applyFont="1">
      <alignment vertical="center"/>
    </xf>
    <xf borderId="499" fillId="83" fontId="86" numFmtId="0" xfId="0" applyAlignment="1" applyBorder="1" applyFont="1">
      <alignment horizontal="center" readingOrder="0" vertical="bottom"/>
    </xf>
    <xf borderId="490" fillId="83" fontId="84" numFmtId="0" xfId="0" applyAlignment="1" applyBorder="1" applyFont="1">
      <alignment vertical="center"/>
    </xf>
    <xf borderId="491" fillId="83" fontId="87" numFmtId="164" xfId="0" applyAlignment="1" applyBorder="1" applyFont="1" applyNumberFormat="1">
      <alignment horizontal="center" readingOrder="0" vertical="center"/>
    </xf>
    <xf borderId="499" fillId="83" fontId="195" numFmtId="0" xfId="0" applyAlignment="1" applyBorder="1" applyFont="1">
      <alignment horizontal="center"/>
    </xf>
    <xf borderId="491" fillId="83" fontId="194" numFmtId="0" xfId="0" applyAlignment="1" applyBorder="1" applyFont="1">
      <alignment horizontal="center" readingOrder="0" shrinkToFit="0" vertical="center" wrapText="0"/>
    </xf>
    <xf borderId="490" fillId="83" fontId="195" numFmtId="0" xfId="0" applyAlignment="1" applyBorder="1" applyFont="1">
      <alignment horizontal="center"/>
    </xf>
    <xf borderId="33" fillId="0" fontId="0" numFmtId="0" xfId="0" applyAlignment="1" applyBorder="1" applyFont="1">
      <alignment horizontal="center" shrinkToFit="0" vertical="center" wrapText="0"/>
    </xf>
    <xf borderId="33" fillId="11" fontId="0" numFmtId="0" xfId="0" applyAlignment="1" applyBorder="1" applyFont="1">
      <alignment horizontal="center" shrinkToFit="0" vertical="center" wrapText="0"/>
    </xf>
    <xf borderId="0" fillId="11" fontId="1" numFmtId="0" xfId="0" applyAlignment="1" applyFont="1">
      <alignment horizontal="center" readingOrder="0" shrinkToFit="0" vertical="center" wrapText="0"/>
    </xf>
    <xf borderId="31" fillId="0" fontId="0" numFmtId="49" xfId="0" applyAlignment="1" applyBorder="1" applyFont="1" applyNumberFormat="1">
      <alignment horizontal="center" readingOrder="0" shrinkToFit="0" vertical="center" wrapText="0"/>
    </xf>
    <xf borderId="501" fillId="84" fontId="196" numFmtId="0" xfId="0" applyAlignment="1" applyBorder="1" applyFill="1" applyFont="1">
      <alignment horizontal="left" readingOrder="0" shrinkToFit="0" vertical="center" wrapText="0"/>
    </xf>
    <xf borderId="501" fillId="84" fontId="197" numFmtId="0" xfId="0" applyAlignment="1" applyBorder="1" applyFont="1">
      <alignment horizontal="center" readingOrder="0" shrinkToFit="0" vertical="center" wrapText="0"/>
    </xf>
    <xf borderId="502" fillId="84" fontId="197" numFmtId="0" xfId="0" applyAlignment="1" applyBorder="1" applyFont="1">
      <alignment horizontal="left" readingOrder="0" shrinkToFit="0" vertical="center" wrapText="0"/>
    </xf>
    <xf borderId="503" fillId="0" fontId="2" numFmtId="0" xfId="0" applyBorder="1" applyFont="1"/>
    <xf borderId="504" fillId="0" fontId="2" numFmtId="0" xfId="0" applyBorder="1" applyFont="1"/>
    <xf borderId="502" fillId="84" fontId="57" numFmtId="0" xfId="0" applyAlignment="1" applyBorder="1" applyFont="1">
      <alignment horizontal="center" readingOrder="0" shrinkToFit="0" vertical="center" wrapText="0"/>
    </xf>
    <xf borderId="502" fillId="84" fontId="57" numFmtId="0" xfId="0" applyAlignment="1" applyBorder="1" applyFont="1">
      <alignment horizontal="left" readingOrder="0" vertical="center"/>
    </xf>
    <xf borderId="501" fillId="84" fontId="198" numFmtId="0" xfId="0" applyAlignment="1" applyBorder="1" applyFont="1">
      <alignment vertical="center"/>
    </xf>
    <xf borderId="501" fillId="84" fontId="196" numFmtId="0" xfId="0" applyAlignment="1" applyBorder="1" applyFont="1">
      <alignment readingOrder="0" shrinkToFit="0" vertical="center" wrapText="0"/>
    </xf>
    <xf borderId="501" fillId="84" fontId="196" numFmtId="49" xfId="0" applyAlignment="1" applyBorder="1" applyFont="1" applyNumberFormat="1">
      <alignment horizontal="left" readingOrder="0" shrinkToFit="0" vertical="center" wrapText="0"/>
    </xf>
    <xf borderId="505" fillId="0" fontId="2" numFmtId="0" xfId="0" applyBorder="1" applyFont="1"/>
    <xf borderId="506" fillId="0" fontId="2" numFmtId="0" xfId="0" applyBorder="1" applyFont="1"/>
    <xf borderId="507" fillId="0" fontId="2" numFmtId="0" xfId="0" applyBorder="1" applyFont="1"/>
    <xf borderId="508" fillId="0" fontId="2" numFmtId="0" xfId="0" applyBorder="1" applyFont="1"/>
    <xf borderId="509" fillId="0" fontId="2" numFmtId="0" xfId="0" applyBorder="1" applyFont="1"/>
    <xf borderId="501" fillId="84" fontId="57" numFmtId="0" xfId="0" applyAlignment="1" applyBorder="1" applyFont="1">
      <alignment horizontal="center" readingOrder="0" shrinkToFit="0" vertical="center" wrapText="0"/>
    </xf>
    <xf borderId="501" fillId="84" fontId="57" numFmtId="0" xfId="0" applyAlignment="1" applyBorder="1" applyFont="1">
      <alignment horizontal="left" readingOrder="0" vertical="center"/>
    </xf>
    <xf borderId="501" fillId="84" fontId="198" numFmtId="0" xfId="0" applyBorder="1" applyFont="1"/>
    <xf borderId="510" fillId="84" fontId="59" numFmtId="0" xfId="0" applyAlignment="1" applyBorder="1" applyFont="1">
      <alignment horizontal="center" vertical="bottom"/>
    </xf>
    <xf borderId="511" fillId="0" fontId="2" numFmtId="0" xfId="0" applyBorder="1" applyFont="1"/>
    <xf borderId="501" fillId="84" fontId="59" numFmtId="0" xfId="0" applyBorder="1" applyFont="1"/>
    <xf borderId="501" fillId="84" fontId="60" numFmtId="0" xfId="0" applyAlignment="1" applyBorder="1" applyFont="1">
      <alignment readingOrder="0" shrinkToFit="0" vertical="center" wrapText="0"/>
    </xf>
    <xf borderId="501" fillId="84" fontId="59" numFmtId="0" xfId="0" applyAlignment="1" applyBorder="1" applyFont="1">
      <alignment vertical="center"/>
    </xf>
    <xf borderId="510" fillId="84" fontId="61" numFmtId="0" xfId="0" applyAlignment="1" applyBorder="1" applyFont="1">
      <alignment horizontal="center" readingOrder="0" vertical="bottom"/>
    </xf>
    <xf borderId="501" fillId="84" fontId="59" numFmtId="0" xfId="0" applyAlignment="1" applyBorder="1" applyFont="1">
      <alignment vertical="center"/>
    </xf>
    <xf borderId="502" fillId="84" fontId="62" numFmtId="164" xfId="0" applyAlignment="1" applyBorder="1" applyFont="1" applyNumberFormat="1">
      <alignment horizontal="center" readingOrder="0" vertical="center"/>
    </xf>
    <xf borderId="510" fillId="84" fontId="198" numFmtId="0" xfId="0" applyAlignment="1" applyBorder="1" applyFont="1">
      <alignment horizontal="center"/>
    </xf>
    <xf borderId="502" fillId="84" fontId="197" numFmtId="0" xfId="0" applyAlignment="1" applyBorder="1" applyFont="1">
      <alignment horizontal="center" readingOrder="0" shrinkToFit="0" vertical="center" wrapText="0"/>
    </xf>
    <xf borderId="501" fillId="84" fontId="198" numFmtId="0" xfId="0" applyAlignment="1" applyBorder="1" applyFont="1">
      <alignment horizontal="center"/>
    </xf>
    <xf borderId="29" fillId="27" fontId="49" numFmtId="49" xfId="0" applyAlignment="1" applyBorder="1" applyFont="1" applyNumberFormat="1">
      <alignment horizontal="center" readingOrder="0" shrinkToFit="0" vertical="center" wrapText="0"/>
    </xf>
    <xf borderId="512" fillId="85" fontId="199" numFmtId="0" xfId="0" applyAlignment="1" applyBorder="1" applyFill="1" applyFont="1">
      <alignment horizontal="left" readingOrder="0" shrinkToFit="0" vertical="center" wrapText="0"/>
    </xf>
    <xf borderId="512" fillId="85" fontId="200" numFmtId="0" xfId="0" applyAlignment="1" applyBorder="1" applyFont="1">
      <alignment horizontal="center" readingOrder="0" shrinkToFit="0" vertical="center" wrapText="0"/>
    </xf>
    <xf borderId="513" fillId="85" fontId="200" numFmtId="0" xfId="0" applyAlignment="1" applyBorder="1" applyFont="1">
      <alignment horizontal="left" readingOrder="0" shrinkToFit="0" vertical="center" wrapText="0"/>
    </xf>
    <xf borderId="514" fillId="0" fontId="2" numFmtId="0" xfId="0" applyBorder="1" applyFont="1"/>
    <xf borderId="515" fillId="0" fontId="2" numFmtId="0" xfId="0" applyBorder="1" applyFont="1"/>
    <xf borderId="513" fillId="85" fontId="82" numFmtId="0" xfId="0" applyAlignment="1" applyBorder="1" applyFont="1">
      <alignment horizontal="center" readingOrder="0" shrinkToFit="0" vertical="center" wrapText="0"/>
    </xf>
    <xf borderId="513" fillId="85" fontId="82" numFmtId="0" xfId="0" applyAlignment="1" applyBorder="1" applyFont="1">
      <alignment horizontal="left" readingOrder="0" vertical="center"/>
    </xf>
    <xf borderId="512" fillId="85" fontId="201" numFmtId="0" xfId="0" applyAlignment="1" applyBorder="1" applyFont="1">
      <alignment vertical="center"/>
    </xf>
    <xf borderId="512" fillId="85" fontId="199" numFmtId="0" xfId="0" applyAlignment="1" applyBorder="1" applyFont="1">
      <alignment readingOrder="0" shrinkToFit="0" vertical="center" wrapText="0"/>
    </xf>
    <xf borderId="512" fillId="85" fontId="199" numFmtId="49" xfId="0" applyAlignment="1" applyBorder="1" applyFont="1" applyNumberFormat="1">
      <alignment horizontal="left" readingOrder="0" shrinkToFit="0" vertical="center" wrapText="0"/>
    </xf>
    <xf borderId="516" fillId="0" fontId="2" numFmtId="0" xfId="0" applyBorder="1" applyFont="1"/>
    <xf borderId="517" fillId="0" fontId="2" numFmtId="0" xfId="0" applyBorder="1" applyFont="1"/>
    <xf borderId="518" fillId="0" fontId="2" numFmtId="0" xfId="0" applyBorder="1" applyFont="1"/>
    <xf borderId="519" fillId="0" fontId="2" numFmtId="0" xfId="0" applyBorder="1" applyFont="1"/>
    <xf borderId="520" fillId="0" fontId="2" numFmtId="0" xfId="0" applyBorder="1" applyFont="1"/>
    <xf borderId="512" fillId="85" fontId="82" numFmtId="0" xfId="0" applyAlignment="1" applyBorder="1" applyFont="1">
      <alignment horizontal="center" readingOrder="0" shrinkToFit="0" vertical="center" wrapText="0"/>
    </xf>
    <xf borderId="512" fillId="85" fontId="82" numFmtId="0" xfId="0" applyAlignment="1" applyBorder="1" applyFont="1">
      <alignment horizontal="left" readingOrder="0" vertical="center"/>
    </xf>
    <xf borderId="512" fillId="85" fontId="201" numFmtId="0" xfId="0" applyBorder="1" applyFont="1"/>
    <xf borderId="521" fillId="85" fontId="84" numFmtId="0" xfId="0" applyAlignment="1" applyBorder="1" applyFont="1">
      <alignment horizontal="center" vertical="bottom"/>
    </xf>
    <xf borderId="522" fillId="0" fontId="2" numFmtId="0" xfId="0" applyBorder="1" applyFont="1"/>
    <xf borderId="512" fillId="85" fontId="84" numFmtId="0" xfId="0" applyBorder="1" applyFont="1"/>
    <xf borderId="512" fillId="85" fontId="85" numFmtId="0" xfId="0" applyAlignment="1" applyBorder="1" applyFont="1">
      <alignment readingOrder="0" shrinkToFit="0" vertical="center" wrapText="0"/>
    </xf>
    <xf borderId="512" fillId="85" fontId="84" numFmtId="0" xfId="0" applyAlignment="1" applyBorder="1" applyFont="1">
      <alignment vertical="center"/>
    </xf>
    <xf borderId="521" fillId="85" fontId="86" numFmtId="0" xfId="0" applyAlignment="1" applyBorder="1" applyFont="1">
      <alignment horizontal="center" readingOrder="0" vertical="bottom"/>
    </xf>
    <xf borderId="512" fillId="85" fontId="84" numFmtId="0" xfId="0" applyAlignment="1" applyBorder="1" applyFont="1">
      <alignment vertical="center"/>
    </xf>
    <xf borderId="513" fillId="85" fontId="87" numFmtId="164" xfId="0" applyAlignment="1" applyBorder="1" applyFont="1" applyNumberFormat="1">
      <alignment horizontal="center" readingOrder="0" vertical="center"/>
    </xf>
    <xf borderId="521" fillId="85" fontId="201" numFmtId="0" xfId="0" applyAlignment="1" applyBorder="1" applyFont="1">
      <alignment horizontal="center"/>
    </xf>
    <xf borderId="513" fillId="85" fontId="200" numFmtId="0" xfId="0" applyAlignment="1" applyBorder="1" applyFont="1">
      <alignment horizontal="center" readingOrder="0" shrinkToFit="0" vertical="center" wrapText="0"/>
    </xf>
    <xf borderId="512" fillId="85" fontId="201" numFmtId="0" xfId="0" applyAlignment="1" applyBorder="1" applyFont="1">
      <alignment horizontal="center"/>
    </xf>
    <xf borderId="33" fillId="26" fontId="40" numFmtId="49" xfId="0" applyAlignment="1" applyBorder="1" applyFont="1" applyNumberFormat="1">
      <alignment shrinkToFit="0" wrapText="0"/>
    </xf>
    <xf borderId="36" fillId="26" fontId="40" numFmtId="49" xfId="0" applyAlignment="1" applyBorder="1" applyFont="1" applyNumberFormat="1">
      <alignment shrinkToFit="0" wrapText="0"/>
    </xf>
    <xf borderId="31" fillId="0" fontId="49" numFmtId="0" xfId="0" applyAlignment="1" applyBorder="1" applyFont="1">
      <alignment horizontal="center" readingOrder="0" shrinkToFit="0" vertical="center" wrapText="0"/>
    </xf>
    <xf borderId="33" fillId="0" fontId="40" numFmtId="0" xfId="0" applyAlignment="1" applyBorder="1" applyFont="1">
      <alignment horizontal="center" shrinkToFit="0" wrapText="0"/>
    </xf>
    <xf borderId="0" fillId="0" fontId="2" numFmtId="166" xfId="0" applyAlignment="1" applyFont="1" applyNumberFormat="1">
      <alignment horizontal="center" readingOrder="0"/>
    </xf>
    <xf borderId="523" fillId="86" fontId="202" numFmtId="0" xfId="0" applyAlignment="1" applyBorder="1" applyFill="1" applyFont="1">
      <alignment horizontal="left" readingOrder="0" shrinkToFit="0" vertical="center" wrapText="0"/>
    </xf>
    <xf borderId="523" fillId="86" fontId="203" numFmtId="0" xfId="0" applyAlignment="1" applyBorder="1" applyFont="1">
      <alignment horizontal="center" readingOrder="0" shrinkToFit="0" vertical="center" wrapText="0"/>
    </xf>
    <xf borderId="524" fillId="86" fontId="203" numFmtId="0" xfId="0" applyAlignment="1" applyBorder="1" applyFont="1">
      <alignment horizontal="left" readingOrder="0" shrinkToFit="0" vertical="center" wrapText="0"/>
    </xf>
    <xf borderId="525" fillId="0" fontId="2" numFmtId="0" xfId="0" applyBorder="1" applyFont="1"/>
    <xf borderId="526" fillId="0" fontId="2" numFmtId="0" xfId="0" applyBorder="1" applyFont="1"/>
    <xf borderId="524" fillId="86" fontId="82" numFmtId="0" xfId="0" applyAlignment="1" applyBorder="1" applyFont="1">
      <alignment horizontal="center" readingOrder="0" shrinkToFit="0" vertical="center" wrapText="0"/>
    </xf>
    <xf borderId="524" fillId="86" fontId="82" numFmtId="0" xfId="0" applyAlignment="1" applyBorder="1" applyFont="1">
      <alignment horizontal="left" readingOrder="0" vertical="center"/>
    </xf>
    <xf borderId="523" fillId="86" fontId="204" numFmtId="0" xfId="0" applyAlignment="1" applyBorder="1" applyFont="1">
      <alignment vertical="center"/>
    </xf>
    <xf borderId="523" fillId="86" fontId="202" numFmtId="0" xfId="0" applyAlignment="1" applyBorder="1" applyFont="1">
      <alignment readingOrder="0" shrinkToFit="0" vertical="center" wrapText="0"/>
    </xf>
    <xf borderId="523" fillId="86" fontId="202" numFmtId="49" xfId="0" applyAlignment="1" applyBorder="1" applyFont="1" applyNumberFormat="1">
      <alignment horizontal="left" readingOrder="0" shrinkToFit="0" vertical="center" wrapText="0"/>
    </xf>
    <xf borderId="527" fillId="0" fontId="2" numFmtId="0" xfId="0" applyBorder="1" applyFont="1"/>
    <xf borderId="528" fillId="0" fontId="2" numFmtId="0" xfId="0" applyBorder="1" applyFont="1"/>
    <xf borderId="529" fillId="0" fontId="2" numFmtId="0" xfId="0" applyBorder="1" applyFont="1"/>
    <xf borderId="530" fillId="0" fontId="2" numFmtId="0" xfId="0" applyBorder="1" applyFont="1"/>
    <xf borderId="531" fillId="0" fontId="2" numFmtId="0" xfId="0" applyBorder="1" applyFont="1"/>
    <xf borderId="523" fillId="86" fontId="82" numFmtId="0" xfId="0" applyAlignment="1" applyBorder="1" applyFont="1">
      <alignment horizontal="center" readingOrder="0" shrinkToFit="0" vertical="center" wrapText="0"/>
    </xf>
    <xf borderId="523" fillId="86" fontId="82" numFmtId="0" xfId="0" applyAlignment="1" applyBorder="1" applyFont="1">
      <alignment horizontal="left" readingOrder="0" vertical="center"/>
    </xf>
    <xf borderId="523" fillId="86" fontId="204" numFmtId="0" xfId="0" applyBorder="1" applyFont="1"/>
    <xf borderId="532" fillId="86" fontId="84" numFmtId="0" xfId="0" applyAlignment="1" applyBorder="1" applyFont="1">
      <alignment horizontal="center" vertical="bottom"/>
    </xf>
    <xf borderId="533" fillId="0" fontId="2" numFmtId="0" xfId="0" applyBorder="1" applyFont="1"/>
    <xf borderId="523" fillId="86" fontId="84" numFmtId="0" xfId="0" applyBorder="1" applyFont="1"/>
    <xf borderId="523" fillId="86" fontId="85" numFmtId="0" xfId="0" applyAlignment="1" applyBorder="1" applyFont="1">
      <alignment readingOrder="0" shrinkToFit="0" vertical="center" wrapText="0"/>
    </xf>
    <xf borderId="523" fillId="86" fontId="84" numFmtId="0" xfId="0" applyAlignment="1" applyBorder="1" applyFont="1">
      <alignment vertical="center"/>
    </xf>
    <xf borderId="532" fillId="86" fontId="86" numFmtId="0" xfId="0" applyAlignment="1" applyBorder="1" applyFont="1">
      <alignment horizontal="center" readingOrder="0" vertical="bottom"/>
    </xf>
    <xf borderId="523" fillId="86" fontId="84" numFmtId="0" xfId="0" applyAlignment="1" applyBorder="1" applyFont="1">
      <alignment vertical="center"/>
    </xf>
    <xf borderId="524" fillId="86" fontId="87" numFmtId="164" xfId="0" applyAlignment="1" applyBorder="1" applyFont="1" applyNumberFormat="1">
      <alignment horizontal="center" readingOrder="0" vertical="center"/>
    </xf>
    <xf borderId="532" fillId="86" fontId="204" numFmtId="0" xfId="0" applyAlignment="1" applyBorder="1" applyFont="1">
      <alignment horizontal="center"/>
    </xf>
    <xf borderId="524" fillId="86" fontId="203" numFmtId="0" xfId="0" applyAlignment="1" applyBorder="1" applyFont="1">
      <alignment horizontal="center" readingOrder="0" shrinkToFit="0" vertical="center" wrapText="0"/>
    </xf>
    <xf borderId="523" fillId="86" fontId="204" numFmtId="0" xfId="0" applyAlignment="1" applyBorder="1" applyFont="1">
      <alignment horizontal="center"/>
    </xf>
    <xf borderId="33" fillId="13" fontId="17" numFmtId="0" xfId="0" applyAlignment="1" applyBorder="1" applyFont="1">
      <alignment horizontal="left" readingOrder="0" shrinkToFit="0" vertical="center" wrapText="0"/>
    </xf>
    <xf borderId="33" fillId="13" fontId="17" numFmtId="0" xfId="0" applyAlignment="1" applyBorder="1" applyFont="1">
      <alignment horizontal="center" readingOrder="0" shrinkToFit="0" vertical="center" wrapText="0"/>
    </xf>
    <xf borderId="30" fillId="0" fontId="40" numFmtId="0" xfId="0" applyAlignment="1" applyBorder="1" applyFont="1">
      <alignment horizontal="left" readingOrder="0"/>
    </xf>
    <xf borderId="27" fillId="11" fontId="0" numFmtId="49" xfId="0" applyAlignment="1" applyBorder="1" applyFont="1" applyNumberFormat="1">
      <alignment horizontal="center" readingOrder="0" shrinkToFit="0" vertical="center" wrapText="0"/>
    </xf>
    <xf borderId="36" fillId="18" fontId="41" numFmtId="0" xfId="0" applyAlignment="1" applyBorder="1" applyFont="1">
      <alignment horizontal="center" readingOrder="0" shrinkToFit="0" vertical="center" wrapText="0"/>
    </xf>
    <xf borderId="33" fillId="18" fontId="41" numFmtId="0" xfId="0" applyAlignment="1" applyBorder="1" applyFont="1">
      <alignment horizontal="center" readingOrder="0" shrinkToFit="0" vertical="center" wrapText="0"/>
    </xf>
    <xf borderId="33" fillId="0" fontId="47" numFmtId="49" xfId="0" applyAlignment="1" applyBorder="1" applyFont="1" applyNumberFormat="1">
      <alignment horizontal="center" shrinkToFit="0" wrapText="0"/>
    </xf>
    <xf borderId="33" fillId="87" fontId="41" numFmtId="49" xfId="0" applyAlignment="1" applyBorder="1" applyFill="1" applyFont="1" applyNumberFormat="1">
      <alignment horizontal="center" readingOrder="0" shrinkToFit="0" vertical="center" wrapText="0"/>
    </xf>
    <xf borderId="34" fillId="87" fontId="41" numFmtId="49" xfId="0" applyAlignment="1" applyBorder="1" applyFont="1" applyNumberFormat="1">
      <alignment horizontal="center" readingOrder="0" shrinkToFit="0" vertical="center" wrapText="0"/>
    </xf>
    <xf borderId="33" fillId="87" fontId="41" numFmtId="0" xfId="0" applyAlignment="1" applyBorder="1" applyFont="1">
      <alignment horizontal="center" readingOrder="0" shrinkToFit="0" vertical="center" wrapText="0"/>
    </xf>
    <xf borderId="26" fillId="87" fontId="41" numFmtId="0" xfId="0" applyAlignment="1" applyBorder="1" applyFont="1">
      <alignment horizontal="left" readingOrder="0" shrinkToFit="0" vertical="top" wrapText="1"/>
    </xf>
    <xf borderId="30" fillId="28" fontId="17" numFmtId="0" xfId="0" applyAlignment="1" applyBorder="1" applyFont="1">
      <alignment horizontal="left" readingOrder="0" shrinkToFit="0" vertical="center" wrapText="0"/>
    </xf>
    <xf borderId="30" fillId="0" fontId="2" numFmtId="0" xfId="0" applyAlignment="1" applyBorder="1" applyFont="1">
      <alignment horizontal="left" readingOrder="0" vertical="top"/>
    </xf>
    <xf borderId="34" fillId="0" fontId="2" numFmtId="0" xfId="0" applyAlignment="1" applyBorder="1" applyFont="1">
      <alignment horizontal="center" readingOrder="0" vertical="center"/>
    </xf>
    <xf borderId="33" fillId="0" fontId="205" numFmtId="0" xfId="0" applyAlignment="1" applyBorder="1" applyFont="1">
      <alignment horizontal="center" readingOrder="0" vertical="center"/>
    </xf>
    <xf borderId="534" fillId="88" fontId="206" numFmtId="0" xfId="0" applyAlignment="1" applyBorder="1" applyFill="1" applyFont="1">
      <alignment horizontal="left" readingOrder="0" shrinkToFit="0" vertical="center" wrapText="0"/>
    </xf>
    <xf borderId="534" fillId="88" fontId="207" numFmtId="0" xfId="0" applyAlignment="1" applyBorder="1" applyFont="1">
      <alignment horizontal="center" readingOrder="0" shrinkToFit="0" vertical="center" wrapText="0"/>
    </xf>
    <xf borderId="535" fillId="88" fontId="207" numFmtId="0" xfId="0" applyAlignment="1" applyBorder="1" applyFont="1">
      <alignment horizontal="left" readingOrder="0" shrinkToFit="0" vertical="center" wrapText="0"/>
    </xf>
    <xf borderId="536" fillId="0" fontId="2" numFmtId="0" xfId="0" applyBorder="1" applyFont="1"/>
    <xf borderId="537" fillId="0" fontId="2" numFmtId="0" xfId="0" applyBorder="1" applyFont="1"/>
    <xf borderId="535" fillId="88" fontId="57" numFmtId="0" xfId="0" applyAlignment="1" applyBorder="1" applyFont="1">
      <alignment horizontal="center" readingOrder="0" shrinkToFit="0" vertical="center" wrapText="0"/>
    </xf>
    <xf borderId="535" fillId="88" fontId="57" numFmtId="0" xfId="0" applyAlignment="1" applyBorder="1" applyFont="1">
      <alignment horizontal="left" readingOrder="0" vertical="center"/>
    </xf>
    <xf borderId="534" fillId="88" fontId="208" numFmtId="0" xfId="0" applyAlignment="1" applyBorder="1" applyFont="1">
      <alignment vertical="center"/>
    </xf>
    <xf borderId="534" fillId="88" fontId="206" numFmtId="0" xfId="0" applyAlignment="1" applyBorder="1" applyFont="1">
      <alignment readingOrder="0" shrinkToFit="0" vertical="center" wrapText="0"/>
    </xf>
    <xf borderId="534" fillId="88" fontId="206" numFmtId="49" xfId="0" applyAlignment="1" applyBorder="1" applyFont="1" applyNumberFormat="1">
      <alignment horizontal="left" readingOrder="0" shrinkToFit="0" vertical="center" wrapText="0"/>
    </xf>
    <xf borderId="538" fillId="0" fontId="2" numFmtId="0" xfId="0" applyBorder="1" applyFont="1"/>
    <xf borderId="539" fillId="0" fontId="2" numFmtId="0" xfId="0" applyBorder="1" applyFont="1"/>
    <xf borderId="540" fillId="0" fontId="2" numFmtId="0" xfId="0" applyBorder="1" applyFont="1"/>
    <xf borderId="541" fillId="0" fontId="2" numFmtId="0" xfId="0" applyBorder="1" applyFont="1"/>
    <xf borderId="542" fillId="0" fontId="2" numFmtId="0" xfId="0" applyBorder="1" applyFont="1"/>
    <xf borderId="534" fillId="88" fontId="57" numFmtId="0" xfId="0" applyAlignment="1" applyBorder="1" applyFont="1">
      <alignment horizontal="center" readingOrder="0" shrinkToFit="0" vertical="center" wrapText="0"/>
    </xf>
    <xf borderId="534" fillId="88" fontId="57" numFmtId="0" xfId="0" applyAlignment="1" applyBorder="1" applyFont="1">
      <alignment horizontal="left" readingOrder="0" vertical="center"/>
    </xf>
    <xf borderId="534" fillId="88" fontId="208" numFmtId="0" xfId="0" applyBorder="1" applyFont="1"/>
    <xf borderId="543" fillId="88" fontId="59" numFmtId="0" xfId="0" applyAlignment="1" applyBorder="1" applyFont="1">
      <alignment horizontal="center" vertical="bottom"/>
    </xf>
    <xf borderId="544" fillId="0" fontId="2" numFmtId="0" xfId="0" applyBorder="1" applyFont="1"/>
    <xf borderId="534" fillId="88" fontId="59" numFmtId="0" xfId="0" applyBorder="1" applyFont="1"/>
    <xf borderId="534" fillId="88" fontId="60" numFmtId="0" xfId="0" applyAlignment="1" applyBorder="1" applyFont="1">
      <alignment readingOrder="0" shrinkToFit="0" vertical="center" wrapText="0"/>
    </xf>
    <xf borderId="534" fillId="88" fontId="59" numFmtId="0" xfId="0" applyAlignment="1" applyBorder="1" applyFont="1">
      <alignment vertical="center"/>
    </xf>
    <xf borderId="543" fillId="88" fontId="61" numFmtId="0" xfId="0" applyAlignment="1" applyBorder="1" applyFont="1">
      <alignment horizontal="center" readingOrder="0" vertical="bottom"/>
    </xf>
    <xf borderId="534" fillId="88" fontId="59" numFmtId="0" xfId="0" applyAlignment="1" applyBorder="1" applyFont="1">
      <alignment vertical="center"/>
    </xf>
    <xf borderId="535" fillId="88" fontId="62" numFmtId="164" xfId="0" applyAlignment="1" applyBorder="1" applyFont="1" applyNumberFormat="1">
      <alignment horizontal="center" readingOrder="0" vertical="center"/>
    </xf>
    <xf borderId="543" fillId="88" fontId="208" numFmtId="0" xfId="0" applyAlignment="1" applyBorder="1" applyFont="1">
      <alignment horizontal="center"/>
    </xf>
    <xf borderId="535" fillId="88" fontId="207" numFmtId="0" xfId="0" applyAlignment="1" applyBorder="1" applyFont="1">
      <alignment horizontal="center" readingOrder="0" shrinkToFit="0" vertical="center" wrapText="0"/>
    </xf>
    <xf borderId="534" fillId="88" fontId="208" numFmtId="0" xfId="0" applyAlignment="1" applyBorder="1" applyFont="1">
      <alignment horizontal="center"/>
    </xf>
    <xf borderId="33" fillId="13" fontId="209" numFmtId="0" xfId="0" applyAlignment="1" applyBorder="1" applyFont="1">
      <alignment horizontal="center" vertical="bottom"/>
    </xf>
    <xf borderId="33" fillId="14" fontId="40" numFmtId="0" xfId="0" applyAlignment="1" applyBorder="1" applyFont="1">
      <alignment horizontal="center" vertical="bottom"/>
    </xf>
    <xf borderId="33" fillId="0" fontId="40" numFmtId="0" xfId="0" applyAlignment="1" applyBorder="1" applyFont="1">
      <alignment horizontal="center" vertical="bottom"/>
    </xf>
    <xf borderId="33" fillId="0" fontId="40" numFmtId="167" xfId="0" applyAlignment="1" applyBorder="1" applyFont="1" applyNumberFormat="1">
      <alignment horizontal="center" vertical="bottom"/>
    </xf>
    <xf borderId="33" fillId="10" fontId="40" numFmtId="167" xfId="0" applyAlignment="1" applyBorder="1" applyFont="1" applyNumberFormat="1">
      <alignment horizontal="center" vertical="bottom"/>
    </xf>
    <xf borderId="33" fillId="10" fontId="40" numFmtId="0" xfId="0" applyAlignment="1" applyBorder="1" applyFont="1">
      <alignment horizontal="center" vertical="bottom"/>
    </xf>
    <xf borderId="545" fillId="89" fontId="210" numFmtId="0" xfId="0" applyAlignment="1" applyBorder="1" applyFill="1" applyFont="1">
      <alignment horizontal="left" readingOrder="0" shrinkToFit="0" vertical="center" wrapText="0"/>
    </xf>
    <xf borderId="545" fillId="89" fontId="211" numFmtId="0" xfId="0" applyAlignment="1" applyBorder="1" applyFont="1">
      <alignment horizontal="center" readingOrder="0" shrinkToFit="0" vertical="center" wrapText="0"/>
    </xf>
    <xf borderId="546" fillId="89" fontId="211" numFmtId="0" xfId="0" applyAlignment="1" applyBorder="1" applyFont="1">
      <alignment horizontal="left" readingOrder="0" shrinkToFit="0" vertical="center" wrapText="0"/>
    </xf>
    <xf borderId="547" fillId="0" fontId="2" numFmtId="0" xfId="0" applyBorder="1" applyFont="1"/>
    <xf borderId="548" fillId="0" fontId="2" numFmtId="0" xfId="0" applyBorder="1" applyFont="1"/>
    <xf borderId="546" fillId="89" fontId="82" numFmtId="0" xfId="0" applyAlignment="1" applyBorder="1" applyFont="1">
      <alignment horizontal="center" readingOrder="0" shrinkToFit="0" vertical="center" wrapText="0"/>
    </xf>
    <xf borderId="546" fillId="89" fontId="82" numFmtId="0" xfId="0" applyAlignment="1" applyBorder="1" applyFont="1">
      <alignment horizontal="left" readingOrder="0" vertical="center"/>
    </xf>
    <xf borderId="545" fillId="89" fontId="212" numFmtId="0" xfId="0" applyAlignment="1" applyBorder="1" applyFont="1">
      <alignment vertical="center"/>
    </xf>
    <xf borderId="545" fillId="89" fontId="210" numFmtId="0" xfId="0" applyAlignment="1" applyBorder="1" applyFont="1">
      <alignment readingOrder="0" shrinkToFit="0" vertical="center" wrapText="0"/>
    </xf>
    <xf borderId="545" fillId="89" fontId="210" numFmtId="49" xfId="0" applyAlignment="1" applyBorder="1" applyFont="1" applyNumberFormat="1">
      <alignment horizontal="left" readingOrder="0" shrinkToFit="0" vertical="center" wrapText="0"/>
    </xf>
    <xf borderId="549" fillId="0" fontId="2" numFmtId="0" xfId="0" applyBorder="1" applyFont="1"/>
    <xf borderId="550" fillId="0" fontId="2" numFmtId="0" xfId="0" applyBorder="1" applyFont="1"/>
    <xf borderId="551" fillId="0" fontId="2" numFmtId="0" xfId="0" applyBorder="1" applyFont="1"/>
    <xf borderId="552" fillId="0" fontId="2" numFmtId="0" xfId="0" applyBorder="1" applyFont="1"/>
    <xf borderId="553" fillId="0" fontId="2" numFmtId="0" xfId="0" applyBorder="1" applyFont="1"/>
    <xf borderId="545" fillId="89" fontId="82" numFmtId="0" xfId="0" applyAlignment="1" applyBorder="1" applyFont="1">
      <alignment horizontal="center" readingOrder="0" shrinkToFit="0" vertical="center" wrapText="0"/>
    </xf>
    <xf borderId="545" fillId="89" fontId="82" numFmtId="0" xfId="0" applyAlignment="1" applyBorder="1" applyFont="1">
      <alignment horizontal="left" readingOrder="0" vertical="center"/>
    </xf>
    <xf borderId="545" fillId="89" fontId="212" numFmtId="0" xfId="0" applyBorder="1" applyFont="1"/>
    <xf borderId="554" fillId="89" fontId="84" numFmtId="0" xfId="0" applyAlignment="1" applyBorder="1" applyFont="1">
      <alignment horizontal="center" vertical="bottom"/>
    </xf>
    <xf borderId="555" fillId="0" fontId="2" numFmtId="0" xfId="0" applyBorder="1" applyFont="1"/>
    <xf borderId="545" fillId="89" fontId="84" numFmtId="0" xfId="0" applyBorder="1" applyFont="1"/>
    <xf borderId="545" fillId="89" fontId="85" numFmtId="0" xfId="0" applyAlignment="1" applyBorder="1" applyFont="1">
      <alignment readingOrder="0" shrinkToFit="0" vertical="center" wrapText="0"/>
    </xf>
    <xf borderId="545" fillId="89" fontId="84" numFmtId="0" xfId="0" applyAlignment="1" applyBorder="1" applyFont="1">
      <alignment vertical="center"/>
    </xf>
    <xf borderId="554" fillId="89" fontId="86" numFmtId="0" xfId="0" applyAlignment="1" applyBorder="1" applyFont="1">
      <alignment horizontal="center" readingOrder="0" vertical="bottom"/>
    </xf>
    <xf borderId="545" fillId="89" fontId="84" numFmtId="0" xfId="0" applyAlignment="1" applyBorder="1" applyFont="1">
      <alignment vertical="center"/>
    </xf>
    <xf borderId="546" fillId="89" fontId="87" numFmtId="164" xfId="0" applyAlignment="1" applyBorder="1" applyFont="1" applyNumberFormat="1">
      <alignment horizontal="center" readingOrder="0" vertical="center"/>
    </xf>
    <xf borderId="554" fillId="89" fontId="212" numFmtId="0" xfId="0" applyAlignment="1" applyBorder="1" applyFont="1">
      <alignment horizontal="center"/>
    </xf>
    <xf borderId="546" fillId="89" fontId="211" numFmtId="0" xfId="0" applyAlignment="1" applyBorder="1" applyFont="1">
      <alignment horizontal="center" readingOrder="0" shrinkToFit="0" vertical="center" wrapText="0"/>
    </xf>
    <xf borderId="545" fillId="89" fontId="212" numFmtId="0" xfId="0" applyAlignment="1" applyBorder="1" applyFont="1">
      <alignment horizontal="center"/>
    </xf>
    <xf borderId="0" fillId="27" fontId="41" numFmtId="0" xfId="0" applyAlignment="1" applyFont="1">
      <alignment horizontal="center" shrinkToFit="0" vertical="center" wrapText="0"/>
    </xf>
    <xf borderId="556" fillId="90" fontId="213" numFmtId="0" xfId="0" applyAlignment="1" applyBorder="1" applyFill="1" applyFont="1">
      <alignment horizontal="left" readingOrder="0" shrinkToFit="0" vertical="center" wrapText="0"/>
    </xf>
    <xf borderId="556" fillId="90" fontId="214" numFmtId="0" xfId="0" applyAlignment="1" applyBorder="1" applyFont="1">
      <alignment horizontal="center" readingOrder="0" shrinkToFit="0" vertical="center" wrapText="0"/>
    </xf>
    <xf borderId="557" fillId="90" fontId="214" numFmtId="0" xfId="0" applyAlignment="1" applyBorder="1" applyFont="1">
      <alignment horizontal="left" readingOrder="0" shrinkToFit="0" vertical="center" wrapText="0"/>
    </xf>
    <xf borderId="558" fillId="0" fontId="2" numFmtId="0" xfId="0" applyBorder="1" applyFont="1"/>
    <xf borderId="559" fillId="0" fontId="2" numFmtId="0" xfId="0" applyBorder="1" applyFont="1"/>
    <xf borderId="557" fillId="90" fontId="82" numFmtId="0" xfId="0" applyAlignment="1" applyBorder="1" applyFont="1">
      <alignment horizontal="center" readingOrder="0" shrinkToFit="0" vertical="center" wrapText="0"/>
    </xf>
    <xf borderId="557" fillId="90" fontId="82" numFmtId="0" xfId="0" applyAlignment="1" applyBorder="1" applyFont="1">
      <alignment horizontal="left" readingOrder="0" vertical="center"/>
    </xf>
    <xf borderId="556" fillId="90" fontId="215" numFmtId="0" xfId="0" applyAlignment="1" applyBorder="1" applyFont="1">
      <alignment vertical="center"/>
    </xf>
    <xf borderId="556" fillId="90" fontId="213" numFmtId="0" xfId="0" applyAlignment="1" applyBorder="1" applyFont="1">
      <alignment readingOrder="0" shrinkToFit="0" vertical="center" wrapText="0"/>
    </xf>
    <xf borderId="556" fillId="90" fontId="213" numFmtId="49" xfId="0" applyAlignment="1" applyBorder="1" applyFont="1" applyNumberFormat="1">
      <alignment horizontal="left" readingOrder="0" shrinkToFit="0" vertical="center" wrapText="0"/>
    </xf>
    <xf borderId="560" fillId="0" fontId="2" numFmtId="0" xfId="0" applyBorder="1" applyFont="1"/>
    <xf borderId="561" fillId="0" fontId="2" numFmtId="0" xfId="0" applyBorder="1" applyFont="1"/>
    <xf borderId="562" fillId="0" fontId="2" numFmtId="0" xfId="0" applyBorder="1" applyFont="1"/>
    <xf borderId="563" fillId="0" fontId="2" numFmtId="0" xfId="0" applyBorder="1" applyFont="1"/>
    <xf borderId="564" fillId="0" fontId="2" numFmtId="0" xfId="0" applyBorder="1" applyFont="1"/>
    <xf borderId="556" fillId="90" fontId="82" numFmtId="0" xfId="0" applyAlignment="1" applyBorder="1" applyFont="1">
      <alignment horizontal="center" readingOrder="0" shrinkToFit="0" vertical="center" wrapText="0"/>
    </xf>
    <xf borderId="556" fillId="90" fontId="82" numFmtId="0" xfId="0" applyAlignment="1" applyBorder="1" applyFont="1">
      <alignment horizontal="left" readingOrder="0" vertical="center"/>
    </xf>
    <xf borderId="556" fillId="90" fontId="215" numFmtId="0" xfId="0" applyBorder="1" applyFont="1"/>
    <xf borderId="565" fillId="90" fontId="84" numFmtId="0" xfId="0" applyAlignment="1" applyBorder="1" applyFont="1">
      <alignment horizontal="center" vertical="bottom"/>
    </xf>
    <xf borderId="566" fillId="0" fontId="2" numFmtId="0" xfId="0" applyBorder="1" applyFont="1"/>
    <xf borderId="556" fillId="90" fontId="84" numFmtId="0" xfId="0" applyBorder="1" applyFont="1"/>
    <xf borderId="556" fillId="90" fontId="85" numFmtId="0" xfId="0" applyAlignment="1" applyBorder="1" applyFont="1">
      <alignment readingOrder="0" shrinkToFit="0" vertical="center" wrapText="0"/>
    </xf>
    <xf borderId="556" fillId="90" fontId="84" numFmtId="0" xfId="0" applyAlignment="1" applyBorder="1" applyFont="1">
      <alignment vertical="center"/>
    </xf>
    <xf borderId="565" fillId="90" fontId="86" numFmtId="0" xfId="0" applyAlignment="1" applyBorder="1" applyFont="1">
      <alignment horizontal="center" readingOrder="0" vertical="bottom"/>
    </xf>
    <xf borderId="556" fillId="90" fontId="84" numFmtId="0" xfId="0" applyAlignment="1" applyBorder="1" applyFont="1">
      <alignment vertical="center"/>
    </xf>
    <xf borderId="557" fillId="90" fontId="87" numFmtId="164" xfId="0" applyAlignment="1" applyBorder="1" applyFont="1" applyNumberFormat="1">
      <alignment horizontal="center" readingOrder="0" vertical="center"/>
    </xf>
    <xf borderId="565" fillId="90" fontId="214" numFmtId="0" xfId="0" applyAlignment="1" applyBorder="1" applyFont="1">
      <alignment horizontal="center" readingOrder="0" shrinkToFit="0" vertical="center" wrapText="0"/>
    </xf>
    <xf borderId="565" fillId="90" fontId="215" numFmtId="0" xfId="0" applyAlignment="1" applyBorder="1" applyFont="1">
      <alignment horizontal="center"/>
    </xf>
    <xf borderId="567" fillId="0" fontId="2" numFmtId="0" xfId="0" applyBorder="1" applyFont="1"/>
    <xf borderId="556" fillId="90" fontId="215" numFmtId="0" xfId="0" applyAlignment="1" applyBorder="1" applyFont="1">
      <alignment horizontal="center"/>
    </xf>
    <xf borderId="31" fillId="27" fontId="53" numFmtId="49" xfId="0" applyAlignment="1" applyBorder="1" applyFont="1" applyNumberFormat="1">
      <alignment horizontal="center" shrinkToFit="0" wrapText="0"/>
    </xf>
    <xf borderId="33" fillId="11" fontId="40" numFmtId="0" xfId="0" applyAlignment="1" applyBorder="1" applyFont="1">
      <alignment horizontal="center" readingOrder="0" shrinkToFit="0" wrapText="0"/>
    </xf>
    <xf borderId="34" fillId="0" fontId="40" numFmtId="49" xfId="0" applyAlignment="1" applyBorder="1" applyFont="1" applyNumberFormat="1">
      <alignment horizontal="center" readingOrder="0" shrinkToFit="0" vertical="center" wrapText="0"/>
    </xf>
    <xf borderId="36" fillId="25" fontId="40" numFmtId="49" xfId="0" applyAlignment="1" applyBorder="1" applyFont="1" applyNumberFormat="1">
      <alignment readingOrder="0" vertical="center"/>
    </xf>
    <xf borderId="35" fillId="27" fontId="53" numFmtId="49" xfId="0" applyAlignment="1" applyBorder="1" applyFont="1" applyNumberFormat="1">
      <alignment horizontal="center" shrinkToFit="0" vertical="center" wrapText="0"/>
    </xf>
    <xf borderId="40" fillId="11" fontId="41" numFmtId="0" xfId="0" applyAlignment="1" applyBorder="1" applyFont="1">
      <alignment horizontal="left" readingOrder="0" shrinkToFit="0" vertical="top" wrapText="1"/>
    </xf>
    <xf borderId="31" fillId="27" fontId="49" numFmtId="0" xfId="0" applyAlignment="1" applyBorder="1" applyFont="1">
      <alignment horizontal="center" readingOrder="0" shrinkToFit="0" vertical="center" wrapText="0"/>
    </xf>
    <xf borderId="33" fillId="25" fontId="40" numFmtId="49" xfId="0" applyAlignment="1" applyBorder="1" applyFont="1" applyNumberFormat="1">
      <alignment readingOrder="0" shrinkToFit="0" wrapText="0"/>
    </xf>
    <xf borderId="33" fillId="18" fontId="17" numFmtId="0" xfId="0" applyAlignment="1" applyBorder="1" applyFont="1">
      <alignment readingOrder="0" shrinkToFit="0" vertical="center" wrapText="0"/>
    </xf>
    <xf borderId="568" fillId="91" fontId="216" numFmtId="0" xfId="0" applyAlignment="1" applyBorder="1" applyFill="1" applyFont="1">
      <alignment horizontal="left" readingOrder="0" shrinkToFit="0" vertical="center" wrapText="0"/>
    </xf>
    <xf borderId="568" fillId="91" fontId="217" numFmtId="0" xfId="0" applyAlignment="1" applyBorder="1" applyFont="1">
      <alignment horizontal="center" readingOrder="0" shrinkToFit="0" vertical="center" wrapText="0"/>
    </xf>
    <xf borderId="569" fillId="91" fontId="217" numFmtId="0" xfId="0" applyAlignment="1" applyBorder="1" applyFont="1">
      <alignment horizontal="left" readingOrder="0" shrinkToFit="0" vertical="center" wrapText="0"/>
    </xf>
    <xf borderId="570" fillId="0" fontId="2" numFmtId="0" xfId="0" applyBorder="1" applyFont="1"/>
    <xf borderId="571" fillId="0" fontId="2" numFmtId="0" xfId="0" applyBorder="1" applyFont="1"/>
    <xf borderId="569" fillId="91" fontId="57" numFmtId="0" xfId="0" applyAlignment="1" applyBorder="1" applyFont="1">
      <alignment horizontal="center" readingOrder="0" shrinkToFit="0" vertical="center" wrapText="0"/>
    </xf>
    <xf borderId="569" fillId="91" fontId="57" numFmtId="0" xfId="0" applyAlignment="1" applyBorder="1" applyFont="1">
      <alignment horizontal="left" readingOrder="0" vertical="center"/>
    </xf>
    <xf borderId="568" fillId="91" fontId="218" numFmtId="0" xfId="0" applyAlignment="1" applyBorder="1" applyFont="1">
      <alignment vertical="center"/>
    </xf>
    <xf borderId="568" fillId="91" fontId="216" numFmtId="0" xfId="0" applyAlignment="1" applyBorder="1" applyFont="1">
      <alignment readingOrder="0" shrinkToFit="0" vertical="center" wrapText="0"/>
    </xf>
    <xf borderId="568" fillId="91" fontId="216" numFmtId="49" xfId="0" applyAlignment="1" applyBorder="1" applyFont="1" applyNumberFormat="1">
      <alignment horizontal="left" readingOrder="0" shrinkToFit="0" vertical="center" wrapText="0"/>
    </xf>
    <xf borderId="572" fillId="0" fontId="2" numFmtId="0" xfId="0" applyBorder="1" applyFont="1"/>
    <xf borderId="573" fillId="0" fontId="2" numFmtId="0" xfId="0" applyBorder="1" applyFont="1"/>
    <xf borderId="574" fillId="0" fontId="2" numFmtId="0" xfId="0" applyBorder="1" applyFont="1"/>
    <xf borderId="575" fillId="0" fontId="2" numFmtId="0" xfId="0" applyBorder="1" applyFont="1"/>
    <xf borderId="576" fillId="0" fontId="2" numFmtId="0" xfId="0" applyBorder="1" applyFont="1"/>
    <xf borderId="568" fillId="91" fontId="57" numFmtId="0" xfId="0" applyAlignment="1" applyBorder="1" applyFont="1">
      <alignment horizontal="center" readingOrder="0" shrinkToFit="0" vertical="center" wrapText="0"/>
    </xf>
    <xf borderId="568" fillId="91" fontId="57" numFmtId="0" xfId="0" applyAlignment="1" applyBorder="1" applyFont="1">
      <alignment horizontal="left" readingOrder="0" vertical="center"/>
    </xf>
    <xf borderId="568" fillId="91" fontId="218" numFmtId="0" xfId="0" applyBorder="1" applyFont="1"/>
    <xf borderId="577" fillId="91" fontId="59" numFmtId="0" xfId="0" applyAlignment="1" applyBorder="1" applyFont="1">
      <alignment horizontal="center" vertical="bottom"/>
    </xf>
    <xf borderId="578" fillId="0" fontId="2" numFmtId="0" xfId="0" applyBorder="1" applyFont="1"/>
    <xf borderId="568" fillId="91" fontId="59" numFmtId="0" xfId="0" applyBorder="1" applyFont="1"/>
    <xf borderId="568" fillId="91" fontId="60" numFmtId="0" xfId="0" applyAlignment="1" applyBorder="1" applyFont="1">
      <alignment readingOrder="0" shrinkToFit="0" vertical="center" wrapText="0"/>
    </xf>
    <xf borderId="568" fillId="91" fontId="59" numFmtId="0" xfId="0" applyAlignment="1" applyBorder="1" applyFont="1">
      <alignment vertical="center"/>
    </xf>
    <xf borderId="577" fillId="91" fontId="61" numFmtId="0" xfId="0" applyAlignment="1" applyBorder="1" applyFont="1">
      <alignment horizontal="center" readingOrder="0" vertical="bottom"/>
    </xf>
    <xf borderId="568" fillId="91" fontId="59" numFmtId="0" xfId="0" applyAlignment="1" applyBorder="1" applyFont="1">
      <alignment vertical="center"/>
    </xf>
    <xf borderId="569" fillId="91" fontId="62" numFmtId="164" xfId="0" applyAlignment="1" applyBorder="1" applyFont="1" applyNumberFormat="1">
      <alignment horizontal="center" readingOrder="0" vertical="center"/>
    </xf>
    <xf borderId="577" fillId="91" fontId="218" numFmtId="0" xfId="0" applyAlignment="1" applyBorder="1" applyFont="1">
      <alignment horizontal="center"/>
    </xf>
    <xf borderId="569" fillId="91" fontId="217" numFmtId="0" xfId="0" applyAlignment="1" applyBorder="1" applyFont="1">
      <alignment horizontal="center" readingOrder="0" shrinkToFit="0" vertical="center" wrapText="0"/>
    </xf>
    <xf borderId="568" fillId="91" fontId="218" numFmtId="0" xfId="0" applyAlignment="1" applyBorder="1" applyFont="1">
      <alignment horizontal="center"/>
    </xf>
    <xf borderId="37" fillId="27" fontId="41" numFmtId="49" xfId="0" applyAlignment="1" applyBorder="1" applyFont="1" applyNumberFormat="1">
      <alignment horizontal="center" shrinkToFit="0" vertical="center" wrapText="0"/>
    </xf>
    <xf borderId="31" fillId="0" fontId="40" numFmtId="49" xfId="0" applyAlignment="1" applyBorder="1" applyFont="1" applyNumberFormat="1">
      <alignment horizontal="center" shrinkToFit="0" wrapText="0"/>
    </xf>
    <xf borderId="579" fillId="92" fontId="219" numFmtId="0" xfId="0" applyAlignment="1" applyBorder="1" applyFill="1" applyFont="1">
      <alignment horizontal="left" readingOrder="0" shrinkToFit="0" vertical="center" wrapText="0"/>
    </xf>
    <xf borderId="579" fillId="92" fontId="220" numFmtId="0" xfId="0" applyAlignment="1" applyBorder="1" applyFont="1">
      <alignment horizontal="center" readingOrder="0" shrinkToFit="0" vertical="center" wrapText="0"/>
    </xf>
    <xf borderId="580" fillId="92" fontId="220" numFmtId="0" xfId="0" applyAlignment="1" applyBorder="1" applyFont="1">
      <alignment horizontal="left" readingOrder="0" shrinkToFit="0" vertical="center" wrapText="0"/>
    </xf>
    <xf borderId="581" fillId="0" fontId="2" numFmtId="0" xfId="0" applyBorder="1" applyFont="1"/>
    <xf borderId="582" fillId="0" fontId="2" numFmtId="0" xfId="0" applyBorder="1" applyFont="1"/>
    <xf borderId="580" fillId="92" fontId="31" numFmtId="0" xfId="0" applyAlignment="1" applyBorder="1" applyFont="1">
      <alignment horizontal="center" readingOrder="0" shrinkToFit="0" vertical="center" wrapText="0"/>
    </xf>
    <xf borderId="580" fillId="92" fontId="31" numFmtId="0" xfId="0" applyAlignment="1" applyBorder="1" applyFont="1">
      <alignment horizontal="left" readingOrder="0" vertical="center"/>
    </xf>
    <xf borderId="579" fillId="92" fontId="221" numFmtId="0" xfId="0" applyAlignment="1" applyBorder="1" applyFont="1">
      <alignment vertical="center"/>
    </xf>
    <xf borderId="579" fillId="92" fontId="219" numFmtId="0" xfId="0" applyAlignment="1" applyBorder="1" applyFont="1">
      <alignment readingOrder="0" shrinkToFit="0" vertical="center" wrapText="0"/>
    </xf>
    <xf borderId="579" fillId="92" fontId="219" numFmtId="49" xfId="0" applyAlignment="1" applyBorder="1" applyFont="1" applyNumberFormat="1">
      <alignment horizontal="left" readingOrder="0" shrinkToFit="0" vertical="center" wrapText="0"/>
    </xf>
    <xf borderId="583" fillId="0" fontId="2" numFmtId="0" xfId="0" applyBorder="1" applyFont="1"/>
    <xf borderId="584" fillId="0" fontId="2" numFmtId="0" xfId="0" applyBorder="1" applyFont="1"/>
    <xf borderId="585" fillId="0" fontId="2" numFmtId="0" xfId="0" applyBorder="1" applyFont="1"/>
    <xf borderId="586" fillId="0" fontId="2" numFmtId="0" xfId="0" applyBorder="1" applyFont="1"/>
    <xf borderId="587" fillId="0" fontId="2" numFmtId="0" xfId="0" applyBorder="1" applyFont="1"/>
    <xf borderId="579" fillId="92" fontId="31" numFmtId="0" xfId="0" applyAlignment="1" applyBorder="1" applyFont="1">
      <alignment horizontal="center" readingOrder="0" shrinkToFit="0" vertical="center" wrapText="0"/>
    </xf>
    <xf borderId="579" fillId="92" fontId="31" numFmtId="0" xfId="0" applyAlignment="1" applyBorder="1" applyFont="1">
      <alignment horizontal="left" readingOrder="0" vertical="center"/>
    </xf>
    <xf borderId="579" fillId="92" fontId="221" numFmtId="0" xfId="0" applyBorder="1" applyFont="1"/>
    <xf borderId="588" fillId="92" fontId="33" numFmtId="0" xfId="0" applyAlignment="1" applyBorder="1" applyFont="1">
      <alignment horizontal="center" vertical="bottom"/>
    </xf>
    <xf borderId="589" fillId="0" fontId="2" numFmtId="0" xfId="0" applyBorder="1" applyFont="1"/>
    <xf borderId="579" fillId="92" fontId="33" numFmtId="0" xfId="0" applyBorder="1" applyFont="1"/>
    <xf borderId="579" fillId="92" fontId="34" numFmtId="0" xfId="0" applyAlignment="1" applyBorder="1" applyFont="1">
      <alignment readingOrder="0" shrinkToFit="0" vertical="center" wrapText="0"/>
    </xf>
    <xf borderId="579" fillId="92" fontId="33" numFmtId="0" xfId="0" applyAlignment="1" applyBorder="1" applyFont="1">
      <alignment vertical="center"/>
    </xf>
    <xf borderId="588" fillId="92" fontId="35" numFmtId="0" xfId="0" applyAlignment="1" applyBorder="1" applyFont="1">
      <alignment horizontal="center" readingOrder="0" vertical="bottom"/>
    </xf>
    <xf borderId="579" fillId="92" fontId="33" numFmtId="0" xfId="0" applyAlignment="1" applyBorder="1" applyFont="1">
      <alignment vertical="center"/>
    </xf>
    <xf borderId="580" fillId="92" fontId="36" numFmtId="164" xfId="0" applyAlignment="1" applyBorder="1" applyFont="1" applyNumberFormat="1">
      <alignment horizontal="center" readingOrder="0" vertical="center"/>
    </xf>
    <xf borderId="588" fillId="92" fontId="221" numFmtId="0" xfId="0" applyAlignment="1" applyBorder="1" applyFont="1">
      <alignment horizontal="center"/>
    </xf>
    <xf borderId="580" fillId="92" fontId="220" numFmtId="0" xfId="0" applyAlignment="1" applyBorder="1" applyFont="1">
      <alignment horizontal="center" readingOrder="0" shrinkToFit="0" vertical="center" wrapText="0"/>
    </xf>
    <xf borderId="579" fillId="92" fontId="221" numFmtId="0" xfId="0" applyAlignment="1" applyBorder="1" applyFont="1">
      <alignment horizontal="center"/>
    </xf>
    <xf borderId="30" fillId="11" fontId="40" numFmtId="0" xfId="0" applyAlignment="1" applyBorder="1" applyFont="1">
      <alignment readingOrder="0" shrinkToFit="0" vertical="top" wrapText="1"/>
    </xf>
    <xf borderId="30" fillId="0" fontId="41" numFmtId="49" xfId="0" applyAlignment="1" applyBorder="1" applyFont="1" applyNumberFormat="1">
      <alignment horizontal="center" readingOrder="0" shrinkToFit="0" vertical="center" wrapText="0"/>
    </xf>
    <xf borderId="26" fillId="27" fontId="41" numFmtId="49" xfId="0" applyAlignment="1" applyBorder="1" applyFont="1" applyNumberFormat="1">
      <alignment horizontal="center" readingOrder="0" shrinkToFit="0" vertical="center" wrapText="0"/>
    </xf>
    <xf borderId="30" fillId="0" fontId="41" numFmtId="49" xfId="0" applyAlignment="1" applyBorder="1" applyFont="1" applyNumberFormat="1">
      <alignment horizontal="left" readingOrder="0" shrinkToFit="0" vertical="center" wrapText="0"/>
    </xf>
    <xf borderId="0" fillId="11" fontId="49" numFmtId="49" xfId="0" applyAlignment="1" applyFont="1" applyNumberFormat="1">
      <alignment shrinkToFit="0" vertical="center" wrapText="0"/>
    </xf>
    <xf borderId="0" fillId="11" fontId="49" numFmtId="49" xfId="0" applyAlignment="1" applyFont="1" applyNumberFormat="1">
      <alignment horizontal="right" shrinkToFit="0" vertical="center" wrapText="0"/>
    </xf>
    <xf borderId="590" fillId="93" fontId="222" numFmtId="0" xfId="0" applyAlignment="1" applyBorder="1" applyFill="1" applyFont="1">
      <alignment horizontal="left" readingOrder="0" shrinkToFit="0" vertical="center" wrapText="0"/>
    </xf>
    <xf borderId="590" fillId="93" fontId="223" numFmtId="0" xfId="0" applyAlignment="1" applyBorder="1" applyFont="1">
      <alignment horizontal="center" readingOrder="0" shrinkToFit="0" vertical="center" wrapText="0"/>
    </xf>
    <xf borderId="591" fillId="93" fontId="223" numFmtId="0" xfId="0" applyAlignment="1" applyBorder="1" applyFont="1">
      <alignment horizontal="left" readingOrder="0" shrinkToFit="0" vertical="center" wrapText="0"/>
    </xf>
    <xf borderId="592" fillId="0" fontId="2" numFmtId="0" xfId="0" applyBorder="1" applyFont="1"/>
    <xf borderId="593" fillId="0" fontId="2" numFmtId="0" xfId="0" applyBorder="1" applyFont="1"/>
    <xf borderId="591" fillId="93" fontId="31" numFmtId="0" xfId="0" applyAlignment="1" applyBorder="1" applyFont="1">
      <alignment horizontal="center" readingOrder="0" shrinkToFit="0" vertical="center" wrapText="0"/>
    </xf>
    <xf borderId="591" fillId="93" fontId="31" numFmtId="0" xfId="0" applyAlignment="1" applyBorder="1" applyFont="1">
      <alignment horizontal="left" readingOrder="0" vertical="center"/>
    </xf>
    <xf borderId="590" fillId="93" fontId="224" numFmtId="0" xfId="0" applyAlignment="1" applyBorder="1" applyFont="1">
      <alignment vertical="center"/>
    </xf>
    <xf borderId="590" fillId="93" fontId="222" numFmtId="0" xfId="0" applyAlignment="1" applyBorder="1" applyFont="1">
      <alignment readingOrder="0" shrinkToFit="0" vertical="center" wrapText="0"/>
    </xf>
    <xf borderId="590" fillId="93" fontId="222" numFmtId="49" xfId="0" applyAlignment="1" applyBorder="1" applyFont="1" applyNumberFormat="1">
      <alignment horizontal="left" readingOrder="0" shrinkToFit="0" vertical="center" wrapText="0"/>
    </xf>
    <xf borderId="594" fillId="0" fontId="2" numFmtId="0" xfId="0" applyBorder="1" applyFont="1"/>
    <xf borderId="595" fillId="0" fontId="2" numFmtId="0" xfId="0" applyBorder="1" applyFont="1"/>
    <xf borderId="596" fillId="0" fontId="2" numFmtId="0" xfId="0" applyBorder="1" applyFont="1"/>
    <xf borderId="597" fillId="0" fontId="2" numFmtId="0" xfId="0" applyBorder="1" applyFont="1"/>
    <xf borderId="598" fillId="0" fontId="2" numFmtId="0" xfId="0" applyBorder="1" applyFont="1"/>
    <xf borderId="590" fillId="93" fontId="31" numFmtId="0" xfId="0" applyAlignment="1" applyBorder="1" applyFont="1">
      <alignment horizontal="center" readingOrder="0" shrinkToFit="0" vertical="center" wrapText="0"/>
    </xf>
    <xf borderId="590" fillId="93" fontId="31" numFmtId="0" xfId="0" applyAlignment="1" applyBorder="1" applyFont="1">
      <alignment horizontal="left" readingOrder="0" vertical="center"/>
    </xf>
    <xf borderId="590" fillId="93" fontId="224" numFmtId="0" xfId="0" applyBorder="1" applyFont="1"/>
    <xf borderId="599" fillId="93" fontId="33" numFmtId="0" xfId="0" applyAlignment="1" applyBorder="1" applyFont="1">
      <alignment horizontal="center" vertical="bottom"/>
    </xf>
    <xf borderId="600" fillId="0" fontId="2" numFmtId="0" xfId="0" applyBorder="1" applyFont="1"/>
    <xf borderId="590" fillId="93" fontId="33" numFmtId="0" xfId="0" applyBorder="1" applyFont="1"/>
    <xf borderId="590" fillId="93" fontId="34" numFmtId="0" xfId="0" applyAlignment="1" applyBorder="1" applyFont="1">
      <alignment readingOrder="0" shrinkToFit="0" vertical="center" wrapText="0"/>
    </xf>
    <xf borderId="590" fillId="93" fontId="33" numFmtId="0" xfId="0" applyAlignment="1" applyBorder="1" applyFont="1">
      <alignment vertical="center"/>
    </xf>
    <xf borderId="599" fillId="93" fontId="35" numFmtId="0" xfId="0" applyAlignment="1" applyBorder="1" applyFont="1">
      <alignment horizontal="center" readingOrder="0" vertical="bottom"/>
    </xf>
    <xf borderId="590" fillId="93" fontId="33" numFmtId="0" xfId="0" applyAlignment="1" applyBorder="1" applyFont="1">
      <alignment vertical="center"/>
    </xf>
    <xf borderId="591" fillId="93" fontId="36" numFmtId="164" xfId="0" applyAlignment="1" applyBorder="1" applyFont="1" applyNumberFormat="1">
      <alignment horizontal="center" readingOrder="0" vertical="center"/>
    </xf>
    <xf borderId="599" fillId="93" fontId="224" numFmtId="0" xfId="0" applyAlignment="1" applyBorder="1" applyFont="1">
      <alignment horizontal="center"/>
    </xf>
    <xf borderId="591" fillId="93" fontId="223" numFmtId="0" xfId="0" applyAlignment="1" applyBorder="1" applyFont="1">
      <alignment horizontal="center" readingOrder="0" shrinkToFit="0" vertical="center" wrapText="0"/>
    </xf>
    <xf borderId="590" fillId="93" fontId="224" numFmtId="0" xfId="0" applyAlignment="1" applyBorder="1" applyFont="1">
      <alignment horizontal="center"/>
    </xf>
    <xf borderId="601" fillId="94" fontId="225" numFmtId="0" xfId="0" applyAlignment="1" applyBorder="1" applyFill="1" applyFont="1">
      <alignment horizontal="left" readingOrder="0" shrinkToFit="0" vertical="center" wrapText="0"/>
    </xf>
    <xf borderId="601" fillId="94" fontId="226" numFmtId="0" xfId="0" applyAlignment="1" applyBorder="1" applyFont="1">
      <alignment horizontal="center" readingOrder="0" shrinkToFit="0" vertical="center" wrapText="0"/>
    </xf>
    <xf borderId="602" fillId="94" fontId="226" numFmtId="0" xfId="0" applyAlignment="1" applyBorder="1" applyFont="1">
      <alignment horizontal="left" readingOrder="0" shrinkToFit="0" vertical="center" wrapText="0"/>
    </xf>
    <xf borderId="603" fillId="0" fontId="2" numFmtId="0" xfId="0" applyBorder="1" applyFont="1"/>
    <xf borderId="604" fillId="0" fontId="2" numFmtId="0" xfId="0" applyBorder="1" applyFont="1"/>
    <xf borderId="602" fillId="94" fontId="82" numFmtId="0" xfId="0" applyAlignment="1" applyBorder="1" applyFont="1">
      <alignment horizontal="center" readingOrder="0" shrinkToFit="0" vertical="center" wrapText="0"/>
    </xf>
    <xf borderId="602" fillId="94" fontId="82" numFmtId="0" xfId="0" applyAlignment="1" applyBorder="1" applyFont="1">
      <alignment horizontal="left" readingOrder="0" vertical="center"/>
    </xf>
    <xf borderId="601" fillId="94" fontId="227" numFmtId="0" xfId="0" applyAlignment="1" applyBorder="1" applyFont="1">
      <alignment vertical="center"/>
    </xf>
    <xf borderId="601" fillId="94" fontId="225" numFmtId="0" xfId="0" applyAlignment="1" applyBorder="1" applyFont="1">
      <alignment readingOrder="0" shrinkToFit="0" vertical="center" wrapText="0"/>
    </xf>
    <xf borderId="601" fillId="94" fontId="225" numFmtId="49" xfId="0" applyAlignment="1" applyBorder="1" applyFont="1" applyNumberFormat="1">
      <alignment horizontal="left" readingOrder="0" shrinkToFit="0" vertical="center" wrapText="0"/>
    </xf>
    <xf borderId="605" fillId="0" fontId="2" numFmtId="0" xfId="0" applyBorder="1" applyFont="1"/>
    <xf borderId="606" fillId="0" fontId="2" numFmtId="0" xfId="0" applyBorder="1" applyFont="1"/>
    <xf borderId="607" fillId="0" fontId="2" numFmtId="0" xfId="0" applyBorder="1" applyFont="1"/>
    <xf borderId="608" fillId="0" fontId="2" numFmtId="0" xfId="0" applyBorder="1" applyFont="1"/>
    <xf borderId="609" fillId="0" fontId="2" numFmtId="0" xfId="0" applyBorder="1" applyFont="1"/>
    <xf borderId="601" fillId="94" fontId="82" numFmtId="0" xfId="0" applyAlignment="1" applyBorder="1" applyFont="1">
      <alignment horizontal="center" readingOrder="0" shrinkToFit="0" vertical="center" wrapText="0"/>
    </xf>
    <xf borderId="601" fillId="94" fontId="82" numFmtId="0" xfId="0" applyAlignment="1" applyBorder="1" applyFont="1">
      <alignment horizontal="left" readingOrder="0" vertical="center"/>
    </xf>
    <xf borderId="601" fillId="94" fontId="227" numFmtId="0" xfId="0" applyBorder="1" applyFont="1"/>
    <xf borderId="610" fillId="94" fontId="84" numFmtId="0" xfId="0" applyAlignment="1" applyBorder="1" applyFont="1">
      <alignment horizontal="center" vertical="bottom"/>
    </xf>
    <xf borderId="611" fillId="0" fontId="2" numFmtId="0" xfId="0" applyBorder="1" applyFont="1"/>
    <xf borderId="601" fillId="94" fontId="84" numFmtId="0" xfId="0" applyBorder="1" applyFont="1"/>
    <xf borderId="601" fillId="94" fontId="85" numFmtId="0" xfId="0" applyAlignment="1" applyBorder="1" applyFont="1">
      <alignment readingOrder="0" shrinkToFit="0" vertical="center" wrapText="0"/>
    </xf>
    <xf borderId="601" fillId="94" fontId="84" numFmtId="0" xfId="0" applyAlignment="1" applyBorder="1" applyFont="1">
      <alignment vertical="center"/>
    </xf>
    <xf borderId="610" fillId="94" fontId="86" numFmtId="0" xfId="0" applyAlignment="1" applyBorder="1" applyFont="1">
      <alignment horizontal="center" readingOrder="0" vertical="bottom"/>
    </xf>
    <xf borderId="601" fillId="94" fontId="84" numFmtId="0" xfId="0" applyAlignment="1" applyBorder="1" applyFont="1">
      <alignment vertical="center"/>
    </xf>
    <xf borderId="602" fillId="94" fontId="87" numFmtId="164" xfId="0" applyAlignment="1" applyBorder="1" applyFont="1" applyNumberFormat="1">
      <alignment horizontal="center" readingOrder="0" vertical="center"/>
    </xf>
    <xf borderId="610" fillId="94" fontId="227" numFmtId="0" xfId="0" applyAlignment="1" applyBorder="1" applyFont="1">
      <alignment horizontal="center"/>
    </xf>
    <xf borderId="602" fillId="94" fontId="226" numFmtId="0" xfId="0" applyAlignment="1" applyBorder="1" applyFont="1">
      <alignment horizontal="center" readingOrder="0" shrinkToFit="0" vertical="center" wrapText="0"/>
    </xf>
    <xf borderId="601" fillId="94" fontId="227" numFmtId="0" xfId="0" applyAlignment="1" applyBorder="1" applyFont="1">
      <alignment horizontal="center"/>
    </xf>
    <xf borderId="30" fillId="13" fontId="17" numFmtId="0" xfId="0" applyAlignment="1" applyBorder="1" applyFont="1">
      <alignment horizontal="center" readingOrder="0" shrinkToFit="0" vertical="center" wrapText="0"/>
    </xf>
    <xf borderId="30" fillId="14" fontId="41" numFmtId="0" xfId="0" applyAlignment="1" applyBorder="1" applyFont="1">
      <alignment readingOrder="0" shrinkToFit="0" vertical="center" wrapText="0"/>
    </xf>
    <xf borderId="30" fillId="11" fontId="41" numFmtId="49" xfId="0" applyAlignment="1" applyBorder="1" applyFont="1" applyNumberFormat="1">
      <alignment horizontal="center" readingOrder="0" shrinkToFit="0" vertical="center" wrapText="0"/>
    </xf>
    <xf borderId="29" fillId="10" fontId="41" numFmtId="49" xfId="0" applyAlignment="1" applyBorder="1" applyFont="1" applyNumberFormat="1">
      <alignment horizontal="center" shrinkToFit="0" vertical="center" wrapText="0"/>
    </xf>
    <xf borderId="612" fillId="95" fontId="228" numFmtId="0" xfId="0" applyAlignment="1" applyBorder="1" applyFill="1" applyFont="1">
      <alignment horizontal="left" readingOrder="0" shrinkToFit="0" vertical="center" wrapText="0"/>
    </xf>
    <xf borderId="612" fillId="95" fontId="229" numFmtId="0" xfId="0" applyAlignment="1" applyBorder="1" applyFont="1">
      <alignment horizontal="center" readingOrder="0" shrinkToFit="0" vertical="center" wrapText="0"/>
    </xf>
    <xf borderId="613" fillId="95" fontId="229" numFmtId="0" xfId="0" applyAlignment="1" applyBorder="1" applyFont="1">
      <alignment horizontal="left" readingOrder="0" shrinkToFit="0" vertical="center" wrapText="0"/>
    </xf>
    <xf borderId="614" fillId="0" fontId="2" numFmtId="0" xfId="0" applyBorder="1" applyFont="1"/>
    <xf borderId="615" fillId="0" fontId="2" numFmtId="0" xfId="0" applyBorder="1" applyFont="1"/>
    <xf borderId="613" fillId="95" fontId="82" numFmtId="0" xfId="0" applyAlignment="1" applyBorder="1" applyFont="1">
      <alignment horizontal="center" readingOrder="0" shrinkToFit="0" vertical="center" wrapText="0"/>
    </xf>
    <xf borderId="613" fillId="95" fontId="82" numFmtId="0" xfId="0" applyAlignment="1" applyBorder="1" applyFont="1">
      <alignment horizontal="left" readingOrder="0" vertical="center"/>
    </xf>
    <xf borderId="612" fillId="95" fontId="230" numFmtId="0" xfId="0" applyAlignment="1" applyBorder="1" applyFont="1">
      <alignment vertical="center"/>
    </xf>
    <xf borderId="612" fillId="95" fontId="228" numFmtId="0" xfId="0" applyAlignment="1" applyBorder="1" applyFont="1">
      <alignment readingOrder="0" shrinkToFit="0" vertical="center" wrapText="0"/>
    </xf>
    <xf borderId="612" fillId="95" fontId="228" numFmtId="49" xfId="0" applyAlignment="1" applyBorder="1" applyFont="1" applyNumberFormat="1">
      <alignment horizontal="left" readingOrder="0" shrinkToFit="0" vertical="center" wrapText="0"/>
    </xf>
    <xf borderId="616" fillId="0" fontId="2" numFmtId="0" xfId="0" applyBorder="1" applyFont="1"/>
    <xf borderId="617" fillId="0" fontId="2" numFmtId="0" xfId="0" applyBorder="1" applyFont="1"/>
    <xf borderId="618" fillId="0" fontId="2" numFmtId="0" xfId="0" applyBorder="1" applyFont="1"/>
    <xf borderId="619" fillId="0" fontId="2" numFmtId="0" xfId="0" applyBorder="1" applyFont="1"/>
    <xf borderId="620" fillId="0" fontId="2" numFmtId="0" xfId="0" applyBorder="1" applyFont="1"/>
    <xf borderId="612" fillId="95" fontId="82" numFmtId="0" xfId="0" applyAlignment="1" applyBorder="1" applyFont="1">
      <alignment horizontal="center" readingOrder="0" shrinkToFit="0" vertical="center" wrapText="0"/>
    </xf>
    <xf borderId="612" fillId="95" fontId="82" numFmtId="0" xfId="0" applyAlignment="1" applyBorder="1" applyFont="1">
      <alignment horizontal="left" readingOrder="0" vertical="center"/>
    </xf>
    <xf borderId="612" fillId="95" fontId="230" numFmtId="0" xfId="0" applyBorder="1" applyFont="1"/>
    <xf borderId="621" fillId="95" fontId="84" numFmtId="0" xfId="0" applyAlignment="1" applyBorder="1" applyFont="1">
      <alignment horizontal="center" vertical="bottom"/>
    </xf>
    <xf borderId="622" fillId="0" fontId="2" numFmtId="0" xfId="0" applyBorder="1" applyFont="1"/>
    <xf borderId="612" fillId="95" fontId="84" numFmtId="0" xfId="0" applyBorder="1" applyFont="1"/>
    <xf borderId="612" fillId="95" fontId="85" numFmtId="0" xfId="0" applyAlignment="1" applyBorder="1" applyFont="1">
      <alignment readingOrder="0" shrinkToFit="0" vertical="center" wrapText="0"/>
    </xf>
    <xf borderId="612" fillId="95" fontId="84" numFmtId="0" xfId="0" applyAlignment="1" applyBorder="1" applyFont="1">
      <alignment vertical="center"/>
    </xf>
    <xf borderId="621" fillId="95" fontId="86" numFmtId="0" xfId="0" applyAlignment="1" applyBorder="1" applyFont="1">
      <alignment horizontal="center" readingOrder="0" vertical="bottom"/>
    </xf>
    <xf borderId="612" fillId="95" fontId="84" numFmtId="0" xfId="0" applyAlignment="1" applyBorder="1" applyFont="1">
      <alignment vertical="center"/>
    </xf>
    <xf borderId="613" fillId="95" fontId="87" numFmtId="164" xfId="0" applyAlignment="1" applyBorder="1" applyFont="1" applyNumberFormat="1">
      <alignment horizontal="center" readingOrder="0" vertical="center"/>
    </xf>
    <xf borderId="621" fillId="95" fontId="230" numFmtId="0" xfId="0" applyAlignment="1" applyBorder="1" applyFont="1">
      <alignment horizontal="center"/>
    </xf>
    <xf borderId="613" fillId="95" fontId="229" numFmtId="0" xfId="0" applyAlignment="1" applyBorder="1" applyFont="1">
      <alignment horizontal="center" readingOrder="0" shrinkToFit="0" vertical="center" wrapText="0"/>
    </xf>
    <xf borderId="612" fillId="95" fontId="230" numFmtId="0" xfId="0" applyAlignment="1" applyBorder="1" applyFont="1">
      <alignment horizontal="center"/>
    </xf>
    <xf borderId="29" fillId="87" fontId="0" numFmtId="49" xfId="0" applyAlignment="1" applyBorder="1" applyFont="1" applyNumberFormat="1">
      <alignment horizontal="center" readingOrder="0" shrinkToFit="0" vertical="center" wrapText="0"/>
    </xf>
    <xf borderId="29" fillId="87" fontId="41" numFmtId="49" xfId="0" applyAlignment="1" applyBorder="1" applyFont="1" applyNumberFormat="1">
      <alignment horizontal="center" readingOrder="0" shrinkToFit="0" vertical="center" wrapText="0"/>
    </xf>
    <xf borderId="30" fillId="87" fontId="49" numFmtId="0" xfId="0" applyAlignment="1" applyBorder="1" applyFont="1">
      <alignment horizontal="left" readingOrder="0" shrinkToFit="0" vertical="top" wrapText="1"/>
    </xf>
    <xf borderId="33" fillId="87" fontId="41" numFmtId="0" xfId="0" applyAlignment="1" applyBorder="1" applyFont="1">
      <alignment horizontal="center" shrinkToFit="0" vertical="center" wrapText="0"/>
    </xf>
    <xf borderId="33" fillId="87" fontId="41" numFmtId="0" xfId="0" applyAlignment="1" applyBorder="1" applyFont="1">
      <alignment horizontal="center" readingOrder="0" shrinkToFit="0" vertical="center" wrapText="0"/>
    </xf>
    <xf borderId="33" fillId="27" fontId="41" numFmtId="0" xfId="0" applyAlignment="1" applyBorder="1" applyFont="1">
      <alignment horizontal="center" readingOrder="0" shrinkToFit="0" vertical="center" wrapText="0"/>
    </xf>
    <xf borderId="30" fillId="87" fontId="41" numFmtId="0" xfId="0" applyAlignment="1" applyBorder="1" applyFont="1">
      <alignment horizontal="left" readingOrder="0" shrinkToFit="0" vertical="top" wrapText="1"/>
    </xf>
    <xf borderId="33" fillId="18" fontId="41" numFmtId="49" xfId="0" applyAlignment="1" applyBorder="1" applyFont="1" applyNumberFormat="1">
      <alignment horizontal="center" readingOrder="0" shrinkToFit="0" vertical="center" wrapText="0"/>
    </xf>
    <xf borderId="36" fillId="87" fontId="41" numFmtId="49" xfId="0" applyAlignment="1" applyBorder="1" applyFont="1" applyNumberFormat="1">
      <alignment horizontal="center" readingOrder="0" shrinkToFit="0" vertical="center" wrapText="0"/>
    </xf>
    <xf borderId="36" fillId="87" fontId="41" numFmtId="0" xfId="0" applyAlignment="1" applyBorder="1" applyFont="1">
      <alignment horizontal="center" readingOrder="0" shrinkToFit="0" vertical="center" wrapText="0"/>
    </xf>
    <xf borderId="33" fillId="87" fontId="49" numFmtId="0" xfId="0" applyAlignment="1" applyBorder="1" applyFont="1">
      <alignment horizontal="center" readingOrder="0" shrinkToFit="0" vertical="center" wrapText="0"/>
    </xf>
    <xf borderId="33" fillId="87" fontId="49" numFmtId="0" xfId="0" applyAlignment="1" applyBorder="1" applyFont="1">
      <alignment horizontal="center" shrinkToFit="0" vertical="center" wrapText="0"/>
    </xf>
    <xf borderId="623" fillId="96" fontId="231" numFmtId="0" xfId="0" applyAlignment="1" applyBorder="1" applyFill="1" applyFont="1">
      <alignment horizontal="left" readingOrder="0" shrinkToFit="0" vertical="center" wrapText="0"/>
    </xf>
    <xf borderId="623" fillId="96" fontId="232" numFmtId="0" xfId="0" applyAlignment="1" applyBorder="1" applyFont="1">
      <alignment horizontal="center" readingOrder="0" shrinkToFit="0" vertical="center" wrapText="0"/>
    </xf>
    <xf borderId="624" fillId="96" fontId="232" numFmtId="0" xfId="0" applyAlignment="1" applyBorder="1" applyFont="1">
      <alignment horizontal="left" readingOrder="0" shrinkToFit="0" vertical="center" wrapText="0"/>
    </xf>
    <xf borderId="625" fillId="0" fontId="2" numFmtId="0" xfId="0" applyBorder="1" applyFont="1"/>
    <xf borderId="626" fillId="0" fontId="2" numFmtId="0" xfId="0" applyBorder="1" applyFont="1"/>
    <xf borderId="624" fillId="96" fontId="57" numFmtId="0" xfId="0" applyAlignment="1" applyBorder="1" applyFont="1">
      <alignment horizontal="center" readingOrder="0" shrinkToFit="0" vertical="center" wrapText="0"/>
    </xf>
    <xf borderId="624" fillId="96" fontId="57" numFmtId="0" xfId="0" applyAlignment="1" applyBorder="1" applyFont="1">
      <alignment horizontal="left" readingOrder="0" vertical="center"/>
    </xf>
    <xf borderId="623" fillId="96" fontId="233" numFmtId="0" xfId="0" applyAlignment="1" applyBorder="1" applyFont="1">
      <alignment vertical="center"/>
    </xf>
    <xf borderId="623" fillId="96" fontId="231" numFmtId="0" xfId="0" applyAlignment="1" applyBorder="1" applyFont="1">
      <alignment readingOrder="0" shrinkToFit="0" vertical="center" wrapText="0"/>
    </xf>
    <xf borderId="623" fillId="96" fontId="231" numFmtId="49" xfId="0" applyAlignment="1" applyBorder="1" applyFont="1" applyNumberFormat="1">
      <alignment horizontal="left" readingOrder="0" shrinkToFit="0" vertical="center" wrapText="0"/>
    </xf>
    <xf borderId="627" fillId="0" fontId="2" numFmtId="0" xfId="0" applyBorder="1" applyFont="1"/>
    <xf borderId="628" fillId="0" fontId="2" numFmtId="0" xfId="0" applyBorder="1" applyFont="1"/>
    <xf borderId="629" fillId="0" fontId="2" numFmtId="0" xfId="0" applyBorder="1" applyFont="1"/>
    <xf borderId="630" fillId="0" fontId="2" numFmtId="0" xfId="0" applyBorder="1" applyFont="1"/>
    <xf borderId="631" fillId="0" fontId="2" numFmtId="0" xfId="0" applyBorder="1" applyFont="1"/>
    <xf borderId="623" fillId="96" fontId="57" numFmtId="0" xfId="0" applyAlignment="1" applyBorder="1" applyFont="1">
      <alignment horizontal="center" readingOrder="0" shrinkToFit="0" vertical="center" wrapText="0"/>
    </xf>
    <xf borderId="623" fillId="96" fontId="57" numFmtId="0" xfId="0" applyAlignment="1" applyBorder="1" applyFont="1">
      <alignment horizontal="left" readingOrder="0" vertical="center"/>
    </xf>
    <xf borderId="623" fillId="96" fontId="233" numFmtId="0" xfId="0" applyBorder="1" applyFont="1"/>
    <xf borderId="632" fillId="96" fontId="59" numFmtId="0" xfId="0" applyAlignment="1" applyBorder="1" applyFont="1">
      <alignment horizontal="center" vertical="bottom"/>
    </xf>
    <xf borderId="633" fillId="0" fontId="2" numFmtId="0" xfId="0" applyBorder="1" applyFont="1"/>
    <xf borderId="623" fillId="96" fontId="59" numFmtId="0" xfId="0" applyBorder="1" applyFont="1"/>
    <xf borderId="623" fillId="96" fontId="60" numFmtId="0" xfId="0" applyAlignment="1" applyBorder="1" applyFont="1">
      <alignment readingOrder="0" shrinkToFit="0" vertical="center" wrapText="0"/>
    </xf>
    <xf borderId="623" fillId="96" fontId="59" numFmtId="0" xfId="0" applyAlignment="1" applyBorder="1" applyFont="1">
      <alignment vertical="center"/>
    </xf>
    <xf borderId="632" fillId="96" fontId="61" numFmtId="0" xfId="0" applyAlignment="1" applyBorder="1" applyFont="1">
      <alignment horizontal="center" readingOrder="0" vertical="bottom"/>
    </xf>
    <xf borderId="623" fillId="96" fontId="59" numFmtId="0" xfId="0" applyAlignment="1" applyBorder="1" applyFont="1">
      <alignment vertical="center"/>
    </xf>
    <xf borderId="624" fillId="96" fontId="62" numFmtId="164" xfId="0" applyAlignment="1" applyBorder="1" applyFont="1" applyNumberFormat="1">
      <alignment horizontal="center" readingOrder="0" vertical="center"/>
    </xf>
    <xf borderId="632" fillId="96" fontId="233" numFmtId="0" xfId="0" applyAlignment="1" applyBorder="1" applyFont="1">
      <alignment horizontal="center"/>
    </xf>
    <xf borderId="624" fillId="96" fontId="232" numFmtId="0" xfId="0" applyAlignment="1" applyBorder="1" applyFont="1">
      <alignment horizontal="center" readingOrder="0" shrinkToFit="0" vertical="center" wrapText="0"/>
    </xf>
    <xf borderId="623" fillId="96" fontId="233" numFmtId="0" xfId="0" applyAlignment="1" applyBorder="1" applyFont="1">
      <alignment horizontal="center"/>
    </xf>
    <xf borderId="34" fillId="26" fontId="41" numFmtId="49" xfId="0" applyAlignment="1" applyBorder="1" applyFont="1" applyNumberFormat="1">
      <alignment horizontal="left" readingOrder="0" shrinkToFit="0" vertical="center" wrapText="0"/>
    </xf>
    <xf borderId="0" fillId="0" fontId="40" numFmtId="49" xfId="0" applyAlignment="1" applyFont="1" applyNumberFormat="1">
      <alignment horizontal="center"/>
    </xf>
    <xf borderId="634" fillId="97" fontId="234" numFmtId="0" xfId="0" applyAlignment="1" applyBorder="1" applyFill="1" applyFont="1">
      <alignment horizontal="left" readingOrder="0" shrinkToFit="0" vertical="center" wrapText="0"/>
    </xf>
    <xf borderId="634" fillId="97" fontId="235" numFmtId="0" xfId="0" applyAlignment="1" applyBorder="1" applyFont="1">
      <alignment horizontal="center" readingOrder="0" shrinkToFit="0" vertical="center" wrapText="0"/>
    </xf>
    <xf borderId="635" fillId="97" fontId="235" numFmtId="0" xfId="0" applyAlignment="1" applyBorder="1" applyFont="1">
      <alignment horizontal="left" readingOrder="0" shrinkToFit="0" vertical="center" wrapText="0"/>
    </xf>
    <xf borderId="636" fillId="0" fontId="2" numFmtId="0" xfId="0" applyBorder="1" applyFont="1"/>
    <xf borderId="637" fillId="0" fontId="2" numFmtId="0" xfId="0" applyBorder="1" applyFont="1"/>
    <xf borderId="635" fillId="97" fontId="57" numFmtId="0" xfId="0" applyAlignment="1" applyBorder="1" applyFont="1">
      <alignment horizontal="center" readingOrder="0" shrinkToFit="0" vertical="center" wrapText="0"/>
    </xf>
    <xf borderId="635" fillId="97" fontId="57" numFmtId="0" xfId="0" applyAlignment="1" applyBorder="1" applyFont="1">
      <alignment horizontal="left" readingOrder="0" vertical="center"/>
    </xf>
    <xf borderId="634" fillId="97" fontId="236" numFmtId="0" xfId="0" applyAlignment="1" applyBorder="1" applyFont="1">
      <alignment vertical="center"/>
    </xf>
    <xf borderId="634" fillId="97" fontId="234" numFmtId="0" xfId="0" applyAlignment="1" applyBorder="1" applyFont="1">
      <alignment readingOrder="0" shrinkToFit="0" vertical="center" wrapText="0"/>
    </xf>
    <xf borderId="634" fillId="97" fontId="234" numFmtId="49" xfId="0" applyAlignment="1" applyBorder="1" applyFont="1" applyNumberFormat="1">
      <alignment horizontal="left" readingOrder="0" shrinkToFit="0" vertical="center" wrapText="0"/>
    </xf>
    <xf borderId="638" fillId="0" fontId="2" numFmtId="0" xfId="0" applyBorder="1" applyFont="1"/>
    <xf borderId="639" fillId="0" fontId="2" numFmtId="0" xfId="0" applyBorder="1" applyFont="1"/>
    <xf borderId="640" fillId="0" fontId="2" numFmtId="0" xfId="0" applyBorder="1" applyFont="1"/>
    <xf borderId="641" fillId="0" fontId="2" numFmtId="0" xfId="0" applyBorder="1" applyFont="1"/>
    <xf borderId="642" fillId="0" fontId="2" numFmtId="0" xfId="0" applyBorder="1" applyFont="1"/>
    <xf borderId="634" fillId="97" fontId="57" numFmtId="0" xfId="0" applyAlignment="1" applyBorder="1" applyFont="1">
      <alignment horizontal="center" readingOrder="0" shrinkToFit="0" vertical="center" wrapText="0"/>
    </xf>
    <xf borderId="634" fillId="97" fontId="57" numFmtId="0" xfId="0" applyAlignment="1" applyBorder="1" applyFont="1">
      <alignment horizontal="left" readingOrder="0" vertical="center"/>
    </xf>
    <xf borderId="634" fillId="97" fontId="236" numFmtId="0" xfId="0" applyBorder="1" applyFont="1"/>
    <xf borderId="643" fillId="97" fontId="59" numFmtId="0" xfId="0" applyAlignment="1" applyBorder="1" applyFont="1">
      <alignment horizontal="center" vertical="bottom"/>
    </xf>
    <xf borderId="644" fillId="0" fontId="2" numFmtId="0" xfId="0" applyBorder="1" applyFont="1"/>
    <xf borderId="634" fillId="97" fontId="59" numFmtId="0" xfId="0" applyBorder="1" applyFont="1"/>
    <xf borderId="634" fillId="97" fontId="60" numFmtId="0" xfId="0" applyAlignment="1" applyBorder="1" applyFont="1">
      <alignment readingOrder="0" shrinkToFit="0" vertical="center" wrapText="0"/>
    </xf>
    <xf borderId="634" fillId="97" fontId="59" numFmtId="0" xfId="0" applyAlignment="1" applyBorder="1" applyFont="1">
      <alignment vertical="center"/>
    </xf>
    <xf borderId="643" fillId="97" fontId="61" numFmtId="0" xfId="0" applyAlignment="1" applyBorder="1" applyFont="1">
      <alignment horizontal="center" readingOrder="0" vertical="bottom"/>
    </xf>
    <xf borderId="634" fillId="97" fontId="59" numFmtId="0" xfId="0" applyAlignment="1" applyBorder="1" applyFont="1">
      <alignment vertical="center"/>
    </xf>
    <xf borderId="635" fillId="97" fontId="62" numFmtId="164" xfId="0" applyAlignment="1" applyBorder="1" applyFont="1" applyNumberFormat="1">
      <alignment horizontal="center" readingOrder="0" vertical="center"/>
    </xf>
    <xf borderId="643" fillId="97" fontId="236" numFmtId="0" xfId="0" applyAlignment="1" applyBorder="1" applyFont="1">
      <alignment horizontal="center"/>
    </xf>
    <xf borderId="635" fillId="97" fontId="235" numFmtId="0" xfId="0" applyAlignment="1" applyBorder="1" applyFont="1">
      <alignment horizontal="center" readingOrder="0" shrinkToFit="0" vertical="center" wrapText="0"/>
    </xf>
    <xf borderId="634" fillId="97" fontId="236" numFmtId="0" xfId="0" applyAlignment="1" applyBorder="1" applyFont="1">
      <alignment horizontal="center"/>
    </xf>
    <xf borderId="29" fillId="27" fontId="41" numFmtId="49" xfId="0" applyAlignment="1" applyBorder="1" applyFont="1" applyNumberFormat="1">
      <alignment horizontal="center" readingOrder="0" shrinkToFit="0" vertical="center" wrapText="0"/>
    </xf>
    <xf borderId="645" fillId="98" fontId="237" numFmtId="0" xfId="0" applyAlignment="1" applyBorder="1" applyFill="1" applyFont="1">
      <alignment horizontal="left" readingOrder="0" shrinkToFit="0" vertical="center" wrapText="0"/>
    </xf>
    <xf borderId="645" fillId="98" fontId="238" numFmtId="0" xfId="0" applyAlignment="1" applyBorder="1" applyFont="1">
      <alignment horizontal="center" readingOrder="0" shrinkToFit="0" vertical="center" wrapText="0"/>
    </xf>
    <xf borderId="646" fillId="98" fontId="238" numFmtId="0" xfId="0" applyAlignment="1" applyBorder="1" applyFont="1">
      <alignment horizontal="left" readingOrder="0" shrinkToFit="0" vertical="center" wrapText="0"/>
    </xf>
    <xf borderId="647" fillId="0" fontId="2" numFmtId="0" xfId="0" applyBorder="1" applyFont="1"/>
    <xf borderId="648" fillId="0" fontId="2" numFmtId="0" xfId="0" applyBorder="1" applyFont="1"/>
    <xf borderId="646" fillId="98" fontId="57" numFmtId="0" xfId="0" applyAlignment="1" applyBorder="1" applyFont="1">
      <alignment horizontal="center" readingOrder="0" shrinkToFit="0" vertical="center" wrapText="0"/>
    </xf>
    <xf borderId="646" fillId="98" fontId="57" numFmtId="0" xfId="0" applyAlignment="1" applyBorder="1" applyFont="1">
      <alignment horizontal="left" readingOrder="0" shrinkToFit="0" vertical="center" wrapText="0"/>
    </xf>
    <xf borderId="645" fillId="98" fontId="239" numFmtId="0" xfId="0" applyAlignment="1" applyBorder="1" applyFont="1">
      <alignment shrinkToFit="0" vertical="center" wrapText="0"/>
    </xf>
    <xf borderId="645" fillId="98" fontId="237" numFmtId="0" xfId="0" applyAlignment="1" applyBorder="1" applyFont="1">
      <alignment readingOrder="0" shrinkToFit="0" vertical="center" wrapText="0"/>
    </xf>
    <xf borderId="645" fillId="98" fontId="237" numFmtId="49" xfId="0" applyAlignment="1" applyBorder="1" applyFont="1" applyNumberFormat="1">
      <alignment horizontal="left" readingOrder="0" shrinkToFit="0" vertical="center" wrapText="0"/>
    </xf>
    <xf borderId="649" fillId="0" fontId="2" numFmtId="0" xfId="0" applyBorder="1" applyFont="1"/>
    <xf borderId="650" fillId="0" fontId="2" numFmtId="0" xfId="0" applyBorder="1" applyFont="1"/>
    <xf borderId="651" fillId="0" fontId="2" numFmtId="0" xfId="0" applyBorder="1" applyFont="1"/>
    <xf borderId="652" fillId="0" fontId="2" numFmtId="0" xfId="0" applyBorder="1" applyFont="1"/>
    <xf borderId="653" fillId="0" fontId="2" numFmtId="0" xfId="0" applyBorder="1" applyFont="1"/>
    <xf borderId="645" fillId="98" fontId="57" numFmtId="0" xfId="0" applyAlignment="1" applyBorder="1" applyFont="1">
      <alignment horizontal="center" readingOrder="0" shrinkToFit="0" vertical="center" wrapText="0"/>
    </xf>
    <xf borderId="645" fillId="98" fontId="57" numFmtId="0" xfId="0" applyAlignment="1" applyBorder="1" applyFont="1">
      <alignment horizontal="left" readingOrder="0" shrinkToFit="0" vertical="center" wrapText="0"/>
    </xf>
    <xf borderId="645" fillId="98" fontId="239" numFmtId="0" xfId="0" applyAlignment="1" applyBorder="1" applyFont="1">
      <alignment shrinkToFit="0" wrapText="0"/>
    </xf>
    <xf borderId="654" fillId="98" fontId="59" numFmtId="0" xfId="0" applyAlignment="1" applyBorder="1" applyFont="1">
      <alignment horizontal="center" shrinkToFit="0" vertical="bottom" wrapText="0"/>
    </xf>
    <xf borderId="655" fillId="0" fontId="2" numFmtId="0" xfId="0" applyBorder="1" applyFont="1"/>
    <xf borderId="645" fillId="98" fontId="59" numFmtId="0" xfId="0" applyAlignment="1" applyBorder="1" applyFont="1">
      <alignment shrinkToFit="0" wrapText="0"/>
    </xf>
    <xf borderId="645" fillId="98" fontId="60" numFmtId="0" xfId="0" applyAlignment="1" applyBorder="1" applyFont="1">
      <alignment readingOrder="0" shrinkToFit="0" vertical="center" wrapText="0"/>
    </xf>
    <xf borderId="645" fillId="98" fontId="59" numFmtId="0" xfId="0" applyAlignment="1" applyBorder="1" applyFont="1">
      <alignment shrinkToFit="0" vertical="center" wrapText="0"/>
    </xf>
    <xf borderId="654" fillId="98" fontId="61" numFmtId="0" xfId="0" applyAlignment="1" applyBorder="1" applyFont="1">
      <alignment horizontal="center" readingOrder="0" shrinkToFit="0" vertical="bottom" wrapText="0"/>
    </xf>
    <xf borderId="645" fillId="98" fontId="59" numFmtId="0" xfId="0" applyAlignment="1" applyBorder="1" applyFont="1">
      <alignment shrinkToFit="0" vertical="center" wrapText="0"/>
    </xf>
    <xf borderId="646" fillId="98" fontId="62" numFmtId="164" xfId="0" applyAlignment="1" applyBorder="1" applyFont="1" applyNumberFormat="1">
      <alignment horizontal="center" readingOrder="0" shrinkToFit="0" vertical="center" wrapText="0"/>
    </xf>
    <xf borderId="654" fillId="98" fontId="239" numFmtId="0" xfId="0" applyAlignment="1" applyBorder="1" applyFont="1">
      <alignment horizontal="center" shrinkToFit="0" wrapText="0"/>
    </xf>
    <xf borderId="646" fillId="98" fontId="238" numFmtId="0" xfId="0" applyAlignment="1" applyBorder="1" applyFont="1">
      <alignment horizontal="center" readingOrder="0" shrinkToFit="0" vertical="center" wrapText="0"/>
    </xf>
    <xf borderId="645" fillId="98" fontId="239" numFmtId="0" xfId="0" applyAlignment="1" applyBorder="1" applyFont="1">
      <alignment horizontal="center" shrinkToFit="0" wrapText="0"/>
    </xf>
    <xf borderId="0" fillId="0" fontId="32" numFmtId="0" xfId="0" applyAlignment="1" applyFont="1">
      <alignment shrinkToFit="0" wrapText="0"/>
    </xf>
    <xf borderId="0" fillId="0" fontId="32" numFmtId="0" xfId="0" applyAlignment="1" applyFont="1">
      <alignment shrinkToFit="0" vertical="center" wrapText="0"/>
    </xf>
    <xf borderId="0" fillId="0" fontId="39" numFmtId="0" xfId="0" applyAlignment="1" applyFont="1">
      <alignment shrinkToFit="0" wrapText="0"/>
    </xf>
    <xf borderId="0" fillId="0" fontId="40" numFmtId="0" xfId="0" applyAlignment="1" applyFont="1">
      <alignment shrinkToFit="0" wrapText="0"/>
    </xf>
    <xf borderId="0" fillId="0" fontId="40" numFmtId="0" xfId="0" applyAlignment="1" applyFont="1">
      <alignment shrinkToFit="0" vertical="center" wrapText="0"/>
    </xf>
    <xf borderId="33" fillId="0" fontId="2" numFmtId="165" xfId="0" applyAlignment="1" applyBorder="1" applyFont="1" applyNumberFormat="1">
      <alignment shrinkToFit="0" wrapText="0"/>
    </xf>
    <xf borderId="0" fillId="0" fontId="40" numFmtId="0" xfId="0" applyAlignment="1" applyFont="1">
      <alignment readingOrder="0" shrinkToFit="0" wrapText="0"/>
    </xf>
    <xf borderId="26" fillId="15" fontId="42" numFmtId="0" xfId="0" applyAlignment="1" applyBorder="1" applyFont="1">
      <alignment readingOrder="0" shrinkToFit="0" vertical="center" wrapText="0"/>
    </xf>
    <xf borderId="0" fillId="0" fontId="43" numFmtId="0" xfId="0" applyAlignment="1" applyFont="1">
      <alignment horizontal="center" readingOrder="0" shrinkToFit="0" vertical="center" wrapText="0"/>
    </xf>
    <xf borderId="0" fillId="0" fontId="44" numFmtId="0" xfId="0" applyAlignment="1" applyFont="1">
      <alignment horizontal="left" readingOrder="0" shrinkToFit="0" vertical="center" wrapText="0"/>
    </xf>
    <xf borderId="0" fillId="0" fontId="44" numFmtId="49" xfId="0" applyAlignment="1" applyFont="1" applyNumberFormat="1">
      <alignment horizontal="left" readingOrder="0" shrinkToFit="0" vertical="center" wrapText="0"/>
    </xf>
    <xf borderId="0" fillId="0" fontId="44" numFmtId="4" xfId="0" applyAlignment="1" applyFont="1" applyNumberFormat="1">
      <alignment horizontal="left" readingOrder="0" shrinkToFit="0" vertical="center" wrapText="0"/>
    </xf>
    <xf borderId="0" fillId="11" fontId="44" numFmtId="0" xfId="0" applyAlignment="1" applyFont="1">
      <alignment horizontal="center" readingOrder="0" shrinkToFit="0" vertical="center" wrapText="0"/>
    </xf>
    <xf borderId="0" fillId="11" fontId="43" numFmtId="0" xfId="0" applyAlignment="1" applyFont="1">
      <alignment horizontal="center" readingOrder="0" shrinkToFit="0" vertical="center" wrapText="0"/>
    </xf>
    <xf borderId="0" fillId="11" fontId="45" numFmtId="0" xfId="0" applyAlignment="1" applyFont="1">
      <alignment horizontal="center" readingOrder="0" shrinkToFit="0" vertical="center" wrapText="0"/>
    </xf>
    <xf borderId="31" fillId="15" fontId="17" numFmtId="49" xfId="0" applyAlignment="1" applyBorder="1" applyFont="1" applyNumberFormat="1">
      <alignment horizontal="center" readingOrder="0" shrinkToFit="0" vertical="center" wrapText="0"/>
    </xf>
    <xf borderId="33" fillId="15" fontId="17" numFmtId="49" xfId="0" applyAlignment="1" applyBorder="1" applyFont="1" applyNumberFormat="1">
      <alignment horizontal="center" readingOrder="0" shrinkToFit="0" vertical="center" wrapText="0"/>
    </xf>
    <xf borderId="31" fillId="15" fontId="17" numFmtId="0" xfId="0" applyAlignment="1" applyBorder="1" applyFont="1">
      <alignment horizontal="center" readingOrder="0" shrinkToFit="0" vertical="center" wrapText="0"/>
    </xf>
    <xf borderId="30" fillId="15" fontId="17" numFmtId="0" xfId="0" applyAlignment="1" applyBorder="1" applyFont="1">
      <alignment horizontal="left" readingOrder="0" shrinkToFit="0" vertical="center" wrapText="0"/>
    </xf>
    <xf borderId="33" fillId="15" fontId="17" numFmtId="0" xfId="0" applyAlignment="1" applyBorder="1" applyFont="1">
      <alignment horizontal="center" readingOrder="0" shrinkToFit="0" vertical="center" wrapText="0"/>
    </xf>
    <xf borderId="33" fillId="15" fontId="46" numFmtId="0" xfId="0" applyAlignment="1" applyBorder="1" applyFont="1">
      <alignment horizontal="center" readingOrder="0" shrinkToFit="0" vertical="center" wrapText="0"/>
    </xf>
    <xf borderId="0" fillId="11" fontId="17" numFmtId="0" xfId="0" applyAlignment="1" applyFont="1">
      <alignment horizontal="center" readingOrder="0" shrinkToFit="0" vertical="center" wrapText="0"/>
    </xf>
    <xf borderId="34" fillId="16" fontId="41" numFmtId="0" xfId="0" applyAlignment="1" applyBorder="1" applyFont="1">
      <alignment readingOrder="0" shrinkToFit="0" vertical="center" wrapText="1"/>
    </xf>
    <xf borderId="33" fillId="17" fontId="41" numFmtId="49" xfId="0" applyAlignment="1" applyBorder="1" applyFont="1" applyNumberFormat="1">
      <alignment horizontal="left" readingOrder="0" shrinkToFit="0" vertical="center" wrapText="1"/>
    </xf>
    <xf borderId="31" fillId="0" fontId="41" numFmtId="49" xfId="0" applyAlignment="1" applyBorder="1" applyFont="1" applyNumberFormat="1">
      <alignment horizontal="center" readingOrder="0" shrinkToFit="0" vertical="center" wrapText="1"/>
    </xf>
    <xf borderId="33" fillId="0" fontId="41" numFmtId="0" xfId="0" applyAlignment="1" applyBorder="1" applyFont="1">
      <alignment horizontal="center" readingOrder="0" shrinkToFit="0" vertical="center" wrapText="1"/>
    </xf>
    <xf borderId="36" fillId="17" fontId="41" numFmtId="49" xfId="0" applyAlignment="1" applyBorder="1" applyFont="1" applyNumberFormat="1">
      <alignment horizontal="left" readingOrder="0" shrinkToFit="0" vertical="center" wrapText="1"/>
    </xf>
    <xf borderId="29" fillId="0" fontId="41" numFmtId="49" xfId="0" applyAlignment="1" applyBorder="1" applyFont="1" applyNumberFormat="1">
      <alignment horizontal="center" readingOrder="0" shrinkToFit="0" vertical="center" wrapText="1"/>
    </xf>
    <xf borderId="29" fillId="27" fontId="49" numFmtId="49" xfId="0" applyAlignment="1" applyBorder="1" applyFont="1" applyNumberFormat="1">
      <alignment horizontal="center" shrinkToFit="0" vertical="center" wrapText="1"/>
    </xf>
    <xf borderId="29" fillId="27" fontId="41" numFmtId="49" xfId="0" applyAlignment="1" applyBorder="1" applyFont="1" applyNumberFormat="1">
      <alignment horizontal="center" shrinkToFit="0" vertical="center" wrapText="1"/>
    </xf>
    <xf borderId="29" fillId="27" fontId="41" numFmtId="0" xfId="0" applyAlignment="1" applyBorder="1" applyFont="1">
      <alignment horizontal="center" shrinkToFit="0" vertical="center" wrapText="1"/>
    </xf>
    <xf borderId="29" fillId="0" fontId="0" numFmtId="49" xfId="0" applyAlignment="1" applyBorder="1" applyFont="1" applyNumberFormat="1">
      <alignment horizontal="center" readingOrder="0" shrinkToFit="0" vertical="center" wrapText="1"/>
    </xf>
    <xf borderId="36" fillId="17" fontId="41" numFmtId="49" xfId="0" applyAlignment="1" applyBorder="1" applyFont="1" applyNumberFormat="1">
      <alignment horizontal="left" shrinkToFit="0" vertical="center" wrapText="1"/>
    </xf>
    <xf borderId="37" fillId="0" fontId="41" numFmtId="49" xfId="0" applyAlignment="1" applyBorder="1" applyFont="1" applyNumberFormat="1">
      <alignment horizontal="center" readingOrder="0" shrinkToFit="0" vertical="center" wrapText="1"/>
    </xf>
    <xf borderId="33" fillId="16" fontId="41" numFmtId="0" xfId="0" applyAlignment="1" applyBorder="1" applyFont="1">
      <alignment readingOrder="0" shrinkToFit="0" vertical="center" wrapText="1"/>
    </xf>
    <xf borderId="29" fillId="10" fontId="41" numFmtId="49" xfId="0" applyAlignment="1" applyBorder="1" applyFont="1" applyNumberFormat="1">
      <alignment horizontal="center" readingOrder="0" shrinkToFit="0" vertical="center" wrapText="1"/>
    </xf>
    <xf borderId="37" fillId="11" fontId="41" numFmtId="49" xfId="0" applyAlignment="1" applyBorder="1" applyFont="1" applyNumberFormat="1">
      <alignment horizontal="center" readingOrder="0" shrinkToFit="0" vertical="center" wrapText="1"/>
    </xf>
    <xf borderId="29" fillId="11" fontId="41" numFmtId="49" xfId="0" applyAlignment="1" applyBorder="1" applyFont="1" applyNumberFormat="1">
      <alignment horizontal="center" readingOrder="0" shrinkToFit="0" vertical="center" wrapText="1"/>
    </xf>
    <xf borderId="34" fillId="11" fontId="0" numFmtId="0" xfId="0" applyAlignment="1" applyBorder="1" applyFont="1">
      <alignment horizontal="center" readingOrder="0" shrinkToFit="0" vertical="center" wrapText="0"/>
    </xf>
    <xf borderId="34" fillId="11" fontId="49" numFmtId="0" xfId="0" applyAlignment="1" applyBorder="1" applyFont="1">
      <alignment horizontal="center" readingOrder="0" shrinkToFit="0" vertical="center" wrapText="0"/>
    </xf>
    <xf borderId="33" fillId="26" fontId="40" numFmtId="49" xfId="0" applyAlignment="1" applyBorder="1" applyFont="1" applyNumberFormat="1">
      <alignment readingOrder="0" shrinkToFit="0" vertical="center" wrapText="0"/>
    </xf>
    <xf borderId="33" fillId="25" fontId="40" numFmtId="49" xfId="0" applyAlignment="1" applyBorder="1" applyFont="1" applyNumberFormat="1">
      <alignment shrinkToFit="0" wrapText="0"/>
    </xf>
    <xf borderId="33" fillId="0" fontId="40" numFmtId="0" xfId="0" applyAlignment="1" applyBorder="1" applyFont="1">
      <alignment shrinkToFit="0" wrapText="0"/>
    </xf>
    <xf borderId="33" fillId="11" fontId="40" numFmtId="0" xfId="0" applyAlignment="1" applyBorder="1" applyFont="1">
      <alignment shrinkToFit="0" wrapText="0"/>
    </xf>
    <xf borderId="34" fillId="11" fontId="40" numFmtId="0" xfId="0" applyAlignment="1" applyBorder="1" applyFont="1">
      <alignment shrinkToFit="0" wrapText="0"/>
    </xf>
    <xf borderId="34" fillId="11" fontId="40" numFmtId="0" xfId="0" applyAlignment="1" applyBorder="1" applyFont="1">
      <alignment readingOrder="0" shrinkToFit="0" wrapText="0"/>
    </xf>
    <xf borderId="33" fillId="25" fontId="40" numFmtId="49" xfId="0" applyAlignment="1" applyBorder="1" applyFont="1" applyNumberFormat="1">
      <alignment readingOrder="0" shrinkToFit="0" wrapText="0"/>
    </xf>
    <xf borderId="34" fillId="11" fontId="40" numFmtId="0" xfId="0" applyAlignment="1" applyBorder="1" applyFont="1">
      <alignment horizontal="center" readingOrder="0" shrinkToFit="0" vertical="center" wrapText="0"/>
    </xf>
    <xf borderId="26" fillId="11" fontId="40" numFmtId="0" xfId="0" applyAlignment="1" applyBorder="1" applyFont="1">
      <alignment readingOrder="0" shrinkToFit="0" vertical="top" wrapText="1"/>
    </xf>
    <xf borderId="33" fillId="27" fontId="53" numFmtId="49" xfId="0" applyAlignment="1" applyBorder="1" applyFont="1" applyNumberFormat="1">
      <alignment shrinkToFit="0" wrapText="0"/>
    </xf>
    <xf borderId="33" fillId="27" fontId="53" numFmtId="49" xfId="0" applyAlignment="1" applyBorder="1" applyFont="1" applyNumberFormat="1">
      <alignment shrinkToFit="0" vertical="center" wrapText="0"/>
    </xf>
    <xf borderId="26" fillId="0" fontId="40" numFmtId="0" xfId="0" applyAlignment="1" applyBorder="1" applyFont="1">
      <alignment readingOrder="0" shrinkToFit="0" vertical="top" wrapText="1"/>
    </xf>
    <xf borderId="34" fillId="0" fontId="40" numFmtId="0" xfId="0" applyAlignment="1" applyBorder="1" applyFont="1">
      <alignment horizontal="center" shrinkToFit="0" vertical="center" wrapText="0"/>
    </xf>
    <xf borderId="35" fillId="25" fontId="40" numFmtId="49" xfId="0" applyAlignment="1" applyBorder="1" applyFont="1" applyNumberFormat="1">
      <alignment readingOrder="0" shrinkToFit="0" vertical="center" wrapText="0"/>
    </xf>
    <xf borderId="33" fillId="0" fontId="40" numFmtId="0" xfId="0" applyAlignment="1" applyBorder="1" applyFont="1">
      <alignment horizontal="center" readingOrder="0" shrinkToFit="0" vertical="center" wrapText="0"/>
    </xf>
    <xf borderId="0" fillId="0" fontId="40" numFmtId="49" xfId="0" applyAlignment="1" applyFont="1" applyNumberFormat="1">
      <alignment shrinkToFit="0" vertical="center" wrapText="0"/>
    </xf>
    <xf borderId="0" fillId="0" fontId="40" numFmtId="0" xfId="0" applyAlignment="1" applyFont="1">
      <alignment readingOrder="0" shrinkToFit="0" vertical="center" wrapText="0"/>
    </xf>
    <xf borderId="656" fillId="99" fontId="240" numFmtId="0" xfId="0" applyAlignment="1" applyBorder="1" applyFill="1" applyFont="1">
      <alignment horizontal="left" readingOrder="0" shrinkToFit="0" vertical="center" wrapText="0"/>
    </xf>
    <xf borderId="656" fillId="99" fontId="241" numFmtId="0" xfId="0" applyAlignment="1" applyBorder="1" applyFont="1">
      <alignment horizontal="center" readingOrder="0" shrinkToFit="0" vertical="center" wrapText="0"/>
    </xf>
    <xf borderId="657" fillId="99" fontId="241" numFmtId="0" xfId="0" applyAlignment="1" applyBorder="1" applyFont="1">
      <alignment horizontal="left" readingOrder="0" shrinkToFit="0" vertical="center" wrapText="0"/>
    </xf>
    <xf borderId="658" fillId="0" fontId="2" numFmtId="0" xfId="0" applyBorder="1" applyFont="1"/>
    <xf borderId="659" fillId="0" fontId="2" numFmtId="0" xfId="0" applyBorder="1" applyFont="1"/>
    <xf borderId="657" fillId="99" fontId="57" numFmtId="0" xfId="0" applyAlignment="1" applyBorder="1" applyFont="1">
      <alignment horizontal="center" readingOrder="0" shrinkToFit="0" vertical="center" wrapText="0"/>
    </xf>
    <xf borderId="657" fillId="99" fontId="57" numFmtId="0" xfId="0" applyAlignment="1" applyBorder="1" applyFont="1">
      <alignment horizontal="left" readingOrder="0" shrinkToFit="0" vertical="center" wrapText="0"/>
    </xf>
    <xf borderId="656" fillId="99" fontId="242" numFmtId="0" xfId="0" applyAlignment="1" applyBorder="1" applyFont="1">
      <alignment shrinkToFit="0" vertical="center" wrapText="0"/>
    </xf>
    <xf borderId="656" fillId="99" fontId="240" numFmtId="0" xfId="0" applyAlignment="1" applyBorder="1" applyFont="1">
      <alignment readingOrder="0" shrinkToFit="0" vertical="center" wrapText="0"/>
    </xf>
    <xf borderId="656" fillId="99" fontId="240" numFmtId="49" xfId="0" applyAlignment="1" applyBorder="1" applyFont="1" applyNumberFormat="1">
      <alignment horizontal="left" readingOrder="0" shrinkToFit="0" vertical="center" wrapText="0"/>
    </xf>
    <xf borderId="660" fillId="0" fontId="2" numFmtId="0" xfId="0" applyBorder="1" applyFont="1"/>
    <xf borderId="661" fillId="0" fontId="2" numFmtId="0" xfId="0" applyBorder="1" applyFont="1"/>
    <xf borderId="662" fillId="0" fontId="2" numFmtId="0" xfId="0" applyBorder="1" applyFont="1"/>
    <xf borderId="663" fillId="0" fontId="2" numFmtId="0" xfId="0" applyBorder="1" applyFont="1"/>
    <xf borderId="664" fillId="0" fontId="2" numFmtId="0" xfId="0" applyBorder="1" applyFont="1"/>
    <xf borderId="656" fillId="99" fontId="57" numFmtId="0" xfId="0" applyAlignment="1" applyBorder="1" applyFont="1">
      <alignment horizontal="center" readingOrder="0" shrinkToFit="0" vertical="center" wrapText="0"/>
    </xf>
    <xf borderId="656" fillId="99" fontId="57" numFmtId="0" xfId="0" applyAlignment="1" applyBorder="1" applyFont="1">
      <alignment horizontal="left" readingOrder="0" shrinkToFit="0" vertical="center" wrapText="0"/>
    </xf>
    <xf borderId="656" fillId="99" fontId="242" numFmtId="0" xfId="0" applyAlignment="1" applyBorder="1" applyFont="1">
      <alignment shrinkToFit="0" wrapText="0"/>
    </xf>
    <xf borderId="665" fillId="99" fontId="59" numFmtId="0" xfId="0" applyAlignment="1" applyBorder="1" applyFont="1">
      <alignment horizontal="center" shrinkToFit="0" vertical="bottom" wrapText="0"/>
    </xf>
    <xf borderId="666" fillId="0" fontId="2" numFmtId="0" xfId="0" applyBorder="1" applyFont="1"/>
    <xf borderId="656" fillId="99" fontId="59" numFmtId="0" xfId="0" applyAlignment="1" applyBorder="1" applyFont="1">
      <alignment shrinkToFit="0" wrapText="0"/>
    </xf>
    <xf borderId="656" fillId="99" fontId="60" numFmtId="0" xfId="0" applyAlignment="1" applyBorder="1" applyFont="1">
      <alignment readingOrder="0" shrinkToFit="0" vertical="center" wrapText="0"/>
    </xf>
    <xf borderId="656" fillId="99" fontId="59" numFmtId="0" xfId="0" applyAlignment="1" applyBorder="1" applyFont="1">
      <alignment shrinkToFit="0" vertical="center" wrapText="0"/>
    </xf>
    <xf borderId="665" fillId="99" fontId="61" numFmtId="0" xfId="0" applyAlignment="1" applyBorder="1" applyFont="1">
      <alignment horizontal="center" readingOrder="0" shrinkToFit="0" vertical="bottom" wrapText="0"/>
    </xf>
    <xf borderId="656" fillId="99" fontId="59" numFmtId="0" xfId="0" applyAlignment="1" applyBorder="1" applyFont="1">
      <alignment shrinkToFit="0" vertical="center" wrapText="0"/>
    </xf>
    <xf borderId="657" fillId="99" fontId="62" numFmtId="164" xfId="0" applyAlignment="1" applyBorder="1" applyFont="1" applyNumberFormat="1">
      <alignment horizontal="center" readingOrder="0" shrinkToFit="0" vertical="center" wrapText="0"/>
    </xf>
    <xf borderId="665" fillId="99" fontId="242" numFmtId="0" xfId="0" applyAlignment="1" applyBorder="1" applyFont="1">
      <alignment horizontal="center" shrinkToFit="0" wrapText="0"/>
    </xf>
    <xf borderId="657" fillId="99" fontId="241" numFmtId="0" xfId="0" applyAlignment="1" applyBorder="1" applyFont="1">
      <alignment horizontal="center" readingOrder="0" shrinkToFit="0" vertical="center" wrapText="0"/>
    </xf>
    <xf borderId="656" fillId="99" fontId="242" numFmtId="0" xfId="0" applyAlignment="1" applyBorder="1" applyFont="1">
      <alignment horizontal="center" shrinkToFit="0" wrapText="0"/>
    </xf>
    <xf borderId="38" fillId="11" fontId="47" numFmtId="0" xfId="0" applyAlignment="1" applyBorder="1" applyFont="1">
      <alignment readingOrder="0" shrinkToFit="0" vertical="top" wrapText="1"/>
    </xf>
    <xf borderId="31" fillId="0" fontId="40" numFmtId="0" xfId="0" applyAlignment="1" applyBorder="1" applyFont="1">
      <alignment shrinkToFit="0" wrapText="0"/>
    </xf>
    <xf borderId="31" fillId="11" fontId="40" numFmtId="0" xfId="0" applyAlignment="1" applyBorder="1" applyFont="1">
      <alignment shrinkToFit="0" wrapText="0"/>
    </xf>
    <xf borderId="35" fillId="11" fontId="41" numFmtId="0" xfId="0" applyAlignment="1" applyBorder="1" applyFont="1">
      <alignment horizontal="center" readingOrder="0" shrinkToFit="0" vertical="center" wrapText="0"/>
    </xf>
    <xf borderId="29" fillId="0" fontId="40" numFmtId="0" xfId="0" applyAlignment="1" applyBorder="1" applyFont="1">
      <alignment shrinkToFit="0" wrapText="0"/>
    </xf>
    <xf borderId="29" fillId="11" fontId="40" numFmtId="0" xfId="0" applyAlignment="1" applyBorder="1" applyFont="1">
      <alignment shrinkToFit="0" wrapText="0"/>
    </xf>
    <xf borderId="38" fillId="0" fontId="47" numFmtId="0" xfId="0" applyAlignment="1" applyBorder="1" applyFont="1">
      <alignment horizontal="left" readingOrder="0" shrinkToFit="0" vertical="top" wrapText="1"/>
    </xf>
    <xf borderId="31" fillId="11" fontId="40" numFmtId="49" xfId="0" applyAlignment="1" applyBorder="1" applyFont="1" applyNumberFormat="1">
      <alignment horizontal="center" readingOrder="0" shrinkToFit="0" vertical="center" wrapText="0"/>
    </xf>
    <xf borderId="29" fillId="27" fontId="40" numFmtId="49" xfId="0" applyAlignment="1" applyBorder="1" applyFont="1" applyNumberFormat="1">
      <alignment horizontal="center" readingOrder="0" shrinkToFit="0" vertical="center" wrapText="0"/>
    </xf>
    <xf borderId="38" fillId="11" fontId="40" numFmtId="0" xfId="0" applyAlignment="1" applyBorder="1" applyFont="1">
      <alignment readingOrder="0" shrinkToFit="0" vertical="top" wrapText="1"/>
    </xf>
    <xf borderId="27" fillId="27" fontId="53" numFmtId="49" xfId="0" applyAlignment="1" applyBorder="1" applyFont="1" applyNumberFormat="1">
      <alignment shrinkToFit="0" vertical="center" wrapText="0"/>
    </xf>
    <xf borderId="31" fillId="25" fontId="40" numFmtId="49" xfId="0" applyAlignment="1" applyBorder="1" applyFont="1" applyNumberFormat="1">
      <alignment shrinkToFit="0" vertical="center" wrapText="0"/>
    </xf>
    <xf borderId="31" fillId="0" fontId="47" numFmtId="0" xfId="0" applyAlignment="1" applyBorder="1" applyFont="1">
      <alignment horizontal="center" shrinkToFit="0" vertical="center" wrapText="0"/>
    </xf>
    <xf borderId="31" fillId="11" fontId="40" numFmtId="0" xfId="0" applyAlignment="1" applyBorder="1" applyFont="1">
      <alignment shrinkToFit="0" vertical="center" wrapText="0"/>
    </xf>
    <xf borderId="29" fillId="0" fontId="47" numFmtId="0" xfId="0" applyAlignment="1" applyBorder="1" applyFont="1">
      <alignment horizontal="center" shrinkToFit="0" vertical="center" wrapText="0"/>
    </xf>
    <xf borderId="29" fillId="11" fontId="40" numFmtId="0" xfId="0" applyAlignment="1" applyBorder="1" applyFont="1">
      <alignment shrinkToFit="0" vertical="center" wrapText="0"/>
    </xf>
    <xf borderId="37" fillId="27" fontId="53" numFmtId="49" xfId="0" applyAlignment="1" applyBorder="1" applyFont="1" applyNumberFormat="1">
      <alignment shrinkToFit="0" vertical="center" wrapText="0"/>
    </xf>
    <xf borderId="0" fillId="11" fontId="40" numFmtId="0" xfId="0" applyAlignment="1" applyFont="1">
      <alignment readingOrder="0" shrinkToFit="0" vertical="top" wrapText="1"/>
    </xf>
    <xf borderId="26" fillId="10" fontId="40" numFmtId="0" xfId="0" applyAlignment="1" applyBorder="1" applyFont="1">
      <alignment readingOrder="0" shrinkToFit="0" vertical="top" wrapText="1"/>
    </xf>
    <xf borderId="40" fillId="0" fontId="40" numFmtId="0" xfId="0" applyAlignment="1" applyBorder="1" applyFont="1">
      <alignment readingOrder="0" shrinkToFit="0" vertical="top" wrapText="1"/>
    </xf>
    <xf borderId="0" fillId="0" fontId="47" numFmtId="0" xfId="0" applyAlignment="1" applyFont="1">
      <alignment readingOrder="0" shrinkToFit="0" wrapText="1"/>
    </xf>
    <xf borderId="33" fillId="0" fontId="41" numFmtId="168" xfId="0" applyAlignment="1" applyBorder="1" applyFont="1" applyNumberFormat="1">
      <alignment horizontal="center" readingOrder="0" shrinkToFit="0" vertical="center" wrapText="0"/>
    </xf>
    <xf borderId="667" fillId="100" fontId="243" numFmtId="0" xfId="0" applyAlignment="1" applyBorder="1" applyFill="1" applyFont="1">
      <alignment horizontal="left" readingOrder="0" shrinkToFit="0" vertical="center" wrapText="0"/>
    </xf>
    <xf borderId="667" fillId="100" fontId="244" numFmtId="0" xfId="0" applyAlignment="1" applyBorder="1" applyFont="1">
      <alignment horizontal="center" readingOrder="0" shrinkToFit="0" vertical="center" wrapText="0"/>
    </xf>
    <xf borderId="668" fillId="100" fontId="244" numFmtId="0" xfId="0" applyAlignment="1" applyBorder="1" applyFont="1">
      <alignment horizontal="left" readingOrder="0" shrinkToFit="0" vertical="center" wrapText="0"/>
    </xf>
    <xf borderId="669" fillId="0" fontId="2" numFmtId="0" xfId="0" applyBorder="1" applyFont="1"/>
    <xf borderId="670" fillId="0" fontId="2" numFmtId="0" xfId="0" applyBorder="1" applyFont="1"/>
    <xf borderId="668" fillId="100" fontId="65" numFmtId="0" xfId="0" applyAlignment="1" applyBorder="1" applyFont="1">
      <alignment horizontal="center" readingOrder="0" shrinkToFit="0" vertical="center" wrapText="0"/>
    </xf>
    <xf borderId="668" fillId="100" fontId="65" numFmtId="0" xfId="0" applyAlignment="1" applyBorder="1" applyFont="1">
      <alignment horizontal="left" readingOrder="0" shrinkToFit="0" vertical="center" wrapText="0"/>
    </xf>
    <xf borderId="667" fillId="100" fontId="245" numFmtId="0" xfId="0" applyAlignment="1" applyBorder="1" applyFont="1">
      <alignment shrinkToFit="0" vertical="center" wrapText="0"/>
    </xf>
    <xf borderId="667" fillId="100" fontId="243" numFmtId="0" xfId="0" applyAlignment="1" applyBorder="1" applyFont="1">
      <alignment readingOrder="0" shrinkToFit="0" vertical="center" wrapText="0"/>
    </xf>
    <xf borderId="667" fillId="100" fontId="243" numFmtId="49" xfId="0" applyAlignment="1" applyBorder="1" applyFont="1" applyNumberFormat="1">
      <alignment horizontal="left" readingOrder="0" shrinkToFit="0" vertical="center" wrapText="0"/>
    </xf>
    <xf borderId="671" fillId="0" fontId="2" numFmtId="0" xfId="0" applyBorder="1" applyFont="1"/>
    <xf borderId="672" fillId="0" fontId="2" numFmtId="0" xfId="0" applyBorder="1" applyFont="1"/>
    <xf borderId="673" fillId="0" fontId="2" numFmtId="0" xfId="0" applyBorder="1" applyFont="1"/>
    <xf borderId="674" fillId="0" fontId="2" numFmtId="0" xfId="0" applyBorder="1" applyFont="1"/>
    <xf borderId="675" fillId="0" fontId="2" numFmtId="0" xfId="0" applyBorder="1" applyFont="1"/>
    <xf borderId="667" fillId="100" fontId="65" numFmtId="0" xfId="0" applyAlignment="1" applyBorder="1" applyFont="1">
      <alignment horizontal="center" readingOrder="0" shrinkToFit="0" vertical="center" wrapText="0"/>
    </xf>
    <xf borderId="667" fillId="100" fontId="65" numFmtId="0" xfId="0" applyAlignment="1" applyBorder="1" applyFont="1">
      <alignment horizontal="left" readingOrder="0" shrinkToFit="0" vertical="center" wrapText="0"/>
    </xf>
    <xf borderId="667" fillId="100" fontId="245" numFmtId="0" xfId="0" applyAlignment="1" applyBorder="1" applyFont="1">
      <alignment shrinkToFit="0" wrapText="0"/>
    </xf>
    <xf borderId="676" fillId="100" fontId="67" numFmtId="0" xfId="0" applyAlignment="1" applyBorder="1" applyFont="1">
      <alignment horizontal="center" shrinkToFit="0" vertical="bottom" wrapText="0"/>
    </xf>
    <xf borderId="677" fillId="0" fontId="2" numFmtId="0" xfId="0" applyBorder="1" applyFont="1"/>
    <xf borderId="667" fillId="100" fontId="67" numFmtId="0" xfId="0" applyAlignment="1" applyBorder="1" applyFont="1">
      <alignment shrinkToFit="0" wrapText="0"/>
    </xf>
    <xf borderId="667" fillId="100" fontId="68" numFmtId="0" xfId="0" applyAlignment="1" applyBorder="1" applyFont="1">
      <alignment readingOrder="0" shrinkToFit="0" vertical="center" wrapText="0"/>
    </xf>
    <xf borderId="667" fillId="100" fontId="67" numFmtId="0" xfId="0" applyAlignment="1" applyBorder="1" applyFont="1">
      <alignment shrinkToFit="0" vertical="center" wrapText="0"/>
    </xf>
    <xf borderId="676" fillId="100" fontId="69" numFmtId="0" xfId="0" applyAlignment="1" applyBorder="1" applyFont="1">
      <alignment horizontal="center" readingOrder="0" shrinkToFit="0" vertical="bottom" wrapText="0"/>
    </xf>
    <xf borderId="667" fillId="100" fontId="67" numFmtId="0" xfId="0" applyAlignment="1" applyBorder="1" applyFont="1">
      <alignment shrinkToFit="0" vertical="center" wrapText="0"/>
    </xf>
    <xf borderId="668" fillId="100" fontId="70" numFmtId="164" xfId="0" applyAlignment="1" applyBorder="1" applyFont="1" applyNumberFormat="1">
      <alignment horizontal="center" readingOrder="0" shrinkToFit="0" vertical="center" wrapText="0"/>
    </xf>
    <xf borderId="676" fillId="100" fontId="245" numFmtId="0" xfId="0" applyAlignment="1" applyBorder="1" applyFont="1">
      <alignment horizontal="center" shrinkToFit="0" wrapText="0"/>
    </xf>
    <xf borderId="668" fillId="100" fontId="244" numFmtId="0" xfId="0" applyAlignment="1" applyBorder="1" applyFont="1">
      <alignment horizontal="center" readingOrder="0" shrinkToFit="0" vertical="center" wrapText="0"/>
    </xf>
    <xf borderId="667" fillId="100" fontId="245" numFmtId="0" xfId="0" applyAlignment="1" applyBorder="1" applyFont="1">
      <alignment horizontal="center" shrinkToFit="0" wrapText="0"/>
    </xf>
    <xf borderId="31" fillId="10" fontId="41" numFmtId="49" xfId="0" applyAlignment="1" applyBorder="1" applyFont="1" applyNumberFormat="1">
      <alignment horizontal="center" readingOrder="0" shrinkToFit="0" vertical="center" wrapText="1"/>
    </xf>
    <xf borderId="30" fillId="23" fontId="44" numFmtId="0" xfId="0" applyAlignment="1" applyBorder="1" applyFont="1">
      <alignment horizontal="left" readingOrder="0" shrinkToFit="0" vertical="top" wrapText="1"/>
    </xf>
    <xf borderId="31" fillId="26" fontId="40" numFmtId="49" xfId="0" applyAlignment="1" applyBorder="1" applyFont="1" applyNumberFormat="1">
      <alignment shrinkToFit="0" vertical="center" wrapText="0"/>
    </xf>
    <xf borderId="31" fillId="0" fontId="40" numFmtId="0" xfId="0" applyAlignment="1" applyBorder="1" applyFont="1">
      <alignment shrinkToFit="0" vertical="center" wrapText="0"/>
    </xf>
    <xf borderId="31" fillId="11" fontId="40" numFmtId="0" xfId="0" applyAlignment="1" applyBorder="1" applyFont="1">
      <alignment shrinkToFit="0" vertical="center" wrapText="0"/>
    </xf>
    <xf borderId="27" fillId="11" fontId="40" numFmtId="0" xfId="0" applyAlignment="1" applyBorder="1" applyFont="1">
      <alignment horizontal="center" readingOrder="0" shrinkToFit="0" vertical="center" wrapText="0"/>
    </xf>
    <xf borderId="27" fillId="11" fontId="40" numFmtId="0" xfId="0" applyAlignment="1" applyBorder="1" applyFont="1">
      <alignment shrinkToFit="0" vertical="center" wrapText="0"/>
    </xf>
    <xf borderId="29" fillId="0" fontId="40" numFmtId="0" xfId="0" applyAlignment="1" applyBorder="1" applyFont="1">
      <alignment shrinkToFit="0" vertical="center" wrapText="0"/>
    </xf>
    <xf borderId="29" fillId="11" fontId="40" numFmtId="0" xfId="0" applyAlignment="1" applyBorder="1" applyFont="1">
      <alignment shrinkToFit="0" vertical="center" wrapText="0"/>
    </xf>
    <xf borderId="31" fillId="25" fontId="40" numFmtId="49" xfId="0" applyAlignment="1" applyBorder="1" applyFont="1" applyNumberFormat="1">
      <alignment shrinkToFit="0" vertical="center" wrapText="0"/>
    </xf>
    <xf borderId="32" fillId="0" fontId="40" numFmtId="0" xfId="0" applyAlignment="1" applyBorder="1" applyFont="1">
      <alignment readingOrder="0" shrinkToFit="0" vertical="top" wrapText="1"/>
    </xf>
    <xf borderId="31" fillId="0" fontId="40" numFmtId="0" xfId="0" applyAlignment="1" applyBorder="1" applyFont="1">
      <alignment shrinkToFit="0" vertical="center" wrapText="0"/>
    </xf>
    <xf borderId="29" fillId="0" fontId="40" numFmtId="0" xfId="0" applyAlignment="1" applyBorder="1" applyFont="1">
      <alignment shrinkToFit="0" vertical="center" wrapText="0"/>
    </xf>
    <xf borderId="31" fillId="0" fontId="40" numFmtId="49" xfId="0" applyAlignment="1" applyBorder="1" applyFont="1" applyNumberFormat="1">
      <alignment horizontal="center" readingOrder="0" shrinkToFit="0" vertical="center" wrapText="0"/>
    </xf>
    <xf borderId="38" fillId="0" fontId="40" numFmtId="0" xfId="0" applyAlignment="1" applyBorder="1" applyFont="1">
      <alignment readingOrder="0" shrinkToFit="0" vertical="top" wrapText="1"/>
    </xf>
    <xf borderId="31" fillId="25" fontId="41" numFmtId="49" xfId="0" applyAlignment="1" applyBorder="1" applyFont="1" applyNumberFormat="1">
      <alignment horizontal="left" readingOrder="0" shrinkToFit="0" vertical="center" wrapText="0"/>
    </xf>
    <xf borderId="27" fillId="11" fontId="40" numFmtId="0" xfId="0" applyAlignment="1" applyBorder="1" applyFont="1">
      <alignment readingOrder="0" shrinkToFit="0" vertical="center" wrapText="0"/>
    </xf>
    <xf borderId="29" fillId="27" fontId="53" numFmtId="0" xfId="0" applyAlignment="1" applyBorder="1" applyFont="1">
      <alignment shrinkToFit="0" vertical="center" wrapText="0"/>
    </xf>
    <xf borderId="29" fillId="27" fontId="40" numFmtId="0" xfId="0" applyAlignment="1" applyBorder="1" applyFont="1">
      <alignment shrinkToFit="0" vertical="center" wrapText="0"/>
    </xf>
    <xf borderId="30" fillId="0" fontId="40" numFmtId="0" xfId="0" applyAlignment="1" applyBorder="1" applyFont="1">
      <alignment readingOrder="0" shrinkToFit="0" vertical="top" wrapText="1"/>
    </xf>
    <xf borderId="31" fillId="25" fontId="40" numFmtId="49" xfId="0" applyAlignment="1" applyBorder="1" applyFont="1" applyNumberFormat="1">
      <alignment readingOrder="0" shrinkToFit="0" vertical="center" wrapText="0"/>
    </xf>
    <xf borderId="0" fillId="11" fontId="246" numFmtId="0" xfId="0" applyAlignment="1" applyFont="1">
      <alignment readingOrder="0" shrinkToFit="0" vertical="top" wrapText="1"/>
    </xf>
    <xf borderId="37" fillId="11" fontId="40" numFmtId="0" xfId="0" applyAlignment="1" applyBorder="1" applyFont="1">
      <alignment horizontal="center" readingOrder="0" shrinkToFit="0" vertical="center" wrapText="0"/>
    </xf>
    <xf borderId="37" fillId="11" fontId="40" numFmtId="0" xfId="0" applyAlignment="1" applyBorder="1" applyFont="1">
      <alignment readingOrder="0" shrinkToFit="0" vertical="center" wrapText="0"/>
    </xf>
    <xf borderId="33" fillId="0" fontId="40" numFmtId="0" xfId="0" applyAlignment="1" applyBorder="1" applyFont="1">
      <alignment shrinkToFit="0" vertical="center" wrapText="0"/>
    </xf>
    <xf borderId="33" fillId="11" fontId="40" numFmtId="0" xfId="0" applyAlignment="1" applyBorder="1" applyFont="1">
      <alignment shrinkToFit="0" vertical="center" wrapText="0"/>
    </xf>
    <xf borderId="34" fillId="11" fontId="40" numFmtId="0" xfId="0" applyAlignment="1" applyBorder="1" applyFont="1">
      <alignment shrinkToFit="0" vertical="center" wrapText="0"/>
    </xf>
    <xf borderId="31" fillId="28" fontId="17" numFmtId="49" xfId="0" applyAlignment="1" applyBorder="1" applyFont="1" applyNumberFormat="1">
      <alignment horizontal="left" readingOrder="0" shrinkToFit="0" vertical="center" wrapText="0"/>
    </xf>
    <xf borderId="678" fillId="101" fontId="247" numFmtId="0" xfId="0" applyAlignment="1" applyBorder="1" applyFill="1" applyFont="1">
      <alignment horizontal="left" readingOrder="0" shrinkToFit="0" vertical="center" wrapText="0"/>
    </xf>
    <xf borderId="678" fillId="101" fontId="248" numFmtId="0" xfId="0" applyAlignment="1" applyBorder="1" applyFont="1">
      <alignment horizontal="center" readingOrder="0" shrinkToFit="0" vertical="center" wrapText="0"/>
    </xf>
    <xf borderId="679" fillId="101" fontId="248" numFmtId="0" xfId="0" applyAlignment="1" applyBorder="1" applyFont="1">
      <alignment horizontal="left" readingOrder="0" shrinkToFit="0" vertical="center" wrapText="0"/>
    </xf>
    <xf borderId="680" fillId="0" fontId="2" numFmtId="0" xfId="0" applyBorder="1" applyFont="1"/>
    <xf borderId="681" fillId="0" fontId="2" numFmtId="0" xfId="0" applyBorder="1" applyFont="1"/>
    <xf borderId="679" fillId="101" fontId="65" numFmtId="0" xfId="0" applyAlignment="1" applyBorder="1" applyFont="1">
      <alignment horizontal="center" readingOrder="0" shrinkToFit="0" vertical="center" wrapText="0"/>
    </xf>
    <xf borderId="679" fillId="101" fontId="65" numFmtId="0" xfId="0" applyAlignment="1" applyBorder="1" applyFont="1">
      <alignment horizontal="left" readingOrder="0" vertical="center"/>
    </xf>
    <xf borderId="678" fillId="101" fontId="249" numFmtId="0" xfId="0" applyAlignment="1" applyBorder="1" applyFont="1">
      <alignment vertical="center"/>
    </xf>
    <xf borderId="678" fillId="101" fontId="247" numFmtId="0" xfId="0" applyAlignment="1" applyBorder="1" applyFont="1">
      <alignment readingOrder="0" shrinkToFit="0" vertical="center" wrapText="0"/>
    </xf>
    <xf borderId="678" fillId="101" fontId="247" numFmtId="49" xfId="0" applyAlignment="1" applyBorder="1" applyFont="1" applyNumberFormat="1">
      <alignment horizontal="left" readingOrder="0" shrinkToFit="0" vertical="center" wrapText="0"/>
    </xf>
    <xf borderId="682" fillId="0" fontId="2" numFmtId="0" xfId="0" applyBorder="1" applyFont="1"/>
    <xf borderId="683" fillId="0" fontId="2" numFmtId="0" xfId="0" applyBorder="1" applyFont="1"/>
    <xf borderId="684" fillId="0" fontId="2" numFmtId="0" xfId="0" applyBorder="1" applyFont="1"/>
    <xf borderId="685" fillId="0" fontId="2" numFmtId="0" xfId="0" applyBorder="1" applyFont="1"/>
    <xf borderId="686" fillId="0" fontId="2" numFmtId="0" xfId="0" applyBorder="1" applyFont="1"/>
    <xf borderId="678" fillId="101" fontId="65" numFmtId="0" xfId="0" applyAlignment="1" applyBorder="1" applyFont="1">
      <alignment horizontal="center" readingOrder="0" shrinkToFit="0" vertical="center" wrapText="0"/>
    </xf>
    <xf borderId="678" fillId="101" fontId="65" numFmtId="0" xfId="0" applyAlignment="1" applyBorder="1" applyFont="1">
      <alignment horizontal="left" readingOrder="0" vertical="center"/>
    </xf>
    <xf borderId="678" fillId="101" fontId="249" numFmtId="0" xfId="0" applyBorder="1" applyFont="1"/>
    <xf borderId="687" fillId="101" fontId="67" numFmtId="0" xfId="0" applyAlignment="1" applyBorder="1" applyFont="1">
      <alignment horizontal="center" vertical="bottom"/>
    </xf>
    <xf borderId="688" fillId="0" fontId="2" numFmtId="0" xfId="0" applyBorder="1" applyFont="1"/>
    <xf borderId="678" fillId="101" fontId="67" numFmtId="0" xfId="0" applyBorder="1" applyFont="1"/>
    <xf borderId="678" fillId="101" fontId="68" numFmtId="0" xfId="0" applyAlignment="1" applyBorder="1" applyFont="1">
      <alignment readingOrder="0" shrinkToFit="0" vertical="center" wrapText="0"/>
    </xf>
    <xf borderId="678" fillId="101" fontId="67" numFmtId="0" xfId="0" applyAlignment="1" applyBorder="1" applyFont="1">
      <alignment vertical="center"/>
    </xf>
    <xf borderId="687" fillId="101" fontId="69" numFmtId="0" xfId="0" applyAlignment="1" applyBorder="1" applyFont="1">
      <alignment horizontal="center" readingOrder="0" vertical="bottom"/>
    </xf>
    <xf borderId="678" fillId="101" fontId="67" numFmtId="0" xfId="0" applyAlignment="1" applyBorder="1" applyFont="1">
      <alignment vertical="center"/>
    </xf>
    <xf borderId="679" fillId="101" fontId="70" numFmtId="164" xfId="0" applyAlignment="1" applyBorder="1" applyFont="1" applyNumberFormat="1">
      <alignment horizontal="center" readingOrder="0" vertical="center"/>
    </xf>
    <xf borderId="687" fillId="101" fontId="249" numFmtId="0" xfId="0" applyAlignment="1" applyBorder="1" applyFont="1">
      <alignment horizontal="center"/>
    </xf>
    <xf borderId="679" fillId="101" fontId="248" numFmtId="0" xfId="0" applyAlignment="1" applyBorder="1" applyFont="1">
      <alignment horizontal="center" readingOrder="0" shrinkToFit="0" vertical="center" wrapText="0"/>
    </xf>
    <xf borderId="678" fillId="101" fontId="249" numFmtId="0" xfId="0" applyAlignment="1" applyBorder="1" applyFont="1">
      <alignment horizontal="center"/>
    </xf>
    <xf borderId="26" fillId="0" fontId="41" numFmtId="0" xfId="0" applyAlignment="1" applyBorder="1" applyFont="1">
      <alignment horizontal="center" readingOrder="0" shrinkToFit="0" vertical="center" wrapText="1"/>
    </xf>
    <xf borderId="30" fillId="0" fontId="41" numFmtId="0" xfId="0" applyAlignment="1" applyBorder="1" applyFont="1">
      <alignment horizontal="center" readingOrder="0" shrinkToFit="0" vertical="center" wrapText="1"/>
    </xf>
    <xf borderId="689" fillId="102" fontId="250" numFmtId="0" xfId="0" applyAlignment="1" applyBorder="1" applyFill="1" applyFont="1">
      <alignment horizontal="left" readingOrder="0" shrinkToFit="0" vertical="center" wrapText="0"/>
    </xf>
    <xf borderId="689" fillId="102" fontId="251" numFmtId="0" xfId="0" applyAlignment="1" applyBorder="1" applyFont="1">
      <alignment horizontal="center" readingOrder="0" shrinkToFit="0" vertical="center" wrapText="0"/>
    </xf>
    <xf borderId="690" fillId="102" fontId="251" numFmtId="0" xfId="0" applyAlignment="1" applyBorder="1" applyFont="1">
      <alignment horizontal="left" readingOrder="0" shrinkToFit="0" vertical="center" wrapText="0"/>
    </xf>
    <xf borderId="691" fillId="0" fontId="2" numFmtId="0" xfId="0" applyBorder="1" applyFont="1"/>
    <xf borderId="692" fillId="0" fontId="2" numFmtId="0" xfId="0" applyBorder="1" applyFont="1"/>
    <xf borderId="690" fillId="102" fontId="82" numFmtId="0" xfId="0" applyAlignment="1" applyBorder="1" applyFont="1">
      <alignment horizontal="center" readingOrder="0" shrinkToFit="0" vertical="center" wrapText="0"/>
    </xf>
    <xf borderId="690" fillId="102" fontId="82" numFmtId="0" xfId="0" applyAlignment="1" applyBorder="1" applyFont="1">
      <alignment horizontal="left" readingOrder="0" vertical="center"/>
    </xf>
    <xf borderId="689" fillId="102" fontId="252" numFmtId="0" xfId="0" applyAlignment="1" applyBorder="1" applyFont="1">
      <alignment vertical="center"/>
    </xf>
    <xf borderId="689" fillId="102" fontId="250" numFmtId="0" xfId="0" applyAlignment="1" applyBorder="1" applyFont="1">
      <alignment readingOrder="0" shrinkToFit="0" vertical="center" wrapText="0"/>
    </xf>
    <xf borderId="689" fillId="102" fontId="250" numFmtId="49" xfId="0" applyAlignment="1" applyBorder="1" applyFont="1" applyNumberFormat="1">
      <alignment horizontal="left" readingOrder="0" shrinkToFit="0" vertical="center" wrapText="0"/>
    </xf>
    <xf borderId="693" fillId="0" fontId="2" numFmtId="0" xfId="0" applyBorder="1" applyFont="1"/>
    <xf borderId="694" fillId="0" fontId="2" numFmtId="0" xfId="0" applyBorder="1" applyFont="1"/>
    <xf borderId="695" fillId="0" fontId="2" numFmtId="0" xfId="0" applyBorder="1" applyFont="1"/>
    <xf borderId="696" fillId="0" fontId="2" numFmtId="0" xfId="0" applyBorder="1" applyFont="1"/>
    <xf borderId="697" fillId="0" fontId="2" numFmtId="0" xfId="0" applyBorder="1" applyFont="1"/>
    <xf borderId="689" fillId="102" fontId="82" numFmtId="0" xfId="0" applyAlignment="1" applyBorder="1" applyFont="1">
      <alignment horizontal="center" readingOrder="0" shrinkToFit="0" vertical="center" wrapText="0"/>
    </xf>
    <xf borderId="689" fillId="102" fontId="82" numFmtId="0" xfId="0" applyAlignment="1" applyBorder="1" applyFont="1">
      <alignment horizontal="left" readingOrder="0" vertical="center"/>
    </xf>
    <xf borderId="689" fillId="102" fontId="252" numFmtId="0" xfId="0" applyBorder="1" applyFont="1"/>
    <xf borderId="698" fillId="102" fontId="84" numFmtId="0" xfId="0" applyAlignment="1" applyBorder="1" applyFont="1">
      <alignment horizontal="center" vertical="bottom"/>
    </xf>
    <xf borderId="699" fillId="0" fontId="2" numFmtId="0" xfId="0" applyBorder="1" applyFont="1"/>
    <xf borderId="689" fillId="102" fontId="84" numFmtId="0" xfId="0" applyBorder="1" applyFont="1"/>
    <xf borderId="689" fillId="102" fontId="85" numFmtId="0" xfId="0" applyAlignment="1" applyBorder="1" applyFont="1">
      <alignment readingOrder="0" shrinkToFit="0" vertical="center" wrapText="0"/>
    </xf>
    <xf borderId="689" fillId="102" fontId="84" numFmtId="0" xfId="0" applyAlignment="1" applyBorder="1" applyFont="1">
      <alignment vertical="center"/>
    </xf>
    <xf borderId="698" fillId="102" fontId="86" numFmtId="0" xfId="0" applyAlignment="1" applyBorder="1" applyFont="1">
      <alignment horizontal="center" readingOrder="0" vertical="bottom"/>
    </xf>
    <xf borderId="689" fillId="102" fontId="84" numFmtId="0" xfId="0" applyAlignment="1" applyBorder="1" applyFont="1">
      <alignment vertical="center"/>
    </xf>
    <xf borderId="690" fillId="102" fontId="87" numFmtId="164" xfId="0" applyAlignment="1" applyBorder="1" applyFont="1" applyNumberFormat="1">
      <alignment horizontal="center" readingOrder="0" vertical="center"/>
    </xf>
    <xf borderId="698" fillId="102" fontId="252" numFmtId="0" xfId="0" applyAlignment="1" applyBorder="1" applyFont="1">
      <alignment horizontal="center"/>
    </xf>
    <xf borderId="690" fillId="102" fontId="251" numFmtId="0" xfId="0" applyAlignment="1" applyBorder="1" applyFont="1">
      <alignment horizontal="center" readingOrder="0" shrinkToFit="0" vertical="center" wrapText="0"/>
    </xf>
    <xf borderId="689" fillId="102" fontId="252" numFmtId="0" xfId="0" applyAlignment="1" applyBorder="1" applyFont="1">
      <alignment horizontal="center"/>
    </xf>
    <xf borderId="26" fillId="34" fontId="50" numFmtId="0" xfId="0" applyAlignment="1" applyBorder="1" applyFont="1">
      <alignment readingOrder="0" shrinkToFit="0" vertical="center" wrapText="0"/>
    </xf>
    <xf borderId="39" fillId="11" fontId="40" numFmtId="0" xfId="0" applyAlignment="1" applyBorder="1" applyFont="1">
      <alignment vertical="center"/>
    </xf>
    <xf borderId="39" fillId="11" fontId="40" numFmtId="0" xfId="0" applyAlignment="1" applyBorder="1" applyFont="1">
      <alignment vertical="center"/>
    </xf>
    <xf borderId="39" fillId="11" fontId="40" numFmtId="49" xfId="0" applyAlignment="1" applyBorder="1" applyFont="1" applyNumberFormat="1">
      <alignment vertical="center"/>
    </xf>
    <xf borderId="29" fillId="34" fontId="54" numFmtId="49" xfId="0" applyAlignment="1" applyBorder="1" applyFont="1" applyNumberFormat="1">
      <alignment horizontal="center" shrinkToFit="0" vertical="center" wrapText="0"/>
    </xf>
    <xf borderId="29" fillId="34" fontId="54" numFmtId="0" xfId="0" applyAlignment="1" applyBorder="1" applyFont="1">
      <alignment horizontal="center" shrinkToFit="0" vertical="center" wrapText="0"/>
    </xf>
    <xf borderId="29" fillId="0" fontId="40" numFmtId="49" xfId="0" applyAlignment="1" applyBorder="1" applyFont="1" applyNumberFormat="1">
      <alignment horizontal="center" vertical="center"/>
    </xf>
    <xf borderId="29" fillId="0" fontId="40" numFmtId="0" xfId="0" applyAlignment="1" applyBorder="1" applyFont="1">
      <alignment horizontal="center" vertical="center"/>
    </xf>
    <xf borderId="37" fillId="0" fontId="40" numFmtId="49" xfId="0" applyAlignment="1" applyBorder="1" applyFont="1" applyNumberFormat="1">
      <alignment horizontal="center" vertical="center"/>
    </xf>
    <xf borderId="37" fillId="0" fontId="40" numFmtId="0" xfId="0" applyAlignment="1" applyBorder="1" applyFont="1">
      <alignment horizontal="center" vertical="center"/>
    </xf>
    <xf borderId="0" fillId="0" fontId="40" numFmtId="49" xfId="0" applyAlignment="1" applyFont="1" applyNumberFormat="1">
      <alignment horizontal="center" vertical="center"/>
    </xf>
    <xf borderId="0" fillId="0" fontId="40" numFmtId="0" xfId="0" applyAlignment="1" applyFont="1">
      <alignment horizontal="center" vertical="center"/>
    </xf>
    <xf borderId="0" fillId="11" fontId="40" numFmtId="49" xfId="0" applyAlignment="1" applyFont="1" applyNumberFormat="1">
      <alignment horizontal="center" shrinkToFit="0" vertical="center" wrapText="0"/>
    </xf>
    <xf borderId="700" fillId="103" fontId="253" numFmtId="0" xfId="0" applyAlignment="1" applyBorder="1" applyFill="1" applyFont="1">
      <alignment horizontal="left" readingOrder="0" shrinkToFit="0" vertical="center" wrapText="0"/>
    </xf>
    <xf borderId="700" fillId="103" fontId="254" numFmtId="0" xfId="0" applyAlignment="1" applyBorder="1" applyFont="1">
      <alignment horizontal="center" readingOrder="0" shrinkToFit="0" vertical="center" wrapText="0"/>
    </xf>
    <xf borderId="701" fillId="103" fontId="254" numFmtId="0" xfId="0" applyAlignment="1" applyBorder="1" applyFont="1">
      <alignment horizontal="left" readingOrder="0" shrinkToFit="0" vertical="center" wrapText="0"/>
    </xf>
    <xf borderId="702" fillId="0" fontId="2" numFmtId="0" xfId="0" applyBorder="1" applyFont="1"/>
    <xf borderId="703" fillId="0" fontId="2" numFmtId="0" xfId="0" applyBorder="1" applyFont="1"/>
    <xf borderId="701" fillId="103" fontId="57" numFmtId="0" xfId="0" applyAlignment="1" applyBorder="1" applyFont="1">
      <alignment horizontal="center" readingOrder="0" shrinkToFit="0" vertical="center" wrapText="0"/>
    </xf>
    <xf borderId="701" fillId="103" fontId="57" numFmtId="0" xfId="0" applyAlignment="1" applyBorder="1" applyFont="1">
      <alignment horizontal="left" readingOrder="0" vertical="center"/>
    </xf>
    <xf borderId="700" fillId="103" fontId="255" numFmtId="0" xfId="0" applyAlignment="1" applyBorder="1" applyFont="1">
      <alignment vertical="center"/>
    </xf>
    <xf borderId="700" fillId="103" fontId="253" numFmtId="0" xfId="0" applyAlignment="1" applyBorder="1" applyFont="1">
      <alignment readingOrder="0" shrinkToFit="0" vertical="center" wrapText="0"/>
    </xf>
    <xf borderId="700" fillId="103" fontId="253" numFmtId="49" xfId="0" applyAlignment="1" applyBorder="1" applyFont="1" applyNumberFormat="1">
      <alignment horizontal="left" readingOrder="0" shrinkToFit="0" vertical="center" wrapText="0"/>
    </xf>
    <xf borderId="704" fillId="0" fontId="2" numFmtId="0" xfId="0" applyBorder="1" applyFont="1"/>
    <xf borderId="705" fillId="0" fontId="2" numFmtId="0" xfId="0" applyBorder="1" applyFont="1"/>
    <xf borderId="706" fillId="0" fontId="2" numFmtId="0" xfId="0" applyBorder="1" applyFont="1"/>
    <xf borderId="707" fillId="0" fontId="2" numFmtId="0" xfId="0" applyBorder="1" applyFont="1"/>
    <xf borderId="708" fillId="0" fontId="2" numFmtId="0" xfId="0" applyBorder="1" applyFont="1"/>
    <xf borderId="700" fillId="103" fontId="57" numFmtId="0" xfId="0" applyAlignment="1" applyBorder="1" applyFont="1">
      <alignment horizontal="center" readingOrder="0" shrinkToFit="0" vertical="center" wrapText="0"/>
    </xf>
    <xf borderId="700" fillId="103" fontId="57" numFmtId="0" xfId="0" applyAlignment="1" applyBorder="1" applyFont="1">
      <alignment horizontal="left" readingOrder="0" vertical="center"/>
    </xf>
    <xf borderId="700" fillId="103" fontId="255" numFmtId="0" xfId="0" applyBorder="1" applyFont="1"/>
    <xf borderId="709" fillId="103" fontId="59" numFmtId="0" xfId="0" applyAlignment="1" applyBorder="1" applyFont="1">
      <alignment horizontal="center" vertical="bottom"/>
    </xf>
    <xf borderId="710" fillId="0" fontId="2" numFmtId="0" xfId="0" applyBorder="1" applyFont="1"/>
    <xf borderId="700" fillId="103" fontId="59" numFmtId="0" xfId="0" applyBorder="1" applyFont="1"/>
    <xf borderId="700" fillId="103" fontId="60" numFmtId="0" xfId="0" applyAlignment="1" applyBorder="1" applyFont="1">
      <alignment readingOrder="0" shrinkToFit="0" vertical="center" wrapText="0"/>
    </xf>
    <xf borderId="700" fillId="103" fontId="59" numFmtId="0" xfId="0" applyAlignment="1" applyBorder="1" applyFont="1">
      <alignment vertical="center"/>
    </xf>
    <xf borderId="709" fillId="103" fontId="61" numFmtId="0" xfId="0" applyAlignment="1" applyBorder="1" applyFont="1">
      <alignment horizontal="center" readingOrder="0" vertical="bottom"/>
    </xf>
    <xf borderId="700" fillId="103" fontId="59" numFmtId="0" xfId="0" applyAlignment="1" applyBorder="1" applyFont="1">
      <alignment vertical="center"/>
    </xf>
    <xf borderId="701" fillId="103" fontId="62" numFmtId="164" xfId="0" applyAlignment="1" applyBorder="1" applyFont="1" applyNumberFormat="1">
      <alignment horizontal="center" readingOrder="0" vertical="center"/>
    </xf>
    <xf borderId="709" fillId="103" fontId="255" numFmtId="0" xfId="0" applyAlignment="1" applyBorder="1" applyFont="1">
      <alignment horizontal="center"/>
    </xf>
    <xf borderId="701" fillId="103" fontId="254" numFmtId="0" xfId="0" applyAlignment="1" applyBorder="1" applyFont="1">
      <alignment horizontal="center" readingOrder="0" shrinkToFit="0" vertical="center" wrapText="0"/>
    </xf>
    <xf borderId="700" fillId="103" fontId="255" numFmtId="0" xfId="0" applyAlignment="1" applyBorder="1" applyFont="1">
      <alignment horizontal="center"/>
    </xf>
    <xf borderId="31" fillId="87" fontId="41" numFmtId="49" xfId="0" applyAlignment="1" applyBorder="1" applyFont="1" applyNumberFormat="1">
      <alignment horizontal="center" readingOrder="0" shrinkToFit="0" vertical="center" wrapText="0"/>
    </xf>
    <xf borderId="31" fillId="11" fontId="40" numFmtId="0" xfId="0" applyAlignment="1" applyBorder="1" applyFont="1">
      <alignment readingOrder="0"/>
    </xf>
    <xf borderId="34" fillId="24" fontId="40" numFmtId="0" xfId="0" applyAlignment="1" applyBorder="1" applyFont="1">
      <alignment readingOrder="0" shrinkToFit="0" wrapText="0"/>
    </xf>
    <xf borderId="31" fillId="25" fontId="40" numFmtId="49" xfId="0" applyAlignment="1" applyBorder="1" applyFont="1" applyNumberFormat="1">
      <alignment readingOrder="0" shrinkToFit="0" wrapText="0"/>
    </xf>
    <xf borderId="38" fillId="11" fontId="40" numFmtId="0" xfId="0" applyAlignment="1" applyBorder="1" applyFont="1">
      <alignment shrinkToFit="0" vertical="top" wrapText="1"/>
    </xf>
    <xf borderId="27" fillId="11" fontId="40" numFmtId="0" xfId="0" applyAlignment="1" applyBorder="1" applyFont="1">
      <alignment horizontal="center" shrinkToFit="0" wrapText="0"/>
    </xf>
    <xf borderId="33" fillId="24" fontId="40" numFmtId="0" xfId="0" applyAlignment="1" applyBorder="1" applyFont="1">
      <alignment readingOrder="0" shrinkToFit="0" wrapText="0"/>
    </xf>
    <xf borderId="29" fillId="27" fontId="40" numFmtId="49" xfId="0" applyBorder="1" applyFont="1" applyNumberFormat="1"/>
    <xf borderId="29" fillId="0" fontId="40" numFmtId="49" xfId="0" applyBorder="1" applyFont="1" applyNumberFormat="1"/>
    <xf borderId="29" fillId="11" fontId="40" numFmtId="49" xfId="0" applyAlignment="1" applyBorder="1" applyFont="1" applyNumberFormat="1">
      <alignment horizontal="center" shrinkToFit="0" wrapText="0"/>
    </xf>
    <xf borderId="711" fillId="104" fontId="256" numFmtId="0" xfId="0" applyAlignment="1" applyBorder="1" applyFill="1" applyFont="1">
      <alignment horizontal="left" readingOrder="0" shrinkToFit="0" vertical="center" wrapText="0"/>
    </xf>
    <xf borderId="711" fillId="104" fontId="257" numFmtId="0" xfId="0" applyAlignment="1" applyBorder="1" applyFont="1">
      <alignment horizontal="center" readingOrder="0" shrinkToFit="0" vertical="center" wrapText="0"/>
    </xf>
    <xf borderId="712" fillId="104" fontId="257" numFmtId="0" xfId="0" applyAlignment="1" applyBorder="1" applyFont="1">
      <alignment horizontal="left" readingOrder="0" shrinkToFit="0" vertical="center" wrapText="0"/>
    </xf>
    <xf borderId="713" fillId="0" fontId="2" numFmtId="0" xfId="0" applyBorder="1" applyFont="1"/>
    <xf borderId="714" fillId="0" fontId="2" numFmtId="0" xfId="0" applyBorder="1" applyFont="1"/>
    <xf borderId="712" fillId="104" fontId="57" numFmtId="0" xfId="0" applyAlignment="1" applyBorder="1" applyFont="1">
      <alignment horizontal="center" readingOrder="0" shrinkToFit="0" vertical="center" wrapText="0"/>
    </xf>
    <xf borderId="712" fillId="104" fontId="57" numFmtId="0" xfId="0" applyAlignment="1" applyBorder="1" applyFont="1">
      <alignment horizontal="left" readingOrder="0" vertical="center"/>
    </xf>
    <xf borderId="711" fillId="104" fontId="258" numFmtId="0" xfId="0" applyAlignment="1" applyBorder="1" applyFont="1">
      <alignment vertical="center"/>
    </xf>
    <xf borderId="711" fillId="104" fontId="256" numFmtId="0" xfId="0" applyAlignment="1" applyBorder="1" applyFont="1">
      <alignment readingOrder="0" shrinkToFit="0" vertical="center" wrapText="0"/>
    </xf>
    <xf borderId="711" fillId="104" fontId="256" numFmtId="49" xfId="0" applyAlignment="1" applyBorder="1" applyFont="1" applyNumberFormat="1">
      <alignment horizontal="left" readingOrder="0" shrinkToFit="0" vertical="center" wrapText="0"/>
    </xf>
    <xf borderId="715" fillId="0" fontId="2" numFmtId="0" xfId="0" applyBorder="1" applyFont="1"/>
    <xf borderId="716" fillId="0" fontId="2" numFmtId="0" xfId="0" applyBorder="1" applyFont="1"/>
    <xf borderId="717" fillId="0" fontId="2" numFmtId="0" xfId="0" applyBorder="1" applyFont="1"/>
    <xf borderId="718" fillId="0" fontId="2" numFmtId="0" xfId="0" applyBorder="1" applyFont="1"/>
    <xf borderId="719" fillId="0" fontId="2" numFmtId="0" xfId="0" applyBorder="1" applyFont="1"/>
    <xf borderId="711" fillId="104" fontId="57" numFmtId="0" xfId="0" applyAlignment="1" applyBorder="1" applyFont="1">
      <alignment horizontal="center" readingOrder="0" shrinkToFit="0" vertical="center" wrapText="0"/>
    </xf>
    <xf borderId="711" fillId="104" fontId="57" numFmtId="0" xfId="0" applyAlignment="1" applyBorder="1" applyFont="1">
      <alignment horizontal="left" readingOrder="0" vertical="center"/>
    </xf>
    <xf borderId="711" fillId="104" fontId="258" numFmtId="0" xfId="0" applyBorder="1" applyFont="1"/>
    <xf borderId="720" fillId="104" fontId="59" numFmtId="0" xfId="0" applyAlignment="1" applyBorder="1" applyFont="1">
      <alignment horizontal="center" vertical="bottom"/>
    </xf>
    <xf borderId="721" fillId="0" fontId="2" numFmtId="0" xfId="0" applyBorder="1" applyFont="1"/>
    <xf borderId="711" fillId="104" fontId="59" numFmtId="0" xfId="0" applyBorder="1" applyFont="1"/>
    <xf borderId="711" fillId="104" fontId="60" numFmtId="0" xfId="0" applyAlignment="1" applyBorder="1" applyFont="1">
      <alignment readingOrder="0" shrinkToFit="0" vertical="center" wrapText="0"/>
    </xf>
    <xf borderId="711" fillId="104" fontId="59" numFmtId="0" xfId="0" applyAlignment="1" applyBorder="1" applyFont="1">
      <alignment vertical="center"/>
    </xf>
    <xf borderId="720" fillId="104" fontId="61" numFmtId="0" xfId="0" applyAlignment="1" applyBorder="1" applyFont="1">
      <alignment horizontal="center" readingOrder="0" vertical="bottom"/>
    </xf>
    <xf borderId="711" fillId="104" fontId="59" numFmtId="0" xfId="0" applyAlignment="1" applyBorder="1" applyFont="1">
      <alignment vertical="center"/>
    </xf>
    <xf borderId="712" fillId="104" fontId="62" numFmtId="164" xfId="0" applyAlignment="1" applyBorder="1" applyFont="1" applyNumberFormat="1">
      <alignment horizontal="center" readingOrder="0" vertical="center"/>
    </xf>
    <xf borderId="720" fillId="104" fontId="258" numFmtId="0" xfId="0" applyAlignment="1" applyBorder="1" applyFont="1">
      <alignment horizontal="center"/>
    </xf>
    <xf borderId="712" fillId="104" fontId="257" numFmtId="0" xfId="0" applyAlignment="1" applyBorder="1" applyFont="1">
      <alignment horizontal="center" readingOrder="0" shrinkToFit="0" vertical="center" wrapText="0"/>
    </xf>
    <xf borderId="711" fillId="104" fontId="258" numFmtId="0" xfId="0" applyAlignment="1" applyBorder="1" applyFont="1">
      <alignment horizontal="center"/>
    </xf>
    <xf borderId="33" fillId="14" fontId="17" numFmtId="0" xfId="0" applyAlignment="1" applyBorder="1" applyFont="1">
      <alignment readingOrder="0" shrinkToFit="0" vertical="center" wrapText="0"/>
    </xf>
    <xf borderId="33" fillId="105" fontId="17" numFmtId="0" xfId="0" applyAlignment="1" applyBorder="1" applyFill="1" applyFont="1">
      <alignment horizontal="center" readingOrder="0" shrinkToFit="0" vertical="center" wrapText="0"/>
    </xf>
    <xf borderId="33" fillId="106" fontId="44" numFmtId="0" xfId="0" applyAlignment="1" applyBorder="1" applyFill="1" applyFont="1">
      <alignment horizontal="center" readingOrder="0" shrinkToFit="0" vertical="center" wrapText="0"/>
    </xf>
    <xf borderId="33" fillId="107" fontId="17" numFmtId="0" xfId="0" applyAlignment="1" applyBorder="1" applyFill="1" applyFont="1">
      <alignment horizontal="center" readingOrder="0" shrinkToFit="0" vertical="center" wrapText="0"/>
    </xf>
    <xf borderId="33" fillId="108" fontId="44" numFmtId="0" xfId="0" applyAlignment="1" applyBorder="1" applyFill="1" applyFont="1">
      <alignment horizontal="center" readingOrder="0" shrinkToFit="0" vertical="center" wrapText="0"/>
    </xf>
    <xf borderId="33" fillId="109" fontId="17" numFmtId="0" xfId="0" applyAlignment="1" applyBorder="1" applyFill="1" applyFont="1">
      <alignment horizontal="center" readingOrder="0" shrinkToFit="0" vertical="center" wrapText="0"/>
    </xf>
    <xf borderId="33" fillId="0" fontId="41" numFmtId="49" xfId="0" applyAlignment="1" applyBorder="1" applyFont="1" applyNumberFormat="1">
      <alignment horizontal="left" readingOrder="0" shrinkToFit="0" vertical="top" wrapText="0"/>
    </xf>
    <xf borderId="33" fillId="11" fontId="53" numFmtId="0" xfId="0" applyAlignment="1" applyBorder="1" applyFont="1">
      <alignment horizontal="center" shrinkToFit="0" wrapText="0"/>
    </xf>
    <xf borderId="31" fillId="11" fontId="53" numFmtId="0" xfId="0" applyAlignment="1" applyBorder="1" applyFont="1">
      <alignment horizontal="center" shrinkToFit="0" wrapText="0"/>
    </xf>
    <xf borderId="37" fillId="27" fontId="0" numFmtId="49" xfId="0" applyAlignment="1" applyBorder="1" applyFont="1" applyNumberFormat="1">
      <alignment horizontal="center" shrinkToFit="0" vertical="center" wrapText="0"/>
    </xf>
    <xf borderId="722" fillId="110" fontId="259" numFmtId="0" xfId="0" applyAlignment="1" applyBorder="1" applyFill="1" applyFont="1">
      <alignment horizontal="left" readingOrder="0" shrinkToFit="0" vertical="center" wrapText="0"/>
    </xf>
    <xf borderId="722" fillId="110" fontId="260" numFmtId="0" xfId="0" applyAlignment="1" applyBorder="1" applyFont="1">
      <alignment horizontal="center" readingOrder="0" shrinkToFit="0" vertical="center" wrapText="0"/>
    </xf>
    <xf borderId="723" fillId="110" fontId="260" numFmtId="0" xfId="0" applyAlignment="1" applyBorder="1" applyFont="1">
      <alignment horizontal="left" readingOrder="0" shrinkToFit="0" vertical="center" wrapText="0"/>
    </xf>
    <xf borderId="724" fillId="0" fontId="2" numFmtId="0" xfId="0" applyBorder="1" applyFont="1"/>
    <xf borderId="725" fillId="0" fontId="2" numFmtId="0" xfId="0" applyBorder="1" applyFont="1"/>
    <xf borderId="723" fillId="110" fontId="31" numFmtId="0" xfId="0" applyAlignment="1" applyBorder="1" applyFont="1">
      <alignment horizontal="center" readingOrder="0" shrinkToFit="0" vertical="center" wrapText="0"/>
    </xf>
    <xf borderId="723" fillId="110" fontId="31" numFmtId="0" xfId="0" applyAlignment="1" applyBorder="1" applyFont="1">
      <alignment horizontal="left" readingOrder="0" vertical="center"/>
    </xf>
    <xf borderId="722" fillId="110" fontId="261" numFmtId="0" xfId="0" applyAlignment="1" applyBorder="1" applyFont="1">
      <alignment vertical="center"/>
    </xf>
    <xf borderId="722" fillId="110" fontId="259" numFmtId="0" xfId="0" applyAlignment="1" applyBorder="1" applyFont="1">
      <alignment readingOrder="0" shrinkToFit="0" vertical="center" wrapText="0"/>
    </xf>
    <xf borderId="722" fillId="110" fontId="259" numFmtId="49" xfId="0" applyAlignment="1" applyBorder="1" applyFont="1" applyNumberFormat="1">
      <alignment horizontal="left" readingOrder="0" shrinkToFit="0" vertical="center" wrapText="0"/>
    </xf>
    <xf borderId="726" fillId="0" fontId="2" numFmtId="0" xfId="0" applyBorder="1" applyFont="1"/>
    <xf borderId="727" fillId="0" fontId="2" numFmtId="0" xfId="0" applyBorder="1" applyFont="1"/>
    <xf borderId="728" fillId="0" fontId="2" numFmtId="0" xfId="0" applyBorder="1" applyFont="1"/>
    <xf borderId="729" fillId="0" fontId="2" numFmtId="0" xfId="0" applyBorder="1" applyFont="1"/>
    <xf borderId="730" fillId="0" fontId="2" numFmtId="0" xfId="0" applyBorder="1" applyFont="1"/>
    <xf borderId="722" fillId="110" fontId="31" numFmtId="0" xfId="0" applyAlignment="1" applyBorder="1" applyFont="1">
      <alignment horizontal="center" readingOrder="0" shrinkToFit="0" vertical="center" wrapText="0"/>
    </xf>
    <xf borderId="722" fillId="110" fontId="31" numFmtId="0" xfId="0" applyAlignment="1" applyBorder="1" applyFont="1">
      <alignment horizontal="left" readingOrder="0" vertical="center"/>
    </xf>
    <xf borderId="722" fillId="110" fontId="261" numFmtId="0" xfId="0" applyBorder="1" applyFont="1"/>
    <xf borderId="731" fillId="110" fontId="33" numFmtId="0" xfId="0" applyAlignment="1" applyBorder="1" applyFont="1">
      <alignment horizontal="center" vertical="bottom"/>
    </xf>
    <xf borderId="732" fillId="0" fontId="2" numFmtId="0" xfId="0" applyBorder="1" applyFont="1"/>
    <xf borderId="722" fillId="110" fontId="33" numFmtId="0" xfId="0" applyBorder="1" applyFont="1"/>
    <xf borderId="722" fillId="110" fontId="34" numFmtId="0" xfId="0" applyAlignment="1" applyBorder="1" applyFont="1">
      <alignment readingOrder="0" shrinkToFit="0" vertical="center" wrapText="0"/>
    </xf>
    <xf borderId="722" fillId="110" fontId="33" numFmtId="0" xfId="0" applyAlignment="1" applyBorder="1" applyFont="1">
      <alignment vertical="center"/>
    </xf>
    <xf borderId="731" fillId="110" fontId="35" numFmtId="0" xfId="0" applyAlignment="1" applyBorder="1" applyFont="1">
      <alignment horizontal="center" readingOrder="0" vertical="bottom"/>
    </xf>
    <xf borderId="722" fillId="110" fontId="33" numFmtId="0" xfId="0" applyAlignment="1" applyBorder="1" applyFont="1">
      <alignment vertical="center"/>
    </xf>
    <xf borderId="723" fillId="110" fontId="36" numFmtId="164" xfId="0" applyAlignment="1" applyBorder="1" applyFont="1" applyNumberFormat="1">
      <alignment horizontal="center" readingOrder="0" vertical="center"/>
    </xf>
    <xf borderId="731" fillId="110" fontId="261" numFmtId="0" xfId="0" applyAlignment="1" applyBorder="1" applyFont="1">
      <alignment horizontal="center"/>
    </xf>
    <xf borderId="723" fillId="110" fontId="260" numFmtId="0" xfId="0" applyAlignment="1" applyBorder="1" applyFont="1">
      <alignment horizontal="center" readingOrder="0" shrinkToFit="0" vertical="center" wrapText="0"/>
    </xf>
    <xf borderId="722" fillId="110" fontId="261" numFmtId="0" xfId="0" applyAlignment="1" applyBorder="1" applyFont="1">
      <alignment horizontal="center"/>
    </xf>
    <xf borderId="33" fillId="44" fontId="49" numFmtId="0" xfId="0" applyAlignment="1" applyBorder="1" applyFont="1">
      <alignment horizontal="center" readingOrder="0" shrinkToFit="0" vertical="center" wrapText="0"/>
    </xf>
    <xf borderId="33" fillId="27" fontId="53" numFmtId="0" xfId="0" applyAlignment="1" applyBorder="1" applyFont="1">
      <alignment horizontal="center"/>
    </xf>
    <xf borderId="733" fillId="111" fontId="262" numFmtId="0" xfId="0" applyAlignment="1" applyBorder="1" applyFill="1" applyFont="1">
      <alignment horizontal="left" readingOrder="0" shrinkToFit="0" vertical="center" wrapText="0"/>
    </xf>
    <xf borderId="733" fillId="111" fontId="263" numFmtId="0" xfId="0" applyAlignment="1" applyBorder="1" applyFont="1">
      <alignment horizontal="center" readingOrder="0" shrinkToFit="0" vertical="center" wrapText="0"/>
    </xf>
    <xf borderId="734" fillId="111" fontId="263" numFmtId="0" xfId="0" applyAlignment="1" applyBorder="1" applyFont="1">
      <alignment horizontal="left" readingOrder="0" shrinkToFit="0" vertical="center" wrapText="0"/>
    </xf>
    <xf borderId="735" fillId="0" fontId="2" numFmtId="0" xfId="0" applyBorder="1" applyFont="1"/>
    <xf borderId="736" fillId="0" fontId="2" numFmtId="0" xfId="0" applyBorder="1" applyFont="1"/>
    <xf borderId="734" fillId="111" fontId="31" numFmtId="0" xfId="0" applyAlignment="1" applyBorder="1" applyFont="1">
      <alignment horizontal="center" readingOrder="0" shrinkToFit="0" vertical="center" wrapText="0"/>
    </xf>
    <xf borderId="734" fillId="111" fontId="31" numFmtId="0" xfId="0" applyAlignment="1" applyBorder="1" applyFont="1">
      <alignment horizontal="left" readingOrder="0" vertical="center"/>
    </xf>
    <xf borderId="733" fillId="111" fontId="264" numFmtId="0" xfId="0" applyAlignment="1" applyBorder="1" applyFont="1">
      <alignment vertical="center"/>
    </xf>
    <xf borderId="733" fillId="111" fontId="262" numFmtId="0" xfId="0" applyAlignment="1" applyBorder="1" applyFont="1">
      <alignment readingOrder="0" shrinkToFit="0" vertical="center" wrapText="0"/>
    </xf>
    <xf borderId="733" fillId="111" fontId="262" numFmtId="49" xfId="0" applyAlignment="1" applyBorder="1" applyFont="1" applyNumberFormat="1">
      <alignment horizontal="left" readingOrder="0" shrinkToFit="0" vertical="center" wrapText="0"/>
    </xf>
    <xf borderId="737" fillId="0" fontId="2" numFmtId="0" xfId="0" applyBorder="1" applyFont="1"/>
    <xf borderId="738" fillId="0" fontId="2" numFmtId="0" xfId="0" applyBorder="1" applyFont="1"/>
    <xf borderId="739" fillId="0" fontId="2" numFmtId="0" xfId="0" applyBorder="1" applyFont="1"/>
    <xf borderId="740" fillId="0" fontId="2" numFmtId="0" xfId="0" applyBorder="1" applyFont="1"/>
    <xf borderId="741" fillId="0" fontId="2" numFmtId="0" xfId="0" applyBorder="1" applyFont="1"/>
    <xf borderId="733" fillId="111" fontId="31" numFmtId="0" xfId="0" applyAlignment="1" applyBorder="1" applyFont="1">
      <alignment horizontal="center" readingOrder="0" shrinkToFit="0" vertical="center" wrapText="0"/>
    </xf>
    <xf borderId="733" fillId="111" fontId="31" numFmtId="0" xfId="0" applyAlignment="1" applyBorder="1" applyFont="1">
      <alignment horizontal="left" readingOrder="0" vertical="center"/>
    </xf>
    <xf borderId="733" fillId="111" fontId="264" numFmtId="0" xfId="0" applyBorder="1" applyFont="1"/>
    <xf borderId="742" fillId="111" fontId="33" numFmtId="0" xfId="0" applyAlignment="1" applyBorder="1" applyFont="1">
      <alignment horizontal="center" vertical="bottom"/>
    </xf>
    <xf borderId="743" fillId="0" fontId="2" numFmtId="0" xfId="0" applyBorder="1" applyFont="1"/>
    <xf borderId="733" fillId="111" fontId="33" numFmtId="0" xfId="0" applyBorder="1" applyFont="1"/>
    <xf borderId="733" fillId="111" fontId="34" numFmtId="0" xfId="0" applyAlignment="1" applyBorder="1" applyFont="1">
      <alignment readingOrder="0" shrinkToFit="0" vertical="center" wrapText="0"/>
    </xf>
    <xf borderId="733" fillId="111" fontId="33" numFmtId="0" xfId="0" applyAlignment="1" applyBorder="1" applyFont="1">
      <alignment vertical="center"/>
    </xf>
    <xf borderId="742" fillId="111" fontId="35" numFmtId="0" xfId="0" applyAlignment="1" applyBorder="1" applyFont="1">
      <alignment horizontal="center" readingOrder="0" vertical="bottom"/>
    </xf>
    <xf borderId="733" fillId="111" fontId="33" numFmtId="0" xfId="0" applyAlignment="1" applyBorder="1" applyFont="1">
      <alignment vertical="center"/>
    </xf>
    <xf borderId="734" fillId="111" fontId="36" numFmtId="164" xfId="0" applyAlignment="1" applyBorder="1" applyFont="1" applyNumberFormat="1">
      <alignment horizontal="center" readingOrder="0" vertical="center"/>
    </xf>
    <xf borderId="742" fillId="111" fontId="264" numFmtId="0" xfId="0" applyAlignment="1" applyBorder="1" applyFont="1">
      <alignment horizontal="center"/>
    </xf>
    <xf borderId="734" fillId="111" fontId="263" numFmtId="0" xfId="0" applyAlignment="1" applyBorder="1" applyFont="1">
      <alignment horizontal="center" readingOrder="0" shrinkToFit="0" vertical="center" wrapText="0"/>
    </xf>
    <xf borderId="733" fillId="111" fontId="264" numFmtId="0" xfId="0" applyAlignment="1" applyBorder="1" applyFont="1">
      <alignment horizontal="center"/>
    </xf>
    <xf borderId="0" fillId="0" fontId="40" numFmtId="0" xfId="0" applyAlignment="1" applyFont="1">
      <alignment horizontal="center" readingOrder="0" vertical="bottom"/>
    </xf>
    <xf borderId="0" fillId="0" fontId="40" numFmtId="49" xfId="0" applyAlignment="1" applyFont="1" applyNumberFormat="1">
      <alignment horizontal="center" vertical="bottom"/>
    </xf>
    <xf borderId="0" fillId="0" fontId="40" numFmtId="0" xfId="0" applyAlignment="1" applyFont="1">
      <alignment horizontal="center" vertical="bottom"/>
    </xf>
    <xf borderId="0" fillId="0" fontId="41" numFmtId="0" xfId="0" applyAlignment="1" applyFont="1">
      <alignment readingOrder="0" shrinkToFit="0" vertical="center" wrapText="0"/>
    </xf>
    <xf borderId="744" fillId="112" fontId="265" numFmtId="0" xfId="0" applyAlignment="1" applyBorder="1" applyFill="1" applyFont="1">
      <alignment horizontal="left" readingOrder="0" shrinkToFit="0" vertical="center" wrapText="0"/>
    </xf>
    <xf borderId="744" fillId="112" fontId="266" numFmtId="0" xfId="0" applyAlignment="1" applyBorder="1" applyFont="1">
      <alignment horizontal="center" readingOrder="0" shrinkToFit="0" vertical="center" wrapText="0"/>
    </xf>
    <xf borderId="745" fillId="112" fontId="266" numFmtId="0" xfId="0" applyAlignment="1" applyBorder="1" applyFont="1">
      <alignment horizontal="left" readingOrder="0" shrinkToFit="0" vertical="center" wrapText="0"/>
    </xf>
    <xf borderId="746" fillId="0" fontId="2" numFmtId="0" xfId="0" applyBorder="1" applyFont="1"/>
    <xf borderId="747" fillId="0" fontId="2" numFmtId="0" xfId="0" applyBorder="1" applyFont="1"/>
    <xf borderId="745" fillId="112" fontId="57" numFmtId="0" xfId="0" applyAlignment="1" applyBorder="1" applyFont="1">
      <alignment horizontal="center" readingOrder="0" shrinkToFit="0" vertical="center" wrapText="0"/>
    </xf>
    <xf borderId="745" fillId="112" fontId="57" numFmtId="0" xfId="0" applyAlignment="1" applyBorder="1" applyFont="1">
      <alignment horizontal="left" readingOrder="0" vertical="center"/>
    </xf>
    <xf borderId="744" fillId="112" fontId="267" numFmtId="0" xfId="0" applyBorder="1" applyFont="1"/>
    <xf borderId="744" fillId="112" fontId="265" numFmtId="0" xfId="0" applyAlignment="1" applyBorder="1" applyFont="1">
      <alignment readingOrder="0" shrinkToFit="0" vertical="center" wrapText="0"/>
    </xf>
    <xf borderId="744" fillId="112" fontId="265" numFmtId="49" xfId="0" applyAlignment="1" applyBorder="1" applyFont="1" applyNumberFormat="1">
      <alignment horizontal="left" readingOrder="0" shrinkToFit="0" vertical="center" wrapText="0"/>
    </xf>
    <xf borderId="748" fillId="0" fontId="2" numFmtId="0" xfId="0" applyBorder="1" applyFont="1"/>
    <xf borderId="749" fillId="0" fontId="2" numFmtId="0" xfId="0" applyBorder="1" applyFont="1"/>
    <xf borderId="750" fillId="0" fontId="2" numFmtId="0" xfId="0" applyBorder="1" applyFont="1"/>
    <xf borderId="751" fillId="0" fontId="2" numFmtId="0" xfId="0" applyBorder="1" applyFont="1"/>
    <xf borderId="752" fillId="0" fontId="2" numFmtId="0" xfId="0" applyBorder="1" applyFont="1"/>
    <xf borderId="744" fillId="112" fontId="57" numFmtId="0" xfId="0" applyAlignment="1" applyBorder="1" applyFont="1">
      <alignment horizontal="center" readingOrder="0" shrinkToFit="0" vertical="center" wrapText="0"/>
    </xf>
    <xf borderId="744" fillId="112" fontId="57" numFmtId="0" xfId="0" applyAlignment="1" applyBorder="1" applyFont="1">
      <alignment horizontal="left" readingOrder="0" vertical="top"/>
    </xf>
    <xf borderId="753" fillId="112" fontId="59" numFmtId="0" xfId="0" applyAlignment="1" applyBorder="1" applyFont="1">
      <alignment horizontal="center" vertical="bottom"/>
    </xf>
    <xf borderId="754" fillId="0" fontId="2" numFmtId="0" xfId="0" applyBorder="1" applyFont="1"/>
    <xf borderId="744" fillId="112" fontId="59" numFmtId="0" xfId="0" applyBorder="1" applyFont="1"/>
    <xf borderId="744" fillId="112" fontId="60" numFmtId="0" xfId="0" applyAlignment="1" applyBorder="1" applyFont="1">
      <alignment readingOrder="0" shrinkToFit="0" vertical="center" wrapText="0"/>
    </xf>
    <xf borderId="744" fillId="112" fontId="59" numFmtId="0" xfId="0" applyBorder="1" applyFont="1"/>
    <xf borderId="753" fillId="112" fontId="61" numFmtId="0" xfId="0" applyAlignment="1" applyBorder="1" applyFont="1">
      <alignment horizontal="center" readingOrder="0" vertical="bottom"/>
    </xf>
    <xf borderId="745" fillId="112" fontId="62" numFmtId="164" xfId="0" applyAlignment="1" applyBorder="1" applyFont="1" applyNumberFormat="1">
      <alignment horizontal="center" readingOrder="0" vertical="center"/>
    </xf>
    <xf borderId="753" fillId="112" fontId="266" numFmtId="0" xfId="0" applyAlignment="1" applyBorder="1" applyFont="1">
      <alignment horizontal="center" readingOrder="0" shrinkToFit="0" vertical="center" wrapText="0"/>
    </xf>
    <xf borderId="753" fillId="112" fontId="267" numFmtId="0" xfId="0" applyAlignment="1" applyBorder="1" applyFont="1">
      <alignment horizontal="center"/>
    </xf>
    <xf borderId="755" fillId="0" fontId="2" numFmtId="0" xfId="0" applyBorder="1" applyFont="1"/>
    <xf borderId="744" fillId="112" fontId="267" numFmtId="0" xfId="0" applyAlignment="1" applyBorder="1" applyFont="1">
      <alignment horizontal="center"/>
    </xf>
    <xf borderId="35" fillId="17" fontId="41" numFmtId="49" xfId="0" applyAlignment="1" applyBorder="1" applyFont="1" applyNumberFormat="1">
      <alignment horizontal="left" readingOrder="0" shrinkToFit="0" vertical="center" wrapText="0"/>
    </xf>
    <xf borderId="29" fillId="0" fontId="40" numFmtId="0" xfId="0" applyAlignment="1" applyBorder="1" applyFont="1">
      <alignment horizontal="center" shrinkToFit="0" wrapText="0"/>
    </xf>
    <xf borderId="33" fillId="10" fontId="40" numFmtId="49" xfId="0" applyAlignment="1" applyBorder="1" applyFont="1" applyNumberFormat="1">
      <alignment horizontal="center" vertical="bottom"/>
    </xf>
    <xf borderId="0" fillId="0" fontId="40" numFmtId="49" xfId="0" applyFont="1" applyNumberFormat="1"/>
    <xf borderId="756" fillId="113" fontId="268" numFmtId="0" xfId="0" applyAlignment="1" applyBorder="1" applyFill="1" applyFont="1">
      <alignment horizontal="left" readingOrder="0" shrinkToFit="0" vertical="center" wrapText="0"/>
    </xf>
    <xf borderId="756" fillId="113" fontId="269" numFmtId="0" xfId="0" applyAlignment="1" applyBorder="1" applyFont="1">
      <alignment horizontal="center" readingOrder="0" shrinkToFit="0" vertical="center" wrapText="0"/>
    </xf>
    <xf borderId="757" fillId="113" fontId="269" numFmtId="0" xfId="0" applyAlignment="1" applyBorder="1" applyFont="1">
      <alignment horizontal="left" readingOrder="0" shrinkToFit="0" vertical="center" wrapText="0"/>
    </xf>
    <xf borderId="758" fillId="0" fontId="2" numFmtId="0" xfId="0" applyBorder="1" applyFont="1"/>
    <xf borderId="759" fillId="0" fontId="2" numFmtId="0" xfId="0" applyBorder="1" applyFont="1"/>
    <xf borderId="757" fillId="113" fontId="57" numFmtId="0" xfId="0" applyAlignment="1" applyBorder="1" applyFont="1">
      <alignment horizontal="center" readingOrder="0" shrinkToFit="0" vertical="center" wrapText="0"/>
    </xf>
    <xf borderId="757" fillId="113" fontId="57" numFmtId="0" xfId="0" applyAlignment="1" applyBorder="1" applyFont="1">
      <alignment horizontal="left" readingOrder="0" vertical="center"/>
    </xf>
    <xf borderId="756" fillId="113" fontId="270" numFmtId="0" xfId="0" applyBorder="1" applyFont="1"/>
    <xf borderId="756" fillId="113" fontId="268" numFmtId="0" xfId="0" applyAlignment="1" applyBorder="1" applyFont="1">
      <alignment readingOrder="0" shrinkToFit="0" vertical="center" wrapText="0"/>
    </xf>
    <xf borderId="756" fillId="113" fontId="268" numFmtId="49" xfId="0" applyAlignment="1" applyBorder="1" applyFont="1" applyNumberFormat="1">
      <alignment horizontal="left" readingOrder="0" shrinkToFit="0" vertical="center" wrapText="0"/>
    </xf>
    <xf borderId="760" fillId="0" fontId="2" numFmtId="0" xfId="0" applyBorder="1" applyFont="1"/>
    <xf borderId="761" fillId="0" fontId="2" numFmtId="0" xfId="0" applyBorder="1" applyFont="1"/>
    <xf borderId="762" fillId="0" fontId="2" numFmtId="0" xfId="0" applyBorder="1" applyFont="1"/>
    <xf borderId="763" fillId="0" fontId="2" numFmtId="0" xfId="0" applyBorder="1" applyFont="1"/>
    <xf borderId="764" fillId="0" fontId="2" numFmtId="0" xfId="0" applyBorder="1" applyFont="1"/>
    <xf borderId="756" fillId="113" fontId="57" numFmtId="0" xfId="0" applyAlignment="1" applyBorder="1" applyFont="1">
      <alignment horizontal="center" readingOrder="0" shrinkToFit="0" vertical="center" wrapText="0"/>
    </xf>
    <xf borderId="756" fillId="113" fontId="57" numFmtId="0" xfId="0" applyAlignment="1" applyBorder="1" applyFont="1">
      <alignment horizontal="left" readingOrder="0" vertical="top"/>
    </xf>
    <xf borderId="765" fillId="113" fontId="59" numFmtId="0" xfId="0" applyAlignment="1" applyBorder="1" applyFont="1">
      <alignment horizontal="center" vertical="bottom"/>
    </xf>
    <xf borderId="766" fillId="0" fontId="2" numFmtId="0" xfId="0" applyBorder="1" applyFont="1"/>
    <xf borderId="756" fillId="113" fontId="59" numFmtId="0" xfId="0" applyBorder="1" applyFont="1"/>
    <xf borderId="756" fillId="113" fontId="60" numFmtId="0" xfId="0" applyAlignment="1" applyBorder="1" applyFont="1">
      <alignment readingOrder="0" shrinkToFit="0" vertical="center" wrapText="0"/>
    </xf>
    <xf borderId="756" fillId="113" fontId="59" numFmtId="0" xfId="0" applyBorder="1" applyFont="1"/>
    <xf borderId="765" fillId="113" fontId="61" numFmtId="0" xfId="0" applyAlignment="1" applyBorder="1" applyFont="1">
      <alignment horizontal="center" readingOrder="0" vertical="bottom"/>
    </xf>
    <xf borderId="757" fillId="113" fontId="62" numFmtId="164" xfId="0" applyAlignment="1" applyBorder="1" applyFont="1" applyNumberFormat="1">
      <alignment horizontal="center" readingOrder="0" vertical="center"/>
    </xf>
    <xf borderId="765" fillId="113" fontId="269" numFmtId="0" xfId="0" applyAlignment="1" applyBorder="1" applyFont="1">
      <alignment horizontal="center" readingOrder="0" shrinkToFit="0" vertical="center" wrapText="0"/>
    </xf>
    <xf borderId="765" fillId="113" fontId="270" numFmtId="0" xfId="0" applyAlignment="1" applyBorder="1" applyFont="1">
      <alignment horizontal="center"/>
    </xf>
    <xf borderId="767" fillId="0" fontId="2" numFmtId="0" xfId="0" applyBorder="1" applyFont="1"/>
    <xf borderId="756" fillId="113" fontId="270" numFmtId="0" xfId="0" applyAlignment="1" applyBorder="1" applyFont="1">
      <alignment horizontal="center"/>
    </xf>
    <xf borderId="30" fillId="13" fontId="209" numFmtId="0" xfId="0" applyAlignment="1" applyBorder="1" applyFont="1">
      <alignment horizontal="center" shrinkToFit="0" wrapText="0"/>
    </xf>
    <xf borderId="36" fillId="13" fontId="209" numFmtId="0" xfId="0" applyAlignment="1" applyBorder="1" applyFont="1">
      <alignment shrinkToFit="0" wrapText="0"/>
    </xf>
    <xf borderId="29" fillId="13" fontId="209" numFmtId="0" xfId="0" applyAlignment="1" applyBorder="1" applyFont="1">
      <alignment horizontal="center" shrinkToFit="0" wrapText="0"/>
    </xf>
    <xf borderId="29" fillId="13" fontId="209" numFmtId="0" xfId="0" applyAlignment="1" applyBorder="1" applyFont="1">
      <alignment horizontal="center" shrinkToFit="0" wrapText="0"/>
    </xf>
    <xf borderId="36" fillId="14" fontId="40" numFmtId="0" xfId="0" applyAlignment="1" applyBorder="1" applyFont="1">
      <alignment shrinkToFit="0" wrapText="0"/>
    </xf>
    <xf borderId="29" fillId="11" fontId="40" numFmtId="0" xfId="0" applyBorder="1" applyFont="1"/>
    <xf borderId="29" fillId="11" fontId="40" numFmtId="0" xfId="0" applyBorder="1" applyFont="1"/>
    <xf borderId="29" fillId="11" fontId="40" numFmtId="0" xfId="0" applyAlignment="1" applyBorder="1" applyFont="1">
      <alignment readingOrder="0"/>
    </xf>
    <xf borderId="34" fillId="17" fontId="41" numFmtId="49" xfId="0" applyAlignment="1" applyBorder="1" applyFont="1" applyNumberFormat="1">
      <alignment horizontal="left" readingOrder="0" shrinkToFit="0" vertical="center" wrapText="0"/>
    </xf>
    <xf borderId="768" fillId="114" fontId="271" numFmtId="0" xfId="0" applyAlignment="1" applyBorder="1" applyFill="1" applyFont="1">
      <alignment horizontal="left" readingOrder="0" shrinkToFit="0" vertical="center" wrapText="0"/>
    </xf>
    <xf borderId="768" fillId="114" fontId="272" numFmtId="0" xfId="0" applyAlignment="1" applyBorder="1" applyFont="1">
      <alignment horizontal="center" readingOrder="0" shrinkToFit="0" vertical="center" wrapText="0"/>
    </xf>
    <xf borderId="769" fillId="114" fontId="272" numFmtId="0" xfId="0" applyAlignment="1" applyBorder="1" applyFont="1">
      <alignment horizontal="left" readingOrder="0" shrinkToFit="0" vertical="center" wrapText="0"/>
    </xf>
    <xf borderId="770" fillId="0" fontId="2" numFmtId="0" xfId="0" applyBorder="1" applyFont="1"/>
    <xf borderId="771" fillId="0" fontId="2" numFmtId="0" xfId="0" applyBorder="1" applyFont="1"/>
    <xf borderId="769" fillId="114" fontId="57" numFmtId="0" xfId="0" applyAlignment="1" applyBorder="1" applyFont="1">
      <alignment horizontal="center" readingOrder="0" shrinkToFit="0" vertical="center" wrapText="0"/>
    </xf>
    <xf borderId="769" fillId="114" fontId="57" numFmtId="0" xfId="0" applyAlignment="1" applyBorder="1" applyFont="1">
      <alignment horizontal="left" readingOrder="0" vertical="center"/>
    </xf>
    <xf borderId="768" fillId="114" fontId="273" numFmtId="0" xfId="0" applyBorder="1" applyFont="1"/>
    <xf borderId="768" fillId="114" fontId="271" numFmtId="0" xfId="0" applyAlignment="1" applyBorder="1" applyFont="1">
      <alignment readingOrder="0" shrinkToFit="0" vertical="center" wrapText="0"/>
    </xf>
    <xf borderId="768" fillId="114" fontId="271" numFmtId="49" xfId="0" applyAlignment="1" applyBorder="1" applyFont="1" applyNumberFormat="1">
      <alignment horizontal="left" readingOrder="0" shrinkToFit="0" vertical="center" wrapText="0"/>
    </xf>
    <xf borderId="772" fillId="0" fontId="2" numFmtId="0" xfId="0" applyBorder="1" applyFont="1"/>
    <xf borderId="773" fillId="0" fontId="2" numFmtId="0" xfId="0" applyBorder="1" applyFont="1"/>
    <xf borderId="774" fillId="0" fontId="2" numFmtId="0" xfId="0" applyBorder="1" applyFont="1"/>
    <xf borderId="775" fillId="0" fontId="2" numFmtId="0" xfId="0" applyBorder="1" applyFont="1"/>
    <xf borderId="776" fillId="0" fontId="2" numFmtId="0" xfId="0" applyBorder="1" applyFont="1"/>
    <xf borderId="768" fillId="114" fontId="57" numFmtId="0" xfId="0" applyAlignment="1" applyBorder="1" applyFont="1">
      <alignment horizontal="center" readingOrder="0" shrinkToFit="0" vertical="center" wrapText="0"/>
    </xf>
    <xf borderId="768" fillId="114" fontId="57" numFmtId="0" xfId="0" applyAlignment="1" applyBorder="1" applyFont="1">
      <alignment horizontal="left" readingOrder="0" vertical="top"/>
    </xf>
    <xf borderId="777" fillId="114" fontId="59" numFmtId="0" xfId="0" applyAlignment="1" applyBorder="1" applyFont="1">
      <alignment horizontal="center" vertical="bottom"/>
    </xf>
    <xf borderId="778" fillId="0" fontId="2" numFmtId="0" xfId="0" applyBorder="1" applyFont="1"/>
    <xf borderId="768" fillId="114" fontId="59" numFmtId="0" xfId="0" applyBorder="1" applyFont="1"/>
    <xf borderId="768" fillId="114" fontId="60" numFmtId="0" xfId="0" applyAlignment="1" applyBorder="1" applyFont="1">
      <alignment readingOrder="0" shrinkToFit="0" vertical="center" wrapText="0"/>
    </xf>
    <xf borderId="768" fillId="114" fontId="59" numFmtId="0" xfId="0" applyBorder="1" applyFont="1"/>
    <xf borderId="777" fillId="114" fontId="61" numFmtId="0" xfId="0" applyAlignment="1" applyBorder="1" applyFont="1">
      <alignment horizontal="center" readingOrder="0" vertical="bottom"/>
    </xf>
    <xf borderId="769" fillId="114" fontId="62" numFmtId="164" xfId="0" applyAlignment="1" applyBorder="1" applyFont="1" applyNumberFormat="1">
      <alignment horizontal="center" readingOrder="0" vertical="center"/>
    </xf>
    <xf borderId="777" fillId="114" fontId="272" numFmtId="0" xfId="0" applyAlignment="1" applyBorder="1" applyFont="1">
      <alignment horizontal="center" readingOrder="0" shrinkToFit="0" vertical="center" wrapText="0"/>
    </xf>
    <xf borderId="777" fillId="114" fontId="273" numFmtId="0" xfId="0" applyAlignment="1" applyBorder="1" applyFont="1">
      <alignment horizontal="center"/>
    </xf>
    <xf borderId="779" fillId="0" fontId="2" numFmtId="0" xfId="0" applyBorder="1" applyFont="1"/>
    <xf borderId="768" fillId="114" fontId="273" numFmtId="0" xfId="0" applyAlignment="1" applyBorder="1" applyFont="1">
      <alignment horizontal="center"/>
    </xf>
    <xf borderId="33" fillId="43" fontId="41" numFmtId="0" xfId="0" applyAlignment="1" applyBorder="1" applyFont="1">
      <alignment horizontal="center" readingOrder="0" shrinkToFit="0" vertical="center" wrapText="0"/>
    </xf>
    <xf borderId="33" fillId="44" fontId="41" numFmtId="0" xfId="0" applyAlignment="1" applyBorder="1" applyFont="1">
      <alignment horizontal="center" readingOrder="0" shrinkToFit="0" vertical="center" wrapText="0"/>
    </xf>
    <xf borderId="35" fillId="24" fontId="41" numFmtId="0" xfId="0" applyAlignment="1" applyBorder="1" applyFont="1">
      <alignment readingOrder="0" shrinkToFit="0" vertical="center" wrapText="1"/>
    </xf>
    <xf borderId="33" fillId="27" fontId="40" numFmtId="0" xfId="0" applyAlignment="1" applyBorder="1" applyFont="1">
      <alignment horizontal="center" shrinkToFit="0" wrapText="0"/>
    </xf>
    <xf borderId="31" fillId="27" fontId="40" numFmtId="0" xfId="0" applyAlignment="1" applyBorder="1" applyFont="1">
      <alignment horizontal="center" shrinkToFit="0" wrapText="0"/>
    </xf>
    <xf borderId="31" fillId="27" fontId="40" numFmtId="0" xfId="0" applyAlignment="1" applyBorder="1" applyFont="1">
      <alignment readingOrder="0"/>
    </xf>
    <xf borderId="33" fillId="27" fontId="40" numFmtId="0" xfId="0" applyAlignment="1" applyBorder="1" applyFont="1">
      <alignment readingOrder="0"/>
    </xf>
    <xf borderId="33" fillId="27" fontId="40" numFmtId="0" xfId="0" applyBorder="1" applyFont="1"/>
    <xf borderId="31" fillId="0" fontId="40" numFmtId="0" xfId="0" applyAlignment="1" applyBorder="1" applyFont="1">
      <alignment horizontal="center" readingOrder="0" shrinkToFit="0" wrapText="0"/>
    </xf>
    <xf borderId="33" fillId="11" fontId="40" numFmtId="0" xfId="0" applyAlignment="1" applyBorder="1" applyFont="1">
      <alignment readingOrder="0"/>
    </xf>
    <xf borderId="780" fillId="115" fontId="274" numFmtId="0" xfId="0" applyAlignment="1" applyBorder="1" applyFill="1" applyFont="1">
      <alignment horizontal="left" readingOrder="0" shrinkToFit="0" vertical="center" wrapText="0"/>
    </xf>
    <xf borderId="780" fillId="115" fontId="275" numFmtId="0" xfId="0" applyAlignment="1" applyBorder="1" applyFont="1">
      <alignment horizontal="center" readingOrder="0" shrinkToFit="0" vertical="center" wrapText="0"/>
    </xf>
    <xf borderId="781" fillId="115" fontId="275" numFmtId="0" xfId="0" applyAlignment="1" applyBorder="1" applyFont="1">
      <alignment horizontal="left" readingOrder="0" shrinkToFit="0" vertical="center" wrapText="0"/>
    </xf>
    <xf borderId="782" fillId="0" fontId="2" numFmtId="0" xfId="0" applyBorder="1" applyFont="1"/>
    <xf borderId="783" fillId="0" fontId="2" numFmtId="0" xfId="0" applyBorder="1" applyFont="1"/>
    <xf borderId="781" fillId="115" fontId="65" numFmtId="0" xfId="0" applyAlignment="1" applyBorder="1" applyFont="1">
      <alignment horizontal="center" readingOrder="0" shrinkToFit="0" vertical="center" wrapText="0"/>
    </xf>
    <xf borderId="781" fillId="115" fontId="65" numFmtId="0" xfId="0" applyAlignment="1" applyBorder="1" applyFont="1">
      <alignment horizontal="left" readingOrder="0" vertical="center"/>
    </xf>
    <xf borderId="780" fillId="115" fontId="276" numFmtId="0" xfId="0" applyAlignment="1" applyBorder="1" applyFont="1">
      <alignment vertical="center"/>
    </xf>
    <xf borderId="780" fillId="115" fontId="274" numFmtId="0" xfId="0" applyAlignment="1" applyBorder="1" applyFont="1">
      <alignment readingOrder="0" shrinkToFit="0" vertical="center" wrapText="0"/>
    </xf>
    <xf borderId="780" fillId="115" fontId="274" numFmtId="49" xfId="0" applyAlignment="1" applyBorder="1" applyFont="1" applyNumberFormat="1">
      <alignment horizontal="left" readingOrder="0" shrinkToFit="0" vertical="center" wrapText="0"/>
    </xf>
    <xf borderId="784" fillId="0" fontId="2" numFmtId="0" xfId="0" applyBorder="1" applyFont="1"/>
    <xf borderId="785" fillId="0" fontId="2" numFmtId="0" xfId="0" applyBorder="1" applyFont="1"/>
    <xf borderId="786" fillId="0" fontId="2" numFmtId="0" xfId="0" applyBorder="1" applyFont="1"/>
    <xf borderId="787" fillId="0" fontId="2" numFmtId="0" xfId="0" applyBorder="1" applyFont="1"/>
    <xf borderId="788" fillId="0" fontId="2" numFmtId="0" xfId="0" applyBorder="1" applyFont="1"/>
    <xf borderId="780" fillId="115" fontId="65" numFmtId="0" xfId="0" applyAlignment="1" applyBorder="1" applyFont="1">
      <alignment horizontal="center" readingOrder="0" shrinkToFit="0" vertical="center" wrapText="0"/>
    </xf>
    <xf borderId="780" fillId="115" fontId="65" numFmtId="0" xfId="0" applyAlignment="1" applyBorder="1" applyFont="1">
      <alignment horizontal="left" readingOrder="0" vertical="center"/>
    </xf>
    <xf borderId="780" fillId="115" fontId="276" numFmtId="0" xfId="0" applyBorder="1" applyFont="1"/>
    <xf borderId="789" fillId="115" fontId="67" numFmtId="0" xfId="0" applyAlignment="1" applyBorder="1" applyFont="1">
      <alignment horizontal="center" vertical="bottom"/>
    </xf>
    <xf borderId="790" fillId="0" fontId="2" numFmtId="0" xfId="0" applyBorder="1" applyFont="1"/>
    <xf borderId="780" fillId="115" fontId="67" numFmtId="0" xfId="0" applyBorder="1" applyFont="1"/>
    <xf borderId="780" fillId="115" fontId="68" numFmtId="0" xfId="0" applyAlignment="1" applyBorder="1" applyFont="1">
      <alignment readingOrder="0" shrinkToFit="0" vertical="center" wrapText="0"/>
    </xf>
    <xf borderId="780" fillId="115" fontId="67" numFmtId="0" xfId="0" applyAlignment="1" applyBorder="1" applyFont="1">
      <alignment vertical="center"/>
    </xf>
    <xf borderId="789" fillId="115" fontId="69" numFmtId="0" xfId="0" applyAlignment="1" applyBorder="1" applyFont="1">
      <alignment horizontal="center" readingOrder="0" vertical="bottom"/>
    </xf>
    <xf borderId="780" fillId="115" fontId="67" numFmtId="0" xfId="0" applyAlignment="1" applyBorder="1" applyFont="1">
      <alignment vertical="center"/>
    </xf>
    <xf borderId="781" fillId="115" fontId="70" numFmtId="164" xfId="0" applyAlignment="1" applyBorder="1" applyFont="1" applyNumberFormat="1">
      <alignment horizontal="center" readingOrder="0" vertical="center"/>
    </xf>
    <xf borderId="789" fillId="115" fontId="276" numFmtId="0" xfId="0" applyAlignment="1" applyBorder="1" applyFont="1">
      <alignment horizontal="center"/>
    </xf>
    <xf borderId="781" fillId="115" fontId="275" numFmtId="0" xfId="0" applyAlignment="1" applyBorder="1" applyFont="1">
      <alignment horizontal="center" readingOrder="0" shrinkToFit="0" vertical="center" wrapText="0"/>
    </xf>
    <xf borderId="780" fillId="115" fontId="276" numFmtId="0" xfId="0" applyAlignment="1" applyBorder="1" applyFont="1">
      <alignment horizontal="center"/>
    </xf>
    <xf borderId="30" fillId="0" fontId="2" numFmtId="0" xfId="0" applyBorder="1" applyFont="1"/>
    <xf borderId="33" fillId="10" fontId="17" numFmtId="0" xfId="0" applyAlignment="1" applyBorder="1" applyFont="1">
      <alignment horizontal="center" readingOrder="0" shrinkToFit="0" vertical="center" wrapText="0"/>
    </xf>
    <xf borderId="0" fillId="0" fontId="2" numFmtId="0" xfId="0" applyAlignment="1" applyFont="1">
      <alignment horizontal="center" readingOrder="0" vertical="center"/>
    </xf>
    <xf borderId="791" fillId="116" fontId="277" numFmtId="0" xfId="0" applyAlignment="1" applyBorder="1" applyFill="1" applyFont="1">
      <alignment horizontal="left" readingOrder="0" shrinkToFit="0" vertical="center" wrapText="0"/>
    </xf>
    <xf borderId="791" fillId="116" fontId="278" numFmtId="0" xfId="0" applyAlignment="1" applyBorder="1" applyFont="1">
      <alignment horizontal="center" readingOrder="0" shrinkToFit="0" vertical="center" wrapText="0"/>
    </xf>
    <xf borderId="792" fillId="116" fontId="278" numFmtId="0" xfId="0" applyAlignment="1" applyBorder="1" applyFont="1">
      <alignment horizontal="left" readingOrder="0" shrinkToFit="0" vertical="center" wrapText="0"/>
    </xf>
    <xf borderId="793" fillId="0" fontId="2" numFmtId="0" xfId="0" applyBorder="1" applyFont="1"/>
    <xf borderId="794" fillId="0" fontId="2" numFmtId="0" xfId="0" applyBorder="1" applyFont="1"/>
    <xf borderId="792" fillId="116" fontId="57" numFmtId="0" xfId="0" applyAlignment="1" applyBorder="1" applyFont="1">
      <alignment horizontal="center" readingOrder="0" shrinkToFit="0" vertical="center" wrapText="0"/>
    </xf>
    <xf borderId="792" fillId="116" fontId="57" numFmtId="0" xfId="0" applyAlignment="1" applyBorder="1" applyFont="1">
      <alignment horizontal="left" readingOrder="0" vertical="center"/>
    </xf>
    <xf borderId="791" fillId="116" fontId="279" numFmtId="0" xfId="0" applyBorder="1" applyFont="1"/>
    <xf borderId="791" fillId="116" fontId="277" numFmtId="0" xfId="0" applyAlignment="1" applyBorder="1" applyFont="1">
      <alignment readingOrder="0" shrinkToFit="0" vertical="center" wrapText="0"/>
    </xf>
    <xf borderId="791" fillId="116" fontId="277" numFmtId="49" xfId="0" applyAlignment="1" applyBorder="1" applyFont="1" applyNumberFormat="1">
      <alignment horizontal="left" readingOrder="0" shrinkToFit="0" vertical="center" wrapText="0"/>
    </xf>
    <xf borderId="795" fillId="0" fontId="2" numFmtId="0" xfId="0" applyBorder="1" applyFont="1"/>
    <xf borderId="796" fillId="0" fontId="2" numFmtId="0" xfId="0" applyBorder="1" applyFont="1"/>
    <xf borderId="797" fillId="0" fontId="2" numFmtId="0" xfId="0" applyBorder="1" applyFont="1"/>
    <xf borderId="798" fillId="0" fontId="2" numFmtId="0" xfId="0" applyBorder="1" applyFont="1"/>
    <xf borderId="799" fillId="0" fontId="2" numFmtId="0" xfId="0" applyBorder="1" applyFont="1"/>
    <xf borderId="791" fillId="116" fontId="57" numFmtId="0" xfId="0" applyAlignment="1" applyBorder="1" applyFont="1">
      <alignment horizontal="center" readingOrder="0" shrinkToFit="0" vertical="center" wrapText="0"/>
    </xf>
    <xf borderId="791" fillId="116" fontId="57" numFmtId="0" xfId="0" applyAlignment="1" applyBorder="1" applyFont="1">
      <alignment horizontal="left" readingOrder="0" vertical="top"/>
    </xf>
    <xf borderId="800" fillId="116" fontId="59" numFmtId="0" xfId="0" applyAlignment="1" applyBorder="1" applyFont="1">
      <alignment horizontal="center" vertical="bottom"/>
    </xf>
    <xf borderId="801" fillId="0" fontId="2" numFmtId="0" xfId="0" applyBorder="1" applyFont="1"/>
    <xf borderId="791" fillId="116" fontId="59" numFmtId="0" xfId="0" applyBorder="1" applyFont="1"/>
    <xf borderId="791" fillId="116" fontId="60" numFmtId="0" xfId="0" applyAlignment="1" applyBorder="1" applyFont="1">
      <alignment readingOrder="0" shrinkToFit="0" vertical="center" wrapText="0"/>
    </xf>
    <xf borderId="791" fillId="116" fontId="59" numFmtId="0" xfId="0" applyBorder="1" applyFont="1"/>
    <xf borderId="800" fillId="116" fontId="61" numFmtId="0" xfId="0" applyAlignment="1" applyBorder="1" applyFont="1">
      <alignment horizontal="center" readingOrder="0" vertical="bottom"/>
    </xf>
    <xf borderId="792" fillId="116" fontId="62" numFmtId="164" xfId="0" applyAlignment="1" applyBorder="1" applyFont="1" applyNumberFormat="1">
      <alignment horizontal="center" readingOrder="0" vertical="center"/>
    </xf>
    <xf borderId="800" fillId="116" fontId="278" numFmtId="0" xfId="0" applyAlignment="1" applyBorder="1" applyFont="1">
      <alignment horizontal="center" readingOrder="0" shrinkToFit="0" vertical="center" wrapText="0"/>
    </xf>
    <xf borderId="800" fillId="116" fontId="279" numFmtId="0" xfId="0" applyAlignment="1" applyBorder="1" applyFont="1">
      <alignment horizontal="center"/>
    </xf>
    <xf borderId="802" fillId="0" fontId="2" numFmtId="0" xfId="0" applyBorder="1" applyFont="1"/>
    <xf borderId="791" fillId="116" fontId="279" numFmtId="0" xfId="0" applyAlignment="1" applyBorder="1" applyFont="1">
      <alignment horizontal="center"/>
    </xf>
    <xf borderId="0" fillId="0" fontId="17" numFmtId="166" xfId="0" applyAlignment="1" applyFont="1" applyNumberFormat="1">
      <alignment horizontal="left" readingOrder="0" shrinkToFit="0" vertical="center" wrapText="0"/>
    </xf>
    <xf borderId="0" fillId="11" fontId="47" numFmtId="0" xfId="0" applyAlignment="1" applyFont="1">
      <alignment shrinkToFit="0" vertical="top" wrapText="1"/>
    </xf>
    <xf borderId="30" fillId="11" fontId="47" numFmtId="0" xfId="0" applyAlignment="1" applyBorder="1" applyFont="1">
      <alignment shrinkToFit="0" vertical="top" wrapText="1"/>
    </xf>
    <xf borderId="37" fillId="0" fontId="47" numFmtId="49" xfId="0" applyAlignment="1" applyBorder="1" applyFont="1" applyNumberFormat="1">
      <alignment horizontal="center" readingOrder="0" shrinkToFit="0" vertical="center" wrapText="0"/>
    </xf>
    <xf borderId="26" fillId="0" fontId="40" numFmtId="0" xfId="0" applyAlignment="1" applyBorder="1" applyFont="1">
      <alignment shrinkToFit="0" vertical="top" wrapText="1"/>
    </xf>
    <xf borderId="26" fillId="11" fontId="40" numFmtId="0" xfId="0" applyAlignment="1" applyBorder="1" applyFont="1">
      <alignment shrinkToFit="0" vertical="top" wrapText="1"/>
    </xf>
    <xf borderId="35" fillId="0" fontId="40" numFmtId="49" xfId="0" applyAlignment="1" applyBorder="1" applyFont="1" applyNumberFormat="1">
      <alignment horizontal="center" shrinkToFit="0" vertical="center" wrapText="0"/>
    </xf>
    <xf borderId="30" fillId="11" fontId="40" numFmtId="0" xfId="0" applyAlignment="1" applyBorder="1" applyFont="1">
      <alignment shrinkToFit="0" vertical="top" wrapText="1"/>
    </xf>
    <xf borderId="37" fillId="10" fontId="40" numFmtId="49" xfId="0" applyAlignment="1" applyBorder="1" applyFont="1" applyNumberFormat="1">
      <alignment horizontal="center" readingOrder="0" shrinkToFit="0" vertical="center" wrapText="0"/>
    </xf>
    <xf borderId="0" fillId="0" fontId="40" numFmtId="0" xfId="0" applyAlignment="1" applyFont="1">
      <alignment readingOrder="0" shrinkToFit="0" vertical="top" wrapText="1"/>
    </xf>
    <xf borderId="37" fillId="11" fontId="40" numFmtId="49" xfId="0" applyAlignment="1" applyBorder="1" applyFont="1" applyNumberFormat="1">
      <alignment horizontal="center" shrinkToFit="0" vertical="center" wrapText="0"/>
    </xf>
    <xf borderId="30" fillId="19" fontId="44" numFmtId="0" xfId="0" applyAlignment="1" applyBorder="1" applyFont="1">
      <alignment horizontal="left" readingOrder="0" shrinkToFit="0" vertical="center" wrapText="0"/>
    </xf>
    <xf borderId="33" fillId="0" fontId="41" numFmtId="166" xfId="0" applyAlignment="1" applyBorder="1" applyFont="1" applyNumberFormat="1">
      <alignment horizontal="center" readingOrder="0" shrinkToFit="0" vertical="center" wrapText="0"/>
    </xf>
    <xf borderId="34" fillId="10" fontId="40" numFmtId="49" xfId="0" applyAlignment="1" applyBorder="1" applyFont="1" applyNumberFormat="1">
      <alignment horizontal="center" readingOrder="0" shrinkToFit="0" vertical="center" wrapText="0"/>
    </xf>
    <xf borderId="0" fillId="0" fontId="40" numFmtId="0" xfId="0" applyAlignment="1" applyFont="1">
      <alignment shrinkToFit="0" vertical="top" wrapText="1"/>
    </xf>
    <xf borderId="34" fillId="11" fontId="40" numFmtId="49" xfId="0" applyAlignment="1" applyBorder="1" applyFont="1" applyNumberFormat="1">
      <alignment horizontal="center" shrinkToFit="0" vertical="center" wrapText="0"/>
    </xf>
    <xf borderId="33" fillId="31" fontId="45" numFmtId="49" xfId="0" applyAlignment="1" applyBorder="1" applyFont="1" applyNumberFormat="1">
      <alignment horizontal="center" readingOrder="0" shrinkToFit="0" vertical="center" wrapText="0"/>
    </xf>
    <xf borderId="0" fillId="11" fontId="40" numFmtId="0" xfId="0" applyAlignment="1" applyFont="1">
      <alignment horizontal="center" vertical="center"/>
    </xf>
    <xf borderId="0" fillId="0" fontId="41" numFmtId="49" xfId="0" applyAlignment="1" applyFont="1" applyNumberFormat="1">
      <alignment horizontal="left" readingOrder="0" shrinkToFit="0" vertical="center" wrapText="0"/>
    </xf>
    <xf borderId="0" fillId="117" fontId="50" numFmtId="0" xfId="0" applyAlignment="1" applyFill="1" applyFont="1">
      <alignment vertical="center"/>
    </xf>
    <xf borderId="33" fillId="117" fontId="54" numFmtId="49" xfId="0" applyAlignment="1" applyBorder="1" applyFont="1" applyNumberFormat="1">
      <alignment horizontal="center" vertical="center"/>
    </xf>
    <xf borderId="30" fillId="117" fontId="54" numFmtId="49" xfId="0" applyAlignment="1" applyBorder="1" applyFont="1" applyNumberFormat="1">
      <alignment vertical="center"/>
    </xf>
    <xf borderId="34" fillId="27" fontId="54" numFmtId="0" xfId="0" applyAlignment="1" applyBorder="1" applyFont="1">
      <alignment vertical="center"/>
    </xf>
    <xf borderId="33" fillId="3" fontId="40" numFmtId="49" xfId="0" applyAlignment="1" applyBorder="1" applyFont="1" applyNumberFormat="1">
      <alignment vertical="center"/>
    </xf>
    <xf borderId="33" fillId="0" fontId="40" numFmtId="0" xfId="0" applyAlignment="1" applyBorder="1" applyFont="1">
      <alignment horizontal="center" vertical="center"/>
    </xf>
    <xf borderId="30" fillId="0" fontId="40" numFmtId="0" xfId="0" applyAlignment="1" applyBorder="1" applyFont="1">
      <alignment vertical="center"/>
    </xf>
    <xf borderId="34" fillId="0" fontId="40" numFmtId="0" xfId="0" applyAlignment="1" applyBorder="1" applyFont="1">
      <alignment horizontal="center" vertical="center"/>
    </xf>
    <xf borderId="33" fillId="0" fontId="40" numFmtId="0" xfId="0" applyAlignment="1" applyBorder="1" applyFont="1">
      <alignment horizontal="center" vertical="center"/>
    </xf>
    <xf borderId="30" fillId="0" fontId="40" numFmtId="0" xfId="0" applyAlignment="1" applyBorder="1" applyFont="1">
      <alignment vertical="center"/>
    </xf>
    <xf borderId="33" fillId="11" fontId="40" numFmtId="0" xfId="0" applyAlignment="1" applyBorder="1" applyFont="1">
      <alignment horizontal="center" vertical="center"/>
    </xf>
    <xf borderId="33" fillId="27" fontId="54" numFmtId="0" xfId="0" applyAlignment="1" applyBorder="1" applyFont="1">
      <alignment vertical="center"/>
    </xf>
    <xf borderId="33" fillId="27" fontId="54" numFmtId="49" xfId="0" applyAlignment="1" applyBorder="1" applyFont="1" applyNumberFormat="1">
      <alignment vertical="center"/>
    </xf>
    <xf borderId="33" fillId="18" fontId="40" numFmtId="0" xfId="0" applyAlignment="1" applyBorder="1" applyFont="1">
      <alignment horizontal="center" vertical="center"/>
    </xf>
    <xf borderId="33" fillId="18" fontId="40" numFmtId="0" xfId="0" applyAlignment="1" applyBorder="1" applyFont="1">
      <alignment horizontal="center" vertical="center"/>
    </xf>
    <xf quotePrefix="1" borderId="30" fillId="0" fontId="40" numFmtId="0" xfId="0" applyAlignment="1" applyBorder="1" applyFont="1">
      <alignment vertical="center"/>
    </xf>
    <xf borderId="34" fillId="18" fontId="40" numFmtId="0" xfId="0" applyAlignment="1" applyBorder="1" applyFont="1">
      <alignment horizontal="center" vertical="center"/>
    </xf>
    <xf borderId="34" fillId="18" fontId="40" numFmtId="0" xfId="0" applyAlignment="1" applyBorder="1" applyFont="1">
      <alignment horizontal="center" vertical="center"/>
    </xf>
    <xf borderId="34" fillId="3" fontId="40" numFmtId="49" xfId="0" applyAlignment="1" applyBorder="1" applyFont="1" applyNumberFormat="1">
      <alignment vertical="center"/>
    </xf>
    <xf borderId="26" fillId="0" fontId="40" numFmtId="0" xfId="0" applyAlignment="1" applyBorder="1" applyFont="1">
      <alignment vertical="center"/>
    </xf>
    <xf borderId="803" fillId="118" fontId="280" numFmtId="0" xfId="0" applyAlignment="1" applyBorder="1" applyFill="1" applyFont="1">
      <alignment horizontal="left" readingOrder="0" shrinkToFit="0" vertical="center" wrapText="0"/>
    </xf>
    <xf borderId="803" fillId="118" fontId="281" numFmtId="0" xfId="0" applyAlignment="1" applyBorder="1" applyFont="1">
      <alignment horizontal="center" readingOrder="0" shrinkToFit="0" vertical="center" wrapText="0"/>
    </xf>
    <xf borderId="804" fillId="118" fontId="281" numFmtId="0" xfId="0" applyAlignment="1" applyBorder="1" applyFont="1">
      <alignment horizontal="left" readingOrder="0" shrinkToFit="0" vertical="center" wrapText="0"/>
    </xf>
    <xf borderId="805" fillId="0" fontId="2" numFmtId="0" xfId="0" applyBorder="1" applyFont="1"/>
    <xf borderId="806" fillId="0" fontId="2" numFmtId="0" xfId="0" applyBorder="1" applyFont="1"/>
    <xf borderId="804" fillId="118" fontId="31" numFmtId="0" xfId="0" applyAlignment="1" applyBorder="1" applyFont="1">
      <alignment horizontal="center" readingOrder="0" shrinkToFit="0" vertical="center" wrapText="0"/>
    </xf>
    <xf borderId="804" fillId="118" fontId="31" numFmtId="0" xfId="0" applyAlignment="1" applyBorder="1" applyFont="1">
      <alignment horizontal="left" readingOrder="0" vertical="center"/>
    </xf>
    <xf borderId="803" fillId="118" fontId="282" numFmtId="0" xfId="0" applyAlignment="1" applyBorder="1" applyFont="1">
      <alignment vertical="center"/>
    </xf>
    <xf borderId="803" fillId="118" fontId="280" numFmtId="0" xfId="0" applyAlignment="1" applyBorder="1" applyFont="1">
      <alignment readingOrder="0" shrinkToFit="0" vertical="center" wrapText="0"/>
    </xf>
    <xf borderId="803" fillId="118" fontId="280" numFmtId="49" xfId="0" applyAlignment="1" applyBorder="1" applyFont="1" applyNumberFormat="1">
      <alignment horizontal="left" readingOrder="0" shrinkToFit="0" vertical="center" wrapText="0"/>
    </xf>
    <xf borderId="807" fillId="0" fontId="2" numFmtId="0" xfId="0" applyBorder="1" applyFont="1"/>
    <xf borderId="808" fillId="0" fontId="2" numFmtId="0" xfId="0" applyBorder="1" applyFont="1"/>
    <xf borderId="809" fillId="0" fontId="2" numFmtId="0" xfId="0" applyBorder="1" applyFont="1"/>
    <xf borderId="810" fillId="0" fontId="2" numFmtId="0" xfId="0" applyBorder="1" applyFont="1"/>
    <xf borderId="811" fillId="0" fontId="2" numFmtId="0" xfId="0" applyBorder="1" applyFont="1"/>
    <xf borderId="803" fillId="118" fontId="31" numFmtId="0" xfId="0" applyAlignment="1" applyBorder="1" applyFont="1">
      <alignment horizontal="center" readingOrder="0" shrinkToFit="0" vertical="center" wrapText="0"/>
    </xf>
    <xf borderId="803" fillId="118" fontId="31" numFmtId="0" xfId="0" applyAlignment="1" applyBorder="1" applyFont="1">
      <alignment horizontal="left" readingOrder="0" vertical="center"/>
    </xf>
    <xf borderId="803" fillId="118" fontId="282" numFmtId="0" xfId="0" applyBorder="1" applyFont="1"/>
    <xf borderId="812" fillId="118" fontId="33" numFmtId="0" xfId="0" applyAlignment="1" applyBorder="1" applyFont="1">
      <alignment horizontal="center" vertical="bottom"/>
    </xf>
    <xf borderId="813" fillId="0" fontId="2" numFmtId="0" xfId="0" applyBorder="1" applyFont="1"/>
    <xf borderId="803" fillId="118" fontId="33" numFmtId="0" xfId="0" applyBorder="1" applyFont="1"/>
    <xf borderId="803" fillId="118" fontId="34" numFmtId="0" xfId="0" applyAlignment="1" applyBorder="1" applyFont="1">
      <alignment readingOrder="0" shrinkToFit="0" vertical="center" wrapText="0"/>
    </xf>
    <xf borderId="803" fillId="118" fontId="33" numFmtId="0" xfId="0" applyAlignment="1" applyBorder="1" applyFont="1">
      <alignment vertical="center"/>
    </xf>
    <xf borderId="812" fillId="118" fontId="35" numFmtId="0" xfId="0" applyAlignment="1" applyBorder="1" applyFont="1">
      <alignment horizontal="center" readingOrder="0" vertical="bottom"/>
    </xf>
    <xf borderId="803" fillId="118" fontId="33" numFmtId="0" xfId="0" applyAlignment="1" applyBorder="1" applyFont="1">
      <alignment vertical="center"/>
    </xf>
    <xf borderId="804" fillId="118" fontId="36" numFmtId="164" xfId="0" applyAlignment="1" applyBorder="1" applyFont="1" applyNumberFormat="1">
      <alignment horizontal="center" readingOrder="0" vertical="center"/>
    </xf>
    <xf borderId="812" fillId="118" fontId="282" numFmtId="0" xfId="0" applyAlignment="1" applyBorder="1" applyFont="1">
      <alignment horizontal="center"/>
    </xf>
    <xf borderId="804" fillId="118" fontId="281" numFmtId="0" xfId="0" applyAlignment="1" applyBorder="1" applyFont="1">
      <alignment horizontal="center" readingOrder="0" shrinkToFit="0" vertical="center" wrapText="0"/>
    </xf>
    <xf borderId="803" fillId="118" fontId="282" numFmtId="0" xfId="0" applyAlignment="1" applyBorder="1" applyFont="1">
      <alignment horizontal="center"/>
    </xf>
    <xf borderId="29" fillId="4" fontId="41" numFmtId="49" xfId="0" applyAlignment="1" applyBorder="1" applyFont="1" applyNumberFormat="1">
      <alignment horizontal="center" readingOrder="0" shrinkToFit="0" vertical="center" wrapText="0"/>
    </xf>
    <xf borderId="33" fillId="4" fontId="41" numFmtId="0" xfId="0" applyAlignment="1" applyBorder="1" applyFont="1">
      <alignment horizontal="center" readingOrder="0" shrinkToFit="0" vertical="center" wrapText="0"/>
    </xf>
    <xf borderId="33" fillId="4" fontId="41" numFmtId="49" xfId="0" applyAlignment="1" applyBorder="1" applyFont="1" applyNumberFormat="1">
      <alignment horizontal="center" readingOrder="0" shrinkToFit="0" vertical="center" wrapText="0"/>
    </xf>
    <xf borderId="33" fillId="4" fontId="41" numFmtId="49" xfId="0" applyAlignment="1" applyBorder="1" applyFont="1" applyNumberFormat="1">
      <alignment horizontal="center" shrinkToFit="0" vertical="center" wrapText="0"/>
    </xf>
    <xf borderId="814" fillId="119" fontId="283" numFmtId="0" xfId="0" applyAlignment="1" applyBorder="1" applyFill="1" applyFont="1">
      <alignment horizontal="left" readingOrder="0" shrinkToFit="0" vertical="center" wrapText="0"/>
    </xf>
    <xf borderId="814" fillId="119" fontId="284" numFmtId="0" xfId="0" applyAlignment="1" applyBorder="1" applyFont="1">
      <alignment horizontal="center" readingOrder="0" shrinkToFit="0" vertical="center" wrapText="0"/>
    </xf>
    <xf borderId="815" fillId="119" fontId="284" numFmtId="0" xfId="0" applyAlignment="1" applyBorder="1" applyFont="1">
      <alignment horizontal="left" readingOrder="0" shrinkToFit="0" vertical="center" wrapText="0"/>
    </xf>
    <xf borderId="816" fillId="0" fontId="2" numFmtId="0" xfId="0" applyBorder="1" applyFont="1"/>
    <xf borderId="817" fillId="0" fontId="2" numFmtId="0" xfId="0" applyBorder="1" applyFont="1"/>
    <xf borderId="815" fillId="119" fontId="57" numFmtId="0" xfId="0" applyAlignment="1" applyBorder="1" applyFont="1">
      <alignment horizontal="center" readingOrder="0" shrinkToFit="0" vertical="center" wrapText="0"/>
    </xf>
    <xf borderId="815" fillId="119" fontId="57" numFmtId="0" xfId="0" applyAlignment="1" applyBorder="1" applyFont="1">
      <alignment horizontal="left" readingOrder="0" vertical="center"/>
    </xf>
    <xf borderId="814" fillId="119" fontId="285" numFmtId="0" xfId="0" applyAlignment="1" applyBorder="1" applyFont="1">
      <alignment vertical="center"/>
    </xf>
    <xf borderId="814" fillId="119" fontId="283" numFmtId="0" xfId="0" applyAlignment="1" applyBorder="1" applyFont="1">
      <alignment readingOrder="0" shrinkToFit="0" vertical="center" wrapText="0"/>
    </xf>
    <xf borderId="814" fillId="119" fontId="283" numFmtId="49" xfId="0" applyAlignment="1" applyBorder="1" applyFont="1" applyNumberFormat="1">
      <alignment horizontal="left" readingOrder="0" shrinkToFit="0" vertical="center" wrapText="0"/>
    </xf>
    <xf borderId="818" fillId="0" fontId="2" numFmtId="0" xfId="0" applyBorder="1" applyFont="1"/>
    <xf borderId="819" fillId="0" fontId="2" numFmtId="0" xfId="0" applyBorder="1" applyFont="1"/>
    <xf borderId="820" fillId="0" fontId="2" numFmtId="0" xfId="0" applyBorder="1" applyFont="1"/>
    <xf borderId="821" fillId="0" fontId="2" numFmtId="0" xfId="0" applyBorder="1" applyFont="1"/>
    <xf borderId="822" fillId="0" fontId="2" numFmtId="0" xfId="0" applyBorder="1" applyFont="1"/>
    <xf borderId="814" fillId="119" fontId="57" numFmtId="0" xfId="0" applyAlignment="1" applyBorder="1" applyFont="1">
      <alignment horizontal="center" readingOrder="0" shrinkToFit="0" vertical="center" wrapText="0"/>
    </xf>
    <xf borderId="814" fillId="119" fontId="57" numFmtId="0" xfId="0" applyAlignment="1" applyBorder="1" applyFont="1">
      <alignment horizontal="left" readingOrder="0" vertical="center"/>
    </xf>
    <xf borderId="814" fillId="119" fontId="285" numFmtId="0" xfId="0" applyBorder="1" applyFont="1"/>
    <xf borderId="823" fillId="119" fontId="59" numFmtId="0" xfId="0" applyAlignment="1" applyBorder="1" applyFont="1">
      <alignment horizontal="center" vertical="bottom"/>
    </xf>
    <xf borderId="824" fillId="0" fontId="2" numFmtId="0" xfId="0" applyBorder="1" applyFont="1"/>
    <xf borderId="814" fillId="119" fontId="59" numFmtId="0" xfId="0" applyBorder="1" applyFont="1"/>
    <xf borderId="814" fillId="119" fontId="60" numFmtId="0" xfId="0" applyAlignment="1" applyBorder="1" applyFont="1">
      <alignment readingOrder="0" shrinkToFit="0" vertical="center" wrapText="0"/>
    </xf>
    <xf borderId="814" fillId="119" fontId="59" numFmtId="0" xfId="0" applyAlignment="1" applyBorder="1" applyFont="1">
      <alignment vertical="center"/>
    </xf>
    <xf borderId="823" fillId="119" fontId="61" numFmtId="0" xfId="0" applyAlignment="1" applyBorder="1" applyFont="1">
      <alignment horizontal="center" readingOrder="0" vertical="bottom"/>
    </xf>
    <xf borderId="814" fillId="119" fontId="59" numFmtId="0" xfId="0" applyAlignment="1" applyBorder="1" applyFont="1">
      <alignment vertical="center"/>
    </xf>
    <xf borderId="815" fillId="119" fontId="62" numFmtId="164" xfId="0" applyAlignment="1" applyBorder="1" applyFont="1" applyNumberFormat="1">
      <alignment horizontal="center" readingOrder="0" vertical="center"/>
    </xf>
    <xf borderId="823" fillId="119" fontId="285" numFmtId="0" xfId="0" applyAlignment="1" applyBorder="1" applyFont="1">
      <alignment horizontal="center"/>
    </xf>
    <xf borderId="815" fillId="119" fontId="284" numFmtId="0" xfId="0" applyAlignment="1" applyBorder="1" applyFont="1">
      <alignment horizontal="center" readingOrder="0" shrinkToFit="0" vertical="center" wrapText="0"/>
    </xf>
    <xf borderId="814" fillId="119" fontId="285" numFmtId="0" xfId="0" applyAlignment="1" applyBorder="1" applyFont="1">
      <alignment horizontal="center"/>
    </xf>
    <xf borderId="33" fillId="0" fontId="17" numFmtId="0" xfId="0" applyAlignment="1" applyBorder="1" applyFont="1">
      <alignment horizontal="center" readingOrder="0" shrinkToFit="0" vertical="center" wrapText="0"/>
    </xf>
    <xf borderId="29" fillId="27" fontId="41" numFmtId="0" xfId="0" applyAlignment="1" applyBorder="1" applyFont="1">
      <alignment horizontal="center" readingOrder="0" shrinkToFit="0" vertical="center" wrapText="0"/>
    </xf>
    <xf borderId="33" fillId="11" fontId="41" numFmtId="169" xfId="0" applyAlignment="1" applyBorder="1" applyFont="1" applyNumberFormat="1">
      <alignment horizontal="center" readingOrder="0" shrinkToFit="0" vertical="center" wrapText="0"/>
    </xf>
    <xf borderId="34" fillId="27" fontId="41" numFmtId="0" xfId="0" applyAlignment="1" applyBorder="1" applyFont="1">
      <alignment horizontal="center" shrinkToFit="0" vertical="center" wrapText="0"/>
    </xf>
    <xf borderId="36" fillId="27" fontId="41" numFmtId="49" xfId="0" applyAlignment="1" applyBorder="1" applyFont="1" applyNumberFormat="1">
      <alignment horizontal="center" readingOrder="0" shrinkToFit="0" vertical="center" wrapText="0"/>
    </xf>
    <xf borderId="825" fillId="120" fontId="286" numFmtId="0" xfId="0" applyAlignment="1" applyBorder="1" applyFill="1" applyFont="1">
      <alignment horizontal="left" readingOrder="0" shrinkToFit="0" vertical="center" wrapText="0"/>
    </xf>
    <xf borderId="825" fillId="120" fontId="287" numFmtId="0" xfId="0" applyAlignment="1" applyBorder="1" applyFont="1">
      <alignment horizontal="center" readingOrder="0" shrinkToFit="0" vertical="center" wrapText="0"/>
    </xf>
    <xf borderId="826" fillId="120" fontId="287" numFmtId="0" xfId="0" applyAlignment="1" applyBorder="1" applyFont="1">
      <alignment horizontal="left" readingOrder="0" shrinkToFit="0" vertical="center" wrapText="0"/>
    </xf>
    <xf borderId="827" fillId="0" fontId="2" numFmtId="0" xfId="0" applyBorder="1" applyFont="1"/>
    <xf borderId="828" fillId="0" fontId="2" numFmtId="0" xfId="0" applyBorder="1" applyFont="1"/>
    <xf borderId="826" fillId="120" fontId="57" numFmtId="0" xfId="0" applyAlignment="1" applyBorder="1" applyFont="1">
      <alignment horizontal="center" readingOrder="0" shrinkToFit="0" vertical="center" wrapText="0"/>
    </xf>
    <xf borderId="826" fillId="120" fontId="57" numFmtId="0" xfId="0" applyAlignment="1" applyBorder="1" applyFont="1">
      <alignment horizontal="left" readingOrder="0" vertical="center"/>
    </xf>
    <xf borderId="825" fillId="120" fontId="288" numFmtId="0" xfId="0" applyAlignment="1" applyBorder="1" applyFont="1">
      <alignment vertical="center"/>
    </xf>
    <xf borderId="825" fillId="120" fontId="286" numFmtId="0" xfId="0" applyAlignment="1" applyBorder="1" applyFont="1">
      <alignment readingOrder="0" shrinkToFit="0" vertical="center" wrapText="0"/>
    </xf>
    <xf borderId="825" fillId="120" fontId="286" numFmtId="49" xfId="0" applyAlignment="1" applyBorder="1" applyFont="1" applyNumberFormat="1">
      <alignment horizontal="left" readingOrder="0" shrinkToFit="0" vertical="center" wrapText="0"/>
    </xf>
    <xf borderId="829" fillId="0" fontId="2" numFmtId="0" xfId="0" applyBorder="1" applyFont="1"/>
    <xf borderId="830" fillId="0" fontId="2" numFmtId="0" xfId="0" applyBorder="1" applyFont="1"/>
    <xf borderId="831" fillId="0" fontId="2" numFmtId="0" xfId="0" applyBorder="1" applyFont="1"/>
    <xf borderId="832" fillId="0" fontId="2" numFmtId="0" xfId="0" applyBorder="1" applyFont="1"/>
    <xf borderId="833" fillId="0" fontId="2" numFmtId="0" xfId="0" applyBorder="1" applyFont="1"/>
    <xf borderId="825" fillId="120" fontId="57" numFmtId="0" xfId="0" applyAlignment="1" applyBorder="1" applyFont="1">
      <alignment horizontal="center" readingOrder="0" shrinkToFit="0" vertical="center" wrapText="0"/>
    </xf>
    <xf borderId="825" fillId="120" fontId="57" numFmtId="0" xfId="0" applyAlignment="1" applyBorder="1" applyFont="1">
      <alignment horizontal="left" readingOrder="0" vertical="center"/>
    </xf>
    <xf borderId="825" fillId="120" fontId="288" numFmtId="0" xfId="0" applyBorder="1" applyFont="1"/>
    <xf borderId="834" fillId="120" fontId="59" numFmtId="0" xfId="0" applyAlignment="1" applyBorder="1" applyFont="1">
      <alignment horizontal="center" vertical="bottom"/>
    </xf>
    <xf borderId="835" fillId="0" fontId="2" numFmtId="0" xfId="0" applyBorder="1" applyFont="1"/>
    <xf borderId="825" fillId="120" fontId="59" numFmtId="0" xfId="0" applyBorder="1" applyFont="1"/>
    <xf borderId="825" fillId="120" fontId="60" numFmtId="0" xfId="0" applyAlignment="1" applyBorder="1" applyFont="1">
      <alignment readingOrder="0" shrinkToFit="0" vertical="center" wrapText="0"/>
    </xf>
    <xf borderId="825" fillId="120" fontId="59" numFmtId="0" xfId="0" applyAlignment="1" applyBorder="1" applyFont="1">
      <alignment vertical="center"/>
    </xf>
    <xf borderId="834" fillId="120" fontId="61" numFmtId="0" xfId="0" applyAlignment="1" applyBorder="1" applyFont="1">
      <alignment horizontal="center" readingOrder="0" vertical="bottom"/>
    </xf>
    <xf borderId="825" fillId="120" fontId="59" numFmtId="0" xfId="0" applyAlignment="1" applyBorder="1" applyFont="1">
      <alignment vertical="center"/>
    </xf>
    <xf borderId="826" fillId="120" fontId="62" numFmtId="164" xfId="0" applyAlignment="1" applyBorder="1" applyFont="1" applyNumberFormat="1">
      <alignment horizontal="center" readingOrder="0" vertical="center"/>
    </xf>
    <xf borderId="834" fillId="120" fontId="288" numFmtId="0" xfId="0" applyAlignment="1" applyBorder="1" applyFont="1">
      <alignment horizontal="center"/>
    </xf>
    <xf borderId="826" fillId="120" fontId="287" numFmtId="0" xfId="0" applyAlignment="1" applyBorder="1" applyFont="1">
      <alignment horizontal="center" readingOrder="0" shrinkToFit="0" vertical="center" wrapText="0"/>
    </xf>
    <xf borderId="825" fillId="120" fontId="288" numFmtId="0" xfId="0" applyAlignment="1" applyBorder="1" applyFont="1">
      <alignment horizontal="center"/>
    </xf>
    <xf borderId="836" fillId="121" fontId="289" numFmtId="0" xfId="0" applyAlignment="1" applyBorder="1" applyFill="1" applyFont="1">
      <alignment horizontal="left" readingOrder="0" shrinkToFit="0" vertical="center" wrapText="0"/>
    </xf>
    <xf borderId="836" fillId="121" fontId="290" numFmtId="0" xfId="0" applyAlignment="1" applyBorder="1" applyFont="1">
      <alignment horizontal="center" readingOrder="0" shrinkToFit="0" vertical="center" wrapText="0"/>
    </xf>
    <xf borderId="837" fillId="121" fontId="290" numFmtId="0" xfId="0" applyAlignment="1" applyBorder="1" applyFont="1">
      <alignment horizontal="left" readingOrder="0" shrinkToFit="0" vertical="center" wrapText="0"/>
    </xf>
    <xf borderId="838" fillId="0" fontId="2" numFmtId="0" xfId="0" applyBorder="1" applyFont="1"/>
    <xf borderId="839" fillId="0" fontId="2" numFmtId="0" xfId="0" applyBorder="1" applyFont="1"/>
    <xf borderId="837" fillId="121" fontId="57" numFmtId="0" xfId="0" applyAlignment="1" applyBorder="1" applyFont="1">
      <alignment horizontal="center" readingOrder="0" shrinkToFit="0" vertical="center" wrapText="0"/>
    </xf>
    <xf borderId="837" fillId="121" fontId="57" numFmtId="0" xfId="0" applyAlignment="1" applyBorder="1" applyFont="1">
      <alignment horizontal="left" readingOrder="0" vertical="center"/>
    </xf>
    <xf borderId="836" fillId="121" fontId="291" numFmtId="0" xfId="0" applyAlignment="1" applyBorder="1" applyFont="1">
      <alignment vertical="center"/>
    </xf>
    <xf borderId="836" fillId="121" fontId="289" numFmtId="0" xfId="0" applyAlignment="1" applyBorder="1" applyFont="1">
      <alignment readingOrder="0" shrinkToFit="0" vertical="center" wrapText="0"/>
    </xf>
    <xf borderId="836" fillId="121" fontId="289" numFmtId="49" xfId="0" applyAlignment="1" applyBorder="1" applyFont="1" applyNumberFormat="1">
      <alignment horizontal="left" readingOrder="0" shrinkToFit="0" vertical="center" wrapText="0"/>
    </xf>
    <xf borderId="840" fillId="0" fontId="2" numFmtId="0" xfId="0" applyBorder="1" applyFont="1"/>
    <xf borderId="841" fillId="0" fontId="2" numFmtId="0" xfId="0" applyBorder="1" applyFont="1"/>
    <xf borderId="842" fillId="0" fontId="2" numFmtId="0" xfId="0" applyBorder="1" applyFont="1"/>
    <xf borderId="843" fillId="0" fontId="2" numFmtId="0" xfId="0" applyBorder="1" applyFont="1"/>
    <xf borderId="844" fillId="0" fontId="2" numFmtId="0" xfId="0" applyBorder="1" applyFont="1"/>
    <xf borderId="836" fillId="121" fontId="57" numFmtId="0" xfId="0" applyAlignment="1" applyBorder="1" applyFont="1">
      <alignment horizontal="center" readingOrder="0" shrinkToFit="0" vertical="center" wrapText="0"/>
    </xf>
    <xf borderId="836" fillId="121" fontId="57" numFmtId="0" xfId="0" applyAlignment="1" applyBorder="1" applyFont="1">
      <alignment horizontal="left" readingOrder="0" vertical="center"/>
    </xf>
    <xf borderId="836" fillId="121" fontId="291" numFmtId="0" xfId="0" applyBorder="1" applyFont="1"/>
    <xf borderId="845" fillId="121" fontId="59" numFmtId="0" xfId="0" applyAlignment="1" applyBorder="1" applyFont="1">
      <alignment horizontal="center" vertical="bottom"/>
    </xf>
    <xf borderId="846" fillId="0" fontId="2" numFmtId="0" xfId="0" applyBorder="1" applyFont="1"/>
    <xf borderId="836" fillId="121" fontId="59" numFmtId="0" xfId="0" applyBorder="1" applyFont="1"/>
    <xf borderId="836" fillId="121" fontId="60" numFmtId="0" xfId="0" applyAlignment="1" applyBorder="1" applyFont="1">
      <alignment readingOrder="0" shrinkToFit="0" vertical="center" wrapText="0"/>
    </xf>
    <xf borderId="836" fillId="121" fontId="59" numFmtId="0" xfId="0" applyAlignment="1" applyBorder="1" applyFont="1">
      <alignment vertical="center"/>
    </xf>
    <xf borderId="845" fillId="121" fontId="61" numFmtId="0" xfId="0" applyAlignment="1" applyBorder="1" applyFont="1">
      <alignment horizontal="center" readingOrder="0" vertical="bottom"/>
    </xf>
    <xf borderId="836" fillId="121" fontId="59" numFmtId="0" xfId="0" applyAlignment="1" applyBorder="1" applyFont="1">
      <alignment vertical="center"/>
    </xf>
    <xf borderId="837" fillId="121" fontId="62" numFmtId="164" xfId="0" applyAlignment="1" applyBorder="1" applyFont="1" applyNumberFormat="1">
      <alignment horizontal="center" readingOrder="0" vertical="center"/>
    </xf>
    <xf borderId="845" fillId="121" fontId="291" numFmtId="0" xfId="0" applyAlignment="1" applyBorder="1" applyFont="1">
      <alignment horizontal="center"/>
    </xf>
    <xf borderId="837" fillId="121" fontId="290" numFmtId="0" xfId="0" applyAlignment="1" applyBorder="1" applyFont="1">
      <alignment horizontal="center" readingOrder="0" shrinkToFit="0" vertical="center" wrapText="0"/>
    </xf>
    <xf borderId="836" fillId="121" fontId="291" numFmtId="0" xfId="0" applyAlignment="1" applyBorder="1" applyFont="1">
      <alignment horizontal="center"/>
    </xf>
    <xf borderId="847" fillId="122" fontId="292" numFmtId="0" xfId="0" applyAlignment="1" applyBorder="1" applyFill="1" applyFont="1">
      <alignment horizontal="left" readingOrder="0" shrinkToFit="0" vertical="center" wrapText="0"/>
    </xf>
    <xf borderId="847" fillId="122" fontId="293" numFmtId="0" xfId="0" applyAlignment="1" applyBorder="1" applyFont="1">
      <alignment horizontal="center" readingOrder="0" shrinkToFit="0" vertical="center" wrapText="0"/>
    </xf>
    <xf borderId="848" fillId="122" fontId="293" numFmtId="0" xfId="0" applyAlignment="1" applyBorder="1" applyFont="1">
      <alignment horizontal="left" readingOrder="0" shrinkToFit="0" vertical="center" wrapText="0"/>
    </xf>
    <xf borderId="849" fillId="0" fontId="2" numFmtId="0" xfId="0" applyBorder="1" applyFont="1"/>
    <xf borderId="850" fillId="0" fontId="2" numFmtId="0" xfId="0" applyBorder="1" applyFont="1"/>
    <xf borderId="848" fillId="122" fontId="57" numFmtId="0" xfId="0" applyAlignment="1" applyBorder="1" applyFont="1">
      <alignment horizontal="center" readingOrder="0" shrinkToFit="0" vertical="center" wrapText="0"/>
    </xf>
    <xf borderId="848" fillId="122" fontId="57" numFmtId="0" xfId="0" applyAlignment="1" applyBorder="1" applyFont="1">
      <alignment horizontal="left" readingOrder="0" vertical="center"/>
    </xf>
    <xf borderId="847" fillId="122" fontId="294" numFmtId="0" xfId="0" applyAlignment="1" applyBorder="1" applyFont="1">
      <alignment vertical="center"/>
    </xf>
    <xf borderId="847" fillId="122" fontId="292" numFmtId="0" xfId="0" applyAlignment="1" applyBorder="1" applyFont="1">
      <alignment readingOrder="0" shrinkToFit="0" vertical="center" wrapText="0"/>
    </xf>
    <xf borderId="847" fillId="122" fontId="292" numFmtId="49" xfId="0" applyAlignment="1" applyBorder="1" applyFont="1" applyNumberFormat="1">
      <alignment horizontal="left" readingOrder="0" shrinkToFit="0" vertical="center" wrapText="0"/>
    </xf>
    <xf borderId="851" fillId="0" fontId="2" numFmtId="0" xfId="0" applyBorder="1" applyFont="1"/>
    <xf borderId="852" fillId="0" fontId="2" numFmtId="0" xfId="0" applyBorder="1" applyFont="1"/>
    <xf borderId="853" fillId="0" fontId="2" numFmtId="0" xfId="0" applyBorder="1" applyFont="1"/>
    <xf borderId="854" fillId="0" fontId="2" numFmtId="0" xfId="0" applyBorder="1" applyFont="1"/>
    <xf borderId="855" fillId="0" fontId="2" numFmtId="0" xfId="0" applyBorder="1" applyFont="1"/>
    <xf borderId="847" fillId="122" fontId="57" numFmtId="0" xfId="0" applyAlignment="1" applyBorder="1" applyFont="1">
      <alignment horizontal="center" readingOrder="0" shrinkToFit="0" vertical="center" wrapText="0"/>
    </xf>
    <xf borderId="847" fillId="122" fontId="57" numFmtId="0" xfId="0" applyAlignment="1" applyBorder="1" applyFont="1">
      <alignment horizontal="left" readingOrder="0" vertical="center"/>
    </xf>
    <xf borderId="847" fillId="122" fontId="294" numFmtId="0" xfId="0" applyBorder="1" applyFont="1"/>
    <xf borderId="856" fillId="122" fontId="59" numFmtId="0" xfId="0" applyAlignment="1" applyBorder="1" applyFont="1">
      <alignment horizontal="center" vertical="bottom"/>
    </xf>
    <xf borderId="857" fillId="0" fontId="2" numFmtId="0" xfId="0" applyBorder="1" applyFont="1"/>
    <xf borderId="847" fillId="122" fontId="59" numFmtId="0" xfId="0" applyBorder="1" applyFont="1"/>
    <xf borderId="847" fillId="122" fontId="60" numFmtId="0" xfId="0" applyAlignment="1" applyBorder="1" applyFont="1">
      <alignment readingOrder="0" shrinkToFit="0" vertical="center" wrapText="0"/>
    </xf>
    <xf borderId="847" fillId="122" fontId="59" numFmtId="0" xfId="0" applyAlignment="1" applyBorder="1" applyFont="1">
      <alignment vertical="center"/>
    </xf>
    <xf borderId="856" fillId="122" fontId="61" numFmtId="0" xfId="0" applyAlignment="1" applyBorder="1" applyFont="1">
      <alignment horizontal="center" readingOrder="0" vertical="bottom"/>
    </xf>
    <xf borderId="847" fillId="122" fontId="59" numFmtId="0" xfId="0" applyAlignment="1" applyBorder="1" applyFont="1">
      <alignment vertical="center"/>
    </xf>
    <xf borderId="848" fillId="122" fontId="62" numFmtId="164" xfId="0" applyAlignment="1" applyBorder="1" applyFont="1" applyNumberFormat="1">
      <alignment horizontal="center" readingOrder="0" vertical="center"/>
    </xf>
    <xf borderId="856" fillId="122" fontId="294" numFmtId="0" xfId="0" applyAlignment="1" applyBorder="1" applyFont="1">
      <alignment horizontal="center"/>
    </xf>
    <xf borderId="848" fillId="122" fontId="293" numFmtId="0" xfId="0" applyAlignment="1" applyBorder="1" applyFont="1">
      <alignment horizontal="center" readingOrder="0" shrinkToFit="0" vertical="center" wrapText="0"/>
    </xf>
    <xf borderId="847" fillId="122" fontId="294" numFmtId="0" xfId="0" applyAlignment="1" applyBorder="1" applyFont="1">
      <alignment horizontal="center"/>
    </xf>
    <xf borderId="33" fillId="27" fontId="40" numFmtId="49" xfId="0" applyAlignment="1" applyBorder="1" applyFont="1" applyNumberFormat="1">
      <alignment horizontal="center"/>
    </xf>
    <xf borderId="0" fillId="27" fontId="40" numFmtId="49" xfId="0" applyAlignment="1" applyFont="1" applyNumberFormat="1">
      <alignment horizontal="center"/>
    </xf>
    <xf borderId="858" fillId="123" fontId="295" numFmtId="0" xfId="0" applyAlignment="1" applyBorder="1" applyFill="1" applyFont="1">
      <alignment horizontal="left" readingOrder="0" shrinkToFit="0" vertical="center" wrapText="0"/>
    </xf>
    <xf borderId="858" fillId="123" fontId="296" numFmtId="0" xfId="0" applyAlignment="1" applyBorder="1" applyFont="1">
      <alignment horizontal="center" readingOrder="0" shrinkToFit="0" vertical="center" wrapText="0"/>
    </xf>
    <xf borderId="859" fillId="123" fontId="296" numFmtId="0" xfId="0" applyAlignment="1" applyBorder="1" applyFont="1">
      <alignment horizontal="left" readingOrder="0" shrinkToFit="0" vertical="center" wrapText="0"/>
    </xf>
    <xf borderId="860" fillId="0" fontId="2" numFmtId="0" xfId="0" applyBorder="1" applyFont="1"/>
    <xf borderId="861" fillId="0" fontId="2" numFmtId="0" xfId="0" applyBorder="1" applyFont="1"/>
    <xf borderId="859" fillId="123" fontId="82" numFmtId="0" xfId="0" applyAlignment="1" applyBorder="1" applyFont="1">
      <alignment horizontal="center" readingOrder="0" shrinkToFit="0" vertical="center" wrapText="0"/>
    </xf>
    <xf borderId="859" fillId="123" fontId="82" numFmtId="0" xfId="0" applyAlignment="1" applyBorder="1" applyFont="1">
      <alignment horizontal="left" readingOrder="0" vertical="center"/>
    </xf>
    <xf borderId="858" fillId="123" fontId="297" numFmtId="0" xfId="0" applyAlignment="1" applyBorder="1" applyFont="1">
      <alignment vertical="center"/>
    </xf>
    <xf borderId="858" fillId="123" fontId="295" numFmtId="0" xfId="0" applyAlignment="1" applyBorder="1" applyFont="1">
      <alignment readingOrder="0" shrinkToFit="0" vertical="center" wrapText="0"/>
    </xf>
    <xf borderId="858" fillId="123" fontId="295" numFmtId="49" xfId="0" applyAlignment="1" applyBorder="1" applyFont="1" applyNumberFormat="1">
      <alignment horizontal="left" readingOrder="0" shrinkToFit="0" vertical="center" wrapText="0"/>
    </xf>
    <xf borderId="862" fillId="0" fontId="2" numFmtId="0" xfId="0" applyBorder="1" applyFont="1"/>
    <xf borderId="863" fillId="0" fontId="2" numFmtId="0" xfId="0" applyBorder="1" applyFont="1"/>
    <xf borderId="864" fillId="0" fontId="2" numFmtId="0" xfId="0" applyBorder="1" applyFont="1"/>
    <xf borderId="865" fillId="0" fontId="2" numFmtId="0" xfId="0" applyBorder="1" applyFont="1"/>
    <xf borderId="866" fillId="0" fontId="2" numFmtId="0" xfId="0" applyBorder="1" applyFont="1"/>
    <xf borderId="858" fillId="123" fontId="82" numFmtId="0" xfId="0" applyAlignment="1" applyBorder="1" applyFont="1">
      <alignment horizontal="center" readingOrder="0" shrinkToFit="0" vertical="center" wrapText="0"/>
    </xf>
    <xf borderId="858" fillId="123" fontId="82" numFmtId="0" xfId="0" applyAlignment="1" applyBorder="1" applyFont="1">
      <alignment horizontal="left" readingOrder="0" vertical="center"/>
    </xf>
    <xf borderId="858" fillId="123" fontId="297" numFmtId="0" xfId="0" applyBorder="1" applyFont="1"/>
    <xf borderId="867" fillId="123" fontId="84" numFmtId="0" xfId="0" applyAlignment="1" applyBorder="1" applyFont="1">
      <alignment horizontal="center" vertical="bottom"/>
    </xf>
    <xf borderId="868" fillId="0" fontId="2" numFmtId="0" xfId="0" applyBorder="1" applyFont="1"/>
    <xf borderId="858" fillId="123" fontId="84" numFmtId="0" xfId="0" applyBorder="1" applyFont="1"/>
    <xf borderId="858" fillId="123" fontId="85" numFmtId="0" xfId="0" applyAlignment="1" applyBorder="1" applyFont="1">
      <alignment readingOrder="0" shrinkToFit="0" vertical="center" wrapText="0"/>
    </xf>
    <xf borderId="858" fillId="123" fontId="84" numFmtId="0" xfId="0" applyAlignment="1" applyBorder="1" applyFont="1">
      <alignment vertical="center"/>
    </xf>
    <xf borderId="867" fillId="123" fontId="86" numFmtId="0" xfId="0" applyAlignment="1" applyBorder="1" applyFont="1">
      <alignment horizontal="center" readingOrder="0" vertical="bottom"/>
    </xf>
    <xf borderId="858" fillId="123" fontId="84" numFmtId="0" xfId="0" applyAlignment="1" applyBorder="1" applyFont="1">
      <alignment vertical="center"/>
    </xf>
    <xf borderId="859" fillId="123" fontId="87" numFmtId="164" xfId="0" applyAlignment="1" applyBorder="1" applyFont="1" applyNumberFormat="1">
      <alignment horizontal="center" readingOrder="0" vertical="center"/>
    </xf>
    <xf borderId="867" fillId="123" fontId="297" numFmtId="0" xfId="0" applyAlignment="1" applyBorder="1" applyFont="1">
      <alignment horizontal="center"/>
    </xf>
    <xf borderId="859" fillId="123" fontId="296" numFmtId="0" xfId="0" applyAlignment="1" applyBorder="1" applyFont="1">
      <alignment horizontal="center" readingOrder="0" shrinkToFit="0" vertical="center" wrapText="0"/>
    </xf>
    <xf borderId="858" fillId="123" fontId="297" numFmtId="0" xfId="0" applyAlignment="1" applyBorder="1" applyFont="1">
      <alignment horizontal="center"/>
    </xf>
    <xf borderId="869" fillId="124" fontId="298" numFmtId="0" xfId="0" applyAlignment="1" applyBorder="1" applyFill="1" applyFont="1">
      <alignment horizontal="left" readingOrder="0" shrinkToFit="0" vertical="center" wrapText="0"/>
    </xf>
    <xf borderId="869" fillId="124" fontId="299" numFmtId="0" xfId="0" applyAlignment="1" applyBorder="1" applyFont="1">
      <alignment horizontal="center" readingOrder="0" shrinkToFit="0" vertical="center" wrapText="0"/>
    </xf>
    <xf borderId="870" fillId="124" fontId="299" numFmtId="0" xfId="0" applyAlignment="1" applyBorder="1" applyFont="1">
      <alignment horizontal="left" readingOrder="0" shrinkToFit="0" vertical="center" wrapText="0"/>
    </xf>
    <xf borderId="871" fillId="0" fontId="2" numFmtId="0" xfId="0" applyBorder="1" applyFont="1"/>
    <xf borderId="872" fillId="0" fontId="2" numFmtId="0" xfId="0" applyBorder="1" applyFont="1"/>
    <xf borderId="870" fillId="124" fontId="57" numFmtId="0" xfId="0" applyAlignment="1" applyBorder="1" applyFont="1">
      <alignment horizontal="center" readingOrder="0" shrinkToFit="0" vertical="center" wrapText="0"/>
    </xf>
    <xf borderId="870" fillId="124" fontId="57" numFmtId="0" xfId="0" applyAlignment="1" applyBorder="1" applyFont="1">
      <alignment horizontal="left" readingOrder="0" vertical="center"/>
    </xf>
    <xf borderId="869" fillId="124" fontId="300" numFmtId="0" xfId="0" applyAlignment="1" applyBorder="1" applyFont="1">
      <alignment vertical="center"/>
    </xf>
    <xf borderId="869" fillId="124" fontId="298" numFmtId="0" xfId="0" applyAlignment="1" applyBorder="1" applyFont="1">
      <alignment readingOrder="0" shrinkToFit="0" vertical="center" wrapText="0"/>
    </xf>
    <xf borderId="869" fillId="124" fontId="298" numFmtId="49" xfId="0" applyAlignment="1" applyBorder="1" applyFont="1" applyNumberFormat="1">
      <alignment horizontal="left" readingOrder="0" shrinkToFit="0" vertical="center" wrapText="0"/>
    </xf>
    <xf borderId="873" fillId="0" fontId="2" numFmtId="0" xfId="0" applyBorder="1" applyFont="1"/>
    <xf borderId="874" fillId="0" fontId="2" numFmtId="0" xfId="0" applyBorder="1" applyFont="1"/>
    <xf borderId="875" fillId="0" fontId="2" numFmtId="0" xfId="0" applyBorder="1" applyFont="1"/>
    <xf borderId="876" fillId="0" fontId="2" numFmtId="0" xfId="0" applyBorder="1" applyFont="1"/>
    <xf borderId="877" fillId="0" fontId="2" numFmtId="0" xfId="0" applyBorder="1" applyFont="1"/>
    <xf borderId="869" fillId="124" fontId="57" numFmtId="0" xfId="0" applyAlignment="1" applyBorder="1" applyFont="1">
      <alignment horizontal="center" readingOrder="0" shrinkToFit="0" vertical="center" wrapText="0"/>
    </xf>
    <xf borderId="869" fillId="124" fontId="57" numFmtId="0" xfId="0" applyAlignment="1" applyBorder="1" applyFont="1">
      <alignment horizontal="left" readingOrder="0" vertical="center"/>
    </xf>
    <xf borderId="869" fillId="124" fontId="300" numFmtId="0" xfId="0" applyBorder="1" applyFont="1"/>
    <xf borderId="878" fillId="124" fontId="59" numFmtId="0" xfId="0" applyAlignment="1" applyBorder="1" applyFont="1">
      <alignment horizontal="center" vertical="bottom"/>
    </xf>
    <xf borderId="879" fillId="0" fontId="2" numFmtId="0" xfId="0" applyBorder="1" applyFont="1"/>
    <xf borderId="869" fillId="124" fontId="59" numFmtId="0" xfId="0" applyBorder="1" applyFont="1"/>
    <xf borderId="869" fillId="124" fontId="60" numFmtId="0" xfId="0" applyAlignment="1" applyBorder="1" applyFont="1">
      <alignment readingOrder="0" shrinkToFit="0" vertical="center" wrapText="0"/>
    </xf>
    <xf borderId="869" fillId="124" fontId="59" numFmtId="0" xfId="0" applyAlignment="1" applyBorder="1" applyFont="1">
      <alignment vertical="center"/>
    </xf>
    <xf borderId="878" fillId="124" fontId="61" numFmtId="0" xfId="0" applyAlignment="1" applyBorder="1" applyFont="1">
      <alignment horizontal="center" readingOrder="0" vertical="bottom"/>
    </xf>
    <xf borderId="869" fillId="124" fontId="59" numFmtId="0" xfId="0" applyAlignment="1" applyBorder="1" applyFont="1">
      <alignment vertical="center"/>
    </xf>
    <xf borderId="870" fillId="124" fontId="62" numFmtId="164" xfId="0" applyAlignment="1" applyBorder="1" applyFont="1" applyNumberFormat="1">
      <alignment horizontal="center" readingOrder="0" vertical="center"/>
    </xf>
    <xf borderId="878" fillId="124" fontId="300" numFmtId="0" xfId="0" applyAlignment="1" applyBorder="1" applyFont="1">
      <alignment horizontal="center"/>
    </xf>
    <xf borderId="870" fillId="124" fontId="299" numFmtId="0" xfId="0" applyAlignment="1" applyBorder="1" applyFont="1">
      <alignment horizontal="center" readingOrder="0" shrinkToFit="0" vertical="center" wrapText="0"/>
    </xf>
    <xf borderId="869" fillId="124" fontId="300" numFmtId="0" xfId="0" applyAlignment="1" applyBorder="1" applyFont="1">
      <alignment horizontal="center"/>
    </xf>
    <xf borderId="33" fillId="125" fontId="41" numFmtId="49" xfId="0" applyAlignment="1" applyBorder="1" applyFill="1" applyFont="1" applyNumberFormat="1">
      <alignment horizontal="center" readingOrder="0" shrinkToFit="0" vertical="center" wrapText="0"/>
    </xf>
    <xf borderId="34" fillId="125" fontId="41" numFmtId="49" xfId="0" applyAlignment="1" applyBorder="1" applyFont="1" applyNumberFormat="1">
      <alignment horizontal="center" readingOrder="0" shrinkToFit="0" vertical="center" wrapText="0"/>
    </xf>
    <xf borderId="880" fillId="126" fontId="301" numFmtId="0" xfId="0" applyAlignment="1" applyBorder="1" applyFill="1" applyFont="1">
      <alignment horizontal="left" readingOrder="0" shrinkToFit="0" vertical="center" wrapText="0"/>
    </xf>
    <xf borderId="880" fillId="126" fontId="302" numFmtId="0" xfId="0" applyAlignment="1" applyBorder="1" applyFont="1">
      <alignment horizontal="center" readingOrder="0" shrinkToFit="0" vertical="center" wrapText="0"/>
    </xf>
    <xf borderId="881" fillId="126" fontId="302" numFmtId="0" xfId="0" applyAlignment="1" applyBorder="1" applyFont="1">
      <alignment horizontal="left" readingOrder="0" shrinkToFit="0" vertical="center" wrapText="0"/>
    </xf>
    <xf borderId="882" fillId="0" fontId="2" numFmtId="0" xfId="0" applyBorder="1" applyFont="1"/>
    <xf borderId="883" fillId="0" fontId="2" numFmtId="0" xfId="0" applyBorder="1" applyFont="1"/>
    <xf borderId="881" fillId="126" fontId="31" numFmtId="0" xfId="0" applyAlignment="1" applyBorder="1" applyFont="1">
      <alignment horizontal="center" readingOrder="0" shrinkToFit="0" vertical="center" wrapText="0"/>
    </xf>
    <xf borderId="881" fillId="126" fontId="31" numFmtId="0" xfId="0" applyAlignment="1" applyBorder="1" applyFont="1">
      <alignment horizontal="left" readingOrder="0" vertical="center"/>
    </xf>
    <xf borderId="880" fillId="126" fontId="303" numFmtId="0" xfId="0" applyAlignment="1" applyBorder="1" applyFont="1">
      <alignment vertical="center"/>
    </xf>
    <xf borderId="880" fillId="126" fontId="301" numFmtId="0" xfId="0" applyAlignment="1" applyBorder="1" applyFont="1">
      <alignment readingOrder="0" shrinkToFit="0" vertical="center" wrapText="0"/>
    </xf>
    <xf borderId="880" fillId="126" fontId="301" numFmtId="49" xfId="0" applyAlignment="1" applyBorder="1" applyFont="1" applyNumberFormat="1">
      <alignment horizontal="left" readingOrder="0" shrinkToFit="0" vertical="center" wrapText="0"/>
    </xf>
    <xf borderId="884" fillId="0" fontId="2" numFmtId="0" xfId="0" applyBorder="1" applyFont="1"/>
    <xf borderId="885" fillId="0" fontId="2" numFmtId="0" xfId="0" applyBorder="1" applyFont="1"/>
    <xf borderId="886" fillId="0" fontId="2" numFmtId="0" xfId="0" applyBorder="1" applyFont="1"/>
    <xf borderId="887" fillId="0" fontId="2" numFmtId="0" xfId="0" applyBorder="1" applyFont="1"/>
    <xf borderId="888" fillId="0" fontId="2" numFmtId="0" xfId="0" applyBorder="1" applyFont="1"/>
    <xf borderId="880" fillId="126" fontId="31" numFmtId="0" xfId="0" applyAlignment="1" applyBorder="1" applyFont="1">
      <alignment horizontal="center" readingOrder="0" shrinkToFit="0" vertical="center" wrapText="0"/>
    </xf>
    <xf borderId="880" fillId="126" fontId="31" numFmtId="0" xfId="0" applyAlignment="1" applyBorder="1" applyFont="1">
      <alignment horizontal="left" readingOrder="0" vertical="center"/>
    </xf>
    <xf borderId="880" fillId="126" fontId="303" numFmtId="0" xfId="0" applyBorder="1" applyFont="1"/>
    <xf borderId="889" fillId="126" fontId="33" numFmtId="0" xfId="0" applyAlignment="1" applyBorder="1" applyFont="1">
      <alignment horizontal="center" vertical="bottom"/>
    </xf>
    <xf borderId="890" fillId="0" fontId="2" numFmtId="0" xfId="0" applyBorder="1" applyFont="1"/>
    <xf borderId="880" fillId="126" fontId="33" numFmtId="0" xfId="0" applyBorder="1" applyFont="1"/>
    <xf borderId="880" fillId="126" fontId="34" numFmtId="0" xfId="0" applyAlignment="1" applyBorder="1" applyFont="1">
      <alignment readingOrder="0" shrinkToFit="0" vertical="center" wrapText="0"/>
    </xf>
    <xf borderId="880" fillId="126" fontId="33" numFmtId="0" xfId="0" applyAlignment="1" applyBorder="1" applyFont="1">
      <alignment vertical="center"/>
    </xf>
    <xf borderId="889" fillId="126" fontId="35" numFmtId="0" xfId="0" applyAlignment="1" applyBorder="1" applyFont="1">
      <alignment horizontal="center" readingOrder="0" vertical="bottom"/>
    </xf>
    <xf borderId="880" fillId="126" fontId="33" numFmtId="0" xfId="0" applyAlignment="1" applyBorder="1" applyFont="1">
      <alignment vertical="center"/>
    </xf>
    <xf borderId="881" fillId="126" fontId="36" numFmtId="164" xfId="0" applyAlignment="1" applyBorder="1" applyFont="1" applyNumberFormat="1">
      <alignment horizontal="center" readingOrder="0" vertical="center"/>
    </xf>
    <xf borderId="889" fillId="126" fontId="303" numFmtId="0" xfId="0" applyAlignment="1" applyBorder="1" applyFont="1">
      <alignment horizontal="center"/>
    </xf>
    <xf borderId="881" fillId="126" fontId="302" numFmtId="0" xfId="0" applyAlignment="1" applyBorder="1" applyFont="1">
      <alignment horizontal="center" readingOrder="0" shrinkToFit="0" vertical="center" wrapText="0"/>
    </xf>
    <xf borderId="880" fillId="126" fontId="303" numFmtId="0" xfId="0" applyAlignment="1" applyBorder="1" applyFont="1">
      <alignment horizontal="center"/>
    </xf>
    <xf borderId="27" fillId="27" fontId="40" numFmtId="49" xfId="0" applyAlignment="1" applyBorder="1" applyFont="1" applyNumberFormat="1">
      <alignment vertical="center"/>
    </xf>
    <xf borderId="31" fillId="0" fontId="40" numFmtId="0" xfId="0" applyBorder="1" applyFont="1"/>
    <xf borderId="31" fillId="11" fontId="40" numFmtId="0" xfId="0" applyBorder="1" applyFont="1"/>
    <xf borderId="34" fillId="11" fontId="40" numFmtId="0" xfId="0" applyAlignment="1" applyBorder="1" applyFont="1">
      <alignment horizontal="center" readingOrder="0" vertical="center"/>
    </xf>
    <xf borderId="34" fillId="11" fontId="40" numFmtId="0" xfId="0" applyAlignment="1" applyBorder="1" applyFont="1">
      <alignment horizontal="center" vertical="center"/>
    </xf>
    <xf borderId="29" fillId="0" fontId="40" numFmtId="0" xfId="0" applyBorder="1" applyFont="1"/>
    <xf borderId="37" fillId="26" fontId="40" numFmtId="49" xfId="0" applyAlignment="1" applyBorder="1" applyFont="1" applyNumberFormat="1">
      <alignment readingOrder="0" shrinkToFit="0" vertical="center" wrapText="0"/>
    </xf>
    <xf borderId="33" fillId="11" fontId="40" numFmtId="0" xfId="0" applyAlignment="1" applyBorder="1" applyFont="1">
      <alignment horizontal="center" readingOrder="0" vertical="center"/>
    </xf>
    <xf borderId="33" fillId="11" fontId="40" numFmtId="0" xfId="0" applyAlignment="1" applyBorder="1" applyFont="1">
      <alignment horizontal="center" vertical="center"/>
    </xf>
    <xf borderId="31" fillId="0" fontId="40" numFmtId="0" xfId="0" applyAlignment="1" applyBorder="1" applyFont="1">
      <alignment horizontal="center" readingOrder="0" shrinkToFit="0" vertical="center" wrapText="0"/>
    </xf>
    <xf borderId="31" fillId="0" fontId="40" numFmtId="0" xfId="0" applyAlignment="1" applyBorder="1" applyFont="1">
      <alignment vertical="center"/>
    </xf>
    <xf borderId="31" fillId="11" fontId="40" numFmtId="0" xfId="0" applyAlignment="1" applyBorder="1" applyFont="1">
      <alignment vertical="center"/>
    </xf>
    <xf borderId="31" fillId="11" fontId="40" numFmtId="0" xfId="0" applyAlignment="1" applyBorder="1" applyFont="1">
      <alignment readingOrder="0" vertical="center"/>
    </xf>
    <xf borderId="27" fillId="11" fontId="40" numFmtId="0" xfId="0" applyAlignment="1" applyBorder="1" applyFont="1">
      <alignment horizontal="center" readingOrder="0" vertical="center"/>
    </xf>
    <xf borderId="27" fillId="11" fontId="40" numFmtId="0" xfId="0" applyAlignment="1" applyBorder="1" applyFont="1">
      <alignment readingOrder="0" vertical="center"/>
    </xf>
    <xf borderId="29" fillId="0" fontId="40" numFmtId="0" xfId="0" applyAlignment="1" applyBorder="1" applyFont="1">
      <alignment vertical="center"/>
    </xf>
    <xf borderId="29" fillId="11" fontId="40" numFmtId="0" xfId="0" applyAlignment="1" applyBorder="1" applyFont="1">
      <alignment vertical="center"/>
    </xf>
    <xf borderId="31" fillId="0" fontId="40" numFmtId="0" xfId="0" applyAlignment="1" applyBorder="1" applyFont="1">
      <alignment vertical="center"/>
    </xf>
    <xf borderId="27" fillId="11" fontId="40" numFmtId="0" xfId="0" applyAlignment="1" applyBorder="1" applyFont="1">
      <alignment vertical="center"/>
    </xf>
    <xf borderId="29" fillId="11" fontId="40" numFmtId="0" xfId="0" applyAlignment="1" applyBorder="1" applyFont="1">
      <alignment readingOrder="0" vertical="center"/>
    </xf>
    <xf borderId="37" fillId="0" fontId="40" numFmtId="0" xfId="0" applyAlignment="1" applyBorder="1" applyFont="1">
      <alignment horizontal="center" shrinkToFit="0" vertical="center" wrapText="0"/>
    </xf>
    <xf borderId="29" fillId="0" fontId="40" numFmtId="0" xfId="0" applyAlignment="1" applyBorder="1" applyFont="1">
      <alignment vertical="center"/>
    </xf>
    <xf borderId="29" fillId="11" fontId="40" numFmtId="0" xfId="0" applyAlignment="1" applyBorder="1" applyFont="1">
      <alignment vertical="center"/>
    </xf>
    <xf borderId="891" fillId="127" fontId="304" numFmtId="0" xfId="0" applyAlignment="1" applyBorder="1" applyFill="1" applyFont="1">
      <alignment horizontal="left" readingOrder="0" shrinkToFit="0" vertical="center" wrapText="0"/>
    </xf>
    <xf borderId="891" fillId="127" fontId="305" numFmtId="0" xfId="0" applyAlignment="1" applyBorder="1" applyFont="1">
      <alignment horizontal="center" readingOrder="0" shrinkToFit="0" vertical="center" wrapText="0"/>
    </xf>
    <xf borderId="892" fillId="127" fontId="305" numFmtId="0" xfId="0" applyAlignment="1" applyBorder="1" applyFont="1">
      <alignment horizontal="left" readingOrder="0" shrinkToFit="0" vertical="center" wrapText="0"/>
    </xf>
    <xf borderId="893" fillId="0" fontId="2" numFmtId="0" xfId="0" applyBorder="1" applyFont="1"/>
    <xf borderId="894" fillId="0" fontId="2" numFmtId="0" xfId="0" applyBorder="1" applyFont="1"/>
    <xf borderId="892" fillId="127" fontId="57" numFmtId="0" xfId="0" applyAlignment="1" applyBorder="1" applyFont="1">
      <alignment horizontal="center" readingOrder="0" shrinkToFit="0" vertical="center" wrapText="0"/>
    </xf>
    <xf borderId="892" fillId="127" fontId="57" numFmtId="0" xfId="0" applyAlignment="1" applyBorder="1" applyFont="1">
      <alignment horizontal="left" readingOrder="0" vertical="center"/>
    </xf>
    <xf borderId="891" fillId="127" fontId="306" numFmtId="0" xfId="0" applyAlignment="1" applyBorder="1" applyFont="1">
      <alignment vertical="center"/>
    </xf>
    <xf borderId="891" fillId="127" fontId="304" numFmtId="0" xfId="0" applyAlignment="1" applyBorder="1" applyFont="1">
      <alignment readingOrder="0" shrinkToFit="0" vertical="center" wrapText="0"/>
    </xf>
    <xf borderId="891" fillId="127" fontId="304" numFmtId="49" xfId="0" applyAlignment="1" applyBorder="1" applyFont="1" applyNumberFormat="1">
      <alignment horizontal="left" readingOrder="0" shrinkToFit="0" vertical="center" wrapText="0"/>
    </xf>
    <xf borderId="895" fillId="0" fontId="2" numFmtId="0" xfId="0" applyBorder="1" applyFont="1"/>
    <xf borderId="896" fillId="0" fontId="2" numFmtId="0" xfId="0" applyBorder="1" applyFont="1"/>
    <xf borderId="897" fillId="0" fontId="2" numFmtId="0" xfId="0" applyBorder="1" applyFont="1"/>
    <xf borderId="898" fillId="0" fontId="2" numFmtId="0" xfId="0" applyBorder="1" applyFont="1"/>
    <xf borderId="899" fillId="0" fontId="2" numFmtId="0" xfId="0" applyBorder="1" applyFont="1"/>
    <xf borderId="891" fillId="127" fontId="57" numFmtId="0" xfId="0" applyAlignment="1" applyBorder="1" applyFont="1">
      <alignment horizontal="center" readingOrder="0" shrinkToFit="0" vertical="center" wrapText="0"/>
    </xf>
    <xf borderId="891" fillId="127" fontId="57" numFmtId="0" xfId="0" applyAlignment="1" applyBorder="1" applyFont="1">
      <alignment horizontal="left" readingOrder="0" vertical="center"/>
    </xf>
    <xf borderId="891" fillId="127" fontId="306" numFmtId="0" xfId="0" applyBorder="1" applyFont="1"/>
    <xf borderId="900" fillId="127" fontId="59" numFmtId="0" xfId="0" applyAlignment="1" applyBorder="1" applyFont="1">
      <alignment horizontal="center" vertical="bottom"/>
    </xf>
    <xf borderId="901" fillId="0" fontId="2" numFmtId="0" xfId="0" applyBorder="1" applyFont="1"/>
    <xf borderId="891" fillId="127" fontId="59" numFmtId="0" xfId="0" applyBorder="1" applyFont="1"/>
    <xf borderId="891" fillId="127" fontId="60" numFmtId="0" xfId="0" applyAlignment="1" applyBorder="1" applyFont="1">
      <alignment readingOrder="0" shrinkToFit="0" vertical="center" wrapText="0"/>
    </xf>
    <xf borderId="891" fillId="127" fontId="59" numFmtId="0" xfId="0" applyAlignment="1" applyBorder="1" applyFont="1">
      <alignment vertical="center"/>
    </xf>
    <xf borderId="900" fillId="127" fontId="61" numFmtId="0" xfId="0" applyAlignment="1" applyBorder="1" applyFont="1">
      <alignment horizontal="center" readingOrder="0" vertical="bottom"/>
    </xf>
    <xf borderId="891" fillId="127" fontId="59" numFmtId="0" xfId="0" applyAlignment="1" applyBorder="1" applyFont="1">
      <alignment vertical="center"/>
    </xf>
    <xf borderId="892" fillId="127" fontId="62" numFmtId="170" xfId="0" applyAlignment="1" applyBorder="1" applyFont="1" applyNumberFormat="1">
      <alignment horizontal="center" readingOrder="0" vertical="center"/>
    </xf>
    <xf borderId="900" fillId="127" fontId="305" numFmtId="0" xfId="0" applyAlignment="1" applyBorder="1" applyFont="1">
      <alignment horizontal="center" readingOrder="0" shrinkToFit="0" vertical="center" wrapText="0"/>
    </xf>
    <xf borderId="900" fillId="127" fontId="306" numFmtId="0" xfId="0" applyAlignment="1" applyBorder="1" applyFont="1">
      <alignment horizontal="center"/>
    </xf>
    <xf borderId="902" fillId="0" fontId="2" numFmtId="0" xfId="0" applyBorder="1" applyFont="1"/>
    <xf borderId="891" fillId="127" fontId="306" numFmtId="0" xfId="0" applyAlignment="1" applyBorder="1" applyFont="1">
      <alignment horizontal="center"/>
    </xf>
    <xf borderId="27" fillId="11" fontId="41" numFmtId="49" xfId="0" applyAlignment="1" applyBorder="1" applyFont="1" applyNumberFormat="1">
      <alignment horizontal="center" readingOrder="0" shrinkToFit="0" vertical="center" wrapText="0"/>
    </xf>
    <xf borderId="31" fillId="128" fontId="41" numFmtId="49" xfId="0" applyAlignment="1" applyBorder="1" applyFill="1" applyFont="1" applyNumberFormat="1">
      <alignment horizontal="center" readingOrder="0" shrinkToFit="0" vertical="center" wrapText="0"/>
    </xf>
    <xf borderId="29" fillId="128" fontId="41" numFmtId="49" xfId="0" applyAlignment="1" applyBorder="1" applyFont="1" applyNumberFormat="1">
      <alignment horizontal="center" readingOrder="0" shrinkToFit="0" vertical="center" wrapText="0"/>
    </xf>
    <xf borderId="33" fillId="128" fontId="41" numFmtId="49" xfId="0" applyAlignment="1" applyBorder="1" applyFont="1" applyNumberFormat="1">
      <alignment horizontal="center" readingOrder="0" shrinkToFit="0" vertical="center" wrapText="0"/>
    </xf>
    <xf borderId="26" fillId="11" fontId="41" numFmtId="171" xfId="0" applyAlignment="1" applyBorder="1" applyFont="1" applyNumberFormat="1">
      <alignment horizontal="left" readingOrder="0" shrinkToFit="0" vertical="top" wrapText="1"/>
    </xf>
    <xf borderId="0" fillId="23" fontId="45" numFmtId="0" xfId="0" applyAlignment="1" applyFont="1">
      <alignment horizontal="center" readingOrder="0" shrinkToFit="0" vertical="center" wrapText="0"/>
    </xf>
    <xf borderId="903" fillId="129" fontId="307" numFmtId="0" xfId="0" applyAlignment="1" applyBorder="1" applyFill="1" applyFont="1">
      <alignment horizontal="left" readingOrder="0" shrinkToFit="0" vertical="center" wrapText="0"/>
    </xf>
    <xf borderId="903" fillId="129" fontId="308" numFmtId="0" xfId="0" applyAlignment="1" applyBorder="1" applyFont="1">
      <alignment horizontal="center" readingOrder="0" shrinkToFit="0" vertical="center" wrapText="0"/>
    </xf>
    <xf borderId="904" fillId="129" fontId="308" numFmtId="0" xfId="0" applyAlignment="1" applyBorder="1" applyFont="1">
      <alignment horizontal="left" readingOrder="0" shrinkToFit="0" vertical="center" wrapText="0"/>
    </xf>
    <xf borderId="905" fillId="0" fontId="2" numFmtId="0" xfId="0" applyBorder="1" applyFont="1"/>
    <xf borderId="906" fillId="0" fontId="2" numFmtId="0" xfId="0" applyBorder="1" applyFont="1"/>
    <xf borderId="904" fillId="129" fontId="65" numFmtId="0" xfId="0" applyAlignment="1" applyBorder="1" applyFont="1">
      <alignment horizontal="center" readingOrder="0" shrinkToFit="0" vertical="center" wrapText="0"/>
    </xf>
    <xf borderId="904" fillId="129" fontId="65" numFmtId="0" xfId="0" applyAlignment="1" applyBorder="1" applyFont="1">
      <alignment horizontal="left" readingOrder="0" vertical="center"/>
    </xf>
    <xf borderId="903" fillId="129" fontId="309" numFmtId="0" xfId="0" applyAlignment="1" applyBorder="1" applyFont="1">
      <alignment vertical="center"/>
    </xf>
    <xf borderId="903" fillId="129" fontId="307" numFmtId="0" xfId="0" applyAlignment="1" applyBorder="1" applyFont="1">
      <alignment readingOrder="0" shrinkToFit="0" vertical="center" wrapText="0"/>
    </xf>
    <xf borderId="903" fillId="129" fontId="307" numFmtId="49" xfId="0" applyAlignment="1" applyBorder="1" applyFont="1" applyNumberFormat="1">
      <alignment horizontal="left" readingOrder="0" shrinkToFit="0" vertical="center" wrapText="0"/>
    </xf>
    <xf borderId="907" fillId="0" fontId="2" numFmtId="0" xfId="0" applyBorder="1" applyFont="1"/>
    <xf borderId="908" fillId="0" fontId="2" numFmtId="0" xfId="0" applyBorder="1" applyFont="1"/>
    <xf borderId="909" fillId="0" fontId="2" numFmtId="0" xfId="0" applyBorder="1" applyFont="1"/>
    <xf borderId="910" fillId="0" fontId="2" numFmtId="0" xfId="0" applyBorder="1" applyFont="1"/>
    <xf borderId="911" fillId="0" fontId="2" numFmtId="0" xfId="0" applyBorder="1" applyFont="1"/>
    <xf borderId="903" fillId="129" fontId="65" numFmtId="0" xfId="0" applyAlignment="1" applyBorder="1" applyFont="1">
      <alignment horizontal="center" readingOrder="0" shrinkToFit="0" vertical="center" wrapText="0"/>
    </xf>
    <xf borderId="903" fillId="129" fontId="65" numFmtId="0" xfId="0" applyAlignment="1" applyBorder="1" applyFont="1">
      <alignment horizontal="left" readingOrder="0" vertical="center"/>
    </xf>
    <xf borderId="903" fillId="129" fontId="309" numFmtId="0" xfId="0" applyBorder="1" applyFont="1"/>
    <xf borderId="912" fillId="129" fontId="67" numFmtId="0" xfId="0" applyAlignment="1" applyBorder="1" applyFont="1">
      <alignment horizontal="center" vertical="bottom"/>
    </xf>
    <xf borderId="913" fillId="0" fontId="2" numFmtId="0" xfId="0" applyBorder="1" applyFont="1"/>
    <xf borderId="903" fillId="129" fontId="67" numFmtId="0" xfId="0" applyBorder="1" applyFont="1"/>
    <xf borderId="903" fillId="129" fontId="68" numFmtId="0" xfId="0" applyAlignment="1" applyBorder="1" applyFont="1">
      <alignment readingOrder="0" shrinkToFit="0" vertical="center" wrapText="0"/>
    </xf>
    <xf borderId="903" fillId="129" fontId="67" numFmtId="0" xfId="0" applyAlignment="1" applyBorder="1" applyFont="1">
      <alignment vertical="center"/>
    </xf>
    <xf borderId="912" fillId="129" fontId="69" numFmtId="0" xfId="0" applyAlignment="1" applyBorder="1" applyFont="1">
      <alignment horizontal="center" readingOrder="0" vertical="bottom"/>
    </xf>
    <xf borderId="903" fillId="129" fontId="67" numFmtId="0" xfId="0" applyAlignment="1" applyBorder="1" applyFont="1">
      <alignment vertical="center"/>
    </xf>
    <xf borderId="904" fillId="129" fontId="70" numFmtId="164" xfId="0" applyAlignment="1" applyBorder="1" applyFont="1" applyNumberFormat="1">
      <alignment horizontal="center" readingOrder="0" vertical="center"/>
    </xf>
    <xf borderId="912" fillId="129" fontId="308" numFmtId="0" xfId="0" applyAlignment="1" applyBorder="1" applyFont="1">
      <alignment horizontal="center" readingOrder="0" shrinkToFit="0" vertical="center" wrapText="0"/>
    </xf>
    <xf borderId="912" fillId="129" fontId="309" numFmtId="0" xfId="0" applyAlignment="1" applyBorder="1" applyFont="1">
      <alignment horizontal="center"/>
    </xf>
    <xf borderId="914" fillId="0" fontId="2" numFmtId="0" xfId="0" applyBorder="1" applyFont="1"/>
    <xf borderId="903" fillId="129" fontId="309" numFmtId="0" xfId="0" applyAlignment="1" applyBorder="1" applyFont="1">
      <alignment horizontal="center"/>
    </xf>
    <xf borderId="29" fillId="18" fontId="41" numFmtId="49" xfId="0" applyAlignment="1" applyBorder="1" applyFont="1" applyNumberFormat="1">
      <alignment horizontal="center" readingOrder="0" shrinkToFit="0" vertical="center" wrapText="0"/>
    </xf>
    <xf borderId="31" fillId="18" fontId="41" numFmtId="49" xfId="0" applyAlignment="1" applyBorder="1" applyFont="1" applyNumberFormat="1">
      <alignment horizontal="center" readingOrder="0" shrinkToFit="0" vertical="center" wrapText="0"/>
    </xf>
    <xf borderId="31" fillId="11" fontId="41" numFmtId="0" xfId="0" applyAlignment="1" applyBorder="1" applyFont="1">
      <alignment horizontal="center" readingOrder="0" shrinkToFit="0" vertical="center" wrapText="0"/>
    </xf>
    <xf borderId="33" fillId="24" fontId="40" numFmtId="0" xfId="0" applyAlignment="1" applyBorder="1" applyFont="1">
      <alignment readingOrder="0" vertical="center"/>
    </xf>
    <xf borderId="31" fillId="25" fontId="40" numFmtId="49" xfId="0" applyAlignment="1" applyBorder="1" applyFont="1" applyNumberFormat="1">
      <alignment readingOrder="0" vertical="center"/>
    </xf>
    <xf borderId="31" fillId="0" fontId="40" numFmtId="0" xfId="0" applyBorder="1" applyFont="1"/>
    <xf borderId="36" fillId="24" fontId="40" numFmtId="0" xfId="0" applyAlignment="1" applyBorder="1" applyFont="1">
      <alignment readingOrder="0" vertical="center"/>
    </xf>
    <xf borderId="29" fillId="25" fontId="40" numFmtId="49" xfId="0" applyBorder="1" applyFont="1" applyNumberFormat="1"/>
    <xf borderId="29" fillId="11" fontId="40" numFmtId="49" xfId="0" applyAlignment="1" applyBorder="1" applyFont="1" applyNumberFormat="1">
      <alignment horizontal="center" readingOrder="0" shrinkToFit="0" vertical="center" wrapText="0"/>
    </xf>
    <xf borderId="29" fillId="0" fontId="40" numFmtId="0" xfId="0" applyBorder="1" applyFont="1"/>
    <xf borderId="29" fillId="11" fontId="41" numFmtId="49" xfId="0" applyAlignment="1" applyBorder="1" applyFont="1" applyNumberFormat="1">
      <alignment horizontal="center" readingOrder="0" shrinkToFit="0" vertical="center" wrapText="0"/>
    </xf>
    <xf borderId="33" fillId="10" fontId="40" numFmtId="49" xfId="0" applyAlignment="1" applyBorder="1" applyFont="1" applyNumberFormat="1">
      <alignment horizontal="center" readingOrder="0"/>
    </xf>
    <xf borderId="915" fillId="130" fontId="310" numFmtId="0" xfId="0" applyAlignment="1" applyBorder="1" applyFill="1" applyFont="1">
      <alignment horizontal="left" readingOrder="0" shrinkToFit="0" vertical="center" wrapText="0"/>
    </xf>
    <xf borderId="915" fillId="130" fontId="311" numFmtId="0" xfId="0" applyAlignment="1" applyBorder="1" applyFont="1">
      <alignment horizontal="center" readingOrder="0" shrinkToFit="0" vertical="center" wrapText="0"/>
    </xf>
    <xf borderId="916" fillId="130" fontId="311" numFmtId="0" xfId="0" applyAlignment="1" applyBorder="1" applyFont="1">
      <alignment horizontal="left" readingOrder="0" shrinkToFit="0" vertical="center" wrapText="0"/>
    </xf>
    <xf borderId="917" fillId="0" fontId="2" numFmtId="0" xfId="0" applyBorder="1" applyFont="1"/>
    <xf borderId="918" fillId="0" fontId="2" numFmtId="0" xfId="0" applyBorder="1" applyFont="1"/>
    <xf borderId="916" fillId="130" fontId="82" numFmtId="0" xfId="0" applyAlignment="1" applyBorder="1" applyFont="1">
      <alignment horizontal="center" readingOrder="0" shrinkToFit="0" vertical="center" wrapText="0"/>
    </xf>
    <xf borderId="916" fillId="130" fontId="82" numFmtId="0" xfId="0" applyAlignment="1" applyBorder="1" applyFont="1">
      <alignment horizontal="left" readingOrder="0" vertical="center"/>
    </xf>
    <xf borderId="915" fillId="130" fontId="312" numFmtId="0" xfId="0" applyAlignment="1" applyBorder="1" applyFont="1">
      <alignment vertical="center"/>
    </xf>
    <xf borderId="915" fillId="130" fontId="310" numFmtId="0" xfId="0" applyAlignment="1" applyBorder="1" applyFont="1">
      <alignment readingOrder="0" shrinkToFit="0" vertical="center" wrapText="0"/>
    </xf>
    <xf borderId="915" fillId="130" fontId="310" numFmtId="49" xfId="0" applyAlignment="1" applyBorder="1" applyFont="1" applyNumberFormat="1">
      <alignment horizontal="left" readingOrder="0" shrinkToFit="0" vertical="center" wrapText="0"/>
    </xf>
    <xf borderId="919" fillId="0" fontId="2" numFmtId="0" xfId="0" applyBorder="1" applyFont="1"/>
    <xf borderId="920" fillId="0" fontId="2" numFmtId="0" xfId="0" applyBorder="1" applyFont="1"/>
    <xf borderId="921" fillId="0" fontId="2" numFmtId="0" xfId="0" applyBorder="1" applyFont="1"/>
    <xf borderId="922" fillId="0" fontId="2" numFmtId="0" xfId="0" applyBorder="1" applyFont="1"/>
    <xf borderId="923" fillId="0" fontId="2" numFmtId="0" xfId="0" applyBorder="1" applyFont="1"/>
    <xf borderId="915" fillId="130" fontId="82" numFmtId="0" xfId="0" applyAlignment="1" applyBorder="1" applyFont="1">
      <alignment horizontal="center" readingOrder="0" shrinkToFit="0" vertical="center" wrapText="0"/>
    </xf>
    <xf borderId="915" fillId="130" fontId="82" numFmtId="0" xfId="0" applyAlignment="1" applyBorder="1" applyFont="1">
      <alignment horizontal="left" readingOrder="0" vertical="center"/>
    </xf>
    <xf borderId="915" fillId="130" fontId="312" numFmtId="0" xfId="0" applyBorder="1" applyFont="1"/>
    <xf borderId="924" fillId="130" fontId="84" numFmtId="0" xfId="0" applyAlignment="1" applyBorder="1" applyFont="1">
      <alignment horizontal="center" vertical="bottom"/>
    </xf>
    <xf borderId="925" fillId="0" fontId="2" numFmtId="0" xfId="0" applyBorder="1" applyFont="1"/>
    <xf borderId="915" fillId="130" fontId="84" numFmtId="0" xfId="0" applyBorder="1" applyFont="1"/>
    <xf borderId="915" fillId="130" fontId="85" numFmtId="0" xfId="0" applyAlignment="1" applyBorder="1" applyFont="1">
      <alignment readingOrder="0" shrinkToFit="0" vertical="center" wrapText="0"/>
    </xf>
    <xf borderId="915" fillId="130" fontId="84" numFmtId="0" xfId="0" applyAlignment="1" applyBorder="1" applyFont="1">
      <alignment vertical="center"/>
    </xf>
    <xf borderId="924" fillId="130" fontId="86" numFmtId="0" xfId="0" applyAlignment="1" applyBorder="1" applyFont="1">
      <alignment horizontal="center" readingOrder="0" vertical="bottom"/>
    </xf>
    <xf borderId="915" fillId="130" fontId="84" numFmtId="0" xfId="0" applyAlignment="1" applyBorder="1" applyFont="1">
      <alignment vertical="center"/>
    </xf>
    <xf borderId="916" fillId="130" fontId="87" numFmtId="164" xfId="0" applyAlignment="1" applyBorder="1" applyFont="1" applyNumberFormat="1">
      <alignment horizontal="center" readingOrder="0" vertical="center"/>
    </xf>
    <xf borderId="924" fillId="130" fontId="311" numFmtId="0" xfId="0" applyAlignment="1" applyBorder="1" applyFont="1">
      <alignment horizontal="center" readingOrder="0" shrinkToFit="0" vertical="center" wrapText="0"/>
    </xf>
    <xf borderId="924" fillId="130" fontId="312" numFmtId="0" xfId="0" applyAlignment="1" applyBorder="1" applyFont="1">
      <alignment horizontal="center"/>
    </xf>
    <xf borderId="926" fillId="0" fontId="2" numFmtId="0" xfId="0" applyBorder="1" applyFont="1"/>
    <xf borderId="915" fillId="130" fontId="312" numFmtId="0" xfId="0" applyAlignment="1" applyBorder="1" applyFont="1">
      <alignment horizontal="center"/>
    </xf>
    <xf borderId="927" fillId="131" fontId="313" numFmtId="0" xfId="0" applyAlignment="1" applyBorder="1" applyFill="1" applyFont="1">
      <alignment horizontal="left" readingOrder="0" shrinkToFit="0" vertical="center" wrapText="0"/>
    </xf>
    <xf borderId="927" fillId="131" fontId="314" numFmtId="0" xfId="0" applyAlignment="1" applyBorder="1" applyFont="1">
      <alignment horizontal="center" readingOrder="0" shrinkToFit="0" vertical="center" wrapText="0"/>
    </xf>
    <xf borderId="928" fillId="131" fontId="314" numFmtId="0" xfId="0" applyAlignment="1" applyBorder="1" applyFont="1">
      <alignment horizontal="left" readingOrder="0" shrinkToFit="0" vertical="center" wrapText="0"/>
    </xf>
    <xf borderId="929" fillId="0" fontId="2" numFmtId="0" xfId="0" applyBorder="1" applyFont="1"/>
    <xf borderId="930" fillId="0" fontId="2" numFmtId="0" xfId="0" applyBorder="1" applyFont="1"/>
    <xf borderId="928" fillId="131" fontId="65" numFmtId="0" xfId="0" applyAlignment="1" applyBorder="1" applyFont="1">
      <alignment horizontal="center" readingOrder="0" shrinkToFit="0" vertical="center" wrapText="0"/>
    </xf>
    <xf borderId="928" fillId="131" fontId="65" numFmtId="0" xfId="0" applyAlignment="1" applyBorder="1" applyFont="1">
      <alignment horizontal="left" readingOrder="0" vertical="center"/>
    </xf>
    <xf borderId="927" fillId="131" fontId="315" numFmtId="0" xfId="0" applyAlignment="1" applyBorder="1" applyFont="1">
      <alignment vertical="center"/>
    </xf>
    <xf borderId="927" fillId="131" fontId="313" numFmtId="0" xfId="0" applyAlignment="1" applyBorder="1" applyFont="1">
      <alignment readingOrder="0" shrinkToFit="0" vertical="center" wrapText="0"/>
    </xf>
    <xf borderId="927" fillId="131" fontId="313" numFmtId="49" xfId="0" applyAlignment="1" applyBorder="1" applyFont="1" applyNumberFormat="1">
      <alignment horizontal="left" readingOrder="0" shrinkToFit="0" vertical="center" wrapText="0"/>
    </xf>
    <xf borderId="931" fillId="0" fontId="2" numFmtId="0" xfId="0" applyBorder="1" applyFont="1"/>
    <xf borderId="932" fillId="0" fontId="2" numFmtId="0" xfId="0" applyBorder="1" applyFont="1"/>
    <xf borderId="933" fillId="0" fontId="2" numFmtId="0" xfId="0" applyBorder="1" applyFont="1"/>
    <xf borderId="934" fillId="0" fontId="2" numFmtId="0" xfId="0" applyBorder="1" applyFont="1"/>
    <xf borderId="935" fillId="0" fontId="2" numFmtId="0" xfId="0" applyBorder="1" applyFont="1"/>
    <xf borderId="927" fillId="131" fontId="65" numFmtId="0" xfId="0" applyAlignment="1" applyBorder="1" applyFont="1">
      <alignment horizontal="center" readingOrder="0" shrinkToFit="0" vertical="center" wrapText="0"/>
    </xf>
    <xf borderId="927" fillId="131" fontId="65" numFmtId="0" xfId="0" applyAlignment="1" applyBorder="1" applyFont="1">
      <alignment horizontal="left" readingOrder="0" vertical="center"/>
    </xf>
    <xf borderId="927" fillId="131" fontId="315" numFmtId="0" xfId="0" applyBorder="1" applyFont="1"/>
    <xf borderId="936" fillId="131" fontId="67" numFmtId="0" xfId="0" applyAlignment="1" applyBorder="1" applyFont="1">
      <alignment horizontal="center" vertical="bottom"/>
    </xf>
    <xf borderId="937" fillId="0" fontId="2" numFmtId="0" xfId="0" applyBorder="1" applyFont="1"/>
    <xf borderId="927" fillId="131" fontId="67" numFmtId="0" xfId="0" applyBorder="1" applyFont="1"/>
    <xf borderId="927" fillId="131" fontId="68" numFmtId="0" xfId="0" applyAlignment="1" applyBorder="1" applyFont="1">
      <alignment readingOrder="0" shrinkToFit="0" vertical="center" wrapText="0"/>
    </xf>
    <xf borderId="927" fillId="131" fontId="67" numFmtId="0" xfId="0" applyAlignment="1" applyBorder="1" applyFont="1">
      <alignment vertical="center"/>
    </xf>
    <xf borderId="936" fillId="131" fontId="69" numFmtId="0" xfId="0" applyAlignment="1" applyBorder="1" applyFont="1">
      <alignment horizontal="center" readingOrder="0" vertical="bottom"/>
    </xf>
    <xf borderId="927" fillId="131" fontId="67" numFmtId="0" xfId="0" applyAlignment="1" applyBorder="1" applyFont="1">
      <alignment vertical="center"/>
    </xf>
    <xf borderId="928" fillId="131" fontId="70" numFmtId="164" xfId="0" applyAlignment="1" applyBorder="1" applyFont="1" applyNumberFormat="1">
      <alignment horizontal="center" readingOrder="0" vertical="center"/>
    </xf>
    <xf borderId="936" fillId="131" fontId="314" numFmtId="0" xfId="0" applyAlignment="1" applyBorder="1" applyFont="1">
      <alignment horizontal="center" readingOrder="0" shrinkToFit="0" vertical="center" wrapText="0"/>
    </xf>
    <xf borderId="936" fillId="131" fontId="315" numFmtId="0" xfId="0" applyAlignment="1" applyBorder="1" applyFont="1">
      <alignment horizontal="center"/>
    </xf>
    <xf borderId="938" fillId="0" fontId="2" numFmtId="0" xfId="0" applyBorder="1" applyFont="1"/>
    <xf borderId="927" fillId="131" fontId="315" numFmtId="0" xfId="0" applyAlignment="1" applyBorder="1" applyFont="1">
      <alignment horizontal="center"/>
    </xf>
    <xf borderId="34" fillId="11" fontId="17" numFmtId="0" xfId="0" applyAlignment="1" applyBorder="1" applyFont="1">
      <alignment horizontal="center" readingOrder="0" shrinkToFit="0" vertical="center" wrapText="0"/>
    </xf>
    <xf borderId="30" fillId="31" fontId="44" numFmtId="49" xfId="0" applyAlignment="1" applyBorder="1" applyFont="1" applyNumberFormat="1">
      <alignment horizontal="left" readingOrder="0" shrinkToFit="0" vertical="center" wrapText="0"/>
    </xf>
    <xf borderId="30" fillId="0" fontId="41" numFmtId="49" xfId="0" applyAlignment="1" applyBorder="1" applyFont="1" applyNumberFormat="1">
      <alignment horizontal="left" readingOrder="0" shrinkToFit="0" vertical="top" wrapText="0"/>
    </xf>
    <xf borderId="939" fillId="132" fontId="316" numFmtId="0" xfId="0" applyAlignment="1" applyBorder="1" applyFill="1" applyFont="1">
      <alignment horizontal="left" readingOrder="0" shrinkToFit="0" vertical="center" wrapText="0"/>
    </xf>
    <xf borderId="939" fillId="132" fontId="317" numFmtId="0" xfId="0" applyAlignment="1" applyBorder="1" applyFont="1">
      <alignment horizontal="center" readingOrder="0" shrinkToFit="0" vertical="center" wrapText="0"/>
    </xf>
    <xf borderId="940" fillId="132" fontId="317" numFmtId="0" xfId="0" applyAlignment="1" applyBorder="1" applyFont="1">
      <alignment horizontal="left" readingOrder="0" shrinkToFit="0" vertical="center" wrapText="0"/>
    </xf>
    <xf borderId="941" fillId="0" fontId="2" numFmtId="0" xfId="0" applyBorder="1" applyFont="1"/>
    <xf borderId="942" fillId="0" fontId="2" numFmtId="0" xfId="0" applyBorder="1" applyFont="1"/>
    <xf borderId="940" fillId="132" fontId="65" numFmtId="0" xfId="0" applyAlignment="1" applyBorder="1" applyFont="1">
      <alignment horizontal="center" readingOrder="0" shrinkToFit="0" vertical="center" wrapText="0"/>
    </xf>
    <xf borderId="940" fillId="132" fontId="65" numFmtId="0" xfId="0" applyAlignment="1" applyBorder="1" applyFont="1">
      <alignment horizontal="left" readingOrder="0" vertical="center"/>
    </xf>
    <xf borderId="939" fillId="132" fontId="318" numFmtId="0" xfId="0" applyAlignment="1" applyBorder="1" applyFont="1">
      <alignment vertical="center"/>
    </xf>
    <xf borderId="939" fillId="132" fontId="316" numFmtId="0" xfId="0" applyAlignment="1" applyBorder="1" applyFont="1">
      <alignment readingOrder="0" shrinkToFit="0" vertical="center" wrapText="0"/>
    </xf>
    <xf borderId="939" fillId="132" fontId="316" numFmtId="49" xfId="0" applyAlignment="1" applyBorder="1" applyFont="1" applyNumberFormat="1">
      <alignment horizontal="left" readingOrder="0" shrinkToFit="0" vertical="center" wrapText="0"/>
    </xf>
    <xf borderId="943" fillId="0" fontId="2" numFmtId="0" xfId="0" applyBorder="1" applyFont="1"/>
    <xf borderId="944" fillId="0" fontId="2" numFmtId="0" xfId="0" applyBorder="1" applyFont="1"/>
    <xf borderId="945" fillId="0" fontId="2" numFmtId="0" xfId="0" applyBorder="1" applyFont="1"/>
    <xf borderId="946" fillId="0" fontId="2" numFmtId="0" xfId="0" applyBorder="1" applyFont="1"/>
    <xf borderId="947" fillId="0" fontId="2" numFmtId="0" xfId="0" applyBorder="1" applyFont="1"/>
    <xf borderId="939" fillId="132" fontId="65" numFmtId="0" xfId="0" applyAlignment="1" applyBorder="1" applyFont="1">
      <alignment horizontal="center" readingOrder="0" shrinkToFit="0" vertical="center" wrapText="0"/>
    </xf>
    <xf borderId="939" fillId="132" fontId="65" numFmtId="0" xfId="0" applyAlignment="1" applyBorder="1" applyFont="1">
      <alignment horizontal="left" readingOrder="0" vertical="center"/>
    </xf>
    <xf borderId="939" fillId="132" fontId="318" numFmtId="0" xfId="0" applyBorder="1" applyFont="1"/>
    <xf borderId="948" fillId="132" fontId="67" numFmtId="0" xfId="0" applyAlignment="1" applyBorder="1" applyFont="1">
      <alignment horizontal="center" vertical="bottom"/>
    </xf>
    <xf borderId="949" fillId="0" fontId="2" numFmtId="0" xfId="0" applyBorder="1" applyFont="1"/>
    <xf borderId="939" fillId="132" fontId="67" numFmtId="0" xfId="0" applyBorder="1" applyFont="1"/>
    <xf borderId="939" fillId="132" fontId="68" numFmtId="0" xfId="0" applyAlignment="1" applyBorder="1" applyFont="1">
      <alignment readingOrder="0" shrinkToFit="0" vertical="center" wrapText="0"/>
    </xf>
    <xf borderId="939" fillId="132" fontId="67" numFmtId="0" xfId="0" applyAlignment="1" applyBorder="1" applyFont="1">
      <alignment vertical="center"/>
    </xf>
    <xf borderId="948" fillId="132" fontId="69" numFmtId="0" xfId="0" applyAlignment="1" applyBorder="1" applyFont="1">
      <alignment horizontal="center" readingOrder="0" vertical="bottom"/>
    </xf>
    <xf borderId="939" fillId="132" fontId="67" numFmtId="0" xfId="0" applyAlignment="1" applyBorder="1" applyFont="1">
      <alignment vertical="center"/>
    </xf>
    <xf borderId="940" fillId="132" fontId="70" numFmtId="164" xfId="0" applyAlignment="1" applyBorder="1" applyFont="1" applyNumberFormat="1">
      <alignment horizontal="center" readingOrder="0" vertical="center"/>
    </xf>
    <xf borderId="948" fillId="132" fontId="317" numFmtId="0" xfId="0" applyAlignment="1" applyBorder="1" applyFont="1">
      <alignment horizontal="center" readingOrder="0" shrinkToFit="0" vertical="center" wrapText="0"/>
    </xf>
    <xf borderId="948" fillId="132" fontId="318" numFmtId="0" xfId="0" applyAlignment="1" applyBorder="1" applyFont="1">
      <alignment horizontal="center"/>
    </xf>
    <xf borderId="950" fillId="0" fontId="2" numFmtId="0" xfId="0" applyBorder="1" applyFont="1"/>
    <xf borderId="939" fillId="132" fontId="318" numFmtId="0" xfId="0" applyAlignment="1" applyBorder="1" applyFont="1">
      <alignment horizontal="center"/>
    </xf>
    <xf borderId="31" fillId="27" fontId="41" numFmtId="0" xfId="0" applyAlignment="1" applyBorder="1" applyFont="1">
      <alignment horizontal="center" readingOrder="0" shrinkToFit="0" vertical="center" wrapText="0"/>
    </xf>
    <xf borderId="951" fillId="133" fontId="319" numFmtId="0" xfId="0" applyAlignment="1" applyBorder="1" applyFill="1" applyFont="1">
      <alignment horizontal="left" readingOrder="0" shrinkToFit="0" vertical="center" wrapText="0"/>
    </xf>
    <xf borderId="951" fillId="133" fontId="320" numFmtId="0" xfId="0" applyAlignment="1" applyBorder="1" applyFont="1">
      <alignment horizontal="center" readingOrder="0" shrinkToFit="0" vertical="center" wrapText="0"/>
    </xf>
    <xf borderId="952" fillId="133" fontId="320" numFmtId="0" xfId="0" applyAlignment="1" applyBorder="1" applyFont="1">
      <alignment horizontal="left" readingOrder="0" shrinkToFit="0" vertical="center" wrapText="0"/>
    </xf>
    <xf borderId="953" fillId="0" fontId="2" numFmtId="0" xfId="0" applyBorder="1" applyFont="1"/>
    <xf borderId="954" fillId="0" fontId="2" numFmtId="0" xfId="0" applyBorder="1" applyFont="1"/>
    <xf borderId="952" fillId="133" fontId="82" numFmtId="0" xfId="0" applyAlignment="1" applyBorder="1" applyFont="1">
      <alignment horizontal="center" readingOrder="0" shrinkToFit="0" vertical="center" wrapText="0"/>
    </xf>
    <xf borderId="952" fillId="133" fontId="82" numFmtId="0" xfId="0" applyAlignment="1" applyBorder="1" applyFont="1">
      <alignment horizontal="left" readingOrder="0" vertical="center"/>
    </xf>
    <xf borderId="951" fillId="133" fontId="321" numFmtId="0" xfId="0" applyAlignment="1" applyBorder="1" applyFont="1">
      <alignment vertical="center"/>
    </xf>
    <xf borderId="951" fillId="133" fontId="319" numFmtId="0" xfId="0" applyAlignment="1" applyBorder="1" applyFont="1">
      <alignment readingOrder="0" shrinkToFit="0" vertical="center" wrapText="0"/>
    </xf>
    <xf borderId="951" fillId="133" fontId="319" numFmtId="49" xfId="0" applyAlignment="1" applyBorder="1" applyFont="1" applyNumberFormat="1">
      <alignment horizontal="left" readingOrder="0" shrinkToFit="0" vertical="center" wrapText="0"/>
    </xf>
    <xf borderId="955" fillId="0" fontId="2" numFmtId="0" xfId="0" applyBorder="1" applyFont="1"/>
    <xf borderId="956" fillId="0" fontId="2" numFmtId="0" xfId="0" applyBorder="1" applyFont="1"/>
    <xf borderId="957" fillId="0" fontId="2" numFmtId="0" xfId="0" applyBorder="1" applyFont="1"/>
    <xf borderId="958" fillId="0" fontId="2" numFmtId="0" xfId="0" applyBorder="1" applyFont="1"/>
    <xf borderId="959" fillId="0" fontId="2" numFmtId="0" xfId="0" applyBorder="1" applyFont="1"/>
    <xf borderId="951" fillId="133" fontId="82" numFmtId="0" xfId="0" applyAlignment="1" applyBorder="1" applyFont="1">
      <alignment horizontal="center" readingOrder="0" shrinkToFit="0" vertical="center" wrapText="0"/>
    </xf>
    <xf borderId="951" fillId="133" fontId="82" numFmtId="0" xfId="0" applyAlignment="1" applyBorder="1" applyFont="1">
      <alignment horizontal="left" readingOrder="0" vertical="center"/>
    </xf>
    <xf borderId="951" fillId="133" fontId="321" numFmtId="0" xfId="0" applyBorder="1" applyFont="1"/>
    <xf borderId="960" fillId="133" fontId="84" numFmtId="0" xfId="0" applyAlignment="1" applyBorder="1" applyFont="1">
      <alignment horizontal="center" vertical="bottom"/>
    </xf>
    <xf borderId="961" fillId="0" fontId="2" numFmtId="0" xfId="0" applyBorder="1" applyFont="1"/>
    <xf borderId="951" fillId="133" fontId="84" numFmtId="0" xfId="0" applyBorder="1" applyFont="1"/>
    <xf borderId="951" fillId="133" fontId="85" numFmtId="0" xfId="0" applyAlignment="1" applyBorder="1" applyFont="1">
      <alignment readingOrder="0" shrinkToFit="0" vertical="center" wrapText="0"/>
    </xf>
    <xf borderId="951" fillId="133" fontId="84" numFmtId="0" xfId="0" applyAlignment="1" applyBorder="1" applyFont="1">
      <alignment vertical="center"/>
    </xf>
    <xf borderId="960" fillId="133" fontId="86" numFmtId="0" xfId="0" applyAlignment="1" applyBorder="1" applyFont="1">
      <alignment horizontal="center" readingOrder="0" vertical="bottom"/>
    </xf>
    <xf borderId="951" fillId="133" fontId="84" numFmtId="0" xfId="0" applyAlignment="1" applyBorder="1" applyFont="1">
      <alignment vertical="center"/>
    </xf>
    <xf borderId="952" fillId="133" fontId="87" numFmtId="164" xfId="0" applyAlignment="1" applyBorder="1" applyFont="1" applyNumberFormat="1">
      <alignment horizontal="center" readingOrder="0" vertical="center"/>
    </xf>
    <xf borderId="960" fillId="133" fontId="320" numFmtId="0" xfId="0" applyAlignment="1" applyBorder="1" applyFont="1">
      <alignment horizontal="center" readingOrder="0" shrinkToFit="0" vertical="center" wrapText="0"/>
    </xf>
    <xf borderId="960" fillId="133" fontId="321" numFmtId="0" xfId="0" applyAlignment="1" applyBorder="1" applyFont="1">
      <alignment horizontal="center"/>
    </xf>
    <xf borderId="962" fillId="0" fontId="2" numFmtId="0" xfId="0" applyBorder="1" applyFont="1"/>
    <xf borderId="951" fillId="133" fontId="321" numFmtId="0" xfId="0" applyAlignment="1" applyBorder="1" applyFont="1">
      <alignment horizontal="center"/>
    </xf>
    <xf borderId="29" fillId="27" fontId="322" numFmtId="0" xfId="0" applyAlignment="1" applyBorder="1" applyFont="1">
      <alignment horizontal="center" shrinkToFit="0" vertical="center" wrapText="0"/>
    </xf>
    <xf borderId="0" fillId="11" fontId="47" numFmtId="49" xfId="0" applyAlignment="1" applyFont="1" applyNumberFormat="1">
      <alignment horizontal="center" readingOrder="0" vertical="bottom"/>
    </xf>
    <xf borderId="33" fillId="0" fontId="47" numFmtId="0" xfId="0" applyAlignment="1" applyBorder="1" applyFont="1">
      <alignment horizontal="center" readingOrder="0" vertical="bottom"/>
    </xf>
    <xf borderId="33" fillId="11" fontId="47" numFmtId="49" xfId="0" applyAlignment="1" applyBorder="1" applyFont="1" applyNumberFormat="1">
      <alignment horizontal="center" readingOrder="0" vertical="bottom"/>
    </xf>
    <xf borderId="0" fillId="11" fontId="47" numFmtId="49" xfId="0" applyAlignment="1" applyFont="1" applyNumberFormat="1">
      <alignment horizontal="center" vertical="bottom"/>
    </xf>
    <xf borderId="33" fillId="0" fontId="47" numFmtId="0" xfId="0" applyAlignment="1" applyBorder="1" applyFont="1">
      <alignment horizontal="center" vertical="bottom"/>
    </xf>
    <xf borderId="33" fillId="11" fontId="47" numFmtId="49" xfId="0" applyAlignment="1" applyBorder="1" applyFont="1" applyNumberFormat="1">
      <alignment horizontal="center" vertical="bottom"/>
    </xf>
    <xf borderId="34" fillId="21" fontId="41" numFmtId="49" xfId="0" applyAlignment="1" applyBorder="1" applyFont="1" applyNumberFormat="1">
      <alignment horizontal="left" readingOrder="0" shrinkToFit="0" vertical="center" wrapText="0"/>
    </xf>
    <xf borderId="33" fillId="27" fontId="323" numFmtId="49" xfId="0" applyAlignment="1" applyBorder="1" applyFont="1" applyNumberFormat="1">
      <alignment horizontal="center" readingOrder="0" shrinkToFit="0" vertical="center" wrapText="0"/>
    </xf>
    <xf borderId="963" fillId="134" fontId="324" numFmtId="0" xfId="0" applyAlignment="1" applyBorder="1" applyFill="1" applyFont="1">
      <alignment horizontal="left" readingOrder="0" shrinkToFit="0" vertical="center" wrapText="0"/>
    </xf>
    <xf borderId="963" fillId="134" fontId="325" numFmtId="0" xfId="0" applyAlignment="1" applyBorder="1" applyFont="1">
      <alignment horizontal="center" readingOrder="0" shrinkToFit="0" vertical="center" wrapText="0"/>
    </xf>
    <xf borderId="964" fillId="134" fontId="325" numFmtId="0" xfId="0" applyAlignment="1" applyBorder="1" applyFont="1">
      <alignment horizontal="left" readingOrder="0" shrinkToFit="0" vertical="center" wrapText="0"/>
    </xf>
    <xf borderId="965" fillId="0" fontId="2" numFmtId="0" xfId="0" applyBorder="1" applyFont="1"/>
    <xf borderId="966" fillId="0" fontId="2" numFmtId="0" xfId="0" applyBorder="1" applyFont="1"/>
    <xf borderId="964" fillId="134" fontId="82" numFmtId="0" xfId="0" applyAlignment="1" applyBorder="1" applyFont="1">
      <alignment horizontal="center" readingOrder="0" shrinkToFit="0" vertical="center" wrapText="0"/>
    </xf>
    <xf borderId="964" fillId="134" fontId="82" numFmtId="0" xfId="0" applyAlignment="1" applyBorder="1" applyFont="1">
      <alignment horizontal="left" readingOrder="0" vertical="center"/>
    </xf>
    <xf borderId="963" fillId="134" fontId="326" numFmtId="0" xfId="0" applyAlignment="1" applyBorder="1" applyFont="1">
      <alignment vertical="center"/>
    </xf>
    <xf borderId="963" fillId="134" fontId="324" numFmtId="0" xfId="0" applyAlignment="1" applyBorder="1" applyFont="1">
      <alignment readingOrder="0" shrinkToFit="0" vertical="center" wrapText="0"/>
    </xf>
    <xf borderId="963" fillId="134" fontId="324" numFmtId="49" xfId="0" applyAlignment="1" applyBorder="1" applyFont="1" applyNumberFormat="1">
      <alignment horizontal="left" readingOrder="0" shrinkToFit="0" vertical="center" wrapText="0"/>
    </xf>
    <xf borderId="967" fillId="0" fontId="2" numFmtId="0" xfId="0" applyBorder="1" applyFont="1"/>
    <xf borderId="968" fillId="0" fontId="2" numFmtId="0" xfId="0" applyBorder="1" applyFont="1"/>
    <xf borderId="969" fillId="0" fontId="2" numFmtId="0" xfId="0" applyBorder="1" applyFont="1"/>
    <xf borderId="970" fillId="0" fontId="2" numFmtId="0" xfId="0" applyBorder="1" applyFont="1"/>
    <xf borderId="971" fillId="0" fontId="2" numFmtId="0" xfId="0" applyBorder="1" applyFont="1"/>
    <xf borderId="963" fillId="134" fontId="82" numFmtId="0" xfId="0" applyAlignment="1" applyBorder="1" applyFont="1">
      <alignment horizontal="center" readingOrder="0" shrinkToFit="0" vertical="center" wrapText="0"/>
    </xf>
    <xf borderId="963" fillId="134" fontId="82" numFmtId="0" xfId="0" applyAlignment="1" applyBorder="1" applyFont="1">
      <alignment horizontal="left" readingOrder="0" vertical="center"/>
    </xf>
    <xf borderId="963" fillId="134" fontId="326" numFmtId="0" xfId="0" applyBorder="1" applyFont="1"/>
    <xf borderId="972" fillId="134" fontId="84" numFmtId="0" xfId="0" applyAlignment="1" applyBorder="1" applyFont="1">
      <alignment horizontal="center" vertical="bottom"/>
    </xf>
    <xf borderId="973" fillId="0" fontId="2" numFmtId="0" xfId="0" applyBorder="1" applyFont="1"/>
    <xf borderId="963" fillId="134" fontId="84" numFmtId="0" xfId="0" applyBorder="1" applyFont="1"/>
    <xf borderId="963" fillId="134" fontId="85" numFmtId="0" xfId="0" applyAlignment="1" applyBorder="1" applyFont="1">
      <alignment readingOrder="0" shrinkToFit="0" vertical="center" wrapText="0"/>
    </xf>
    <xf borderId="963" fillId="134" fontId="84" numFmtId="0" xfId="0" applyAlignment="1" applyBorder="1" applyFont="1">
      <alignment vertical="center"/>
    </xf>
    <xf borderId="972" fillId="134" fontId="86" numFmtId="0" xfId="0" applyAlignment="1" applyBorder="1" applyFont="1">
      <alignment horizontal="center" readingOrder="0" vertical="bottom"/>
    </xf>
    <xf borderId="963" fillId="134" fontId="84" numFmtId="0" xfId="0" applyAlignment="1" applyBorder="1" applyFont="1">
      <alignment vertical="center"/>
    </xf>
    <xf borderId="964" fillId="134" fontId="87" numFmtId="164" xfId="0" applyAlignment="1" applyBorder="1" applyFont="1" applyNumberFormat="1">
      <alignment horizontal="center" readingOrder="0" vertical="center"/>
    </xf>
    <xf borderId="972" fillId="134" fontId="325" numFmtId="0" xfId="0" applyAlignment="1" applyBorder="1" applyFont="1">
      <alignment horizontal="center" readingOrder="0" shrinkToFit="0" vertical="center" wrapText="0"/>
    </xf>
    <xf borderId="972" fillId="134" fontId="326" numFmtId="0" xfId="0" applyAlignment="1" applyBorder="1" applyFont="1">
      <alignment horizontal="center"/>
    </xf>
    <xf borderId="974" fillId="0" fontId="2" numFmtId="0" xfId="0" applyBorder="1" applyFont="1"/>
    <xf borderId="963" fillId="134" fontId="326" numFmtId="0" xfId="0" applyAlignment="1" applyBorder="1" applyFont="1">
      <alignment horizontal="center"/>
    </xf>
    <xf borderId="33" fillId="14" fontId="17" numFmtId="0" xfId="0" applyAlignment="1" applyBorder="1" applyFont="1">
      <alignment horizontal="center" readingOrder="0" shrinkToFit="0" vertical="center" wrapText="0"/>
    </xf>
    <xf borderId="37" fillId="16" fontId="40" numFmtId="0" xfId="0" applyAlignment="1" applyBorder="1" applyFont="1">
      <alignment readingOrder="0" vertical="center"/>
    </xf>
    <xf borderId="34" fillId="0" fontId="47" numFmtId="49" xfId="0" applyAlignment="1" applyBorder="1" applyFont="1" applyNumberFormat="1">
      <alignment horizontal="center" readingOrder="0" vertical="center"/>
    </xf>
    <xf borderId="33" fillId="0" fontId="47" numFmtId="49" xfId="0" applyAlignment="1" applyBorder="1" applyFont="1" applyNumberFormat="1">
      <alignment horizontal="center" readingOrder="0" vertical="center"/>
    </xf>
    <xf borderId="33" fillId="10" fontId="40" numFmtId="49" xfId="0" applyAlignment="1" applyBorder="1" applyFont="1" applyNumberFormat="1">
      <alignment horizontal="center" readingOrder="0" vertical="center"/>
    </xf>
    <xf borderId="33" fillId="0" fontId="40" numFmtId="0" xfId="0" applyAlignment="1" applyBorder="1" applyFont="1">
      <alignment vertical="center"/>
    </xf>
    <xf borderId="33" fillId="11" fontId="40" numFmtId="0" xfId="0" applyAlignment="1" applyBorder="1" applyFont="1">
      <alignment vertical="center"/>
    </xf>
    <xf borderId="33" fillId="43" fontId="40" numFmtId="0" xfId="0" applyAlignment="1" applyBorder="1" applyFont="1">
      <alignment horizontal="center" vertical="center"/>
    </xf>
    <xf borderId="0" fillId="11" fontId="40" numFmtId="0" xfId="0" applyAlignment="1" applyFont="1">
      <alignment vertical="center"/>
    </xf>
    <xf borderId="33" fillId="11" fontId="40" numFmtId="0" xfId="0" applyAlignment="1" applyBorder="1" applyFont="1">
      <alignment vertical="center"/>
    </xf>
    <xf borderId="34" fillId="11" fontId="40" numFmtId="0" xfId="0" applyAlignment="1" applyBorder="1" applyFont="1">
      <alignment horizontal="center" vertical="center"/>
    </xf>
    <xf borderId="29" fillId="18" fontId="0" numFmtId="49" xfId="0" applyAlignment="1" applyBorder="1" applyFont="1" applyNumberFormat="1">
      <alignment horizontal="center" readingOrder="0" shrinkToFit="0" vertical="center" wrapText="0"/>
    </xf>
    <xf borderId="33" fillId="0" fontId="40" numFmtId="49" xfId="0" applyAlignment="1" applyBorder="1" applyFont="1" applyNumberFormat="1">
      <alignment horizontal="center" readingOrder="0" vertical="center"/>
    </xf>
    <xf borderId="37" fillId="0" fontId="47" numFmtId="49" xfId="0" applyAlignment="1" applyBorder="1" applyFont="1" applyNumberFormat="1">
      <alignment horizontal="center" readingOrder="0" vertical="center"/>
    </xf>
    <xf borderId="37" fillId="18" fontId="0" numFmtId="49" xfId="0" applyAlignment="1" applyBorder="1" applyFont="1" applyNumberFormat="1">
      <alignment horizontal="center" readingOrder="0" shrinkToFit="0" vertical="center" wrapText="0"/>
    </xf>
    <xf borderId="34" fillId="0" fontId="40" numFmtId="49" xfId="0" applyAlignment="1" applyBorder="1" applyFont="1" applyNumberFormat="1">
      <alignment horizontal="center" readingOrder="0" vertical="center"/>
    </xf>
    <xf borderId="36" fillId="21" fontId="41" numFmtId="49" xfId="0" applyAlignment="1" applyBorder="1" applyFont="1" applyNumberFormat="1">
      <alignment horizontal="left" readingOrder="0" shrinkToFit="0" vertical="center" wrapText="0"/>
    </xf>
    <xf borderId="37" fillId="0" fontId="40" numFmtId="49" xfId="0" applyAlignment="1" applyBorder="1" applyFont="1" applyNumberFormat="1">
      <alignment horizontal="center" readingOrder="0" vertical="center"/>
    </xf>
    <xf borderId="29" fillId="0" fontId="40" numFmtId="49" xfId="0" applyAlignment="1" applyBorder="1" applyFont="1" applyNumberFormat="1">
      <alignment horizontal="center" readingOrder="0" vertical="center"/>
    </xf>
    <xf borderId="37" fillId="18" fontId="41" numFmtId="49" xfId="0" applyAlignment="1" applyBorder="1" applyFont="1" applyNumberFormat="1">
      <alignment horizontal="center" readingOrder="0" shrinkToFit="0" vertical="center" wrapText="0"/>
    </xf>
    <xf borderId="36" fillId="18" fontId="41" numFmtId="49" xfId="0" applyAlignment="1" applyBorder="1" applyFont="1" applyNumberFormat="1">
      <alignment horizontal="center" readingOrder="0" shrinkToFit="0" vertical="center" wrapText="0"/>
    </xf>
    <xf borderId="36" fillId="24" fontId="40" numFmtId="0" xfId="0" applyAlignment="1" applyBorder="1" applyFont="1">
      <alignment readingOrder="0"/>
    </xf>
    <xf borderId="31" fillId="11" fontId="40" numFmtId="49" xfId="0" applyAlignment="1" applyBorder="1" applyFont="1" applyNumberFormat="1">
      <alignment horizontal="center" shrinkToFit="0" wrapText="0"/>
    </xf>
    <xf borderId="31" fillId="27" fontId="40" numFmtId="49" xfId="0" applyAlignment="1" applyBorder="1" applyFont="1" applyNumberFormat="1">
      <alignment readingOrder="0"/>
    </xf>
    <xf borderId="26" fillId="11" fontId="40" numFmtId="0" xfId="0" applyAlignment="1" applyBorder="1" applyFont="1">
      <alignment readingOrder="0" vertical="top"/>
    </xf>
    <xf borderId="33" fillId="0" fontId="40" numFmtId="0" xfId="0" applyBorder="1" applyFont="1"/>
    <xf borderId="33" fillId="11" fontId="40" numFmtId="0" xfId="0" applyBorder="1" applyFont="1"/>
    <xf borderId="34" fillId="11" fontId="40" numFmtId="0" xfId="0" applyAlignment="1" applyBorder="1" applyFont="1">
      <alignment readingOrder="0"/>
    </xf>
    <xf borderId="34" fillId="27" fontId="41" numFmtId="49" xfId="0" applyAlignment="1" applyBorder="1" applyFont="1" applyNumberFormat="1">
      <alignment horizontal="center" shrinkToFit="0" vertical="center" wrapText="0"/>
    </xf>
    <xf borderId="30" fillId="34" fontId="44" numFmtId="49" xfId="0" applyAlignment="1" applyBorder="1" applyFont="1" applyNumberFormat="1">
      <alignment horizontal="left" readingOrder="0" shrinkToFit="0" vertical="center" wrapText="0"/>
    </xf>
    <xf borderId="30" fillId="11" fontId="41" numFmtId="0" xfId="0" applyAlignment="1" applyBorder="1" applyFont="1">
      <alignment horizontal="center" shrinkToFit="0" vertical="center" wrapText="0"/>
    </xf>
    <xf borderId="30" fillId="11" fontId="41" numFmtId="0" xfId="0" applyAlignment="1" applyBorder="1" applyFont="1">
      <alignment horizontal="left" readingOrder="0" shrinkToFit="0" vertical="center" wrapText="0"/>
    </xf>
    <xf borderId="0" fillId="11" fontId="41" numFmtId="0" xfId="0" applyAlignment="1" applyFont="1">
      <alignment horizontal="left" readingOrder="0" shrinkToFit="0" vertical="center" wrapText="0"/>
    </xf>
    <xf borderId="975" fillId="87" fontId="327" numFmtId="0" xfId="0" applyAlignment="1" applyBorder="1" applyFont="1">
      <alignment horizontal="left" readingOrder="0" shrinkToFit="0" vertical="center" wrapText="0"/>
    </xf>
    <xf borderId="975" fillId="87" fontId="235" numFmtId="0" xfId="0" applyAlignment="1" applyBorder="1" applyFont="1">
      <alignment horizontal="center" readingOrder="0" shrinkToFit="0" vertical="center" wrapText="0"/>
    </xf>
    <xf borderId="976" fillId="87" fontId="235" numFmtId="0" xfId="0" applyAlignment="1" applyBorder="1" applyFont="1">
      <alignment horizontal="left" readingOrder="0" shrinkToFit="0" vertical="center" wrapText="0"/>
    </xf>
    <xf borderId="977" fillId="0" fontId="2" numFmtId="0" xfId="0" applyBorder="1" applyFont="1"/>
    <xf borderId="978" fillId="0" fontId="2" numFmtId="0" xfId="0" applyBorder="1" applyFont="1"/>
    <xf borderId="976" fillId="87" fontId="57" numFmtId="0" xfId="0" applyAlignment="1" applyBorder="1" applyFont="1">
      <alignment horizontal="center" readingOrder="0" shrinkToFit="0" vertical="center" wrapText="0"/>
    </xf>
    <xf borderId="976" fillId="87" fontId="57" numFmtId="0" xfId="0" applyAlignment="1" applyBorder="1" applyFont="1">
      <alignment horizontal="left" readingOrder="0" vertical="center"/>
    </xf>
    <xf borderId="975" fillId="87" fontId="236" numFmtId="0" xfId="0" applyAlignment="1" applyBorder="1" applyFont="1">
      <alignment vertical="center"/>
    </xf>
    <xf borderId="975" fillId="87" fontId="234" numFmtId="0" xfId="0" applyAlignment="1" applyBorder="1" applyFont="1">
      <alignment readingOrder="0" shrinkToFit="0" vertical="center" wrapText="0"/>
    </xf>
    <xf borderId="975" fillId="87" fontId="327" numFmtId="49" xfId="0" applyAlignment="1" applyBorder="1" applyFont="1" applyNumberFormat="1">
      <alignment horizontal="left" readingOrder="0" shrinkToFit="0" vertical="center" wrapText="0"/>
    </xf>
    <xf borderId="979" fillId="0" fontId="2" numFmtId="0" xfId="0" applyBorder="1" applyFont="1"/>
    <xf borderId="980" fillId="0" fontId="2" numFmtId="0" xfId="0" applyBorder="1" applyFont="1"/>
    <xf borderId="981" fillId="0" fontId="2" numFmtId="0" xfId="0" applyBorder="1" applyFont="1"/>
    <xf borderId="982" fillId="0" fontId="2" numFmtId="0" xfId="0" applyBorder="1" applyFont="1"/>
    <xf borderId="983" fillId="0" fontId="2" numFmtId="0" xfId="0" applyBorder="1" applyFont="1"/>
    <xf borderId="975" fillId="87" fontId="57" numFmtId="0" xfId="0" applyAlignment="1" applyBorder="1" applyFont="1">
      <alignment horizontal="center" readingOrder="0" shrinkToFit="0" vertical="center" wrapText="0"/>
    </xf>
    <xf borderId="975" fillId="87" fontId="57" numFmtId="0" xfId="0" applyAlignment="1" applyBorder="1" applyFont="1">
      <alignment horizontal="left" readingOrder="0" vertical="center"/>
    </xf>
    <xf borderId="975" fillId="87" fontId="236" numFmtId="0" xfId="0" applyBorder="1" applyFont="1"/>
    <xf borderId="984" fillId="87" fontId="59" numFmtId="0" xfId="0" applyAlignment="1" applyBorder="1" applyFont="1">
      <alignment horizontal="center" vertical="bottom"/>
    </xf>
    <xf borderId="975" fillId="87" fontId="234" numFmtId="0" xfId="0" applyAlignment="1" applyBorder="1" applyFont="1">
      <alignment horizontal="left" readingOrder="0" shrinkToFit="0" vertical="center" wrapText="0"/>
    </xf>
    <xf borderId="985" fillId="0" fontId="2" numFmtId="0" xfId="0" applyBorder="1" applyFont="1"/>
    <xf borderId="975" fillId="87" fontId="59" numFmtId="0" xfId="0" applyBorder="1" applyFont="1"/>
    <xf borderId="975" fillId="87" fontId="60" numFmtId="0" xfId="0" applyAlignment="1" applyBorder="1" applyFont="1">
      <alignment readingOrder="0" shrinkToFit="0" vertical="center" wrapText="0"/>
    </xf>
    <xf borderId="975" fillId="87" fontId="59" numFmtId="0" xfId="0" applyAlignment="1" applyBorder="1" applyFont="1">
      <alignment vertical="center"/>
    </xf>
    <xf borderId="984" fillId="87" fontId="69" numFmtId="0" xfId="0" applyAlignment="1" applyBorder="1" applyFont="1">
      <alignment horizontal="center" readingOrder="0" vertical="bottom"/>
    </xf>
    <xf borderId="975" fillId="87" fontId="59" numFmtId="0" xfId="0" applyAlignment="1" applyBorder="1" applyFont="1">
      <alignment vertical="center"/>
    </xf>
    <xf borderId="976" fillId="87" fontId="70" numFmtId="164" xfId="0" applyAlignment="1" applyBorder="1" applyFont="1" applyNumberFormat="1">
      <alignment horizontal="center" readingOrder="0" vertical="center"/>
    </xf>
    <xf borderId="984" fillId="87" fontId="235" numFmtId="0" xfId="0" applyAlignment="1" applyBorder="1" applyFont="1">
      <alignment horizontal="center" readingOrder="0" shrinkToFit="0" vertical="center" wrapText="0"/>
    </xf>
    <xf borderId="984" fillId="87" fontId="236" numFmtId="0" xfId="0" applyAlignment="1" applyBorder="1" applyFont="1">
      <alignment horizontal="center"/>
    </xf>
    <xf borderId="986" fillId="0" fontId="2" numFmtId="0" xfId="0" applyBorder="1" applyFont="1"/>
    <xf borderId="975" fillId="87" fontId="236" numFmtId="0" xfId="0" applyAlignment="1" applyBorder="1" applyFont="1">
      <alignment horizontal="center"/>
    </xf>
    <xf borderId="987" fillId="135" fontId="328" numFmtId="0" xfId="0" applyAlignment="1" applyBorder="1" applyFill="1" applyFont="1">
      <alignment horizontal="left" readingOrder="0" shrinkToFit="0" vertical="center" wrapText="0"/>
    </xf>
    <xf borderId="987" fillId="135" fontId="235" numFmtId="0" xfId="0" applyAlignment="1" applyBorder="1" applyFont="1">
      <alignment horizontal="center" readingOrder="0" shrinkToFit="0" vertical="center" wrapText="0"/>
    </xf>
    <xf borderId="988" fillId="135" fontId="235" numFmtId="0" xfId="0" applyAlignment="1" applyBorder="1" applyFont="1">
      <alignment horizontal="left" readingOrder="0" shrinkToFit="0" vertical="center" wrapText="0"/>
    </xf>
    <xf borderId="989" fillId="0" fontId="2" numFmtId="0" xfId="0" applyBorder="1" applyFont="1"/>
    <xf borderId="990" fillId="0" fontId="2" numFmtId="0" xfId="0" applyBorder="1" applyFont="1"/>
    <xf borderId="988" fillId="135" fontId="57" numFmtId="0" xfId="0" applyAlignment="1" applyBorder="1" applyFont="1">
      <alignment horizontal="center" readingOrder="0" shrinkToFit="0" vertical="center" wrapText="0"/>
    </xf>
    <xf borderId="988" fillId="135" fontId="57" numFmtId="0" xfId="0" applyAlignment="1" applyBorder="1" applyFont="1">
      <alignment horizontal="left" readingOrder="0" vertical="center"/>
    </xf>
    <xf borderId="987" fillId="135" fontId="236" numFmtId="0" xfId="0" applyAlignment="1" applyBorder="1" applyFont="1">
      <alignment vertical="center"/>
    </xf>
    <xf borderId="987" fillId="135" fontId="234" numFmtId="0" xfId="0" applyAlignment="1" applyBorder="1" applyFont="1">
      <alignment readingOrder="0" shrinkToFit="0" vertical="center" wrapText="0"/>
    </xf>
    <xf borderId="987" fillId="135" fontId="328" numFmtId="49" xfId="0" applyAlignment="1" applyBorder="1" applyFont="1" applyNumberFormat="1">
      <alignment horizontal="left" readingOrder="0" shrinkToFit="0" vertical="center" wrapText="0"/>
    </xf>
    <xf borderId="991" fillId="0" fontId="2" numFmtId="0" xfId="0" applyBorder="1" applyFont="1"/>
    <xf borderId="992" fillId="0" fontId="2" numFmtId="0" xfId="0" applyBorder="1" applyFont="1"/>
    <xf borderId="993" fillId="0" fontId="2" numFmtId="0" xfId="0" applyBorder="1" applyFont="1"/>
    <xf borderId="994" fillId="0" fontId="2" numFmtId="0" xfId="0" applyBorder="1" applyFont="1"/>
    <xf borderId="995" fillId="0" fontId="2" numFmtId="0" xfId="0" applyBorder="1" applyFont="1"/>
    <xf borderId="987" fillId="135" fontId="57" numFmtId="0" xfId="0" applyAlignment="1" applyBorder="1" applyFont="1">
      <alignment horizontal="center" readingOrder="0" shrinkToFit="0" vertical="center" wrapText="0"/>
    </xf>
    <xf borderId="987" fillId="135" fontId="57" numFmtId="0" xfId="0" applyAlignment="1" applyBorder="1" applyFont="1">
      <alignment horizontal="left" readingOrder="0" vertical="center"/>
    </xf>
    <xf borderId="987" fillId="135" fontId="236" numFmtId="0" xfId="0" applyBorder="1" applyFont="1"/>
    <xf borderId="996" fillId="135" fontId="59" numFmtId="0" xfId="0" applyAlignment="1" applyBorder="1" applyFont="1">
      <alignment horizontal="center" vertical="bottom"/>
    </xf>
    <xf borderId="987" fillId="135" fontId="234" numFmtId="0" xfId="0" applyAlignment="1" applyBorder="1" applyFont="1">
      <alignment horizontal="left" readingOrder="0" shrinkToFit="0" vertical="center" wrapText="0"/>
    </xf>
    <xf borderId="997" fillId="0" fontId="2" numFmtId="0" xfId="0" applyBorder="1" applyFont="1"/>
    <xf borderId="987" fillId="135" fontId="59" numFmtId="0" xfId="0" applyBorder="1" applyFont="1"/>
    <xf borderId="987" fillId="135" fontId="60" numFmtId="0" xfId="0" applyAlignment="1" applyBorder="1" applyFont="1">
      <alignment readingOrder="0" shrinkToFit="0" vertical="center" wrapText="0"/>
    </xf>
    <xf borderId="987" fillId="135" fontId="59" numFmtId="0" xfId="0" applyAlignment="1" applyBorder="1" applyFont="1">
      <alignment vertical="center"/>
    </xf>
    <xf borderId="996" fillId="135" fontId="61" numFmtId="0" xfId="0" applyAlignment="1" applyBorder="1" applyFont="1">
      <alignment horizontal="center" readingOrder="0" vertical="bottom"/>
    </xf>
    <xf borderId="987" fillId="135" fontId="59" numFmtId="0" xfId="0" applyAlignment="1" applyBorder="1" applyFont="1">
      <alignment vertical="center"/>
    </xf>
    <xf borderId="988" fillId="135" fontId="62" numFmtId="164" xfId="0" applyAlignment="1" applyBorder="1" applyFont="1" applyNumberFormat="1">
      <alignment horizontal="center" readingOrder="0" vertical="center"/>
    </xf>
    <xf borderId="996" fillId="135" fontId="235" numFmtId="0" xfId="0" applyAlignment="1" applyBorder="1" applyFont="1">
      <alignment horizontal="center" readingOrder="0" shrinkToFit="0" vertical="center" wrapText="0"/>
    </xf>
    <xf borderId="996" fillId="135" fontId="236" numFmtId="0" xfId="0" applyAlignment="1" applyBorder="1" applyFont="1">
      <alignment horizontal="center"/>
    </xf>
    <xf borderId="998" fillId="0" fontId="2" numFmtId="0" xfId="0" applyBorder="1" applyFont="1"/>
    <xf borderId="987" fillId="135" fontId="236" numFmtId="0" xfId="0" applyAlignment="1" applyBorder="1" applyFont="1">
      <alignment horizontal="center"/>
    </xf>
    <xf borderId="36" fillId="0" fontId="41" numFmtId="49" xfId="0" applyAlignment="1" applyBorder="1" applyFont="1" applyNumberFormat="1">
      <alignment horizontal="center" shrinkToFit="0" vertical="center" wrapText="0"/>
    </xf>
    <xf borderId="36" fillId="0" fontId="41" numFmtId="0" xfId="0" applyAlignment="1" applyBorder="1" applyFont="1">
      <alignment horizontal="center" shrinkToFit="0" vertical="center" wrapText="0"/>
    </xf>
    <xf borderId="33" fillId="25" fontId="41" numFmtId="0" xfId="0" applyAlignment="1" applyBorder="1" applyFont="1">
      <alignment horizontal="left" readingOrder="0" shrinkToFit="0" vertical="center" wrapText="0"/>
    </xf>
    <xf borderId="0" fillId="0" fontId="41" numFmtId="49" xfId="0" applyAlignment="1" applyFont="1" applyNumberFormat="1">
      <alignment readingOrder="0" shrinkToFit="0" vertical="center" wrapText="0"/>
    </xf>
    <xf borderId="999" fillId="136" fontId="329" numFmtId="0" xfId="0" applyAlignment="1" applyBorder="1" applyFill="1" applyFont="1">
      <alignment horizontal="left" readingOrder="0" shrinkToFit="0" vertical="center" wrapText="0"/>
    </xf>
    <xf borderId="999" fillId="136" fontId="235" numFmtId="0" xfId="0" applyAlignment="1" applyBorder="1" applyFont="1">
      <alignment horizontal="center" readingOrder="0" shrinkToFit="0" vertical="center" wrapText="0"/>
    </xf>
    <xf borderId="1000" fillId="136" fontId="235" numFmtId="0" xfId="0" applyAlignment="1" applyBorder="1" applyFont="1">
      <alignment horizontal="left" readingOrder="0" shrinkToFit="0" vertical="center" wrapText="0"/>
    </xf>
    <xf borderId="1001" fillId="0" fontId="2" numFmtId="0" xfId="0" applyBorder="1" applyFont="1"/>
    <xf borderId="1002" fillId="0" fontId="2" numFmtId="0" xfId="0" applyBorder="1" applyFont="1"/>
    <xf borderId="1000" fillId="136" fontId="57" numFmtId="0" xfId="0" applyAlignment="1" applyBorder="1" applyFont="1">
      <alignment horizontal="center" readingOrder="0" shrinkToFit="0" vertical="center" wrapText="0"/>
    </xf>
    <xf borderId="1000" fillId="136" fontId="57" numFmtId="0" xfId="0" applyAlignment="1" applyBorder="1" applyFont="1">
      <alignment horizontal="left" readingOrder="0" vertical="center"/>
    </xf>
    <xf borderId="999" fillId="136" fontId="236" numFmtId="0" xfId="0" applyAlignment="1" applyBorder="1" applyFont="1">
      <alignment vertical="center"/>
    </xf>
    <xf borderId="999" fillId="136" fontId="234" numFmtId="0" xfId="0" applyAlignment="1" applyBorder="1" applyFont="1">
      <alignment readingOrder="0" shrinkToFit="0" vertical="center" wrapText="0"/>
    </xf>
    <xf borderId="999" fillId="136" fontId="329" numFmtId="49" xfId="0" applyAlignment="1" applyBorder="1" applyFont="1" applyNumberFormat="1">
      <alignment horizontal="left" readingOrder="0" shrinkToFit="0" vertical="center" wrapText="0"/>
    </xf>
    <xf borderId="1003" fillId="0" fontId="2" numFmtId="0" xfId="0" applyBorder="1" applyFont="1"/>
    <xf borderId="1004" fillId="0" fontId="2" numFmtId="0" xfId="0" applyBorder="1" applyFont="1"/>
    <xf borderId="1005" fillId="0" fontId="2" numFmtId="0" xfId="0" applyBorder="1" applyFont="1"/>
    <xf borderId="1006" fillId="0" fontId="2" numFmtId="0" xfId="0" applyBorder="1" applyFont="1"/>
    <xf borderId="1007" fillId="0" fontId="2" numFmtId="0" xfId="0" applyBorder="1" applyFont="1"/>
    <xf borderId="999" fillId="136" fontId="57" numFmtId="0" xfId="0" applyAlignment="1" applyBorder="1" applyFont="1">
      <alignment horizontal="center" readingOrder="0" shrinkToFit="0" vertical="center" wrapText="0"/>
    </xf>
    <xf borderId="999" fillId="136" fontId="57" numFmtId="0" xfId="0" applyAlignment="1" applyBorder="1" applyFont="1">
      <alignment horizontal="left" readingOrder="0" vertical="center"/>
    </xf>
    <xf borderId="999" fillId="136" fontId="236" numFmtId="0" xfId="0" applyBorder="1" applyFont="1"/>
    <xf borderId="1008" fillId="136" fontId="59" numFmtId="0" xfId="0" applyAlignment="1" applyBorder="1" applyFont="1">
      <alignment horizontal="center" vertical="bottom"/>
    </xf>
    <xf borderId="999" fillId="136" fontId="234" numFmtId="0" xfId="0" applyAlignment="1" applyBorder="1" applyFont="1">
      <alignment horizontal="left" readingOrder="0" shrinkToFit="0" vertical="center" wrapText="0"/>
    </xf>
    <xf borderId="1009" fillId="0" fontId="2" numFmtId="0" xfId="0" applyBorder="1" applyFont="1"/>
    <xf borderId="999" fillId="136" fontId="59" numFmtId="0" xfId="0" applyBorder="1" applyFont="1"/>
    <xf borderId="999" fillId="136" fontId="60" numFmtId="0" xfId="0" applyAlignment="1" applyBorder="1" applyFont="1">
      <alignment readingOrder="0" shrinkToFit="0" vertical="center" wrapText="0"/>
    </xf>
    <xf borderId="999" fillId="136" fontId="59" numFmtId="0" xfId="0" applyAlignment="1" applyBorder="1" applyFont="1">
      <alignment vertical="center"/>
    </xf>
    <xf borderId="1008" fillId="136" fontId="69" numFmtId="0" xfId="0" applyAlignment="1" applyBorder="1" applyFont="1">
      <alignment horizontal="center" readingOrder="0" vertical="bottom"/>
    </xf>
    <xf borderId="999" fillId="136" fontId="59" numFmtId="0" xfId="0" applyAlignment="1" applyBorder="1" applyFont="1">
      <alignment vertical="center"/>
    </xf>
    <xf borderId="1000" fillId="136" fontId="70" numFmtId="164" xfId="0" applyAlignment="1" applyBorder="1" applyFont="1" applyNumberFormat="1">
      <alignment horizontal="center" readingOrder="0" vertical="center"/>
    </xf>
    <xf borderId="1008" fillId="136" fontId="235" numFmtId="0" xfId="0" applyAlignment="1" applyBorder="1" applyFont="1">
      <alignment horizontal="center" readingOrder="0" shrinkToFit="0" vertical="center" wrapText="0"/>
    </xf>
    <xf borderId="1008" fillId="136" fontId="236" numFmtId="0" xfId="0" applyAlignment="1" applyBorder="1" applyFont="1">
      <alignment horizontal="center"/>
    </xf>
    <xf borderId="1010" fillId="0" fontId="2" numFmtId="0" xfId="0" applyBorder="1" applyFont="1"/>
    <xf borderId="999" fillId="136" fontId="236" numFmtId="0" xfId="0" applyAlignment="1" applyBorder="1" applyFont="1">
      <alignment horizontal="center"/>
    </xf>
    <xf borderId="36" fillId="27" fontId="40" numFmtId="49" xfId="0" applyAlignment="1" applyBorder="1" applyFont="1" applyNumberFormat="1">
      <alignment vertical="center"/>
    </xf>
    <xf borderId="33" fillId="27" fontId="41" numFmtId="49" xfId="0" applyAlignment="1" applyBorder="1" applyFont="1" applyNumberFormat="1">
      <alignment shrinkToFit="0" vertical="center" wrapText="0"/>
    </xf>
    <xf borderId="1011" fillId="137" fontId="330" numFmtId="0" xfId="0" applyAlignment="1" applyBorder="1" applyFill="1" applyFont="1">
      <alignment horizontal="left" readingOrder="0" shrinkToFit="0" vertical="center" wrapText="0"/>
    </xf>
    <xf borderId="1011" fillId="137" fontId="235" numFmtId="0" xfId="0" applyAlignment="1" applyBorder="1" applyFont="1">
      <alignment horizontal="center" readingOrder="0" shrinkToFit="0" vertical="center" wrapText="0"/>
    </xf>
    <xf borderId="1012" fillId="137" fontId="235" numFmtId="0" xfId="0" applyAlignment="1" applyBorder="1" applyFont="1">
      <alignment horizontal="left" readingOrder="0" shrinkToFit="0" vertical="center" wrapText="0"/>
    </xf>
    <xf borderId="1013" fillId="0" fontId="2" numFmtId="0" xfId="0" applyBorder="1" applyFont="1"/>
    <xf borderId="1014" fillId="0" fontId="2" numFmtId="0" xfId="0" applyBorder="1" applyFont="1"/>
    <xf borderId="1012" fillId="137" fontId="57" numFmtId="0" xfId="0" applyAlignment="1" applyBorder="1" applyFont="1">
      <alignment horizontal="center" readingOrder="0" shrinkToFit="0" vertical="center" wrapText="0"/>
    </xf>
    <xf borderId="1012" fillId="137" fontId="57" numFmtId="0" xfId="0" applyAlignment="1" applyBorder="1" applyFont="1">
      <alignment horizontal="left" readingOrder="0" vertical="center"/>
    </xf>
    <xf borderId="1011" fillId="137" fontId="236" numFmtId="0" xfId="0" applyAlignment="1" applyBorder="1" applyFont="1">
      <alignment vertical="center"/>
    </xf>
    <xf borderId="1011" fillId="137" fontId="234" numFmtId="0" xfId="0" applyAlignment="1" applyBorder="1" applyFont="1">
      <alignment readingOrder="0" shrinkToFit="0" vertical="center" wrapText="0"/>
    </xf>
    <xf borderId="1011" fillId="137" fontId="330" numFmtId="49" xfId="0" applyAlignment="1" applyBorder="1" applyFont="1" applyNumberFormat="1">
      <alignment horizontal="left" readingOrder="0" shrinkToFit="0" vertical="center" wrapText="0"/>
    </xf>
    <xf borderId="1015" fillId="0" fontId="2" numFmtId="0" xfId="0" applyBorder="1" applyFont="1"/>
    <xf borderId="1016" fillId="0" fontId="2" numFmtId="0" xfId="0" applyBorder="1" applyFont="1"/>
    <xf borderId="1017" fillId="0" fontId="2" numFmtId="0" xfId="0" applyBorder="1" applyFont="1"/>
    <xf borderId="1018" fillId="0" fontId="2" numFmtId="0" xfId="0" applyBorder="1" applyFont="1"/>
    <xf borderId="1019" fillId="0" fontId="2" numFmtId="0" xfId="0" applyBorder="1" applyFont="1"/>
    <xf borderId="1011" fillId="137" fontId="57" numFmtId="0" xfId="0" applyAlignment="1" applyBorder="1" applyFont="1">
      <alignment horizontal="center" readingOrder="0" shrinkToFit="0" vertical="center" wrapText="0"/>
    </xf>
    <xf borderId="1011" fillId="137" fontId="57" numFmtId="0" xfId="0" applyAlignment="1" applyBorder="1" applyFont="1">
      <alignment horizontal="left" readingOrder="0" vertical="center"/>
    </xf>
    <xf borderId="1011" fillId="137" fontId="236" numFmtId="0" xfId="0" applyBorder="1" applyFont="1"/>
    <xf borderId="1020" fillId="137" fontId="59" numFmtId="0" xfId="0" applyAlignment="1" applyBorder="1" applyFont="1">
      <alignment horizontal="center" vertical="bottom"/>
    </xf>
    <xf borderId="1011" fillId="137" fontId="234" numFmtId="0" xfId="0" applyAlignment="1" applyBorder="1" applyFont="1">
      <alignment horizontal="left" readingOrder="0" shrinkToFit="0" vertical="center" wrapText="0"/>
    </xf>
    <xf borderId="1021" fillId="0" fontId="2" numFmtId="0" xfId="0" applyBorder="1" applyFont="1"/>
    <xf borderId="1011" fillId="137" fontId="59" numFmtId="0" xfId="0" applyBorder="1" applyFont="1"/>
    <xf borderId="1011" fillId="137" fontId="60" numFmtId="0" xfId="0" applyAlignment="1" applyBorder="1" applyFont="1">
      <alignment readingOrder="0" shrinkToFit="0" vertical="center" wrapText="0"/>
    </xf>
    <xf borderId="1011" fillId="137" fontId="59" numFmtId="0" xfId="0" applyAlignment="1" applyBorder="1" applyFont="1">
      <alignment vertical="center"/>
    </xf>
    <xf borderId="1020" fillId="137" fontId="61" numFmtId="0" xfId="0" applyAlignment="1" applyBorder="1" applyFont="1">
      <alignment horizontal="center" readingOrder="0" vertical="bottom"/>
    </xf>
    <xf borderId="1011" fillId="137" fontId="59" numFmtId="0" xfId="0" applyAlignment="1" applyBorder="1" applyFont="1">
      <alignment vertical="center"/>
    </xf>
    <xf borderId="1012" fillId="137" fontId="62" numFmtId="164" xfId="0" applyAlignment="1" applyBorder="1" applyFont="1" applyNumberFormat="1">
      <alignment horizontal="center" readingOrder="0" vertical="center"/>
    </xf>
    <xf borderId="1020" fillId="137" fontId="235" numFmtId="0" xfId="0" applyAlignment="1" applyBorder="1" applyFont="1">
      <alignment horizontal="center" readingOrder="0" shrinkToFit="0" vertical="center" wrapText="0"/>
    </xf>
    <xf borderId="1020" fillId="137" fontId="236" numFmtId="0" xfId="0" applyAlignment="1" applyBorder="1" applyFont="1">
      <alignment horizontal="center"/>
    </xf>
    <xf borderId="1022" fillId="0" fontId="2" numFmtId="0" xfId="0" applyBorder="1" applyFont="1"/>
    <xf borderId="1011" fillId="137" fontId="236" numFmtId="0" xfId="0" applyAlignment="1" applyBorder="1" applyFont="1">
      <alignment horizontal="center"/>
    </xf>
    <xf borderId="26" fillId="15" fontId="42" numFmtId="0" xfId="0" applyAlignment="1" applyBorder="1" applyFont="1">
      <alignment horizontal="left" readingOrder="0" shrinkToFit="0" vertical="center" wrapText="0"/>
    </xf>
    <xf borderId="1023" fillId="138" fontId="331" numFmtId="0" xfId="0" applyBorder="1" applyFill="1" applyFont="1"/>
    <xf borderId="1023" fillId="138" fontId="40" numFmtId="0" xfId="0" applyBorder="1" applyFont="1"/>
    <xf borderId="1024" fillId="138" fontId="235" numFmtId="0" xfId="0" applyAlignment="1" applyBorder="1" applyFont="1">
      <alignment horizontal="left" readingOrder="0" shrinkToFit="0" vertical="center" wrapText="0"/>
    </xf>
    <xf borderId="1025" fillId="0" fontId="2" numFmtId="0" xfId="0" applyBorder="1" applyFont="1"/>
    <xf borderId="1026" fillId="0" fontId="2" numFmtId="0" xfId="0" applyBorder="1" applyFont="1"/>
    <xf borderId="1024" fillId="138" fontId="57" numFmtId="0" xfId="0" applyAlignment="1" applyBorder="1" applyFont="1">
      <alignment horizontal="center" readingOrder="0" shrinkToFit="0" vertical="center" wrapText="0"/>
    </xf>
    <xf borderId="1024" fillId="138" fontId="57" numFmtId="0" xfId="0" applyAlignment="1" applyBorder="1" applyFont="1">
      <alignment horizontal="left" readingOrder="0" vertical="center"/>
    </xf>
    <xf borderId="1023" fillId="138" fontId="236" numFmtId="0" xfId="0" applyAlignment="1" applyBorder="1" applyFont="1">
      <alignment vertical="center"/>
    </xf>
    <xf borderId="1023" fillId="138" fontId="234" numFmtId="0" xfId="0" applyAlignment="1" applyBorder="1" applyFont="1">
      <alignment readingOrder="0" shrinkToFit="0" vertical="center" wrapText="0"/>
    </xf>
    <xf borderId="1023" fillId="138" fontId="331" numFmtId="49" xfId="0" applyBorder="1" applyFont="1" applyNumberFormat="1"/>
    <xf borderId="1027" fillId="0" fontId="2" numFmtId="0" xfId="0" applyBorder="1" applyFont="1"/>
    <xf borderId="1028" fillId="0" fontId="2" numFmtId="0" xfId="0" applyBorder="1" applyFont="1"/>
    <xf borderId="1029" fillId="0" fontId="2" numFmtId="0" xfId="0" applyBorder="1" applyFont="1"/>
    <xf borderId="1030" fillId="0" fontId="2" numFmtId="0" xfId="0" applyBorder="1" applyFont="1"/>
    <xf borderId="1031" fillId="0" fontId="2" numFmtId="0" xfId="0" applyBorder="1" applyFont="1"/>
    <xf borderId="1023" fillId="138" fontId="57" numFmtId="0" xfId="0" applyAlignment="1" applyBorder="1" applyFont="1">
      <alignment horizontal="center" readingOrder="0" shrinkToFit="0" vertical="center" wrapText="0"/>
    </xf>
    <xf borderId="1023" fillId="138" fontId="57" numFmtId="0" xfId="0" applyAlignment="1" applyBorder="1" applyFont="1">
      <alignment horizontal="left" readingOrder="0" vertical="center"/>
    </xf>
    <xf borderId="1023" fillId="138" fontId="236" numFmtId="0" xfId="0" applyBorder="1" applyFont="1"/>
    <xf borderId="1032" fillId="138" fontId="59" numFmtId="0" xfId="0" applyAlignment="1" applyBorder="1" applyFont="1">
      <alignment horizontal="center" vertical="bottom"/>
    </xf>
    <xf borderId="1033" fillId="0" fontId="2" numFmtId="0" xfId="0" applyBorder="1" applyFont="1"/>
    <xf borderId="1023" fillId="138" fontId="59" numFmtId="0" xfId="0" applyBorder="1" applyFont="1"/>
    <xf borderId="1023" fillId="138" fontId="60" numFmtId="0" xfId="0" applyAlignment="1" applyBorder="1" applyFont="1">
      <alignment readingOrder="0" shrinkToFit="0" vertical="center" wrapText="0"/>
    </xf>
    <xf borderId="1023" fillId="138" fontId="59" numFmtId="0" xfId="0" applyAlignment="1" applyBorder="1" applyFont="1">
      <alignment vertical="center"/>
    </xf>
    <xf borderId="1032" fillId="138" fontId="86" numFmtId="0" xfId="0" applyAlignment="1" applyBorder="1" applyFont="1">
      <alignment horizontal="center" readingOrder="0" vertical="bottom"/>
    </xf>
    <xf borderId="1023" fillId="138" fontId="59" numFmtId="0" xfId="0" applyAlignment="1" applyBorder="1" applyFont="1">
      <alignment vertical="center"/>
    </xf>
    <xf borderId="1024" fillId="138" fontId="87" numFmtId="164" xfId="0" applyAlignment="1" applyBorder="1" applyFont="1" applyNumberFormat="1">
      <alignment horizontal="center" readingOrder="0" vertical="center"/>
    </xf>
    <xf borderId="1032" fillId="138" fontId="40" numFmtId="0" xfId="0" applyBorder="1" applyFont="1"/>
    <xf borderId="1032" fillId="138" fontId="236" numFmtId="0" xfId="0" applyAlignment="1" applyBorder="1" applyFont="1">
      <alignment horizontal="center"/>
    </xf>
    <xf borderId="1034" fillId="0" fontId="2" numFmtId="0" xfId="0" applyBorder="1" applyFont="1"/>
    <xf borderId="1023" fillId="138" fontId="236" numFmtId="0" xfId="0" applyAlignment="1" applyBorder="1" applyFont="1">
      <alignment horizontal="center"/>
    </xf>
    <xf borderId="1023" fillId="138" fontId="235" numFmtId="0" xfId="0" applyAlignment="1" applyBorder="1" applyFont="1">
      <alignment horizontal="center" readingOrder="0" shrinkToFit="0" vertical="center" wrapText="0"/>
    </xf>
    <xf borderId="37" fillId="16" fontId="40" numFmtId="0" xfId="0" applyAlignment="1" applyBorder="1" applyFont="1">
      <alignment vertical="center"/>
    </xf>
    <xf borderId="33" fillId="17" fontId="40" numFmtId="49" xfId="0" applyAlignment="1" applyBorder="1" applyFont="1" applyNumberFormat="1">
      <alignment vertical="center"/>
    </xf>
    <xf borderId="33" fillId="11" fontId="40" numFmtId="49" xfId="0" applyAlignment="1" applyBorder="1" applyFont="1" applyNumberFormat="1">
      <alignment horizontal="center" readingOrder="0" vertical="center"/>
    </xf>
    <xf borderId="33" fillId="0" fontId="40" numFmtId="49" xfId="0" applyAlignment="1" applyBorder="1" applyFont="1" applyNumberFormat="1">
      <alignment horizontal="center" readingOrder="0" vertical="center"/>
    </xf>
    <xf borderId="33" fillId="10" fontId="40" numFmtId="49" xfId="0" applyAlignment="1" applyBorder="1" applyFont="1" applyNumberFormat="1">
      <alignment horizontal="center" readingOrder="0" vertical="center"/>
    </xf>
    <xf borderId="33" fillId="0" fontId="40" numFmtId="0" xfId="0" applyBorder="1" applyFont="1"/>
    <xf borderId="33" fillId="11" fontId="40" numFmtId="0" xfId="0" applyBorder="1" applyFont="1"/>
    <xf borderId="33" fillId="11" fontId="40" numFmtId="0" xfId="0" applyAlignment="1" applyBorder="1" applyFont="1">
      <alignment horizontal="center"/>
    </xf>
    <xf borderId="0" fillId="11" fontId="40" numFmtId="0" xfId="0" applyFont="1"/>
    <xf borderId="33" fillId="11" fontId="40" numFmtId="0" xfId="0" applyBorder="1" applyFont="1"/>
    <xf borderId="34" fillId="16" fontId="40" numFmtId="0" xfId="0" applyAlignment="1" applyBorder="1" applyFont="1">
      <alignment vertical="center"/>
    </xf>
    <xf borderId="33" fillId="17" fontId="40" numFmtId="49" xfId="0" applyAlignment="1" applyBorder="1" applyFont="1" applyNumberFormat="1">
      <alignment vertical="center"/>
    </xf>
    <xf borderId="34" fillId="11" fontId="40" numFmtId="49" xfId="0" applyAlignment="1" applyBorder="1" applyFont="1" applyNumberFormat="1">
      <alignment horizontal="center" readingOrder="0" vertical="center"/>
    </xf>
    <xf borderId="33" fillId="11" fontId="40" numFmtId="0" xfId="0" applyAlignment="1" applyBorder="1" applyFont="1">
      <alignment horizontal="center"/>
    </xf>
    <xf borderId="34" fillId="11" fontId="40" numFmtId="0" xfId="0" applyBorder="1" applyFont="1"/>
    <xf borderId="33" fillId="17" fontId="40" numFmtId="49" xfId="0" applyAlignment="1" applyBorder="1" applyFont="1" applyNumberFormat="1">
      <alignment readingOrder="0" vertical="center"/>
    </xf>
    <xf borderId="33" fillId="16" fontId="40" numFmtId="0" xfId="0" applyAlignment="1" applyBorder="1" applyFont="1">
      <alignment vertical="center"/>
    </xf>
    <xf borderId="0" fillId="17" fontId="40" numFmtId="49" xfId="0" applyFont="1" applyNumberFormat="1"/>
    <xf borderId="33" fillId="17" fontId="40" numFmtId="49" xfId="0" applyBorder="1" applyFont="1" applyNumberFormat="1"/>
    <xf borderId="33" fillId="0" fontId="40" numFmtId="0" xfId="0" applyBorder="1" applyFont="1"/>
    <xf borderId="37" fillId="20" fontId="40" numFmtId="0" xfId="0" applyAlignment="1" applyBorder="1" applyFont="1">
      <alignment vertical="center"/>
    </xf>
    <xf borderId="33" fillId="21" fontId="40" numFmtId="49" xfId="0" applyAlignment="1" applyBorder="1" applyFont="1" applyNumberFormat="1">
      <alignment vertical="center"/>
    </xf>
    <xf borderId="33" fillId="0" fontId="40" numFmtId="0" xfId="0" applyAlignment="1" applyBorder="1" applyFont="1">
      <alignment horizontal="center" readingOrder="0" vertical="center"/>
    </xf>
    <xf borderId="33" fillId="0" fontId="48" numFmtId="0" xfId="0" applyAlignment="1" applyBorder="1" applyFont="1">
      <alignment horizontal="center"/>
    </xf>
    <xf borderId="33" fillId="0" fontId="40" numFmtId="0" xfId="0" applyAlignment="1" applyBorder="1" applyFont="1">
      <alignment horizontal="center" vertical="center"/>
    </xf>
    <xf borderId="33" fillId="18" fontId="40" numFmtId="0" xfId="0" applyAlignment="1" applyBorder="1" applyFont="1">
      <alignment horizontal="center"/>
    </xf>
    <xf borderId="33" fillId="11" fontId="40" numFmtId="0" xfId="0" applyAlignment="1" applyBorder="1" applyFont="1">
      <alignment vertical="top"/>
    </xf>
    <xf borderId="30" fillId="11" fontId="40" numFmtId="0" xfId="0" applyAlignment="1" applyBorder="1" applyFont="1">
      <alignment vertical="top"/>
    </xf>
    <xf borderId="34" fillId="20" fontId="40" numFmtId="0" xfId="0" applyAlignment="1" applyBorder="1" applyFont="1">
      <alignment vertical="center"/>
    </xf>
    <xf borderId="33" fillId="20" fontId="40" numFmtId="0" xfId="0" applyAlignment="1" applyBorder="1" applyFont="1">
      <alignment vertical="center"/>
    </xf>
    <xf borderId="33" fillId="10" fontId="40" numFmtId="0" xfId="0" applyAlignment="1" applyBorder="1" applyFont="1">
      <alignment horizontal="center" readingOrder="0" vertical="center"/>
    </xf>
    <xf borderId="33" fillId="21" fontId="40" numFmtId="49" xfId="0" applyAlignment="1" applyBorder="1" applyFont="1" applyNumberFormat="1">
      <alignment readingOrder="0" vertical="center"/>
    </xf>
    <xf borderId="0" fillId="23" fontId="54" numFmtId="0" xfId="0" applyAlignment="1" applyFont="1">
      <alignment vertical="center"/>
    </xf>
    <xf borderId="33" fillId="23" fontId="54" numFmtId="49" xfId="0" applyAlignment="1" applyBorder="1" applyFont="1" applyNumberFormat="1">
      <alignment horizontal="center"/>
    </xf>
    <xf borderId="33" fillId="23" fontId="54" numFmtId="0" xfId="0" applyAlignment="1" applyBorder="1" applyFont="1">
      <alignment horizontal="center"/>
    </xf>
    <xf borderId="30" fillId="23" fontId="54" numFmtId="0" xfId="0" applyAlignment="1" applyBorder="1" applyFont="1">
      <alignment shrinkToFit="0" wrapText="1"/>
    </xf>
    <xf borderId="33" fillId="23" fontId="45" numFmtId="0" xfId="0" applyAlignment="1" applyBorder="1" applyFont="1">
      <alignment horizontal="center"/>
    </xf>
    <xf borderId="34" fillId="24" fontId="40" numFmtId="0" xfId="0" applyAlignment="1" applyBorder="1" applyFont="1">
      <alignment vertical="center"/>
    </xf>
    <xf borderId="33" fillId="25" fontId="40" numFmtId="49" xfId="0" applyAlignment="1" applyBorder="1" applyFont="1" applyNumberFormat="1">
      <alignment readingOrder="0" vertical="center"/>
    </xf>
    <xf borderId="33" fillId="0" fontId="40" numFmtId="0" xfId="0" applyAlignment="1" applyBorder="1" applyFont="1">
      <alignment horizontal="center" readingOrder="0" vertical="center"/>
    </xf>
    <xf borderId="33" fillId="27" fontId="40" numFmtId="49" xfId="0" applyAlignment="1" applyBorder="1" applyFont="1" applyNumberFormat="1">
      <alignment horizontal="center" readingOrder="0" vertical="center"/>
    </xf>
    <xf borderId="34" fillId="11" fontId="40" numFmtId="0" xfId="0" applyAlignment="1" applyBorder="1" applyFont="1">
      <alignment horizontal="center" readingOrder="0" vertical="center"/>
    </xf>
    <xf borderId="33" fillId="26" fontId="40" numFmtId="49" xfId="0" applyAlignment="1" applyBorder="1" applyFont="1" applyNumberFormat="1">
      <alignment readingOrder="0" vertical="center"/>
    </xf>
    <xf borderId="33" fillId="26" fontId="40" numFmtId="49" xfId="0" applyAlignment="1" applyBorder="1" applyFont="1" applyNumberFormat="1">
      <alignment vertical="center"/>
    </xf>
    <xf borderId="0" fillId="26" fontId="40" numFmtId="49" xfId="0" applyAlignment="1" applyFont="1" applyNumberFormat="1">
      <alignment readingOrder="0" vertical="center"/>
    </xf>
    <xf borderId="26" fillId="11" fontId="41" numFmtId="0" xfId="0" applyAlignment="1" applyBorder="1" applyFont="1">
      <alignment horizontal="left" shrinkToFit="0" vertical="top" wrapText="1"/>
    </xf>
    <xf borderId="33" fillId="26" fontId="40" numFmtId="49" xfId="0" applyAlignment="1" applyBorder="1" applyFont="1" applyNumberFormat="1">
      <alignment readingOrder="0" vertical="center"/>
    </xf>
    <xf borderId="33" fillId="26" fontId="40" numFmtId="49" xfId="0" applyAlignment="1" applyBorder="1" applyFont="1" applyNumberFormat="1">
      <alignment vertical="center"/>
    </xf>
    <xf borderId="30" fillId="23" fontId="54" numFmtId="49" xfId="0" applyAlignment="1" applyBorder="1" applyFont="1" applyNumberFormat="1">
      <alignment vertical="center"/>
    </xf>
    <xf borderId="33" fillId="23" fontId="54" numFmtId="49" xfId="0" applyAlignment="1" applyBorder="1" applyFont="1" applyNumberFormat="1">
      <alignment horizontal="center" vertical="center"/>
    </xf>
    <xf borderId="33" fillId="23" fontId="54" numFmtId="0" xfId="0" applyAlignment="1" applyBorder="1" applyFont="1">
      <alignment horizontal="center" vertical="center"/>
    </xf>
    <xf borderId="30" fillId="23" fontId="54" numFmtId="0" xfId="0" applyAlignment="1" applyBorder="1" applyFont="1">
      <alignment shrinkToFit="0" wrapText="1"/>
    </xf>
    <xf borderId="33" fillId="25" fontId="40" numFmtId="49" xfId="0" applyAlignment="1" applyBorder="1" applyFont="1" applyNumberFormat="1">
      <alignment vertical="center"/>
    </xf>
    <xf borderId="34" fillId="27" fontId="40" numFmtId="49" xfId="0" applyAlignment="1" applyBorder="1" applyFont="1" applyNumberFormat="1">
      <alignment horizontal="center" vertical="center"/>
    </xf>
    <xf borderId="33" fillId="27" fontId="40" numFmtId="49" xfId="0" applyAlignment="1" applyBorder="1" applyFont="1" applyNumberFormat="1">
      <alignment horizontal="center" vertical="center"/>
    </xf>
    <xf borderId="28" fillId="11" fontId="41" numFmtId="0" xfId="0" applyAlignment="1" applyBorder="1" applyFont="1">
      <alignment horizontal="left" readingOrder="0" shrinkToFit="0" vertical="top" wrapText="1"/>
    </xf>
    <xf borderId="33" fillId="27" fontId="40" numFmtId="49" xfId="0" applyBorder="1" applyFont="1" applyNumberFormat="1"/>
    <xf borderId="33" fillId="25" fontId="40" numFmtId="49" xfId="0" applyAlignment="1" applyBorder="1" applyFont="1" applyNumberFormat="1">
      <alignment readingOrder="0" vertical="center"/>
    </xf>
    <xf borderId="0" fillId="11" fontId="40" numFmtId="49" xfId="0" applyAlignment="1" applyFont="1" applyNumberFormat="1">
      <alignment horizontal="center" readingOrder="0" vertical="center"/>
    </xf>
    <xf borderId="26" fillId="0" fontId="40" numFmtId="0" xfId="0" applyAlignment="1" applyBorder="1" applyFont="1">
      <alignment shrinkToFit="0" vertical="top" wrapText="1"/>
    </xf>
    <xf borderId="33" fillId="27" fontId="40" numFmtId="0" xfId="0" applyAlignment="1" applyBorder="1" applyFont="1">
      <alignment vertical="center"/>
    </xf>
    <xf borderId="34" fillId="32" fontId="41" numFmtId="0" xfId="0" applyAlignment="1" applyBorder="1" applyFont="1">
      <alignment readingOrder="0" shrinkToFit="0" vertical="center" wrapText="0"/>
    </xf>
    <xf borderId="33" fillId="33" fontId="41" numFmtId="0" xfId="0" applyAlignment="1" applyBorder="1" applyFont="1">
      <alignment readingOrder="0" shrinkToFit="0" vertical="center" wrapText="0"/>
    </xf>
    <xf borderId="0" fillId="11" fontId="40" numFmtId="49" xfId="0" applyAlignment="1" applyFont="1" applyNumberFormat="1">
      <alignment horizontal="center" vertical="center"/>
    </xf>
    <xf borderId="33" fillId="11" fontId="40" numFmtId="49" xfId="0" applyAlignment="1" applyBorder="1" applyFont="1" applyNumberFormat="1">
      <alignment horizontal="center" vertical="center"/>
    </xf>
    <xf borderId="0" fillId="0" fontId="40" numFmtId="49" xfId="0" applyFont="1" applyNumberFormat="1"/>
    <xf borderId="33" fillId="0" fontId="40" numFmtId="49" xfId="0" applyAlignment="1" applyBorder="1" applyFont="1" applyNumberFormat="1">
      <alignment horizontal="center" vertical="center"/>
    </xf>
    <xf borderId="33" fillId="139" fontId="54" numFmtId="0" xfId="0" applyAlignment="1" applyBorder="1" applyFill="1" applyFont="1">
      <alignment shrinkToFit="0" vertical="bottom" wrapText="0"/>
    </xf>
    <xf borderId="31" fillId="139" fontId="54" numFmtId="49" xfId="0" applyAlignment="1" applyBorder="1" applyFont="1" applyNumberFormat="1">
      <alignment shrinkToFit="0" vertical="bottom" wrapText="0"/>
    </xf>
    <xf borderId="31" fillId="10" fontId="54" numFmtId="49" xfId="0" applyAlignment="1" applyBorder="1" applyFont="1" applyNumberFormat="1">
      <alignment readingOrder="0" shrinkToFit="0" vertical="bottom" wrapText="0"/>
    </xf>
    <xf borderId="31" fillId="139" fontId="54" numFmtId="49" xfId="0" applyAlignment="1" applyBorder="1" applyFont="1" applyNumberFormat="1">
      <alignment readingOrder="0" shrinkToFit="0" vertical="bottom" wrapText="0"/>
    </xf>
    <xf borderId="31" fillId="139" fontId="54" numFmtId="49" xfId="0" applyBorder="1" applyFont="1" applyNumberFormat="1"/>
    <xf borderId="33" fillId="139" fontId="44" numFmtId="49" xfId="0" applyAlignment="1" applyBorder="1" applyFont="1" applyNumberFormat="1">
      <alignment horizontal="left" vertical="bottom"/>
    </xf>
    <xf borderId="36" fillId="140" fontId="48" numFmtId="0" xfId="0" applyAlignment="1" applyBorder="1" applyFill="1" applyFont="1">
      <alignment horizontal="center" shrinkToFit="0" vertical="bottom" wrapText="0"/>
    </xf>
    <xf borderId="29" fillId="141" fontId="40" numFmtId="49" xfId="0" applyAlignment="1" applyBorder="1" applyFill="1" applyFont="1" applyNumberFormat="1">
      <alignment shrinkToFit="0" vertical="bottom" wrapText="0"/>
    </xf>
    <xf borderId="29" fillId="0" fontId="40" numFmtId="49" xfId="0" applyAlignment="1" applyBorder="1" applyFont="1" applyNumberFormat="1">
      <alignment shrinkToFit="0" vertical="bottom" wrapText="0"/>
    </xf>
    <xf borderId="29" fillId="0" fontId="332" numFmtId="49" xfId="0" applyAlignment="1" applyBorder="1" applyFont="1" applyNumberFormat="1">
      <alignment readingOrder="0" shrinkToFit="0" vertical="bottom" wrapText="0"/>
    </xf>
    <xf borderId="29" fillId="0" fontId="53" numFmtId="0" xfId="0" applyAlignment="1" applyBorder="1" applyFont="1">
      <alignment horizontal="center" shrinkToFit="0" wrapText="0"/>
    </xf>
    <xf borderId="29" fillId="0" fontId="53" numFmtId="0" xfId="0" applyAlignment="1" applyBorder="1" applyFont="1">
      <alignment horizontal="center" readingOrder="0" shrinkToFit="0" wrapText="0"/>
    </xf>
    <xf borderId="36" fillId="0" fontId="49" numFmtId="49" xfId="0" applyAlignment="1" applyBorder="1" applyFont="1" applyNumberFormat="1">
      <alignment horizontal="left" vertical="bottom"/>
    </xf>
    <xf borderId="29" fillId="10" fontId="40" numFmtId="49" xfId="0" applyAlignment="1" applyBorder="1" applyFont="1" applyNumberFormat="1">
      <alignment readingOrder="0" shrinkToFit="0" vertical="bottom" wrapText="0"/>
    </xf>
    <xf borderId="29" fillId="0" fontId="40" numFmtId="49" xfId="0" applyAlignment="1" applyBorder="1" applyFont="1" applyNumberFormat="1">
      <alignment readingOrder="0" shrinkToFit="0" vertical="bottom" wrapText="0"/>
    </xf>
    <xf borderId="29" fillId="141" fontId="40" numFmtId="49" xfId="0" applyAlignment="1" applyBorder="1" applyFont="1" applyNumberFormat="1">
      <alignment readingOrder="0" shrinkToFit="0" vertical="bottom" wrapText="0"/>
    </xf>
    <xf borderId="36" fillId="0" fontId="49" numFmtId="49" xfId="0" applyAlignment="1" applyBorder="1" applyFont="1" applyNumberFormat="1">
      <alignment horizontal="left" readingOrder="0" vertical="bottom"/>
    </xf>
    <xf borderId="33" fillId="0" fontId="49" numFmtId="49" xfId="0" applyAlignment="1" applyBorder="1" applyFont="1" applyNumberFormat="1">
      <alignment horizontal="left" vertical="bottom"/>
    </xf>
    <xf borderId="33" fillId="0" fontId="53" numFmtId="0" xfId="0" applyAlignment="1" applyBorder="1" applyFont="1">
      <alignment horizontal="left" readingOrder="0" shrinkToFit="0" wrapText="0"/>
    </xf>
    <xf borderId="29" fillId="0" fontId="333" numFmtId="49" xfId="0" applyAlignment="1" applyBorder="1" applyFont="1" applyNumberFormat="1">
      <alignment readingOrder="0" shrinkToFit="0" vertical="bottom" wrapText="0"/>
    </xf>
    <xf borderId="29" fillId="0" fontId="334" numFmtId="49" xfId="0" applyAlignment="1" applyBorder="1" applyFont="1" applyNumberFormat="1">
      <alignment readingOrder="0" shrinkToFit="0" vertical="bottom" wrapText="0"/>
    </xf>
    <xf borderId="33" fillId="10" fontId="209" numFmtId="49" xfId="0" applyAlignment="1" applyBorder="1" applyFont="1" applyNumberFormat="1">
      <alignment horizontal="center" readingOrder="0" vertical="center"/>
    </xf>
    <xf borderId="31" fillId="139" fontId="104" numFmtId="49" xfId="0" applyAlignment="1" applyBorder="1" applyFont="1" applyNumberFormat="1">
      <alignment readingOrder="0" vertical="center"/>
    </xf>
    <xf borderId="31" fillId="139" fontId="51" numFmtId="49" xfId="0" applyAlignment="1" applyBorder="1" applyFont="1" applyNumberFormat="1">
      <alignment horizontal="center" vertical="center"/>
    </xf>
    <xf borderId="31" fillId="139" fontId="51" numFmtId="49" xfId="0" applyAlignment="1" applyBorder="1" applyFont="1" applyNumberFormat="1">
      <alignment horizontal="center" readingOrder="0" vertical="center"/>
    </xf>
    <xf borderId="1035" fillId="139" fontId="51" numFmtId="49" xfId="0" applyAlignment="1" applyBorder="1" applyFont="1" applyNumberFormat="1">
      <alignment horizontal="center" vertical="center"/>
    </xf>
    <xf borderId="31" fillId="139" fontId="54" numFmtId="49" xfId="0" applyAlignment="1" applyBorder="1" applyFont="1" applyNumberFormat="1">
      <alignment horizontal="center" vertical="center"/>
    </xf>
    <xf borderId="31" fillId="139" fontId="40" numFmtId="49" xfId="0" applyAlignment="1" applyBorder="1" applyFont="1" applyNumberFormat="1">
      <alignment horizontal="center" vertical="center"/>
    </xf>
    <xf borderId="33" fillId="139" fontId="40" numFmtId="49" xfId="0" applyAlignment="1" applyBorder="1" applyFont="1" applyNumberFormat="1">
      <alignment vertical="center"/>
    </xf>
    <xf borderId="33" fillId="139" fontId="54" numFmtId="49" xfId="0" applyAlignment="1" applyBorder="1" applyFont="1" applyNumberFormat="1">
      <alignment horizontal="center" vertical="center"/>
    </xf>
    <xf borderId="33" fillId="139" fontId="45" numFmtId="49" xfId="0" applyAlignment="1" applyBorder="1" applyFont="1" applyNumberFormat="1">
      <alignment horizontal="center" vertical="center"/>
    </xf>
    <xf borderId="33" fillId="139" fontId="51" numFmtId="49" xfId="0" applyAlignment="1" applyBorder="1" applyFont="1" applyNumberFormat="1">
      <alignment horizontal="center" vertical="center"/>
    </xf>
    <xf borderId="31" fillId="139" fontId="44" numFmtId="49" xfId="0" applyAlignment="1" applyBorder="1" applyFont="1" applyNumberFormat="1">
      <alignment horizontal="center" readingOrder="0" vertical="center"/>
    </xf>
    <xf borderId="33" fillId="139" fontId="44" numFmtId="49" xfId="0" applyAlignment="1" applyBorder="1" applyFont="1" applyNumberFormat="1">
      <alignment horizontal="left" readingOrder="0" vertical="center"/>
    </xf>
    <xf borderId="36" fillId="140" fontId="48" numFmtId="0" xfId="0" applyAlignment="1" applyBorder="1" applyFont="1">
      <alignment horizontal="center" readingOrder="0" shrinkToFit="0" vertical="center" wrapText="0"/>
    </xf>
    <xf borderId="29" fillId="141" fontId="40" numFmtId="49" xfId="0" applyAlignment="1" applyBorder="1" applyFont="1" applyNumberFormat="1">
      <alignment shrinkToFit="0" vertical="center" wrapText="0"/>
    </xf>
    <xf borderId="29" fillId="0" fontId="40" numFmtId="0" xfId="0" applyAlignment="1" applyBorder="1" applyFont="1">
      <alignment horizontal="center" vertical="center"/>
    </xf>
    <xf borderId="1036" fillId="0" fontId="40" numFmtId="0" xfId="0" applyAlignment="1" applyBorder="1" applyFont="1">
      <alignment horizontal="center" vertical="center"/>
    </xf>
    <xf borderId="29" fillId="0" fontId="40" numFmtId="0" xfId="0" applyAlignment="1" applyBorder="1" applyFont="1">
      <alignment horizontal="center" readingOrder="0" vertical="center"/>
    </xf>
    <xf borderId="33" fillId="0" fontId="335" numFmtId="49" xfId="0" applyAlignment="1" applyBorder="1" applyFont="1" applyNumberFormat="1">
      <alignment horizontal="center" readingOrder="0" vertical="center"/>
    </xf>
    <xf borderId="1036" fillId="0" fontId="40" numFmtId="0" xfId="0" applyAlignment="1" applyBorder="1" applyFont="1">
      <alignment horizontal="center" readingOrder="0" vertical="center"/>
    </xf>
    <xf borderId="33" fillId="0" fontId="335" numFmtId="49" xfId="0" applyAlignment="1" applyBorder="1" applyFont="1" applyNumberFormat="1">
      <alignment horizontal="center" vertical="center"/>
    </xf>
    <xf borderId="33" fillId="0" fontId="53" numFmtId="0" xfId="0" applyAlignment="1" applyBorder="1" applyFont="1">
      <alignment horizontal="center" shrinkToFit="0" vertical="center" wrapText="0"/>
    </xf>
    <xf borderId="31" fillId="0" fontId="53" numFmtId="0" xfId="0" applyAlignment="1" applyBorder="1" applyFont="1">
      <alignment horizontal="center" shrinkToFit="0" vertical="center" wrapText="0"/>
    </xf>
    <xf borderId="31" fillId="0" fontId="53" numFmtId="49" xfId="0" applyAlignment="1" applyBorder="1" applyFont="1" applyNumberFormat="1">
      <alignment horizontal="left" shrinkToFit="0" vertical="center" wrapText="0"/>
    </xf>
    <xf borderId="36" fillId="0" fontId="335" numFmtId="49" xfId="0" applyAlignment="1" applyBorder="1" applyFont="1" applyNumberFormat="1">
      <alignment horizontal="center" readingOrder="0" vertical="center"/>
    </xf>
    <xf borderId="36" fillId="0" fontId="53" numFmtId="0" xfId="0" applyAlignment="1" applyBorder="1" applyFont="1">
      <alignment horizontal="center" shrinkToFit="0" vertical="center" wrapText="0"/>
    </xf>
    <xf borderId="29" fillId="0" fontId="53" numFmtId="0" xfId="0" applyAlignment="1" applyBorder="1" applyFont="1">
      <alignment horizontal="center" shrinkToFit="0" vertical="center" wrapText="0"/>
    </xf>
    <xf borderId="29" fillId="0" fontId="53" numFmtId="49" xfId="0" applyAlignment="1" applyBorder="1" applyFont="1" applyNumberFormat="1">
      <alignment horizontal="left" shrinkToFit="0" vertical="center" wrapText="0"/>
    </xf>
    <xf borderId="29" fillId="0" fontId="53" numFmtId="0" xfId="0" applyAlignment="1" applyBorder="1" applyFont="1">
      <alignment horizontal="center" readingOrder="0" shrinkToFit="0" vertical="center" wrapText="0"/>
    </xf>
    <xf borderId="29" fillId="0" fontId="53" numFmtId="0" xfId="0" applyAlignment="1" applyBorder="1" applyFont="1">
      <alignment horizontal="left" readingOrder="0" shrinkToFit="0" vertical="center" wrapText="0"/>
    </xf>
    <xf borderId="33" fillId="10" fontId="336" numFmtId="49" xfId="0" applyAlignment="1" applyBorder="1" applyFont="1" applyNumberFormat="1">
      <alignment horizontal="center" vertical="center"/>
    </xf>
    <xf borderId="33" fillId="10" fontId="335" numFmtId="49" xfId="0" applyAlignment="1" applyBorder="1" applyFont="1" applyNumberFormat="1">
      <alignment horizontal="center" vertical="center"/>
    </xf>
    <xf borderId="33" fillId="0" fontId="40" numFmtId="49" xfId="0" applyAlignment="1" applyBorder="1" applyFont="1" applyNumberFormat="1">
      <alignment horizontal="center" readingOrder="0" vertical="center"/>
    </xf>
    <xf borderId="31" fillId="0" fontId="40" numFmtId="0" xfId="0" applyAlignment="1" applyBorder="1" applyFont="1">
      <alignment horizontal="center" vertical="center"/>
    </xf>
    <xf borderId="1035" fillId="0" fontId="40" numFmtId="0" xfId="0" applyAlignment="1" applyBorder="1" applyFont="1">
      <alignment horizontal="center" vertical="center"/>
    </xf>
    <xf borderId="31" fillId="0" fontId="40" numFmtId="0" xfId="0" applyAlignment="1" applyBorder="1" applyFont="1">
      <alignment horizontal="center" readingOrder="0" vertical="center"/>
    </xf>
    <xf borderId="31" fillId="0" fontId="40" numFmtId="49" xfId="0" applyAlignment="1" applyBorder="1" applyFont="1" applyNumberFormat="1">
      <alignment horizontal="center" readingOrder="0" vertical="center"/>
    </xf>
    <xf borderId="1035" fillId="0" fontId="40" numFmtId="0" xfId="0" applyAlignment="1" applyBorder="1" applyFont="1">
      <alignment horizontal="center" readingOrder="0" vertical="center"/>
    </xf>
    <xf borderId="29" fillId="0" fontId="53" numFmtId="0" xfId="0" applyAlignment="1" applyBorder="1" applyFont="1">
      <alignment horizontal="left" shrinkToFit="0" vertical="center" wrapText="0"/>
    </xf>
    <xf borderId="36" fillId="0" fontId="53" numFmtId="0" xfId="0" applyAlignment="1" applyBorder="1" applyFont="1">
      <alignment horizontal="center" readingOrder="0" shrinkToFit="0" vertical="center" wrapText="0"/>
    </xf>
    <xf borderId="36" fillId="0" fontId="40" numFmtId="49" xfId="0" applyAlignment="1" applyBorder="1" applyFont="1" applyNumberFormat="1">
      <alignment horizontal="center" readingOrder="0" vertical="center"/>
    </xf>
    <xf borderId="33" fillId="139" fontId="40" numFmtId="49" xfId="0" applyAlignment="1" applyBorder="1" applyFont="1" applyNumberFormat="1">
      <alignment vertical="center"/>
    </xf>
    <xf borderId="33" fillId="139" fontId="51" numFmtId="0" xfId="0" applyAlignment="1" applyBorder="1" applyFont="1">
      <alignment vertical="center"/>
    </xf>
    <xf borderId="33" fillId="139" fontId="45" numFmtId="0" xfId="0" applyAlignment="1" applyBorder="1" applyFont="1">
      <alignment vertical="center"/>
    </xf>
    <xf borderId="33" fillId="139" fontId="54" numFmtId="0" xfId="0" applyAlignment="1" applyBorder="1" applyFont="1">
      <alignment vertical="center"/>
    </xf>
    <xf borderId="33" fillId="139" fontId="54" numFmtId="0" xfId="0" applyAlignment="1" applyBorder="1" applyFont="1">
      <alignment readingOrder="0" vertical="center"/>
    </xf>
    <xf borderId="0" fillId="0" fontId="40" numFmtId="0" xfId="0" applyAlignment="1" applyFont="1">
      <alignment horizontal="center"/>
    </xf>
    <xf borderId="33" fillId="0" fontId="335" numFmtId="0" xfId="0" applyAlignment="1" applyBorder="1" applyFont="1">
      <alignment horizontal="center"/>
    </xf>
    <xf borderId="33" fillId="0" fontId="40" numFmtId="0" xfId="0" applyAlignment="1" applyBorder="1" applyFont="1">
      <alignment horizontal="center"/>
    </xf>
    <xf borderId="33" fillId="10" fontId="40" numFmtId="0" xfId="0" applyAlignment="1" applyBorder="1" applyFont="1">
      <alignment horizontal="center"/>
    </xf>
    <xf borderId="33" fillId="10" fontId="209" numFmtId="0" xfId="0" applyAlignment="1" applyBorder="1" applyFont="1">
      <alignment horizontal="center" vertical="bottom"/>
    </xf>
    <xf borderId="33" fillId="10" fontId="209" numFmtId="49" xfId="0" applyAlignment="1" applyBorder="1" applyFont="1" applyNumberFormat="1">
      <alignment horizontal="center" vertical="bottom"/>
    </xf>
    <xf borderId="31" fillId="0" fontId="53" numFmtId="0" xfId="0" applyAlignment="1" applyBorder="1" applyFont="1">
      <alignment horizontal="left" shrinkToFit="0" vertical="center" wrapText="0"/>
    </xf>
    <xf borderId="33" fillId="10" fontId="40" numFmtId="0" xfId="0" applyAlignment="1" applyBorder="1" applyFont="1">
      <alignment horizontal="center" readingOrder="0"/>
    </xf>
    <xf borderId="33" fillId="139" fontId="44" numFmtId="0" xfId="0" applyAlignment="1" applyBorder="1" applyFont="1">
      <alignment horizontal="left" readingOrder="0" shrinkToFit="0" vertical="center" wrapText="0"/>
    </xf>
    <xf borderId="30" fillId="139" fontId="44" numFmtId="49" xfId="0" applyAlignment="1" applyBorder="1" applyFont="1" applyNumberFormat="1">
      <alignment horizontal="center" readingOrder="0" vertical="center"/>
    </xf>
    <xf borderId="32" fillId="139" fontId="44" numFmtId="49" xfId="0" applyAlignment="1" applyBorder="1" applyFont="1" applyNumberFormat="1">
      <alignment horizontal="center" readingOrder="0" vertical="center"/>
    </xf>
    <xf borderId="1035" fillId="0" fontId="2" numFmtId="0" xfId="0" applyBorder="1" applyFont="1"/>
    <xf borderId="0" fillId="139" fontId="44" numFmtId="49" xfId="0" applyAlignment="1" applyFont="1" applyNumberFormat="1">
      <alignment horizontal="center" readingOrder="0" vertical="center"/>
    </xf>
    <xf borderId="0" fillId="139" fontId="44" numFmtId="49" xfId="0" applyAlignment="1" applyFont="1" applyNumberFormat="1">
      <alignment horizontal="left" readingOrder="0" vertical="center"/>
    </xf>
    <xf borderId="33" fillId="139" fontId="54" numFmtId="49" xfId="0" applyAlignment="1" applyBorder="1" applyFont="1" applyNumberFormat="1">
      <alignment readingOrder="0" vertical="center"/>
    </xf>
    <xf borderId="33" fillId="139" fontId="51" numFmtId="49" xfId="0" applyAlignment="1" applyBorder="1" applyFont="1" applyNumberFormat="1">
      <alignment horizontal="left" readingOrder="0" vertical="center"/>
    </xf>
    <xf borderId="30" fillId="139" fontId="51" numFmtId="49" xfId="0" applyAlignment="1" applyBorder="1" applyFont="1" applyNumberFormat="1">
      <alignment horizontal="left" readingOrder="0" vertical="center"/>
    </xf>
    <xf borderId="33" fillId="139" fontId="51" numFmtId="49" xfId="0" applyBorder="1" applyFont="1" applyNumberFormat="1"/>
    <xf borderId="31" fillId="139" fontId="51" numFmtId="49" xfId="0" applyAlignment="1" applyBorder="1" applyFont="1" applyNumberFormat="1">
      <alignment readingOrder="0"/>
    </xf>
    <xf borderId="32" fillId="139" fontId="51" numFmtId="49" xfId="0" applyAlignment="1" applyBorder="1" applyFont="1" applyNumberFormat="1">
      <alignment readingOrder="0" vertical="center"/>
    </xf>
    <xf borderId="29" fillId="141" fontId="40" numFmtId="49" xfId="0" applyAlignment="1" applyBorder="1" applyFont="1" applyNumberFormat="1">
      <alignment readingOrder="0" shrinkToFit="0" vertical="center" wrapText="0"/>
    </xf>
    <xf borderId="31" fillId="0" fontId="53" numFmtId="0" xfId="0" applyAlignment="1" applyBorder="1" applyFont="1">
      <alignment horizontal="left" readingOrder="0" shrinkToFit="0" vertical="center" wrapText="0"/>
    </xf>
    <xf borderId="33" fillId="140" fontId="48" numFmtId="0" xfId="0" applyAlignment="1" applyBorder="1" applyFont="1">
      <alignment horizontal="center" readingOrder="0" shrinkToFit="0" vertical="center" wrapText="0"/>
    </xf>
    <xf borderId="33" fillId="141" fontId="40" numFmtId="49" xfId="0" applyAlignment="1" applyBorder="1" applyFont="1" applyNumberFormat="1">
      <alignment shrinkToFit="0" vertical="center" wrapText="0"/>
    </xf>
    <xf borderId="33" fillId="0" fontId="53" numFmtId="0" xfId="0" applyAlignment="1" applyBorder="1" applyFont="1">
      <alignment horizontal="left" shrinkToFit="0" vertical="center" wrapText="0"/>
    </xf>
    <xf borderId="31" fillId="139" fontId="54" numFmtId="49" xfId="0" applyAlignment="1" applyBorder="1" applyFont="1" applyNumberFormat="1">
      <alignment vertical="center"/>
    </xf>
    <xf borderId="33" fillId="139" fontId="44" numFmtId="49" xfId="0" applyAlignment="1" applyBorder="1" applyFont="1" applyNumberFormat="1">
      <alignment horizontal="center" readingOrder="0" vertical="center"/>
    </xf>
    <xf borderId="1037" fillId="139" fontId="44" numFmtId="49" xfId="0" applyAlignment="1" applyBorder="1" applyFont="1" applyNumberFormat="1">
      <alignment horizontal="center" readingOrder="0" vertical="center"/>
    </xf>
    <xf borderId="30" fillId="0" fontId="41" numFmtId="0" xfId="0" applyAlignment="1" applyBorder="1" applyFont="1">
      <alignment horizontal="center" readingOrder="0" shrinkToFit="0" vertical="center" wrapText="0"/>
    </xf>
    <xf borderId="1038" fillId="0" fontId="41" numFmtId="0" xfId="0" applyAlignment="1" applyBorder="1" applyFont="1">
      <alignment horizontal="center" readingOrder="0" shrinkToFit="0" vertical="center" wrapText="0"/>
    </xf>
    <xf borderId="1037" fillId="0" fontId="41" numFmtId="0" xfId="0" applyAlignment="1" applyBorder="1" applyFont="1">
      <alignment horizontal="center" readingOrder="0" shrinkToFit="0" vertical="center" wrapText="0"/>
    </xf>
    <xf borderId="31" fillId="0" fontId="337" numFmtId="0" xfId="0" applyAlignment="1" applyBorder="1" applyFont="1">
      <alignment horizontal="center" readingOrder="0" shrinkToFit="0" vertical="center" wrapText="0"/>
    </xf>
    <xf borderId="33" fillId="0" fontId="337" numFmtId="0" xfId="0" applyAlignment="1" applyBorder="1" applyFont="1">
      <alignment horizontal="center" readingOrder="0" shrinkToFit="0" vertical="center" wrapText="0"/>
    </xf>
    <xf borderId="33" fillId="0" fontId="337" numFmtId="49" xfId="0" applyAlignment="1" applyBorder="1" applyFont="1" applyNumberFormat="1">
      <alignment horizontal="center" readingOrder="0" shrinkToFit="0" vertical="center" wrapText="0"/>
    </xf>
    <xf borderId="1037" fillId="0" fontId="337" numFmtId="0" xfId="0" applyAlignment="1" applyBorder="1" applyFont="1">
      <alignment horizontal="center" readingOrder="0" shrinkToFit="0" vertical="center" wrapText="0"/>
    </xf>
    <xf borderId="36" fillId="140" fontId="48" numFmtId="0" xfId="0" applyAlignment="1" applyBorder="1" applyFont="1">
      <alignment horizontal="center" shrinkToFit="0" vertical="center" wrapText="0"/>
    </xf>
    <xf borderId="31" fillId="0" fontId="337" numFmtId="166" xfId="0" applyAlignment="1" applyBorder="1" applyFont="1" applyNumberFormat="1">
      <alignment horizontal="center" readingOrder="0" shrinkToFit="0" vertical="center" wrapText="0"/>
    </xf>
    <xf borderId="29" fillId="0" fontId="41" numFmtId="0" xfId="0" applyAlignment="1" applyBorder="1" applyFont="1">
      <alignment horizontal="center" readingOrder="0" shrinkToFit="0" vertical="center" wrapText="0"/>
    </xf>
    <xf borderId="31" fillId="0" fontId="338" numFmtId="49" xfId="0" applyAlignment="1" applyBorder="1" applyFont="1" applyNumberFormat="1">
      <alignment horizontal="center" readingOrder="0" vertical="center"/>
    </xf>
    <xf borderId="33" fillId="140" fontId="48" numFmtId="0" xfId="0" applyAlignment="1" applyBorder="1" applyFont="1">
      <alignment horizontal="center" readingOrder="0" shrinkToFit="0" vertical="center" wrapText="1"/>
    </xf>
    <xf borderId="33" fillId="141" fontId="40" numFmtId="49" xfId="0" applyAlignment="1" applyBorder="1" applyFont="1" applyNumberFormat="1">
      <alignment readingOrder="0" vertical="center"/>
    </xf>
    <xf borderId="30" fillId="0" fontId="41" numFmtId="166" xfId="0" applyAlignment="1" applyBorder="1" applyFont="1" applyNumberFormat="1">
      <alignment horizontal="center" readingOrder="0" shrinkToFit="0" vertical="center" wrapText="0"/>
    </xf>
    <xf borderId="33" fillId="141" fontId="40" numFmtId="49" xfId="0" applyAlignment="1" applyBorder="1" applyFont="1" applyNumberFormat="1">
      <alignment readingOrder="0" shrinkToFit="0" vertical="center" wrapText="0"/>
    </xf>
    <xf borderId="1038" fillId="139" fontId="44" numFmtId="49" xfId="0" applyAlignment="1" applyBorder="1" applyFont="1" applyNumberFormat="1">
      <alignment horizontal="center" readingOrder="0" vertical="center"/>
    </xf>
    <xf borderId="1039" fillId="139" fontId="44" numFmtId="49" xfId="0" applyAlignment="1" applyBorder="1" applyFont="1" applyNumberFormat="1">
      <alignment horizontal="center" readingOrder="0" vertical="center"/>
    </xf>
    <xf borderId="1040" fillId="0" fontId="2" numFmtId="0" xfId="0" applyBorder="1" applyFont="1"/>
    <xf borderId="1038" fillId="139" fontId="51" numFmtId="49" xfId="0" applyAlignment="1" applyBorder="1" applyFont="1" applyNumberFormat="1">
      <alignment horizontal="left" readingOrder="0" vertical="center"/>
    </xf>
    <xf borderId="31" fillId="139" fontId="51" numFmtId="49" xfId="0" applyAlignment="1" applyBorder="1" applyFont="1" applyNumberFormat="1">
      <alignment horizontal="left" readingOrder="0" vertical="center"/>
    </xf>
    <xf borderId="31" fillId="139" fontId="51" numFmtId="49" xfId="0" applyBorder="1" applyFont="1" applyNumberFormat="1"/>
    <xf borderId="1038" fillId="139" fontId="51" numFmtId="49" xfId="0" applyBorder="1" applyFont="1" applyNumberFormat="1"/>
    <xf borderId="33" fillId="139" fontId="51" numFmtId="49" xfId="0" applyAlignment="1" applyBorder="1" applyFont="1" applyNumberFormat="1">
      <alignment readingOrder="0"/>
    </xf>
    <xf borderId="1037" fillId="139" fontId="51" numFmtId="49" xfId="0" applyAlignment="1" applyBorder="1" applyFont="1" applyNumberFormat="1">
      <alignment readingOrder="0"/>
    </xf>
    <xf borderId="1037" fillId="139" fontId="51" numFmtId="49" xfId="0" applyBorder="1" applyFont="1" applyNumberFormat="1"/>
    <xf borderId="1041" fillId="0" fontId="40" numFmtId="49" xfId="0" applyAlignment="1" applyBorder="1" applyFont="1" applyNumberFormat="1">
      <alignment horizontal="center" vertical="bottom"/>
    </xf>
    <xf borderId="1042" fillId="0" fontId="40" numFmtId="49" xfId="0" applyAlignment="1" applyBorder="1" applyFont="1" applyNumberFormat="1">
      <alignment horizontal="center" vertical="bottom"/>
    </xf>
    <xf borderId="1037" fillId="10" fontId="41" numFmtId="0" xfId="0" applyAlignment="1" applyBorder="1" applyFont="1">
      <alignment horizontal="center" readingOrder="0" shrinkToFit="0" vertical="center" wrapText="0"/>
    </xf>
    <xf borderId="1038" fillId="10" fontId="41" numFmtId="0" xfId="0" applyAlignment="1" applyBorder="1" applyFont="1">
      <alignment horizontal="center" readingOrder="0" shrinkToFit="0" vertical="center" wrapText="0"/>
    </xf>
    <xf borderId="1038" fillId="0" fontId="40" numFmtId="0" xfId="0" applyAlignment="1" applyBorder="1" applyFont="1">
      <alignment horizontal="center" shrinkToFit="0" vertical="bottom" wrapText="0"/>
    </xf>
    <xf borderId="31" fillId="0" fontId="40" numFmtId="49" xfId="0" applyAlignment="1" applyBorder="1" applyFont="1" applyNumberFormat="1">
      <alignment horizontal="center" shrinkToFit="0" vertical="bottom" wrapText="0"/>
    </xf>
    <xf borderId="1035" fillId="0" fontId="40" numFmtId="0" xfId="0" applyAlignment="1" applyBorder="1" applyFont="1">
      <alignment horizontal="center" shrinkToFit="0" vertical="bottom" wrapText="0"/>
    </xf>
    <xf borderId="31" fillId="0" fontId="40" numFmtId="0" xfId="0" applyAlignment="1" applyBorder="1" applyFont="1">
      <alignment horizontal="center" shrinkToFit="0" vertical="bottom" wrapText="0"/>
    </xf>
    <xf borderId="1040" fillId="0" fontId="40" numFmtId="0" xfId="0" applyAlignment="1" applyBorder="1" applyFont="1">
      <alignment horizontal="center" shrinkToFit="0" vertical="bottom" wrapText="0"/>
    </xf>
    <xf borderId="1035" fillId="0" fontId="41" numFmtId="0" xfId="0" applyAlignment="1" applyBorder="1" applyFont="1">
      <alignment horizontal="center" readingOrder="0" shrinkToFit="0" vertical="center" wrapText="0"/>
    </xf>
    <xf borderId="1040" fillId="0" fontId="41" numFmtId="0" xfId="0" applyAlignment="1" applyBorder="1" applyFont="1">
      <alignment horizontal="center" readingOrder="0" shrinkToFit="0" vertical="center" wrapText="0"/>
    </xf>
    <xf borderId="1035" fillId="0" fontId="41" numFmtId="49" xfId="0" applyAlignment="1" applyBorder="1" applyFont="1" applyNumberFormat="1">
      <alignment horizontal="center" readingOrder="0" shrinkToFit="0" vertical="center" wrapText="0"/>
    </xf>
    <xf borderId="32" fillId="0" fontId="41" numFmtId="49" xfId="0" applyAlignment="1" applyBorder="1" applyFont="1" applyNumberFormat="1">
      <alignment horizontal="center" readingOrder="0" shrinkToFit="0" vertical="center" wrapText="0"/>
    </xf>
    <xf borderId="1038" fillId="0" fontId="17" numFmtId="0" xfId="0" applyAlignment="1" applyBorder="1" applyFont="1">
      <alignment horizontal="center" readingOrder="0" shrinkToFit="0" vertical="center" wrapText="0"/>
    </xf>
    <xf borderId="1038" fillId="0" fontId="40" numFmtId="49" xfId="0" applyAlignment="1" applyBorder="1" applyFont="1" applyNumberFormat="1">
      <alignment horizontal="center" shrinkToFit="0" vertical="bottom" wrapText="0"/>
    </xf>
    <xf borderId="1035" fillId="0" fontId="41" numFmtId="49" xfId="0" applyAlignment="1" applyBorder="1" applyFont="1" applyNumberFormat="1">
      <alignment horizontal="center" shrinkToFit="0" vertical="center" wrapText="0"/>
    </xf>
    <xf borderId="32" fillId="0" fontId="41" numFmtId="49" xfId="0" applyAlignment="1" applyBorder="1" applyFont="1" applyNumberFormat="1">
      <alignment horizontal="center" shrinkToFit="0" vertical="center" wrapText="0"/>
    </xf>
    <xf borderId="1038" fillId="0" fontId="41" numFmtId="0" xfId="0" applyAlignment="1" applyBorder="1" applyFont="1">
      <alignment horizontal="center" shrinkToFit="0" vertical="center" wrapText="0"/>
    </xf>
    <xf borderId="33" fillId="0" fontId="40" numFmtId="49" xfId="0" applyAlignment="1" applyBorder="1" applyFont="1" applyNumberFormat="1">
      <alignment horizontal="center" shrinkToFit="0" vertical="bottom" wrapText="0"/>
    </xf>
    <xf borderId="1043" fillId="139" fontId="54" numFmtId="49" xfId="0" applyAlignment="1" applyBorder="1" applyFont="1" applyNumberFormat="1">
      <alignment horizontal="center"/>
    </xf>
    <xf borderId="32" fillId="139" fontId="54" numFmtId="49" xfId="0" applyAlignment="1" applyBorder="1" applyFont="1" applyNumberFormat="1">
      <alignment horizontal="center"/>
    </xf>
    <xf borderId="1037" fillId="139" fontId="51" numFmtId="49" xfId="0" applyAlignment="1" applyBorder="1" applyFont="1" applyNumberFormat="1">
      <alignment horizontal="left" readingOrder="0" vertical="center"/>
    </xf>
    <xf borderId="1041" fillId="139" fontId="51" numFmtId="49" xfId="0" applyBorder="1" applyFont="1" applyNumberFormat="1"/>
    <xf borderId="1041" fillId="0" fontId="40" numFmtId="0" xfId="0" applyAlignment="1" applyBorder="1" applyFont="1">
      <alignment horizontal="center"/>
    </xf>
    <xf borderId="1038" fillId="0" fontId="40" numFmtId="0" xfId="0" applyAlignment="1" applyBorder="1" applyFont="1">
      <alignment horizontal="center"/>
    </xf>
    <xf borderId="31" fillId="0" fontId="40" numFmtId="0" xfId="0" applyAlignment="1" applyBorder="1" applyFont="1">
      <alignment horizontal="center"/>
    </xf>
    <xf borderId="31" fillId="87" fontId="40" numFmtId="0" xfId="0" applyAlignment="1" applyBorder="1" applyFont="1">
      <alignment horizontal="center"/>
    </xf>
    <xf borderId="1037" fillId="0" fontId="40" numFmtId="0" xfId="0" applyAlignment="1" applyBorder="1" applyFont="1">
      <alignment horizontal="center"/>
    </xf>
    <xf borderId="32" fillId="18" fontId="41" numFmtId="49" xfId="0" applyAlignment="1" applyBorder="1" applyFont="1" applyNumberFormat="1">
      <alignment horizontal="center" readingOrder="0" shrinkToFit="0" vertical="center" wrapText="0"/>
    </xf>
    <xf borderId="33" fillId="18" fontId="40" numFmtId="49" xfId="0" applyAlignment="1" applyBorder="1" applyFont="1" applyNumberFormat="1">
      <alignment horizontal="center"/>
    </xf>
    <xf borderId="32" fillId="10" fontId="41" numFmtId="49" xfId="0" applyAlignment="1" applyBorder="1" applyFont="1" applyNumberFormat="1">
      <alignment horizontal="center" readingOrder="0" shrinkToFit="0" vertical="center" wrapText="0"/>
    </xf>
    <xf borderId="33" fillId="0" fontId="40" numFmtId="49" xfId="0" applyAlignment="1" applyBorder="1" applyFont="1" applyNumberFormat="1">
      <alignment horizontal="center" vertical="bottom"/>
    </xf>
    <xf borderId="32" fillId="0" fontId="40" numFmtId="0" xfId="0" applyAlignment="1" applyBorder="1" applyFont="1">
      <alignment horizontal="center" shrinkToFit="0" vertical="bottom" wrapText="0"/>
    </xf>
    <xf borderId="33" fillId="0" fontId="40" numFmtId="49" xfId="0" applyAlignment="1" applyBorder="1" applyFont="1" applyNumberFormat="1">
      <alignment horizontal="center" readingOrder="0"/>
    </xf>
    <xf borderId="1041" fillId="0" fontId="40" numFmtId="0" xfId="0" applyAlignment="1" applyBorder="1" applyFont="1">
      <alignment horizontal="center" readingOrder="0"/>
    </xf>
    <xf borderId="1038" fillId="0" fontId="40" numFmtId="0" xfId="0" applyAlignment="1" applyBorder="1" applyFont="1">
      <alignment horizontal="center" readingOrder="0"/>
    </xf>
    <xf borderId="31" fillId="0" fontId="40" numFmtId="0" xfId="0" applyAlignment="1" applyBorder="1" applyFont="1">
      <alignment horizontal="center" readingOrder="0"/>
    </xf>
    <xf borderId="1037" fillId="0" fontId="40" numFmtId="0" xfId="0" applyAlignment="1" applyBorder="1" applyFont="1">
      <alignment horizontal="center" readingOrder="0"/>
    </xf>
    <xf borderId="33" fillId="18" fontId="40" numFmtId="49" xfId="0" applyAlignment="1" applyBorder="1" applyFont="1" applyNumberFormat="1">
      <alignment horizontal="center" readingOrder="0"/>
    </xf>
    <xf borderId="31" fillId="87" fontId="40" numFmtId="0" xfId="0" applyAlignment="1" applyBorder="1" applyFont="1">
      <alignment horizontal="center" readingOrder="0"/>
    </xf>
    <xf borderId="643" fillId="97" fontId="235" numFmtId="0" xfId="0" applyAlignment="1" applyBorder="1" applyFont="1">
      <alignment horizontal="center" readingOrder="0" shrinkToFit="0" vertical="center" wrapText="0"/>
    </xf>
    <xf borderId="1044" fillId="0" fontId="2" numFmtId="0" xfId="0" applyBorder="1" applyFont="1"/>
    <xf borderId="33" fillId="19" fontId="51" numFmtId="0" xfId="0" applyAlignment="1" applyBorder="1" applyFont="1">
      <alignment horizontal="center" readingOrder="0" shrinkToFit="0" vertical="center" wrapText="0"/>
    </xf>
    <xf borderId="31" fillId="28" fontId="17" numFmtId="49" xfId="0" applyAlignment="1" applyBorder="1" applyFont="1" applyNumberFormat="1">
      <alignment horizontal="center" readingOrder="0" shrinkToFit="0" vertical="center" wrapText="0"/>
    </xf>
    <xf borderId="1040" fillId="139" fontId="51" numFmtId="49" xfId="0" applyAlignment="1" applyBorder="1" applyFont="1" applyNumberFormat="1">
      <alignment horizontal="center" vertical="center"/>
    </xf>
    <xf borderId="1040" fillId="139" fontId="51" numFmtId="49" xfId="0" applyAlignment="1" applyBorder="1" applyFont="1" applyNumberFormat="1">
      <alignment horizontal="left" readingOrder="0" vertical="center"/>
    </xf>
    <xf borderId="33" fillId="140" fontId="48" numFmtId="0" xfId="0" applyAlignment="1" applyBorder="1" applyFont="1">
      <alignment horizontal="center" shrinkToFit="0" vertical="center" wrapText="1"/>
    </xf>
    <xf borderId="33" fillId="141" fontId="40" numFmtId="49" xfId="0" applyAlignment="1" applyBorder="1" applyFont="1" applyNumberFormat="1">
      <alignment vertical="center"/>
    </xf>
    <xf borderId="1038" fillId="0" fontId="40" numFmtId="49" xfId="0" applyAlignment="1" applyBorder="1" applyFont="1" applyNumberFormat="1">
      <alignment horizontal="center" readingOrder="0" shrinkToFit="0" vertical="center" wrapText="0"/>
    </xf>
    <xf borderId="1040" fillId="0" fontId="40" numFmtId="0" xfId="0" applyAlignment="1" applyBorder="1" applyFont="1">
      <alignment horizontal="center" readingOrder="0" shrinkToFit="0" vertical="center" wrapText="0"/>
    </xf>
    <xf borderId="33" fillId="0" fontId="53" numFmtId="0" xfId="0" applyAlignment="1" applyBorder="1" applyFont="1">
      <alignment horizontal="center" shrinkToFit="0" vertical="bottom" wrapText="0"/>
    </xf>
    <xf borderId="31" fillId="0" fontId="53" numFmtId="0" xfId="0" applyAlignment="1" applyBorder="1" applyFont="1">
      <alignment horizontal="center" shrinkToFit="0" vertical="bottom" wrapText="0"/>
    </xf>
    <xf borderId="36" fillId="0" fontId="53" numFmtId="0" xfId="0" applyAlignment="1" applyBorder="1" applyFont="1">
      <alignment horizontal="center" shrinkToFit="0" vertical="bottom" wrapText="0"/>
    </xf>
    <xf borderId="29" fillId="0" fontId="53" numFmtId="0" xfId="0" applyAlignment="1" applyBorder="1" applyFont="1">
      <alignment horizontal="center" shrinkToFit="0" vertical="bottom" wrapText="0"/>
    </xf>
    <xf borderId="31" fillId="0" fontId="209" numFmtId="0" xfId="0" applyAlignment="1" applyBorder="1" applyFont="1">
      <alignment horizontal="center" readingOrder="0" shrinkToFit="0" vertical="center" wrapText="0"/>
    </xf>
    <xf borderId="1038" fillId="0" fontId="209" numFmtId="49" xfId="0" applyAlignment="1" applyBorder="1" applyFont="1" applyNumberFormat="1">
      <alignment horizontal="center" readingOrder="0" shrinkToFit="0" vertical="center" wrapText="0"/>
    </xf>
    <xf borderId="33" fillId="141" fontId="339" numFmtId="49" xfId="0" applyAlignment="1" applyBorder="1" applyFont="1" applyNumberFormat="1">
      <alignment readingOrder="0" vertical="center"/>
    </xf>
    <xf borderId="0" fillId="140" fontId="48" numFmtId="0" xfId="0" applyAlignment="1" applyFont="1">
      <alignment horizontal="center" readingOrder="0" shrinkToFit="0" vertical="center" wrapText="1"/>
    </xf>
    <xf borderId="0" fillId="141" fontId="339" numFmtId="49" xfId="0" applyAlignment="1" applyFont="1" applyNumberFormat="1">
      <alignment readingOrder="0" vertical="center"/>
    </xf>
    <xf borderId="0" fillId="0" fontId="40" numFmtId="49" xfId="0" applyAlignment="1" applyFont="1" applyNumberFormat="1">
      <alignment horizontal="center" readingOrder="0" shrinkToFit="0" vertical="center" wrapText="0"/>
    </xf>
    <xf borderId="0" fillId="0" fontId="40" numFmtId="0" xfId="0" applyAlignment="1" applyFont="1">
      <alignment horizontal="center" readingOrder="0" shrinkToFit="0" vertical="center" wrapText="0"/>
    </xf>
  </cellXfs>
  <cellStyles count="1">
    <cellStyle xfId="0" name="Normal" builtinId="0"/>
  </cellStyles>
  <dxfs count="9">
    <dxf>
      <font>
        <b/>
        <color rgb="FF000000"/>
      </font>
      <fill>
        <patternFill patternType="none"/>
      </fill>
      <border/>
    </dxf>
    <dxf>
      <font>
        <b/>
      </font>
      <fill>
        <patternFill patternType="solid">
          <fgColor rgb="FFFFF2CC"/>
          <bgColor rgb="FFFFF2CC"/>
        </patternFill>
      </fill>
      <border/>
    </dxf>
    <dxf>
      <font>
        <b/>
        <color rgb="FF000000"/>
      </font>
      <fill>
        <patternFill patternType="solid">
          <fgColor rgb="FFFFFF00"/>
          <bgColor rgb="FFFFFF00"/>
        </patternFill>
      </fill>
      <border/>
    </dxf>
    <dxf>
      <font/>
      <fill>
        <patternFill patternType="solid">
          <fgColor rgb="FF666666"/>
          <bgColor rgb="FF666666"/>
        </patternFill>
      </fill>
      <border/>
    </dxf>
    <dxf>
      <font/>
      <fill>
        <patternFill patternType="solid">
          <fgColor rgb="FFF4E4E3"/>
          <bgColor rgb="FFF4E4E3"/>
        </patternFill>
      </fill>
      <border/>
    </dxf>
    <dxf>
      <font/>
      <fill>
        <patternFill patternType="solid">
          <fgColor rgb="FFE2E9F3"/>
          <bgColor rgb="FFE2E9F3"/>
        </patternFill>
      </fill>
      <border/>
    </dxf>
    <dxf>
      <font/>
      <fill>
        <patternFill patternType="solid">
          <fgColor rgb="FFFFF2CC"/>
          <bgColor rgb="FFFFF2CC"/>
        </patternFill>
      </fill>
      <border/>
    </dxf>
    <dxf>
      <font/>
      <fill>
        <patternFill patternType="solid">
          <fgColor rgb="FFF2D7D5"/>
          <bgColor rgb="FFF2D7D5"/>
        </patternFill>
      </fill>
      <border/>
    </dxf>
    <dxf>
      <font/>
      <fill>
        <patternFill patternType="none"/>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05" Type="http://schemas.openxmlformats.org/officeDocument/2006/relationships/worksheet" Target="worksheets/sheet102.xml"/><Relationship Id="rId104" Type="http://schemas.openxmlformats.org/officeDocument/2006/relationships/worksheet" Target="worksheets/sheet101.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103" Type="http://schemas.openxmlformats.org/officeDocument/2006/relationships/worksheet" Target="worksheets/sheet100.xml"/><Relationship Id="rId102" Type="http://schemas.openxmlformats.org/officeDocument/2006/relationships/worksheet" Target="worksheets/sheet99.xml"/><Relationship Id="rId101" Type="http://schemas.openxmlformats.org/officeDocument/2006/relationships/worksheet" Target="worksheets/sheet98.xml"/><Relationship Id="rId100" Type="http://schemas.openxmlformats.org/officeDocument/2006/relationships/worksheet" Target="worksheets/sheet97.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95" Type="http://schemas.openxmlformats.org/officeDocument/2006/relationships/worksheet" Target="worksheets/sheet92.xml"/><Relationship Id="rId94" Type="http://schemas.openxmlformats.org/officeDocument/2006/relationships/worksheet" Target="worksheets/sheet91.xml"/><Relationship Id="rId97" Type="http://schemas.openxmlformats.org/officeDocument/2006/relationships/worksheet" Target="worksheets/sheet94.xml"/><Relationship Id="rId96" Type="http://schemas.openxmlformats.org/officeDocument/2006/relationships/worksheet" Target="worksheets/sheet93.xml"/><Relationship Id="rId11" Type="http://schemas.openxmlformats.org/officeDocument/2006/relationships/worksheet" Target="worksheets/sheet8.xml"/><Relationship Id="rId99" Type="http://schemas.openxmlformats.org/officeDocument/2006/relationships/worksheet" Target="worksheets/sheet96.xml"/><Relationship Id="rId10" Type="http://schemas.openxmlformats.org/officeDocument/2006/relationships/worksheet" Target="worksheets/sheet7.xml"/><Relationship Id="rId98" Type="http://schemas.openxmlformats.org/officeDocument/2006/relationships/worksheet" Target="worksheets/sheet95.xml"/><Relationship Id="rId13" Type="http://schemas.openxmlformats.org/officeDocument/2006/relationships/worksheet" Target="worksheets/sheet10.xml"/><Relationship Id="rId12" Type="http://schemas.openxmlformats.org/officeDocument/2006/relationships/worksheet" Target="worksheets/sheet9.xml"/><Relationship Id="rId91" Type="http://schemas.openxmlformats.org/officeDocument/2006/relationships/worksheet" Target="worksheets/sheet88.xml"/><Relationship Id="rId90" Type="http://schemas.openxmlformats.org/officeDocument/2006/relationships/worksheet" Target="worksheets/sheet87.xml"/><Relationship Id="rId93" Type="http://schemas.openxmlformats.org/officeDocument/2006/relationships/worksheet" Target="worksheets/sheet90.xml"/><Relationship Id="rId92" Type="http://schemas.openxmlformats.org/officeDocument/2006/relationships/worksheet" Target="worksheets/sheet8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84" Type="http://schemas.openxmlformats.org/officeDocument/2006/relationships/worksheet" Target="worksheets/sheet81.xml"/><Relationship Id="rId83" Type="http://schemas.openxmlformats.org/officeDocument/2006/relationships/worksheet" Target="worksheets/sheet80.xml"/><Relationship Id="rId86" Type="http://schemas.openxmlformats.org/officeDocument/2006/relationships/worksheet" Target="worksheets/sheet83.xml"/><Relationship Id="rId85" Type="http://schemas.openxmlformats.org/officeDocument/2006/relationships/worksheet" Target="worksheets/sheet82.xml"/><Relationship Id="rId88" Type="http://schemas.openxmlformats.org/officeDocument/2006/relationships/worksheet" Target="worksheets/sheet85.xml"/><Relationship Id="rId87" Type="http://schemas.openxmlformats.org/officeDocument/2006/relationships/worksheet" Target="worksheets/sheet84.xml"/><Relationship Id="rId89" Type="http://schemas.openxmlformats.org/officeDocument/2006/relationships/worksheet" Target="worksheets/sheet86.xml"/><Relationship Id="rId80" Type="http://schemas.openxmlformats.org/officeDocument/2006/relationships/worksheet" Target="worksheets/sheet77.xml"/><Relationship Id="rId82" Type="http://schemas.openxmlformats.org/officeDocument/2006/relationships/worksheet" Target="worksheets/sheet79.xml"/><Relationship Id="rId81" Type="http://schemas.openxmlformats.org/officeDocument/2006/relationships/worksheet" Target="worksheets/sheet78.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73" Type="http://schemas.openxmlformats.org/officeDocument/2006/relationships/worksheet" Target="worksheets/sheet70.xml"/><Relationship Id="rId72" Type="http://schemas.openxmlformats.org/officeDocument/2006/relationships/worksheet" Target="worksheets/sheet69.xml"/><Relationship Id="rId75" Type="http://schemas.openxmlformats.org/officeDocument/2006/relationships/worksheet" Target="worksheets/sheet72.xml"/><Relationship Id="rId74" Type="http://schemas.openxmlformats.org/officeDocument/2006/relationships/worksheet" Target="worksheets/sheet71.xml"/><Relationship Id="rId77" Type="http://schemas.openxmlformats.org/officeDocument/2006/relationships/worksheet" Target="worksheets/sheet74.xml"/><Relationship Id="rId76" Type="http://schemas.openxmlformats.org/officeDocument/2006/relationships/worksheet" Target="worksheets/sheet73.xml"/><Relationship Id="rId79" Type="http://schemas.openxmlformats.org/officeDocument/2006/relationships/worksheet" Target="worksheets/sheet76.xml"/><Relationship Id="rId78" Type="http://schemas.openxmlformats.org/officeDocument/2006/relationships/worksheet" Target="worksheets/sheet75.xml"/><Relationship Id="rId71" Type="http://schemas.openxmlformats.org/officeDocument/2006/relationships/worksheet" Target="worksheets/sheet68.xml"/><Relationship Id="rId70" Type="http://schemas.openxmlformats.org/officeDocument/2006/relationships/worksheet" Target="worksheets/sheet67.xml"/><Relationship Id="rId62" Type="http://schemas.openxmlformats.org/officeDocument/2006/relationships/worksheet" Target="worksheets/sheet59.xml"/><Relationship Id="rId61" Type="http://schemas.openxmlformats.org/officeDocument/2006/relationships/worksheet" Target="worksheets/sheet58.xml"/><Relationship Id="rId64" Type="http://schemas.openxmlformats.org/officeDocument/2006/relationships/worksheet" Target="worksheets/sheet61.xml"/><Relationship Id="rId63" Type="http://schemas.openxmlformats.org/officeDocument/2006/relationships/worksheet" Target="worksheets/sheet60.xml"/><Relationship Id="rId66" Type="http://schemas.openxmlformats.org/officeDocument/2006/relationships/worksheet" Target="worksheets/sheet63.xml"/><Relationship Id="rId65" Type="http://schemas.openxmlformats.org/officeDocument/2006/relationships/worksheet" Target="worksheets/sheet62.xml"/><Relationship Id="rId68" Type="http://schemas.openxmlformats.org/officeDocument/2006/relationships/worksheet" Target="worksheets/sheet65.xml"/><Relationship Id="rId67" Type="http://schemas.openxmlformats.org/officeDocument/2006/relationships/worksheet" Target="worksheets/sheet64.xml"/><Relationship Id="rId60" Type="http://schemas.openxmlformats.org/officeDocument/2006/relationships/worksheet" Target="worksheets/sheet57.xml"/><Relationship Id="rId69" Type="http://schemas.openxmlformats.org/officeDocument/2006/relationships/worksheet" Target="worksheets/sheet66.xml"/><Relationship Id="rId51" Type="http://schemas.openxmlformats.org/officeDocument/2006/relationships/worksheet" Target="worksheets/sheet48.xml"/><Relationship Id="rId50" Type="http://schemas.openxmlformats.org/officeDocument/2006/relationships/worksheet" Target="worksheets/sheet47.xml"/><Relationship Id="rId53" Type="http://schemas.openxmlformats.org/officeDocument/2006/relationships/worksheet" Target="worksheets/sheet50.xml"/><Relationship Id="rId52" Type="http://schemas.openxmlformats.org/officeDocument/2006/relationships/worksheet" Target="worksheets/sheet49.xml"/><Relationship Id="rId55" Type="http://schemas.openxmlformats.org/officeDocument/2006/relationships/worksheet" Target="worksheets/sheet52.xml"/><Relationship Id="rId54" Type="http://schemas.openxmlformats.org/officeDocument/2006/relationships/worksheet" Target="worksheets/sheet51.xml"/><Relationship Id="rId57" Type="http://schemas.openxmlformats.org/officeDocument/2006/relationships/worksheet" Target="worksheets/sheet54.xml"/><Relationship Id="rId56" Type="http://schemas.openxmlformats.org/officeDocument/2006/relationships/worksheet" Target="worksheets/sheet53.xml"/><Relationship Id="rId59" Type="http://schemas.openxmlformats.org/officeDocument/2006/relationships/worksheet" Target="worksheets/sheet56.xml"/><Relationship Id="rId58"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2.xml"/><Relationship Id="rId3"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3.xml"/><Relationship Id="rId3" Type="http://schemas.openxmlformats.org/officeDocument/2006/relationships/vmlDrawing" Target="../drawings/vmlDrawing12.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4.xml"/><Relationship Id="rId3" Type="http://schemas.openxmlformats.org/officeDocument/2006/relationships/vmlDrawing" Target="../drawings/vmlDrawing13.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5.xml"/><Relationship Id="rId3"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6.xml"/><Relationship Id="rId3"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7.xml"/><Relationship Id="rId3"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18.xml"/><Relationship Id="rId3"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drawing" Target="../drawings/drawing19.xml"/><Relationship Id="rId3"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drawing" Target="../drawings/drawing20.xml"/><Relationship Id="rId3" Type="http://schemas.openxmlformats.org/officeDocument/2006/relationships/vmlDrawing" Target="../drawings/vmlDrawing19.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drawing" Target="../drawings/drawing21.xml"/><Relationship Id="rId3" Type="http://schemas.openxmlformats.org/officeDocument/2006/relationships/vmlDrawing" Target="../drawings/vmlDrawing20.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drawing" Target="../drawings/drawing22.xml"/><Relationship Id="rId3" Type="http://schemas.openxmlformats.org/officeDocument/2006/relationships/vmlDrawing" Target="../drawings/vmlDrawing21.vml"/></Relationships>
</file>

<file path=xl/worksheets/_rels/sheet23.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drawing" Target="../drawings/drawing23.xml"/><Relationship Id="rId3" Type="http://schemas.openxmlformats.org/officeDocument/2006/relationships/vmlDrawing" Target="../drawings/vmlDrawing22.v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drawing" Target="../drawings/drawing24.xml"/><Relationship Id="rId3" Type="http://schemas.openxmlformats.org/officeDocument/2006/relationships/vmlDrawing" Target="../drawings/vmlDrawing23.vml"/></Relationships>
</file>

<file path=xl/worksheets/_rels/sheet25.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drawing" Target="../drawings/drawing25.xml"/><Relationship Id="rId3" Type="http://schemas.openxmlformats.org/officeDocument/2006/relationships/vmlDrawing" Target="../drawings/vmlDrawing24.vml"/></Relationships>
</file>

<file path=xl/worksheets/_rels/sheet26.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drawing" Target="../drawings/drawing26.xml"/><Relationship Id="rId3" Type="http://schemas.openxmlformats.org/officeDocument/2006/relationships/vmlDrawing" Target="../drawings/vmlDrawing25.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drawing" Target="../drawings/drawing27.xml"/><Relationship Id="rId3" Type="http://schemas.openxmlformats.org/officeDocument/2006/relationships/vmlDrawing" Target="../drawings/vmlDrawing26.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drawing" Target="../drawings/drawing28.xml"/><Relationship Id="rId3" Type="http://schemas.openxmlformats.org/officeDocument/2006/relationships/vmlDrawing" Target="../drawings/vmlDrawing27.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drawing" Target="../drawings/drawing29.xml"/><Relationship Id="rId3" Type="http://schemas.openxmlformats.org/officeDocument/2006/relationships/vmlDrawing" Target="../drawings/vmlDrawing28.vml"/></Relationships>
</file>

<file path=xl/worksheets/_rels/sheet30.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drawing" Target="../drawings/drawing30.xml"/><Relationship Id="rId3" Type="http://schemas.openxmlformats.org/officeDocument/2006/relationships/vmlDrawing" Target="../drawings/vmlDrawing29.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drawing" Target="../drawings/drawing31.xml"/><Relationship Id="rId3" Type="http://schemas.openxmlformats.org/officeDocument/2006/relationships/vmlDrawing" Target="../drawings/vmlDrawing30.vml"/></Relationships>
</file>

<file path=xl/worksheets/_rels/sheet32.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drawing" Target="../drawings/drawing32.xml"/><Relationship Id="rId3" Type="http://schemas.openxmlformats.org/officeDocument/2006/relationships/vmlDrawing" Target="../drawings/vmlDrawing31.vml"/></Relationships>
</file>

<file path=xl/worksheets/_rels/sheet33.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drawing" Target="../drawings/drawing33.xml"/><Relationship Id="rId3" Type="http://schemas.openxmlformats.org/officeDocument/2006/relationships/vmlDrawing" Target="../drawings/vmlDrawing32.vml"/></Relationships>
</file>

<file path=xl/worksheets/_rels/sheet34.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drawing" Target="../drawings/drawing34.xml"/><Relationship Id="rId3" Type="http://schemas.openxmlformats.org/officeDocument/2006/relationships/vmlDrawing" Target="../drawings/vmlDrawing33.vml"/></Relationships>
</file>

<file path=xl/worksheets/_rels/sheet35.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drawing" Target="../drawings/drawing35.xml"/><Relationship Id="rId3" Type="http://schemas.openxmlformats.org/officeDocument/2006/relationships/vmlDrawing" Target="../drawings/vmlDrawing34.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drawing" Target="../drawings/drawing36.xml"/><Relationship Id="rId3" Type="http://schemas.openxmlformats.org/officeDocument/2006/relationships/vmlDrawing" Target="../drawings/vmlDrawing35.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drawing" Target="../drawings/drawing37.xml"/><Relationship Id="rId3" Type="http://schemas.openxmlformats.org/officeDocument/2006/relationships/vmlDrawing" Target="../drawings/vmlDrawing36.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drawing" Target="../drawings/drawing38.xml"/><Relationship Id="rId3" Type="http://schemas.openxmlformats.org/officeDocument/2006/relationships/vmlDrawing" Target="../drawings/vmlDrawing37.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drawing" Target="../drawings/drawing39.xml"/><Relationship Id="rId3" Type="http://schemas.openxmlformats.org/officeDocument/2006/relationships/vmlDrawing" Target="../drawings/vmlDrawing38.vml"/></Relationships>
</file>

<file path=xl/worksheets/_rels/sheet40.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drawing" Target="../drawings/drawing40.xml"/><Relationship Id="rId3" Type="http://schemas.openxmlformats.org/officeDocument/2006/relationships/vmlDrawing" Target="../drawings/vmlDrawing39.vml"/></Relationships>
</file>

<file path=xl/worksheets/_rels/sheet41.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drawing" Target="../drawings/drawing41.xml"/><Relationship Id="rId3" Type="http://schemas.openxmlformats.org/officeDocument/2006/relationships/vmlDrawing" Target="../drawings/vmlDrawing40.vml"/></Relationships>
</file>

<file path=xl/worksheets/_rels/sheet42.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drawing" Target="../drawings/drawing42.xml"/><Relationship Id="rId3" Type="http://schemas.openxmlformats.org/officeDocument/2006/relationships/vmlDrawing" Target="../drawings/vmlDrawing41.vml"/></Relationships>
</file>

<file path=xl/worksheets/_rels/sheet43.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drawing" Target="../drawings/drawing43.xml"/><Relationship Id="rId3" Type="http://schemas.openxmlformats.org/officeDocument/2006/relationships/vmlDrawing" Target="../drawings/vmlDrawing42.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drawing" Target="../drawings/drawing44.xml"/><Relationship Id="rId3" Type="http://schemas.openxmlformats.org/officeDocument/2006/relationships/vmlDrawing" Target="../drawings/vmlDrawing43.vml"/></Relationships>
</file>

<file path=xl/worksheets/_rels/sheet45.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drawing" Target="../drawings/drawing45.xml"/><Relationship Id="rId3" Type="http://schemas.openxmlformats.org/officeDocument/2006/relationships/vmlDrawing" Target="../drawings/vmlDrawing44.vml"/></Relationships>
</file>

<file path=xl/worksheets/_rels/sheet46.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drawing" Target="../drawings/drawing46.xml"/><Relationship Id="rId3" Type="http://schemas.openxmlformats.org/officeDocument/2006/relationships/vmlDrawing" Target="../drawings/vmlDrawing45.vml"/></Relationships>
</file>

<file path=xl/worksheets/_rels/sheet47.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drawing" Target="../drawings/drawing47.xml"/><Relationship Id="rId3" Type="http://schemas.openxmlformats.org/officeDocument/2006/relationships/vmlDrawing" Target="../drawings/vmlDrawing46.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drawing" Target="../drawings/drawing48.xml"/><Relationship Id="rId3" Type="http://schemas.openxmlformats.org/officeDocument/2006/relationships/vmlDrawing" Target="../drawings/vmlDrawing47.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drawing" Target="../drawings/drawing49.xml"/><Relationship Id="rId3" Type="http://schemas.openxmlformats.org/officeDocument/2006/relationships/vmlDrawing" Target="../drawings/vmlDrawing48.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drawing" Target="../drawings/drawing50.xml"/><Relationship Id="rId3" Type="http://schemas.openxmlformats.org/officeDocument/2006/relationships/vmlDrawing" Target="../drawings/vmlDrawing49.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drawing" Target="../drawings/drawing51.xml"/><Relationship Id="rId3" Type="http://schemas.openxmlformats.org/officeDocument/2006/relationships/vmlDrawing" Target="../drawings/vmlDrawing50.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drawing" Target="../drawings/drawing52.xml"/><Relationship Id="rId3" Type="http://schemas.openxmlformats.org/officeDocument/2006/relationships/vmlDrawing" Target="../drawings/vmlDrawing51.vml"/></Relationships>
</file>

<file path=xl/worksheets/_rels/sheet53.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drawing" Target="../drawings/drawing53.xml"/><Relationship Id="rId3" Type="http://schemas.openxmlformats.org/officeDocument/2006/relationships/vmlDrawing" Target="../drawings/vmlDrawing52.vml"/></Relationships>
</file>

<file path=xl/worksheets/_rels/sheet54.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drawing" Target="../drawings/drawing54.xml"/><Relationship Id="rId3" Type="http://schemas.openxmlformats.org/officeDocument/2006/relationships/vmlDrawing" Target="../drawings/vmlDrawing53.vml"/></Relationships>
</file>

<file path=xl/worksheets/_rels/sheet55.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drawing" Target="../drawings/drawing55.xml"/><Relationship Id="rId3" Type="http://schemas.openxmlformats.org/officeDocument/2006/relationships/vmlDrawing" Target="../drawings/vmlDrawing54.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drawing" Target="../drawings/drawing56.xml"/><Relationship Id="rId3" Type="http://schemas.openxmlformats.org/officeDocument/2006/relationships/vmlDrawing" Target="../drawings/vmlDrawing55.vml"/></Relationships>
</file>

<file path=xl/worksheets/_rels/sheet57.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drawing" Target="../drawings/drawing57.xml"/><Relationship Id="rId3" Type="http://schemas.openxmlformats.org/officeDocument/2006/relationships/vmlDrawing" Target="../drawings/vmlDrawing56.vml"/></Relationships>
</file>

<file path=xl/worksheets/_rels/sheet58.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drawing" Target="../drawings/drawing58.xml"/><Relationship Id="rId3" Type="http://schemas.openxmlformats.org/officeDocument/2006/relationships/vmlDrawing" Target="../drawings/vmlDrawing57.vml"/></Relationships>
</file>

<file path=xl/worksheets/_rels/sheet59.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drawing" Target="../drawings/drawing59.xml"/><Relationship Id="rId3" Type="http://schemas.openxmlformats.org/officeDocument/2006/relationships/vmlDrawing" Target="../drawings/vmlDrawing58.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drawing" Target="../drawings/drawing60.xml"/><Relationship Id="rId3" Type="http://schemas.openxmlformats.org/officeDocument/2006/relationships/vmlDrawing" Target="../drawings/vmlDrawing59.vml"/></Relationships>
</file>

<file path=xl/worksheets/_rels/sheet61.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drawing" Target="../drawings/drawing61.xml"/><Relationship Id="rId3" Type="http://schemas.openxmlformats.org/officeDocument/2006/relationships/vmlDrawing" Target="../drawings/vmlDrawing60.vml"/></Relationships>
</file>

<file path=xl/worksheets/_rels/sheet62.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drawing" Target="../drawings/drawing62.xml"/><Relationship Id="rId3" Type="http://schemas.openxmlformats.org/officeDocument/2006/relationships/vmlDrawing" Target="../drawings/vmlDrawing61.vml"/></Relationships>
</file>

<file path=xl/worksheets/_rels/sheet63.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drawing" Target="../drawings/drawing63.xml"/><Relationship Id="rId3" Type="http://schemas.openxmlformats.org/officeDocument/2006/relationships/vmlDrawing" Target="../drawings/vmlDrawing62.vml"/></Relationships>
</file>

<file path=xl/worksheets/_rels/sheet64.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drawing" Target="../drawings/drawing64.xml"/><Relationship Id="rId3" Type="http://schemas.openxmlformats.org/officeDocument/2006/relationships/vmlDrawing" Target="../drawings/vmlDrawing63.vml"/></Relationships>
</file>

<file path=xl/worksheets/_rels/sheet65.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drawing" Target="../drawings/drawing65.xml"/><Relationship Id="rId3" Type="http://schemas.openxmlformats.org/officeDocument/2006/relationships/vmlDrawing" Target="../drawings/vmlDrawing64.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drawing" Target="../drawings/drawing66.xml"/><Relationship Id="rId3" Type="http://schemas.openxmlformats.org/officeDocument/2006/relationships/vmlDrawing" Target="../drawings/vmlDrawing65.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drawing" Target="../drawings/drawing67.xml"/><Relationship Id="rId3" Type="http://schemas.openxmlformats.org/officeDocument/2006/relationships/vmlDrawing" Target="../drawings/vmlDrawing66.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drawing" Target="../drawings/drawing68.xml"/><Relationship Id="rId3" Type="http://schemas.openxmlformats.org/officeDocument/2006/relationships/vmlDrawing" Target="../drawings/vmlDrawing67.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drawing" Target="../drawings/drawing69.xml"/><Relationship Id="rId3" Type="http://schemas.openxmlformats.org/officeDocument/2006/relationships/vmlDrawing" Target="../drawings/vmlDrawing68.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drawing" Target="../drawings/drawing70.xml"/><Relationship Id="rId3" Type="http://schemas.openxmlformats.org/officeDocument/2006/relationships/vmlDrawing" Target="../drawings/vmlDrawing69.vml"/></Relationships>
</file>

<file path=xl/worksheets/_rels/sheet71.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drawing" Target="../drawings/drawing71.xml"/><Relationship Id="rId3" Type="http://schemas.openxmlformats.org/officeDocument/2006/relationships/vmlDrawing" Target="../drawings/vmlDrawing70.vml"/></Relationships>
</file>

<file path=xl/worksheets/_rels/sheet72.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drawing" Target="../drawings/drawing72.xml"/><Relationship Id="rId3" Type="http://schemas.openxmlformats.org/officeDocument/2006/relationships/vmlDrawing" Target="../drawings/vmlDrawing71.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72.xml"/><Relationship Id="rId2" Type="http://schemas.openxmlformats.org/officeDocument/2006/relationships/drawing" Target="../drawings/drawing73.xml"/><Relationship Id="rId3" Type="http://schemas.openxmlformats.org/officeDocument/2006/relationships/vmlDrawing" Target="../drawings/vmlDrawing72.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73.xml"/><Relationship Id="rId2" Type="http://schemas.openxmlformats.org/officeDocument/2006/relationships/drawing" Target="../drawings/drawing74.xml"/><Relationship Id="rId3" Type="http://schemas.openxmlformats.org/officeDocument/2006/relationships/vmlDrawing" Target="../drawings/vmlDrawing73.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74.xml"/><Relationship Id="rId2" Type="http://schemas.openxmlformats.org/officeDocument/2006/relationships/drawing" Target="../drawings/drawing75.xml"/><Relationship Id="rId3" Type="http://schemas.openxmlformats.org/officeDocument/2006/relationships/vmlDrawing" Target="../drawings/vmlDrawing74.vml"/></Relationships>
</file>

<file path=xl/worksheets/_rels/sheet76.xml.rels><?xml version="1.0" encoding="UTF-8" standalone="yes"?><Relationships xmlns="http://schemas.openxmlformats.org/package/2006/relationships"><Relationship Id="rId1" Type="http://schemas.openxmlformats.org/officeDocument/2006/relationships/comments" Target="../comments75.xml"/><Relationship Id="rId2" Type="http://schemas.openxmlformats.org/officeDocument/2006/relationships/drawing" Target="../drawings/drawing76.xml"/><Relationship Id="rId3" Type="http://schemas.openxmlformats.org/officeDocument/2006/relationships/vmlDrawing" Target="../drawings/vmlDrawing75.vml"/></Relationships>
</file>

<file path=xl/worksheets/_rels/sheet77.xml.rels><?xml version="1.0" encoding="UTF-8" standalone="yes"?><Relationships xmlns="http://schemas.openxmlformats.org/package/2006/relationships"><Relationship Id="rId1" Type="http://schemas.openxmlformats.org/officeDocument/2006/relationships/comments" Target="../comments76.xml"/><Relationship Id="rId2" Type="http://schemas.openxmlformats.org/officeDocument/2006/relationships/drawing" Target="../drawings/drawing77.xml"/><Relationship Id="rId3" Type="http://schemas.openxmlformats.org/officeDocument/2006/relationships/vmlDrawing" Target="../drawings/vmlDrawing76.vml"/></Relationships>
</file>

<file path=xl/worksheets/_rels/sheet78.xml.rels><?xml version="1.0" encoding="UTF-8" standalone="yes"?><Relationships xmlns="http://schemas.openxmlformats.org/package/2006/relationships"><Relationship Id="rId1" Type="http://schemas.openxmlformats.org/officeDocument/2006/relationships/comments" Target="../comments77.xml"/><Relationship Id="rId2" Type="http://schemas.openxmlformats.org/officeDocument/2006/relationships/drawing" Target="../drawings/drawing78.xml"/><Relationship Id="rId3" Type="http://schemas.openxmlformats.org/officeDocument/2006/relationships/vmlDrawing" Target="../drawings/vmlDrawing77.vml"/></Relationships>
</file>

<file path=xl/worksheets/_rels/sheet79.xml.rels><?xml version="1.0" encoding="UTF-8" standalone="yes"?><Relationships xmlns="http://schemas.openxmlformats.org/package/2006/relationships"><Relationship Id="rId1" Type="http://schemas.openxmlformats.org/officeDocument/2006/relationships/comments" Target="../comments78.xml"/><Relationship Id="rId2" Type="http://schemas.openxmlformats.org/officeDocument/2006/relationships/drawing" Target="../drawings/drawing79.xml"/><Relationship Id="rId3" Type="http://schemas.openxmlformats.org/officeDocument/2006/relationships/vmlDrawing" Target="../drawings/vmlDrawing78.vml"/></Relationships>
</file>

<file path=xl/worksheets/_rels/sheet80.xml.rels><?xml version="1.0" encoding="UTF-8" standalone="yes"?><Relationships xmlns="http://schemas.openxmlformats.org/package/2006/relationships"><Relationship Id="rId1" Type="http://schemas.openxmlformats.org/officeDocument/2006/relationships/comments" Target="../comments79.xml"/><Relationship Id="rId2" Type="http://schemas.openxmlformats.org/officeDocument/2006/relationships/drawing" Target="../drawings/drawing80.xml"/><Relationship Id="rId3" Type="http://schemas.openxmlformats.org/officeDocument/2006/relationships/vmlDrawing" Target="../drawings/vmlDrawing79.vml"/></Relationships>
</file>

<file path=xl/worksheets/_rels/sheet81.xml.rels><?xml version="1.0" encoding="UTF-8" standalone="yes"?><Relationships xmlns="http://schemas.openxmlformats.org/package/2006/relationships"><Relationship Id="rId1" Type="http://schemas.openxmlformats.org/officeDocument/2006/relationships/comments" Target="../comments80.xml"/><Relationship Id="rId2" Type="http://schemas.openxmlformats.org/officeDocument/2006/relationships/drawing" Target="../drawings/drawing81.xml"/><Relationship Id="rId3" Type="http://schemas.openxmlformats.org/officeDocument/2006/relationships/vmlDrawing" Target="../drawings/vmlDrawing80.vml"/></Relationships>
</file>

<file path=xl/worksheets/_rels/sheet82.xml.rels><?xml version="1.0" encoding="UTF-8" standalone="yes"?><Relationships xmlns="http://schemas.openxmlformats.org/package/2006/relationships"><Relationship Id="rId1" Type="http://schemas.openxmlformats.org/officeDocument/2006/relationships/comments" Target="../comments81.xml"/><Relationship Id="rId2" Type="http://schemas.openxmlformats.org/officeDocument/2006/relationships/drawing" Target="../drawings/drawing82.xml"/><Relationship Id="rId3" Type="http://schemas.openxmlformats.org/officeDocument/2006/relationships/vmlDrawing" Target="../drawings/vmlDrawing81.vml"/></Relationships>
</file>

<file path=xl/worksheets/_rels/sheet83.xml.rels><?xml version="1.0" encoding="UTF-8" standalone="yes"?><Relationships xmlns="http://schemas.openxmlformats.org/package/2006/relationships"><Relationship Id="rId1" Type="http://schemas.openxmlformats.org/officeDocument/2006/relationships/comments" Target="../comments82.xml"/><Relationship Id="rId2" Type="http://schemas.openxmlformats.org/officeDocument/2006/relationships/drawing" Target="../drawings/drawing83.xml"/><Relationship Id="rId3" Type="http://schemas.openxmlformats.org/officeDocument/2006/relationships/vmlDrawing" Target="../drawings/vmlDrawing82.vml"/></Relationships>
</file>

<file path=xl/worksheets/_rels/sheet84.xml.rels><?xml version="1.0" encoding="UTF-8" standalone="yes"?><Relationships xmlns="http://schemas.openxmlformats.org/package/2006/relationships"><Relationship Id="rId1" Type="http://schemas.openxmlformats.org/officeDocument/2006/relationships/comments" Target="../comments83.xml"/><Relationship Id="rId2" Type="http://schemas.openxmlformats.org/officeDocument/2006/relationships/drawing" Target="../drawings/drawing84.xml"/><Relationship Id="rId3" Type="http://schemas.openxmlformats.org/officeDocument/2006/relationships/vmlDrawing" Target="../drawings/vmlDrawing83.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84.xml"/><Relationship Id="rId2" Type="http://schemas.openxmlformats.org/officeDocument/2006/relationships/drawing" Target="../drawings/drawing85.xml"/><Relationship Id="rId3" Type="http://schemas.openxmlformats.org/officeDocument/2006/relationships/vmlDrawing" Target="../drawings/vmlDrawing84.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85.xml"/><Relationship Id="rId2" Type="http://schemas.openxmlformats.org/officeDocument/2006/relationships/drawing" Target="../drawings/drawing86.xml"/><Relationship Id="rId3" Type="http://schemas.openxmlformats.org/officeDocument/2006/relationships/vmlDrawing" Target="../drawings/vmlDrawing85.vml"/></Relationships>
</file>

<file path=xl/worksheets/_rels/sheet87.xml.rels><?xml version="1.0" encoding="UTF-8" standalone="yes"?><Relationships xmlns="http://schemas.openxmlformats.org/package/2006/relationships"><Relationship Id="rId1" Type="http://schemas.openxmlformats.org/officeDocument/2006/relationships/comments" Target="../comments86.xml"/><Relationship Id="rId2" Type="http://schemas.openxmlformats.org/officeDocument/2006/relationships/drawing" Target="../drawings/drawing87.xml"/><Relationship Id="rId3" Type="http://schemas.openxmlformats.org/officeDocument/2006/relationships/vmlDrawing" Target="../drawings/vmlDrawing86.vml"/></Relationships>
</file>

<file path=xl/worksheets/_rels/sheet88.xml.rels><?xml version="1.0" encoding="UTF-8" standalone="yes"?><Relationships xmlns="http://schemas.openxmlformats.org/package/2006/relationships"><Relationship Id="rId1" Type="http://schemas.openxmlformats.org/officeDocument/2006/relationships/comments" Target="../comments87.xml"/><Relationship Id="rId2" Type="http://schemas.openxmlformats.org/officeDocument/2006/relationships/drawing" Target="../drawings/drawing88.xml"/><Relationship Id="rId3" Type="http://schemas.openxmlformats.org/officeDocument/2006/relationships/vmlDrawing" Target="../drawings/vmlDrawing87.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88.xml"/><Relationship Id="rId2" Type="http://schemas.openxmlformats.org/officeDocument/2006/relationships/drawing" Target="../drawings/drawing89.xml"/><Relationship Id="rId3" Type="http://schemas.openxmlformats.org/officeDocument/2006/relationships/vmlDrawing" Target="../drawings/vmlDrawing88.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89.xml"/><Relationship Id="rId2" Type="http://schemas.openxmlformats.org/officeDocument/2006/relationships/drawing" Target="../drawings/drawing90.xml"/><Relationship Id="rId3" Type="http://schemas.openxmlformats.org/officeDocument/2006/relationships/vmlDrawing" Target="../drawings/vmlDrawing89.vml"/></Relationships>
</file>

<file path=xl/worksheets/_rels/sheet91.xml.rels><?xml version="1.0" encoding="UTF-8" standalone="yes"?><Relationships xmlns="http://schemas.openxmlformats.org/package/2006/relationships"><Relationship Id="rId40" Type="http://schemas.openxmlformats.org/officeDocument/2006/relationships/hyperlink" Target="https://i.imgur.com/WMmghnM.png" TargetMode="External"/><Relationship Id="rId84" Type="http://schemas.openxmlformats.org/officeDocument/2006/relationships/hyperlink" Target="https://imgur.com/K5gVOlz.png" TargetMode="External"/><Relationship Id="rId83" Type="http://schemas.openxmlformats.org/officeDocument/2006/relationships/hyperlink" Target="https://imgur.com/8fLSHuV.png" TargetMode="External"/><Relationship Id="rId42" Type="http://schemas.openxmlformats.org/officeDocument/2006/relationships/hyperlink" Target="https://i.imgur.com/Qb66a92.png" TargetMode="External"/><Relationship Id="rId86" Type="http://schemas.openxmlformats.org/officeDocument/2006/relationships/hyperlink" Target="https://imgur.com/hFsvE5B.png" TargetMode="External"/><Relationship Id="rId41" Type="http://schemas.openxmlformats.org/officeDocument/2006/relationships/hyperlink" Target="https://i.imgur.com/dlgFlt8.png" TargetMode="External"/><Relationship Id="rId85" Type="http://schemas.openxmlformats.org/officeDocument/2006/relationships/hyperlink" Target="https://imgur.com/5o9En5T.png" TargetMode="External"/><Relationship Id="rId44" Type="http://schemas.openxmlformats.org/officeDocument/2006/relationships/hyperlink" Target="https://i.imgur.com/Khzjm5O.png" TargetMode="External"/><Relationship Id="rId88" Type="http://schemas.openxmlformats.org/officeDocument/2006/relationships/hyperlink" Target="https://i.imgur.com/JCFljTF.png" TargetMode="External"/><Relationship Id="rId43" Type="http://schemas.openxmlformats.org/officeDocument/2006/relationships/hyperlink" Target="https://i.imgur.com/C7AD5zx.png" TargetMode="External"/><Relationship Id="rId87" Type="http://schemas.openxmlformats.org/officeDocument/2006/relationships/hyperlink" Target="https://imgur.com/9XjZvhL.png" TargetMode="External"/><Relationship Id="rId46" Type="http://schemas.openxmlformats.org/officeDocument/2006/relationships/hyperlink" Target="https://i.imgur.com/t1XgsKo.png" TargetMode="External"/><Relationship Id="rId45" Type="http://schemas.openxmlformats.org/officeDocument/2006/relationships/hyperlink" Target="https://i.imgur.com/EMfkRVZ.png" TargetMode="External"/><Relationship Id="rId89" Type="http://schemas.openxmlformats.org/officeDocument/2006/relationships/hyperlink" Target="https://i.imgur.com/oIHS6yd.png" TargetMode="External"/><Relationship Id="rId80" Type="http://schemas.openxmlformats.org/officeDocument/2006/relationships/hyperlink" Target="https://i.imgur.com/BeTj87E.png" TargetMode="External"/><Relationship Id="rId82" Type="http://schemas.openxmlformats.org/officeDocument/2006/relationships/hyperlink" Target="https://imgur.com/4xdC7ZA.png" TargetMode="External"/><Relationship Id="rId81" Type="http://schemas.openxmlformats.org/officeDocument/2006/relationships/hyperlink" Target="https://i.imgur.com/Fy0k1OJ.png" TargetMode="External"/><Relationship Id="rId1" Type="http://schemas.openxmlformats.org/officeDocument/2006/relationships/hyperlink" Target="https://i.imgur.com/TraYZoX.png" TargetMode="External"/><Relationship Id="rId2" Type="http://schemas.openxmlformats.org/officeDocument/2006/relationships/hyperlink" Target="https://i.imgur.com/ryWeBkS.png" TargetMode="External"/><Relationship Id="rId3" Type="http://schemas.openxmlformats.org/officeDocument/2006/relationships/hyperlink" Target="https://i.imgur.com/ryYhpyb.png" TargetMode="External"/><Relationship Id="rId4" Type="http://schemas.openxmlformats.org/officeDocument/2006/relationships/hyperlink" Target="https://i.imgur.com/v3OyX23.png" TargetMode="External"/><Relationship Id="rId9" Type="http://schemas.openxmlformats.org/officeDocument/2006/relationships/hyperlink" Target="https://i.imgur.com/76qy60s.png" TargetMode="External"/><Relationship Id="rId48" Type="http://schemas.openxmlformats.org/officeDocument/2006/relationships/hyperlink" Target="https://i.imgur.com/qYcXjav.png" TargetMode="External"/><Relationship Id="rId47" Type="http://schemas.openxmlformats.org/officeDocument/2006/relationships/hyperlink" Target="https://i.imgur.com/apwLRfp.png" TargetMode="External"/><Relationship Id="rId49" Type="http://schemas.openxmlformats.org/officeDocument/2006/relationships/hyperlink" Target="https://i.imgur.com/Sv9BAaB.png" TargetMode="External"/><Relationship Id="rId5" Type="http://schemas.openxmlformats.org/officeDocument/2006/relationships/hyperlink" Target="https://i.imgur.com/HXUqa68.png" TargetMode="External"/><Relationship Id="rId6" Type="http://schemas.openxmlformats.org/officeDocument/2006/relationships/hyperlink" Target="https://i.imgur.com/DtbEru5.png" TargetMode="External"/><Relationship Id="rId7" Type="http://schemas.openxmlformats.org/officeDocument/2006/relationships/hyperlink" Target="https://i.imgur.com/Tlh7tUW.png" TargetMode="External"/><Relationship Id="rId8" Type="http://schemas.openxmlformats.org/officeDocument/2006/relationships/hyperlink" Target="https://i.imgur.com/D6V4YgY.png" TargetMode="External"/><Relationship Id="rId73" Type="http://schemas.openxmlformats.org/officeDocument/2006/relationships/hyperlink" Target="https://i.imgur.com/I7IRdL5.png" TargetMode="External"/><Relationship Id="rId72" Type="http://schemas.openxmlformats.org/officeDocument/2006/relationships/hyperlink" Target="https://i.imgur.com/OSDH9kD.png" TargetMode="External"/><Relationship Id="rId31" Type="http://schemas.openxmlformats.org/officeDocument/2006/relationships/hyperlink" Target="https://i.imgur.com/XrDc8YA.png" TargetMode="External"/><Relationship Id="rId75" Type="http://schemas.openxmlformats.org/officeDocument/2006/relationships/hyperlink" Target="https://i.imgur.com/zdFZI6Q.png" TargetMode="External"/><Relationship Id="rId30" Type="http://schemas.openxmlformats.org/officeDocument/2006/relationships/hyperlink" Target="https://i.imgur.com/uB3EhTN.png" TargetMode="External"/><Relationship Id="rId74" Type="http://schemas.openxmlformats.org/officeDocument/2006/relationships/hyperlink" Target="https://i.imgur.com/guy6EYW.png" TargetMode="External"/><Relationship Id="rId33" Type="http://schemas.openxmlformats.org/officeDocument/2006/relationships/hyperlink" Target="https://i.imgur.com/5DsIl5b.png" TargetMode="External"/><Relationship Id="rId77" Type="http://schemas.openxmlformats.org/officeDocument/2006/relationships/hyperlink" Target="https://i.imgur.com/yuSiKGJ.png" TargetMode="External"/><Relationship Id="rId32" Type="http://schemas.openxmlformats.org/officeDocument/2006/relationships/hyperlink" Target="https://i.imgur.com/XJC3JKB.png" TargetMode="External"/><Relationship Id="rId76" Type="http://schemas.openxmlformats.org/officeDocument/2006/relationships/hyperlink" Target="https://i.imgur.com/4YoXfgu.png" TargetMode="External"/><Relationship Id="rId35" Type="http://schemas.openxmlformats.org/officeDocument/2006/relationships/hyperlink" Target="https://i.imgur.com/nf4I6qz.png" TargetMode="External"/><Relationship Id="rId79" Type="http://schemas.openxmlformats.org/officeDocument/2006/relationships/hyperlink" Target="https://i.imgur.com/spUFQGQ.png" TargetMode="External"/><Relationship Id="rId34" Type="http://schemas.openxmlformats.org/officeDocument/2006/relationships/hyperlink" Target="https://i.imgur.com/q44qlDE.png" TargetMode="External"/><Relationship Id="rId78" Type="http://schemas.openxmlformats.org/officeDocument/2006/relationships/hyperlink" Target="https://i.imgur.com/wSuNlPd.png" TargetMode="External"/><Relationship Id="rId71" Type="http://schemas.openxmlformats.org/officeDocument/2006/relationships/hyperlink" Target="https://i.imgur.com/fQ7mIBK.png" TargetMode="External"/><Relationship Id="rId70" Type="http://schemas.openxmlformats.org/officeDocument/2006/relationships/hyperlink" Target="https://i.imgur.com/pQf13oC.png" TargetMode="External"/><Relationship Id="rId37" Type="http://schemas.openxmlformats.org/officeDocument/2006/relationships/hyperlink" Target="https://i.imgur.com/Kek87TR.png" TargetMode="External"/><Relationship Id="rId36" Type="http://schemas.openxmlformats.org/officeDocument/2006/relationships/hyperlink" Target="https://i.imgur.com/MZGCT1o.png" TargetMode="External"/><Relationship Id="rId39" Type="http://schemas.openxmlformats.org/officeDocument/2006/relationships/hyperlink" Target="https://i.imgur.com/1KtAYsC.png" TargetMode="External"/><Relationship Id="rId38" Type="http://schemas.openxmlformats.org/officeDocument/2006/relationships/hyperlink" Target="https://i.imgur.com/hrQci7t.png" TargetMode="External"/><Relationship Id="rId62" Type="http://schemas.openxmlformats.org/officeDocument/2006/relationships/hyperlink" Target="https://i.imgur.com/8WOMjSa.png" TargetMode="External"/><Relationship Id="rId61" Type="http://schemas.openxmlformats.org/officeDocument/2006/relationships/hyperlink" Target="https://i.imgur.com/uqELQkx.png" TargetMode="External"/><Relationship Id="rId20" Type="http://schemas.openxmlformats.org/officeDocument/2006/relationships/hyperlink" Target="https://i.imgur.com/rYo9mOk.png" TargetMode="External"/><Relationship Id="rId64" Type="http://schemas.openxmlformats.org/officeDocument/2006/relationships/hyperlink" Target="https://i.imgur.com/mjHR6fO.png" TargetMode="External"/><Relationship Id="rId63" Type="http://schemas.openxmlformats.org/officeDocument/2006/relationships/hyperlink" Target="https://i.imgur.com/RDU6nK8.png" TargetMode="External"/><Relationship Id="rId22" Type="http://schemas.openxmlformats.org/officeDocument/2006/relationships/hyperlink" Target="https://i.imgur.com/LyoLSFh.png" TargetMode="External"/><Relationship Id="rId66" Type="http://schemas.openxmlformats.org/officeDocument/2006/relationships/hyperlink" Target="https://i.imgur.com/K6gSctY.png" TargetMode="External"/><Relationship Id="rId21" Type="http://schemas.openxmlformats.org/officeDocument/2006/relationships/hyperlink" Target="https://i.imgur.com/qYQZQlN.png" TargetMode="External"/><Relationship Id="rId65" Type="http://schemas.openxmlformats.org/officeDocument/2006/relationships/hyperlink" Target="https://i.imgur.com/csjXrhS.png" TargetMode="External"/><Relationship Id="rId24" Type="http://schemas.openxmlformats.org/officeDocument/2006/relationships/hyperlink" Target="https://i.imgur.com/TMrGk7T.png" TargetMode="External"/><Relationship Id="rId68" Type="http://schemas.openxmlformats.org/officeDocument/2006/relationships/hyperlink" Target="https://i.imgur.com/NHaz9Op.png" TargetMode="External"/><Relationship Id="rId23" Type="http://schemas.openxmlformats.org/officeDocument/2006/relationships/hyperlink" Target="https://i.imgur.com/u5texFO.png" TargetMode="External"/><Relationship Id="rId67" Type="http://schemas.openxmlformats.org/officeDocument/2006/relationships/hyperlink" Target="https://i.imgur.com/Vri6vY2.png" TargetMode="External"/><Relationship Id="rId60" Type="http://schemas.openxmlformats.org/officeDocument/2006/relationships/hyperlink" Target="https://i.imgur.com/qXl7Vos.png" TargetMode="External"/><Relationship Id="rId26" Type="http://schemas.openxmlformats.org/officeDocument/2006/relationships/hyperlink" Target="https://i.imgur.com/0XUnwMD.png" TargetMode="External"/><Relationship Id="rId25" Type="http://schemas.openxmlformats.org/officeDocument/2006/relationships/hyperlink" Target="https://i.imgur.com/a2KHL8I.png" TargetMode="External"/><Relationship Id="rId69" Type="http://schemas.openxmlformats.org/officeDocument/2006/relationships/hyperlink" Target="https://i.imgur.com/81CRGT8.png" TargetMode="External"/><Relationship Id="rId28" Type="http://schemas.openxmlformats.org/officeDocument/2006/relationships/hyperlink" Target="https://i.imgur.com/P3iV82y.png" TargetMode="External"/><Relationship Id="rId27" Type="http://schemas.openxmlformats.org/officeDocument/2006/relationships/hyperlink" Target="https://i.imgur.com/yOpWwBh.png" TargetMode="External"/><Relationship Id="rId29" Type="http://schemas.openxmlformats.org/officeDocument/2006/relationships/hyperlink" Target="https://i.imgur.com/kgMkCEz.png" TargetMode="External"/><Relationship Id="rId51" Type="http://schemas.openxmlformats.org/officeDocument/2006/relationships/hyperlink" Target="https://i.imgur.com/sMihSwj.png" TargetMode="External"/><Relationship Id="rId50" Type="http://schemas.openxmlformats.org/officeDocument/2006/relationships/hyperlink" Target="https://i.imgur.com/F1IQGOF.png" TargetMode="External"/><Relationship Id="rId53" Type="http://schemas.openxmlformats.org/officeDocument/2006/relationships/hyperlink" Target="https://i.imgur.com/SbhEIJC.png" TargetMode="External"/><Relationship Id="rId52" Type="http://schemas.openxmlformats.org/officeDocument/2006/relationships/hyperlink" Target="https://i.imgur.com/AOIqP6S.png" TargetMode="External"/><Relationship Id="rId11" Type="http://schemas.openxmlformats.org/officeDocument/2006/relationships/hyperlink" Target="https://i.imgur.com/2Gtqid2.png" TargetMode="External"/><Relationship Id="rId55" Type="http://schemas.openxmlformats.org/officeDocument/2006/relationships/hyperlink" Target="https://i.imgur.com/OIY8153.png" TargetMode="External"/><Relationship Id="rId10" Type="http://schemas.openxmlformats.org/officeDocument/2006/relationships/hyperlink" Target="https://i.imgur.com/uqfJw6J.png" TargetMode="External"/><Relationship Id="rId54" Type="http://schemas.openxmlformats.org/officeDocument/2006/relationships/hyperlink" Target="https://i.imgur.com/mQbbIWM.png" TargetMode="External"/><Relationship Id="rId13" Type="http://schemas.openxmlformats.org/officeDocument/2006/relationships/hyperlink" Target="https://i.imgur.com/jj9pXk2.png" TargetMode="External"/><Relationship Id="rId57" Type="http://schemas.openxmlformats.org/officeDocument/2006/relationships/hyperlink" Target="https://i.imgur.com/823S1Im.png" TargetMode="External"/><Relationship Id="rId12" Type="http://schemas.openxmlformats.org/officeDocument/2006/relationships/hyperlink" Target="https://i.imgur.com/GopnQpR.png" TargetMode="External"/><Relationship Id="rId56" Type="http://schemas.openxmlformats.org/officeDocument/2006/relationships/hyperlink" Target="https://i.imgur.com/3wCOOdU.png" TargetMode="External"/><Relationship Id="rId90" Type="http://schemas.openxmlformats.org/officeDocument/2006/relationships/drawing" Target="../drawings/drawing91.xml"/><Relationship Id="rId15" Type="http://schemas.openxmlformats.org/officeDocument/2006/relationships/hyperlink" Target="https://i.imgur.com/Jh7rNYP.png" TargetMode="External"/><Relationship Id="rId59" Type="http://schemas.openxmlformats.org/officeDocument/2006/relationships/hyperlink" Target="https://i.imgur.com/I9lusQ6.png" TargetMode="External"/><Relationship Id="rId14" Type="http://schemas.openxmlformats.org/officeDocument/2006/relationships/hyperlink" Target="https://i.imgur.com/Dqrmk5i.png" TargetMode="External"/><Relationship Id="rId58" Type="http://schemas.openxmlformats.org/officeDocument/2006/relationships/hyperlink" Target="https://i.imgur.com/T3YlvJc.png" TargetMode="External"/><Relationship Id="rId17" Type="http://schemas.openxmlformats.org/officeDocument/2006/relationships/hyperlink" Target="https://i.imgur.com/RuhMEGG.png" TargetMode="External"/><Relationship Id="rId16" Type="http://schemas.openxmlformats.org/officeDocument/2006/relationships/hyperlink" Target="https://i.imgur.com/WLfuyTs.png" TargetMode="External"/><Relationship Id="rId19" Type="http://schemas.openxmlformats.org/officeDocument/2006/relationships/hyperlink" Target="https://i.imgur.com/aeW4jDP.png" TargetMode="External"/><Relationship Id="rId18" Type="http://schemas.openxmlformats.org/officeDocument/2006/relationships/hyperlink" Target="https://i.imgur.com/PtO8nvd.png" TargetMode="External"/></Relationships>
</file>

<file path=xl/worksheets/_rels/sheet92.xml.rels><?xml version="1.0" encoding="UTF-8" standalone="yes"?><Relationships xmlns="http://schemas.openxmlformats.org/package/2006/relationships"><Relationship Id="rId1" Type="http://schemas.openxmlformats.org/officeDocument/2006/relationships/comments" Target="../comments90.xml"/><Relationship Id="rId2" Type="http://schemas.openxmlformats.org/officeDocument/2006/relationships/drawing" Target="../drawings/drawing92.xml"/><Relationship Id="rId3" Type="http://schemas.openxmlformats.org/officeDocument/2006/relationships/vmlDrawing" Target="../drawings/vmlDrawing90.vml"/></Relationships>
</file>

<file path=xl/worksheets/_rels/sheet93.xml.rels><?xml version="1.0" encoding="UTF-8" standalone="yes"?><Relationships xmlns="http://schemas.openxmlformats.org/package/2006/relationships"><Relationship Id="rId1"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comments" Target="../comments91.xml"/><Relationship Id="rId2" Type="http://schemas.openxmlformats.org/officeDocument/2006/relationships/drawing" Target="../drawings/drawing94.xml"/><Relationship Id="rId3" Type="http://schemas.openxmlformats.org/officeDocument/2006/relationships/vmlDrawing" Target="../drawings/vmlDrawing91.vm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comments" Target="../comments92.xml"/><Relationship Id="rId2" Type="http://schemas.openxmlformats.org/officeDocument/2006/relationships/drawing" Target="../drawings/drawing96.xml"/><Relationship Id="rId3" Type="http://schemas.openxmlformats.org/officeDocument/2006/relationships/vmlDrawing" Target="../drawings/vmlDrawing92.vml"/></Relationships>
</file>

<file path=xl/worksheets/_rels/sheet97.xml.rels><?xml version="1.0" encoding="UTF-8" standalone="yes"?><Relationships xmlns="http://schemas.openxmlformats.org/package/2006/relationships"><Relationship Id="rId1"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comments" Target="../comments93.xml"/><Relationship Id="rId2" Type="http://schemas.openxmlformats.org/officeDocument/2006/relationships/drawing" Target="../drawings/drawing98.xml"/><Relationship Id="rId3" Type="http://schemas.openxmlformats.org/officeDocument/2006/relationships/vmlDrawing" Target="../drawings/vmlDrawing93.vml"/></Relationships>
</file>

<file path=xl/worksheets/_rels/sheet99.xml.rels><?xml version="1.0" encoding="UTF-8" standalone="yes"?><Relationships xmlns="http://schemas.openxmlformats.org/package/2006/relationships"><Relationship Id="rId1"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comments" Target="../comments94.xml"/><Relationship Id="rId2" Type="http://schemas.openxmlformats.org/officeDocument/2006/relationships/drawing" Target="../drawings/drawing100.xml"/><Relationship Id="rId3" Type="http://schemas.openxmlformats.org/officeDocument/2006/relationships/vmlDrawing" Target="../drawings/vmlDrawing94.v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95.xml"/><Relationship Id="rId2" Type="http://schemas.openxmlformats.org/officeDocument/2006/relationships/drawing" Target="../drawings/drawing101.xml"/><Relationship Id="rId3" Type="http://schemas.openxmlformats.org/officeDocument/2006/relationships/vmlDrawing" Target="../drawings/vmlDrawing95.vml"/></Relationships>
</file>

<file path=xl/worksheets/_rels/sheet102.xml.rels><?xml version="1.0" encoding="UTF-8" standalone="yes"?><Relationships xmlns="http://schemas.openxmlformats.org/package/2006/relationships"><Relationship Id="rId1" Type="http://schemas.openxmlformats.org/officeDocument/2006/relationships/drawing" Target="../drawings/drawing10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sheetViews>
  <sheetFormatPr customHeight="1" defaultColWidth="12.63" defaultRowHeight="15.75" outlineLevelRow="1"/>
  <cols>
    <col customWidth="1" min="1" max="2" width="12.38"/>
    <col customWidth="1" min="3" max="8" width="11.5"/>
  </cols>
  <sheetData>
    <row r="1">
      <c r="A1" s="1"/>
      <c r="B1" s="2"/>
      <c r="C1" s="2"/>
      <c r="D1" s="2"/>
      <c r="E1" s="2"/>
      <c r="F1" s="2"/>
      <c r="G1" s="2"/>
      <c r="H1" s="3"/>
    </row>
    <row r="2">
      <c r="A2" s="4" t="s">
        <v>0</v>
      </c>
      <c r="B2" s="5"/>
      <c r="C2" s="5"/>
      <c r="D2" s="5"/>
      <c r="E2" s="5"/>
      <c r="F2" s="6"/>
      <c r="G2" s="7" t="s">
        <v>1</v>
      </c>
      <c r="H2" s="3"/>
    </row>
    <row r="3">
      <c r="A3" s="8"/>
      <c r="F3" s="9"/>
      <c r="G3" s="10" t="str">
        <f>HYPERLINK("https://twitter.com/Meshima_","@Meshima_")</f>
        <v>@Meshima_</v>
      </c>
      <c r="H3" s="3"/>
    </row>
    <row r="4">
      <c r="A4" s="8"/>
      <c r="F4" s="9"/>
      <c r="G4" s="10" t="str">
        <f>HYPERLINK("https://twitter.com/gengar6tomo ","@gengar6tomo")</f>
        <v>@gengar6tomo</v>
      </c>
      <c r="H4" s="3"/>
    </row>
    <row r="5" ht="23.25" customHeight="1">
      <c r="A5" s="11"/>
      <c r="B5" s="12"/>
      <c r="C5" s="12"/>
      <c r="D5" s="12"/>
      <c r="E5" s="12"/>
      <c r="F5" s="13"/>
      <c r="G5" s="10" t="str">
        <f>HYPERLINK("https://twitter.com/drafix570","@drafix570")</f>
        <v>@drafix570</v>
      </c>
      <c r="H5" s="3"/>
    </row>
    <row r="6" ht="38.25" customHeight="1">
      <c r="A6" s="14" t="str">
        <f>HYPERLINK("https://www65.atwiki.jp/smashsp_kensyou/pages/46.html","軽量版シートまとめはこちら")</f>
        <v>軽量版シートまとめはこちら</v>
      </c>
      <c r="B6" s="2"/>
      <c r="C6" s="2"/>
      <c r="D6" s="2"/>
      <c r="E6" s="2"/>
      <c r="F6" s="2"/>
      <c r="G6" s="2"/>
      <c r="H6" s="3"/>
    </row>
    <row r="7">
      <c r="A7" s="15" t="str">
        <f>HYPERLINK("https://www65.atwiki.jp/smashsp_kensyou/","SP検証wiki")</f>
        <v>SP検証wiki</v>
      </c>
      <c r="B7" s="6"/>
      <c r="C7" s="16" t="str">
        <f>HYPERLINK("https://twitter.com/SmashSP_kensyou","Twitter")</f>
        <v>Twitter</v>
      </c>
      <c r="D7" s="6"/>
      <c r="E7" s="17" t="s">
        <v>2</v>
      </c>
      <c r="F7" s="6"/>
      <c r="G7" s="18" t="str">
        <f>HYPERLINK("https://www.youtube.com/channel/UCzrAavy2PolObtI65CZE_cg/videos","Youtube")</f>
        <v>Youtube</v>
      </c>
      <c r="H7" s="6"/>
    </row>
    <row r="8">
      <c r="A8" s="8"/>
      <c r="B8" s="9"/>
      <c r="C8" s="8"/>
      <c r="D8" s="9"/>
      <c r="E8" s="8"/>
      <c r="F8" s="9"/>
      <c r="G8" s="8"/>
      <c r="H8" s="9"/>
    </row>
    <row r="9">
      <c r="A9" s="11"/>
      <c r="B9" s="13"/>
      <c r="C9" s="11"/>
      <c r="D9" s="13"/>
      <c r="E9" s="11"/>
      <c r="F9" s="13"/>
      <c r="G9" s="11"/>
      <c r="H9" s="13"/>
    </row>
    <row r="10" ht="8.25" customHeight="1">
      <c r="A10" s="1"/>
      <c r="B10" s="2"/>
      <c r="C10" s="2"/>
      <c r="D10" s="2"/>
      <c r="E10" s="2"/>
      <c r="F10" s="2"/>
      <c r="G10" s="2"/>
      <c r="H10" s="3"/>
    </row>
    <row r="11">
      <c r="A11" s="19" t="s">
        <v>3</v>
      </c>
      <c r="B11" s="2"/>
      <c r="C11" s="2"/>
      <c r="D11" s="2"/>
      <c r="E11" s="2"/>
      <c r="F11" s="2"/>
      <c r="G11" s="2"/>
      <c r="H11" s="3"/>
    </row>
    <row r="12">
      <c r="A12" s="20" t="s">
        <v>4</v>
      </c>
      <c r="B12" s="5"/>
      <c r="C12" s="5"/>
      <c r="D12" s="5"/>
      <c r="E12" s="5"/>
      <c r="F12" s="5"/>
      <c r="G12" s="5"/>
      <c r="H12" s="21"/>
    </row>
    <row r="13">
      <c r="A13" s="11"/>
      <c r="B13" s="12"/>
      <c r="C13" s="12"/>
      <c r="D13" s="12"/>
      <c r="E13" s="12"/>
      <c r="F13" s="12"/>
      <c r="G13" s="12"/>
      <c r="H13" s="22"/>
    </row>
    <row r="14">
      <c r="A14" s="23"/>
      <c r="B14" s="23"/>
      <c r="C14" s="23"/>
      <c r="D14" s="23"/>
      <c r="E14" s="23"/>
      <c r="F14" s="23"/>
      <c r="G14" s="23"/>
      <c r="H14" s="23"/>
    </row>
    <row r="15">
      <c r="A15" s="24" t="s">
        <v>5</v>
      </c>
      <c r="B15" s="5"/>
      <c r="C15" s="5"/>
      <c r="D15" s="5"/>
      <c r="E15" s="5"/>
      <c r="F15" s="5"/>
      <c r="G15" s="5"/>
      <c r="H15" s="6"/>
    </row>
    <row r="16">
      <c r="A16" s="8"/>
      <c r="H16" s="9"/>
    </row>
    <row r="17">
      <c r="A17" s="11"/>
      <c r="B17" s="12"/>
      <c r="C17" s="12"/>
      <c r="D17" s="12"/>
      <c r="E17" s="12"/>
      <c r="F17" s="12"/>
      <c r="G17" s="12"/>
      <c r="H17" s="13"/>
    </row>
    <row r="18">
      <c r="A18" s="25" t="s">
        <v>6</v>
      </c>
      <c r="B18" s="2"/>
      <c r="C18" s="2"/>
      <c r="D18" s="2"/>
      <c r="E18" s="2"/>
      <c r="F18" s="2"/>
      <c r="G18" s="2"/>
      <c r="H18" s="3"/>
    </row>
    <row r="19">
      <c r="A19" s="26" t="s">
        <v>7</v>
      </c>
      <c r="B19" s="5"/>
      <c r="C19" s="5"/>
      <c r="D19" s="5"/>
      <c r="E19" s="5"/>
      <c r="F19" s="5"/>
      <c r="G19" s="5"/>
      <c r="H19" s="6"/>
    </row>
    <row r="20">
      <c r="A20" s="11"/>
      <c r="B20" s="12"/>
      <c r="C20" s="12"/>
      <c r="D20" s="12"/>
      <c r="E20" s="12"/>
      <c r="F20" s="12"/>
      <c r="G20" s="12"/>
      <c r="H20" s="13"/>
    </row>
    <row r="21" ht="8.25" customHeight="1">
      <c r="A21" s="27"/>
      <c r="B21" s="2"/>
      <c r="C21" s="2"/>
      <c r="D21" s="2"/>
      <c r="E21" s="2"/>
      <c r="F21" s="2"/>
      <c r="G21" s="2"/>
      <c r="H21" s="3"/>
    </row>
    <row r="22">
      <c r="A22" s="25" t="s">
        <v>8</v>
      </c>
      <c r="B22" s="2"/>
      <c r="C22" s="2"/>
      <c r="D22" s="2"/>
      <c r="E22" s="2"/>
      <c r="F22" s="2"/>
      <c r="G22" s="2"/>
      <c r="H22" s="3"/>
    </row>
    <row r="23">
      <c r="A23" s="28" t="s">
        <v>9</v>
      </c>
      <c r="B23" s="5"/>
      <c r="C23" s="5"/>
      <c r="D23" s="5"/>
      <c r="E23" s="5"/>
      <c r="F23" s="5"/>
      <c r="G23" s="5"/>
      <c r="H23" s="5"/>
    </row>
    <row r="24">
      <c r="A24" s="8"/>
    </row>
    <row r="25">
      <c r="A25" s="8"/>
    </row>
    <row r="26">
      <c r="A26" s="8"/>
    </row>
    <row r="27">
      <c r="A27" s="8"/>
    </row>
    <row r="28" ht="8.25" customHeight="1">
      <c r="A28" s="29"/>
      <c r="B28" s="2"/>
      <c r="C28" s="2"/>
      <c r="D28" s="2"/>
      <c r="E28" s="2"/>
      <c r="F28" s="2"/>
      <c r="G28" s="2"/>
      <c r="H28" s="3"/>
    </row>
    <row r="29">
      <c r="A29" s="30" t="s">
        <v>10</v>
      </c>
      <c r="B29" s="30"/>
      <c r="C29" s="30"/>
      <c r="D29" s="30"/>
      <c r="E29" s="30"/>
      <c r="F29" s="30"/>
      <c r="G29" s="30"/>
      <c r="H29" s="30"/>
    </row>
    <row r="30">
      <c r="A30" s="26" t="s">
        <v>11</v>
      </c>
      <c r="B30" s="5"/>
      <c r="C30" s="5"/>
      <c r="D30" s="5"/>
      <c r="E30" s="5"/>
      <c r="F30" s="5"/>
      <c r="G30" s="5"/>
      <c r="H30" s="6"/>
    </row>
    <row r="31">
      <c r="A31" s="11"/>
      <c r="B31" s="12"/>
      <c r="C31" s="12"/>
      <c r="D31" s="12"/>
      <c r="E31" s="12"/>
      <c r="F31" s="12"/>
      <c r="G31" s="12"/>
      <c r="H31" s="13"/>
    </row>
    <row r="32" ht="8.25" customHeight="1">
      <c r="A32" s="31"/>
      <c r="B32" s="31"/>
      <c r="C32" s="31"/>
      <c r="D32" s="31"/>
      <c r="E32" s="31"/>
      <c r="F32" s="31"/>
      <c r="G32" s="31"/>
      <c r="H32" s="31"/>
    </row>
    <row r="33">
      <c r="A33" s="25" t="s">
        <v>12</v>
      </c>
      <c r="B33" s="2"/>
      <c r="C33" s="2"/>
      <c r="D33" s="2"/>
      <c r="E33" s="2"/>
      <c r="F33" s="2"/>
      <c r="G33" s="2"/>
      <c r="H33" s="3"/>
    </row>
    <row r="34">
      <c r="A34" s="32" t="str">
        <f>HYPERLINK("http://smashwiki.info/%E3%83%A1%E3%82%A4%E3%83%B3%E3%83%9A%E3%83%BC%E3%82%B8","大乱闘スマッシュブラザーズwiki")</f>
        <v>大乱闘スマッシュブラザーズwiki</v>
      </c>
      <c r="B34" s="2"/>
      <c r="C34" s="3"/>
      <c r="D34" s="33" t="s">
        <v>13</v>
      </c>
      <c r="E34" s="34"/>
      <c r="F34" s="34"/>
      <c r="G34" s="34"/>
      <c r="H34" s="34"/>
    </row>
    <row r="35">
      <c r="A35" s="32" t="str">
        <f>HYPERLINK("https://rubendal.github.io/SSBU-Calculator/","Smash Ultimate Calculator [WIP]")</f>
        <v>Smash Ultimate Calculator [WIP]</v>
      </c>
      <c r="B35" s="2"/>
      <c r="C35" s="3"/>
      <c r="D35" s="33" t="s">
        <v>14</v>
      </c>
      <c r="E35" s="34"/>
      <c r="F35" s="35"/>
      <c r="G35" s="36"/>
      <c r="H35" s="35"/>
    </row>
    <row r="36">
      <c r="A36" s="37"/>
      <c r="B36" s="38"/>
      <c r="C36" s="39"/>
      <c r="D36" s="40"/>
      <c r="E36" s="41"/>
      <c r="F36" s="41"/>
      <c r="G36" s="41"/>
      <c r="H36" s="41"/>
    </row>
    <row r="37">
      <c r="A37" s="25" t="s">
        <v>15</v>
      </c>
      <c r="B37" s="2"/>
      <c r="C37" s="2"/>
      <c r="D37" s="2"/>
      <c r="E37" s="2"/>
      <c r="F37" s="2"/>
      <c r="G37" s="2"/>
      <c r="H37" s="3"/>
    </row>
    <row r="38">
      <c r="A38" s="42" t="str">
        <f>HYPERLINK("https://i.imgur.com/hKGd2PV.png", "トップページ")</f>
        <v>トップページ</v>
      </c>
      <c r="B38" s="38"/>
      <c r="C38" s="39"/>
      <c r="D38" s="39"/>
      <c r="E38" s="39"/>
      <c r="F38" s="41"/>
      <c r="G38" s="40"/>
      <c r="H38" s="41"/>
    </row>
    <row r="39">
      <c r="A39" s="43" t="str">
        <f>IMAGE("https://i.imgur.com/hKGd2PV.png",1)</f>
        <v>#REF!</v>
      </c>
      <c r="B39" s="5"/>
      <c r="C39" s="5"/>
      <c r="D39" s="5"/>
      <c r="E39" s="5"/>
      <c r="F39" s="5"/>
      <c r="G39" s="5"/>
      <c r="H39" s="6"/>
    </row>
    <row r="40">
      <c r="A40" s="8"/>
      <c r="H40" s="9"/>
    </row>
    <row r="41">
      <c r="A41" s="8"/>
      <c r="H41" s="9"/>
    </row>
    <row r="42">
      <c r="A42" s="8"/>
      <c r="H42" s="9"/>
    </row>
    <row r="43">
      <c r="A43" s="8"/>
      <c r="H43" s="9"/>
    </row>
    <row r="44">
      <c r="A44" s="8"/>
      <c r="H44" s="9"/>
    </row>
    <row r="45">
      <c r="A45" s="8"/>
      <c r="H45" s="9"/>
    </row>
    <row r="46">
      <c r="A46" s="8"/>
      <c r="H46" s="9"/>
    </row>
    <row r="47">
      <c r="A47" s="8"/>
      <c r="H47" s="9"/>
    </row>
    <row r="48">
      <c r="A48" s="8"/>
      <c r="H48" s="9"/>
    </row>
    <row r="49">
      <c r="A49" s="8"/>
      <c r="H49" s="9"/>
    </row>
    <row r="50">
      <c r="A50" s="8"/>
      <c r="H50" s="9"/>
    </row>
    <row r="51">
      <c r="A51" s="8"/>
      <c r="H51" s="9"/>
    </row>
    <row r="52">
      <c r="A52" s="8"/>
      <c r="H52" s="9"/>
    </row>
    <row r="53">
      <c r="A53" s="8"/>
      <c r="H53" s="9"/>
    </row>
    <row r="54">
      <c r="A54" s="8"/>
      <c r="H54" s="9"/>
    </row>
    <row r="55">
      <c r="A55" s="8"/>
      <c r="H55" s="9"/>
    </row>
    <row r="56">
      <c r="A56" s="8"/>
      <c r="H56" s="9"/>
    </row>
    <row r="57">
      <c r="A57" s="8"/>
      <c r="H57" s="9"/>
    </row>
    <row r="58">
      <c r="A58" s="8"/>
      <c r="H58" s="9"/>
    </row>
    <row r="59">
      <c r="A59" s="11"/>
      <c r="B59" s="12"/>
      <c r="C59" s="12"/>
      <c r="D59" s="12"/>
      <c r="E59" s="12"/>
      <c r="F59" s="12"/>
      <c r="G59" s="12"/>
      <c r="H59" s="13"/>
    </row>
    <row r="60">
      <c r="A60" s="44"/>
      <c r="B60" s="38"/>
      <c r="C60" s="39"/>
      <c r="D60" s="39"/>
      <c r="E60" s="39"/>
      <c r="F60" s="41"/>
      <c r="G60" s="40"/>
      <c r="H60" s="41"/>
    </row>
    <row r="61">
      <c r="A61" s="44"/>
      <c r="B61" s="38"/>
      <c r="C61" s="39"/>
      <c r="D61" s="39"/>
      <c r="E61" s="39"/>
      <c r="F61" s="41"/>
      <c r="G61" s="40"/>
      <c r="H61" s="41"/>
    </row>
    <row r="62">
      <c r="A62" s="45" t="str">
        <f>HYPERLINK("https://i.imgur.com/hKGd2PV.png","ファイター個別ページ")</f>
        <v>ファイター個別ページ</v>
      </c>
      <c r="B62" s="12"/>
      <c r="C62" s="13"/>
      <c r="D62" s="39"/>
      <c r="E62" s="39"/>
      <c r="F62" s="41"/>
      <c r="G62" s="40"/>
      <c r="H62" s="41"/>
    </row>
    <row r="63">
      <c r="A63" s="43" t="str">
        <f>IMAGE("https://i.imgur.com/UnjnBNK.png",1)</f>
        <v>#REF!</v>
      </c>
      <c r="B63" s="5"/>
      <c r="C63" s="5"/>
      <c r="D63" s="5"/>
      <c r="E63" s="5"/>
      <c r="F63" s="5"/>
      <c r="G63" s="5"/>
      <c r="H63" s="6"/>
    </row>
    <row r="64">
      <c r="A64" s="8"/>
      <c r="H64" s="9"/>
    </row>
    <row r="65">
      <c r="A65" s="8"/>
      <c r="H65" s="9"/>
    </row>
    <row r="66">
      <c r="A66" s="8"/>
      <c r="H66" s="9"/>
    </row>
    <row r="67">
      <c r="A67" s="8"/>
      <c r="H67" s="9"/>
    </row>
    <row r="68">
      <c r="A68" s="8"/>
      <c r="H68" s="9"/>
    </row>
    <row r="69">
      <c r="A69" s="8"/>
      <c r="H69" s="9"/>
    </row>
    <row r="70">
      <c r="A70" s="8"/>
      <c r="H70" s="9"/>
    </row>
    <row r="71">
      <c r="A71" s="8"/>
      <c r="H71" s="9"/>
    </row>
    <row r="72">
      <c r="A72" s="8"/>
      <c r="H72" s="9"/>
    </row>
    <row r="73">
      <c r="A73" s="8"/>
      <c r="H73" s="9"/>
    </row>
    <row r="74">
      <c r="A74" s="8"/>
      <c r="H74" s="9"/>
    </row>
    <row r="75">
      <c r="A75" s="8"/>
      <c r="H75" s="9"/>
    </row>
    <row r="76">
      <c r="A76" s="8"/>
      <c r="H76" s="9"/>
    </row>
    <row r="77">
      <c r="A77" s="8"/>
      <c r="H77" s="9"/>
    </row>
    <row r="78">
      <c r="A78" s="8"/>
      <c r="H78" s="9"/>
    </row>
    <row r="79">
      <c r="A79" s="8"/>
      <c r="H79" s="9"/>
    </row>
    <row r="80">
      <c r="A80" s="8"/>
      <c r="H80" s="9"/>
    </row>
    <row r="81">
      <c r="A81" s="8"/>
      <c r="H81" s="9"/>
    </row>
    <row r="82">
      <c r="A82" s="8"/>
      <c r="H82" s="9"/>
    </row>
    <row r="83">
      <c r="A83" s="11"/>
      <c r="B83" s="12"/>
      <c r="C83" s="12"/>
      <c r="D83" s="12"/>
      <c r="E83" s="12"/>
      <c r="F83" s="12"/>
      <c r="G83" s="12"/>
      <c r="H83" s="13"/>
    </row>
    <row r="84">
      <c r="A84" s="37"/>
      <c r="B84" s="38"/>
      <c r="C84" s="39"/>
      <c r="D84" s="39"/>
      <c r="E84" s="39"/>
      <c r="F84" s="41"/>
      <c r="G84" s="40"/>
      <c r="H84" s="41"/>
    </row>
    <row r="85">
      <c r="A85" s="37"/>
      <c r="B85" s="38"/>
      <c r="C85" s="39"/>
      <c r="D85" s="39"/>
      <c r="E85" s="39"/>
      <c r="F85" s="41"/>
      <c r="G85" s="40"/>
      <c r="H85" s="41"/>
    </row>
    <row r="86">
      <c r="B86" s="38"/>
      <c r="C86" s="39"/>
      <c r="D86" s="39"/>
      <c r="E86" s="39"/>
      <c r="F86" s="41"/>
      <c r="G86" s="40"/>
      <c r="H86" s="41"/>
    </row>
    <row r="87">
      <c r="A87" s="43"/>
      <c r="B87" s="46"/>
      <c r="C87" s="46"/>
      <c r="D87" s="46"/>
      <c r="E87" s="46"/>
      <c r="F87" s="46"/>
      <c r="G87" s="46"/>
      <c r="H87" s="47"/>
    </row>
    <row r="88">
      <c r="A88" s="42" t="str">
        <f>HYPERLINK("https://i.imgur.com/qAl8YPs.png","パラメータページ：並べ替え")</f>
        <v>パラメータページ：並べ替え</v>
      </c>
      <c r="D88" s="48"/>
      <c r="E88" s="48"/>
      <c r="F88" s="48"/>
      <c r="G88" s="48"/>
      <c r="H88" s="49"/>
    </row>
    <row r="89">
      <c r="A89" s="50" t="str">
        <f>IMAGE("https://i.imgur.com/qAl8YPs.png",1)</f>
        <v>#REF!</v>
      </c>
    </row>
    <row r="90">
      <c r="A90" s="8"/>
    </row>
    <row r="91">
      <c r="A91" s="8"/>
    </row>
    <row r="92">
      <c r="A92" s="8"/>
    </row>
    <row r="93">
      <c r="A93" s="8"/>
    </row>
    <row r="94">
      <c r="A94" s="8"/>
    </row>
    <row r="95">
      <c r="A95" s="8"/>
    </row>
    <row r="96">
      <c r="A96" s="8"/>
    </row>
    <row r="97">
      <c r="A97" s="8"/>
    </row>
    <row r="98">
      <c r="A98" s="8"/>
    </row>
    <row r="99">
      <c r="A99" s="8"/>
    </row>
    <row r="100">
      <c r="A100" s="8"/>
    </row>
    <row r="101">
      <c r="A101" s="8"/>
    </row>
    <row r="102">
      <c r="A102" s="8"/>
    </row>
    <row r="103">
      <c r="A103" s="8"/>
    </row>
    <row r="104">
      <c r="A104" s="8"/>
    </row>
    <row r="105">
      <c r="A105" s="8"/>
    </row>
    <row r="106">
      <c r="A106" s="8"/>
    </row>
    <row r="107">
      <c r="A107" s="8"/>
    </row>
    <row r="108">
      <c r="A108" s="8"/>
    </row>
    <row r="109">
      <c r="A109" s="8"/>
    </row>
    <row r="110">
      <c r="A110" s="8"/>
    </row>
    <row r="111">
      <c r="A111" s="8"/>
    </row>
    <row r="112">
      <c r="A112" s="8"/>
    </row>
    <row r="113">
      <c r="A113" s="8"/>
    </row>
    <row r="114">
      <c r="A114" s="8"/>
    </row>
    <row r="115">
      <c r="A115" s="8"/>
    </row>
    <row r="116">
      <c r="A116" s="8"/>
    </row>
    <row r="117">
      <c r="A117" s="8"/>
    </row>
    <row r="118">
      <c r="A118" s="8"/>
    </row>
    <row r="119">
      <c r="A119" s="8"/>
    </row>
    <row r="120">
      <c r="A120" s="8"/>
    </row>
    <row r="121">
      <c r="A121" s="8"/>
    </row>
    <row r="122">
      <c r="A122" s="8"/>
    </row>
    <row r="123">
      <c r="A123" s="50"/>
      <c r="B123" s="48"/>
      <c r="C123" s="48"/>
      <c r="D123" s="48"/>
      <c r="E123" s="48"/>
      <c r="F123" s="48"/>
      <c r="G123" s="48"/>
      <c r="H123" s="49"/>
    </row>
    <row r="124">
      <c r="A124" s="50"/>
      <c r="B124" s="48"/>
      <c r="C124" s="48"/>
      <c r="D124" s="48"/>
      <c r="E124" s="48"/>
      <c r="F124" s="48"/>
      <c r="G124" s="48"/>
      <c r="H124" s="49"/>
    </row>
    <row r="125" collapsed="1">
      <c r="A125" s="51" t="s">
        <v>16</v>
      </c>
      <c r="B125" s="48"/>
      <c r="C125" s="48"/>
      <c r="D125" s="48"/>
      <c r="E125" s="48"/>
      <c r="F125" s="48"/>
      <c r="G125" s="48"/>
      <c r="H125" s="49"/>
    </row>
    <row r="126" hidden="1" outlineLevel="1">
      <c r="B126" s="52"/>
      <c r="C126" s="52"/>
      <c r="D126" s="52"/>
      <c r="E126" s="52"/>
      <c r="F126" s="52"/>
      <c r="G126" s="52"/>
      <c r="H126" s="53"/>
    </row>
    <row r="127" hidden="1" outlineLevel="1">
      <c r="A127" s="40"/>
      <c r="B127" s="38"/>
      <c r="C127" s="54"/>
      <c r="D127" s="55" t="s">
        <v>17</v>
      </c>
      <c r="E127" s="39"/>
      <c r="F127" s="41"/>
      <c r="G127" s="40"/>
      <c r="H127" s="55" t="s">
        <v>18</v>
      </c>
    </row>
    <row r="128" hidden="1" outlineLevel="1">
      <c r="A128" s="40"/>
      <c r="B128" s="38"/>
      <c r="C128" s="38"/>
      <c r="D128" s="39"/>
      <c r="E128" s="39"/>
      <c r="F128" s="41"/>
      <c r="G128" s="40"/>
      <c r="H128" s="41"/>
    </row>
    <row r="129" hidden="1" outlineLevel="1">
      <c r="A129" s="40"/>
      <c r="B129" s="38" t="s">
        <v>19</v>
      </c>
      <c r="C129" s="39"/>
      <c r="D129" s="39"/>
      <c r="E129" s="39"/>
      <c r="F129" s="41"/>
      <c r="G129" s="40"/>
      <c r="H129" s="41"/>
    </row>
    <row r="130" hidden="1" outlineLevel="1">
      <c r="A130" s="40"/>
      <c r="B130" s="38"/>
      <c r="C130" s="38" t="s">
        <v>20</v>
      </c>
      <c r="D130" s="39"/>
      <c r="E130" s="39"/>
      <c r="F130" s="41"/>
      <c r="G130" s="40"/>
      <c r="H130" s="41"/>
    </row>
    <row r="131" hidden="1" outlineLevel="1">
      <c r="A131" s="40"/>
      <c r="B131" s="38"/>
      <c r="C131" s="39"/>
      <c r="D131" s="56" t="s">
        <v>21</v>
      </c>
      <c r="E131" s="57"/>
      <c r="F131" s="57"/>
      <c r="G131" s="40"/>
      <c r="H131" s="41"/>
    </row>
    <row r="132" hidden="1" outlineLevel="1">
      <c r="A132" s="40"/>
      <c r="B132" s="38"/>
      <c r="C132" s="39"/>
      <c r="D132" s="54" t="s">
        <v>22</v>
      </c>
      <c r="E132" s="57"/>
      <c r="F132" s="57"/>
      <c r="G132" s="40"/>
      <c r="H132" s="41"/>
    </row>
    <row r="133" hidden="1" outlineLevel="1">
      <c r="A133" s="40"/>
      <c r="B133" s="38"/>
      <c r="C133" s="39"/>
      <c r="D133" s="56" t="s">
        <v>23</v>
      </c>
      <c r="E133" s="39"/>
      <c r="F133" s="41"/>
      <c r="G133" s="40"/>
      <c r="H133" s="41"/>
    </row>
    <row r="134" hidden="1" outlineLevel="1">
      <c r="A134" s="40"/>
      <c r="B134" s="38"/>
      <c r="C134" s="39"/>
      <c r="D134" s="54" t="s">
        <v>24</v>
      </c>
      <c r="E134" s="39"/>
      <c r="F134" s="41"/>
      <c r="G134" s="40"/>
      <c r="H134" s="41"/>
    </row>
    <row r="135" hidden="1" outlineLevel="1">
      <c r="A135" s="40" t="s">
        <v>25</v>
      </c>
      <c r="B135" s="38"/>
      <c r="C135" s="39"/>
      <c r="D135" s="39"/>
      <c r="E135" s="39"/>
      <c r="F135" s="41"/>
      <c r="G135" s="40"/>
      <c r="H135" s="41"/>
    </row>
    <row r="136" hidden="1" outlineLevel="1">
      <c r="A136" s="40"/>
      <c r="B136" s="38" t="s">
        <v>26</v>
      </c>
      <c r="C136" s="39"/>
      <c r="D136" s="39"/>
      <c r="E136" s="39"/>
      <c r="F136" s="41"/>
      <c r="G136" s="40"/>
      <c r="H136" s="41"/>
    </row>
    <row r="137" hidden="1" outlineLevel="1">
      <c r="A137" s="40"/>
      <c r="B137" s="38"/>
      <c r="C137" s="56" t="s">
        <v>27</v>
      </c>
      <c r="D137" s="57"/>
      <c r="E137" s="57"/>
      <c r="F137" s="41"/>
      <c r="G137" s="40"/>
      <c r="H137" s="41"/>
    </row>
    <row r="138" hidden="1" outlineLevel="1">
      <c r="A138" s="40"/>
      <c r="B138" s="38"/>
      <c r="C138" s="56" t="s">
        <v>28</v>
      </c>
      <c r="D138" s="57"/>
      <c r="E138" s="57"/>
      <c r="F138" s="41"/>
      <c r="G138" s="40"/>
      <c r="H138" s="41"/>
    </row>
    <row r="139" hidden="1" outlineLevel="1">
      <c r="A139" s="40"/>
      <c r="B139" s="57"/>
      <c r="C139" s="56" t="s">
        <v>29</v>
      </c>
      <c r="D139" s="39"/>
      <c r="E139" s="39"/>
      <c r="F139" s="41"/>
      <c r="G139" s="40"/>
      <c r="H139" s="41"/>
    </row>
    <row r="140" hidden="1" outlineLevel="1">
      <c r="A140" s="40"/>
      <c r="B140" s="57"/>
      <c r="C140" s="54" t="s">
        <v>30</v>
      </c>
      <c r="D140" s="39"/>
      <c r="E140" s="39"/>
      <c r="F140" s="41"/>
      <c r="G140" s="40"/>
      <c r="H140" s="41"/>
    </row>
    <row r="141" hidden="1" outlineLevel="1">
      <c r="A141" s="40"/>
      <c r="B141" s="57"/>
      <c r="C141" s="54" t="s">
        <v>31</v>
      </c>
      <c r="D141" s="39"/>
      <c r="E141" s="39"/>
      <c r="F141" s="41"/>
      <c r="G141" s="40"/>
      <c r="H141" s="41"/>
    </row>
    <row r="142" hidden="1" outlineLevel="1">
      <c r="A142" s="40"/>
      <c r="B142" s="57"/>
      <c r="C142" s="54" t="s">
        <v>32</v>
      </c>
      <c r="D142" s="39"/>
      <c r="E142" s="39"/>
      <c r="F142" s="41"/>
      <c r="G142" s="40"/>
      <c r="H142" s="41"/>
    </row>
    <row r="143" hidden="1" outlineLevel="1">
      <c r="A143" s="40"/>
      <c r="B143" s="57"/>
      <c r="C143" s="55" t="s">
        <v>33</v>
      </c>
      <c r="D143" s="39"/>
      <c r="E143" s="39"/>
      <c r="F143" s="41"/>
      <c r="G143" s="40"/>
      <c r="H143" s="41"/>
    </row>
    <row r="144" hidden="1" outlineLevel="1">
      <c r="A144" s="40"/>
      <c r="B144" s="57"/>
      <c r="C144" s="55" t="s">
        <v>34</v>
      </c>
      <c r="D144" s="39"/>
      <c r="E144" s="39"/>
      <c r="F144" s="41"/>
      <c r="G144" s="40"/>
      <c r="H144" s="41"/>
    </row>
    <row r="145" hidden="1" outlineLevel="1">
      <c r="A145" s="40"/>
      <c r="B145" s="57"/>
      <c r="C145" s="57"/>
      <c r="D145" s="39"/>
      <c r="E145" s="39"/>
      <c r="F145" s="41"/>
      <c r="G145" s="40"/>
      <c r="H145" s="41"/>
    </row>
    <row r="146" hidden="1" outlineLevel="1">
      <c r="A146" s="40" t="s">
        <v>35</v>
      </c>
      <c r="B146" s="57"/>
      <c r="C146" s="57"/>
      <c r="D146" s="39"/>
      <c r="E146" s="39"/>
      <c r="F146" s="41"/>
      <c r="G146" s="40"/>
      <c r="H146" s="41"/>
    </row>
    <row r="147" hidden="1" outlineLevel="1">
      <c r="A147" s="40"/>
      <c r="B147" s="38" t="s">
        <v>36</v>
      </c>
      <c r="C147" s="57"/>
      <c r="D147" s="39"/>
      <c r="E147" s="39"/>
      <c r="F147" s="41"/>
      <c r="G147" s="40"/>
      <c r="H147" s="41"/>
    </row>
    <row r="148" hidden="1" outlineLevel="1">
      <c r="A148" s="40"/>
      <c r="B148" s="38"/>
      <c r="C148" s="56" t="s">
        <v>37</v>
      </c>
      <c r="D148" s="39"/>
      <c r="E148" s="39"/>
      <c r="F148" s="41"/>
      <c r="G148" s="40"/>
      <c r="H148" s="41"/>
    </row>
    <row r="149" hidden="1" outlineLevel="1">
      <c r="A149" s="40"/>
      <c r="B149" s="38"/>
      <c r="C149" s="54" t="s">
        <v>38</v>
      </c>
      <c r="D149" s="39"/>
      <c r="E149" s="39"/>
      <c r="F149" s="41"/>
      <c r="G149" s="40"/>
      <c r="H149" s="41"/>
    </row>
  </sheetData>
  <mergeCells count="31">
    <mergeCell ref="A1:H1"/>
    <mergeCell ref="A2:F5"/>
    <mergeCell ref="G2:H2"/>
    <mergeCell ref="G3:H3"/>
    <mergeCell ref="G4:H4"/>
    <mergeCell ref="G5:H5"/>
    <mergeCell ref="A6:H6"/>
    <mergeCell ref="A7:B9"/>
    <mergeCell ref="C7:D9"/>
    <mergeCell ref="E7:F9"/>
    <mergeCell ref="G7:H9"/>
    <mergeCell ref="A10:H10"/>
    <mergeCell ref="A11:H11"/>
    <mergeCell ref="A12:H13"/>
    <mergeCell ref="A15:H17"/>
    <mergeCell ref="A18:H18"/>
    <mergeCell ref="A19:H20"/>
    <mergeCell ref="A21:H21"/>
    <mergeCell ref="A22:H22"/>
    <mergeCell ref="A23:H27"/>
    <mergeCell ref="A28:H28"/>
    <mergeCell ref="A63:H83"/>
    <mergeCell ref="A88:C88"/>
    <mergeCell ref="A89:H122"/>
    <mergeCell ref="A30:H31"/>
    <mergeCell ref="A33:H33"/>
    <mergeCell ref="A34:C34"/>
    <mergeCell ref="A35:C35"/>
    <mergeCell ref="A37:H37"/>
    <mergeCell ref="A39:H59"/>
    <mergeCell ref="A62:C6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C232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58">
        <v>1.0</v>
      </c>
      <c r="B1" s="59"/>
      <c r="C1" s="60" t="str">
        <f>IMAGE(VLOOKUP($A$1,Fighters!A2:AI114,12,FALSE),1)</f>
        <v>#REF!</v>
      </c>
      <c r="D1" s="61"/>
      <c r="E1" s="61"/>
      <c r="F1" s="61"/>
      <c r="G1" s="62"/>
      <c r="H1" s="63"/>
      <c r="I1" s="61"/>
      <c r="J1" s="62"/>
      <c r="K1" s="64"/>
      <c r="L1" s="61"/>
      <c r="M1" s="62"/>
      <c r="N1" s="65"/>
      <c r="O1" s="65"/>
      <c r="P1" s="65"/>
      <c r="Q1" s="65"/>
      <c r="R1" s="66"/>
      <c r="S1" s="66"/>
      <c r="T1" s="66"/>
      <c r="U1" s="66"/>
      <c r="V1" s="66"/>
    </row>
    <row r="2">
      <c r="A2" s="67" t="str">
        <f>VLOOKUP($A$1,Fighters!$A$2:$AI$81,6,FALSE)</f>
        <v>#ec2320</v>
      </c>
      <c r="B2" s="59"/>
      <c r="C2" s="68"/>
      <c r="G2" s="69"/>
      <c r="H2" s="70"/>
      <c r="I2" s="71"/>
      <c r="J2" s="72"/>
      <c r="K2" s="70"/>
      <c r="L2" s="71"/>
      <c r="M2" s="72"/>
      <c r="N2" s="65"/>
      <c r="O2" s="65"/>
      <c r="P2" s="65"/>
      <c r="Q2" s="65"/>
      <c r="R2" s="66"/>
      <c r="S2" s="66"/>
      <c r="T2" s="66"/>
      <c r="U2" s="66"/>
      <c r="V2" s="66"/>
    </row>
    <row r="3">
      <c r="A3" s="67" t="str">
        <f>VLOOKUP($A$1,Fighters!$A$2:$AI$81,14,FALSE)</f>
        <v>1. マリオ</v>
      </c>
      <c r="B3" s="59"/>
      <c r="C3" s="68"/>
      <c r="G3" s="69"/>
      <c r="H3" s="73"/>
      <c r="I3" s="73"/>
      <c r="J3" s="73"/>
      <c r="K3" s="74"/>
      <c r="L3" s="74"/>
      <c r="M3" s="74"/>
      <c r="N3" s="65"/>
      <c r="O3" s="65"/>
      <c r="P3" s="65"/>
      <c r="Q3" s="65"/>
      <c r="R3" s="75"/>
      <c r="S3" s="66"/>
      <c r="T3" s="66"/>
      <c r="U3" s="66"/>
      <c r="V3" s="66"/>
    </row>
    <row r="4">
      <c r="A4" s="67" t="str">
        <f>VLOOKUP($A$1,Fighters!$A$2:$AI$81,13,FALSE)</f>
        <v>0</v>
      </c>
      <c r="B4" s="59"/>
      <c r="C4" s="68"/>
      <c r="G4" s="69"/>
      <c r="H4" s="76"/>
      <c r="I4" s="76"/>
      <c r="J4" s="73"/>
      <c r="K4" s="74"/>
      <c r="L4" s="74"/>
      <c r="M4" s="74"/>
      <c r="N4" s="65"/>
      <c r="O4" s="65"/>
      <c r="P4" s="65"/>
      <c r="Q4" s="65"/>
      <c r="R4" s="75"/>
      <c r="S4" s="66"/>
      <c r="T4" s="66"/>
      <c r="U4" s="66"/>
      <c r="V4" s="66"/>
    </row>
    <row r="5" ht="16.5" customHeight="1">
      <c r="A5" s="58"/>
      <c r="B5" s="59"/>
      <c r="C5" s="68"/>
      <c r="G5" s="69"/>
      <c r="H5" s="77"/>
      <c r="I5" s="77"/>
      <c r="J5" s="78"/>
      <c r="K5" s="79"/>
      <c r="L5" s="80"/>
      <c r="M5" s="80"/>
      <c r="N5" s="65"/>
      <c r="O5" s="65"/>
      <c r="P5" s="65"/>
      <c r="Q5" s="65"/>
      <c r="R5" s="75"/>
      <c r="S5" s="66"/>
      <c r="T5" s="66"/>
      <c r="U5" s="66"/>
      <c r="V5" s="66"/>
    </row>
    <row r="6">
      <c r="A6" s="59"/>
      <c r="B6" s="59"/>
      <c r="C6" s="68"/>
      <c r="G6" s="69"/>
      <c r="H6" s="76"/>
      <c r="I6" s="81" t="s">
        <v>39</v>
      </c>
      <c r="J6" s="79"/>
      <c r="K6" s="82"/>
      <c r="L6" s="80"/>
      <c r="M6" s="80"/>
      <c r="N6" s="65"/>
      <c r="O6" s="65"/>
      <c r="P6" s="65"/>
      <c r="Q6" s="65"/>
      <c r="R6" s="75"/>
      <c r="S6" s="66"/>
      <c r="T6" s="66"/>
      <c r="U6" s="66"/>
      <c r="V6" s="66"/>
    </row>
    <row r="7">
      <c r="A7" s="59"/>
      <c r="B7" s="59"/>
      <c r="C7" s="68"/>
      <c r="G7" s="69"/>
      <c r="H7" s="77"/>
      <c r="I7" s="77"/>
      <c r="J7" s="79"/>
      <c r="K7" s="82"/>
      <c r="L7" s="80"/>
      <c r="M7" s="80"/>
      <c r="N7" s="65"/>
      <c r="O7" s="65"/>
      <c r="P7" s="65"/>
      <c r="Q7" s="65"/>
      <c r="R7" s="75"/>
      <c r="S7" s="66"/>
      <c r="T7" s="66"/>
      <c r="U7" s="66"/>
      <c r="V7" s="66"/>
    </row>
    <row r="8">
      <c r="A8" s="59"/>
      <c r="B8" s="59"/>
      <c r="C8" s="68"/>
      <c r="G8" s="69"/>
      <c r="H8" s="83">
        <v>44379.842927210644</v>
      </c>
      <c r="I8" s="61"/>
      <c r="J8" s="62"/>
      <c r="K8" s="79"/>
      <c r="L8" s="80"/>
      <c r="M8" s="80"/>
      <c r="N8" s="65"/>
      <c r="O8" s="65"/>
      <c r="P8" s="65"/>
      <c r="Q8" s="65"/>
      <c r="R8" s="75"/>
      <c r="S8" s="66"/>
      <c r="T8" s="66"/>
      <c r="U8" s="66"/>
      <c r="V8" s="66"/>
    </row>
    <row r="9">
      <c r="A9" s="59"/>
      <c r="B9" s="59"/>
      <c r="C9" s="68"/>
      <c r="G9" s="69"/>
      <c r="H9" s="70"/>
      <c r="I9" s="71"/>
      <c r="J9" s="72"/>
      <c r="K9" s="66"/>
      <c r="L9" s="65"/>
      <c r="M9" s="65"/>
      <c r="N9" s="65"/>
      <c r="O9" s="65"/>
      <c r="P9" s="65"/>
      <c r="Q9" s="65"/>
      <c r="R9" s="75"/>
      <c r="S9" s="66"/>
      <c r="T9" s="66"/>
      <c r="U9" s="66"/>
      <c r="V9" s="66"/>
    </row>
    <row r="10">
      <c r="A10" s="59"/>
      <c r="B10" s="59"/>
      <c r="C10" s="68"/>
      <c r="G10" s="69"/>
      <c r="H10" s="84"/>
      <c r="I10" s="85"/>
      <c r="J10" s="66"/>
      <c r="K10" s="66"/>
      <c r="L10" s="65"/>
      <c r="M10" s="65"/>
      <c r="N10" s="65"/>
      <c r="O10" s="65"/>
      <c r="P10" s="65"/>
      <c r="Q10" s="65"/>
      <c r="R10" s="75"/>
      <c r="S10" s="66"/>
      <c r="T10" s="66"/>
      <c r="U10" s="66"/>
      <c r="V10" s="66"/>
    </row>
    <row r="11">
      <c r="A11" s="86" t="s">
        <v>40</v>
      </c>
      <c r="B11" s="62"/>
      <c r="C11" s="68"/>
      <c r="G11" s="69"/>
      <c r="H11" s="77"/>
      <c r="I11" s="77"/>
      <c r="J11" s="66"/>
      <c r="K11" s="66"/>
      <c r="L11" s="65"/>
      <c r="M11" s="65"/>
      <c r="N11" s="65"/>
      <c r="O11" s="65"/>
      <c r="P11" s="65"/>
      <c r="Q11" s="65"/>
      <c r="R11" s="75"/>
      <c r="S11" s="66"/>
      <c r="T11" s="66"/>
      <c r="U11" s="66"/>
      <c r="V11" s="66"/>
    </row>
    <row r="12">
      <c r="A12" s="70"/>
      <c r="B12" s="72"/>
      <c r="C12" s="70"/>
      <c r="D12" s="71"/>
      <c r="E12" s="71"/>
      <c r="F12" s="71"/>
      <c r="G12" s="72"/>
      <c r="H12" s="87"/>
      <c r="I12" s="87"/>
      <c r="J12" s="59"/>
      <c r="K12" s="59"/>
      <c r="L12" s="65"/>
      <c r="M12" s="65"/>
      <c r="N12" s="65"/>
      <c r="O12" s="65"/>
      <c r="P12" s="65"/>
      <c r="Q12" s="65"/>
      <c r="R12" s="75"/>
      <c r="S12" s="66"/>
      <c r="T12" s="66"/>
      <c r="U12" s="66"/>
      <c r="V12" s="6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D14" s="96"/>
      <c r="E14" s="96"/>
      <c r="F14" s="96"/>
      <c r="G14" s="97"/>
      <c r="H14" s="98"/>
      <c r="I14" s="99"/>
      <c r="J14" s="100"/>
      <c r="K14" s="101"/>
      <c r="L14" s="102"/>
      <c r="M14" s="102"/>
      <c r="N14" s="102"/>
      <c r="O14" s="102"/>
      <c r="P14" s="102"/>
      <c r="Q14" s="102"/>
      <c r="R14" s="98"/>
      <c r="S14" s="100"/>
      <c r="T14" s="100"/>
      <c r="U14" s="100"/>
      <c r="V14" s="100"/>
    </row>
    <row r="15">
      <c r="A15" s="103" t="s">
        <v>41</v>
      </c>
      <c r="B15" s="104"/>
      <c r="D15" s="101"/>
      <c r="E15" s="101"/>
      <c r="F15" s="101"/>
      <c r="G15" s="105"/>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98 [33rd]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1.936 [38th]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1.155 [35th]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36.33 [16th]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1.76 [37th]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0.102 [61st]</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17.54 [16th]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1.208 [13th]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36.33 [22nd]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 [59th]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 [57th]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0.087 [54th]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tr">
        <f>'テンプレート'!A26</f>
        <v>弱攻撃</v>
      </c>
      <c r="B26" s="134" t="s">
        <v>55</v>
      </c>
      <c r="C26" s="135" t="s">
        <v>56</v>
      </c>
      <c r="D26" s="136" t="s">
        <v>57</v>
      </c>
      <c r="E26" s="137" t="s">
        <v>58</v>
      </c>
      <c r="F26" s="138" t="s">
        <v>59</v>
      </c>
      <c r="G26" s="139" t="s">
        <v>60</v>
      </c>
      <c r="H26" s="140" t="s">
        <v>61</v>
      </c>
      <c r="I26" s="110"/>
      <c r="J26" s="109"/>
      <c r="K26" s="141"/>
      <c r="L26" s="142"/>
      <c r="M26" s="143"/>
      <c r="N26" s="144"/>
      <c r="O26" s="145"/>
      <c r="P26" s="145"/>
      <c r="Q26" s="145"/>
      <c r="R26" s="100"/>
      <c r="S26" s="100"/>
      <c r="T26" s="100"/>
      <c r="U26" s="145" t="s">
        <v>62</v>
      </c>
      <c r="V26" s="100"/>
    </row>
    <row r="27" outlineLevel="1">
      <c r="A27" s="146"/>
      <c r="B27" s="147" t="s">
        <v>63</v>
      </c>
      <c r="C27" s="148" t="s">
        <v>64</v>
      </c>
      <c r="D27" s="149" t="s">
        <v>65</v>
      </c>
      <c r="E27" s="150" t="s">
        <v>66</v>
      </c>
      <c r="F27" s="138" t="s">
        <v>67</v>
      </c>
      <c r="G27" s="139" t="s">
        <v>60</v>
      </c>
      <c r="H27" s="151" t="s">
        <v>68</v>
      </c>
      <c r="I27" s="110"/>
      <c r="J27" s="109"/>
      <c r="K27" s="152"/>
      <c r="L27" s="153"/>
      <c r="M27" s="154"/>
      <c r="N27" s="155"/>
      <c r="O27" s="145"/>
      <c r="P27" s="145"/>
      <c r="Q27" s="145"/>
      <c r="R27" s="100"/>
      <c r="S27" s="100"/>
      <c r="T27" s="100"/>
      <c r="U27" s="145" t="s">
        <v>69</v>
      </c>
      <c r="V27" s="100"/>
    </row>
    <row r="28" outlineLevel="1">
      <c r="A28" s="156"/>
      <c r="B28" s="147" t="s">
        <v>70</v>
      </c>
      <c r="C28" s="148" t="s">
        <v>71</v>
      </c>
      <c r="D28" s="157" t="s">
        <v>72</v>
      </c>
      <c r="E28" s="158" t="s">
        <v>73</v>
      </c>
      <c r="F28" s="138" t="s">
        <v>74</v>
      </c>
      <c r="G28" s="139" t="s">
        <v>75</v>
      </c>
      <c r="H28" s="159"/>
      <c r="I28" s="110"/>
      <c r="J28" s="109"/>
      <c r="K28" s="152"/>
      <c r="L28" s="153"/>
      <c r="M28" s="154"/>
      <c r="N28" s="154"/>
      <c r="O28" s="145"/>
      <c r="P28" s="145"/>
      <c r="Q28" s="145"/>
      <c r="R28" s="100"/>
      <c r="S28" s="100"/>
      <c r="T28" s="100"/>
      <c r="U28" s="145" t="s">
        <v>76</v>
      </c>
      <c r="V28" s="100"/>
    </row>
    <row r="29" outlineLevel="1">
      <c r="A29" s="133" t="s">
        <v>77</v>
      </c>
      <c r="B29" s="160"/>
      <c r="C29" s="148" t="s">
        <v>78</v>
      </c>
      <c r="D29" s="161" t="s">
        <v>79</v>
      </c>
      <c r="E29" s="158" t="s">
        <v>80</v>
      </c>
      <c r="F29" s="138" t="s">
        <v>81</v>
      </c>
      <c r="G29" s="162" t="s">
        <v>82</v>
      </c>
      <c r="H29" s="163" t="s">
        <v>83</v>
      </c>
      <c r="I29" s="164"/>
      <c r="J29" s="104"/>
      <c r="K29" s="165"/>
      <c r="L29" s="153"/>
      <c r="M29" s="154"/>
      <c r="N29" s="154"/>
      <c r="O29" s="145"/>
      <c r="P29" s="145"/>
      <c r="Q29" s="145"/>
      <c r="R29" s="100"/>
      <c r="S29" s="100"/>
      <c r="T29" s="100"/>
      <c r="U29" s="166" t="s">
        <v>69</v>
      </c>
      <c r="V29" s="100"/>
    </row>
    <row r="30" outlineLevel="1">
      <c r="A30" s="156"/>
      <c r="B30" s="147" t="s">
        <v>84</v>
      </c>
      <c r="C30" s="167" t="s">
        <v>85</v>
      </c>
      <c r="D30" s="107"/>
      <c r="E30" s="158" t="s">
        <v>86</v>
      </c>
      <c r="F30" s="138" t="s">
        <v>87</v>
      </c>
      <c r="G30" s="162" t="s">
        <v>88</v>
      </c>
      <c r="H30" s="106"/>
      <c r="I30" s="168"/>
      <c r="J30" s="107"/>
      <c r="K30" s="169"/>
      <c r="L30" s="153"/>
      <c r="M30" s="154"/>
      <c r="N30" s="154"/>
      <c r="O30" s="145"/>
      <c r="P30" s="145"/>
      <c r="Q30" s="145"/>
      <c r="R30" s="100"/>
      <c r="S30" s="100"/>
      <c r="T30" s="100"/>
      <c r="U30" s="156"/>
      <c r="V30" s="100"/>
    </row>
    <row r="31" outlineLevel="1">
      <c r="A31" s="170" t="s">
        <v>89</v>
      </c>
      <c r="B31" s="147" t="s">
        <v>90</v>
      </c>
      <c r="C31" s="148" t="s">
        <v>91</v>
      </c>
      <c r="D31" s="149" t="s">
        <v>92</v>
      </c>
      <c r="E31" s="158" t="s">
        <v>93</v>
      </c>
      <c r="F31" s="138" t="s">
        <v>94</v>
      </c>
      <c r="G31" s="139" t="s">
        <v>95</v>
      </c>
      <c r="H31" s="159"/>
      <c r="I31" s="110"/>
      <c r="J31" s="109"/>
      <c r="K31" s="171"/>
      <c r="L31" s="153"/>
      <c r="M31" s="154"/>
      <c r="N31" s="154"/>
      <c r="O31" s="145"/>
      <c r="P31" s="145"/>
      <c r="Q31" s="145"/>
      <c r="R31" s="100"/>
      <c r="S31" s="100"/>
      <c r="T31" s="100"/>
      <c r="U31" s="145" t="s">
        <v>96</v>
      </c>
      <c r="V31" s="100"/>
    </row>
    <row r="32" outlineLevel="1">
      <c r="A32" s="170" t="s">
        <v>97</v>
      </c>
      <c r="B32" s="160"/>
      <c r="C32" s="148" t="s">
        <v>98</v>
      </c>
      <c r="D32" s="157" t="s">
        <v>99</v>
      </c>
      <c r="E32" s="158" t="s">
        <v>100</v>
      </c>
      <c r="F32" s="138" t="s">
        <v>101</v>
      </c>
      <c r="G32" s="139" t="s">
        <v>102</v>
      </c>
      <c r="H32" s="159"/>
      <c r="I32" s="110"/>
      <c r="J32" s="109"/>
      <c r="K32" s="169"/>
      <c r="L32" s="153"/>
      <c r="M32" s="154"/>
      <c r="N32" s="154"/>
      <c r="O32" s="145"/>
      <c r="P32" s="145"/>
      <c r="Q32" s="145"/>
      <c r="R32" s="100"/>
      <c r="S32" s="100"/>
      <c r="T32" s="100"/>
      <c r="U32" s="145" t="s">
        <v>62</v>
      </c>
      <c r="V32" s="100"/>
    </row>
    <row r="33" outlineLevel="1">
      <c r="A33" s="170" t="s">
        <v>103</v>
      </c>
      <c r="B33" s="160"/>
      <c r="C33" s="148" t="s">
        <v>104</v>
      </c>
      <c r="D33" s="157" t="s">
        <v>105</v>
      </c>
      <c r="E33" s="150" t="s">
        <v>106</v>
      </c>
      <c r="F33" s="138" t="s">
        <v>107</v>
      </c>
      <c r="G33" s="139" t="s">
        <v>108</v>
      </c>
      <c r="H33" s="159"/>
      <c r="I33" s="110"/>
      <c r="J33" s="109"/>
      <c r="K33" s="172"/>
      <c r="L33" s="154"/>
      <c r="M33" s="154"/>
      <c r="N33" s="154"/>
      <c r="O33" s="145"/>
      <c r="P33" s="145"/>
      <c r="Q33" s="145"/>
      <c r="R33" s="100"/>
      <c r="S33" s="100"/>
      <c r="T33" s="100"/>
      <c r="U33" s="145" t="s">
        <v>62</v>
      </c>
      <c r="V33" s="100"/>
    </row>
    <row r="34" outlineLevel="1">
      <c r="A34" s="170" t="s">
        <v>109</v>
      </c>
      <c r="B34" s="147" t="s">
        <v>90</v>
      </c>
      <c r="C34" s="148" t="s">
        <v>110</v>
      </c>
      <c r="D34" s="157" t="s">
        <v>111</v>
      </c>
      <c r="E34" s="150" t="s">
        <v>112</v>
      </c>
      <c r="F34" s="138" t="s">
        <v>113</v>
      </c>
      <c r="G34" s="139" t="s">
        <v>114</v>
      </c>
      <c r="H34" s="173" t="s">
        <v>115</v>
      </c>
      <c r="I34" s="110"/>
      <c r="J34" s="109"/>
      <c r="K34" s="152"/>
      <c r="L34" s="153"/>
      <c r="M34" s="154"/>
      <c r="N34" s="154"/>
      <c r="O34" s="145"/>
      <c r="P34" s="145"/>
      <c r="Q34" s="145"/>
      <c r="R34" s="100"/>
      <c r="S34" s="100"/>
      <c r="T34" s="100"/>
      <c r="U34" s="145" t="s">
        <v>95</v>
      </c>
      <c r="V34" s="100"/>
    </row>
    <row r="35" outlineLevel="1">
      <c r="A35" s="170" t="s">
        <v>116</v>
      </c>
      <c r="B35" s="160"/>
      <c r="C35" s="148" t="s">
        <v>117</v>
      </c>
      <c r="D35" s="157" t="s">
        <v>118</v>
      </c>
      <c r="E35" s="158" t="s">
        <v>119</v>
      </c>
      <c r="F35" s="138" t="s">
        <v>120</v>
      </c>
      <c r="G35" s="139" t="s">
        <v>121</v>
      </c>
      <c r="H35" s="173" t="s">
        <v>122</v>
      </c>
      <c r="I35" s="110"/>
      <c r="J35" s="109"/>
      <c r="K35" s="174"/>
      <c r="L35" s="154"/>
      <c r="M35" s="154"/>
      <c r="N35" s="154"/>
      <c r="O35" s="145"/>
      <c r="P35" s="145"/>
      <c r="Q35" s="145"/>
      <c r="R35" s="100"/>
      <c r="S35" s="100"/>
      <c r="T35" s="100"/>
      <c r="U35" s="145" t="s">
        <v>123</v>
      </c>
      <c r="V35" s="100"/>
    </row>
    <row r="36" outlineLevel="1">
      <c r="A36" s="133" t="s">
        <v>124</v>
      </c>
      <c r="B36" s="147" t="s">
        <v>125</v>
      </c>
      <c r="C36" s="148" t="s">
        <v>126</v>
      </c>
      <c r="D36" s="161" t="s">
        <v>127</v>
      </c>
      <c r="E36" s="158" t="s">
        <v>128</v>
      </c>
      <c r="F36" s="138" t="s">
        <v>129</v>
      </c>
      <c r="G36" s="139" t="s">
        <v>95</v>
      </c>
      <c r="H36" s="175" t="s">
        <v>130</v>
      </c>
      <c r="I36" s="164"/>
      <c r="J36" s="104"/>
      <c r="K36" s="169"/>
      <c r="L36" s="153"/>
      <c r="M36" s="154"/>
      <c r="N36" s="154"/>
      <c r="O36" s="145"/>
      <c r="P36" s="145"/>
      <c r="Q36" s="145"/>
      <c r="R36" s="100"/>
      <c r="S36" s="100"/>
      <c r="T36" s="100"/>
      <c r="U36" s="166" t="s">
        <v>62</v>
      </c>
      <c r="V36" s="100"/>
    </row>
    <row r="37" outlineLevel="1">
      <c r="A37" s="156"/>
      <c r="B37" s="147" t="s">
        <v>131</v>
      </c>
      <c r="C37" s="167" t="s">
        <v>119</v>
      </c>
      <c r="D37" s="107"/>
      <c r="E37" s="158" t="s">
        <v>129</v>
      </c>
      <c r="F37" s="138" t="s">
        <v>132</v>
      </c>
      <c r="G37" s="139" t="s">
        <v>123</v>
      </c>
      <c r="H37" s="106"/>
      <c r="I37" s="168"/>
      <c r="J37" s="107"/>
      <c r="K37" s="169"/>
      <c r="L37" s="153"/>
      <c r="M37" s="154"/>
      <c r="N37" s="154"/>
      <c r="O37" s="145"/>
      <c r="P37" s="145"/>
      <c r="Q37" s="145"/>
      <c r="R37" s="100"/>
      <c r="S37" s="100"/>
      <c r="T37" s="100"/>
      <c r="U37" s="156"/>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
        <v>135</v>
      </c>
      <c r="J40" s="184" t="s">
        <v>136</v>
      </c>
      <c r="K40" s="184" t="s">
        <v>137</v>
      </c>
      <c r="L40" s="184" t="s">
        <v>138</v>
      </c>
      <c r="M40" s="184" t="s">
        <v>139</v>
      </c>
      <c r="N40" s="184" t="s">
        <v>140</v>
      </c>
      <c r="O40" s="186" t="s">
        <v>141</v>
      </c>
      <c r="P40" s="184" t="s">
        <v>142</v>
      </c>
      <c r="Q40" s="186" t="s">
        <v>143</v>
      </c>
      <c r="R40" s="187" t="s">
        <v>53</v>
      </c>
      <c r="S40" s="110"/>
      <c r="T40" s="110"/>
      <c r="U40" s="110"/>
      <c r="V40" s="110"/>
    </row>
    <row r="41" outlineLevel="1">
      <c r="A41" s="188" t="s">
        <v>144</v>
      </c>
      <c r="B41" s="189"/>
      <c r="C41" s="190" t="s">
        <v>145</v>
      </c>
      <c r="D41" s="191" t="s">
        <v>146</v>
      </c>
      <c r="E41" s="192" t="s">
        <v>80</v>
      </c>
      <c r="F41" s="138">
        <v>9.6</v>
      </c>
      <c r="G41" s="193">
        <v>8.16</v>
      </c>
      <c r="H41" s="138" t="s">
        <v>147</v>
      </c>
      <c r="I41" s="194" t="str">
        <f t="array" ref="I41">INDEX('空中攻撃'!$O$3:$AB$109, MATCH($A$1,'空中攻撃'!$A$3:$A$109,0), MATCH(A41,'空中攻撃'!$O$2:$S$2,0))</f>
        <v>6</v>
      </c>
      <c r="J41" s="195" t="s">
        <v>148</v>
      </c>
      <c r="K41" s="196"/>
      <c r="L41" s="197"/>
      <c r="M41" s="198"/>
      <c r="N41" s="198"/>
      <c r="O41" s="199"/>
      <c r="P41" s="199"/>
      <c r="Q41" s="199"/>
      <c r="R41" s="200"/>
      <c r="S41" s="164"/>
      <c r="T41" s="164"/>
      <c r="U41" s="164"/>
      <c r="V41" s="104"/>
    </row>
    <row r="42" outlineLevel="1">
      <c r="A42" s="156"/>
      <c r="B42" s="201" t="s">
        <v>84</v>
      </c>
      <c r="C42" s="202" t="s">
        <v>149</v>
      </c>
      <c r="D42" s="107"/>
      <c r="E42" s="167" t="s">
        <v>150</v>
      </c>
      <c r="F42" s="138">
        <v>6.0</v>
      </c>
      <c r="G42" s="193">
        <v>5.1</v>
      </c>
      <c r="H42" s="138" t="s">
        <v>60</v>
      </c>
      <c r="I42" s="156"/>
      <c r="J42" s="107"/>
      <c r="K42" s="203"/>
      <c r="L42" s="204"/>
      <c r="M42" s="205"/>
      <c r="N42" s="205"/>
      <c r="O42" s="199"/>
      <c r="P42" s="199"/>
      <c r="Q42" s="199"/>
      <c r="R42" s="106"/>
      <c r="S42" s="168"/>
      <c r="T42" s="168"/>
      <c r="U42" s="168"/>
      <c r="V42" s="107"/>
    </row>
    <row r="43" outlineLevel="1">
      <c r="A43" s="188" t="s">
        <v>151</v>
      </c>
      <c r="B43" s="206" t="s">
        <v>152</v>
      </c>
      <c r="C43" s="202" t="s">
        <v>153</v>
      </c>
      <c r="D43" s="207">
        <v>59.0</v>
      </c>
      <c r="E43" s="167" t="s">
        <v>129</v>
      </c>
      <c r="F43" s="138">
        <v>14.4</v>
      </c>
      <c r="G43" s="193">
        <v>12.24</v>
      </c>
      <c r="H43" s="138" t="s">
        <v>75</v>
      </c>
      <c r="I43" s="194" t="str">
        <f t="array" ref="I43">INDEX('空中攻撃'!$O$3:$AB$109, MATCH($A$1,'空中攻撃'!$A$3:$A$109,0), MATCH(A43,'空中攻撃'!$O$2:$S$2,0))</f>
        <v>17</v>
      </c>
      <c r="J43" s="195" t="s">
        <v>154</v>
      </c>
      <c r="K43" s="203"/>
      <c r="L43" s="204"/>
      <c r="M43" s="205"/>
      <c r="N43" s="205"/>
      <c r="O43" s="199"/>
      <c r="P43" s="199"/>
      <c r="Q43" s="199"/>
      <c r="R43" s="200"/>
      <c r="S43" s="164"/>
      <c r="T43" s="164"/>
      <c r="U43" s="164"/>
      <c r="V43" s="104"/>
    </row>
    <row r="44" outlineLevel="1">
      <c r="A44" s="146"/>
      <c r="B44" s="208" t="s">
        <v>155</v>
      </c>
      <c r="C44" s="209" t="s">
        <v>156</v>
      </c>
      <c r="D44" s="210"/>
      <c r="E44" s="167" t="s">
        <v>119</v>
      </c>
      <c r="F44" s="138">
        <v>19.2</v>
      </c>
      <c r="G44" s="193">
        <v>16.32</v>
      </c>
      <c r="H44" s="138" t="s">
        <v>102</v>
      </c>
      <c r="I44" s="146"/>
      <c r="J44" s="210"/>
      <c r="K44" s="211"/>
      <c r="L44" s="204"/>
      <c r="M44" s="205"/>
      <c r="N44" s="205"/>
      <c r="O44" s="199"/>
      <c r="P44" s="199"/>
      <c r="Q44" s="199"/>
      <c r="R44" s="212"/>
      <c r="V44" s="210"/>
    </row>
    <row r="45" outlineLevel="1">
      <c r="A45" s="156"/>
      <c r="B45" s="206" t="s">
        <v>84</v>
      </c>
      <c r="C45" s="209" t="s">
        <v>65</v>
      </c>
      <c r="D45" s="107"/>
      <c r="E45" s="167" t="s">
        <v>128</v>
      </c>
      <c r="F45" s="138">
        <v>12.0</v>
      </c>
      <c r="G45" s="193">
        <v>10.2</v>
      </c>
      <c r="H45" s="138" t="s">
        <v>147</v>
      </c>
      <c r="I45" s="156"/>
      <c r="J45" s="107"/>
      <c r="K45" s="203"/>
      <c r="L45" s="204"/>
      <c r="M45" s="205"/>
      <c r="N45" s="205"/>
      <c r="O45" s="199"/>
      <c r="P45" s="199"/>
      <c r="Q45" s="199"/>
      <c r="R45" s="106"/>
      <c r="S45" s="168"/>
      <c r="T45" s="168"/>
      <c r="U45" s="168"/>
      <c r="V45" s="107"/>
    </row>
    <row r="46" outlineLevel="1">
      <c r="A46" s="188" t="s">
        <v>157</v>
      </c>
      <c r="B46" s="206"/>
      <c r="C46" s="202" t="s">
        <v>158</v>
      </c>
      <c r="D46" s="191" t="s">
        <v>72</v>
      </c>
      <c r="E46" s="167" t="s">
        <v>159</v>
      </c>
      <c r="F46" s="138">
        <v>12.6</v>
      </c>
      <c r="G46" s="193">
        <v>10.71</v>
      </c>
      <c r="H46" s="138" t="s">
        <v>147</v>
      </c>
      <c r="I46" s="194">
        <f t="array" ref="I46">INDEX('空中攻撃'!$O$3:$AB$109, MATCH($A$1,'空中攻撃'!$A$3:$A$109,0), MATCH(A46,'空中攻撃'!$O$2:$S$2,0))</f>
        <v>6</v>
      </c>
      <c r="J46" s="195" t="s">
        <v>160</v>
      </c>
      <c r="K46" s="203"/>
      <c r="L46" s="204"/>
      <c r="M46" s="205"/>
      <c r="N46" s="205"/>
      <c r="O46" s="199"/>
      <c r="P46" s="199"/>
      <c r="Q46" s="199"/>
      <c r="R46" s="200"/>
      <c r="S46" s="164"/>
      <c r="T46" s="164"/>
      <c r="U46" s="164"/>
      <c r="V46" s="104"/>
    </row>
    <row r="47" outlineLevel="1">
      <c r="A47" s="156"/>
      <c r="B47" s="206" t="s">
        <v>84</v>
      </c>
      <c r="C47" s="209" t="s">
        <v>161</v>
      </c>
      <c r="D47" s="107"/>
      <c r="E47" s="167" t="s">
        <v>93</v>
      </c>
      <c r="F47" s="138">
        <v>8.4</v>
      </c>
      <c r="G47" s="193">
        <v>7.14</v>
      </c>
      <c r="H47" s="138" t="s">
        <v>60</v>
      </c>
      <c r="I47" s="156"/>
      <c r="J47" s="107"/>
      <c r="K47" s="203"/>
      <c r="L47" s="204"/>
      <c r="M47" s="205"/>
      <c r="N47" s="205"/>
      <c r="O47" s="199"/>
      <c r="P47" s="199"/>
      <c r="Q47" s="199"/>
      <c r="R47" s="106"/>
      <c r="S47" s="168"/>
      <c r="T47" s="168"/>
      <c r="U47" s="168"/>
      <c r="V47" s="107"/>
    </row>
    <row r="48" outlineLevel="1">
      <c r="A48" s="213" t="s">
        <v>162</v>
      </c>
      <c r="B48" s="206"/>
      <c r="C48" s="202" t="s">
        <v>163</v>
      </c>
      <c r="D48" s="214" t="s">
        <v>164</v>
      </c>
      <c r="E48" s="167" t="s">
        <v>93</v>
      </c>
      <c r="F48" s="138">
        <v>8.4</v>
      </c>
      <c r="G48" s="193">
        <v>8.4</v>
      </c>
      <c r="H48" s="138" t="s">
        <v>60</v>
      </c>
      <c r="I48" s="215" t="str">
        <f t="array" ref="I48">INDEX('空中攻撃'!$O$3:$AA$109, MATCH($A$1,'空中攻撃'!$A$3:$A$109,0), MATCH(A48,'空中攻撃'!$O$2:$S$2,0))</f>
        <v>6</v>
      </c>
      <c r="J48" s="216" t="s">
        <v>165</v>
      </c>
      <c r="K48" s="217"/>
      <c r="L48" s="204"/>
      <c r="M48" s="205"/>
      <c r="N48" s="205"/>
      <c r="O48" s="199"/>
      <c r="P48" s="199"/>
      <c r="Q48" s="199"/>
      <c r="R48" s="218"/>
      <c r="S48" s="110"/>
      <c r="T48" s="110"/>
      <c r="U48" s="110"/>
      <c r="V48" s="109"/>
    </row>
    <row r="49" outlineLevel="1">
      <c r="A49" s="188" t="s">
        <v>166</v>
      </c>
      <c r="B49" s="219" t="s">
        <v>167</v>
      </c>
      <c r="C49" s="202" t="s">
        <v>168</v>
      </c>
      <c r="D49" s="207">
        <v>37.0</v>
      </c>
      <c r="E49" s="148" t="s">
        <v>169</v>
      </c>
      <c r="F49" s="138">
        <v>1.68</v>
      </c>
      <c r="G49" s="193">
        <v>1.428</v>
      </c>
      <c r="H49" s="138" t="s">
        <v>170</v>
      </c>
      <c r="I49" s="194">
        <f t="array" ref="I49">INDEX('空中攻撃'!$O$3:$AA$109, MATCH($A$1,'空中攻撃'!$A$3:$A$109,0), MATCH(A49,'空中攻撃'!$O$2:$S$2,0))</f>
        <v>15</v>
      </c>
      <c r="J49" s="195" t="s">
        <v>171</v>
      </c>
      <c r="K49" s="217"/>
      <c r="L49" s="204"/>
      <c r="M49" s="205"/>
      <c r="N49" s="205"/>
      <c r="O49" s="199"/>
      <c r="P49" s="199"/>
      <c r="Q49" s="199"/>
      <c r="R49" s="220"/>
      <c r="S49" s="164"/>
      <c r="T49" s="164"/>
      <c r="U49" s="164"/>
      <c r="V49" s="104"/>
    </row>
    <row r="50" outlineLevel="1">
      <c r="A50" s="146"/>
      <c r="B50" s="219" t="s">
        <v>172</v>
      </c>
      <c r="C50" s="202" t="s">
        <v>173</v>
      </c>
      <c r="D50" s="210"/>
      <c r="E50" s="148" t="s">
        <v>100</v>
      </c>
      <c r="F50" s="138">
        <v>6.6</v>
      </c>
      <c r="G50" s="193">
        <v>5.61</v>
      </c>
      <c r="H50" s="138" t="s">
        <v>60</v>
      </c>
      <c r="I50" s="146"/>
      <c r="J50" s="210"/>
      <c r="K50" s="217"/>
      <c r="L50" s="204"/>
      <c r="M50" s="205"/>
      <c r="N50" s="205"/>
      <c r="O50" s="199"/>
      <c r="P50" s="199"/>
      <c r="Q50" s="199"/>
      <c r="R50" s="212"/>
      <c r="V50" s="210"/>
    </row>
    <row r="51" outlineLevel="1">
      <c r="A51" s="156"/>
      <c r="B51" s="221" t="s">
        <v>174</v>
      </c>
      <c r="C51" s="202" t="s">
        <v>175</v>
      </c>
      <c r="D51" s="107"/>
      <c r="E51" s="167" t="s">
        <v>176</v>
      </c>
      <c r="F51" s="138">
        <v>2.4</v>
      </c>
      <c r="G51" s="193">
        <v>2.4</v>
      </c>
      <c r="H51" s="138" t="s">
        <v>60</v>
      </c>
      <c r="I51" s="156"/>
      <c r="J51" s="107"/>
      <c r="K51" s="222"/>
      <c r="L51" s="204"/>
      <c r="M51" s="205"/>
      <c r="N51" s="205"/>
      <c r="O51" s="199"/>
      <c r="P51" s="199"/>
      <c r="Q51" s="199"/>
      <c r="R51" s="106"/>
      <c r="S51" s="168"/>
      <c r="T51" s="168"/>
      <c r="U51" s="168"/>
      <c r="V51" s="107"/>
    </row>
    <row r="52">
      <c r="A52" s="223"/>
      <c r="B52" s="224"/>
      <c r="C52" s="225"/>
      <c r="D52" s="225"/>
      <c r="E52" s="226"/>
      <c r="F52" s="226"/>
      <c r="G52" s="226"/>
      <c r="H52" s="227"/>
      <c r="I52" s="227"/>
      <c r="J52" s="228"/>
      <c r="K52" s="228"/>
      <c r="L52" s="228"/>
      <c r="M52" s="228"/>
      <c r="N52" s="228"/>
      <c r="O52" s="228"/>
      <c r="P52" s="228"/>
      <c r="Q52" s="118"/>
      <c r="R52" s="118"/>
      <c r="S52" s="118"/>
      <c r="T52" s="118"/>
      <c r="U52" s="118"/>
      <c r="V52" s="118"/>
    </row>
    <row r="53">
      <c r="A53" s="229" t="s">
        <v>177</v>
      </c>
      <c r="B53" s="109"/>
      <c r="C53" s="225"/>
      <c r="D53" s="225"/>
      <c r="E53" s="226"/>
      <c r="F53" s="226"/>
      <c r="G53" s="226"/>
      <c r="H53" s="227"/>
      <c r="I53" s="227"/>
      <c r="J53" s="228"/>
      <c r="K53" s="228"/>
      <c r="L53" s="228"/>
      <c r="M53" s="228"/>
      <c r="N53" s="228"/>
      <c r="O53" s="228"/>
      <c r="P53" s="228"/>
      <c r="Q53" s="118"/>
      <c r="R53" s="118"/>
      <c r="S53" s="118"/>
      <c r="T53" s="118"/>
      <c r="U53" s="118"/>
      <c r="V53" s="118"/>
    </row>
    <row r="54" outlineLevel="1">
      <c r="A54" s="230" t="s">
        <v>178</v>
      </c>
      <c r="B54" s="109"/>
      <c r="C54" s="231" t="s">
        <v>48</v>
      </c>
      <c r="D54" s="231" t="s">
        <v>49</v>
      </c>
      <c r="E54" s="232" t="s">
        <v>50</v>
      </c>
      <c r="F54" s="233" t="s">
        <v>51</v>
      </c>
      <c r="G54" s="232" t="s">
        <v>52</v>
      </c>
      <c r="H54" s="234" t="s">
        <v>53</v>
      </c>
      <c r="I54" s="110"/>
      <c r="J54" s="109"/>
      <c r="K54" s="235" t="s">
        <v>137</v>
      </c>
      <c r="L54" s="235" t="s">
        <v>138</v>
      </c>
      <c r="M54" s="235" t="s">
        <v>139</v>
      </c>
      <c r="N54" s="235" t="s">
        <v>140</v>
      </c>
      <c r="O54" s="236" t="s">
        <v>141</v>
      </c>
      <c r="P54" s="235" t="s">
        <v>142</v>
      </c>
      <c r="Q54" s="236" t="s">
        <v>143</v>
      </c>
      <c r="R54" s="235" t="s">
        <v>179</v>
      </c>
      <c r="S54" s="236" t="s">
        <v>180</v>
      </c>
      <c r="T54" s="236" t="s">
        <v>181</v>
      </c>
      <c r="U54" s="236" t="s">
        <v>182</v>
      </c>
      <c r="V54" s="236" t="s">
        <v>183</v>
      </c>
    </row>
    <row r="55" outlineLevel="1">
      <c r="A55" s="237" t="s">
        <v>184</v>
      </c>
      <c r="B55" s="238"/>
      <c r="C55" s="190" t="s">
        <v>156</v>
      </c>
      <c r="D55" s="195" t="s">
        <v>185</v>
      </c>
      <c r="E55" s="239" t="s">
        <v>150</v>
      </c>
      <c r="F55" s="138">
        <v>6.0</v>
      </c>
      <c r="G55" s="239" t="s">
        <v>60</v>
      </c>
      <c r="H55" s="240"/>
      <c r="I55" s="164"/>
      <c r="J55" s="104"/>
      <c r="K55" s="241"/>
      <c r="L55" s="142"/>
      <c r="M55" s="143"/>
      <c r="N55" s="143"/>
      <c r="O55" s="138"/>
      <c r="P55" s="138"/>
      <c r="Q55" s="138"/>
      <c r="R55" s="145" t="b">
        <v>1</v>
      </c>
      <c r="S55" s="145" t="b">
        <v>0</v>
      </c>
      <c r="T55" s="145" t="b">
        <v>1</v>
      </c>
      <c r="U55" s="166" t="s">
        <v>186</v>
      </c>
      <c r="V55" s="166" t="b">
        <v>1</v>
      </c>
    </row>
    <row r="56" outlineLevel="1">
      <c r="A56" s="146"/>
      <c r="B56" s="242" t="s">
        <v>187</v>
      </c>
      <c r="C56" s="202" t="s">
        <v>188</v>
      </c>
      <c r="D56" s="210"/>
      <c r="E56" s="239" t="s">
        <v>150</v>
      </c>
      <c r="F56" s="138">
        <v>6.0</v>
      </c>
      <c r="G56" s="239" t="s">
        <v>60</v>
      </c>
      <c r="H56" s="212"/>
      <c r="J56" s="210"/>
      <c r="K56" s="152"/>
      <c r="L56" s="153"/>
      <c r="M56" s="154"/>
      <c r="N56" s="154"/>
      <c r="O56" s="138"/>
      <c r="P56" s="138"/>
      <c r="Q56" s="138"/>
      <c r="R56" s="145" t="b">
        <v>1</v>
      </c>
      <c r="S56" s="145" t="b">
        <v>0</v>
      </c>
      <c r="T56" s="145" t="b">
        <v>1</v>
      </c>
      <c r="U56" s="146"/>
      <c r="V56" s="146"/>
    </row>
    <row r="57" outlineLevel="1">
      <c r="A57" s="146"/>
      <c r="B57" s="242" t="s">
        <v>189</v>
      </c>
      <c r="C57" s="202" t="s">
        <v>190</v>
      </c>
      <c r="D57" s="107"/>
      <c r="E57" s="239" t="s">
        <v>73</v>
      </c>
      <c r="F57" s="138">
        <v>4.8</v>
      </c>
      <c r="G57" s="239" t="s">
        <v>170</v>
      </c>
      <c r="H57" s="106"/>
      <c r="I57" s="168"/>
      <c r="J57" s="107"/>
      <c r="K57" s="152"/>
      <c r="L57" s="153"/>
      <c r="M57" s="154"/>
      <c r="N57" s="154"/>
      <c r="O57" s="138"/>
      <c r="P57" s="138"/>
      <c r="Q57" s="138"/>
      <c r="R57" s="145" t="b">
        <v>1</v>
      </c>
      <c r="S57" s="145" t="b">
        <v>0</v>
      </c>
      <c r="T57" s="145" t="b">
        <v>1</v>
      </c>
      <c r="U57" s="156"/>
      <c r="V57" s="156"/>
    </row>
    <row r="58" outlineLevel="1">
      <c r="A58" s="230" t="s">
        <v>191</v>
      </c>
      <c r="B58" s="109"/>
      <c r="C58" s="231" t="s">
        <v>48</v>
      </c>
      <c r="D58" s="231" t="s">
        <v>49</v>
      </c>
      <c r="E58" s="232" t="s">
        <v>50</v>
      </c>
      <c r="F58" s="233" t="s">
        <v>51</v>
      </c>
      <c r="G58" s="232" t="s">
        <v>52</v>
      </c>
      <c r="H58" s="234"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184</v>
      </c>
      <c r="B59" s="243"/>
      <c r="C59" s="244" t="s">
        <v>192</v>
      </c>
      <c r="D59" s="245" t="s">
        <v>193</v>
      </c>
      <c r="E59" s="244" t="s">
        <v>93</v>
      </c>
      <c r="F59" s="246">
        <v>8.4</v>
      </c>
      <c r="G59" s="244" t="s">
        <v>95</v>
      </c>
      <c r="H59" s="247" t="s">
        <v>194</v>
      </c>
      <c r="I59" s="110"/>
      <c r="J59" s="109"/>
      <c r="K59" s="248"/>
      <c r="L59" s="142"/>
      <c r="M59" s="143"/>
      <c r="N59" s="143"/>
      <c r="O59" s="138"/>
      <c r="P59" s="138"/>
      <c r="Q59" s="138"/>
      <c r="R59" s="145" t="b">
        <v>0</v>
      </c>
      <c r="S59" s="145" t="b">
        <v>0</v>
      </c>
      <c r="T59" s="145"/>
      <c r="U59" s="145" t="s">
        <v>186</v>
      </c>
      <c r="V59" s="145" t="b">
        <v>1</v>
      </c>
    </row>
    <row r="60" outlineLevel="1">
      <c r="A60" s="230" t="s">
        <v>195</v>
      </c>
      <c r="B60" s="109"/>
      <c r="C60" s="231" t="s">
        <v>48</v>
      </c>
      <c r="D60" s="231" t="s">
        <v>49</v>
      </c>
      <c r="E60" s="232" t="s">
        <v>50</v>
      </c>
      <c r="F60" s="233" t="s">
        <v>51</v>
      </c>
      <c r="G60" s="232" t="s">
        <v>52</v>
      </c>
      <c r="H60" s="234"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outlineLevel="1">
      <c r="A61" s="237" t="s">
        <v>184</v>
      </c>
      <c r="B61" s="249" t="s">
        <v>152</v>
      </c>
      <c r="C61" s="190" t="s">
        <v>196</v>
      </c>
      <c r="D61" s="250"/>
      <c r="E61" s="239" t="s">
        <v>150</v>
      </c>
      <c r="F61" s="138">
        <v>6.0</v>
      </c>
      <c r="G61" s="239" t="s">
        <v>102</v>
      </c>
      <c r="H61" s="240" t="s">
        <v>197</v>
      </c>
      <c r="I61" s="164"/>
      <c r="J61" s="104"/>
      <c r="K61" s="251"/>
      <c r="L61" s="252"/>
      <c r="M61" s="253"/>
      <c r="N61" s="254"/>
      <c r="O61" s="138"/>
      <c r="P61" s="138"/>
      <c r="Q61" s="138"/>
      <c r="R61" s="145" t="b">
        <v>1</v>
      </c>
      <c r="S61" s="145" t="b">
        <v>0</v>
      </c>
      <c r="T61" s="145"/>
      <c r="U61" s="166" t="s">
        <v>198</v>
      </c>
      <c r="V61" s="166" t="b">
        <v>0</v>
      </c>
    </row>
    <row r="62" outlineLevel="1">
      <c r="A62" s="146"/>
      <c r="B62" s="255" t="s">
        <v>199</v>
      </c>
      <c r="C62" s="202" t="s">
        <v>200</v>
      </c>
      <c r="D62" s="146"/>
      <c r="E62" s="239" t="s">
        <v>201</v>
      </c>
      <c r="F62" s="138">
        <v>0.72</v>
      </c>
      <c r="G62" s="239" t="s">
        <v>170</v>
      </c>
      <c r="H62" s="212"/>
      <c r="J62" s="210"/>
      <c r="K62" s="165"/>
      <c r="L62" s="256"/>
      <c r="M62" s="257"/>
      <c r="N62" s="258"/>
      <c r="O62" s="138"/>
      <c r="P62" s="138"/>
      <c r="Q62" s="138"/>
      <c r="R62" s="145" t="b">
        <v>1</v>
      </c>
      <c r="S62" s="145" t="b">
        <v>0</v>
      </c>
      <c r="T62" s="145"/>
      <c r="U62" s="146"/>
      <c r="V62" s="146"/>
    </row>
    <row r="63" outlineLevel="1">
      <c r="A63" s="146"/>
      <c r="B63" s="255" t="s">
        <v>202</v>
      </c>
      <c r="C63" s="202" t="s">
        <v>203</v>
      </c>
      <c r="D63" s="156"/>
      <c r="E63" s="239" t="s">
        <v>204</v>
      </c>
      <c r="F63" s="138">
        <f>IFERROR(IFS(E63="-","-",LEN(E63)-LEN(SUBSTITUTE(E63,"/",""))=0,MULTIPLY(E63,1.2),LEN(E63)-LEN(SUBSTITUTE(E63,"/",""))=1,MULTIPLY(LEFT(E63,FIND("/",E63)-1),1.2)&amp;"/"&amp;MULTIPLY(MID(E63,FIND("/",E63)+1,10),1.2),LEN(E63)-LEN(SUBSTITUTE(E63,"/",""))=2,MULTIPLY(LEFT(E63,FIND("!",SUBSTITUTE(E63,"/","!",1))-1),1.2)&amp;"/"&amp;MULTIPLY(MID(E63,FIND("!",SUBSTITUTE(E63,"/","!",1))+1,FIND("!",SUBSTITUTE(E63,"/","!",2))-FIND("!",SUBSTITUTE(E63,"/","!",1))-1),1.2)&amp;"/"&amp;MULTIPLY(RIGHT(E63,LEN(E63)-FIND("!",SUBSTITUTE(E63,"/","!",2))),1.2),LEN(E63)-LEN(SUBSTITUTE(E63,"/",""))=3,MULTIPLY(LEFT(E63,FIND("!",SUBSTITUTE(E63,"/","!",1))-1),1.2)&amp;"/"&amp;MULTIPLY(MID(E63,FIND("!",SUBSTITUTE(E63,"/","!",1))+1,FIND("!",SUBSTITUTE(E63,"/","!",2))-FIND("!",SUBSTITUTE(E63,"/","!",1))-1),1.2)&amp;"/"&amp;MULTIPLY(MID(E63,FIND("!",SUBSTITUTE(E63,"/","!",2))+1,FIND("!",SUBSTITUTE(E63,"/","!",3))-FIND("!",SUBSTITUTE(E63,"/","!",2))-1),1.2)&amp;"/"&amp;MULTIPLY(RIGHT(E63,LEN(E63)-FIND("!",SUBSTITUTE(E63,"/","!",3))),1.2),LEN(E63)-LEN(SUBSTITUTE(E63,"/",""))=4,MULTIPLY(LEFT(E63,FIND("!",SUBSTITUTE(E63,"/","!",1))-1),1.2)&amp;"/"&amp;MULTIPLY(MID(E63,FIND("!",SUBSTITUTE(E63,"/","!",1))+1,FIND("!",SUBSTITUTE(E63,"/","!",2))-FIND("!",SUBSTITUTE(E63,"/","!",1))-1),1.2)&amp;"/"&amp;MULTIPLY(MID(E63,FIND("!",SUBSTITUTE(E63,"/","!",2))+1,FIND("!",SUBSTITUTE(E63,"/","!",3))-FIND("!",SUBSTITUTE(E63,"/","!",2))-1),1.2)&amp;"/"&amp;MULTIPLY(MID(E63,FIND("!",SUBSTITUTE(E63,"/","!",3))+1,FIND("!",SUBSTITUTE(E63,"/","!",4))-FIND("!",SUBSTITUTE(E63,"/","!",3))-1),1.2)&amp;"/"&amp;MULTIPLY(RIGHT(E63,LEN(E63)-FIND("!",SUBSTITUTE(E63,"/","!",4))),1.2)),"")</f>
        <v>3.6</v>
      </c>
      <c r="G63" s="239" t="s">
        <v>147</v>
      </c>
      <c r="H63" s="106"/>
      <c r="I63" s="168"/>
      <c r="J63" s="107"/>
      <c r="K63" s="165"/>
      <c r="L63" s="256"/>
      <c r="M63" s="257"/>
      <c r="N63" s="257"/>
      <c r="O63" s="138"/>
      <c r="P63" s="138"/>
      <c r="Q63" s="138"/>
      <c r="R63" s="145" t="b">
        <v>1</v>
      </c>
      <c r="S63" s="145" t="b">
        <v>0</v>
      </c>
      <c r="T63" s="145"/>
      <c r="U63" s="156"/>
      <c r="V63" s="156"/>
    </row>
    <row r="64" outlineLevel="1">
      <c r="A64" s="230" t="s">
        <v>205</v>
      </c>
      <c r="B64" s="109"/>
      <c r="C64" s="231" t="s">
        <v>48</v>
      </c>
      <c r="D64" s="231" t="s">
        <v>49</v>
      </c>
      <c r="E64" s="232" t="s">
        <v>50</v>
      </c>
      <c r="F64" s="233" t="s">
        <v>51</v>
      </c>
      <c r="G64" s="232" t="s">
        <v>52</v>
      </c>
      <c r="H64" s="234" t="s">
        <v>53</v>
      </c>
      <c r="I64" s="110"/>
      <c r="J64" s="109"/>
      <c r="K64" s="235" t="s">
        <v>137</v>
      </c>
      <c r="L64" s="235" t="s">
        <v>138</v>
      </c>
      <c r="M64" s="235" t="s">
        <v>139</v>
      </c>
      <c r="N64" s="235" t="s">
        <v>140</v>
      </c>
      <c r="O64" s="236" t="s">
        <v>141</v>
      </c>
      <c r="P64" s="235" t="s">
        <v>142</v>
      </c>
      <c r="Q64" s="236" t="s">
        <v>143</v>
      </c>
      <c r="R64" s="235" t="s">
        <v>179</v>
      </c>
      <c r="S64" s="236" t="s">
        <v>180</v>
      </c>
      <c r="T64" s="236" t="s">
        <v>181</v>
      </c>
      <c r="U64" s="236" t="s">
        <v>182</v>
      </c>
      <c r="V64" s="236" t="s">
        <v>183</v>
      </c>
    </row>
    <row r="65" outlineLevel="1">
      <c r="A65" s="259" t="s">
        <v>184</v>
      </c>
      <c r="B65" s="249" t="s">
        <v>206</v>
      </c>
      <c r="C65" s="260" t="s">
        <v>207</v>
      </c>
      <c r="D65" s="239" t="s">
        <v>208</v>
      </c>
      <c r="E65" s="239" t="s">
        <v>209</v>
      </c>
      <c r="F65" s="138">
        <f>IFERROR(IFS(E65="-","-",LEN(E65)-LEN(SUBSTITUTE(E65,"/",""))=0,MULTIPLY(E65,1.2),LEN(E65)-LEN(SUBSTITUTE(E65,"/",""))=1,MULTIPLY(LEFT(E65,FIND("/",E65)-1),1.2)&amp;"/"&amp;MULTIPLY(MID(E65,FIND("/",E65)+1,10),1.2),LEN(E65)-LEN(SUBSTITUTE(E65,"/",""))=2,MULTIPLY(LEFT(E65,FIND("!",SUBSTITUTE(E65,"/","!",1))-1),1.2)&amp;"/"&amp;MULTIPLY(MID(E65,FIND("!",SUBSTITUTE(E65,"/","!",1))+1,FIND("!",SUBSTITUTE(E65,"/","!",2))-FIND("!",SUBSTITUTE(E65,"/","!",1))-1),1.2)&amp;"/"&amp;MULTIPLY(RIGHT(E65,LEN(E65)-FIND("!",SUBSTITUTE(E65,"/","!",2))),1.2),LEN(E65)-LEN(SUBSTITUTE(E65,"/",""))=3,MULTIPLY(LEFT(E65,FIND("!",SUBSTITUTE(E65,"/","!",1))-1),1.2)&amp;"/"&amp;MULTIPLY(MID(E65,FIND("!",SUBSTITUTE(E65,"/","!",1))+1,FIND("!",SUBSTITUTE(E65,"/","!",2))-FIND("!",SUBSTITUTE(E65,"/","!",1))-1),1.2)&amp;"/"&amp;MULTIPLY(MID(E65,FIND("!",SUBSTITUTE(E65,"/","!",2))+1,FIND("!",SUBSTITUTE(E65,"/","!",3))-FIND("!",SUBSTITUTE(E65,"/","!",2))-1),1.2)&amp;"/"&amp;MULTIPLY(RIGHT(E65,LEN(E65)-FIND("!",SUBSTITUTE(E65,"/","!",3))),1.2),LEN(E65)-LEN(SUBSTITUTE(E65,"/",""))=4,MULTIPLY(LEFT(E65,FIND("!",SUBSTITUTE(E65,"/","!",1))-1),1.2)&amp;"/"&amp;MULTIPLY(MID(E65,FIND("!",SUBSTITUTE(E65,"/","!",1))+1,FIND("!",SUBSTITUTE(E65,"/","!",2))-FIND("!",SUBSTITUTE(E65,"/","!",1))-1),1.2)&amp;"/"&amp;MULTIPLY(MID(E65,FIND("!",SUBSTITUTE(E65,"/","!",2))+1,FIND("!",SUBSTITUTE(E65,"/","!",3))-FIND("!",SUBSTITUTE(E65,"/","!",2))-1),1.2)&amp;"/"&amp;MULTIPLY(MID(E65,FIND("!",SUBSTITUTE(E65,"/","!",3))+1,FIND("!",SUBSTITUTE(E65,"/","!",4))-FIND("!",SUBSTITUTE(E65,"/","!",3))-1),1.2)&amp;"/"&amp;MULTIPLY(RIGHT(E65,LEN(E65)-FIND("!",SUBSTITUTE(E65,"/","!",4))),1.2)),"")</f>
        <v>0</v>
      </c>
      <c r="G65" s="261"/>
      <c r="H65" s="247" t="s">
        <v>210</v>
      </c>
      <c r="I65" s="110"/>
      <c r="J65" s="109"/>
      <c r="K65" s="262"/>
      <c r="L65" s="262"/>
      <c r="M65" s="262"/>
      <c r="N65" s="262"/>
      <c r="O65" s="263"/>
      <c r="P65" s="263"/>
      <c r="Q65" s="263"/>
      <c r="R65" s="263"/>
      <c r="S65" s="263"/>
      <c r="T65" s="263"/>
      <c r="U65" s="145" t="b">
        <v>0</v>
      </c>
      <c r="V65" s="145" t="b">
        <v>0</v>
      </c>
    </row>
    <row r="66">
      <c r="A66" s="223"/>
      <c r="B66" s="224"/>
      <c r="C66" s="225"/>
      <c r="D66" s="225"/>
      <c r="E66" s="226"/>
      <c r="F66" s="226"/>
      <c r="G66" s="226"/>
      <c r="H66" s="227"/>
      <c r="I66" s="227"/>
      <c r="J66" s="228"/>
      <c r="K66" s="228"/>
      <c r="L66" s="228"/>
      <c r="M66" s="228"/>
      <c r="N66" s="228"/>
      <c r="O66" s="228"/>
      <c r="P66" s="228"/>
      <c r="Q66" s="118"/>
      <c r="R66" s="118"/>
      <c r="S66" s="118"/>
      <c r="T66" s="118"/>
      <c r="U66" s="118"/>
      <c r="V66" s="118"/>
    </row>
    <row r="67">
      <c r="A67" s="264" t="s">
        <v>211</v>
      </c>
      <c r="B67" s="104"/>
      <c r="C67" s="227"/>
      <c r="D67" s="227"/>
      <c r="E67" s="228"/>
      <c r="F67" s="265"/>
      <c r="G67" s="265"/>
      <c r="H67" s="228"/>
      <c r="I67" s="228"/>
      <c r="J67" s="228"/>
      <c r="K67" s="228"/>
      <c r="L67" s="228"/>
      <c r="M67" s="228"/>
      <c r="N67" s="118"/>
      <c r="O67" s="118"/>
      <c r="P67" s="118"/>
      <c r="Q67" s="228"/>
      <c r="R67" s="228"/>
      <c r="S67" s="228"/>
      <c r="T67" s="228"/>
      <c r="U67" s="228"/>
      <c r="V67" s="228"/>
    </row>
    <row r="68" outlineLevel="1">
      <c r="A68" s="106"/>
      <c r="B68" s="107"/>
      <c r="C68" s="266" t="s">
        <v>48</v>
      </c>
      <c r="D68" s="266" t="s">
        <v>49</v>
      </c>
      <c r="E68" s="266" t="s">
        <v>50</v>
      </c>
      <c r="F68" s="267" t="s">
        <v>51</v>
      </c>
      <c r="G68" s="227"/>
      <c r="H68" s="227"/>
      <c r="I68" s="227"/>
      <c r="J68" s="228"/>
      <c r="K68" s="228"/>
      <c r="L68" s="228"/>
      <c r="M68" s="228"/>
      <c r="N68" s="228"/>
      <c r="O68" s="228"/>
      <c r="P68" s="228"/>
      <c r="Q68" s="228"/>
      <c r="R68" s="228"/>
      <c r="S68" s="228"/>
      <c r="T68" s="228"/>
      <c r="U68" s="228"/>
      <c r="V68" s="228"/>
    </row>
    <row r="69" outlineLevel="1">
      <c r="A69" s="268" t="s">
        <v>212</v>
      </c>
      <c r="B69" s="269" t="s">
        <v>212</v>
      </c>
      <c r="C69" s="239" t="s">
        <v>213</v>
      </c>
      <c r="D69" s="239" t="s">
        <v>86</v>
      </c>
      <c r="E69" s="239" t="s">
        <v>214</v>
      </c>
      <c r="F69" s="138">
        <f>E69*1.2</f>
        <v>1.56</v>
      </c>
      <c r="G69" s="227"/>
      <c r="H69" s="227"/>
      <c r="I69" s="227"/>
      <c r="J69" s="228"/>
      <c r="K69" s="228"/>
      <c r="L69" s="228"/>
      <c r="M69" s="228"/>
      <c r="N69" s="228"/>
      <c r="O69" s="228"/>
      <c r="P69" s="228"/>
      <c r="Q69" s="228"/>
      <c r="R69" s="228"/>
      <c r="S69" s="228"/>
      <c r="T69" s="228"/>
      <c r="U69" s="228"/>
      <c r="V69" s="228"/>
    </row>
    <row r="70" outlineLevel="1">
      <c r="A70" s="270" t="s">
        <v>215</v>
      </c>
      <c r="B70" s="269" t="s">
        <v>216</v>
      </c>
      <c r="C70" s="239" t="s">
        <v>217</v>
      </c>
      <c r="D70" s="239" t="s">
        <v>218</v>
      </c>
      <c r="E70" s="271"/>
      <c r="F70" s="272"/>
      <c r="G70" s="272"/>
      <c r="H70" s="227"/>
      <c r="I70" s="227"/>
      <c r="J70" s="228"/>
      <c r="K70" s="228"/>
      <c r="L70" s="228"/>
      <c r="M70" s="228"/>
      <c r="N70" s="228"/>
      <c r="O70" s="228"/>
      <c r="P70" s="228"/>
      <c r="Q70" s="228"/>
      <c r="R70" s="111"/>
      <c r="S70" s="228"/>
      <c r="T70" s="228"/>
      <c r="U70" s="228"/>
      <c r="V70" s="228"/>
    </row>
    <row r="71" outlineLevel="1">
      <c r="A71" s="212"/>
      <c r="B71" s="269" t="s">
        <v>219</v>
      </c>
      <c r="C71" s="239" t="s">
        <v>220</v>
      </c>
      <c r="D71" s="239" t="s">
        <v>221</v>
      </c>
      <c r="E71" s="271"/>
      <c r="F71" s="272"/>
      <c r="G71" s="272"/>
      <c r="H71" s="227"/>
      <c r="I71" s="227"/>
      <c r="J71" s="228"/>
      <c r="K71" s="228"/>
      <c r="L71" s="228"/>
      <c r="M71" s="228"/>
      <c r="N71" s="228"/>
      <c r="O71" s="228"/>
      <c r="P71" s="228"/>
      <c r="Q71" s="228"/>
      <c r="R71" s="111"/>
      <c r="S71" s="228"/>
      <c r="T71" s="228"/>
      <c r="U71" s="228"/>
      <c r="V71" s="228"/>
    </row>
    <row r="72" outlineLevel="1">
      <c r="A72" s="106"/>
      <c r="B72" s="269" t="s">
        <v>222</v>
      </c>
      <c r="C72" s="239" t="s">
        <v>223</v>
      </c>
      <c r="D72" s="239" t="s">
        <v>224</v>
      </c>
      <c r="E72" s="227"/>
      <c r="F72" s="272"/>
      <c r="G72" s="272"/>
      <c r="H72" s="227"/>
      <c r="I72" s="227"/>
      <c r="J72" s="228"/>
      <c r="K72" s="228"/>
      <c r="L72" s="228"/>
      <c r="M72" s="228"/>
      <c r="N72" s="228"/>
      <c r="O72" s="228"/>
      <c r="P72" s="228"/>
      <c r="Q72" s="228"/>
      <c r="R72" s="111"/>
      <c r="S72" s="228"/>
      <c r="T72" s="228"/>
      <c r="U72" s="228"/>
      <c r="V72" s="228"/>
    </row>
    <row r="73" outlineLevel="1">
      <c r="A73" s="273" t="s">
        <v>225</v>
      </c>
      <c r="B73" s="109"/>
      <c r="C73" s="266" t="s">
        <v>48</v>
      </c>
      <c r="D73" s="266" t="s">
        <v>49</v>
      </c>
      <c r="E73" s="266" t="s">
        <v>50</v>
      </c>
      <c r="F73" s="267" t="s">
        <v>51</v>
      </c>
      <c r="G73" s="274" t="s">
        <v>53</v>
      </c>
      <c r="H73" s="110"/>
      <c r="I73" s="110"/>
      <c r="J73" s="109"/>
      <c r="K73" s="275" t="str">
        <f>'テンプレート'!K97</f>
        <v>ベクトル</v>
      </c>
      <c r="L73" s="275" t="str">
        <f>'テンプレート'!L97</f>
        <v>KBG (R.E.)</v>
      </c>
      <c r="M73" s="275" t="str">
        <f>'テンプレート'!M97</f>
        <v>BKB (R.A.)</v>
      </c>
      <c r="N73" s="275" t="str">
        <f>'テンプレート'!N97</f>
        <v>FKB (R.F.)</v>
      </c>
      <c r="O73" s="275" t="str">
        <f>'テンプレート'!O97</f>
        <v>盾削り値</v>
      </c>
      <c r="P73" s="276" t="str">
        <f>'テンプレート'!P97</f>
        <v>ﾋｯﾄｽﾄｯﾌﾟ</v>
      </c>
      <c r="Q73" s="275" t="str">
        <f>'テンプレート'!Q97</f>
        <v>ずらし</v>
      </c>
      <c r="R73" s="111"/>
      <c r="S73" s="277"/>
      <c r="T73" s="277"/>
      <c r="U73" s="277"/>
      <c r="V73" s="277"/>
    </row>
    <row r="74" outlineLevel="1">
      <c r="A74" s="278" t="s">
        <v>226</v>
      </c>
      <c r="B74" s="269" t="s">
        <v>227</v>
      </c>
      <c r="C74" s="261"/>
      <c r="D74" s="279" t="s">
        <v>105</v>
      </c>
      <c r="E74" s="261"/>
      <c r="F74" s="261"/>
      <c r="G74" s="280"/>
      <c r="H74" s="164"/>
      <c r="I74" s="164"/>
      <c r="J74" s="104"/>
      <c r="K74" s="261"/>
      <c r="L74" s="281"/>
      <c r="M74" s="281"/>
      <c r="N74" s="281"/>
      <c r="O74" s="261"/>
      <c r="P74" s="261"/>
      <c r="Q74" s="261"/>
      <c r="R74" s="111"/>
      <c r="S74" s="228"/>
      <c r="T74" s="228"/>
      <c r="U74" s="228"/>
      <c r="V74" s="228"/>
    </row>
    <row r="75" outlineLevel="1">
      <c r="A75" s="156"/>
      <c r="B75" s="269" t="s">
        <v>225</v>
      </c>
      <c r="C75" s="113" t="s">
        <v>228</v>
      </c>
      <c r="D75" s="156"/>
      <c r="E75" s="239" t="s">
        <v>80</v>
      </c>
      <c r="F75" s="138">
        <f t="shared" ref="F75:F77" si="1">IFERROR(E75*1.2, "-")</f>
        <v>9.6</v>
      </c>
      <c r="G75" s="106"/>
      <c r="H75" s="168"/>
      <c r="I75" s="168"/>
      <c r="J75" s="107"/>
      <c r="K75" s="282"/>
      <c r="L75" s="282"/>
      <c r="M75" s="282"/>
      <c r="N75" s="282"/>
      <c r="O75" s="261"/>
      <c r="P75" s="261"/>
      <c r="Q75" s="261"/>
      <c r="R75" s="111"/>
      <c r="S75" s="228"/>
      <c r="T75" s="228"/>
      <c r="U75" s="228"/>
      <c r="V75" s="228"/>
    </row>
    <row r="76" outlineLevel="1">
      <c r="A76" s="278" t="s">
        <v>229</v>
      </c>
      <c r="B76" s="269" t="s">
        <v>227</v>
      </c>
      <c r="C76" s="113" t="s">
        <v>230</v>
      </c>
      <c r="D76" s="279">
        <v>59.0</v>
      </c>
      <c r="E76" s="239" t="s">
        <v>80</v>
      </c>
      <c r="F76" s="138">
        <f t="shared" si="1"/>
        <v>9.6</v>
      </c>
      <c r="G76" s="283" t="s">
        <v>231</v>
      </c>
      <c r="H76" s="164"/>
      <c r="I76" s="164"/>
      <c r="J76" s="104"/>
      <c r="K76" s="282"/>
      <c r="L76" s="282"/>
      <c r="M76" s="282"/>
      <c r="N76" s="282"/>
      <c r="O76" s="282"/>
      <c r="P76" s="282"/>
      <c r="Q76" s="282"/>
      <c r="R76" s="111"/>
      <c r="S76" s="228"/>
      <c r="T76" s="228"/>
      <c r="U76" s="228"/>
      <c r="V76" s="228"/>
    </row>
    <row r="77" outlineLevel="1">
      <c r="A77" s="156"/>
      <c r="B77" s="269" t="s">
        <v>225</v>
      </c>
      <c r="C77" s="113">
        <v>44.0</v>
      </c>
      <c r="D77" s="156"/>
      <c r="E77" s="239" t="s">
        <v>232</v>
      </c>
      <c r="F77" s="138">
        <f t="shared" si="1"/>
        <v>13.2</v>
      </c>
      <c r="G77" s="106"/>
      <c r="H77" s="168"/>
      <c r="I77" s="168"/>
      <c r="J77" s="107"/>
      <c r="K77" s="282"/>
      <c r="L77" s="282"/>
      <c r="M77" s="282"/>
      <c r="N77" s="282"/>
      <c r="O77" s="261"/>
      <c r="P77" s="261"/>
      <c r="Q77" s="261"/>
      <c r="R77" s="111"/>
      <c r="S77" s="228"/>
      <c r="T77" s="228"/>
      <c r="U77" s="228"/>
      <c r="V77" s="228"/>
    </row>
    <row r="78" outlineLevel="1">
      <c r="A78" s="278" t="s">
        <v>233</v>
      </c>
      <c r="B78" s="269" t="s">
        <v>227</v>
      </c>
      <c r="C78" s="261"/>
      <c r="D78" s="279">
        <v>39.0</v>
      </c>
      <c r="E78" s="261"/>
      <c r="F78" s="261"/>
      <c r="G78" s="280"/>
      <c r="H78" s="164"/>
      <c r="I78" s="164"/>
      <c r="J78" s="104"/>
      <c r="K78" s="261"/>
      <c r="L78" s="261"/>
      <c r="M78" s="261"/>
      <c r="N78" s="261"/>
      <c r="O78" s="261"/>
      <c r="P78" s="261"/>
      <c r="Q78" s="261"/>
      <c r="R78" s="111"/>
      <c r="S78" s="228"/>
      <c r="T78" s="228"/>
      <c r="U78" s="228"/>
      <c r="V78" s="228"/>
    </row>
    <row r="79" outlineLevel="1">
      <c r="A79" s="156"/>
      <c r="B79" s="269" t="s">
        <v>225</v>
      </c>
      <c r="C79" s="113">
        <v>18.0</v>
      </c>
      <c r="D79" s="156"/>
      <c r="E79" s="239" t="s">
        <v>93</v>
      </c>
      <c r="F79" s="138">
        <f>IFERROR(E79*1.2, "-")</f>
        <v>8.4</v>
      </c>
      <c r="G79" s="106"/>
      <c r="H79" s="168"/>
      <c r="I79" s="168"/>
      <c r="J79" s="107"/>
      <c r="K79" s="282"/>
      <c r="L79" s="282"/>
      <c r="M79" s="282"/>
      <c r="N79" s="282"/>
      <c r="O79" s="261"/>
      <c r="P79" s="261"/>
      <c r="Q79" s="261"/>
      <c r="R79" s="111"/>
      <c r="S79" s="117"/>
      <c r="T79" s="117"/>
      <c r="U79" s="117"/>
      <c r="V79" s="117"/>
    </row>
    <row r="80" outlineLevel="1">
      <c r="A80" s="278" t="s">
        <v>234</v>
      </c>
      <c r="B80" s="269" t="s">
        <v>227</v>
      </c>
      <c r="C80" s="261"/>
      <c r="D80" s="279">
        <v>39.0</v>
      </c>
      <c r="E80" s="261"/>
      <c r="F80" s="261"/>
      <c r="G80" s="280"/>
      <c r="H80" s="164"/>
      <c r="I80" s="164"/>
      <c r="J80" s="104"/>
      <c r="K80" s="261"/>
      <c r="L80" s="261"/>
      <c r="M80" s="261"/>
      <c r="N80" s="261"/>
      <c r="O80" s="261"/>
      <c r="P80" s="261"/>
      <c r="Q80" s="261"/>
      <c r="R80" s="111"/>
      <c r="S80" s="117"/>
      <c r="T80" s="117"/>
      <c r="U80" s="117"/>
      <c r="V80" s="117"/>
    </row>
    <row r="81" outlineLevel="1">
      <c r="A81" s="156"/>
      <c r="B81" s="269" t="s">
        <v>225</v>
      </c>
      <c r="C81" s="113">
        <v>18.0</v>
      </c>
      <c r="D81" s="156"/>
      <c r="E81" s="239" t="s">
        <v>150</v>
      </c>
      <c r="F81" s="138">
        <f>IFERROR(E81*1.2, "-")</f>
        <v>6</v>
      </c>
      <c r="G81" s="106"/>
      <c r="H81" s="168"/>
      <c r="I81" s="168"/>
      <c r="J81" s="107"/>
      <c r="K81" s="282"/>
      <c r="L81" s="282"/>
      <c r="M81" s="282"/>
      <c r="N81" s="282"/>
      <c r="O81" s="261"/>
      <c r="P81" s="261"/>
      <c r="Q81" s="261"/>
      <c r="R81" s="111"/>
      <c r="S81" s="117"/>
      <c r="T81" s="117"/>
      <c r="U81" s="117"/>
      <c r="V81" s="117"/>
    </row>
    <row r="82">
      <c r="A82" s="223"/>
      <c r="B82" s="224"/>
      <c r="C82" s="225"/>
      <c r="D82" s="225"/>
      <c r="E82" s="227"/>
      <c r="F82" s="177"/>
      <c r="G82" s="177"/>
      <c r="H82" s="227"/>
      <c r="I82" s="227"/>
      <c r="J82" s="228"/>
      <c r="K82" s="228"/>
      <c r="L82" s="111"/>
      <c r="M82" s="111"/>
      <c r="N82" s="111"/>
      <c r="O82" s="111"/>
      <c r="P82" s="111"/>
      <c r="Q82" s="111"/>
      <c r="R82" s="111"/>
      <c r="S82" s="111"/>
      <c r="T82" s="111"/>
      <c r="U82" s="111"/>
      <c r="V82" s="111"/>
    </row>
    <row r="83">
      <c r="A83" s="284" t="str">
        <f>'テンプレート'!A107</f>
        <v>回避</v>
      </c>
      <c r="B83" s="104"/>
      <c r="C83" s="265"/>
      <c r="D83" s="111"/>
      <c r="E83" s="111"/>
      <c r="F83" s="111"/>
      <c r="G83" s="111"/>
      <c r="H83" s="111"/>
      <c r="I83" s="111"/>
      <c r="J83" s="118"/>
      <c r="K83" s="111"/>
      <c r="L83" s="111"/>
      <c r="M83" s="111"/>
      <c r="N83" s="111"/>
      <c r="O83" s="111"/>
      <c r="P83" s="111"/>
      <c r="Q83" s="111"/>
      <c r="R83" s="111"/>
      <c r="S83" s="111"/>
      <c r="T83" s="111"/>
      <c r="U83" s="111"/>
      <c r="V83" s="111"/>
    </row>
    <row r="84" outlineLevel="1">
      <c r="A84" s="106"/>
      <c r="B84" s="107"/>
      <c r="C84" s="285" t="s">
        <v>235</v>
      </c>
      <c r="D84" s="285" t="s">
        <v>236</v>
      </c>
      <c r="E84" s="285" t="s">
        <v>49</v>
      </c>
      <c r="F84" s="285" t="s">
        <v>237</v>
      </c>
      <c r="G84" s="286"/>
      <c r="H84" s="227"/>
      <c r="I84" s="227"/>
      <c r="J84" s="228"/>
      <c r="K84" s="228"/>
      <c r="L84" s="111"/>
      <c r="M84" s="111"/>
      <c r="N84" s="111"/>
      <c r="O84" s="111"/>
      <c r="P84" s="111"/>
      <c r="Q84" s="111"/>
      <c r="R84" s="111"/>
      <c r="S84" s="111"/>
      <c r="T84" s="111"/>
      <c r="U84" s="111"/>
      <c r="V84" s="111"/>
    </row>
    <row r="85" outlineLevel="1">
      <c r="A85" s="287" t="str">
        <f>'テンプレート'!A109</f>
        <v>地上回避</v>
      </c>
      <c r="B85" s="288" t="str">
        <f>'テンプレート'!B109</f>
        <v>その場</v>
      </c>
      <c r="C85" s="113" t="str">
        <f t="array" ref="C85">INDEX('回避'!$C$3:$U$84, MATCH($A$1,'回避'!$A$3:$A$91,0), MATCH(C84,'回避'!$C$2:$F$2,0))</f>
        <v>3-17</v>
      </c>
      <c r="D85" s="113" t="str">
        <f t="array" ref="D85">INDEX('回避'!$C$3:$U$84, MATCH($A$1,'回避'!$A$3:$A$91,0), MATCH(D84,'回避'!$C$2:$F$2,0))</f>
        <v>6-17</v>
      </c>
      <c r="E85" s="113" t="str">
        <f t="array" ref="E85">INDEX('回避'!$C$3:$U$84, MATCH($A$1,'回避'!$A$3:$A$91,0), MATCH(E84,'回避'!$C$2:$F$2,0))</f>
        <v>25 (20)</v>
      </c>
      <c r="F85" s="113" t="str">
        <f t="array" ref="F85">INDEX('回避'!$C$3:$U$84, MATCH($A$1,'回避'!$A$3:$A$91,0), MATCH(F84,'回避'!$C$2:$F$2,0))</f>
        <v>33 (27)</v>
      </c>
      <c r="G85" s="272"/>
      <c r="H85" s="227"/>
      <c r="I85" s="227"/>
      <c r="J85" s="228"/>
      <c r="K85" s="228"/>
      <c r="L85" s="111"/>
      <c r="M85" s="111"/>
      <c r="N85" s="111"/>
      <c r="O85" s="111"/>
      <c r="P85" s="111"/>
      <c r="Q85" s="111"/>
      <c r="R85" s="111"/>
      <c r="S85" s="111"/>
      <c r="T85" s="111"/>
      <c r="U85" s="111"/>
      <c r="V85" s="111"/>
    </row>
    <row r="86" outlineLevel="1">
      <c r="A86" s="212"/>
      <c r="B86" s="288" t="str">
        <f>'テンプレート'!B110</f>
        <v>前方</v>
      </c>
      <c r="C86" s="113" t="str">
        <f t="array" ref="C86">INDEX('回避'!$G$3:$U$84, MATCH($A$1,'回避'!$A$3:$A$91,0), MATCH(C84,'回避'!$G$2:$J$2,0))</f>
        <v>4-15</v>
      </c>
      <c r="D86" s="113" t="str">
        <f t="array" ref="D86">INDEX('回避'!$G$3:$U$84, MATCH($A$1,'回避'!$A$3:$A$91,0), MATCH(D84,'回避'!$G$2:$J$2,0))</f>
        <v>8-14</v>
      </c>
      <c r="E86" s="113" t="str">
        <f t="array" ref="E86">INDEX('回避'!$G$3:$U$84, MATCH($A$1,'回避'!$A$3:$A$91,0), MATCH(E84,'回避'!$G$2:$J$2,0))</f>
        <v>29</v>
      </c>
      <c r="F86" s="113">
        <f t="array" ref="F86">INDEX('回避'!$G$3:$U$84, MATCH($A$1,'回避'!$A$3:$A$91,0), MATCH(F84,'回避'!$G$2:$J$2,0))</f>
        <v>38</v>
      </c>
      <c r="G86" s="289"/>
      <c r="H86" s="227"/>
      <c r="I86" s="227"/>
      <c r="J86" s="228"/>
      <c r="K86" s="228"/>
      <c r="L86" s="111"/>
      <c r="M86" s="111"/>
      <c r="N86" s="111"/>
      <c r="O86" s="111"/>
      <c r="P86" s="111"/>
      <c r="Q86" s="111"/>
      <c r="R86" s="111"/>
      <c r="S86" s="111"/>
      <c r="T86" s="111"/>
      <c r="U86" s="111"/>
      <c r="V86" s="111"/>
    </row>
    <row r="87" outlineLevel="1">
      <c r="A87" s="106"/>
      <c r="B87" s="288" t="str">
        <f>'テンプレート'!B111</f>
        <v>後方</v>
      </c>
      <c r="C87" s="113" t="str">
        <f t="array" ref="C87">INDEX('回避'!$K$3:$U$84, MATCH($A$1,'回避'!$A$3:$A$91,0), MATCH(C84,'回避'!$K$2:$N$2,0))</f>
        <v>5-16</v>
      </c>
      <c r="D87" s="113" t="str">
        <f t="array" ref="D87">INDEX('回避'!$K$3:$U$84, MATCH($A$1,'回避'!$A$3:$A$91,0), MATCH(D84,'回避'!$K$2:$N$2,0))</f>
        <v>9-14</v>
      </c>
      <c r="E87" s="113" t="str">
        <f t="array" ref="E87">INDEX('回避'!$K$3:$U$84, MATCH($A$1,'回避'!$A$3:$A$91,0), MATCH(E84,'回避'!$K$2:$N$2,0))</f>
        <v>34</v>
      </c>
      <c r="F87" s="113" t="str">
        <f t="array" ref="F87">INDEX('回避'!$K$3:$U$84, MATCH($A$1,'回避'!$A$3:$A$91,0), MATCH(F84,'回避'!$K$2:$N$2,0))</f>
        <v>51</v>
      </c>
      <c r="G87" s="289"/>
      <c r="H87" s="290"/>
      <c r="I87" s="290"/>
      <c r="J87" s="117"/>
      <c r="K87" s="117"/>
      <c r="L87" s="111"/>
      <c r="M87" s="111"/>
      <c r="N87" s="111"/>
      <c r="O87" s="111"/>
      <c r="P87" s="111"/>
      <c r="Q87" s="111"/>
      <c r="R87" s="111"/>
      <c r="S87" s="111"/>
      <c r="T87" s="111"/>
      <c r="U87" s="111"/>
      <c r="V87" s="111"/>
    </row>
    <row r="88" outlineLevel="1">
      <c r="A88" s="287" t="str">
        <f>'テンプレート'!A112</f>
        <v>空中回避</v>
      </c>
      <c r="B88" s="288" t="str">
        <f>'テンプレート'!B112</f>
        <v>通常</v>
      </c>
      <c r="C88" s="113" t="str">
        <f t="array" ref="C88">INDEX('回避'!$O$3:$U$84, MATCH($A$1,'回避'!$A$3:$A$91,0), MATCH(C84,'回避'!$O$2:$R$2,0))</f>
        <v>3-29</v>
      </c>
      <c r="D88" s="113" t="str">
        <f t="array" ref="D88">INDEX('回避'!$O$3:$U$84, MATCH($A$1,'回避'!$A$3:$A$91,0), MATCH(D84,'回避'!$O$2:$R$2,0))</f>
        <v>6-27</v>
      </c>
      <c r="E88" s="113" t="str">
        <f t="array" ref="E88">INDEX('回避'!$O$3:$U$84, MATCH($A$1,'回避'!$A$3:$A$91,0), MATCH(E84,'回避'!$O$2:$R$2,0))</f>
        <v>52</v>
      </c>
      <c r="F88" s="177"/>
      <c r="G88" s="177"/>
      <c r="H88" s="118"/>
      <c r="I88" s="118"/>
      <c r="J88" s="111"/>
      <c r="K88" s="111"/>
      <c r="L88" s="111"/>
      <c r="M88" s="111"/>
      <c r="N88" s="111"/>
      <c r="O88" s="111"/>
      <c r="P88" s="111"/>
      <c r="Q88" s="111"/>
      <c r="R88" s="111"/>
      <c r="S88" s="228"/>
      <c r="T88" s="228"/>
      <c r="U88" s="228"/>
      <c r="V88" s="228"/>
    </row>
    <row r="89" outlineLevel="1">
      <c r="A89" s="106"/>
      <c r="B89" s="288" t="str">
        <f>'テンプレート'!B113</f>
        <v>移動</v>
      </c>
      <c r="C89" s="113" t="str">
        <f t="array" ref="C89">INDEX('回避'!$S$3:$U$84, MATCH($A$1,'回避'!$A$3:$A$91,0), MATCH(C84,'回避'!$S$2:$U$2,0))</f>
        <v>3-21</v>
      </c>
      <c r="D89" s="113" t="str">
        <f t="array" ref="D89">INDEX('回避'!$S$3:$U$84, MATCH($A$1,'回避'!$A$3:$A$91,0), MATCH(D84,'回避'!$S$2:$U$2,0))</f>
        <v>6-20</v>
      </c>
      <c r="E89" s="113" t="str">
        <f t="array" ref="E89">INDEX('回避'!$S$3:$U$84, MATCH($A$1,'回避'!$A$3:$A$91,0), MATCH(E84,'回避'!$S$2:$U$2,0))</f>
        <v>真横：87
真上：116
真下：71</v>
      </c>
      <c r="F89" s="289"/>
      <c r="G89" s="289"/>
      <c r="H89" s="118"/>
      <c r="I89" s="118"/>
      <c r="J89" s="117"/>
      <c r="K89" s="117"/>
      <c r="L89" s="117"/>
      <c r="M89" s="117"/>
      <c r="N89" s="111"/>
      <c r="O89" s="118"/>
      <c r="P89" s="118"/>
      <c r="Q89" s="118"/>
      <c r="R89" s="118"/>
      <c r="S89" s="118"/>
      <c r="T89" s="118"/>
      <c r="U89" s="118"/>
      <c r="V89" s="118"/>
    </row>
    <row r="90">
      <c r="A90" s="291"/>
      <c r="B90" s="292"/>
      <c r="C90" s="286"/>
      <c r="D90" s="286"/>
      <c r="E90" s="293"/>
      <c r="F90" s="286"/>
      <c r="G90" s="286"/>
      <c r="H90" s="286"/>
      <c r="I90" s="286"/>
      <c r="J90" s="111"/>
      <c r="K90" s="227"/>
      <c r="L90" s="227"/>
      <c r="M90" s="227"/>
      <c r="N90" s="227"/>
      <c r="O90" s="118"/>
      <c r="P90" s="118"/>
      <c r="Q90" s="118"/>
      <c r="R90" s="118"/>
      <c r="S90" s="118"/>
      <c r="T90" s="118"/>
      <c r="U90" s="118"/>
      <c r="V90" s="118"/>
    </row>
    <row r="91">
      <c r="A91" s="294" t="s">
        <v>238</v>
      </c>
      <c r="B91" s="104"/>
      <c r="C91" s="228"/>
      <c r="D91" s="117"/>
      <c r="E91" s="228"/>
      <c r="F91" s="114"/>
      <c r="G91" s="114"/>
      <c r="H91" s="117"/>
      <c r="I91" s="117"/>
      <c r="J91" s="118"/>
      <c r="K91" s="118"/>
      <c r="L91" s="118"/>
      <c r="M91" s="118"/>
      <c r="N91" s="118"/>
      <c r="O91" s="118"/>
      <c r="P91" s="118"/>
      <c r="Q91" s="118"/>
      <c r="R91" s="118"/>
      <c r="S91" s="118"/>
      <c r="T91" s="118"/>
      <c r="U91" s="118"/>
      <c r="V91" s="118"/>
    </row>
    <row r="92" outlineLevel="1">
      <c r="A92" s="106"/>
      <c r="B92" s="107"/>
      <c r="C92" s="295" t="s">
        <v>235</v>
      </c>
      <c r="D92" s="295" t="s">
        <v>49</v>
      </c>
      <c r="E92" s="295" t="s">
        <v>48</v>
      </c>
      <c r="F92" s="295" t="s">
        <v>50</v>
      </c>
      <c r="G92" s="296" t="s">
        <v>51</v>
      </c>
      <c r="H92" s="228"/>
      <c r="I92" s="228"/>
      <c r="J92" s="117"/>
      <c r="K92" s="297" t="str">
        <f>'テンプレート'!K116</f>
        <v>アイテム取得</v>
      </c>
      <c r="L92" s="109"/>
      <c r="M92" s="298" t="str">
        <f>'テンプレート'!M116</f>
        <v>取得フレーム</v>
      </c>
      <c r="N92" s="298" t="str">
        <f>'テンプレート'!N116</f>
        <v>全体フレーム</v>
      </c>
      <c r="O92" s="118"/>
      <c r="P92" s="118"/>
      <c r="Q92" s="118"/>
      <c r="R92" s="118"/>
      <c r="S92" s="118"/>
      <c r="T92" s="118"/>
      <c r="U92" s="118"/>
      <c r="V92" s="118"/>
    </row>
    <row r="93" outlineLevel="1">
      <c r="A93" s="299" t="s">
        <v>239</v>
      </c>
      <c r="B93" s="300" t="s">
        <v>240</v>
      </c>
      <c r="C93" s="301"/>
      <c r="D93" s="113">
        <f t="array" ref="D93">INDEX('崖行動・受け身'!$C$3:$C98, MATCH($A$1,'崖行動・受け身'!$A$3:$A$115,0), MATCH(D92,'崖行動・受け身'!$C$2,0))</f>
        <v>19</v>
      </c>
      <c r="E93" s="301"/>
      <c r="F93" s="301"/>
      <c r="G93" s="301"/>
      <c r="H93" s="228"/>
      <c r="I93" s="228"/>
      <c r="J93" s="111"/>
      <c r="K93" s="302" t="str">
        <f>'テンプレート'!K117</f>
        <v>小アイテム</v>
      </c>
      <c r="L93" s="303" t="str">
        <f>'テンプレート'!L117</f>
        <v>その場</v>
      </c>
      <c r="M93" s="113" t="s">
        <v>76</v>
      </c>
      <c r="N93" s="113" t="s">
        <v>93</v>
      </c>
      <c r="O93" s="118"/>
      <c r="P93" s="118"/>
      <c r="Q93" s="118"/>
      <c r="R93" s="118"/>
      <c r="S93" s="118"/>
      <c r="T93" s="118"/>
      <c r="U93" s="118"/>
      <c r="V93" s="118"/>
    </row>
    <row r="94" outlineLevel="1">
      <c r="A94" s="146"/>
      <c r="B94" s="300" t="s">
        <v>216</v>
      </c>
      <c r="C94" s="113" t="str">
        <f t="array" ref="C94">INDEX('崖行動・受け身'!$D$3:$E98, MATCH($A$1,'崖行動・受け身'!$A$3:$A$115,0), MATCH(C92,'崖行動・受け身'!$D$2:$E$2,0))</f>
        <v>1-33</v>
      </c>
      <c r="D94" s="113">
        <f t="array" ref="D94">INDEX('崖行動・受け身'!$D$3:$E98, MATCH($A$1,'崖行動・受け身'!$A$3:$A$115,0), MATCH(D92,'崖行動・受け身'!$D$2:$E$2,0))</f>
        <v>34</v>
      </c>
      <c r="E94" s="301"/>
      <c r="F94" s="301"/>
      <c r="G94" s="301"/>
      <c r="H94" s="228"/>
      <c r="I94" s="228"/>
      <c r="J94" s="117"/>
      <c r="K94" s="156"/>
      <c r="L94" s="303" t="str">
        <f>'テンプレート'!L118</f>
        <v>歩き</v>
      </c>
      <c r="M94" s="113" t="s">
        <v>76</v>
      </c>
      <c r="N94" s="113" t="s">
        <v>173</v>
      </c>
      <c r="O94" s="118"/>
      <c r="P94" s="118"/>
      <c r="Q94" s="118"/>
      <c r="R94" s="118"/>
      <c r="S94" s="118"/>
      <c r="T94" s="118"/>
      <c r="U94" s="118"/>
      <c r="V94" s="118"/>
    </row>
    <row r="95" outlineLevel="1">
      <c r="A95" s="146"/>
      <c r="B95" s="300" t="s">
        <v>241</v>
      </c>
      <c r="C95" s="113" t="str">
        <f t="array" ref="C95">INDEX('崖行動・受け身'!$F$3:$G$115, MATCH($A$1,'崖行動・受け身'!$A$3:$A$115,0), MATCH(C92,'崖行動・受け身'!$F$2:$G$2,0))</f>
        <v>1-25</v>
      </c>
      <c r="D95" s="113">
        <f t="array" ref="D95">INDEX('崖行動・受け身'!$F$3:$G$115, MATCH($A$1,'崖行動・受け身'!$A$3:$A$115,0), MATCH(D92,'崖行動・受け身'!$F$2:$G$2,0))</f>
        <v>45</v>
      </c>
      <c r="E95" s="301"/>
      <c r="F95" s="301"/>
      <c r="G95" s="301"/>
      <c r="H95" s="228"/>
      <c r="I95" s="228"/>
      <c r="J95" s="111"/>
      <c r="K95" s="304" t="str">
        <f>'テンプレート'!K119</f>
        <v>アイテム投擲</v>
      </c>
      <c r="L95" s="109"/>
      <c r="M95" s="298" t="str">
        <f>'テンプレート'!M119</f>
        <v>投擲フレーム</v>
      </c>
      <c r="N95" s="298" t="str">
        <f>'テンプレート'!N119</f>
        <v>全体フレーム</v>
      </c>
      <c r="O95" s="118"/>
      <c r="P95" s="118"/>
      <c r="Q95" s="118"/>
      <c r="R95" s="118"/>
      <c r="S95" s="118"/>
      <c r="T95" s="118"/>
      <c r="U95" s="118"/>
      <c r="V95" s="118"/>
    </row>
    <row r="96" outlineLevel="1">
      <c r="A96" s="146"/>
      <c r="B96" s="300" t="s">
        <v>242</v>
      </c>
      <c r="C96" s="113" t="str">
        <f t="array" ref="C96">INDEX('崖行動・受け身'!$H$3:$I$115, MATCH($A$1,'崖行動・受け身'!$A$3:$A$115,0), MATCH(C92,'崖行動・受け身'!$H$2:$I$2,0))</f>
        <v>1-12</v>
      </c>
      <c r="D96" s="113">
        <f t="array" ref="D96">INDEX('崖行動・受け身'!$H$3:$I$115, MATCH($A$1,'崖行動・受け身'!$A$3:$A$115,0), MATCH(D92,'崖行動・受け身'!$H$2:$I$2,0))</f>
        <v>14</v>
      </c>
      <c r="E96" s="301"/>
      <c r="F96" s="301"/>
      <c r="G96" s="301"/>
      <c r="H96" s="228"/>
      <c r="I96" s="228"/>
      <c r="J96" s="117"/>
      <c r="K96" s="305" t="str">
        <f>'テンプレート'!K120</f>
        <v>地上投擲</v>
      </c>
      <c r="L96" s="303" t="str">
        <f>'テンプレート'!L120</f>
        <v>前投げ</v>
      </c>
      <c r="M96" s="113" t="s">
        <v>80</v>
      </c>
      <c r="N96" s="113">
        <v>24.0</v>
      </c>
      <c r="O96" s="111"/>
      <c r="P96" s="111"/>
      <c r="Q96" s="111"/>
      <c r="R96" s="111"/>
      <c r="S96" s="111"/>
      <c r="T96" s="111"/>
      <c r="U96" s="111"/>
      <c r="V96" s="111"/>
    </row>
    <row r="97" outlineLevel="1">
      <c r="A97" s="156"/>
      <c r="B97" s="300" t="s">
        <v>243</v>
      </c>
      <c r="C97" s="113" t="str">
        <f t="array" ref="C97">INDEX('崖行動・受け身'!$J$3:$M$115, MATCH($A$1,'崖行動・受け身'!$A$3:$A$115,0), MATCH(C92,'崖行動・受け身'!$J$2:$M$2,0))</f>
        <v>1-26</v>
      </c>
      <c r="D97" s="113">
        <f t="array" ref="D97">INDEX('崖行動・受け身'!$J$3:$M$115, MATCH($A$1,'崖行動・受け身'!$A$3:$A$115,0), MATCH(D92,'崖行動・受け身'!$J$2:$M$2,0))</f>
        <v>55</v>
      </c>
      <c r="E97" s="113" t="str">
        <f t="array" ref="E97">INDEX('崖行動・受け身'!$J$3:$M$115, MATCH($A$1,'崖行動・受け身'!$A$3:$A$115,0), MATCH(E92,'崖行動・受け身'!$J$2:$M$2,0))</f>
        <v>24-26</v>
      </c>
      <c r="F97" s="113">
        <f t="array" ref="F97">INDEX('崖行動・受け身'!$J$3:$M$115, MATCH($A$1,'崖行動・受け身'!$A$3:$A$115,0), MATCH(F92,'崖行動・受け身'!$J$2:$M$2,0))</f>
        <v>9</v>
      </c>
      <c r="G97" s="113">
        <f>F97*1.2</f>
        <v>10.8</v>
      </c>
      <c r="H97" s="228"/>
      <c r="I97" s="228"/>
      <c r="J97" s="111"/>
      <c r="K97" s="146"/>
      <c r="L97" s="303" t="str">
        <f>'テンプレート'!L121</f>
        <v>後投げ</v>
      </c>
      <c r="M97" s="113" t="s">
        <v>232</v>
      </c>
      <c r="N97" s="113">
        <v>24.0</v>
      </c>
      <c r="O97" s="111"/>
      <c r="P97" s="111"/>
      <c r="Q97" s="111"/>
      <c r="R97" s="111"/>
      <c r="S97" s="111"/>
      <c r="T97" s="111"/>
      <c r="U97" s="111"/>
      <c r="V97" s="111"/>
    </row>
    <row r="98" outlineLevel="1">
      <c r="A98" s="299" t="s">
        <v>244</v>
      </c>
      <c r="B98" s="300" t="s">
        <v>216</v>
      </c>
      <c r="C98" s="113" t="str">
        <f t="array" ref="C98">INDEX('崖行動・受け身'!$N$3:$O$115, MATCH($A$1,'崖行動・受け身'!$A$3:$A$115,0), MATCH(C92,'崖行動・受け身'!$N$2:$O$2,0))</f>
        <v>1-20</v>
      </c>
      <c r="D98" s="113">
        <f t="array" ref="D98">INDEX('崖行動・受け身'!$N$3:$O$115, MATCH($A$1,'崖行動・受け身'!$A$3:$A$115,0), MATCH(D92,'崖行動・受け身'!$N$2:$O$2,0))</f>
        <v>26</v>
      </c>
      <c r="E98" s="301"/>
      <c r="F98" s="301"/>
      <c r="G98" s="301"/>
      <c r="H98" s="228"/>
      <c r="I98" s="228"/>
      <c r="J98" s="117"/>
      <c r="K98" s="146"/>
      <c r="L98" s="303" t="str">
        <f>'テンプレート'!L122</f>
        <v>上投げ</v>
      </c>
      <c r="M98" s="113" t="s">
        <v>129</v>
      </c>
      <c r="N98" s="113">
        <v>23.0</v>
      </c>
      <c r="O98" s="228"/>
      <c r="P98" s="228"/>
      <c r="Q98" s="228"/>
      <c r="R98" s="228"/>
      <c r="S98" s="228"/>
      <c r="T98" s="228"/>
      <c r="U98" s="228"/>
      <c r="V98" s="228"/>
    </row>
    <row r="99" outlineLevel="1">
      <c r="A99" s="146"/>
      <c r="B99" s="300" t="s">
        <v>245</v>
      </c>
      <c r="C99" s="113" t="str">
        <f t="array" ref="C99">INDEX('崖行動・受け身'!$P$3:$Q$115, MATCH($A$1,'崖行動・受け身'!$A$3:$A$115,0), MATCH(C92,'崖行動・受け身'!$P$2:$Q$2,0))</f>
        <v>1-20</v>
      </c>
      <c r="D99" s="113">
        <f t="array" ref="D99">INDEX('崖行動・受け身'!$P$3:$Q$115, MATCH($A$1,'崖行動・受け身'!$A$3:$A$115,0), MATCH(D92,'崖行動・受け身'!$P$2:$Q$2,0))</f>
        <v>40</v>
      </c>
      <c r="E99" s="301"/>
      <c r="F99" s="301"/>
      <c r="G99" s="301"/>
      <c r="H99" s="228"/>
      <c r="I99" s="228"/>
      <c r="J99" s="111"/>
      <c r="K99" s="146"/>
      <c r="L99" s="303" t="str">
        <f>'テンプレート'!L123</f>
        <v>下投げ</v>
      </c>
      <c r="M99" s="113" t="s">
        <v>93</v>
      </c>
      <c r="N99" s="113">
        <v>19.0</v>
      </c>
      <c r="O99" s="118"/>
      <c r="P99" s="118"/>
      <c r="Q99" s="118"/>
      <c r="R99" s="118"/>
      <c r="S99" s="118"/>
      <c r="T99" s="118"/>
      <c r="U99" s="118"/>
      <c r="V99" s="118"/>
    </row>
    <row r="100" outlineLevel="1">
      <c r="A100" s="156"/>
      <c r="B100" s="300" t="s">
        <v>246</v>
      </c>
      <c r="C100" s="113" t="str">
        <f t="array" ref="C100">INDEX('崖行動・受け身'!$R$3:$S$115, MATCH($A$1,'崖行動・受け身'!$A$3:$A$115,0), MATCH(C92,'崖行動・受け身'!$R$2:$S$2,0))</f>
        <v>1-20</v>
      </c>
      <c r="D100" s="113">
        <f t="array" ref="D100">INDEX('崖行動・受け身'!$R$3:$S$115, MATCH($A$1,'崖行動・受け身'!$A$3:$A$115,0), MATCH(D92,'崖行動・受け身'!$R$2:$S$2,0))</f>
        <v>40</v>
      </c>
      <c r="E100" s="301"/>
      <c r="F100" s="301"/>
      <c r="G100" s="301"/>
      <c r="H100" s="228"/>
      <c r="I100" s="228"/>
      <c r="J100" s="117"/>
      <c r="K100" s="146"/>
      <c r="L100" s="306" t="str">
        <f>'テンプレート'!L124</f>
        <v>ダッシュ</v>
      </c>
      <c r="M100" s="113" t="s">
        <v>150</v>
      </c>
      <c r="N100" s="113">
        <v>37.0</v>
      </c>
      <c r="O100" s="118"/>
      <c r="P100" s="118"/>
      <c r="Q100" s="118"/>
      <c r="R100" s="118"/>
      <c r="S100" s="118"/>
      <c r="T100" s="118"/>
      <c r="U100" s="118"/>
      <c r="V100" s="118"/>
    </row>
    <row r="101" outlineLevel="1">
      <c r="A101" s="299" t="s">
        <v>247</v>
      </c>
      <c r="B101" s="300" t="s">
        <v>248</v>
      </c>
      <c r="C101" s="301"/>
      <c r="D101" s="113" t="str">
        <f t="array" ref="D101">INDEX('起きあがり'!$C$3:$C98, MATCH($A$1,'起きあがり'!$A$3:$A$115,0), MATCH(D92,'起きあがり'!$C$2:$AD$2,0))</f>
        <v>25</v>
      </c>
      <c r="E101" s="301"/>
      <c r="F101" s="301"/>
      <c r="G101" s="301"/>
      <c r="H101" s="228"/>
      <c r="I101" s="228"/>
      <c r="J101" s="111"/>
      <c r="K101" s="156"/>
      <c r="L101" s="306" t="str">
        <f>'テンプレート'!L125</f>
        <v>その場捨て</v>
      </c>
      <c r="M101" s="113" t="s">
        <v>86</v>
      </c>
      <c r="N101" s="113">
        <v>23.0</v>
      </c>
      <c r="O101" s="118"/>
      <c r="P101" s="118"/>
      <c r="Q101" s="118"/>
      <c r="R101" s="118"/>
      <c r="S101" s="118"/>
      <c r="T101" s="118"/>
      <c r="U101" s="118"/>
      <c r="V101" s="118"/>
    </row>
    <row r="102" outlineLevel="1">
      <c r="A102" s="146"/>
      <c r="B102" s="300" t="s">
        <v>216</v>
      </c>
      <c r="C102" s="307" t="str">
        <f t="array" ref="C102">INDEX('起きあがり'!$D$3:$E98, MATCH($A$1,'起きあがり'!$A$3:$A$115,0), MATCH(C92,'起きあがり'!$D$2:$AD$2,0))</f>
        <v>1-22</v>
      </c>
      <c r="D102" s="308">
        <f t="array" ref="D102">INDEX('起きあがり'!$D$3:$E98, MATCH($A$1,'起きあがり'!$A$3:$A$115,0), MATCH(D92,'起きあがり'!$D$2:$AD$2,0))</f>
        <v>29</v>
      </c>
      <c r="E102" s="301"/>
      <c r="F102" s="301"/>
      <c r="G102" s="301"/>
      <c r="H102" s="228"/>
      <c r="I102" s="228"/>
      <c r="J102" s="117"/>
      <c r="K102" s="305" t="str">
        <f>'テンプレート'!K126</f>
        <v>空中投擲</v>
      </c>
      <c r="L102" s="303" t="str">
        <f>'テンプレート'!L126</f>
        <v>前投げ</v>
      </c>
      <c r="M102" s="113" t="s">
        <v>80</v>
      </c>
      <c r="N102" s="113">
        <v>24.0</v>
      </c>
      <c r="O102" s="118"/>
      <c r="P102" s="118"/>
      <c r="Q102" s="118"/>
      <c r="R102" s="118"/>
      <c r="S102" s="118"/>
      <c r="T102" s="118"/>
      <c r="U102" s="118"/>
      <c r="V102" s="118"/>
    </row>
    <row r="103" outlineLevel="1">
      <c r="A103" s="146"/>
      <c r="B103" s="300" t="s">
        <v>245</v>
      </c>
      <c r="C103" s="307" t="str">
        <f t="array" ref="C103">INDEX('起きあがり'!$F$3:$G$115, MATCH($A$1,'起きあがり'!$A$3:$A$115,0), MATCH(C92,'起きあがり'!$F$2:$AD$2,0))</f>
        <v>1-21</v>
      </c>
      <c r="D103" s="308">
        <f t="array" ref="D103">INDEX('起きあがり'!$F$3:$G$115, MATCH($A$1,'起きあがり'!$A$3:$A$115,0), MATCH(D92,'起きあがり'!$F$2:$AD$2,0))</f>
        <v>35</v>
      </c>
      <c r="E103" s="301"/>
      <c r="F103" s="301"/>
      <c r="G103" s="301"/>
      <c r="H103" s="228"/>
      <c r="I103" s="228"/>
      <c r="J103" s="111"/>
      <c r="K103" s="146"/>
      <c r="L103" s="303" t="str">
        <f>'テンプレート'!L127</f>
        <v>後投げ</v>
      </c>
      <c r="M103" s="113" t="s">
        <v>232</v>
      </c>
      <c r="N103" s="113">
        <v>24.0</v>
      </c>
      <c r="O103" s="118"/>
      <c r="P103" s="118"/>
      <c r="Q103" s="118"/>
      <c r="R103" s="118"/>
      <c r="S103" s="118"/>
      <c r="T103" s="118"/>
      <c r="U103" s="118"/>
      <c r="V103" s="118"/>
    </row>
    <row r="104" outlineLevel="1">
      <c r="A104" s="146"/>
      <c r="B104" s="300" t="s">
        <v>246</v>
      </c>
      <c r="C104" s="113" t="str">
        <f t="array" ref="C104">INDEX('起きあがり'!$H$3:$I$115, MATCH($A$1,'起きあがり'!$A$3:$A$115,0), MATCH(C92,'起きあがり'!$H$2:$AD$2,0))</f>
        <v>1-22</v>
      </c>
      <c r="D104" s="113">
        <f t="array" ref="D104">INDEX('起きあがり'!$H$3:$I$115, MATCH($A$1,'起きあがり'!$A$3:$A$115,0), MATCH(D92,'起きあがり'!$H$2:$AD$2,0))</f>
        <v>35</v>
      </c>
      <c r="E104" s="301"/>
      <c r="F104" s="301"/>
      <c r="G104" s="301"/>
      <c r="H104" s="228"/>
      <c r="I104" s="228"/>
      <c r="J104" s="117"/>
      <c r="K104" s="146"/>
      <c r="L104" s="303" t="str">
        <f>'テンプレート'!L128</f>
        <v>上投げ</v>
      </c>
      <c r="M104" s="113" t="s">
        <v>129</v>
      </c>
      <c r="N104" s="113">
        <v>23.0</v>
      </c>
      <c r="O104" s="118"/>
      <c r="P104" s="118"/>
      <c r="Q104" s="118"/>
      <c r="R104" s="118"/>
      <c r="S104" s="118"/>
      <c r="T104" s="118"/>
      <c r="U104" s="118"/>
      <c r="V104" s="118"/>
    </row>
    <row r="105" outlineLevel="1">
      <c r="A105" s="146"/>
      <c r="B105" s="300" t="s">
        <v>249</v>
      </c>
      <c r="C105" s="309" t="str">
        <f t="array" ref="C105">INDEX('起きあがり'!$J$3:$M$115, MATCH($A$1,'起きあがり'!$A$3:$A$115,0), MATCH(C92,'起きあがり'!$J$2:$AD$2,0))</f>
        <v>1-25</v>
      </c>
      <c r="D105" s="310">
        <f t="array" ref="D105">INDEX('起きあがり'!$J$3:$M$115, MATCH($A$1,'起きあがり'!$A$3:$A$115,0), MATCH(D92,'起きあがり'!$J$2:$AD$2,0))</f>
        <v>45</v>
      </c>
      <c r="E105" s="307" t="str">
        <f t="array" ref="E105">INDEX('起きあがり'!$J$3:$M$115, MATCH($A$1,'起きあがり'!$A$3:$A$115,0), MATCH(E92,'起きあがり'!$J$2:$AD$2,0))</f>
        <v>19-20</v>
      </c>
      <c r="F105" s="308">
        <f t="array" ref="F105">INDEX('起きあがり'!$J$3:$M$115, MATCH($A$1,'起きあがり'!$A$3:$A$115,0), MATCH(F92,'起きあがり'!$J$2:$AD$2,0))</f>
        <v>7</v>
      </c>
      <c r="G105" s="113">
        <f t="shared" ref="G105:G106" si="2">F105*1.2</f>
        <v>8.4</v>
      </c>
      <c r="H105" s="228"/>
      <c r="I105" s="228"/>
      <c r="J105" s="111"/>
      <c r="K105" s="156"/>
      <c r="L105" s="303" t="str">
        <f>'テンプレート'!L129</f>
        <v>下投げ</v>
      </c>
      <c r="M105" s="113" t="s">
        <v>93</v>
      </c>
      <c r="N105" s="113">
        <v>19.0</v>
      </c>
      <c r="O105" s="111"/>
      <c r="P105" s="111"/>
      <c r="Q105" s="111"/>
      <c r="R105" s="111"/>
      <c r="S105" s="111"/>
      <c r="T105" s="111"/>
      <c r="U105" s="111"/>
      <c r="V105" s="111"/>
    </row>
    <row r="106" outlineLevel="1">
      <c r="A106" s="156"/>
      <c r="B106" s="311" t="s">
        <v>250</v>
      </c>
      <c r="C106" s="156"/>
      <c r="D106" s="156"/>
      <c r="E106" s="307" t="str">
        <f t="array" ref="E106">INDEX('起きあがり'!$N$3:$O$115, MATCH($A$1,'起きあがり'!$A$3:$A$115,0), MATCH(E92,'起きあがり'!$N$2:$AD$2,0))</f>
        <v>24-25</v>
      </c>
      <c r="F106" s="308">
        <f t="array" ref="F106">INDEX('起きあがり'!$N$3:$O$115, MATCH($A$1,'起きあがり'!$A$3:$A$115,0), MATCH(F92,'起きあがり'!$N$2:$AD$2,0))</f>
        <v>7</v>
      </c>
      <c r="G106" s="113">
        <f t="shared" si="2"/>
        <v>8.4</v>
      </c>
      <c r="H106" s="228"/>
      <c r="I106" s="228"/>
      <c r="J106" s="111"/>
      <c r="K106" s="312" t="str">
        <f>'テンプレート'!K130</f>
        <v>踏み台ジャンプ</v>
      </c>
      <c r="L106" s="168"/>
      <c r="M106" s="298" t="str">
        <f>'テンプレート'!M130</f>
        <v>全体フレーム</v>
      </c>
      <c r="N106" s="114"/>
      <c r="O106" s="111"/>
      <c r="P106" s="111"/>
      <c r="Q106" s="111"/>
      <c r="R106" s="111"/>
      <c r="S106" s="111"/>
      <c r="T106" s="111"/>
      <c r="U106" s="111"/>
      <c r="V106" s="111"/>
    </row>
    <row r="107" outlineLevel="1">
      <c r="A107" s="299" t="s">
        <v>251</v>
      </c>
      <c r="B107" s="300" t="s">
        <v>248</v>
      </c>
      <c r="C107" s="301"/>
      <c r="D107" s="307" t="str">
        <f t="array" ref="D107">INDEX('起きあがり'!$C$3:$C98, MATCH($A$1,'起きあがり'!$A$3:$A$115,0), MATCH(D92,'起きあがり'!$C$2,0))</f>
        <v>25</v>
      </c>
      <c r="E107" s="301"/>
      <c r="F107" s="301"/>
      <c r="G107" s="301"/>
      <c r="H107" s="228"/>
      <c r="I107" s="228"/>
      <c r="J107" s="117"/>
      <c r="K107" s="313" t="str">
        <f>'テンプレート'!K131</f>
        <v>踏み</v>
      </c>
      <c r="L107" s="314" t="str">
        <f>'テンプレート'!L131</f>
        <v>踏み</v>
      </c>
      <c r="M107" s="113">
        <v>7.0</v>
      </c>
      <c r="N107" s="315"/>
      <c r="O107" s="111"/>
      <c r="P107" s="111"/>
      <c r="Q107" s="111"/>
      <c r="R107" s="111"/>
      <c r="S107" s="111"/>
      <c r="T107" s="111"/>
      <c r="U107" s="111"/>
      <c r="V107" s="111"/>
    </row>
    <row r="108" outlineLevel="1">
      <c r="A108" s="146"/>
      <c r="B108" s="300" t="s">
        <v>216</v>
      </c>
      <c r="C108" s="307" t="str">
        <f t="array" ref="C108">INDEX('起きあがり'!$P$3:$Q$115, MATCH($A$1,'起きあがり'!$A$3:$A$115,0), MATCH(C92,'起きあがり'!$P$2:$AD$2,0))</f>
        <v>1-22</v>
      </c>
      <c r="D108" s="308">
        <f t="array" ref="D108">INDEX('起きあがり'!$P$3:$Q$115, MATCH($A$1,'起きあがり'!$A$3:$A$115,0), MATCH(D92,'起きあがり'!$P$2:$AD$2,0))</f>
        <v>29</v>
      </c>
      <c r="E108" s="301"/>
      <c r="F108" s="301"/>
      <c r="G108" s="301"/>
      <c r="H108" s="228"/>
      <c r="I108" s="228"/>
      <c r="J108" s="111"/>
      <c r="K108" s="305" t="str">
        <f>'テンプレート'!K132</f>
        <v>踏まれ</v>
      </c>
      <c r="M108" s="113" t="s">
        <v>76</v>
      </c>
      <c r="N108" s="315"/>
      <c r="O108" s="228"/>
      <c r="P108" s="228"/>
      <c r="Q108" s="228"/>
      <c r="R108" s="228"/>
      <c r="S108" s="228"/>
      <c r="T108" s="228"/>
      <c r="U108" s="228"/>
      <c r="V108" s="228"/>
    </row>
    <row r="109" outlineLevel="1">
      <c r="A109" s="146"/>
      <c r="B109" s="300" t="s">
        <v>245</v>
      </c>
      <c r="C109" s="307" t="str">
        <f t="array" ref="C109">INDEX('起きあがり'!$R$3:$S$115, MATCH($A$1,'起きあがり'!$A$3:$A$115,0), MATCH(C92,'起きあがり'!$R$2:$AD$2,0))</f>
        <v>1-19</v>
      </c>
      <c r="D109" s="308">
        <f t="array" ref="D109">INDEX('起きあがり'!$R$3:$S$115, MATCH($A$1,'起きあがり'!$A$3:$A$115,0), MATCH(D92,'起きあがり'!$R$2:$AD$2,0))</f>
        <v>35</v>
      </c>
      <c r="E109" s="301"/>
      <c r="F109" s="301"/>
      <c r="G109" s="301"/>
      <c r="H109" s="228"/>
      <c r="I109" s="228"/>
      <c r="J109" s="117"/>
      <c r="K109" s="146"/>
      <c r="L109" s="314" t="str">
        <f>'テンプレート'!L133</f>
        <v>地上硬直</v>
      </c>
      <c r="M109" s="113">
        <v>28.0</v>
      </c>
      <c r="N109" s="102"/>
      <c r="O109" s="118"/>
      <c r="P109" s="118"/>
      <c r="Q109" s="118"/>
      <c r="R109" s="118"/>
      <c r="S109" s="118"/>
      <c r="T109" s="118"/>
      <c r="U109" s="118"/>
      <c r="V109" s="118"/>
    </row>
    <row r="110" outlineLevel="1">
      <c r="A110" s="146"/>
      <c r="B110" s="300" t="s">
        <v>246</v>
      </c>
      <c r="C110" s="307" t="str">
        <f t="array" ref="C110">INDEX('起きあがり'!$T$3:$U$115, MATCH($A$1,'起きあがり'!$A$3:$A$115,0), MATCH(C92,'起きあがり'!$T$2:$AD$2,0))</f>
        <v>1-24</v>
      </c>
      <c r="D110" s="308">
        <f t="array" ref="D110">INDEX('起きあがり'!$T$3:$U$115, MATCH($A$1,'起きあがり'!$A$3:$A$115,0), MATCH(D92,'起きあがり'!$T$2:$AD$2,0))</f>
        <v>35</v>
      </c>
      <c r="E110" s="301"/>
      <c r="F110" s="301"/>
      <c r="G110" s="301"/>
      <c r="H110" s="228"/>
      <c r="I110" s="228"/>
      <c r="J110" s="111"/>
      <c r="K110" s="146"/>
      <c r="L110" s="314" t="str">
        <f>'テンプレート'!L134</f>
        <v>空中踏まれ</v>
      </c>
      <c r="M110" s="113">
        <v>8.0</v>
      </c>
      <c r="N110" s="102"/>
      <c r="O110" s="118"/>
      <c r="P110" s="118"/>
      <c r="Q110" s="118"/>
      <c r="R110" s="118"/>
      <c r="S110" s="118"/>
      <c r="T110" s="118"/>
      <c r="U110" s="118"/>
      <c r="V110" s="118"/>
    </row>
    <row r="111" outlineLevel="1">
      <c r="A111" s="146"/>
      <c r="B111" s="300" t="s">
        <v>249</v>
      </c>
      <c r="C111" s="309" t="str">
        <f t="array" ref="C111">INDEX('起きあがり'!$V$3:$Y$115, MATCH($A$1,'起きあがり'!$A$3:$A$115,0), MATCH(C92,'起きあがり'!$V$2:$AD$2,0))</f>
        <v>1-22</v>
      </c>
      <c r="D111" s="310">
        <f t="array" ref="D111">INDEX('起きあがり'!$V$3:$Y$115, MATCH($A$1,'起きあがり'!$A$3:$A$115,0), MATCH(D92,'起きあがり'!$V$2:$AD$2,0))</f>
        <v>45</v>
      </c>
      <c r="E111" s="307" t="str">
        <f t="array" ref="E111">INDEX('起きあがり'!$V$3:$Y$115, MATCH($A$1,'起きあがり'!$A$3:$A$115,0), MATCH(E92,'起きあがり'!$V$2:$AD$2,0))</f>
        <v>16-17</v>
      </c>
      <c r="F111" s="308">
        <f t="array" ref="F111">INDEX('起きあがり'!$V$3:$Y$115, MATCH($A$1,'起きあがり'!$A$3:$A$115,0), MATCH(F92,'起きあがり'!$V$2:$AD$2,0))</f>
        <v>7</v>
      </c>
      <c r="G111" s="113">
        <f t="shared" ref="G111:G112" si="3">F111*1.2</f>
        <v>8.4</v>
      </c>
      <c r="H111" s="228"/>
      <c r="I111" s="228"/>
      <c r="J111" s="117"/>
      <c r="K111" s="146"/>
      <c r="L111" s="314" t="str">
        <f>'テンプレート'!L135</f>
        <v>空中落下</v>
      </c>
      <c r="M111" s="113">
        <v>37.0</v>
      </c>
      <c r="N111" s="102"/>
      <c r="O111" s="118"/>
      <c r="P111" s="118"/>
      <c r="Q111" s="118"/>
      <c r="R111" s="118"/>
      <c r="S111" s="118"/>
      <c r="T111" s="118"/>
      <c r="U111" s="118"/>
      <c r="V111" s="118"/>
    </row>
    <row r="112" outlineLevel="1">
      <c r="A112" s="156"/>
      <c r="B112" s="311" t="s">
        <v>250</v>
      </c>
      <c r="C112" s="156"/>
      <c r="D112" s="156"/>
      <c r="E112" s="307" t="str">
        <f t="array" ref="E112">INDEX('起きあがり'!$Z$3:$AA$115, MATCH($A$1,'起きあがり'!$A$3:$A$115,0), MATCH(E92,'起きあがり'!$Z$2:$AD$2,0))</f>
        <v>21-22</v>
      </c>
      <c r="F112" s="308">
        <f t="array" ref="F112">INDEX('起きあがり'!$Z$3:$AA$115, MATCH($A$1,'起きあがり'!$A$3:$A$115,0), MATCH(F92,'起きあがり'!$Z$2:$AD$2,0))</f>
        <v>7</v>
      </c>
      <c r="G112" s="113">
        <f t="shared" si="3"/>
        <v>8.4</v>
      </c>
      <c r="H112" s="228"/>
      <c r="I112" s="228"/>
      <c r="J112" s="117"/>
      <c r="K112" s="304" t="str">
        <f>'テンプレート'!K136</f>
        <v>倒れダメージ</v>
      </c>
      <c r="L112" s="110"/>
      <c r="M112" s="298" t="str">
        <f>'テンプレート'!M136</f>
        <v>全体フレーム</v>
      </c>
      <c r="N112" s="102"/>
      <c r="O112" s="118"/>
      <c r="P112" s="118"/>
      <c r="Q112" s="118"/>
      <c r="R112" s="118"/>
      <c r="S112" s="118"/>
      <c r="T112" s="118"/>
      <c r="U112" s="118"/>
      <c r="V112" s="118"/>
    </row>
    <row r="113" outlineLevel="1">
      <c r="A113" s="299" t="s">
        <v>252</v>
      </c>
      <c r="B113" s="300" t="s">
        <v>253</v>
      </c>
      <c r="C113" s="307" t="str">
        <f t="array" ref="C113">INDEX('転倒'!$C$3:$D98, MATCH($A$1,'転倒'!$A$3:$A$115,0), MATCH(C92,'転倒'!$C$2:$AC$2,0))</f>
        <v>1-5</v>
      </c>
      <c r="D113" s="308">
        <f t="array" ref="D113">INDEX('転倒'!$C$3:$D98, MATCH($A$1,'転倒'!$A$3:$A$115,0), MATCH(D92,'転倒'!$C$2:$AC$2,0))</f>
        <v>29</v>
      </c>
      <c r="E113" s="301"/>
      <c r="F113" s="301"/>
      <c r="G113" s="301"/>
      <c r="H113" s="228"/>
      <c r="I113" s="228"/>
      <c r="J113" s="111"/>
      <c r="K113" s="313" t="str">
        <f>'テンプレート'!K137</f>
        <v>あお向け倒れ</v>
      </c>
      <c r="L113" s="306" t="str">
        <f>'テンプレート'!L137</f>
        <v>モーション大</v>
      </c>
      <c r="M113" s="113">
        <v>39.0</v>
      </c>
      <c r="N113" s="315"/>
      <c r="O113" s="118"/>
      <c r="P113" s="118"/>
      <c r="Q113" s="118"/>
      <c r="R113" s="118"/>
      <c r="S113" s="118"/>
      <c r="T113" s="118"/>
      <c r="U113" s="118"/>
      <c r="V113" s="118"/>
    </row>
    <row r="114" outlineLevel="1">
      <c r="A114" s="146"/>
      <c r="B114" s="300" t="s">
        <v>254</v>
      </c>
      <c r="C114" s="307" t="str">
        <f t="array" ref="C114">INDEX('転倒'!$E$3:$F98, MATCH($A$1,'転倒'!$A$3:$A$115,0), MATCH(C92,'転倒'!$E$2:$AC$2,0))</f>
        <v>1-5</v>
      </c>
      <c r="D114" s="308">
        <f t="array" ref="D114">INDEX('転倒'!$E$3:$F98, MATCH($A$1,'転倒'!$A$3:$A$115,0), MATCH(D92,'転倒'!$E$2:$AC$2,0))</f>
        <v>39</v>
      </c>
      <c r="E114" s="301"/>
      <c r="F114" s="301"/>
      <c r="G114" s="301"/>
      <c r="H114" s="228"/>
      <c r="I114" s="228"/>
      <c r="J114" s="117"/>
      <c r="K114" s="313" t="str">
        <f>'テンプレート'!K138</f>
        <v>うつ伏せ倒れ</v>
      </c>
      <c r="L114" s="306" t="str">
        <f>'テンプレート'!L138</f>
        <v>モーション大</v>
      </c>
      <c r="M114" s="113" t="s">
        <v>118</v>
      </c>
      <c r="N114" s="315"/>
      <c r="O114" s="118"/>
      <c r="P114" s="118"/>
      <c r="Q114" s="118"/>
      <c r="R114" s="118"/>
      <c r="S114" s="118"/>
      <c r="T114" s="118"/>
      <c r="U114" s="118"/>
      <c r="V114" s="118"/>
    </row>
    <row r="115" outlineLevel="1">
      <c r="A115" s="146"/>
      <c r="B115" s="300" t="s">
        <v>216</v>
      </c>
      <c r="C115" s="307" t="str">
        <f t="array" ref="C115">INDEX('転倒'!$G$3:$H$115, MATCH($A$1,'転倒'!$A$3:$A$115,0), MATCH(C92,'転倒'!$G$2:$AC$2,0))</f>
        <v>1-16</v>
      </c>
      <c r="D115" s="308">
        <f t="array" ref="D115">INDEX('転倒'!$G$3:$H$115, MATCH($A$1,'転倒'!$A$3:$A$115,0), MATCH(D92,'転倒'!$G$2:$AC$2,0))</f>
        <v>21</v>
      </c>
      <c r="E115" s="301"/>
      <c r="F115" s="301"/>
      <c r="G115" s="301"/>
      <c r="H115" s="228"/>
      <c r="I115" s="228"/>
      <c r="J115" s="111"/>
      <c r="K115" s="304" t="str">
        <f>'テンプレート'!K139</f>
        <v/>
      </c>
      <c r="L115" s="110"/>
      <c r="M115" s="298" t="str">
        <f>'テンプレート'!M139</f>
        <v/>
      </c>
      <c r="N115" s="102"/>
      <c r="O115" s="118"/>
      <c r="P115" s="118"/>
      <c r="Q115" s="118"/>
      <c r="R115" s="118"/>
      <c r="S115" s="118"/>
      <c r="T115" s="118"/>
      <c r="U115" s="118"/>
      <c r="V115" s="118"/>
    </row>
    <row r="116" outlineLevel="1">
      <c r="A116" s="146"/>
      <c r="B116" s="300" t="s">
        <v>245</v>
      </c>
      <c r="C116" s="307" t="str">
        <f t="array" ref="C116">INDEX('転倒'!$I$3:$J$115, MATCH($A$1,'転倒'!$A$3:$A$115,0), MATCH(C92,'転倒'!$I$2:$AC$2,0))</f>
        <v>1-9</v>
      </c>
      <c r="D116" s="308">
        <f t="array" ref="D116">INDEX('転倒'!$I$3:$J$115, MATCH($A$1,'転倒'!$A$3:$A$115,0), MATCH(D92,'転倒'!$I$2:$AC$2,0))</f>
        <v>28</v>
      </c>
      <c r="E116" s="301"/>
      <c r="F116" s="301"/>
      <c r="G116" s="301"/>
      <c r="H116" s="228"/>
      <c r="I116" s="228"/>
      <c r="J116" s="228"/>
      <c r="K116" s="316"/>
      <c r="L116" s="317" t="str">
        <f>'テンプレート'!L140</f>
        <v/>
      </c>
      <c r="M116" s="113" t="s">
        <v>76</v>
      </c>
      <c r="N116" s="102"/>
      <c r="O116" s="118"/>
      <c r="P116" s="118"/>
      <c r="Q116" s="118"/>
      <c r="R116" s="118"/>
      <c r="S116" s="118"/>
      <c r="T116" s="118"/>
      <c r="U116" s="118"/>
      <c r="V116" s="118"/>
    </row>
    <row r="117" outlineLevel="1">
      <c r="A117" s="146"/>
      <c r="B117" s="300" t="s">
        <v>246</v>
      </c>
      <c r="C117" s="307" t="str">
        <f t="array" ref="C117">INDEX('転倒'!$K$3:$L$115, MATCH($A$1,'転倒'!$A$3:$A$115,0), MATCH(C92,'転倒'!$K$2:$AC$2,0))</f>
        <v>1-9</v>
      </c>
      <c r="D117" s="308">
        <f t="array" ref="D117">INDEX('転倒'!$K$3:$L$115, MATCH($A$1,'転倒'!$A$3:$A$115,0), MATCH(D92,'転倒'!$K$2:$AC$2,0))</f>
        <v>28</v>
      </c>
      <c r="E117" s="301"/>
      <c r="F117" s="301"/>
      <c r="G117" s="301"/>
      <c r="H117" s="228"/>
      <c r="I117" s="228"/>
      <c r="J117" s="228"/>
      <c r="K117" s="318"/>
      <c r="L117" s="118"/>
      <c r="M117" s="118"/>
      <c r="N117" s="102"/>
      <c r="O117" s="118"/>
      <c r="P117" s="118"/>
      <c r="Q117" s="118"/>
      <c r="R117" s="118"/>
      <c r="S117" s="118"/>
      <c r="T117" s="118"/>
      <c r="U117" s="118"/>
      <c r="V117" s="118"/>
    </row>
    <row r="118" outlineLevel="1">
      <c r="A118" s="146"/>
      <c r="B118" s="300" t="s">
        <v>249</v>
      </c>
      <c r="C118" s="309" t="str">
        <f t="array" ref="C118">INDEX('転倒'!$M$3:$P$115, MATCH($A$1,'転倒'!$A$3:$A$115,0), MATCH(C92,'転倒'!$M$2:$AC$2,0))</f>
        <v>1-7</v>
      </c>
      <c r="D118" s="310">
        <f t="array" ref="D118">INDEX('転倒'!$M$3:$P$115, MATCH($A$1,'転倒'!$A$3:$A$115,0), MATCH(D92,'転倒'!$M$2:$AC$2,0))</f>
        <v>49</v>
      </c>
      <c r="E118" s="307" t="str">
        <f t="array" ref="E118">INDEX('転倒'!$M$3:$P$115, MATCH($A$1,'転倒'!$A$3:$A$115,0), MATCH(E92,'転倒'!$M$2:$AC$2,0))</f>
        <v>19-20</v>
      </c>
      <c r="F118" s="308">
        <f t="array" ref="F118">INDEX('転倒'!$M$3:$P$115, MATCH($A$1,'転倒'!$A$3:$A$115,0), MATCH(F92,'転倒'!$M$2:$AC$2,0))</f>
        <v>5</v>
      </c>
      <c r="G118" s="113">
        <f t="shared" ref="G118:G119" si="4">F118*1.2</f>
        <v>6</v>
      </c>
      <c r="H118" s="228"/>
      <c r="I118" s="228"/>
      <c r="J118" s="228"/>
      <c r="K118" s="118"/>
      <c r="L118" s="118"/>
      <c r="M118" s="118"/>
      <c r="N118" s="102"/>
      <c r="O118" s="102"/>
      <c r="P118" s="102"/>
      <c r="Q118" s="102"/>
      <c r="R118" s="118"/>
      <c r="S118" s="118"/>
      <c r="T118" s="118"/>
      <c r="U118" s="118"/>
      <c r="V118" s="118"/>
    </row>
    <row r="119" outlineLevel="1">
      <c r="A119" s="156"/>
      <c r="B119" s="311" t="s">
        <v>250</v>
      </c>
      <c r="C119" s="156"/>
      <c r="D119" s="156"/>
      <c r="E119" s="307" t="str">
        <f t="array" ref="E119">INDEX('転倒'!$Q$3:$R$115, MATCH($A$1,'転倒'!$A$3:$A$115,0), MATCH(E92,'転倒'!$Q$2:$AC$2,0))</f>
        <v>31-32</v>
      </c>
      <c r="F119" s="308">
        <f t="array" ref="F119">INDEX('転倒'!$Q$3:$R$115, MATCH($A$1,'転倒'!$A$3:$A$115,0), MATCH(F92,'転倒'!$Q$2:$AC$2,0))</f>
        <v>5</v>
      </c>
      <c r="G119" s="113">
        <f t="shared" si="4"/>
        <v>6</v>
      </c>
      <c r="H119" s="228"/>
      <c r="I119" s="228"/>
      <c r="J119" s="228"/>
      <c r="K119" s="118"/>
      <c r="L119" s="118"/>
      <c r="M119" s="118"/>
      <c r="N119" s="102"/>
      <c r="O119" s="102"/>
      <c r="P119" s="102"/>
      <c r="Q119" s="102"/>
      <c r="R119" s="118"/>
      <c r="S119" s="118"/>
      <c r="T119" s="118"/>
      <c r="U119" s="118"/>
      <c r="V119" s="118"/>
    </row>
    <row r="120" outlineLevel="1">
      <c r="A120" s="319"/>
      <c r="B120" s="320"/>
      <c r="C120" s="321"/>
      <c r="D120" s="321"/>
      <c r="E120" s="322"/>
      <c r="F120" s="322"/>
      <c r="G120" s="114"/>
      <c r="H120" s="228"/>
      <c r="I120" s="228"/>
      <c r="J120" s="228"/>
      <c r="K120" s="118"/>
      <c r="L120" s="118"/>
      <c r="M120" s="118"/>
      <c r="N120" s="102"/>
      <c r="O120" s="102"/>
      <c r="P120" s="102"/>
      <c r="Q120" s="102"/>
      <c r="R120" s="118"/>
      <c r="S120" s="118"/>
      <c r="T120" s="118"/>
      <c r="U120" s="118"/>
      <c r="V120" s="118"/>
    </row>
    <row r="121" outlineLevel="1">
      <c r="A121" s="323" t="s">
        <v>255</v>
      </c>
      <c r="B121" s="109"/>
      <c r="C121" s="321"/>
      <c r="D121" s="321"/>
      <c r="E121" s="322"/>
      <c r="F121" s="322"/>
      <c r="G121" s="114"/>
      <c r="H121" s="228"/>
      <c r="I121" s="228"/>
      <c r="J121" s="228"/>
      <c r="K121" s="118"/>
      <c r="L121" s="118"/>
      <c r="M121" s="118"/>
      <c r="N121" s="102"/>
      <c r="O121" s="102"/>
      <c r="P121" s="102"/>
      <c r="Q121" s="102"/>
      <c r="R121" s="118"/>
      <c r="S121" s="118"/>
      <c r="T121" s="118"/>
      <c r="U121" s="118"/>
      <c r="V121" s="118"/>
    </row>
    <row r="122" outlineLevel="1">
      <c r="A122" s="324" t="s">
        <v>256</v>
      </c>
      <c r="B122" s="109"/>
      <c r="C122" s="325" t="s">
        <v>257</v>
      </c>
      <c r="D122" s="325" t="s">
        <v>49</v>
      </c>
      <c r="E122" s="322"/>
      <c r="F122" s="322"/>
      <c r="G122" s="114"/>
      <c r="H122" s="228"/>
      <c r="I122" s="228"/>
      <c r="J122" s="228"/>
      <c r="K122" s="118"/>
      <c r="L122" s="118"/>
      <c r="M122" s="118"/>
      <c r="N122" s="102"/>
      <c r="O122" s="102"/>
      <c r="P122" s="102"/>
      <c r="Q122" s="102"/>
      <c r="R122" s="118"/>
      <c r="S122" s="118"/>
      <c r="T122" s="118"/>
      <c r="U122" s="118"/>
      <c r="V122" s="118"/>
    </row>
    <row r="123" outlineLevel="1">
      <c r="A123" s="326" t="s">
        <v>258</v>
      </c>
      <c r="B123" s="327" t="s">
        <v>216</v>
      </c>
      <c r="C123" s="328" t="str">
        <f t="array" ref="C123">INDEX('アイテム'!$C$3:$D$114, MATCH($A$1,'アイテム'!$A$3:$A$114,0), MATCH(C122,'アイテム'!$C$2:$AQ$2,0))</f>
        <v>2</v>
      </c>
      <c r="D123" s="328">
        <f t="array" ref="D123">INDEX('アイテム'!$C$3:$D$114, MATCH($A$1,'アイテム'!$A$3:$A$114,0), MATCH(D122,'アイテム'!$C$2:$AQ$2,0))</f>
        <v>7</v>
      </c>
      <c r="E123" s="322"/>
      <c r="F123" s="322"/>
      <c r="G123" s="114"/>
      <c r="H123" s="228"/>
      <c r="I123" s="228"/>
      <c r="J123" s="228"/>
      <c r="K123" s="118"/>
      <c r="L123" s="118"/>
      <c r="M123" s="118"/>
      <c r="N123" s="102"/>
      <c r="O123" s="102"/>
      <c r="P123" s="102"/>
      <c r="Q123" s="102"/>
      <c r="R123" s="118"/>
      <c r="S123" s="118"/>
      <c r="T123" s="118"/>
      <c r="U123" s="118"/>
      <c r="V123" s="118"/>
    </row>
    <row r="124" outlineLevel="1">
      <c r="A124" s="156"/>
      <c r="B124" s="327" t="s">
        <v>219</v>
      </c>
      <c r="C124" s="328" t="str">
        <f t="array" ref="C124">INDEX('アイテム'!$E$3:$F$114, MATCH($A$1,'アイテム'!$A$3:$A$114,0), MATCH(C122,'アイテム'!$C$2:$AQ$2,0))</f>
        <v>2</v>
      </c>
      <c r="D124" s="328">
        <f t="array" ref="D124">INDEX('アイテム'!$E$3:$F$114, MATCH($A$1,'アイテム'!$A$3:$A$114,0), MATCH(D122,'アイテム'!$C$2:$AQ$2,0))</f>
        <v>19</v>
      </c>
      <c r="E124" s="322"/>
      <c r="F124" s="322"/>
      <c r="G124" s="114"/>
      <c r="H124" s="228"/>
      <c r="I124" s="228"/>
      <c r="J124" s="228"/>
      <c r="K124" s="118"/>
      <c r="L124" s="118"/>
      <c r="M124" s="118"/>
      <c r="N124" s="102"/>
      <c r="O124" s="102"/>
      <c r="P124" s="102"/>
      <c r="Q124" s="102"/>
      <c r="R124" s="118"/>
      <c r="S124" s="118"/>
      <c r="T124" s="118"/>
      <c r="U124" s="118"/>
      <c r="V124" s="118"/>
    </row>
    <row r="125" outlineLevel="1">
      <c r="A125" s="329" t="s">
        <v>259</v>
      </c>
      <c r="B125" s="327" t="s">
        <v>216</v>
      </c>
      <c r="C125" s="328">
        <f t="array" ref="C125">INDEX('アイテム'!$AA$3:$AB$114, MATCH($A$1,'アイテム'!$A$3:$A$114,0), MATCH(C122,'アイテム'!$C$2:$AQ$2,0))</f>
        <v>3</v>
      </c>
      <c r="D125" s="328" t="str">
        <f t="array" ref="D125">INDEX('アイテム'!$AA$3:$AB$114, MATCH($A$1,'アイテム'!$A$3:$A$114,0), MATCH(D122,'アイテム'!$C$2:$AQ$2,0))</f>
        <v>12</v>
      </c>
      <c r="E125" s="322"/>
      <c r="F125" s="322"/>
      <c r="G125" s="114"/>
      <c r="H125" s="228"/>
      <c r="I125" s="228"/>
      <c r="J125" s="228"/>
      <c r="K125" s="118"/>
      <c r="L125" s="118"/>
      <c r="M125" s="118"/>
      <c r="N125" s="102"/>
      <c r="O125" s="102"/>
      <c r="P125" s="102"/>
      <c r="Q125" s="102"/>
      <c r="R125" s="118"/>
      <c r="S125" s="118"/>
      <c r="T125" s="118"/>
      <c r="U125" s="118"/>
      <c r="V125" s="118"/>
    </row>
    <row r="126" outlineLevel="1">
      <c r="A126" s="324" t="s">
        <v>260</v>
      </c>
      <c r="B126" s="109"/>
      <c r="C126" s="325" t="s">
        <v>261</v>
      </c>
      <c r="D126" s="325" t="s">
        <v>49</v>
      </c>
      <c r="E126" s="322"/>
      <c r="F126" s="322"/>
      <c r="G126" s="114"/>
      <c r="H126" s="228"/>
      <c r="I126" s="228"/>
      <c r="J126" s="228"/>
      <c r="K126" s="118"/>
      <c r="L126" s="118"/>
      <c r="M126" s="118"/>
      <c r="N126" s="102"/>
      <c r="O126" s="102"/>
      <c r="P126" s="102"/>
      <c r="Q126" s="102"/>
      <c r="R126" s="118"/>
      <c r="S126" s="118"/>
      <c r="T126" s="118"/>
      <c r="U126" s="118"/>
      <c r="V126" s="118"/>
    </row>
    <row r="127" outlineLevel="1">
      <c r="A127" s="326" t="s">
        <v>262</v>
      </c>
      <c r="B127" s="327" t="s">
        <v>226</v>
      </c>
      <c r="C127" s="328" t="str">
        <f t="array" ref="C127">INDEX('アイテム'!$G$3:$H$114, MATCH($A$1,'アイテム'!$A$3:$A$114,0), MATCH(C122,'アイテム'!$C$2:$AQ$2,0))</f>
        <v>8</v>
      </c>
      <c r="D127" s="328">
        <f t="array" ref="D127">INDEX('アイテム'!$G$3:$H$114, MATCH($A$1,'アイテム'!$A$3:$A$114,0), MATCH(D122,'アイテム'!$C$2:$AQ$2,0))</f>
        <v>24</v>
      </c>
      <c r="E127" s="322"/>
      <c r="F127" s="322"/>
      <c r="G127" s="114"/>
      <c r="H127" s="228"/>
      <c r="I127" s="228"/>
      <c r="J127" s="228"/>
      <c r="K127" s="118"/>
      <c r="L127" s="118"/>
      <c r="M127" s="118"/>
      <c r="N127" s="102"/>
      <c r="O127" s="102"/>
      <c r="P127" s="102"/>
      <c r="Q127" s="102"/>
      <c r="R127" s="118"/>
      <c r="S127" s="118"/>
      <c r="T127" s="118"/>
      <c r="U127" s="118"/>
      <c r="V127" s="118"/>
    </row>
    <row r="128" outlineLevel="1">
      <c r="A128" s="146"/>
      <c r="B128" s="327" t="s">
        <v>229</v>
      </c>
      <c r="C128" s="328" t="str">
        <f t="array" ref="C128">INDEX('アイテム'!$I$3:$J$114, MATCH($A$1,'アイテム'!$A$3:$A$114,0), MATCH(C122,'アイテム'!$C$2:$AQ$2,0))</f>
        <v>11</v>
      </c>
      <c r="D128" s="328">
        <f t="array" ref="D128">INDEX('アイテム'!$I$3:$J$114, MATCH($A$1,'アイテム'!$A$3:$A$114,0), MATCH(D122,'アイテム'!$C$2:$AQ$2,0))</f>
        <v>24</v>
      </c>
      <c r="E128" s="322"/>
      <c r="F128" s="322"/>
      <c r="G128" s="114"/>
      <c r="H128" s="228"/>
      <c r="I128" s="228"/>
      <c r="J128" s="228"/>
      <c r="K128" s="118"/>
      <c r="L128" s="118"/>
      <c r="M128" s="118"/>
      <c r="N128" s="102"/>
      <c r="O128" s="102"/>
      <c r="P128" s="102"/>
      <c r="Q128" s="102"/>
      <c r="R128" s="118"/>
      <c r="S128" s="118"/>
      <c r="T128" s="118"/>
      <c r="U128" s="118"/>
      <c r="V128" s="118"/>
    </row>
    <row r="129" outlineLevel="1">
      <c r="A129" s="146"/>
      <c r="B129" s="327" t="s">
        <v>233</v>
      </c>
      <c r="C129" s="328" t="str">
        <f t="array" ref="C129">INDEX('アイテム'!$K$3:$L$114, MATCH($A$1,'アイテム'!$A$3:$A$114,0), MATCH(C122,'アイテム'!$C$2:$AQ$2,0))</f>
        <v>12</v>
      </c>
      <c r="D129" s="328">
        <f t="array" ref="D129">INDEX('アイテム'!$K$3:$L$114, MATCH($A$1,'アイテム'!$A$3:$A$114,0), MATCH(D122,'アイテム'!$C$2:$AQ$2,0))</f>
        <v>23</v>
      </c>
      <c r="E129" s="322"/>
      <c r="F129" s="322"/>
      <c r="G129" s="114"/>
      <c r="H129" s="228"/>
      <c r="I129" s="228"/>
      <c r="J129" s="228"/>
      <c r="K129" s="118"/>
      <c r="L129" s="118"/>
      <c r="M129" s="118"/>
      <c r="N129" s="102"/>
      <c r="O129" s="102"/>
      <c r="P129" s="102"/>
      <c r="Q129" s="102"/>
      <c r="R129" s="118"/>
      <c r="S129" s="118"/>
      <c r="T129" s="118"/>
      <c r="U129" s="118"/>
      <c r="V129" s="118"/>
    </row>
    <row r="130" outlineLevel="1">
      <c r="A130" s="146"/>
      <c r="B130" s="327" t="s">
        <v>234</v>
      </c>
      <c r="C130" s="328" t="str">
        <f t="array" ref="C130">INDEX('アイテム'!$M$3:$N$114, MATCH($A$1,'アイテム'!$A$3:$A$114,0), MATCH(C122,'アイテム'!$C$2:$AQ$2,0))</f>
        <v>7</v>
      </c>
      <c r="D130" s="328">
        <f t="array" ref="D130">INDEX('アイテム'!$M$3:$N$114, MATCH($A$1,'アイテム'!$A$3:$A$114,0), MATCH(D122,'アイテム'!$C$2:$AQ$2,0))</f>
        <v>19</v>
      </c>
      <c r="E130" s="322"/>
      <c r="F130" s="322"/>
      <c r="G130" s="114"/>
      <c r="H130" s="228"/>
      <c r="I130" s="228"/>
      <c r="J130" s="228"/>
      <c r="K130" s="118"/>
      <c r="L130" s="118"/>
      <c r="M130" s="118"/>
      <c r="N130" s="102"/>
      <c r="O130" s="102"/>
      <c r="P130" s="102"/>
      <c r="Q130" s="102"/>
      <c r="R130" s="118"/>
      <c r="S130" s="118"/>
      <c r="T130" s="118"/>
      <c r="U130" s="118"/>
      <c r="V130" s="118"/>
    </row>
    <row r="131" outlineLevel="1">
      <c r="A131" s="146"/>
      <c r="B131" s="327" t="s">
        <v>219</v>
      </c>
      <c r="C131" s="328" t="str">
        <f t="array" ref="C131">INDEX('アイテム'!$O$3:$P$114, MATCH($A$1,'アイテム'!$A$3:$A$114,0), MATCH(C122,'アイテム'!$C$2:$AQ$2,0))</f>
        <v>5</v>
      </c>
      <c r="D131" s="328">
        <f t="array" ref="D131">INDEX('アイテム'!$O$3:$P$114, MATCH($A$1,'アイテム'!$A$3:$A$114,0), MATCH(D122,'アイテム'!$C$2:$AQ$2,0))</f>
        <v>29</v>
      </c>
      <c r="E131" s="322"/>
      <c r="F131" s="322"/>
      <c r="G131" s="114"/>
      <c r="H131" s="228"/>
      <c r="I131" s="228"/>
      <c r="J131" s="228"/>
      <c r="K131" s="118"/>
      <c r="L131" s="118"/>
      <c r="M131" s="118"/>
      <c r="N131" s="102"/>
      <c r="O131" s="102"/>
      <c r="P131" s="102"/>
      <c r="Q131" s="102"/>
      <c r="R131" s="118"/>
      <c r="S131" s="118"/>
      <c r="T131" s="118"/>
      <c r="U131" s="118"/>
      <c r="V131" s="118"/>
    </row>
    <row r="132" outlineLevel="1">
      <c r="A132" s="156"/>
      <c r="B132" s="327" t="s">
        <v>263</v>
      </c>
      <c r="C132" s="328" t="str">
        <f t="array" ref="C132">INDEX('アイテム'!$Q$3:$R$114, MATCH($A$1,'アイテム'!$A$3:$A$114,0), MATCH(C122,'アイテム'!$C$2:$AQ$2,0))</f>
        <v>6</v>
      </c>
      <c r="D132" s="328">
        <f t="array" ref="D132">INDEX('アイテム'!$Q$3:$R$114, MATCH($A$1,'アイテム'!$A$3:$A$114,0), MATCH(D122,'アイテム'!$C$2:$AQ$2,0))</f>
        <v>23</v>
      </c>
      <c r="E132" s="322"/>
      <c r="F132" s="322"/>
      <c r="G132" s="114"/>
      <c r="H132" s="228"/>
      <c r="I132" s="228"/>
      <c r="J132" s="228"/>
      <c r="K132" s="118"/>
      <c r="L132" s="118"/>
      <c r="M132" s="118"/>
      <c r="N132" s="102"/>
      <c r="O132" s="102"/>
      <c r="P132" s="102"/>
      <c r="Q132" s="102"/>
      <c r="R132" s="118"/>
      <c r="S132" s="118"/>
      <c r="T132" s="118"/>
      <c r="U132" s="118"/>
      <c r="V132" s="118"/>
    </row>
    <row r="133" outlineLevel="1">
      <c r="A133" s="326" t="s">
        <v>264</v>
      </c>
      <c r="B133" s="327" t="s">
        <v>226</v>
      </c>
      <c r="C133" s="328" t="str">
        <f t="array" ref="C133">INDEX('アイテム'!$S$3:$T$114, MATCH($A$1,'アイテム'!$A$3:$A$114,0), MATCH(C122,'アイテム'!$C$2:$AQ$2,0))</f>
        <v>8</v>
      </c>
      <c r="D133" s="328">
        <f t="array" ref="D133">INDEX('アイテム'!$S$3:$T$114, MATCH($A$1,'アイテム'!$A$3:$A$114,0), MATCH(D122,'アイテム'!$C$2:$AQ$2,0))</f>
        <v>24</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229</v>
      </c>
      <c r="C134" s="328" t="str">
        <f t="array" ref="C134">INDEX('アイテム'!$U$3:$V$114, MATCH($A$1,'アイテム'!$A$3:$A$114,0), MATCH(C122,'アイテム'!$C$2:$AQ$2,0))</f>
        <v>11</v>
      </c>
      <c r="D134" s="328">
        <f t="array" ref="D134">INDEX('アイテム'!$U$3:$V$114, MATCH($A$1,'アイテム'!$A$3:$A$114,0), MATCH(D122,'アイテム'!$C$2:$AQ$2,0))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233</v>
      </c>
      <c r="C135" s="328" t="str">
        <f t="array" ref="C135">INDEX('アイテム'!$W$3:$X$114, MATCH($A$1,'アイテム'!$A$3:$A$114,0), MATCH(C122,'アイテム'!$C$2:$AQ$2,0))</f>
        <v>12</v>
      </c>
      <c r="D135" s="328">
        <f t="array" ref="D135">INDEX('アイテム'!$W$3:$X$114, MATCH($A$1,'アイテム'!$A$3:$A$114,0), MATCH(D122,'アイテム'!$C$2:$AQ$2,0))</f>
        <v>23</v>
      </c>
      <c r="E135" s="322"/>
      <c r="F135" s="322"/>
      <c r="G135" s="114"/>
      <c r="H135" s="228"/>
      <c r="I135" s="228"/>
      <c r="J135" s="228"/>
      <c r="K135" s="118"/>
      <c r="L135" s="118"/>
      <c r="M135" s="118"/>
      <c r="N135" s="102"/>
      <c r="O135" s="102"/>
      <c r="P135" s="102"/>
      <c r="Q135" s="102"/>
      <c r="R135" s="118"/>
      <c r="S135" s="118"/>
      <c r="T135" s="118"/>
      <c r="U135" s="118"/>
      <c r="V135" s="118"/>
    </row>
    <row r="136" outlineLevel="1">
      <c r="A136" s="156"/>
      <c r="B136" s="327" t="s">
        <v>234</v>
      </c>
      <c r="C136" s="328" t="str">
        <f t="array" ref="C136">INDEX('アイテム'!$Y$3:$Z$114, MATCH($A$1,'アイテム'!$A$3:$A$114,0), MATCH(C122,'アイテム'!$C$2:$AQ$2,0))</f>
        <v>7</v>
      </c>
      <c r="D136" s="328">
        <f t="array" ref="D136">INDEX('アイテム'!$Y$3:$Z$114, MATCH($A$1,'アイテム'!$A$3:$A$114,0), MATCH(D122,'アイテム'!$C$2:$AQ$2,0))</f>
        <v>19</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265</v>
      </c>
      <c r="B137" s="327" t="s">
        <v>226</v>
      </c>
      <c r="C137" s="328">
        <f t="array" ref="C137">INDEX('アイテム'!$AC$3:$AD$114, MATCH($A$1,'アイテム'!$A$3:$A$114,0), MATCH(C122,'アイテム'!$C$2:$AQ$2,0))</f>
        <v>14</v>
      </c>
      <c r="D137" s="328" t="str">
        <f t="array" ref="D137">INDEX('アイテム'!$AC$3:$AD$114, MATCH($A$1,'アイテム'!$A$3:$A$114,0), MATCH(D122,'アイテム'!$C$2:$AQ$2,0))</f>
        <v>30</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229</v>
      </c>
      <c r="C138" s="328">
        <f t="array" ref="C138">INDEX('アイテム'!$AE$3:$AF$114, MATCH($A$1,'アイテム'!$A$3:$A$114,0), MATCH(C122,'アイテム'!$C$2:$AQ$2,0))</f>
        <v>15</v>
      </c>
      <c r="D138" s="328" t="str">
        <f t="array" ref="D138">INDEX('アイテム'!$AE$3:$AF$114, MATCH($A$1,'アイテム'!$A$3:$A$114,0), MATCH(D122,'アイテム'!$C$2:$AQ$2,0))</f>
        <v>30</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233</v>
      </c>
      <c r="C139" s="328">
        <f t="array" ref="C139">INDEX('アイテム'!$AG$3:$AH$114, MATCH($A$1,'アイテム'!$A$3:$A$114,0), MATCH(C122,'アイテム'!$C$2:$AQ$2,0))</f>
        <v>11</v>
      </c>
      <c r="D139" s="328" t="str">
        <f t="array" ref="D139">INDEX('アイテム'!$AG$3:$AH$114, MATCH($A$1,'アイテム'!$A$3:$A$114,0), MATCH(D122,'アイテム'!$C$2:$AQ$2,0))</f>
        <v>22</v>
      </c>
      <c r="E139" s="322"/>
      <c r="F139" s="322"/>
      <c r="G139" s="114"/>
      <c r="H139" s="228"/>
      <c r="I139" s="228"/>
      <c r="J139" s="228"/>
      <c r="K139" s="118"/>
      <c r="L139" s="118"/>
      <c r="M139" s="118"/>
      <c r="N139" s="102"/>
      <c r="O139" s="102"/>
      <c r="P139" s="102"/>
      <c r="Q139" s="102"/>
      <c r="R139" s="118"/>
      <c r="S139" s="118"/>
      <c r="T139" s="118"/>
      <c r="U139" s="118"/>
      <c r="V139" s="118"/>
    </row>
    <row r="140" outlineLevel="1">
      <c r="A140" s="156"/>
      <c r="B140" s="327" t="s">
        <v>234</v>
      </c>
      <c r="C140" s="328">
        <f t="array" ref="C140">INDEX('アイテム'!$AI$3:$AJ$114, MATCH($A$1,'アイテム'!$A$3:$A$114,0), MATCH(C122,'アイテム'!$C$2:$AQ$2,0))</f>
        <v>9</v>
      </c>
      <c r="D140" s="328" t="str">
        <f t="array" ref="D140">INDEX('アイテム'!$AI$3:$AJ$114, MATCH($A$1,'アイテム'!$A$3:$A$114,0), MATCH(D122,'アイテム'!$C$2:$AQ$2,0))</f>
        <v>22</v>
      </c>
      <c r="E140" s="322"/>
      <c r="F140" s="322"/>
      <c r="G140" s="114"/>
      <c r="H140" s="228"/>
      <c r="I140" s="228"/>
      <c r="J140" s="228"/>
      <c r="K140" s="118"/>
      <c r="L140" s="118"/>
      <c r="M140" s="118"/>
      <c r="N140" s="102"/>
      <c r="O140" s="102"/>
      <c r="P140" s="102"/>
      <c r="Q140" s="102"/>
      <c r="R140" s="118"/>
      <c r="S140" s="118"/>
      <c r="T140" s="118"/>
      <c r="U140" s="118"/>
      <c r="V140" s="118"/>
    </row>
  </sheetData>
  <mergeCells count="126">
    <mergeCell ref="U55:U57"/>
    <mergeCell ref="U61:U63"/>
    <mergeCell ref="V61:V63"/>
    <mergeCell ref="R40:V40"/>
    <mergeCell ref="R41:V42"/>
    <mergeCell ref="R43:V45"/>
    <mergeCell ref="R46:V47"/>
    <mergeCell ref="R48:V48"/>
    <mergeCell ref="R49:V51"/>
    <mergeCell ref="V55:V57"/>
    <mergeCell ref="J49:J51"/>
    <mergeCell ref="H54:J54"/>
    <mergeCell ref="H55:J57"/>
    <mergeCell ref="H58:J58"/>
    <mergeCell ref="H59:J59"/>
    <mergeCell ref="H60:J60"/>
    <mergeCell ref="H61:J63"/>
    <mergeCell ref="H64:J64"/>
    <mergeCell ref="H65:J65"/>
    <mergeCell ref="G73:J73"/>
    <mergeCell ref="G74:J75"/>
    <mergeCell ref="G76:J77"/>
    <mergeCell ref="G78:J79"/>
    <mergeCell ref="G80:J81"/>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30"/>
    <mergeCell ref="U29:U30"/>
    <mergeCell ref="H31:J31"/>
    <mergeCell ref="H32:J32"/>
    <mergeCell ref="H33:J33"/>
    <mergeCell ref="H34:J34"/>
    <mergeCell ref="H35:J35"/>
    <mergeCell ref="H36:J37"/>
    <mergeCell ref="U36:U37"/>
    <mergeCell ref="I41:I42"/>
    <mergeCell ref="J41:J42"/>
    <mergeCell ref="A43:A45"/>
    <mergeCell ref="D43:D45"/>
    <mergeCell ref="I43:I45"/>
    <mergeCell ref="J43:J45"/>
    <mergeCell ref="I46:I47"/>
    <mergeCell ref="J46:J47"/>
    <mergeCell ref="I49:I51"/>
    <mergeCell ref="K108:K111"/>
    <mergeCell ref="K112:L112"/>
    <mergeCell ref="K115:L115"/>
    <mergeCell ref="K92:L92"/>
    <mergeCell ref="K93:K94"/>
    <mergeCell ref="K95:L95"/>
    <mergeCell ref="K96:K101"/>
    <mergeCell ref="A98:A100"/>
    <mergeCell ref="K102:K105"/>
    <mergeCell ref="K106:L106"/>
    <mergeCell ref="C118:C119"/>
    <mergeCell ref="D118:D119"/>
    <mergeCell ref="A101:A106"/>
    <mergeCell ref="C105:C106"/>
    <mergeCell ref="D105:D106"/>
    <mergeCell ref="A107:A112"/>
    <mergeCell ref="C111:C112"/>
    <mergeCell ref="D111:D112"/>
    <mergeCell ref="A113:A119"/>
    <mergeCell ref="D36:D37"/>
    <mergeCell ref="D41:D42"/>
    <mergeCell ref="A24:B25"/>
    <mergeCell ref="A26:A28"/>
    <mergeCell ref="A29:A30"/>
    <mergeCell ref="D29:D30"/>
    <mergeCell ref="A36:A37"/>
    <mergeCell ref="A39:B40"/>
    <mergeCell ref="A41:A42"/>
    <mergeCell ref="A46:A47"/>
    <mergeCell ref="D46:D47"/>
    <mergeCell ref="A49:A51"/>
    <mergeCell ref="D49:D51"/>
    <mergeCell ref="A53:B53"/>
    <mergeCell ref="A54:B54"/>
    <mergeCell ref="D55:D57"/>
    <mergeCell ref="A55:A57"/>
    <mergeCell ref="A58:B58"/>
    <mergeCell ref="A60:B60"/>
    <mergeCell ref="A61:A63"/>
    <mergeCell ref="D61:D63"/>
    <mergeCell ref="A64:B64"/>
    <mergeCell ref="A67:B68"/>
    <mergeCell ref="A70:A72"/>
    <mergeCell ref="A73:B73"/>
    <mergeCell ref="A74:A75"/>
    <mergeCell ref="D74:D75"/>
    <mergeCell ref="A76:A77"/>
    <mergeCell ref="D76:D77"/>
    <mergeCell ref="D78:D79"/>
    <mergeCell ref="D80:D81"/>
    <mergeCell ref="A78:A79"/>
    <mergeCell ref="A80:A81"/>
    <mergeCell ref="A83:B84"/>
    <mergeCell ref="A85:A87"/>
    <mergeCell ref="A88:A89"/>
    <mergeCell ref="A91:B92"/>
    <mergeCell ref="A93:A97"/>
    <mergeCell ref="A121:B121"/>
    <mergeCell ref="A122:B122"/>
    <mergeCell ref="A123:A124"/>
    <mergeCell ref="A126:B126"/>
    <mergeCell ref="A127:A132"/>
    <mergeCell ref="A133:A136"/>
    <mergeCell ref="A137:A140"/>
  </mergeCells>
  <conditionalFormatting sqref="K1:K15 K17:K64 G65 K66:K116 L73:L88 M73:O73 C74 E74:F74 M75:O79 P75:Q77 C76 C78 E78:F78 P79:Q79 C80 E80:F80 M81:Q88 R84:R88">
    <cfRule type="containsText" dxfId="0" priority="1" operator="containsText" text="361">
      <formula>NOT(ISERROR(SEARCH(("361"),(K1))))</formula>
    </cfRule>
  </conditionalFormatting>
  <conditionalFormatting sqref="K1:K15 K17:K64 G65 K66:K116 L73:L88 M73:O73 C74 E74:F74 M75:O79 P75:Q77 C76 C78 E78:F78 P79:Q79 C80 E80:F80 M81:Q88 R84:R88">
    <cfRule type="containsText" dxfId="1" priority="2" operator="containsText" text="363">
      <formula>NOT(ISERROR(SEARCH(("363"),(K1))))</formula>
    </cfRule>
  </conditionalFormatting>
  <conditionalFormatting sqref="K1:K15 K17:K64 G65 K66:K116 L73:L88 M73:O73 C74 E74:F74 M75:O79 P75:Q77 C76 C78 E78:F78 P79:Q79 C80 E80:F80 M81:Q88 R84:R88">
    <cfRule type="containsText" dxfId="1" priority="3" operator="containsText" text="365">
      <formula>NOT(ISERROR(SEARCH(("365"),(K1))))</formula>
    </cfRule>
  </conditionalFormatting>
  <conditionalFormatting sqref="K1:K15 K17:K64 G65 K66:K116 L73:L88 M73:O73 C74 E74:F74 M75:O79 P75:Q77 C76 C78 E78:F78 P79:Q79 C80 E80:F80 M81:Q88 R84:R88">
    <cfRule type="containsText" dxfId="1" priority="4" operator="containsText" text="366">
      <formula>NOT(ISERROR(SEARCH(("366"),(K1))))</formula>
    </cfRule>
  </conditionalFormatting>
  <conditionalFormatting sqref="K1:K15 K17:K64 G65 K66:K116 L73:L88 M73:O73 C74 E74:F74 M75:O79 P75:Q77 C76 C78 E78:F78 P79:Q79 C80 E80:F80 M81:Q88 R84:R88">
    <cfRule type="containsText" dxfId="1" priority="5" operator="containsText" text="367">
      <formula>NOT(ISERROR(SEARCH(("367"),(K1))))</formula>
    </cfRule>
  </conditionalFormatting>
  <conditionalFormatting sqref="O74:P81 Q74:Q88 K80:N80">
    <cfRule type="cellIs" dxfId="2" priority="6" operator="equal">
      <formula>"敵のみ"</formula>
    </cfRule>
  </conditionalFormatting>
  <conditionalFormatting sqref="C74:C81 L74:N77 O74:O81 P74:Q74 K76 P76:Q77 L79:N79 P79:Q79 L81:N81 P81:Q81 L83:Q83 L85:R85 L87:P87 Q87:Q88 R87">
    <cfRule type="cellIs" dxfId="3" priority="7" operator="equal">
      <formula>"-"</formula>
    </cfRule>
  </conditionalFormatting>
  <conditionalFormatting sqref="O1:O64 G65 O66:O140 P73:P88 C74 E74:F74 K74:N81 Q74:Q84 C76 C78 E78:F78 C80 E80:F80 R84">
    <cfRule type="cellIs" dxfId="4" priority="8" operator="greaterThan">
      <formula>0</formula>
    </cfRule>
  </conditionalFormatting>
  <conditionalFormatting sqref="P1:Q64 P66:Q140 O74:O81 K80:N80 R84:R88">
    <cfRule type="cellIs" dxfId="5" priority="9" operator="lessThan">
      <formula>1</formula>
    </cfRule>
  </conditionalFormatting>
  <conditionalFormatting sqref="P1:Q64 P66:Q140 O74:O81 K80:N80 R84:R88">
    <cfRule type="cellIs" dxfId="4" priority="10" operator="greaterThan">
      <formula>1</formula>
    </cfRule>
  </conditionalFormatting>
  <conditionalFormatting sqref="N25:N64 N66:N81 O73:O88">
    <cfRule type="cellIs" dxfId="6" priority="11" operator="greaterThan">
      <formula>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7D1E"/>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1" width="8.0"/>
    <col customWidth="1" min="22" max="22" width="7.0"/>
  </cols>
  <sheetData>
    <row r="1">
      <c r="A1" s="330">
        <v>2.0</v>
      </c>
      <c r="B1" s="331"/>
      <c r="C1" s="332" t="str">
        <f>IMAGE(VLOOKUP($A$1,Fighters!A2:AI114,12,FALSE),1)</f>
        <v>#REF!</v>
      </c>
      <c r="D1" s="333"/>
      <c r="E1" s="333"/>
      <c r="F1" s="333"/>
      <c r="G1" s="334"/>
      <c r="H1" s="335"/>
      <c r="I1" s="333"/>
      <c r="J1" s="334"/>
      <c r="K1" s="336"/>
      <c r="L1" s="333"/>
      <c r="M1" s="334"/>
      <c r="N1" s="337"/>
      <c r="O1" s="337"/>
      <c r="P1" s="337"/>
      <c r="Q1" s="337"/>
      <c r="R1" s="338"/>
      <c r="S1" s="338"/>
      <c r="T1" s="338"/>
      <c r="U1" s="338"/>
      <c r="V1" s="338"/>
    </row>
    <row r="2">
      <c r="A2" s="339" t="str">
        <f>VLOOKUP($A$1,Fighters!$A$2:$AI$81,6,FALSE)</f>
        <v>#007d1e</v>
      </c>
      <c r="B2" s="331"/>
      <c r="C2" s="340"/>
      <c r="G2" s="341"/>
      <c r="H2" s="342"/>
      <c r="I2" s="343"/>
      <c r="J2" s="344"/>
      <c r="K2" s="342"/>
      <c r="L2" s="343"/>
      <c r="M2" s="344"/>
      <c r="N2" s="337"/>
      <c r="O2" s="337"/>
      <c r="P2" s="337"/>
      <c r="Q2" s="337"/>
      <c r="R2" s="338"/>
      <c r="S2" s="338"/>
      <c r="T2" s="338"/>
      <c r="U2" s="338"/>
      <c r="V2" s="338"/>
    </row>
    <row r="3">
      <c r="A3" s="339" t="str">
        <f>VLOOKUP($A$1,Fighters!$A$2:$AI$81,14,FALSE)</f>
        <v>2. ドンキーコング</v>
      </c>
      <c r="B3" s="331"/>
      <c r="C3" s="340"/>
      <c r="G3" s="341"/>
      <c r="H3" s="345"/>
      <c r="I3" s="345"/>
      <c r="J3" s="345"/>
      <c r="K3" s="346"/>
      <c r="L3" s="346"/>
      <c r="M3" s="346"/>
      <c r="N3" s="337"/>
      <c r="O3" s="337"/>
      <c r="P3" s="337"/>
      <c r="Q3" s="337"/>
      <c r="R3" s="347"/>
      <c r="S3" s="338"/>
      <c r="T3" s="338"/>
      <c r="U3" s="338"/>
      <c r="V3" s="338"/>
    </row>
    <row r="4">
      <c r="A4" s="339" t="str">
        <f>VLOOKUP($A$1,Fighters!$A$2:$AI$81,13,FALSE)</f>
        <v>1</v>
      </c>
      <c r="B4" s="331"/>
      <c r="C4" s="340"/>
      <c r="G4" s="341"/>
      <c r="H4" s="348"/>
      <c r="I4" s="348"/>
      <c r="J4" s="345"/>
      <c r="K4" s="346"/>
      <c r="L4" s="346"/>
      <c r="M4" s="346"/>
      <c r="N4" s="337"/>
      <c r="O4" s="337"/>
      <c r="P4" s="337"/>
      <c r="Q4" s="337"/>
      <c r="R4" s="347"/>
      <c r="S4" s="338"/>
      <c r="T4" s="338"/>
      <c r="U4" s="338"/>
      <c r="V4" s="338"/>
    </row>
    <row r="5" ht="16.5" customHeight="1">
      <c r="A5" s="330"/>
      <c r="B5" s="331"/>
      <c r="C5" s="340"/>
      <c r="G5" s="341"/>
      <c r="H5" s="349"/>
      <c r="I5" s="349"/>
      <c r="J5" s="350"/>
      <c r="K5" s="351"/>
      <c r="L5" s="352"/>
      <c r="M5" s="352"/>
      <c r="N5" s="337"/>
      <c r="O5" s="337"/>
      <c r="P5" s="337"/>
      <c r="Q5" s="337"/>
      <c r="R5" s="347"/>
      <c r="S5" s="338"/>
      <c r="T5" s="338"/>
      <c r="U5" s="338"/>
      <c r="V5" s="338"/>
    </row>
    <row r="6">
      <c r="A6" s="331"/>
      <c r="B6" s="331"/>
      <c r="C6" s="340"/>
      <c r="G6" s="341"/>
      <c r="H6" s="348"/>
      <c r="I6" s="353" t="s">
        <v>39</v>
      </c>
      <c r="J6" s="351"/>
      <c r="K6" s="354"/>
      <c r="L6" s="352"/>
      <c r="M6" s="352"/>
      <c r="N6" s="337"/>
      <c r="O6" s="337"/>
      <c r="P6" s="337"/>
      <c r="Q6" s="337"/>
      <c r="R6" s="347"/>
      <c r="S6" s="338"/>
      <c r="T6" s="338"/>
      <c r="U6" s="338"/>
      <c r="V6" s="338"/>
    </row>
    <row r="7">
      <c r="A7" s="331"/>
      <c r="B7" s="331"/>
      <c r="C7" s="340"/>
      <c r="G7" s="341"/>
      <c r="H7" s="349"/>
      <c r="I7" s="349"/>
      <c r="J7" s="351"/>
      <c r="K7" s="354"/>
      <c r="L7" s="352"/>
      <c r="M7" s="352"/>
      <c r="N7" s="337"/>
      <c r="O7" s="337"/>
      <c r="P7" s="337"/>
      <c r="Q7" s="337"/>
      <c r="R7" s="347"/>
      <c r="S7" s="338"/>
      <c r="T7" s="338"/>
      <c r="U7" s="338"/>
      <c r="V7" s="338"/>
    </row>
    <row r="8">
      <c r="A8" s="331"/>
      <c r="B8" s="331"/>
      <c r="C8" s="340"/>
      <c r="G8" s="341"/>
      <c r="H8" s="355">
        <v>44543.22636552084</v>
      </c>
      <c r="I8" s="333"/>
      <c r="J8" s="334"/>
      <c r="K8" s="351"/>
      <c r="L8" s="352"/>
      <c r="M8" s="352"/>
      <c r="N8" s="337"/>
      <c r="O8" s="337"/>
      <c r="P8" s="337"/>
      <c r="Q8" s="337"/>
      <c r="R8" s="347"/>
      <c r="S8" s="338"/>
      <c r="T8" s="338"/>
      <c r="U8" s="338"/>
      <c r="V8" s="338"/>
    </row>
    <row r="9">
      <c r="A9" s="331"/>
      <c r="B9" s="331"/>
      <c r="C9" s="340"/>
      <c r="G9" s="341"/>
      <c r="H9" s="342"/>
      <c r="I9" s="343"/>
      <c r="J9" s="344"/>
      <c r="K9" s="338"/>
      <c r="L9" s="337"/>
      <c r="M9" s="337"/>
      <c r="N9" s="337"/>
      <c r="O9" s="337"/>
      <c r="P9" s="337"/>
      <c r="Q9" s="337"/>
      <c r="R9" s="347"/>
      <c r="S9" s="338"/>
      <c r="T9" s="338"/>
      <c r="U9" s="338"/>
      <c r="V9" s="338"/>
    </row>
    <row r="10">
      <c r="A10" s="356"/>
      <c r="B10" s="331"/>
      <c r="C10" s="340"/>
      <c r="G10" s="341"/>
      <c r="H10" s="357"/>
      <c r="I10" s="357"/>
      <c r="J10" s="338"/>
      <c r="K10" s="338"/>
      <c r="L10" s="337"/>
      <c r="M10" s="337"/>
      <c r="N10" s="337"/>
      <c r="O10" s="337"/>
      <c r="P10" s="337"/>
      <c r="Q10" s="337"/>
      <c r="R10" s="347"/>
      <c r="S10" s="338"/>
      <c r="T10" s="338"/>
      <c r="U10" s="338"/>
      <c r="V10" s="338"/>
    </row>
    <row r="11">
      <c r="A11" s="358"/>
      <c r="B11" s="331"/>
      <c r="C11" s="340"/>
      <c r="G11" s="341"/>
      <c r="H11" s="349"/>
      <c r="I11" s="349"/>
      <c r="J11" s="338"/>
      <c r="K11" s="338"/>
      <c r="L11" s="337"/>
      <c r="M11" s="337"/>
      <c r="N11" s="337"/>
      <c r="O11" s="337"/>
      <c r="P11" s="337"/>
      <c r="Q11" s="337"/>
      <c r="R11" s="347"/>
      <c r="S11" s="338"/>
      <c r="T11" s="338"/>
      <c r="U11" s="338"/>
      <c r="V11" s="338"/>
    </row>
    <row r="12">
      <c r="A12" s="349"/>
      <c r="B12" s="331"/>
      <c r="C12" s="342"/>
      <c r="D12" s="343"/>
      <c r="E12" s="343"/>
      <c r="F12" s="343"/>
      <c r="G12" s="344"/>
      <c r="H12" s="359"/>
      <c r="I12" s="359"/>
      <c r="J12" s="331"/>
      <c r="K12" s="331"/>
      <c r="L12" s="337"/>
      <c r="M12" s="337"/>
      <c r="N12" s="337"/>
      <c r="O12" s="337"/>
      <c r="P12" s="337"/>
      <c r="Q12" s="337"/>
      <c r="R12" s="347"/>
      <c r="S12" s="338"/>
      <c r="T12" s="338"/>
      <c r="U12" s="338"/>
      <c r="V12" s="338"/>
    </row>
    <row r="13">
      <c r="A13" s="88"/>
      <c r="B13" s="89"/>
      <c r="C13" s="89"/>
      <c r="D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127 [3rd]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2.09 [18th]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1.365 [10th]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53F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0.11737 [73rd]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34 [29th]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1.873 [29th]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27F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0.123 [16th]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17.3 [22nd]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1.208 [13th]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35.5 [27th]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1.63 [39th]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2.608 [40th]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0.085 [57th]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244" t="s">
        <v>267</v>
      </c>
      <c r="D26" s="239" t="s">
        <v>268</v>
      </c>
      <c r="E26" s="239" t="s">
        <v>73</v>
      </c>
      <c r="F26" s="138">
        <v>4.8</v>
      </c>
      <c r="G26" s="139" t="s">
        <v>75</v>
      </c>
      <c r="H26" s="362" t="s">
        <v>269</v>
      </c>
      <c r="I26" s="110"/>
      <c r="J26" s="109"/>
      <c r="K26" s="138"/>
      <c r="L26" s="282"/>
      <c r="M26" s="363"/>
      <c r="N26" s="363"/>
      <c r="O26" s="145"/>
      <c r="P26" s="145"/>
      <c r="Q26" s="145"/>
      <c r="R26" s="100"/>
      <c r="S26" s="100"/>
      <c r="T26" s="100"/>
      <c r="U26" s="145" t="s">
        <v>62</v>
      </c>
      <c r="V26" s="100"/>
    </row>
    <row r="27" outlineLevel="1">
      <c r="A27" s="156"/>
      <c r="B27" s="147" t="s">
        <v>63</v>
      </c>
      <c r="C27" s="364" t="s">
        <v>270</v>
      </c>
      <c r="D27" s="365" t="s">
        <v>271</v>
      </c>
      <c r="E27" s="239" t="s">
        <v>86</v>
      </c>
      <c r="F27" s="138">
        <v>7.199999999999999</v>
      </c>
      <c r="G27" s="216" t="s">
        <v>102</v>
      </c>
      <c r="H27" s="366"/>
      <c r="I27" s="110"/>
      <c r="J27" s="109"/>
      <c r="K27" s="282"/>
      <c r="L27" s="282"/>
      <c r="M27" s="363"/>
      <c r="N27" s="363"/>
      <c r="O27" s="145"/>
      <c r="P27" s="145"/>
      <c r="Q27" s="145"/>
      <c r="R27" s="100"/>
      <c r="S27" s="100"/>
      <c r="T27" s="100"/>
      <c r="U27" s="145" t="s">
        <v>69</v>
      </c>
      <c r="V27" s="100"/>
    </row>
    <row r="28" outlineLevel="1">
      <c r="A28" s="133" t="s">
        <v>77</v>
      </c>
      <c r="B28" s="160"/>
      <c r="C28" s="244" t="s">
        <v>272</v>
      </c>
      <c r="D28" s="367" t="s">
        <v>218</v>
      </c>
      <c r="E28" s="239" t="s">
        <v>129</v>
      </c>
      <c r="F28" s="138">
        <v>14.399999999999999</v>
      </c>
      <c r="G28" s="216" t="s">
        <v>88</v>
      </c>
      <c r="H28" s="368"/>
      <c r="I28" s="164"/>
      <c r="J28" s="104"/>
      <c r="K28" s="138"/>
      <c r="L28" s="282"/>
      <c r="M28" s="363"/>
      <c r="N28" s="363"/>
      <c r="O28" s="145"/>
      <c r="P28" s="145"/>
      <c r="Q28" s="145"/>
      <c r="R28" s="100"/>
      <c r="S28" s="100"/>
      <c r="T28" s="100"/>
      <c r="U28" s="166" t="s">
        <v>69</v>
      </c>
      <c r="V28" s="100"/>
    </row>
    <row r="29" outlineLevel="1">
      <c r="A29" s="156"/>
      <c r="B29" s="147" t="s">
        <v>84</v>
      </c>
      <c r="C29" s="244" t="s">
        <v>273</v>
      </c>
      <c r="D29" s="156"/>
      <c r="E29" s="239" t="s">
        <v>274</v>
      </c>
      <c r="F29" s="138">
        <v>10.799999999999999</v>
      </c>
      <c r="G29" s="216" t="s">
        <v>275</v>
      </c>
      <c r="H29" s="106"/>
      <c r="I29" s="168"/>
      <c r="J29" s="107"/>
      <c r="K29" s="282"/>
      <c r="L29" s="282"/>
      <c r="M29" s="363"/>
      <c r="N29" s="363"/>
      <c r="O29" s="145"/>
      <c r="P29" s="145"/>
      <c r="Q29" s="145"/>
      <c r="R29" s="100"/>
      <c r="S29" s="100"/>
      <c r="T29" s="100"/>
      <c r="U29" s="156"/>
      <c r="V29" s="100"/>
    </row>
    <row r="30" outlineLevel="1">
      <c r="A30" s="133" t="s">
        <v>89</v>
      </c>
      <c r="B30" s="147" t="s">
        <v>276</v>
      </c>
      <c r="C30" s="369" t="s">
        <v>277</v>
      </c>
      <c r="D30" s="239" t="s">
        <v>193</v>
      </c>
      <c r="E30" s="239" t="s">
        <v>274</v>
      </c>
      <c r="F30" s="138">
        <v>10.799999999999999</v>
      </c>
      <c r="G30" s="216" t="s">
        <v>275</v>
      </c>
      <c r="H30" s="370" t="s">
        <v>278</v>
      </c>
      <c r="I30" s="164"/>
      <c r="J30" s="104"/>
      <c r="K30" s="138"/>
      <c r="L30" s="282"/>
      <c r="M30" s="363"/>
      <c r="N30" s="363"/>
      <c r="O30" s="145"/>
      <c r="P30" s="145"/>
      <c r="Q30" s="145"/>
      <c r="R30" s="100"/>
      <c r="S30" s="100"/>
      <c r="T30" s="100"/>
      <c r="U30" s="166" t="s">
        <v>96</v>
      </c>
      <c r="V30" s="100"/>
    </row>
    <row r="31" outlineLevel="1">
      <c r="A31" s="146"/>
      <c r="B31" s="147" t="s">
        <v>279</v>
      </c>
      <c r="C31" s="146"/>
      <c r="D31" s="239" t="s">
        <v>218</v>
      </c>
      <c r="E31" s="239" t="s">
        <v>80</v>
      </c>
      <c r="F31" s="138">
        <v>9.6</v>
      </c>
      <c r="G31" s="216" t="s">
        <v>123</v>
      </c>
      <c r="H31" s="212"/>
      <c r="J31" s="210"/>
      <c r="K31" s="138"/>
      <c r="L31" s="282"/>
      <c r="M31" s="363"/>
      <c r="N31" s="363"/>
      <c r="O31" s="145"/>
      <c r="P31" s="145"/>
      <c r="Q31" s="145"/>
      <c r="R31" s="100"/>
      <c r="S31" s="100"/>
      <c r="T31" s="100"/>
      <c r="U31" s="146"/>
      <c r="V31" s="100"/>
    </row>
    <row r="32" outlineLevel="1">
      <c r="A32" s="156"/>
      <c r="B32" s="147" t="s">
        <v>280</v>
      </c>
      <c r="C32" s="156"/>
      <c r="D32" s="239" t="s">
        <v>193</v>
      </c>
      <c r="E32" s="239" t="s">
        <v>274</v>
      </c>
      <c r="F32" s="138">
        <v>10.799999999999999</v>
      </c>
      <c r="G32" s="216" t="s">
        <v>275</v>
      </c>
      <c r="H32" s="106"/>
      <c r="I32" s="168"/>
      <c r="J32" s="107"/>
      <c r="K32" s="282"/>
      <c r="L32" s="282"/>
      <c r="M32" s="363"/>
      <c r="N32" s="363"/>
      <c r="O32" s="145"/>
      <c r="P32" s="145"/>
      <c r="Q32" s="145"/>
      <c r="R32" s="100"/>
      <c r="S32" s="100"/>
      <c r="T32" s="100"/>
      <c r="U32" s="156"/>
      <c r="V32" s="100"/>
    </row>
    <row r="33" outlineLevel="1">
      <c r="A33" s="170" t="s">
        <v>97</v>
      </c>
      <c r="B33" s="160"/>
      <c r="C33" s="244" t="s">
        <v>281</v>
      </c>
      <c r="D33" s="239" t="s">
        <v>282</v>
      </c>
      <c r="E33" s="239" t="s">
        <v>283</v>
      </c>
      <c r="F33" s="138" t="s">
        <v>284</v>
      </c>
      <c r="G33" s="216" t="s">
        <v>285</v>
      </c>
      <c r="H33" s="371" t="s">
        <v>286</v>
      </c>
      <c r="I33" s="110"/>
      <c r="J33" s="109"/>
      <c r="K33" s="282"/>
      <c r="L33" s="282"/>
      <c r="M33" s="363"/>
      <c r="N33" s="363"/>
      <c r="O33" s="145"/>
      <c r="P33" s="145"/>
      <c r="Q33" s="145"/>
      <c r="R33" s="100"/>
      <c r="S33" s="100"/>
      <c r="T33" s="100"/>
      <c r="U33" s="145" t="s">
        <v>62</v>
      </c>
      <c r="V33" s="100"/>
    </row>
    <row r="34" outlineLevel="1">
      <c r="A34" s="170" t="s">
        <v>103</v>
      </c>
      <c r="B34" s="160"/>
      <c r="C34" s="244" t="s">
        <v>217</v>
      </c>
      <c r="D34" s="239" t="s">
        <v>268</v>
      </c>
      <c r="E34" s="239" t="s">
        <v>86</v>
      </c>
      <c r="F34" s="138">
        <v>7.2</v>
      </c>
      <c r="G34" s="216" t="s">
        <v>102</v>
      </c>
      <c r="H34" s="371" t="s">
        <v>287</v>
      </c>
      <c r="I34" s="110"/>
      <c r="J34" s="109"/>
      <c r="K34" s="145"/>
      <c r="L34" s="363"/>
      <c r="M34" s="363"/>
      <c r="N34" s="363"/>
      <c r="O34" s="145"/>
      <c r="P34" s="145"/>
      <c r="Q34" s="145"/>
      <c r="R34" s="100"/>
      <c r="S34" s="100"/>
      <c r="T34" s="100"/>
      <c r="U34" s="145" t="s">
        <v>62</v>
      </c>
      <c r="V34" s="100"/>
    </row>
    <row r="35" outlineLevel="1">
      <c r="A35" s="170" t="s">
        <v>109</v>
      </c>
      <c r="B35" s="147"/>
      <c r="C35" s="244" t="s">
        <v>288</v>
      </c>
      <c r="D35" s="239" t="s">
        <v>289</v>
      </c>
      <c r="E35" s="239" t="s">
        <v>290</v>
      </c>
      <c r="F35" s="138" t="s">
        <v>291</v>
      </c>
      <c r="G35" s="216" t="s">
        <v>292</v>
      </c>
      <c r="H35" s="371" t="s">
        <v>293</v>
      </c>
      <c r="I35" s="110"/>
      <c r="J35" s="109"/>
      <c r="K35" s="282"/>
      <c r="L35" s="282"/>
      <c r="M35" s="363"/>
      <c r="N35" s="363"/>
      <c r="O35" s="145"/>
      <c r="P35" s="145"/>
      <c r="Q35" s="145"/>
      <c r="R35" s="100"/>
      <c r="S35" s="100"/>
      <c r="T35" s="100"/>
      <c r="U35" s="145" t="s">
        <v>294</v>
      </c>
      <c r="V35" s="100"/>
    </row>
    <row r="36" outlineLevel="1">
      <c r="A36" s="170" t="s">
        <v>116</v>
      </c>
      <c r="B36" s="160"/>
      <c r="C36" s="244" t="s">
        <v>295</v>
      </c>
      <c r="D36" s="239" t="s">
        <v>185</v>
      </c>
      <c r="E36" s="239" t="s">
        <v>296</v>
      </c>
      <c r="F36" s="138">
        <v>22.8</v>
      </c>
      <c r="G36" s="216" t="s">
        <v>297</v>
      </c>
      <c r="H36" s="371" t="s">
        <v>298</v>
      </c>
      <c r="I36" s="110"/>
      <c r="J36" s="109"/>
      <c r="K36" s="363"/>
      <c r="L36" s="363"/>
      <c r="M36" s="363"/>
      <c r="N36" s="363"/>
      <c r="O36" s="145"/>
      <c r="P36" s="145"/>
      <c r="Q36" s="145"/>
      <c r="R36" s="100"/>
      <c r="S36" s="100"/>
      <c r="T36" s="100"/>
      <c r="U36" s="145" t="s">
        <v>62</v>
      </c>
      <c r="V36" s="100"/>
    </row>
    <row r="37" ht="19.5" customHeight="1" outlineLevel="1">
      <c r="A37" s="133" t="s">
        <v>124</v>
      </c>
      <c r="B37" s="147" t="s">
        <v>152</v>
      </c>
      <c r="C37" s="244" t="s">
        <v>299</v>
      </c>
      <c r="D37" s="367" t="s">
        <v>300</v>
      </c>
      <c r="E37" s="239" t="s">
        <v>301</v>
      </c>
      <c r="F37" s="138" t="s">
        <v>302</v>
      </c>
      <c r="G37" s="216" t="s">
        <v>303</v>
      </c>
      <c r="H37" s="370" t="s">
        <v>304</v>
      </c>
      <c r="I37" s="164"/>
      <c r="J37" s="104"/>
      <c r="K37" s="282"/>
      <c r="L37" s="282"/>
      <c r="M37" s="363"/>
      <c r="N37" s="363"/>
      <c r="O37" s="145"/>
      <c r="P37" s="145"/>
      <c r="Q37" s="145"/>
      <c r="R37" s="100"/>
      <c r="S37" s="100"/>
      <c r="T37" s="100"/>
      <c r="U37" s="166" t="s">
        <v>62</v>
      </c>
      <c r="V37" s="100"/>
    </row>
    <row r="38" ht="19.5" customHeight="1" outlineLevel="1">
      <c r="A38" s="156"/>
      <c r="B38" s="147"/>
      <c r="C38" s="244" t="s">
        <v>305</v>
      </c>
      <c r="D38" s="156"/>
      <c r="E38" s="239" t="s">
        <v>306</v>
      </c>
      <c r="F38" s="138" t="s">
        <v>307</v>
      </c>
      <c r="G38" s="216" t="s">
        <v>308</v>
      </c>
      <c r="H38" s="106"/>
      <c r="I38" s="168"/>
      <c r="J38" s="107"/>
      <c r="K38" s="282"/>
      <c r="L38" s="282"/>
      <c r="M38" s="363"/>
      <c r="N38" s="363"/>
      <c r="O38" s="145"/>
      <c r="P38" s="145"/>
      <c r="Q38" s="145"/>
      <c r="R38" s="100"/>
      <c r="S38" s="100"/>
      <c r="T38" s="100"/>
      <c r="U38" s="156"/>
      <c r="V38" s="100"/>
    </row>
    <row r="39">
      <c r="A39" s="118"/>
      <c r="B39" s="176"/>
      <c r="C39" s="118"/>
      <c r="D39" s="118"/>
      <c r="E39" s="118"/>
      <c r="F39" s="177"/>
      <c r="G39" s="177"/>
      <c r="H39" s="118"/>
      <c r="I39" s="118"/>
      <c r="J39" s="118"/>
      <c r="K39" s="118"/>
      <c r="L39" s="118"/>
      <c r="M39" s="118"/>
      <c r="N39" s="118"/>
      <c r="O39" s="118"/>
      <c r="P39" s="118"/>
      <c r="Q39" s="118"/>
      <c r="R39" s="118"/>
      <c r="S39" s="118"/>
      <c r="T39" s="118"/>
      <c r="U39" s="118"/>
      <c r="V39" s="118"/>
    </row>
    <row r="40">
      <c r="A40" s="178" t="s">
        <v>133</v>
      </c>
      <c r="B40" s="104"/>
      <c r="C40" s="179"/>
      <c r="D40" s="179"/>
      <c r="E40" s="179"/>
      <c r="F40" s="180"/>
      <c r="G40" s="179"/>
      <c r="H40" s="180"/>
      <c r="I40" s="180"/>
      <c r="J40" s="181"/>
      <c r="K40" s="180"/>
      <c r="L40" s="180"/>
      <c r="M40" s="180"/>
      <c r="N40" s="180"/>
      <c r="O40" s="180"/>
      <c r="P40" s="180"/>
      <c r="Q40" s="180"/>
      <c r="R40" s="180"/>
      <c r="S40" s="180"/>
      <c r="T40" s="180"/>
      <c r="U40" s="180"/>
      <c r="V40" s="180"/>
    </row>
    <row r="41" outlineLevel="1">
      <c r="A41" s="106"/>
      <c r="B41" s="107"/>
      <c r="C41" s="182" t="s">
        <v>48</v>
      </c>
      <c r="D41" s="183" t="s">
        <v>49</v>
      </c>
      <c r="E41" s="182" t="s">
        <v>50</v>
      </c>
      <c r="F41" s="184" t="s">
        <v>51</v>
      </c>
      <c r="G41" s="184" t="s">
        <v>134</v>
      </c>
      <c r="H41" s="185" t="s">
        <v>52</v>
      </c>
      <c r="I41" s="184" t="str">
        <f>'テンプレート'!I56</f>
        <v>着地隙</v>
      </c>
      <c r="J41" s="184" t="s">
        <v>136</v>
      </c>
      <c r="K41" s="184" t="str">
        <f>'テンプレート'!K56</f>
        <v>ベクトル</v>
      </c>
      <c r="L41" s="184" t="str">
        <f>'テンプレート'!L56</f>
        <v>KBG (R.E.)</v>
      </c>
      <c r="M41" s="184" t="str">
        <f>'テンプレート'!M56</f>
        <v>BKB (R.A.)</v>
      </c>
      <c r="N41" s="184" t="str">
        <f>'テンプレート'!N56</f>
        <v>FKB (R.F.)</v>
      </c>
      <c r="O41" s="186" t="str">
        <f>'テンプレート'!O56</f>
        <v>盾削り値</v>
      </c>
      <c r="P41" s="184" t="str">
        <f>'テンプレート'!P56</f>
        <v>ﾋｯﾄｽﾄｯﾌﾟ</v>
      </c>
      <c r="Q41" s="186" t="str">
        <f>'テンプレート'!Q56</f>
        <v>ずらし</v>
      </c>
      <c r="R41" s="372" t="str">
        <f>'テンプレート'!R56</f>
        <v>備考</v>
      </c>
      <c r="S41" s="110"/>
      <c r="T41" s="110"/>
      <c r="U41" s="110"/>
      <c r="V41" s="110"/>
    </row>
    <row r="42" outlineLevel="1">
      <c r="A42" s="188" t="s">
        <v>144</v>
      </c>
      <c r="B42" s="373"/>
      <c r="C42" s="239" t="s">
        <v>309</v>
      </c>
      <c r="D42" s="374">
        <v>38.0</v>
      </c>
      <c r="E42" s="375" t="s">
        <v>129</v>
      </c>
      <c r="F42" s="193">
        <v>14.4</v>
      </c>
      <c r="G42" s="193">
        <v>12.239999999999998</v>
      </c>
      <c r="H42" s="138" t="s">
        <v>75</v>
      </c>
      <c r="I42" s="194" t="str">
        <f t="array" ref="I42">INDEX('空中攻撃'!$O$3:$AB$109, MATCH($A$1,'空中攻撃'!$A$3:$A$109,0), MATCH(A42,'空中攻撃'!$O$2:$S$2,0))</f>
        <v>10</v>
      </c>
      <c r="J42" s="195" t="s">
        <v>310</v>
      </c>
      <c r="K42" s="376"/>
      <c r="L42" s="377"/>
      <c r="M42" s="377"/>
      <c r="N42" s="377"/>
      <c r="O42" s="376"/>
      <c r="P42" s="376"/>
      <c r="Q42" s="376"/>
      <c r="R42" s="378"/>
      <c r="S42" s="164"/>
      <c r="T42" s="164"/>
      <c r="U42" s="164"/>
      <c r="V42" s="104"/>
    </row>
    <row r="43" outlineLevel="1">
      <c r="A43" s="156"/>
      <c r="B43" s="373" t="s">
        <v>84</v>
      </c>
      <c r="C43" s="239" t="s">
        <v>311</v>
      </c>
      <c r="D43" s="107"/>
      <c r="E43" s="365" t="s">
        <v>274</v>
      </c>
      <c r="F43" s="138">
        <v>10.8</v>
      </c>
      <c r="G43" s="193">
        <v>9.18</v>
      </c>
      <c r="H43" s="138" t="s">
        <v>147</v>
      </c>
      <c r="I43" s="156"/>
      <c r="J43" s="107"/>
      <c r="K43" s="376"/>
      <c r="L43" s="377"/>
      <c r="M43" s="377"/>
      <c r="N43" s="377"/>
      <c r="O43" s="376"/>
      <c r="P43" s="376"/>
      <c r="Q43" s="376"/>
      <c r="R43" s="106"/>
      <c r="S43" s="168"/>
      <c r="T43" s="168"/>
      <c r="U43" s="168"/>
      <c r="V43" s="107"/>
    </row>
    <row r="44" outlineLevel="1">
      <c r="A44" s="188" t="s">
        <v>151</v>
      </c>
      <c r="B44" s="373"/>
      <c r="C44" s="239" t="s">
        <v>312</v>
      </c>
      <c r="D44" s="374">
        <v>55.0</v>
      </c>
      <c r="E44" s="239" t="s">
        <v>153</v>
      </c>
      <c r="F44" s="138">
        <v>19.2</v>
      </c>
      <c r="G44" s="138">
        <v>16.32</v>
      </c>
      <c r="H44" s="138" t="s">
        <v>102</v>
      </c>
      <c r="I44" s="374" t="str">
        <f t="array" ref="I44">INDEX('空中攻撃'!$O$3:$AB$109, MATCH($A$1,'空中攻撃'!$A$3:$A$109,0), MATCH(A44,'空中攻撃'!$O$2:$S$2,0))</f>
        <v>17</v>
      </c>
      <c r="J44" s="379" t="s">
        <v>313</v>
      </c>
      <c r="K44" s="376"/>
      <c r="L44" s="377"/>
      <c r="M44" s="377"/>
      <c r="N44" s="377"/>
      <c r="O44" s="376"/>
      <c r="P44" s="376"/>
      <c r="Q44" s="376"/>
      <c r="R44" s="378"/>
      <c r="S44" s="164"/>
      <c r="T44" s="164"/>
      <c r="U44" s="164"/>
      <c r="V44" s="104"/>
    </row>
    <row r="45" outlineLevel="1">
      <c r="A45" s="156"/>
      <c r="B45" s="373" t="s">
        <v>84</v>
      </c>
      <c r="C45" s="239" t="s">
        <v>314</v>
      </c>
      <c r="D45" s="107"/>
      <c r="E45" s="239" t="s">
        <v>315</v>
      </c>
      <c r="F45" s="138" t="s">
        <v>316</v>
      </c>
      <c r="G45" s="138" t="s">
        <v>317</v>
      </c>
      <c r="H45" s="138" t="s">
        <v>318</v>
      </c>
      <c r="I45" s="107"/>
      <c r="J45" s="107"/>
      <c r="K45" s="376"/>
      <c r="L45" s="377"/>
      <c r="M45" s="377"/>
      <c r="N45" s="377"/>
      <c r="O45" s="376"/>
      <c r="P45" s="376"/>
      <c r="Q45" s="376"/>
      <c r="R45" s="106"/>
      <c r="S45" s="168"/>
      <c r="T45" s="168"/>
      <c r="U45" s="168"/>
      <c r="V45" s="107"/>
    </row>
    <row r="46" outlineLevel="1">
      <c r="A46" s="188" t="s">
        <v>157</v>
      </c>
      <c r="B46" s="373"/>
      <c r="C46" s="239" t="s">
        <v>319</v>
      </c>
      <c r="D46" s="374">
        <v>31.0</v>
      </c>
      <c r="E46" s="239" t="s">
        <v>228</v>
      </c>
      <c r="F46" s="138">
        <v>15.6</v>
      </c>
      <c r="G46" s="138">
        <v>13.26</v>
      </c>
      <c r="H46" s="138" t="s">
        <v>75</v>
      </c>
      <c r="I46" s="194">
        <f t="array" ref="I46">INDEX('空中攻撃'!$O$3:$AA$109, MATCH($A$1,'空中攻撃'!$A$3:$A$109,0), MATCH(A46,'空中攻撃'!$O$2:$S$2,0))</f>
        <v>11</v>
      </c>
      <c r="J46" s="195" t="s">
        <v>320</v>
      </c>
      <c r="K46" s="376"/>
      <c r="L46" s="377"/>
      <c r="M46" s="377"/>
      <c r="N46" s="377"/>
      <c r="O46" s="376"/>
      <c r="P46" s="376"/>
      <c r="Q46" s="376"/>
      <c r="R46" s="378"/>
      <c r="S46" s="164"/>
      <c r="T46" s="164"/>
      <c r="U46" s="164"/>
      <c r="V46" s="104"/>
    </row>
    <row r="47" outlineLevel="1">
      <c r="A47" s="156"/>
      <c r="B47" s="373" t="s">
        <v>84</v>
      </c>
      <c r="C47" s="239" t="s">
        <v>321</v>
      </c>
      <c r="D47" s="107"/>
      <c r="E47" s="239" t="s">
        <v>80</v>
      </c>
      <c r="F47" s="138">
        <v>9.6</v>
      </c>
      <c r="G47" s="138">
        <v>8.16</v>
      </c>
      <c r="H47" s="138" t="s">
        <v>147</v>
      </c>
      <c r="I47" s="156"/>
      <c r="J47" s="107"/>
      <c r="K47" s="376"/>
      <c r="L47" s="377"/>
      <c r="M47" s="377"/>
      <c r="N47" s="377"/>
      <c r="O47" s="376"/>
      <c r="P47" s="376"/>
      <c r="Q47" s="376"/>
      <c r="R47" s="106"/>
      <c r="S47" s="168"/>
      <c r="T47" s="168"/>
      <c r="U47" s="168"/>
      <c r="V47" s="107"/>
    </row>
    <row r="48" outlineLevel="1">
      <c r="A48" s="213" t="s">
        <v>162</v>
      </c>
      <c r="B48" s="373"/>
      <c r="C48" s="244" t="s">
        <v>322</v>
      </c>
      <c r="D48" s="380" t="s">
        <v>79</v>
      </c>
      <c r="E48" s="239" t="s">
        <v>228</v>
      </c>
      <c r="F48" s="138">
        <v>15.6</v>
      </c>
      <c r="G48" s="138">
        <v>13.26</v>
      </c>
      <c r="H48" s="138" t="s">
        <v>75</v>
      </c>
      <c r="I48" s="215" t="str">
        <f t="array" ref="I48">INDEX('空中攻撃'!$O$3:$AA$109, MATCH($A$1,'空中攻撃'!$A$3:$A$109,0), MATCH(A48,'空中攻撃'!$O$2:$S$2,0))</f>
        <v>15</v>
      </c>
      <c r="J48" s="216" t="s">
        <v>323</v>
      </c>
      <c r="K48" s="377"/>
      <c r="L48" s="377"/>
      <c r="M48" s="377"/>
      <c r="N48" s="377"/>
      <c r="O48" s="376"/>
      <c r="P48" s="376"/>
      <c r="Q48" s="376"/>
      <c r="R48" s="381" t="s">
        <v>324</v>
      </c>
      <c r="S48" s="110"/>
      <c r="T48" s="110"/>
      <c r="U48" s="110"/>
      <c r="V48" s="109"/>
    </row>
    <row r="49" outlineLevel="1">
      <c r="A49" s="213" t="s">
        <v>166</v>
      </c>
      <c r="B49" s="373"/>
      <c r="C49" s="239" t="s">
        <v>325</v>
      </c>
      <c r="D49" s="380">
        <v>54.0</v>
      </c>
      <c r="E49" s="239" t="s">
        <v>326</v>
      </c>
      <c r="F49" s="138" t="s">
        <v>327</v>
      </c>
      <c r="G49" s="138" t="s">
        <v>328</v>
      </c>
      <c r="H49" s="138" t="s">
        <v>329</v>
      </c>
      <c r="I49" s="215">
        <f t="array" ref="I49">INDEX('空中攻撃'!$O$3:$AA$109, MATCH($A$1,'空中攻撃'!$A$3:$A$109,0), MATCH(A49,'空中攻撃'!$O$2:$S$2,0))</f>
        <v>14</v>
      </c>
      <c r="J49" s="216" t="s">
        <v>330</v>
      </c>
      <c r="K49" s="377"/>
      <c r="L49" s="377"/>
      <c r="M49" s="377"/>
      <c r="N49" s="377"/>
      <c r="O49" s="376"/>
      <c r="P49" s="376"/>
      <c r="Q49" s="376"/>
      <c r="R49" s="366"/>
      <c r="S49" s="110"/>
      <c r="T49" s="110"/>
      <c r="U49" s="110"/>
      <c r="V49" s="109"/>
    </row>
    <row r="50">
      <c r="A50" s="223"/>
      <c r="B50" s="224"/>
      <c r="C50" s="225"/>
      <c r="D50" s="225"/>
      <c r="E50" s="226"/>
      <c r="F50" s="226"/>
      <c r="G50" s="226"/>
      <c r="H50" s="227"/>
      <c r="I50" s="227"/>
      <c r="J50" s="228"/>
      <c r="K50" s="228"/>
      <c r="L50" s="228"/>
      <c r="M50" s="228"/>
      <c r="N50" s="228"/>
      <c r="O50" s="228"/>
      <c r="P50" s="228"/>
      <c r="Q50" s="118"/>
      <c r="R50" s="118"/>
      <c r="S50" s="118"/>
      <c r="T50" s="118"/>
      <c r="U50" s="118"/>
      <c r="V50" s="118"/>
    </row>
    <row r="51">
      <c r="A51" s="229" t="s">
        <v>177</v>
      </c>
      <c r="B51" s="109"/>
      <c r="C51" s="225"/>
      <c r="D51" s="225"/>
      <c r="E51" s="226"/>
      <c r="F51" s="226"/>
      <c r="G51" s="226"/>
      <c r="H51" s="227"/>
      <c r="I51" s="227"/>
      <c r="J51" s="228"/>
      <c r="K51" s="228"/>
      <c r="L51" s="228"/>
      <c r="M51" s="228"/>
      <c r="N51" s="228"/>
      <c r="O51" s="228"/>
      <c r="P51" s="228"/>
      <c r="Q51" s="118"/>
      <c r="R51" s="118"/>
      <c r="S51" s="118"/>
      <c r="T51" s="118"/>
      <c r="U51" s="118"/>
      <c r="V51" s="118"/>
    </row>
    <row r="52" outlineLevel="1">
      <c r="A52" s="230" t="s">
        <v>331</v>
      </c>
      <c r="B52" s="109"/>
      <c r="C52" s="231" t="s">
        <v>48</v>
      </c>
      <c r="D52" s="231" t="s">
        <v>49</v>
      </c>
      <c r="E52" s="232" t="s">
        <v>50</v>
      </c>
      <c r="F52" s="233" t="s">
        <v>51</v>
      </c>
      <c r="G52" s="232" t="s">
        <v>52</v>
      </c>
      <c r="H52" s="382" t="s">
        <v>53</v>
      </c>
      <c r="I52" s="110"/>
      <c r="J52" s="109"/>
      <c r="K52" s="235" t="s">
        <v>137</v>
      </c>
      <c r="L52" s="235" t="s">
        <v>138</v>
      </c>
      <c r="M52" s="235" t="s">
        <v>139</v>
      </c>
      <c r="N52" s="235" t="s">
        <v>140</v>
      </c>
      <c r="O52" s="236" t="s">
        <v>141</v>
      </c>
      <c r="P52" s="235" t="s">
        <v>142</v>
      </c>
      <c r="Q52" s="236" t="s">
        <v>143</v>
      </c>
      <c r="R52" s="235" t="s">
        <v>179</v>
      </c>
      <c r="S52" s="236" t="s">
        <v>180</v>
      </c>
      <c r="T52" s="236" t="s">
        <v>181</v>
      </c>
      <c r="U52" s="236" t="s">
        <v>182</v>
      </c>
      <c r="V52" s="236" t="s">
        <v>183</v>
      </c>
    </row>
    <row r="53" ht="34.5" customHeight="1" outlineLevel="1">
      <c r="A53" s="383" t="s">
        <v>332</v>
      </c>
      <c r="B53" s="384" t="s">
        <v>333</v>
      </c>
      <c r="C53" s="137" t="s">
        <v>334</v>
      </c>
      <c r="D53" s="385" t="s">
        <v>335</v>
      </c>
      <c r="E53" s="239" t="s">
        <v>336</v>
      </c>
      <c r="F53" s="138" t="s">
        <v>337</v>
      </c>
      <c r="G53" s="239" t="s">
        <v>338</v>
      </c>
      <c r="H53" s="386" t="s">
        <v>339</v>
      </c>
      <c r="I53" s="164"/>
      <c r="J53" s="104"/>
      <c r="K53" s="282"/>
      <c r="L53" s="282"/>
      <c r="M53" s="363"/>
      <c r="N53" s="363"/>
      <c r="O53" s="138"/>
      <c r="P53" s="138"/>
      <c r="Q53" s="138"/>
      <c r="R53" s="145" t="b">
        <v>1</v>
      </c>
      <c r="S53" s="145" t="b">
        <v>1</v>
      </c>
      <c r="T53" s="145"/>
      <c r="U53" s="166" t="s">
        <v>186</v>
      </c>
      <c r="V53" s="166" t="b">
        <v>1</v>
      </c>
    </row>
    <row r="54" ht="34.5" customHeight="1" outlineLevel="1">
      <c r="A54" s="156"/>
      <c r="B54" s="387" t="s">
        <v>340</v>
      </c>
      <c r="C54" s="167" t="s">
        <v>334</v>
      </c>
      <c r="D54" s="388" t="s">
        <v>111</v>
      </c>
      <c r="E54" s="244" t="s">
        <v>341</v>
      </c>
      <c r="F54" s="246" t="s">
        <v>342</v>
      </c>
      <c r="G54" s="239" t="s">
        <v>343</v>
      </c>
      <c r="H54" s="212"/>
      <c r="J54" s="210"/>
      <c r="K54" s="282"/>
      <c r="L54" s="282"/>
      <c r="M54" s="363"/>
      <c r="N54" s="363"/>
      <c r="O54" s="138"/>
      <c r="P54" s="138"/>
      <c r="Q54" s="138"/>
      <c r="R54" s="145" t="b">
        <v>1</v>
      </c>
      <c r="S54" s="145" t="b">
        <v>1</v>
      </c>
      <c r="T54" s="145"/>
      <c r="U54" s="146"/>
      <c r="V54" s="146"/>
    </row>
    <row r="55" ht="34.5" customHeight="1" outlineLevel="1">
      <c r="A55" s="389" t="s">
        <v>344</v>
      </c>
      <c r="B55" s="384" t="s">
        <v>333</v>
      </c>
      <c r="C55" s="135" t="s">
        <v>334</v>
      </c>
      <c r="D55" s="388" t="s">
        <v>335</v>
      </c>
      <c r="E55" s="244" t="s">
        <v>345</v>
      </c>
      <c r="F55" s="246" t="s">
        <v>346</v>
      </c>
      <c r="G55" s="239" t="s">
        <v>347</v>
      </c>
      <c r="H55" s="212"/>
      <c r="J55" s="210"/>
      <c r="K55" s="282"/>
      <c r="L55" s="282"/>
      <c r="M55" s="363"/>
      <c r="N55" s="363"/>
      <c r="O55" s="138"/>
      <c r="P55" s="138"/>
      <c r="Q55" s="138"/>
      <c r="R55" s="145" t="b">
        <v>1</v>
      </c>
      <c r="S55" s="145" t="b">
        <v>0</v>
      </c>
      <c r="T55" s="145"/>
      <c r="U55" s="146"/>
      <c r="V55" s="146"/>
    </row>
    <row r="56" ht="34.5" customHeight="1" outlineLevel="1">
      <c r="A56" s="156"/>
      <c r="B56" s="390" t="s">
        <v>340</v>
      </c>
      <c r="C56" s="167" t="s">
        <v>334</v>
      </c>
      <c r="D56" s="388" t="s">
        <v>111</v>
      </c>
      <c r="E56" s="244" t="s">
        <v>92</v>
      </c>
      <c r="F56" s="246">
        <v>30.0</v>
      </c>
      <c r="G56" s="239" t="s">
        <v>348</v>
      </c>
      <c r="H56" s="106"/>
      <c r="I56" s="168"/>
      <c r="J56" s="107"/>
      <c r="K56" s="239"/>
      <c r="L56" s="239"/>
      <c r="M56" s="239"/>
      <c r="N56" s="239"/>
      <c r="O56" s="138"/>
      <c r="P56" s="138"/>
      <c r="Q56" s="138"/>
      <c r="R56" s="145" t="b">
        <v>1</v>
      </c>
      <c r="S56" s="145" t="b">
        <v>0</v>
      </c>
      <c r="T56" s="145"/>
      <c r="U56" s="156"/>
      <c r="V56" s="156"/>
    </row>
    <row r="57" outlineLevel="1">
      <c r="A57" s="230" t="s">
        <v>349</v>
      </c>
      <c r="B57" s="109"/>
      <c r="C57" s="231" t="s">
        <v>48</v>
      </c>
      <c r="D57" s="231" t="s">
        <v>49</v>
      </c>
      <c r="E57" s="232" t="s">
        <v>50</v>
      </c>
      <c r="F57" s="233" t="s">
        <v>51</v>
      </c>
      <c r="G57" s="232" t="s">
        <v>52</v>
      </c>
      <c r="H57" s="382" t="s">
        <v>53</v>
      </c>
      <c r="I57" s="110"/>
      <c r="J57" s="109"/>
      <c r="K57" s="235" t="s">
        <v>137</v>
      </c>
      <c r="L57" s="235" t="s">
        <v>138</v>
      </c>
      <c r="M57" s="235" t="s">
        <v>139</v>
      </c>
      <c r="N57" s="235" t="s">
        <v>140</v>
      </c>
      <c r="O57" s="236" t="s">
        <v>141</v>
      </c>
      <c r="P57" s="235" t="s">
        <v>142</v>
      </c>
      <c r="Q57" s="236" t="s">
        <v>143</v>
      </c>
      <c r="R57" s="235" t="s">
        <v>179</v>
      </c>
      <c r="S57" s="236" t="s">
        <v>180</v>
      </c>
      <c r="T57" s="236" t="s">
        <v>181</v>
      </c>
      <c r="U57" s="236" t="s">
        <v>182</v>
      </c>
      <c r="V57" s="236" t="s">
        <v>183</v>
      </c>
    </row>
    <row r="58" ht="33.0" customHeight="1" outlineLevel="1">
      <c r="A58" s="237" t="s">
        <v>184</v>
      </c>
      <c r="B58" s="243" t="s">
        <v>350</v>
      </c>
      <c r="C58" s="391" t="s">
        <v>351</v>
      </c>
      <c r="D58" s="392" t="s">
        <v>335</v>
      </c>
      <c r="E58" s="393" t="s">
        <v>352</v>
      </c>
      <c r="F58" s="394" t="s">
        <v>353</v>
      </c>
      <c r="G58" s="367" t="s">
        <v>354</v>
      </c>
      <c r="H58" s="395" t="s">
        <v>355</v>
      </c>
      <c r="I58" s="164"/>
      <c r="J58" s="104"/>
      <c r="K58" s="282"/>
      <c r="L58" s="282"/>
      <c r="M58" s="363"/>
      <c r="N58" s="363"/>
      <c r="O58" s="138"/>
      <c r="P58" s="138"/>
      <c r="Q58" s="138"/>
      <c r="R58" s="145" t="b">
        <v>1</v>
      </c>
      <c r="S58" s="145" t="b">
        <v>1</v>
      </c>
      <c r="T58" s="145"/>
      <c r="U58" s="166" t="s">
        <v>186</v>
      </c>
      <c r="V58" s="166" t="b">
        <v>1</v>
      </c>
    </row>
    <row r="59" ht="33.0" customHeight="1" outlineLevel="1">
      <c r="A59" s="146"/>
      <c r="B59" s="243" t="s">
        <v>356</v>
      </c>
      <c r="C59" s="156"/>
      <c r="D59" s="107"/>
      <c r="E59" s="107"/>
      <c r="F59" s="156"/>
      <c r="G59" s="156"/>
      <c r="H59" s="106"/>
      <c r="I59" s="168"/>
      <c r="J59" s="107"/>
      <c r="K59" s="282"/>
      <c r="L59" s="282"/>
      <c r="M59" s="363"/>
      <c r="N59" s="363"/>
      <c r="O59" s="138"/>
      <c r="P59" s="138"/>
      <c r="Q59" s="138"/>
      <c r="R59" s="145"/>
      <c r="S59" s="145"/>
      <c r="T59" s="145"/>
      <c r="U59" s="156"/>
      <c r="V59" s="156"/>
    </row>
    <row r="60" outlineLevel="1">
      <c r="A60" s="230" t="s">
        <v>357</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outlineLevel="1">
      <c r="A61" s="396" t="s">
        <v>332</v>
      </c>
      <c r="B61" s="249" t="s">
        <v>125</v>
      </c>
      <c r="C61" s="397" t="s">
        <v>296</v>
      </c>
      <c r="D61" s="367" t="s">
        <v>358</v>
      </c>
      <c r="E61" s="137" t="s">
        <v>150</v>
      </c>
      <c r="F61" s="138">
        <v>6.0</v>
      </c>
      <c r="G61" s="239" t="s">
        <v>102</v>
      </c>
      <c r="H61" s="386" t="s">
        <v>359</v>
      </c>
      <c r="I61" s="164"/>
      <c r="J61" s="104"/>
      <c r="K61" s="138"/>
      <c r="L61" s="138"/>
      <c r="M61" s="145"/>
      <c r="N61" s="145"/>
      <c r="O61" s="138"/>
      <c r="P61" s="138"/>
      <c r="Q61" s="138"/>
      <c r="R61" s="145" t="b">
        <v>1</v>
      </c>
      <c r="S61" s="145" t="b">
        <v>1</v>
      </c>
      <c r="T61" s="145"/>
      <c r="U61" s="166" t="s">
        <v>186</v>
      </c>
      <c r="V61" s="166" t="b">
        <v>1</v>
      </c>
    </row>
    <row r="62" outlineLevel="1">
      <c r="A62" s="146"/>
      <c r="B62" s="255" t="s">
        <v>360</v>
      </c>
      <c r="C62" s="398" t="s">
        <v>361</v>
      </c>
      <c r="D62" s="146"/>
      <c r="E62" s="150" t="s">
        <v>362</v>
      </c>
      <c r="F62" s="138" t="s">
        <v>363</v>
      </c>
      <c r="G62" s="239" t="s">
        <v>364</v>
      </c>
      <c r="H62" s="212"/>
      <c r="J62" s="210"/>
      <c r="K62" s="138"/>
      <c r="L62" s="138"/>
      <c r="M62" s="145"/>
      <c r="N62" s="145"/>
      <c r="O62" s="138"/>
      <c r="P62" s="138"/>
      <c r="Q62" s="138"/>
      <c r="R62" s="145" t="b">
        <v>1</v>
      </c>
      <c r="S62" s="145" t="b">
        <v>1</v>
      </c>
      <c r="T62" s="145"/>
      <c r="U62" s="146"/>
      <c r="V62" s="146"/>
    </row>
    <row r="63" outlineLevel="1">
      <c r="A63" s="156"/>
      <c r="B63" s="255" t="s">
        <v>365</v>
      </c>
      <c r="C63" s="399" t="s">
        <v>335</v>
      </c>
      <c r="D63" s="156"/>
      <c r="E63" s="158" t="s">
        <v>73</v>
      </c>
      <c r="F63" s="138">
        <v>4.8</v>
      </c>
      <c r="G63" s="239" t="s">
        <v>75</v>
      </c>
      <c r="H63" s="106"/>
      <c r="I63" s="168"/>
      <c r="J63" s="107"/>
      <c r="K63" s="138"/>
      <c r="L63" s="138"/>
      <c r="M63" s="145"/>
      <c r="N63" s="145"/>
      <c r="O63" s="138"/>
      <c r="P63" s="138"/>
      <c r="Q63" s="138"/>
      <c r="R63" s="145" t="b">
        <v>1</v>
      </c>
      <c r="S63" s="145" t="b">
        <v>1</v>
      </c>
      <c r="T63" s="145"/>
      <c r="U63" s="146"/>
      <c r="V63" s="146"/>
    </row>
    <row r="64" outlineLevel="1">
      <c r="A64" s="396" t="s">
        <v>344</v>
      </c>
      <c r="B64" s="255" t="s">
        <v>125</v>
      </c>
      <c r="C64" s="399" t="s">
        <v>270</v>
      </c>
      <c r="D64" s="400"/>
      <c r="E64" s="150" t="s">
        <v>150</v>
      </c>
      <c r="F64" s="138">
        <v>6.0</v>
      </c>
      <c r="G64" s="239" t="s">
        <v>102</v>
      </c>
      <c r="H64" s="283" t="s">
        <v>366</v>
      </c>
      <c r="I64" s="164"/>
      <c r="J64" s="104"/>
      <c r="K64" s="138"/>
      <c r="L64" s="138"/>
      <c r="M64" s="145"/>
      <c r="N64" s="145"/>
      <c r="O64" s="138"/>
      <c r="P64" s="138"/>
      <c r="Q64" s="138"/>
      <c r="R64" s="145" t="b">
        <v>1</v>
      </c>
      <c r="S64" s="145" t="b">
        <v>0</v>
      </c>
      <c r="T64" s="145"/>
      <c r="U64" s="146"/>
      <c r="V64" s="146"/>
    </row>
    <row r="65" outlineLevel="1">
      <c r="A65" s="146"/>
      <c r="B65" s="255" t="s">
        <v>367</v>
      </c>
      <c r="C65" s="398" t="s">
        <v>368</v>
      </c>
      <c r="D65" s="146"/>
      <c r="E65" s="150" t="s">
        <v>213</v>
      </c>
      <c r="F65" s="138">
        <v>1.2</v>
      </c>
      <c r="G65" s="239" t="s">
        <v>170</v>
      </c>
      <c r="H65" s="212"/>
      <c r="J65" s="210"/>
      <c r="K65" s="138"/>
      <c r="L65" s="138"/>
      <c r="M65" s="145"/>
      <c r="N65" s="145"/>
      <c r="O65" s="138"/>
      <c r="P65" s="138"/>
      <c r="Q65" s="138"/>
      <c r="R65" s="145" t="b">
        <v>1</v>
      </c>
      <c r="S65" s="145" t="b">
        <v>1</v>
      </c>
      <c r="T65" s="145"/>
      <c r="U65" s="146"/>
      <c r="V65" s="146"/>
    </row>
    <row r="66" outlineLevel="1">
      <c r="A66" s="156"/>
      <c r="B66" s="255" t="s">
        <v>369</v>
      </c>
      <c r="C66" s="398" t="s">
        <v>370</v>
      </c>
      <c r="D66" s="146"/>
      <c r="E66" s="401" t="s">
        <v>176</v>
      </c>
      <c r="F66" s="138">
        <v>2.4</v>
      </c>
      <c r="G66" s="239" t="s">
        <v>60</v>
      </c>
      <c r="H66" s="106"/>
      <c r="I66" s="168"/>
      <c r="J66" s="107"/>
      <c r="K66" s="138"/>
      <c r="L66" s="138"/>
      <c r="M66" s="145"/>
      <c r="N66" s="145"/>
      <c r="O66" s="138"/>
      <c r="P66" s="138"/>
      <c r="Q66" s="138"/>
      <c r="R66" s="145" t="b">
        <v>1</v>
      </c>
      <c r="S66" s="145" t="b">
        <v>0</v>
      </c>
      <c r="T66" s="145"/>
      <c r="U66" s="156"/>
      <c r="V66" s="156"/>
    </row>
    <row r="67" outlineLevel="1">
      <c r="A67" s="230" t="s">
        <v>371</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ht="28.5" customHeight="1" outlineLevel="1">
      <c r="A68" s="396" t="s">
        <v>332</v>
      </c>
      <c r="B68" s="402" t="s">
        <v>372</v>
      </c>
      <c r="C68" s="403" t="s">
        <v>373</v>
      </c>
      <c r="D68" s="404" t="s">
        <v>374</v>
      </c>
      <c r="E68" s="397" t="s">
        <v>119</v>
      </c>
      <c r="F68" s="138">
        <v>16.8</v>
      </c>
      <c r="G68" s="365" t="s">
        <v>123</v>
      </c>
      <c r="H68" s="386" t="s">
        <v>375</v>
      </c>
      <c r="I68" s="164"/>
      <c r="J68" s="104"/>
      <c r="K68" s="138"/>
      <c r="L68" s="138"/>
      <c r="M68" s="145"/>
      <c r="N68" s="145"/>
      <c r="O68" s="138"/>
      <c r="P68" s="138"/>
      <c r="Q68" s="138"/>
      <c r="R68" s="145" t="b">
        <v>0</v>
      </c>
      <c r="S68" s="145" t="b">
        <v>0</v>
      </c>
      <c r="T68" s="145"/>
      <c r="U68" s="166" t="s">
        <v>186</v>
      </c>
      <c r="V68" s="166" t="b">
        <v>1</v>
      </c>
    </row>
    <row r="69" ht="28.5" customHeight="1" outlineLevel="1">
      <c r="A69" s="156"/>
      <c r="B69" s="402" t="s">
        <v>376</v>
      </c>
      <c r="C69" s="403" t="s">
        <v>377</v>
      </c>
      <c r="D69" s="107"/>
      <c r="E69" s="397" t="s">
        <v>119</v>
      </c>
      <c r="F69" s="138">
        <v>16.8</v>
      </c>
      <c r="G69" s="365" t="s">
        <v>123</v>
      </c>
      <c r="H69" s="106"/>
      <c r="I69" s="168"/>
      <c r="J69" s="107"/>
      <c r="K69" s="138"/>
      <c r="L69" s="138"/>
      <c r="M69" s="145"/>
      <c r="N69" s="145"/>
      <c r="O69" s="138"/>
      <c r="P69" s="138"/>
      <c r="Q69" s="138"/>
      <c r="R69" s="145"/>
      <c r="S69" s="145"/>
      <c r="T69" s="145"/>
      <c r="U69" s="156"/>
      <c r="V69" s="156"/>
    </row>
    <row r="70" ht="21.75" customHeight="1" outlineLevel="1">
      <c r="A70" s="396" t="s">
        <v>344</v>
      </c>
      <c r="B70" s="405" t="s">
        <v>125</v>
      </c>
      <c r="C70" s="148" t="s">
        <v>378</v>
      </c>
      <c r="D70" s="406" t="s">
        <v>185</v>
      </c>
      <c r="E70" s="157" t="s">
        <v>150</v>
      </c>
      <c r="F70" s="138">
        <v>6.0</v>
      </c>
      <c r="G70" s="239" t="s">
        <v>102</v>
      </c>
      <c r="H70" s="283" t="s">
        <v>379</v>
      </c>
      <c r="I70" s="164"/>
      <c r="J70" s="104"/>
      <c r="K70" s="138"/>
      <c r="L70" s="138"/>
      <c r="M70" s="145"/>
      <c r="N70" s="145"/>
      <c r="O70" s="138"/>
      <c r="P70" s="138"/>
      <c r="Q70" s="138"/>
      <c r="R70" s="145" t="b">
        <v>0</v>
      </c>
      <c r="S70" s="145" t="b">
        <v>0</v>
      </c>
      <c r="T70" s="145"/>
      <c r="U70" s="166" t="s">
        <v>186</v>
      </c>
      <c r="V70" s="166" t="b">
        <v>1</v>
      </c>
    </row>
    <row r="71" ht="21.75" customHeight="1" outlineLevel="1">
      <c r="A71" s="156"/>
      <c r="B71" s="407" t="s">
        <v>131</v>
      </c>
      <c r="C71" s="148" t="s">
        <v>380</v>
      </c>
      <c r="D71" s="107"/>
      <c r="E71" s="157" t="s">
        <v>86</v>
      </c>
      <c r="F71" s="138">
        <v>7.199999999999999</v>
      </c>
      <c r="G71" s="239" t="s">
        <v>102</v>
      </c>
      <c r="H71" s="106"/>
      <c r="I71" s="168"/>
      <c r="J71" s="107"/>
      <c r="K71" s="138"/>
      <c r="L71" s="282"/>
      <c r="M71" s="363"/>
      <c r="N71" s="363"/>
      <c r="O71" s="138"/>
      <c r="P71" s="138"/>
      <c r="Q71" s="138"/>
      <c r="R71" s="145" t="b">
        <v>0</v>
      </c>
      <c r="S71" s="145" t="b">
        <v>0</v>
      </c>
      <c r="T71" s="145"/>
      <c r="U71" s="156"/>
      <c r="V71" s="156"/>
    </row>
    <row r="72">
      <c r="A72" s="223"/>
      <c r="B72" s="224"/>
      <c r="C72" s="225"/>
      <c r="D72" s="225"/>
      <c r="E72" s="226"/>
      <c r="F72" s="226"/>
      <c r="G72" s="226"/>
      <c r="H72" s="227"/>
      <c r="I72" s="227"/>
      <c r="J72" s="228"/>
      <c r="K72" s="228"/>
      <c r="L72" s="228"/>
      <c r="M72" s="228"/>
      <c r="N72" s="228"/>
      <c r="O72" s="228"/>
      <c r="P72" s="228"/>
      <c r="Q72" s="118"/>
      <c r="R72" s="118"/>
      <c r="S72" s="118"/>
      <c r="T72" s="118"/>
      <c r="U72" s="118"/>
      <c r="V72" s="118"/>
    </row>
    <row r="73">
      <c r="A73" s="264" t="s">
        <v>211</v>
      </c>
      <c r="B73" s="104"/>
      <c r="C73" s="227"/>
      <c r="D73" s="227"/>
      <c r="E73" s="228"/>
      <c r="F73" s="265"/>
      <c r="G73" s="265"/>
      <c r="H73" s="228"/>
      <c r="I73" s="228"/>
      <c r="J73" s="228"/>
      <c r="K73" s="228"/>
      <c r="L73" s="228"/>
      <c r="M73" s="228"/>
      <c r="N73" s="118"/>
      <c r="O73" s="118"/>
      <c r="P73" s="118"/>
      <c r="Q73" s="228"/>
      <c r="R73" s="228"/>
      <c r="S73" s="228"/>
      <c r="T73" s="228"/>
      <c r="U73" s="228"/>
      <c r="V73" s="228"/>
    </row>
    <row r="74" outlineLevel="1">
      <c r="A74" s="106"/>
      <c r="B74" s="107"/>
      <c r="C74" s="266" t="s">
        <v>48</v>
      </c>
      <c r="D74" s="266" t="s">
        <v>49</v>
      </c>
      <c r="E74" s="266" t="s">
        <v>50</v>
      </c>
      <c r="F74" s="267" t="s">
        <v>51</v>
      </c>
      <c r="G74" s="227"/>
      <c r="H74" s="227"/>
      <c r="I74" s="227"/>
      <c r="J74" s="228"/>
      <c r="K74" s="228"/>
      <c r="L74" s="228"/>
      <c r="M74" s="228"/>
      <c r="N74" s="228"/>
      <c r="O74" s="228"/>
      <c r="P74" s="228"/>
      <c r="Q74" s="228"/>
      <c r="R74" s="228"/>
      <c r="S74" s="228"/>
      <c r="T74" s="228"/>
      <c r="U74" s="228"/>
      <c r="V74" s="228"/>
    </row>
    <row r="75" outlineLevel="1">
      <c r="A75" s="268" t="s">
        <v>212</v>
      </c>
      <c r="B75" s="269" t="s">
        <v>212</v>
      </c>
      <c r="C75" s="239" t="s">
        <v>176</v>
      </c>
      <c r="D75" s="239" t="s">
        <v>93</v>
      </c>
      <c r="E75" s="239" t="s">
        <v>381</v>
      </c>
      <c r="F75" s="138">
        <v>1.92</v>
      </c>
      <c r="G75" s="227"/>
      <c r="H75" s="227"/>
      <c r="I75" s="227"/>
      <c r="J75" s="228"/>
      <c r="K75" s="228"/>
      <c r="L75" s="228"/>
      <c r="M75" s="228"/>
      <c r="N75" s="228"/>
      <c r="O75" s="228"/>
      <c r="P75" s="228"/>
      <c r="Q75" s="228"/>
      <c r="R75" s="228"/>
      <c r="S75" s="228"/>
      <c r="T75" s="228"/>
      <c r="U75" s="228"/>
      <c r="V75" s="228"/>
    </row>
    <row r="76" outlineLevel="1">
      <c r="A76" s="270" t="s">
        <v>215</v>
      </c>
      <c r="B76" s="269" t="s">
        <v>216</v>
      </c>
      <c r="C76" s="239" t="s">
        <v>161</v>
      </c>
      <c r="D76" s="239" t="s">
        <v>282</v>
      </c>
      <c r="E76" s="271"/>
      <c r="F76" s="272"/>
      <c r="G76" s="272"/>
      <c r="H76" s="227"/>
      <c r="I76" s="227"/>
      <c r="J76" s="228"/>
      <c r="K76" s="228"/>
      <c r="L76" s="228"/>
      <c r="M76" s="228"/>
      <c r="N76" s="228"/>
      <c r="O76" s="228"/>
      <c r="P76" s="228"/>
      <c r="Q76" s="228"/>
      <c r="R76" s="228"/>
      <c r="S76" s="228"/>
      <c r="T76" s="228"/>
      <c r="U76" s="228"/>
      <c r="V76" s="228"/>
    </row>
    <row r="77" outlineLevel="1">
      <c r="A77" s="212"/>
      <c r="B77" s="269" t="s">
        <v>219</v>
      </c>
      <c r="C77" s="239" t="s">
        <v>382</v>
      </c>
      <c r="D77" s="239" t="s">
        <v>374</v>
      </c>
      <c r="E77" s="271"/>
      <c r="F77" s="272"/>
      <c r="G77" s="272"/>
      <c r="H77" s="227"/>
      <c r="I77" s="227"/>
      <c r="J77" s="228"/>
      <c r="K77" s="228"/>
      <c r="L77" s="228"/>
      <c r="M77" s="228"/>
      <c r="N77" s="228"/>
      <c r="O77" s="228"/>
      <c r="P77" s="228"/>
      <c r="Q77" s="228"/>
      <c r="R77" s="228"/>
      <c r="S77" s="228"/>
      <c r="T77" s="228"/>
      <c r="U77" s="228"/>
      <c r="V77" s="228"/>
    </row>
    <row r="78" outlineLevel="1">
      <c r="A78" s="106"/>
      <c r="B78" s="269" t="s">
        <v>222</v>
      </c>
      <c r="C78" s="239" t="s">
        <v>383</v>
      </c>
      <c r="D78" s="239" t="s">
        <v>384</v>
      </c>
      <c r="E78" s="227"/>
      <c r="F78" s="272"/>
      <c r="G78" s="272"/>
      <c r="H78" s="227"/>
      <c r="I78" s="227"/>
      <c r="J78" s="228"/>
      <c r="K78" s="228"/>
      <c r="L78" s="228"/>
      <c r="M78" s="228"/>
      <c r="N78" s="228"/>
      <c r="O78" s="228"/>
      <c r="P78" s="228"/>
      <c r="Q78" s="228"/>
      <c r="R78" s="228"/>
      <c r="S78" s="228"/>
      <c r="T78" s="228"/>
      <c r="U78" s="228"/>
      <c r="V78" s="228"/>
    </row>
    <row r="79" outlineLevel="1">
      <c r="A79" s="273" t="s">
        <v>225</v>
      </c>
      <c r="B79" s="109"/>
      <c r="C79" s="266" t="s">
        <v>48</v>
      </c>
      <c r="D79" s="266" t="s">
        <v>49</v>
      </c>
      <c r="E79" s="266" t="s">
        <v>50</v>
      </c>
      <c r="F79" s="267" t="s">
        <v>51</v>
      </c>
      <c r="G79" s="274" t="s">
        <v>53</v>
      </c>
      <c r="H79" s="110"/>
      <c r="I79" s="110"/>
      <c r="J79" s="109"/>
      <c r="K79" s="275" t="str">
        <f>'テンプレート'!K97</f>
        <v>ベクトル</v>
      </c>
      <c r="L79" s="275" t="str">
        <f>'テンプレート'!L97</f>
        <v>KBG (R.E.)</v>
      </c>
      <c r="M79" s="275" t="str">
        <f>'テンプレート'!M97</f>
        <v>BKB (R.A.)</v>
      </c>
      <c r="N79" s="275" t="str">
        <f>'テンプレート'!N97</f>
        <v>FKB (R.F.)</v>
      </c>
      <c r="O79" s="276" t="str">
        <f>'テンプレート'!O97</f>
        <v>盾削り値</v>
      </c>
      <c r="P79" s="275" t="str">
        <f>'テンプレート'!P97</f>
        <v>ﾋｯﾄｽﾄｯﾌﾟ</v>
      </c>
      <c r="Q79" s="276" t="str">
        <f>'テンプレート'!Q97</f>
        <v>ずらし</v>
      </c>
      <c r="R79" s="277"/>
      <c r="S79" s="277"/>
      <c r="T79" s="277"/>
      <c r="U79" s="277"/>
      <c r="V79" s="277"/>
    </row>
    <row r="80" outlineLevel="1">
      <c r="A80" s="408" t="s">
        <v>385</v>
      </c>
      <c r="B80" s="269"/>
      <c r="C80" s="281"/>
      <c r="D80" s="239" t="s">
        <v>386</v>
      </c>
      <c r="E80" s="409"/>
      <c r="F80" s="281"/>
      <c r="G80" s="410" t="s">
        <v>387</v>
      </c>
      <c r="H80" s="110"/>
      <c r="I80" s="110"/>
      <c r="J80" s="109"/>
      <c r="K80" s="281"/>
      <c r="L80" s="281"/>
      <c r="M80" s="281"/>
      <c r="N80" s="281"/>
      <c r="O80" s="281"/>
      <c r="P80" s="281"/>
      <c r="Q80" s="281"/>
      <c r="R80" s="277"/>
      <c r="S80" s="228"/>
      <c r="T80" s="228"/>
      <c r="U80" s="228"/>
      <c r="V80" s="228"/>
    </row>
    <row r="81" outlineLevel="1">
      <c r="A81" s="411" t="s">
        <v>388</v>
      </c>
      <c r="B81" s="412" t="s">
        <v>227</v>
      </c>
      <c r="C81" s="281"/>
      <c r="D81" s="367" t="s">
        <v>146</v>
      </c>
      <c r="E81" s="409"/>
      <c r="F81" s="281"/>
      <c r="G81" s="413" t="s">
        <v>389</v>
      </c>
      <c r="H81" s="164"/>
      <c r="I81" s="164"/>
      <c r="J81" s="104"/>
      <c r="K81" s="281"/>
      <c r="L81" s="281"/>
      <c r="M81" s="281"/>
      <c r="N81" s="281"/>
      <c r="O81" s="261"/>
      <c r="P81" s="261"/>
      <c r="Q81" s="261"/>
      <c r="R81" s="277"/>
      <c r="S81" s="228"/>
      <c r="T81" s="228"/>
      <c r="U81" s="228"/>
      <c r="V81" s="228"/>
    </row>
    <row r="82" outlineLevel="1">
      <c r="A82" s="156"/>
      <c r="B82" s="414" t="s">
        <v>225</v>
      </c>
      <c r="C82" s="113" t="s">
        <v>386</v>
      </c>
      <c r="D82" s="156"/>
      <c r="E82" s="239" t="s">
        <v>129</v>
      </c>
      <c r="F82" s="138">
        <v>14.399999999999999</v>
      </c>
      <c r="G82" s="106"/>
      <c r="H82" s="168"/>
      <c r="I82" s="168"/>
      <c r="J82" s="107"/>
      <c r="K82" s="282"/>
      <c r="L82" s="282"/>
      <c r="M82" s="363"/>
      <c r="N82" s="363"/>
      <c r="O82" s="261"/>
      <c r="P82" s="261"/>
      <c r="Q82" s="261"/>
      <c r="R82" s="277"/>
      <c r="S82" s="228"/>
      <c r="T82" s="228"/>
      <c r="U82" s="228"/>
      <c r="V82" s="228"/>
    </row>
    <row r="83" outlineLevel="1">
      <c r="A83" s="415" t="s">
        <v>390</v>
      </c>
      <c r="B83" s="414" t="s">
        <v>227</v>
      </c>
      <c r="C83" s="281"/>
      <c r="D83" s="367" t="s">
        <v>221</v>
      </c>
      <c r="E83" s="409"/>
      <c r="F83" s="281"/>
      <c r="G83" s="413" t="s">
        <v>389</v>
      </c>
      <c r="H83" s="164"/>
      <c r="I83" s="164"/>
      <c r="J83" s="104"/>
      <c r="K83" s="281"/>
      <c r="L83" s="281"/>
      <c r="M83" s="281"/>
      <c r="N83" s="281"/>
      <c r="O83" s="261"/>
      <c r="P83" s="261"/>
      <c r="Q83" s="261"/>
      <c r="R83" s="277"/>
      <c r="S83" s="228"/>
      <c r="T83" s="228"/>
      <c r="U83" s="228"/>
      <c r="V83" s="228"/>
    </row>
    <row r="84" outlineLevel="1">
      <c r="A84" s="156"/>
      <c r="B84" s="414" t="s">
        <v>225</v>
      </c>
      <c r="C84" s="113" t="s">
        <v>153</v>
      </c>
      <c r="D84" s="156"/>
      <c r="E84" s="239" t="s">
        <v>228</v>
      </c>
      <c r="F84" s="138">
        <v>15.6</v>
      </c>
      <c r="G84" s="106"/>
      <c r="H84" s="168"/>
      <c r="I84" s="168"/>
      <c r="J84" s="107"/>
      <c r="K84" s="282"/>
      <c r="L84" s="282"/>
      <c r="M84" s="363"/>
      <c r="N84" s="363"/>
      <c r="O84" s="261"/>
      <c r="P84" s="261"/>
      <c r="Q84" s="261"/>
      <c r="R84" s="277"/>
      <c r="S84" s="228"/>
      <c r="T84" s="228"/>
      <c r="U84" s="228"/>
      <c r="V84" s="228"/>
    </row>
    <row r="85" outlineLevel="1">
      <c r="A85" s="415" t="s">
        <v>391</v>
      </c>
      <c r="B85" s="414" t="s">
        <v>227</v>
      </c>
      <c r="C85" s="281"/>
      <c r="D85" s="367" t="s">
        <v>99</v>
      </c>
      <c r="E85" s="409"/>
      <c r="F85" s="281"/>
      <c r="G85" s="413" t="s">
        <v>389</v>
      </c>
      <c r="H85" s="164"/>
      <c r="I85" s="164"/>
      <c r="J85" s="104"/>
      <c r="K85" s="281"/>
      <c r="L85" s="281"/>
      <c r="M85" s="281"/>
      <c r="N85" s="281"/>
      <c r="O85" s="261"/>
      <c r="P85" s="261"/>
      <c r="Q85" s="261"/>
      <c r="R85" s="277"/>
      <c r="S85" s="228"/>
      <c r="T85" s="228"/>
      <c r="U85" s="228"/>
      <c r="V85" s="228"/>
    </row>
    <row r="86" outlineLevel="1">
      <c r="A86" s="156"/>
      <c r="B86" s="414" t="s">
        <v>225</v>
      </c>
      <c r="C86" s="113" t="s">
        <v>386</v>
      </c>
      <c r="D86" s="156"/>
      <c r="E86" s="239" t="s">
        <v>129</v>
      </c>
      <c r="F86" s="138">
        <v>14.399999999999999</v>
      </c>
      <c r="G86" s="106"/>
      <c r="H86" s="168"/>
      <c r="I86" s="168"/>
      <c r="J86" s="107"/>
      <c r="K86" s="282"/>
      <c r="L86" s="282"/>
      <c r="M86" s="363"/>
      <c r="N86" s="363"/>
      <c r="O86" s="261"/>
      <c r="P86" s="261"/>
      <c r="Q86" s="261"/>
      <c r="R86" s="277"/>
      <c r="S86" s="228"/>
      <c r="T86" s="228"/>
      <c r="U86" s="228"/>
      <c r="V86" s="228"/>
    </row>
    <row r="87" outlineLevel="1">
      <c r="A87" s="415" t="s">
        <v>392</v>
      </c>
      <c r="B87" s="414" t="s">
        <v>227</v>
      </c>
      <c r="C87" s="281"/>
      <c r="D87" s="367" t="s">
        <v>393</v>
      </c>
      <c r="E87" s="409"/>
      <c r="F87" s="281"/>
      <c r="G87" s="413" t="s">
        <v>389</v>
      </c>
      <c r="H87" s="164"/>
      <c r="I87" s="164"/>
      <c r="J87" s="104"/>
      <c r="K87" s="281"/>
      <c r="L87" s="281"/>
      <c r="M87" s="281"/>
      <c r="N87" s="281"/>
      <c r="O87" s="261"/>
      <c r="P87" s="261"/>
      <c r="Q87" s="261"/>
      <c r="R87" s="277"/>
      <c r="S87" s="228"/>
      <c r="T87" s="228"/>
      <c r="U87" s="228"/>
      <c r="V87" s="228"/>
    </row>
    <row r="88" outlineLevel="1">
      <c r="A88" s="156"/>
      <c r="B88" s="414" t="s">
        <v>225</v>
      </c>
      <c r="C88" s="113" t="s">
        <v>394</v>
      </c>
      <c r="D88" s="156"/>
      <c r="E88" s="239" t="s">
        <v>232</v>
      </c>
      <c r="F88" s="138">
        <v>13.2</v>
      </c>
      <c r="G88" s="106"/>
      <c r="H88" s="168"/>
      <c r="I88" s="168"/>
      <c r="J88" s="107"/>
      <c r="K88" s="282"/>
      <c r="L88" s="282"/>
      <c r="M88" s="363"/>
      <c r="N88" s="363"/>
      <c r="O88" s="261"/>
      <c r="P88" s="261"/>
      <c r="Q88" s="261"/>
      <c r="R88" s="277"/>
      <c r="S88" s="228"/>
      <c r="T88" s="228"/>
      <c r="U88" s="228"/>
      <c r="V88" s="228"/>
    </row>
    <row r="89" outlineLevel="1">
      <c r="A89" s="278" t="s">
        <v>229</v>
      </c>
      <c r="B89" s="269" t="s">
        <v>227</v>
      </c>
      <c r="C89" s="281"/>
      <c r="D89" s="367" t="s">
        <v>118</v>
      </c>
      <c r="E89" s="281"/>
      <c r="F89" s="281"/>
      <c r="G89" s="416"/>
      <c r="H89" s="164"/>
      <c r="I89" s="164"/>
      <c r="J89" s="104"/>
      <c r="K89" s="281"/>
      <c r="L89" s="281"/>
      <c r="M89" s="281"/>
      <c r="N89" s="281"/>
      <c r="O89" s="261"/>
      <c r="P89" s="261"/>
      <c r="Q89" s="261"/>
      <c r="R89" s="277"/>
      <c r="S89" s="228"/>
      <c r="T89" s="228"/>
      <c r="U89" s="228"/>
      <c r="V89" s="228"/>
    </row>
    <row r="90" outlineLevel="1">
      <c r="A90" s="156"/>
      <c r="B90" s="269" t="s">
        <v>225</v>
      </c>
      <c r="C90" s="113" t="s">
        <v>386</v>
      </c>
      <c r="D90" s="156"/>
      <c r="E90" s="239" t="s">
        <v>232</v>
      </c>
      <c r="F90" s="138">
        <v>13.2</v>
      </c>
      <c r="G90" s="106"/>
      <c r="H90" s="168"/>
      <c r="I90" s="168"/>
      <c r="J90" s="107"/>
      <c r="K90" s="282"/>
      <c r="L90" s="282"/>
      <c r="M90" s="363"/>
      <c r="N90" s="363"/>
      <c r="O90" s="261"/>
      <c r="P90" s="261"/>
      <c r="Q90" s="261"/>
      <c r="R90" s="277"/>
      <c r="S90" s="228"/>
      <c r="T90" s="228"/>
      <c r="U90" s="228"/>
      <c r="V90" s="228"/>
    </row>
    <row r="91" outlineLevel="1">
      <c r="A91" s="278" t="s">
        <v>233</v>
      </c>
      <c r="B91" s="269" t="s">
        <v>227</v>
      </c>
      <c r="C91" s="281"/>
      <c r="D91" s="367" t="s">
        <v>127</v>
      </c>
      <c r="E91" s="281"/>
      <c r="F91" s="281"/>
      <c r="G91" s="416"/>
      <c r="H91" s="164"/>
      <c r="I91" s="164"/>
      <c r="J91" s="104"/>
      <c r="K91" s="281"/>
      <c r="L91" s="281"/>
      <c r="M91" s="281"/>
      <c r="N91" s="281"/>
      <c r="O91" s="281"/>
      <c r="P91" s="281"/>
      <c r="Q91" s="281"/>
      <c r="R91" s="277"/>
      <c r="S91" s="228"/>
      <c r="T91" s="228"/>
      <c r="U91" s="228"/>
      <c r="V91" s="228"/>
    </row>
    <row r="92" outlineLevel="1">
      <c r="A92" s="156"/>
      <c r="B92" s="269" t="s">
        <v>225</v>
      </c>
      <c r="C92" s="113" t="s">
        <v>119</v>
      </c>
      <c r="D92" s="156"/>
      <c r="E92" s="239" t="s">
        <v>274</v>
      </c>
      <c r="F92" s="138">
        <v>10.799999999999999</v>
      </c>
      <c r="G92" s="106"/>
      <c r="H92" s="168"/>
      <c r="I92" s="168"/>
      <c r="J92" s="107"/>
      <c r="K92" s="282"/>
      <c r="L92" s="282"/>
      <c r="M92" s="363"/>
      <c r="N92" s="363"/>
      <c r="O92" s="261"/>
      <c r="P92" s="261"/>
      <c r="Q92" s="261"/>
      <c r="R92" s="277"/>
      <c r="S92" s="117"/>
      <c r="T92" s="117"/>
      <c r="U92" s="117"/>
      <c r="V92" s="117"/>
    </row>
    <row r="93" outlineLevel="1">
      <c r="A93" s="278" t="s">
        <v>234</v>
      </c>
      <c r="B93" s="269" t="s">
        <v>227</v>
      </c>
      <c r="C93" s="281"/>
      <c r="D93" s="367" t="s">
        <v>289</v>
      </c>
      <c r="E93" s="281"/>
      <c r="F93" s="281"/>
      <c r="G93" s="416"/>
      <c r="H93" s="164"/>
      <c r="I93" s="164"/>
      <c r="J93" s="104"/>
      <c r="K93" s="281"/>
      <c r="L93" s="281"/>
      <c r="M93" s="281"/>
      <c r="N93" s="281"/>
      <c r="O93" s="281"/>
      <c r="P93" s="281"/>
      <c r="Q93" s="281"/>
      <c r="R93" s="277"/>
      <c r="S93" s="117"/>
      <c r="T93" s="117"/>
      <c r="U93" s="117"/>
      <c r="V93" s="117"/>
    </row>
    <row r="94" outlineLevel="1">
      <c r="A94" s="156"/>
      <c r="B94" s="269" t="s">
        <v>225</v>
      </c>
      <c r="C94" s="239" t="s">
        <v>296</v>
      </c>
      <c r="D94" s="156"/>
      <c r="E94" s="239" t="s">
        <v>93</v>
      </c>
      <c r="F94" s="138">
        <v>8.4</v>
      </c>
      <c r="G94" s="106"/>
      <c r="H94" s="168"/>
      <c r="I94" s="168"/>
      <c r="J94" s="107"/>
      <c r="K94" s="282"/>
      <c r="L94" s="282"/>
      <c r="M94" s="363"/>
      <c r="N94" s="363"/>
      <c r="O94" s="261"/>
      <c r="P94" s="281"/>
      <c r="Q94" s="261"/>
      <c r="R94" s="277"/>
      <c r="S94" s="117"/>
      <c r="T94" s="117"/>
      <c r="U94" s="117"/>
      <c r="V94" s="117"/>
    </row>
    <row r="95">
      <c r="A95" s="223"/>
      <c r="B95" s="224"/>
      <c r="C95" s="225"/>
      <c r="D95" s="225"/>
      <c r="E95" s="227"/>
      <c r="F95" s="177"/>
      <c r="G95" s="177"/>
      <c r="H95" s="227"/>
      <c r="I95" s="227"/>
      <c r="J95" s="228"/>
      <c r="K95" s="228"/>
      <c r="L95" s="111"/>
      <c r="M95" s="111"/>
      <c r="N95" s="111"/>
      <c r="O95" s="117"/>
      <c r="P95" s="117"/>
      <c r="Q95" s="111"/>
      <c r="R95" s="111"/>
      <c r="S95" s="111"/>
      <c r="T95" s="111"/>
      <c r="U95" s="111"/>
      <c r="V95" s="111"/>
    </row>
    <row r="96">
      <c r="A96" s="284" t="s">
        <v>241</v>
      </c>
      <c r="B96" s="104"/>
      <c r="C96" s="265"/>
      <c r="D96" s="111"/>
      <c r="E96" s="111"/>
      <c r="F96" s="111"/>
      <c r="G96" s="111"/>
      <c r="H96" s="111"/>
      <c r="I96" s="111"/>
      <c r="J96" s="118"/>
      <c r="K96" s="111"/>
      <c r="L96" s="111"/>
      <c r="M96" s="111"/>
      <c r="N96" s="111"/>
      <c r="O96" s="111"/>
      <c r="P96" s="111"/>
      <c r="Q96" s="118"/>
      <c r="R96" s="111"/>
      <c r="S96" s="111"/>
      <c r="T96" s="111"/>
      <c r="U96" s="111"/>
      <c r="V96" s="111"/>
    </row>
    <row r="97" outlineLevel="1">
      <c r="A97" s="106"/>
      <c r="B97" s="107"/>
      <c r="C97" s="285" t="s">
        <v>235</v>
      </c>
      <c r="D97" s="285" t="s">
        <v>236</v>
      </c>
      <c r="E97" s="285" t="s">
        <v>49</v>
      </c>
      <c r="F97" s="285" t="s">
        <v>237</v>
      </c>
      <c r="G97" s="286"/>
      <c r="H97" s="227"/>
      <c r="I97" s="227"/>
      <c r="J97" s="228"/>
      <c r="K97" s="228"/>
      <c r="L97" s="111"/>
      <c r="M97" s="111"/>
      <c r="N97" s="111"/>
      <c r="O97" s="111"/>
      <c r="P97" s="111"/>
      <c r="Q97" s="111"/>
      <c r="R97" s="111"/>
      <c r="S97" s="111"/>
      <c r="T97" s="111"/>
      <c r="U97" s="111"/>
      <c r="V97" s="111"/>
    </row>
    <row r="98" outlineLevel="1">
      <c r="A98" s="287" t="s">
        <v>395</v>
      </c>
      <c r="B98" s="288" t="s">
        <v>216</v>
      </c>
      <c r="C98" s="113" t="str">
        <f t="array" ref="C98">INDEX('回避'!$C$3:$U$84, MATCH($A$1,'回避'!$A$3:$A$91,0), MATCH(C97,'回避'!$C$2:$F$2,0))</f>
        <v>3-17</v>
      </c>
      <c r="D98" s="113" t="str">
        <f t="array" ref="D98">INDEX('回避'!$C$3:$U$84, MATCH($A$1,'回避'!$A$3:$A$91,0), MATCH(D97,'回避'!$C$2:$F$2,0))</f>
        <v>6-17</v>
      </c>
      <c r="E98" s="113" t="str">
        <f t="array" ref="E98">INDEX('回避'!$C$3:$U$84, MATCH($A$1,'回避'!$A$3:$A$91,0), MATCH(E97,'回避'!$C$2:$F$2,0))</f>
        <v>26 (21)</v>
      </c>
      <c r="F98" s="113" t="str">
        <f t="array" ref="F98">INDEX('回避'!$C$3:$U$84, MATCH($A$1,'回避'!$A$3:$A$91,0), MATCH(F97,'回避'!$C$2:$F$2,0))</f>
        <v>35 (28)</v>
      </c>
      <c r="G98" s="272"/>
      <c r="H98" s="227"/>
      <c r="I98" s="227"/>
      <c r="J98" s="228"/>
      <c r="K98" s="228"/>
      <c r="L98" s="228"/>
      <c r="M98" s="111"/>
      <c r="N98" s="111"/>
      <c r="O98" s="111"/>
      <c r="P98" s="111"/>
      <c r="Q98" s="111"/>
      <c r="R98" s="111"/>
      <c r="S98" s="111"/>
      <c r="T98" s="111"/>
      <c r="U98" s="111"/>
      <c r="V98" s="111"/>
    </row>
    <row r="99" outlineLevel="1">
      <c r="A99" s="212"/>
      <c r="B99" s="288" t="s">
        <v>245</v>
      </c>
      <c r="C99" s="113" t="str">
        <f t="array" ref="C99">INDEX('回避'!$G$3:$U$84, MATCH($A$1,'回避'!$A$3:$A$91,0), MATCH(C97,'回避'!$G$2:$J$2,0))</f>
        <v>4-15</v>
      </c>
      <c r="D99" s="113" t="str">
        <f t="array" ref="D99">INDEX('回避'!$G$3:$U$84, MATCH($A$1,'回避'!$A$3:$A$91,0), MATCH(D97,'回避'!$G$2:$J$2,0))</f>
        <v>8-14</v>
      </c>
      <c r="E99" s="113" t="str">
        <f t="array" ref="E99">INDEX('回避'!$G$3:$U$84, MATCH($A$1,'回避'!$A$3:$A$91,0), MATCH(E97,'回避'!$G$2:$J$2,0))</f>
        <v>30</v>
      </c>
      <c r="F99" s="113">
        <f t="array" ref="F99">INDEX('回避'!$G$3:$U$84, MATCH($A$1,'回避'!$A$3:$A$91,0), MATCH(F97,'回避'!$G$2:$J$2,0))</f>
        <v>40</v>
      </c>
      <c r="G99" s="289"/>
      <c r="H99" s="227"/>
      <c r="I99" s="227"/>
      <c r="J99" s="228"/>
      <c r="K99" s="228"/>
      <c r="L99" s="228"/>
      <c r="M99" s="228"/>
      <c r="N99" s="228"/>
      <c r="O99" s="111"/>
      <c r="P99" s="111"/>
      <c r="Q99" s="111"/>
      <c r="R99" s="111"/>
      <c r="S99" s="111"/>
      <c r="T99" s="111"/>
      <c r="U99" s="111"/>
      <c r="V99" s="111"/>
    </row>
    <row r="100" outlineLevel="1">
      <c r="A100" s="106"/>
      <c r="B100" s="288" t="s">
        <v>246</v>
      </c>
      <c r="C100" s="113" t="str">
        <f t="array" ref="C100">INDEX('回避'!$K$3:$U$84, MATCH($A$1,'回避'!$A$3:$A$91,0), MATCH(C97,'回避'!$K$2:$N$2,0))</f>
        <v>5-16</v>
      </c>
      <c r="D100" s="113" t="str">
        <f t="array" ref="D100">INDEX('回避'!$K$3:$U$84, MATCH($A$1,'回避'!$A$3:$A$91,0), MATCH(D97,'回避'!$K$2:$N$2,0))</f>
        <v>9-14</v>
      </c>
      <c r="E100" s="113" t="str">
        <f t="array" ref="E100">INDEX('回避'!$K$3:$U$84, MATCH($A$1,'回避'!$A$3:$A$91,0), MATCH(E97,'回避'!$K$2:$N$2,0))</f>
        <v>35</v>
      </c>
      <c r="F100" s="113" t="str">
        <f t="array" ref="F100">INDEX('回避'!$K$3:$U$84, MATCH($A$1,'回避'!$A$3:$A$91,0), MATCH(F97,'回避'!$K$2:$N$2,0))</f>
        <v>53</v>
      </c>
      <c r="G100" s="289"/>
      <c r="H100" s="290"/>
      <c r="I100" s="290"/>
      <c r="J100" s="117"/>
      <c r="K100" s="117"/>
      <c r="L100" s="117"/>
      <c r="M100" s="117"/>
      <c r="N100" s="117"/>
      <c r="O100" s="111"/>
      <c r="P100" s="111"/>
      <c r="Q100" s="111"/>
      <c r="R100" s="111"/>
      <c r="S100" s="111"/>
      <c r="T100" s="111"/>
      <c r="U100" s="111"/>
      <c r="V100" s="111"/>
    </row>
    <row r="101" outlineLevel="1">
      <c r="A101" s="287" t="s">
        <v>396</v>
      </c>
      <c r="B101" s="288" t="s">
        <v>397</v>
      </c>
      <c r="C101" s="113" t="str">
        <f t="array" ref="C101">INDEX('回避'!$O$3:$U$84, MATCH($A$1,'回避'!$A$3:$A$91,0), MATCH(C97,'回避'!$O$2:$R$2,0))</f>
        <v>4-32</v>
      </c>
      <c r="D101" s="113" t="str">
        <f t="array" ref="D101">INDEX('回避'!$O$3:$U$84, MATCH($A$1,'回避'!$A$3:$A$91,0), MATCH(D97,'回避'!$O$2:$R$2,0))</f>
        <v>7-29</v>
      </c>
      <c r="E101" s="113" t="str">
        <f t="array" ref="E101">INDEX('回避'!$O$3:$U$84, MATCH($A$1,'回避'!$A$3:$A$91,0), MATCH(E97,'回避'!$O$2:$R$2,0))</f>
        <v>48</v>
      </c>
      <c r="F101" s="177"/>
      <c r="G101" s="177"/>
      <c r="H101" s="118"/>
      <c r="I101" s="118"/>
      <c r="J101" s="111"/>
      <c r="K101" s="111"/>
      <c r="L101" s="111"/>
      <c r="M101" s="111"/>
      <c r="N101" s="111"/>
      <c r="O101" s="228"/>
      <c r="P101" s="228"/>
      <c r="Q101" s="228"/>
      <c r="R101" s="228"/>
      <c r="S101" s="228"/>
      <c r="T101" s="228"/>
      <c r="U101" s="228"/>
      <c r="V101" s="228"/>
    </row>
    <row r="102" outlineLevel="1">
      <c r="A102" s="106"/>
      <c r="B102" s="288" t="s">
        <v>398</v>
      </c>
      <c r="C102" s="113" t="str">
        <f t="array" ref="C102">INDEX('回避'!$S$3:$U$84, MATCH($A$1,'回避'!$A$3:$A$91,0), MATCH(C97,'回避'!$S$2:$U$2,0))</f>
        <v>4-22</v>
      </c>
      <c r="D102" s="113" t="str">
        <f t="array" ref="D102">INDEX('回避'!$S$3:$U$84, MATCH($A$1,'回避'!$A$3:$A$91,0), MATCH(D97,'回避'!$S$2:$U$2,0))</f>
        <v>7-21</v>
      </c>
      <c r="E102" s="113" t="str">
        <f t="array" ref="E102">INDEX('回避'!$S$3:$U$84, MATCH($A$1,'回避'!$A$3:$A$91,0), MATCH(E97,'回避'!$S$2:$U$2,0))</f>
        <v>真横：82
真上：109
真下：66</v>
      </c>
      <c r="F102" s="289"/>
      <c r="G102" s="289"/>
      <c r="H102" s="118"/>
      <c r="I102" s="118"/>
      <c r="J102" s="117"/>
      <c r="K102" s="117"/>
      <c r="L102" s="117"/>
      <c r="M102" s="117"/>
      <c r="N102" s="111"/>
      <c r="O102" s="118"/>
      <c r="P102" s="118"/>
      <c r="Q102" s="118"/>
      <c r="R102" s="118"/>
      <c r="S102" s="118"/>
      <c r="T102" s="118"/>
      <c r="U102" s="118"/>
      <c r="V102" s="118"/>
    </row>
    <row r="103">
      <c r="A103" s="291"/>
      <c r="B103" s="292"/>
      <c r="C103" s="286"/>
      <c r="D103" s="286"/>
      <c r="E103" s="293"/>
      <c r="F103" s="286"/>
      <c r="G103" s="286"/>
      <c r="H103" s="286"/>
      <c r="I103" s="286"/>
      <c r="J103" s="111"/>
      <c r="K103" s="227"/>
      <c r="L103" s="227"/>
      <c r="M103" s="227"/>
      <c r="N103" s="227"/>
      <c r="O103" s="118"/>
      <c r="P103" s="118"/>
      <c r="Q103" s="118"/>
      <c r="R103" s="118"/>
      <c r="S103" s="118"/>
      <c r="T103" s="118"/>
      <c r="U103" s="118"/>
      <c r="V103" s="118"/>
    </row>
    <row r="104">
      <c r="A104" s="294" t="s">
        <v>238</v>
      </c>
      <c r="B104" s="104"/>
      <c r="C104" s="228"/>
      <c r="D104" s="117"/>
      <c r="E104" s="228"/>
      <c r="F104" s="114"/>
      <c r="G104" s="114"/>
      <c r="H104" s="117"/>
      <c r="I104" s="117"/>
      <c r="J104" s="118"/>
      <c r="K104" s="118"/>
      <c r="L104" s="118"/>
      <c r="M104" s="118"/>
      <c r="N104" s="118"/>
      <c r="O104" s="118"/>
      <c r="P104" s="118"/>
      <c r="Q104" s="118"/>
      <c r="R104" s="118"/>
      <c r="S104" s="118"/>
      <c r="T104" s="118"/>
      <c r="U104" s="118"/>
      <c r="V104" s="118"/>
    </row>
    <row r="105" outlineLevel="1">
      <c r="A105" s="106"/>
      <c r="B105" s="107"/>
      <c r="C105" s="295" t="s">
        <v>235</v>
      </c>
      <c r="D105" s="295" t="s">
        <v>49</v>
      </c>
      <c r="E105" s="295" t="s">
        <v>48</v>
      </c>
      <c r="F105" s="295" t="s">
        <v>50</v>
      </c>
      <c r="G105" s="296" t="s">
        <v>51</v>
      </c>
      <c r="H105" s="228"/>
      <c r="I105" s="228"/>
      <c r="J105" s="117"/>
      <c r="K105" s="297" t="str">
        <f>'テンプレート'!K116</f>
        <v>アイテム取得</v>
      </c>
      <c r="L105" s="109"/>
      <c r="M105" s="298" t="str">
        <f>'テンプレート'!M116</f>
        <v>取得フレーム</v>
      </c>
      <c r="N105" s="298" t="str">
        <f>'テンプレート'!N116</f>
        <v>全体フレーム</v>
      </c>
      <c r="O105" s="118"/>
      <c r="P105" s="118"/>
      <c r="Q105" s="118"/>
      <c r="R105" s="118"/>
      <c r="S105" s="118"/>
      <c r="T105" s="118"/>
      <c r="U105" s="118"/>
      <c r="V105" s="118"/>
    </row>
    <row r="106" outlineLevel="1">
      <c r="A106" s="299" t="s">
        <v>239</v>
      </c>
      <c r="B106" s="300" t="s">
        <v>240</v>
      </c>
      <c r="C106" s="301"/>
      <c r="D106" s="113">
        <f t="array" ref="D106">INDEX('崖行動・受け身'!$C$3:$C111, MATCH($A$1,'崖行動・受け身'!$A$3:$A$115,0), MATCH(D105,'崖行動・受け身'!$C$2,0))</f>
        <v>19</v>
      </c>
      <c r="E106" s="301"/>
      <c r="F106" s="301"/>
      <c r="G106" s="301"/>
      <c r="H106" s="228"/>
      <c r="I106" s="228"/>
      <c r="J106" s="111"/>
      <c r="K106" s="302" t="str">
        <f>'テンプレート'!K117</f>
        <v>小アイテム</v>
      </c>
      <c r="L106" s="303" t="str">
        <f>'テンプレート'!L117</f>
        <v>その場</v>
      </c>
      <c r="M106" s="113" t="s">
        <v>76</v>
      </c>
      <c r="N106" s="113">
        <v>7.0</v>
      </c>
      <c r="O106" s="118"/>
      <c r="P106" s="118"/>
      <c r="Q106" s="118"/>
      <c r="R106" s="118"/>
      <c r="S106" s="118"/>
      <c r="T106" s="118"/>
      <c r="U106" s="118"/>
      <c r="V106" s="118"/>
    </row>
    <row r="107" outlineLevel="1">
      <c r="A107" s="146"/>
      <c r="B107" s="300" t="s">
        <v>216</v>
      </c>
      <c r="C107" s="113" t="str">
        <f t="array" ref="C107">INDEX('崖行動・受け身'!$D$3:$E111, MATCH($A$1,'崖行動・受け身'!$A$3:$A$115,0), MATCH(C105,'崖行動・受け身'!$D$2:$E$2,0))</f>
        <v>1-33</v>
      </c>
      <c r="D107" s="113">
        <f t="array" ref="D107">INDEX('崖行動・受け身'!$D$3:$E111, MATCH($A$1,'崖行動・受け身'!$A$3:$A$115,0), MATCH(D105,'崖行動・受け身'!$D$2:$E$2,0))</f>
        <v>34</v>
      </c>
      <c r="E107" s="301"/>
      <c r="F107" s="301"/>
      <c r="G107" s="301"/>
      <c r="H107" s="228"/>
      <c r="I107" s="228"/>
      <c r="J107" s="117"/>
      <c r="K107" s="156"/>
      <c r="L107" s="303" t="str">
        <f>'テンプレート'!L118</f>
        <v>歩き</v>
      </c>
      <c r="M107" s="113" t="s">
        <v>76</v>
      </c>
      <c r="N107" s="113">
        <v>19.0</v>
      </c>
      <c r="O107" s="118"/>
      <c r="P107" s="118"/>
      <c r="Q107" s="118"/>
      <c r="R107" s="118"/>
      <c r="S107" s="118"/>
      <c r="T107" s="118"/>
      <c r="U107" s="118"/>
      <c r="V107" s="118"/>
    </row>
    <row r="108" outlineLevel="1">
      <c r="A108" s="146"/>
      <c r="B108" s="300" t="s">
        <v>241</v>
      </c>
      <c r="C108" s="113" t="str">
        <f t="array" ref="C108">INDEX('崖行動・受け身'!$F$3:$G$115, MATCH($A$1,'崖行動・受け身'!$A$3:$A$115,0), MATCH(C105,'崖行動・受け身'!$F$2:$G$2,0))</f>
        <v>1-28</v>
      </c>
      <c r="D108" s="113">
        <f t="array" ref="D108">INDEX('崖行動・受け身'!$F$3:$G$115, MATCH($A$1,'崖行動・受け身'!$A$3:$A$115,0), MATCH(D105,'崖行動・受け身'!$F$2:$G$2,0))</f>
        <v>45</v>
      </c>
      <c r="E108" s="301"/>
      <c r="F108" s="301"/>
      <c r="G108" s="301"/>
      <c r="H108" s="228"/>
      <c r="I108" s="228"/>
      <c r="J108" s="111"/>
      <c r="K108" s="304" t="str">
        <f>'テンプレート'!K119</f>
        <v>アイテム投擲</v>
      </c>
      <c r="L108" s="109"/>
      <c r="M108" s="298" t="str">
        <f>'テンプレート'!M119</f>
        <v>投擲フレーム</v>
      </c>
      <c r="N108" s="298" t="str">
        <f>'テンプレート'!N119</f>
        <v>全体フレーム</v>
      </c>
      <c r="O108" s="118"/>
      <c r="P108" s="118"/>
      <c r="Q108" s="118"/>
      <c r="R108" s="118"/>
      <c r="S108" s="118"/>
      <c r="T108" s="118"/>
      <c r="U108" s="118"/>
      <c r="V108" s="118"/>
    </row>
    <row r="109" outlineLevel="1">
      <c r="A109" s="146"/>
      <c r="B109" s="300" t="s">
        <v>242</v>
      </c>
      <c r="C109" s="113" t="str">
        <f t="array" ref="C109">INDEX('崖行動・受け身'!$H$3:$I$115, MATCH($A$1,'崖行動・受け身'!$A$3:$A$115,0), MATCH(C105,'崖行動・受け身'!$H$2:$I$2,0))</f>
        <v>1-12</v>
      </c>
      <c r="D109" s="113">
        <f t="array" ref="D109">INDEX('崖行動・受け身'!$H$3:$I$115, MATCH($A$1,'崖行動・受け身'!$A$3:$A$115,0), MATCH(D105,'崖行動・受け身'!$H$2:$I$2,0))</f>
        <v>14</v>
      </c>
      <c r="E109" s="301"/>
      <c r="F109" s="301"/>
      <c r="G109" s="301"/>
      <c r="H109" s="228"/>
      <c r="I109" s="228"/>
      <c r="J109" s="117"/>
      <c r="K109" s="305" t="str">
        <f>'テンプレート'!K120</f>
        <v>地上投擲</v>
      </c>
      <c r="L109" s="303" t="str">
        <f>'テンプレート'!L120</f>
        <v>前投げ</v>
      </c>
      <c r="M109" s="113" t="s">
        <v>128</v>
      </c>
      <c r="N109" s="113">
        <v>38.0</v>
      </c>
      <c r="O109" s="111"/>
      <c r="P109" s="111"/>
      <c r="Q109" s="111"/>
      <c r="R109" s="111"/>
      <c r="S109" s="111"/>
      <c r="T109" s="111"/>
      <c r="U109" s="111"/>
      <c r="V109" s="111"/>
    </row>
    <row r="110" outlineLevel="1">
      <c r="A110" s="156"/>
      <c r="B110" s="300" t="s">
        <v>243</v>
      </c>
      <c r="C110" s="113" t="str">
        <f t="array" ref="C110">INDEX('崖行動・受け身'!$J$3:$M$115, MATCH($A$1,'崖行動・受け身'!$A$3:$A$115,0), MATCH(C105,'崖行動・受け身'!$J$2:$M$2,0))</f>
        <v>1-25</v>
      </c>
      <c r="D110" s="113">
        <f t="array" ref="D110">INDEX('崖行動・受け身'!$J$3:$M$115, MATCH($A$1,'崖行動・受け身'!$A$3:$A$115,0), MATCH(D105,'崖行動・受け身'!$J$2:$M$2,0))</f>
        <v>55</v>
      </c>
      <c r="E110" s="113" t="str">
        <f t="array" ref="E110">INDEX('崖行動・受け身'!$J$3:$M$115, MATCH($A$1,'崖行動・受け身'!$A$3:$A$115,0), MATCH(E105,'崖行動・受け身'!$J$2:$M$2,0))</f>
        <v>23-25</v>
      </c>
      <c r="F110" s="113">
        <f t="array" ref="F110">INDEX('崖行動・受け身'!$J$3:$M$115, MATCH($A$1,'崖行動・受け身'!$A$3:$A$115,0), MATCH(F105,'崖行動・受け身'!$J$2:$M$2,0))</f>
        <v>10</v>
      </c>
      <c r="G110" s="113">
        <f>F110*1.2</f>
        <v>12</v>
      </c>
      <c r="H110" s="228"/>
      <c r="I110" s="228"/>
      <c r="J110" s="111"/>
      <c r="K110" s="146"/>
      <c r="L110" s="303" t="str">
        <f>'テンプレート'!L121</f>
        <v>後投げ</v>
      </c>
      <c r="M110" s="113" t="s">
        <v>119</v>
      </c>
      <c r="N110" s="113">
        <v>38.0</v>
      </c>
      <c r="O110" s="111"/>
      <c r="P110" s="111"/>
      <c r="Q110" s="111"/>
      <c r="R110" s="111"/>
      <c r="S110" s="111"/>
      <c r="T110" s="111"/>
      <c r="U110" s="111"/>
      <c r="V110" s="111"/>
    </row>
    <row r="111" outlineLevel="1">
      <c r="A111" s="299" t="s">
        <v>244</v>
      </c>
      <c r="B111" s="300" t="s">
        <v>216</v>
      </c>
      <c r="C111" s="113" t="str">
        <f t="array" ref="C111">INDEX('崖行動・受け身'!$N$3:$O$115, MATCH($A$1,'崖行動・受け身'!$A$3:$A$115,0), MATCH(C105,'崖行動・受け身'!$N$2:$O$2,0))</f>
        <v>1-20</v>
      </c>
      <c r="D111" s="113">
        <f t="array" ref="D111">INDEX('崖行動・受け身'!$N$3:$O$115, MATCH($A$1,'崖行動・受け身'!$A$3:$A$115,0), MATCH(D105,'崖行動・受け身'!$N$2:$O$2,0))</f>
        <v>26</v>
      </c>
      <c r="E111" s="301"/>
      <c r="F111" s="301"/>
      <c r="G111" s="301"/>
      <c r="H111" s="228"/>
      <c r="I111" s="228"/>
      <c r="J111" s="117"/>
      <c r="K111" s="146"/>
      <c r="L111" s="303" t="str">
        <f>'テンプレート'!L122</f>
        <v>上投げ</v>
      </c>
      <c r="M111" s="113" t="s">
        <v>386</v>
      </c>
      <c r="N111" s="113">
        <v>38.0</v>
      </c>
      <c r="O111" s="228"/>
      <c r="P111" s="228"/>
      <c r="Q111" s="228"/>
      <c r="R111" s="228"/>
      <c r="S111" s="228"/>
      <c r="T111" s="228"/>
      <c r="U111" s="228"/>
      <c r="V111" s="228"/>
    </row>
    <row r="112" outlineLevel="1">
      <c r="A112" s="146"/>
      <c r="B112" s="300" t="s">
        <v>245</v>
      </c>
      <c r="C112" s="113" t="str">
        <f t="array" ref="C112">INDEX('崖行動・受け身'!$P$3:$Q$115, MATCH($A$1,'崖行動・受け身'!$A$3:$A$115,0), MATCH(C105,'崖行動・受け身'!$P$2:$Q$2,0))</f>
        <v>1-20</v>
      </c>
      <c r="D112" s="113">
        <f t="array" ref="D112">INDEX('崖行動・受け身'!$P$3:$Q$115, MATCH($A$1,'崖行動・受け身'!$A$3:$A$115,0), MATCH(D105,'崖行動・受け身'!$P$2:$Q$2,0))</f>
        <v>40</v>
      </c>
      <c r="E112" s="301"/>
      <c r="F112" s="301"/>
      <c r="G112" s="301"/>
      <c r="H112" s="228"/>
      <c r="I112" s="228"/>
      <c r="J112" s="111"/>
      <c r="K112" s="146"/>
      <c r="L112" s="303" t="str">
        <f>'テンプレート'!L123</f>
        <v>下投げ</v>
      </c>
      <c r="M112" s="113" t="s">
        <v>80</v>
      </c>
      <c r="N112" s="113">
        <v>30.0</v>
      </c>
      <c r="O112" s="118"/>
      <c r="P112" s="118"/>
      <c r="Q112" s="118"/>
      <c r="R112" s="118"/>
      <c r="S112" s="118"/>
      <c r="T112" s="118"/>
      <c r="U112" s="118"/>
      <c r="V112" s="118"/>
    </row>
    <row r="113" outlineLevel="1">
      <c r="A113" s="156"/>
      <c r="B113" s="300" t="s">
        <v>246</v>
      </c>
      <c r="C113" s="113" t="str">
        <f t="array" ref="C113">INDEX('崖行動・受け身'!$R$3:$S$115, MATCH($A$1,'崖行動・受け身'!$A$3:$A$115,0), MATCH(C105,'崖行動・受け身'!$R$2:$S$2,0))</f>
        <v>1-20</v>
      </c>
      <c r="D113" s="113">
        <f t="array" ref="D113">INDEX('崖行動・受け身'!$R$3:$S$115, MATCH($A$1,'崖行動・受け身'!$A$3:$A$115,0), MATCH(D105,'崖行動・受け身'!$R$2:$S$2,0))</f>
        <v>40</v>
      </c>
      <c r="E113" s="301"/>
      <c r="F113" s="301"/>
      <c r="G113" s="301"/>
      <c r="H113" s="228"/>
      <c r="I113" s="228"/>
      <c r="J113" s="117"/>
      <c r="K113" s="146"/>
      <c r="L113" s="306" t="str">
        <f>'テンプレート'!L124</f>
        <v>ダッシュ</v>
      </c>
      <c r="M113" s="113" t="s">
        <v>86</v>
      </c>
      <c r="N113" s="113">
        <v>39.0</v>
      </c>
      <c r="O113" s="118"/>
      <c r="P113" s="118"/>
      <c r="Q113" s="118"/>
      <c r="R113" s="118"/>
      <c r="S113" s="118"/>
      <c r="T113" s="118"/>
      <c r="U113" s="118"/>
      <c r="V113" s="118"/>
    </row>
    <row r="114" outlineLevel="1">
      <c r="A114" s="299" t="s">
        <v>247</v>
      </c>
      <c r="B114" s="300" t="s">
        <v>248</v>
      </c>
      <c r="C114" s="301"/>
      <c r="D114" s="113" t="str">
        <f t="array" ref="D114">INDEX('起きあがり'!$C$3:$C111, MATCH($A$1,'起きあがり'!$A$3:$A$115,0), MATCH(D105,'起きあがり'!$C$2:$AD$2,0))</f>
        <v>25</v>
      </c>
      <c r="E114" s="301"/>
      <c r="F114" s="301"/>
      <c r="G114" s="301"/>
      <c r="H114" s="228"/>
      <c r="I114" s="228"/>
      <c r="J114" s="111"/>
      <c r="K114" s="156"/>
      <c r="L114" s="306" t="str">
        <f>'テンプレート'!L125</f>
        <v>その場捨て</v>
      </c>
      <c r="M114" s="113" t="s">
        <v>93</v>
      </c>
      <c r="N114" s="113">
        <v>27.0</v>
      </c>
      <c r="O114" s="118"/>
      <c r="P114" s="118"/>
      <c r="Q114" s="118"/>
      <c r="R114" s="118"/>
      <c r="S114" s="118"/>
      <c r="T114" s="118"/>
      <c r="U114" s="118"/>
      <c r="V114" s="118"/>
    </row>
    <row r="115" outlineLevel="1">
      <c r="A115" s="146"/>
      <c r="B115" s="300" t="s">
        <v>216</v>
      </c>
      <c r="C115" s="307" t="str">
        <f t="array" ref="C115">INDEX('起きあがり'!$D$3:$E111, MATCH($A$1,'起きあがり'!$A$3:$A$115,0), MATCH(C105,'起きあがり'!$D$2:$AD$2,0))</f>
        <v>1-22</v>
      </c>
      <c r="D115" s="308">
        <f t="array" ref="D115">INDEX('起きあがり'!$D$3:$E111, MATCH($A$1,'起きあがり'!$A$3:$A$115,0), MATCH(D105,'起きあがり'!$D$2:$AD$2,0))</f>
        <v>29</v>
      </c>
      <c r="E115" s="301"/>
      <c r="F115" s="301"/>
      <c r="G115" s="301"/>
      <c r="H115" s="228"/>
      <c r="I115" s="228"/>
      <c r="J115" s="117"/>
      <c r="K115" s="305" t="str">
        <f>'テンプレート'!K126</f>
        <v>空中投擲</v>
      </c>
      <c r="L115" s="303" t="str">
        <f>'テンプレート'!L126</f>
        <v>前投げ</v>
      </c>
      <c r="M115" s="113" t="s">
        <v>128</v>
      </c>
      <c r="N115" s="113">
        <v>37.0</v>
      </c>
      <c r="O115" s="118"/>
      <c r="P115" s="118"/>
      <c r="Q115" s="118"/>
      <c r="R115" s="118"/>
      <c r="S115" s="118"/>
      <c r="T115" s="118"/>
      <c r="U115" s="118"/>
      <c r="V115" s="118"/>
    </row>
    <row r="116" outlineLevel="1">
      <c r="A116" s="146"/>
      <c r="B116" s="300" t="s">
        <v>245</v>
      </c>
      <c r="C116" s="307" t="str">
        <f t="array" ref="C116">INDEX('起きあがり'!$F$3:$G$115, MATCH($A$1,'起きあがり'!$A$3:$A$115,0), MATCH(C105,'起きあがり'!$F$2:$AD$2,0))</f>
        <v>1-19</v>
      </c>
      <c r="D116" s="308">
        <f t="array" ref="D116">INDEX('起きあがり'!$F$3:$G$115, MATCH($A$1,'起きあがり'!$A$3:$A$115,0), MATCH(D105,'起きあがり'!$F$2:$AD$2,0))</f>
        <v>35</v>
      </c>
      <c r="E116" s="301"/>
      <c r="F116" s="301"/>
      <c r="G116" s="301"/>
      <c r="H116" s="228"/>
      <c r="I116" s="228"/>
      <c r="J116" s="111"/>
      <c r="K116" s="146"/>
      <c r="L116" s="303" t="str">
        <f>'テンプレート'!L127</f>
        <v>後投げ</v>
      </c>
      <c r="M116" s="113" t="s">
        <v>119</v>
      </c>
      <c r="N116" s="113">
        <v>34.0</v>
      </c>
      <c r="O116" s="118"/>
      <c r="P116" s="118"/>
      <c r="Q116" s="118"/>
      <c r="R116" s="118"/>
      <c r="S116" s="118"/>
      <c r="T116" s="118"/>
      <c r="U116" s="118"/>
      <c r="V116" s="118"/>
    </row>
    <row r="117" outlineLevel="1">
      <c r="A117" s="146"/>
      <c r="B117" s="300" t="s">
        <v>246</v>
      </c>
      <c r="C117" s="113" t="str">
        <f t="array" ref="C117">INDEX('起きあがり'!$H$3:$I$115, MATCH($A$1,'起きあがり'!$A$3:$A$115,0), MATCH(C105,'起きあがり'!$H$2:$AD$2,0))</f>
        <v>1-24</v>
      </c>
      <c r="D117" s="113">
        <f t="array" ref="D117">INDEX('起きあがり'!$H$3:$I$115, MATCH($A$1,'起きあがり'!$A$3:$A$115,0), MATCH(D105,'起きあがり'!$H$2:$AD$2,0))</f>
        <v>35</v>
      </c>
      <c r="E117" s="301"/>
      <c r="F117" s="301"/>
      <c r="G117" s="301"/>
      <c r="H117" s="228"/>
      <c r="I117" s="228"/>
      <c r="J117" s="117"/>
      <c r="K117" s="146"/>
      <c r="L117" s="303" t="str">
        <f>'テンプレート'!L128</f>
        <v>上投げ</v>
      </c>
      <c r="M117" s="113" t="s">
        <v>386</v>
      </c>
      <c r="N117" s="113">
        <v>36.0</v>
      </c>
      <c r="O117" s="118"/>
      <c r="P117" s="118"/>
      <c r="Q117" s="118"/>
      <c r="R117" s="118"/>
      <c r="S117" s="118"/>
      <c r="T117" s="118"/>
      <c r="U117" s="118"/>
      <c r="V117" s="118"/>
    </row>
    <row r="118" outlineLevel="1">
      <c r="A118" s="146"/>
      <c r="B118" s="300" t="s">
        <v>249</v>
      </c>
      <c r="C118" s="309" t="str">
        <f t="array" ref="C118">INDEX('起きあがり'!$J$3:$M$115, MATCH($A$1,'起きあがり'!$A$3:$A$115,0), MATCH(C105,'起きあがり'!$J$2:$AD$2,0))</f>
        <v>1-24</v>
      </c>
      <c r="D118" s="310">
        <f t="array" ref="D118">INDEX('起きあがり'!$J$3:$M$115, MATCH($A$1,'起きあがり'!$A$3:$A$115,0), MATCH(D105,'起きあがり'!$J$2:$AD$2,0))</f>
        <v>45</v>
      </c>
      <c r="E118" s="307" t="str">
        <f t="array" ref="E118">INDEX('起きあがり'!$J$3:$M$115, MATCH($A$1,'起きあがり'!$A$3:$A$115,0), MATCH(E105,'起きあがり'!$J$2:$AD$2,0))</f>
        <v>18-19</v>
      </c>
      <c r="F118" s="308">
        <f t="array" ref="F118">INDEX('起きあがり'!$J$3:$M$115, MATCH($A$1,'起きあがり'!$A$3:$A$115,0), MATCH(F105,'起きあがり'!$J$2:$AD$2,0))</f>
        <v>7</v>
      </c>
      <c r="G118" s="113">
        <f t="shared" ref="G118:G119" si="1">F118*1.2</f>
        <v>8.4</v>
      </c>
      <c r="H118" s="228"/>
      <c r="I118" s="228"/>
      <c r="J118" s="111"/>
      <c r="K118" s="156"/>
      <c r="L118" s="303" t="str">
        <f>'テンプレート'!L129</f>
        <v>下投げ</v>
      </c>
      <c r="M118" s="113" t="s">
        <v>80</v>
      </c>
      <c r="N118" s="113">
        <v>28.0</v>
      </c>
      <c r="O118" s="111"/>
      <c r="P118" s="111"/>
      <c r="Q118" s="111"/>
      <c r="R118" s="111"/>
      <c r="S118" s="111"/>
      <c r="T118" s="111"/>
      <c r="U118" s="111"/>
      <c r="V118" s="111"/>
    </row>
    <row r="119" outlineLevel="1">
      <c r="A119" s="156"/>
      <c r="B119" s="311" t="s">
        <v>250</v>
      </c>
      <c r="C119" s="156"/>
      <c r="D119" s="156"/>
      <c r="E119" s="307" t="str">
        <f t="array" ref="E119">INDEX('起きあがり'!$N$3:$O$115, MATCH($A$1,'起きあがり'!$A$3:$A$115,0), MATCH(E105,'起きあがり'!$N$2:$AD$2,0))</f>
        <v>23-24</v>
      </c>
      <c r="F119" s="308">
        <f t="array" ref="F119">INDEX('起きあがり'!$N$3:$O$115, MATCH($A$1,'起きあがり'!$A$3:$A$115,0), MATCH(F105,'起きあがり'!$N$2:$AD$2,0))</f>
        <v>7</v>
      </c>
      <c r="G119" s="113">
        <f t="shared" si="1"/>
        <v>8.4</v>
      </c>
      <c r="H119" s="228"/>
      <c r="I119" s="228"/>
      <c r="J119" s="111"/>
      <c r="K119" s="312" t="str">
        <f>'テンプレート'!K130</f>
        <v>踏み台ジャンプ</v>
      </c>
      <c r="L119" s="168"/>
      <c r="M119" s="298" t="str">
        <f>'テンプレート'!M130</f>
        <v>全体フレーム</v>
      </c>
      <c r="N119" s="114"/>
      <c r="O119" s="111"/>
      <c r="P119" s="111"/>
      <c r="Q119" s="111"/>
      <c r="R119" s="111"/>
      <c r="S119" s="111"/>
      <c r="T119" s="111"/>
      <c r="U119" s="111"/>
      <c r="V119" s="111"/>
    </row>
    <row r="120" outlineLevel="1">
      <c r="A120" s="299" t="s">
        <v>251</v>
      </c>
      <c r="B120" s="300" t="s">
        <v>248</v>
      </c>
      <c r="C120" s="301"/>
      <c r="D120" s="307" t="str">
        <f t="array" ref="D120">INDEX('起きあがり'!$C$3:$C111, MATCH($A$1,'起きあがり'!$A$3:$A$115,0), MATCH(D105,'起きあがり'!$C$2,0))</f>
        <v>25</v>
      </c>
      <c r="E120" s="301"/>
      <c r="F120" s="301"/>
      <c r="G120" s="301"/>
      <c r="H120" s="228"/>
      <c r="I120" s="228"/>
      <c r="J120" s="117"/>
      <c r="K120" s="313" t="str">
        <f>'テンプレート'!K131</f>
        <v>踏み</v>
      </c>
      <c r="L120" s="314" t="str">
        <f>'テンプレート'!L131</f>
        <v>踏み</v>
      </c>
      <c r="M120" s="113">
        <v>8.0</v>
      </c>
      <c r="N120" s="315"/>
      <c r="O120" s="111"/>
      <c r="P120" s="111"/>
      <c r="Q120" s="111"/>
      <c r="R120" s="111"/>
      <c r="S120" s="111"/>
      <c r="T120" s="111"/>
      <c r="U120" s="111"/>
      <c r="V120" s="111"/>
    </row>
    <row r="121" outlineLevel="1">
      <c r="A121" s="146"/>
      <c r="B121" s="300" t="s">
        <v>216</v>
      </c>
      <c r="C121" s="307" t="str">
        <f t="array" ref="C121">INDEX('起きあがり'!$P$3:$Q$115, MATCH($A$1,'起きあがり'!$A$3:$A$115,0), MATCH(C105,'起きあがり'!$P$2:$AD$2,0))</f>
        <v>1-22</v>
      </c>
      <c r="D121" s="308">
        <f t="array" ref="D121">INDEX('起きあがり'!$P$3:$Q$115, MATCH($A$1,'起きあがり'!$A$3:$A$115,0), MATCH(D105,'起きあがり'!$P$2:$AD$2,0))</f>
        <v>29</v>
      </c>
      <c r="E121" s="301"/>
      <c r="F121" s="301"/>
      <c r="G121" s="301"/>
      <c r="H121" s="228"/>
      <c r="I121" s="228"/>
      <c r="J121" s="111"/>
      <c r="K121" s="305" t="str">
        <f>'テンプレート'!K132</f>
        <v>踏まれ</v>
      </c>
      <c r="L121" s="314" t="str">
        <f>'テンプレート'!L132</f>
        <v>地上踏まれ</v>
      </c>
      <c r="M121" s="113" t="s">
        <v>76</v>
      </c>
      <c r="N121" s="315"/>
      <c r="O121" s="228"/>
      <c r="P121" s="228"/>
      <c r="Q121" s="228"/>
      <c r="R121" s="228"/>
      <c r="S121" s="228"/>
      <c r="T121" s="228"/>
      <c r="U121" s="228"/>
      <c r="V121" s="228"/>
    </row>
    <row r="122" outlineLevel="1">
      <c r="A122" s="146"/>
      <c r="B122" s="300" t="s">
        <v>245</v>
      </c>
      <c r="C122" s="307" t="str">
        <f t="array" ref="C122">INDEX('起きあがり'!$R$3:$S$115, MATCH($A$1,'起きあがり'!$A$3:$A$115,0), MATCH(C105,'起きあがり'!$R$2:$AD$2,0))</f>
        <v>1-14</v>
      </c>
      <c r="D122" s="308">
        <f t="array" ref="D122">INDEX('起きあがり'!$R$3:$S$115, MATCH($A$1,'起きあがり'!$A$3:$A$115,0), MATCH(D105,'起きあがり'!$R$2:$AD$2,0))</f>
        <v>35</v>
      </c>
      <c r="E122" s="301"/>
      <c r="F122" s="301"/>
      <c r="G122" s="301"/>
      <c r="H122" s="228"/>
      <c r="I122" s="228"/>
      <c r="J122" s="117"/>
      <c r="K122" s="146"/>
      <c r="L122" s="314" t="str">
        <f>'テンプレート'!L133</f>
        <v>地上硬直</v>
      </c>
      <c r="M122" s="113">
        <v>28.0</v>
      </c>
      <c r="N122" s="102"/>
      <c r="O122" s="118"/>
      <c r="P122" s="118"/>
      <c r="Q122" s="118"/>
      <c r="R122" s="118"/>
      <c r="S122" s="118"/>
      <c r="T122" s="118"/>
      <c r="U122" s="118"/>
      <c r="V122" s="118"/>
    </row>
    <row r="123" outlineLevel="1">
      <c r="A123" s="146"/>
      <c r="B123" s="300" t="s">
        <v>246</v>
      </c>
      <c r="C123" s="307" t="str">
        <f t="array" ref="C123">INDEX('起きあがり'!$T$3:$U$115, MATCH($A$1,'起きあがり'!$A$3:$A$115,0), MATCH(C105,'起きあがり'!$T$2:$AD$2,0))</f>
        <v>1-24</v>
      </c>
      <c r="D123" s="308">
        <f t="array" ref="D123">INDEX('起きあがり'!$T$3:$U$115, MATCH($A$1,'起きあがり'!$A$3:$A$115,0), MATCH(D105,'起きあがり'!$T$2:$AD$2,0))</f>
        <v>35</v>
      </c>
      <c r="E123" s="301"/>
      <c r="F123" s="301"/>
      <c r="G123" s="301"/>
      <c r="H123" s="228"/>
      <c r="I123" s="228"/>
      <c r="J123" s="111"/>
      <c r="K123" s="146"/>
      <c r="L123" s="314" t="str">
        <f>'テンプレート'!L134</f>
        <v>空中踏まれ</v>
      </c>
      <c r="M123" s="113">
        <v>8.0</v>
      </c>
      <c r="N123" s="102"/>
      <c r="O123" s="118"/>
      <c r="P123" s="118"/>
      <c r="Q123" s="118"/>
      <c r="R123" s="118"/>
      <c r="S123" s="118"/>
      <c r="T123" s="118"/>
      <c r="U123" s="118"/>
      <c r="V123" s="118"/>
    </row>
    <row r="124" outlineLevel="1">
      <c r="A124" s="146"/>
      <c r="B124" s="300" t="s">
        <v>249</v>
      </c>
      <c r="C124" s="309" t="str">
        <f t="array" ref="C124">INDEX('起きあがり'!$V$3:$Y$115, MATCH($A$1,'起きあがり'!$A$3:$A$115,0), MATCH(C105,'起きあがり'!$V$2:$AD$2,0))</f>
        <v>1-24</v>
      </c>
      <c r="D124" s="310">
        <f t="array" ref="D124">INDEX('起きあがり'!$V$3:$Y$115, MATCH($A$1,'起きあがり'!$A$3:$A$115,0), MATCH(D105,'起きあがり'!$V$2:$AD$2,0))</f>
        <v>45</v>
      </c>
      <c r="E124" s="307" t="str">
        <f t="array" ref="E124">INDEX('起きあがり'!$V$3:$Y$115, MATCH($A$1,'起きあがり'!$A$3:$A$115,0), MATCH(E105,'起きあがり'!$V$2:$AD$2,0))</f>
        <v>18-19</v>
      </c>
      <c r="F124" s="308">
        <f t="array" ref="F124">INDEX('起きあがり'!$V$3:$Y$115, MATCH($A$1,'起きあがり'!$A$3:$A$115,0), MATCH(F105,'起きあがり'!$V$2:$AD$2,0))</f>
        <v>7</v>
      </c>
      <c r="G124" s="113">
        <f t="shared" ref="G124:G125" si="2">F124*1.2</f>
        <v>8.4</v>
      </c>
      <c r="H124" s="228"/>
      <c r="I124" s="228"/>
      <c r="J124" s="117"/>
      <c r="K124" s="146"/>
      <c r="L124" s="314" t="str">
        <f>'テンプレート'!L135</f>
        <v>空中落下</v>
      </c>
      <c r="M124" s="113">
        <v>35.0</v>
      </c>
      <c r="N124" s="102"/>
      <c r="O124" s="118"/>
      <c r="P124" s="118"/>
      <c r="Q124" s="118"/>
      <c r="R124" s="118"/>
      <c r="S124" s="118"/>
      <c r="T124" s="118"/>
      <c r="U124" s="118"/>
      <c r="V124" s="118"/>
    </row>
    <row r="125" outlineLevel="1">
      <c r="A125" s="156"/>
      <c r="B125" s="311" t="s">
        <v>250</v>
      </c>
      <c r="C125" s="156"/>
      <c r="D125" s="156"/>
      <c r="E125" s="307" t="str">
        <f t="array" ref="E125">INDEX('起きあがり'!$Z$3:$AA$115, MATCH($A$1,'起きあがり'!$A$3:$A$115,0), MATCH(E105,'起きあがり'!$Z$2:$AD$2,0))</f>
        <v>23-24</v>
      </c>
      <c r="F125" s="308">
        <f t="array" ref="F125">INDEX('起きあがり'!$Z$3:$AA$115, MATCH($A$1,'起きあがり'!$A$3:$A$115,0), MATCH(F105,'起きあがり'!$Z$2:$AD$2,0))</f>
        <v>7</v>
      </c>
      <c r="G125" s="113">
        <f t="shared" si="2"/>
        <v>8.4</v>
      </c>
      <c r="H125" s="228"/>
      <c r="I125" s="228"/>
      <c r="J125" s="117"/>
      <c r="K125" s="304" t="str">
        <f>'テンプレート'!K136</f>
        <v>倒れダメージ</v>
      </c>
      <c r="L125" s="110"/>
      <c r="M125" s="298" t="str">
        <f>'テンプレート'!M136</f>
        <v>全体フレーム</v>
      </c>
      <c r="N125" s="102"/>
      <c r="O125" s="118"/>
      <c r="P125" s="118"/>
      <c r="Q125" s="118"/>
      <c r="R125" s="118"/>
      <c r="S125" s="118"/>
      <c r="T125" s="118"/>
      <c r="U125" s="118"/>
      <c r="V125" s="118"/>
    </row>
    <row r="126" outlineLevel="1">
      <c r="A126" s="299" t="s">
        <v>252</v>
      </c>
      <c r="B126" s="300" t="s">
        <v>253</v>
      </c>
      <c r="C126" s="307" t="str">
        <f t="array" ref="C126">INDEX('転倒'!$C$3:$D111, MATCH($A$1,'転倒'!$A$3:$A$115,0), MATCH(C105,'転倒'!$C$2:$AC$2,0))</f>
        <v>1-5</v>
      </c>
      <c r="D126" s="308">
        <f t="array" ref="D126">INDEX('転倒'!$C$3:$D111, MATCH($A$1,'転倒'!$A$3:$A$115,0), MATCH(D105,'転倒'!$C$2:$AC$2,0))</f>
        <v>29</v>
      </c>
      <c r="E126" s="301"/>
      <c r="F126" s="301"/>
      <c r="G126" s="301"/>
      <c r="H126" s="228"/>
      <c r="I126" s="228"/>
      <c r="J126" s="111"/>
      <c r="K126" s="313" t="str">
        <f>'テンプレート'!K137</f>
        <v>あお向け倒れ</v>
      </c>
      <c r="L126" s="306" t="str">
        <f>'テンプレート'!L137</f>
        <v>モーション大</v>
      </c>
      <c r="M126" s="113">
        <v>39.0</v>
      </c>
      <c r="N126" s="315"/>
      <c r="O126" s="118"/>
      <c r="P126" s="118"/>
      <c r="Q126" s="118"/>
      <c r="R126" s="118"/>
      <c r="S126" s="118"/>
      <c r="T126" s="118"/>
      <c r="U126" s="118"/>
      <c r="V126" s="118"/>
    </row>
    <row r="127" outlineLevel="1">
      <c r="A127" s="146"/>
      <c r="B127" s="300" t="s">
        <v>254</v>
      </c>
      <c r="C127" s="307" t="str">
        <f t="array" ref="C127">INDEX('転倒'!$E$3:$F111, MATCH($A$1,'転倒'!$A$3:$A$115,0), MATCH(C105,'転倒'!$E$2:$AC$2,0))</f>
        <v>1-5</v>
      </c>
      <c r="D127" s="308">
        <f t="array" ref="D127">INDEX('転倒'!$E$3:$F111, MATCH($A$1,'転倒'!$A$3:$A$115,0), MATCH(D105,'転倒'!$E$2:$AC$2,0))</f>
        <v>39</v>
      </c>
      <c r="E127" s="301"/>
      <c r="F127" s="301"/>
      <c r="G127" s="301"/>
      <c r="H127" s="228"/>
      <c r="I127" s="228"/>
      <c r="J127" s="117"/>
      <c r="K127" s="313" t="str">
        <f>'テンプレート'!K138</f>
        <v>うつ伏せ倒れ</v>
      </c>
      <c r="L127" s="306" t="str">
        <f>'テンプレート'!L138</f>
        <v>モーション大</v>
      </c>
      <c r="M127" s="113" t="s">
        <v>118</v>
      </c>
      <c r="N127" s="315"/>
      <c r="O127" s="118"/>
      <c r="P127" s="118"/>
      <c r="Q127" s="118"/>
      <c r="R127" s="118"/>
      <c r="S127" s="118"/>
      <c r="T127" s="118"/>
      <c r="U127" s="118"/>
      <c r="V127" s="118"/>
    </row>
    <row r="128" outlineLevel="1">
      <c r="A128" s="146"/>
      <c r="B128" s="300" t="s">
        <v>216</v>
      </c>
      <c r="C128" s="307" t="str">
        <f t="array" ref="C128">INDEX('転倒'!$G$3:$H$115, MATCH($A$1,'転倒'!$A$3:$A$115,0), MATCH(C105,'転倒'!$G$2:$AC$2,0))</f>
        <v>1-16</v>
      </c>
      <c r="D128" s="308">
        <f t="array" ref="D128">INDEX('転倒'!$G$3:$H$115, MATCH($A$1,'転倒'!$A$3:$A$115,0), MATCH(D105,'転倒'!$G$2:$AC$2,0))</f>
        <v>21</v>
      </c>
      <c r="E128" s="301"/>
      <c r="F128" s="301"/>
      <c r="G128" s="301"/>
      <c r="H128" s="228"/>
      <c r="I128" s="228"/>
      <c r="J128" s="111"/>
      <c r="K128" s="304" t="str">
        <f>'テンプレート'!K139</f>
        <v/>
      </c>
      <c r="L128" s="110"/>
      <c r="M128" s="298" t="str">
        <f>'テンプレート'!M139</f>
        <v/>
      </c>
      <c r="N128" s="102"/>
      <c r="O128" s="118"/>
      <c r="P128" s="118"/>
      <c r="Q128" s="118"/>
      <c r="R128" s="118"/>
      <c r="S128" s="118"/>
      <c r="T128" s="118"/>
      <c r="U128" s="118"/>
      <c r="V128" s="118"/>
    </row>
    <row r="129" outlineLevel="1">
      <c r="A129" s="146"/>
      <c r="B129" s="300" t="s">
        <v>245</v>
      </c>
      <c r="C129" s="307" t="str">
        <f t="array" ref="C129">INDEX('転倒'!$I$3:$J$115, MATCH($A$1,'転倒'!$A$3:$A$115,0), MATCH(C105,'転倒'!$I$2:$AC$2,0))</f>
        <v>1-9</v>
      </c>
      <c r="D129" s="308">
        <f t="array" ref="D129">INDEX('転倒'!$I$3:$J$115, MATCH($A$1,'転倒'!$A$3:$A$115,0), MATCH(D105,'転倒'!$I$2:$AC$2,0))</f>
        <v>28</v>
      </c>
      <c r="E129" s="301"/>
      <c r="F129" s="301"/>
      <c r="G129" s="301"/>
      <c r="H129" s="228"/>
      <c r="I129" s="228"/>
      <c r="J129" s="228"/>
      <c r="K129" s="316"/>
      <c r="L129" s="317" t="str">
        <f>'テンプレート'!L140</f>
        <v/>
      </c>
      <c r="M129" s="113" t="s">
        <v>76</v>
      </c>
      <c r="N129" s="102"/>
      <c r="O129" s="118"/>
      <c r="P129" s="118"/>
      <c r="Q129" s="118"/>
      <c r="R129" s="118"/>
      <c r="S129" s="118"/>
      <c r="T129" s="118"/>
      <c r="U129" s="118"/>
      <c r="V129" s="118"/>
    </row>
    <row r="130" outlineLevel="1">
      <c r="A130" s="146"/>
      <c r="B130" s="300" t="s">
        <v>246</v>
      </c>
      <c r="C130" s="307" t="str">
        <f t="array" ref="C130">INDEX('転倒'!$K$3:$L$115, MATCH($A$1,'転倒'!$A$3:$A$115,0), MATCH(C105,'転倒'!$K$2:$AC$2,0))</f>
        <v>1-9</v>
      </c>
      <c r="D130" s="308">
        <f t="array" ref="D130">INDEX('転倒'!$K$3:$L$115, MATCH($A$1,'転倒'!$A$3:$A$115,0), MATCH(D105,'転倒'!$K$2:$AC$2,0))</f>
        <v>28</v>
      </c>
      <c r="E130" s="301"/>
      <c r="F130" s="301"/>
      <c r="G130" s="301"/>
      <c r="H130" s="228"/>
      <c r="I130" s="228"/>
      <c r="J130" s="228"/>
      <c r="K130" s="318"/>
      <c r="L130" s="118"/>
      <c r="M130" s="118"/>
      <c r="N130" s="102"/>
      <c r="O130" s="118"/>
      <c r="P130" s="118"/>
      <c r="Q130" s="118"/>
      <c r="R130" s="118"/>
      <c r="S130" s="118"/>
      <c r="T130" s="118"/>
      <c r="U130" s="118"/>
      <c r="V130" s="118"/>
    </row>
    <row r="131" outlineLevel="1">
      <c r="A131" s="146"/>
      <c r="B131" s="300" t="s">
        <v>249</v>
      </c>
      <c r="C131" s="309" t="str">
        <f t="array" ref="C131">INDEX('転倒'!$M$3:$P$115, MATCH($A$1,'転倒'!$A$3:$A$115,0), MATCH(C105,'転倒'!$M$2:$AC$2,0))</f>
        <v>1-7</v>
      </c>
      <c r="D131" s="310">
        <f t="array" ref="D131">INDEX('転倒'!$M$3:$P$115, MATCH($A$1,'転倒'!$A$3:$A$115,0), MATCH(D105,'転倒'!$M$2:$AC$2,0))</f>
        <v>49</v>
      </c>
      <c r="E131" s="307" t="str">
        <f t="array" ref="E131">INDEX('転倒'!$M$3:$P$115, MATCH($A$1,'転倒'!$A$3:$A$115,0), MATCH(E105,'転倒'!$M$2:$AC$2,0))</f>
        <v>19-20</v>
      </c>
      <c r="F131" s="308">
        <f t="array" ref="F131">INDEX('転倒'!$M$3:$P$115, MATCH($A$1,'転倒'!$A$3:$A$115,0), MATCH(F105,'転倒'!$M$2:$AC$2,0))</f>
        <v>5</v>
      </c>
      <c r="G131" s="113">
        <f t="shared" ref="G131:G132" si="3">F131*1.2</f>
        <v>6</v>
      </c>
      <c r="H131" s="228"/>
      <c r="I131" s="228"/>
      <c r="J131" s="228"/>
      <c r="K131" s="118"/>
      <c r="L131" s="118"/>
      <c r="M131" s="118"/>
      <c r="N131" s="102"/>
      <c r="O131" s="102"/>
      <c r="P131" s="102"/>
      <c r="Q131" s="102"/>
      <c r="R131" s="118"/>
      <c r="S131" s="118"/>
      <c r="T131" s="118"/>
      <c r="U131" s="118"/>
      <c r="V131" s="118"/>
    </row>
    <row r="132" outlineLevel="1">
      <c r="A132" s="156"/>
      <c r="B132" s="311" t="s">
        <v>250</v>
      </c>
      <c r="C132" s="156"/>
      <c r="D132" s="156"/>
      <c r="E132" s="307" t="str">
        <f t="array" ref="E132">INDEX('転倒'!$Q$3:$R$115, MATCH($A$1,'転倒'!$A$3:$A$115,0), MATCH(E105,'転倒'!$Q$2:$AC$2,0))</f>
        <v>24-25</v>
      </c>
      <c r="F132" s="308">
        <f t="array" ref="F132">INDEX('転倒'!$Q$3:$R$115, MATCH($A$1,'転倒'!$A$3:$A$115,0), MATCH(F105,'転倒'!$Q$2:$AC$2,0))</f>
        <v>5</v>
      </c>
      <c r="G132" s="113">
        <f t="shared" si="3"/>
        <v>6</v>
      </c>
      <c r="H132" s="228"/>
      <c r="I132" s="228"/>
      <c r="J132" s="228"/>
      <c r="K132" s="118"/>
      <c r="L132" s="118"/>
      <c r="M132" s="118"/>
      <c r="N132" s="102"/>
      <c r="O132" s="102"/>
      <c r="P132" s="102"/>
      <c r="Q132" s="102"/>
      <c r="R132" s="118"/>
      <c r="S132" s="118"/>
      <c r="T132" s="118"/>
      <c r="U132" s="118"/>
      <c r="V132" s="118"/>
    </row>
    <row r="133" outlineLevel="1">
      <c r="A133" s="319"/>
      <c r="B133" s="320"/>
      <c r="C133" s="321"/>
      <c r="D133" s="321"/>
      <c r="E133" s="322"/>
      <c r="F133" s="322"/>
      <c r="G133" s="114"/>
      <c r="H133" s="228"/>
      <c r="I133" s="228"/>
      <c r="J133" s="228"/>
      <c r="K133" s="118"/>
      <c r="L133" s="118"/>
      <c r="M133" s="118"/>
      <c r="N133" s="102"/>
      <c r="O133" s="102"/>
      <c r="P133" s="102"/>
      <c r="Q133" s="102"/>
      <c r="R133" s="118"/>
      <c r="S133" s="118"/>
      <c r="T133" s="118"/>
      <c r="U133" s="118"/>
      <c r="V133" s="118"/>
    </row>
    <row r="134" outlineLevel="1">
      <c r="A134" s="323" t="s">
        <v>255</v>
      </c>
      <c r="B134" s="109"/>
      <c r="C134" s="321"/>
      <c r="D134" s="321"/>
      <c r="E134" s="322"/>
      <c r="F134" s="322"/>
      <c r="G134" s="114"/>
      <c r="H134" s="228"/>
      <c r="I134" s="228"/>
      <c r="J134" s="228"/>
      <c r="K134" s="118"/>
      <c r="L134" s="118"/>
      <c r="M134" s="118"/>
      <c r="N134" s="102"/>
      <c r="O134" s="102"/>
      <c r="P134" s="102"/>
      <c r="Q134" s="102"/>
      <c r="R134" s="118"/>
      <c r="S134" s="118"/>
      <c r="T134" s="118"/>
      <c r="U134" s="118"/>
      <c r="V134" s="118"/>
    </row>
    <row r="135" outlineLevel="1">
      <c r="A135" s="324" t="s">
        <v>256</v>
      </c>
      <c r="B135" s="109"/>
      <c r="C135" s="325" t="s">
        <v>257</v>
      </c>
      <c r="D135" s="325" t="s">
        <v>49</v>
      </c>
      <c r="E135" s="322"/>
      <c r="F135" s="322"/>
      <c r="G135" s="114"/>
      <c r="H135" s="228"/>
      <c r="I135" s="228"/>
      <c r="J135" s="228"/>
      <c r="K135" s="118"/>
      <c r="L135" s="118"/>
      <c r="M135" s="118"/>
      <c r="N135" s="102"/>
      <c r="O135" s="102"/>
      <c r="P135" s="102"/>
      <c r="Q135" s="102"/>
      <c r="R135" s="118"/>
      <c r="S135" s="118"/>
      <c r="T135" s="118"/>
      <c r="U135" s="118"/>
      <c r="V135" s="118"/>
    </row>
    <row r="136" outlineLevel="1">
      <c r="A136" s="326" t="s">
        <v>258</v>
      </c>
      <c r="B136" s="327" t="s">
        <v>216</v>
      </c>
      <c r="C136" s="328" t="str">
        <f t="array" ref="C136">INDEX('アイテム'!$C$3:$D$114, MATCH($A$1,'アイテム'!$A$3:$A$114,0), MATCH(C135,'アイテム'!$C$2:$AQ$2,0))</f>
        <v>2</v>
      </c>
      <c r="D136" s="328">
        <f t="array" ref="D136">INDEX('アイテム'!$C$3:$D$114, MATCH($A$1,'アイテム'!$A$3:$A$114,0), MATCH(D135,'アイテム'!$C$2:$AQ$2,0))</f>
        <v>7</v>
      </c>
      <c r="E136" s="322"/>
      <c r="F136" s="322"/>
      <c r="G136" s="114"/>
      <c r="H136" s="228"/>
      <c r="I136" s="228"/>
      <c r="J136" s="228"/>
      <c r="K136" s="118"/>
      <c r="L136" s="118"/>
      <c r="M136" s="118"/>
      <c r="N136" s="102"/>
      <c r="O136" s="102"/>
      <c r="P136" s="102"/>
      <c r="Q136" s="102"/>
      <c r="R136" s="118"/>
      <c r="S136" s="118"/>
      <c r="T136" s="118"/>
      <c r="U136" s="118"/>
      <c r="V136" s="118"/>
    </row>
    <row r="137" outlineLevel="1">
      <c r="A137" s="156"/>
      <c r="B137" s="327" t="s">
        <v>219</v>
      </c>
      <c r="C137" s="328" t="str">
        <f t="array" ref="C137">INDEX('アイテム'!$E$3:$F$114, MATCH($A$1,'アイテム'!$A$3:$A$114,0), MATCH(C135,'アイテム'!$C$2:$AQ$2,0))</f>
        <v>2</v>
      </c>
      <c r="D137" s="328">
        <f t="array" ref="D137">INDEX('アイテム'!$E$3:$F$114, MATCH($A$1,'アイテム'!$A$3:$A$114,0), MATCH(D135,'アイテム'!$C$2:$AQ$2,0))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329" t="s">
        <v>259</v>
      </c>
      <c r="B138" s="327" t="s">
        <v>216</v>
      </c>
      <c r="C138" s="328">
        <f t="array" ref="C138">INDEX('アイテム'!$AA$3:$AB$114, MATCH($A$1,'アイテム'!$A$3:$A$114,0), MATCH(C135,'アイテム'!$C$2:$AQ$2,0))</f>
        <v>3</v>
      </c>
      <c r="D138" s="328" t="str">
        <f t="array" ref="D138">INDEX('アイテム'!$AA$3:$AB$114, MATCH($A$1,'アイテム'!$A$3:$A$114,0), MATCH(D135,'アイテム'!$C$2:$AQ$2,0))</f>
        <v>12</v>
      </c>
      <c r="E138" s="322"/>
      <c r="F138" s="322"/>
      <c r="G138" s="114"/>
      <c r="H138" s="228"/>
      <c r="I138" s="228"/>
      <c r="J138" s="228"/>
      <c r="K138" s="118"/>
      <c r="L138" s="118"/>
      <c r="M138" s="118"/>
      <c r="N138" s="102"/>
      <c r="O138" s="102"/>
      <c r="P138" s="102"/>
      <c r="Q138" s="102"/>
      <c r="R138" s="118"/>
      <c r="S138" s="118"/>
      <c r="T138" s="118"/>
      <c r="U138" s="118"/>
      <c r="V138" s="118"/>
    </row>
    <row r="139" outlineLevel="1">
      <c r="A139" s="324" t="s">
        <v>260</v>
      </c>
      <c r="B139" s="109"/>
      <c r="C139" s="325" t="s">
        <v>261</v>
      </c>
      <c r="D139" s="325" t="s">
        <v>49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262</v>
      </c>
      <c r="B140" s="327" t="s">
        <v>226</v>
      </c>
      <c r="C140" s="328" t="str">
        <f t="array" ref="C140">INDEX('アイテム'!$G$3:$H$114, MATCH($A$1,'アイテム'!$A$3:$A$114,0), MATCH(C135,'アイテム'!$C$2:$AQ$2,0))</f>
        <v>10</v>
      </c>
      <c r="D140" s="328">
        <f t="array" ref="D140">INDEX('アイテム'!$G$3:$H$114, MATCH($A$1,'アイテム'!$A$3:$A$114,0), MATCH(D135,'アイテム'!$C$2:$AQ$2,0))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INDEX('アイテム'!$I$3:$J$114, MATCH($A$1,'アイテム'!$A$3:$A$114,0), MATCH(C135,'アイテム'!$C$2:$AQ$2,0))</f>
        <v>14</v>
      </c>
      <c r="D141" s="328">
        <f t="array" ref="D141">INDEX('アイテム'!$I$3:$J$114, MATCH($A$1,'アイテム'!$A$3:$A$114,0), MATCH(D135,'アイテム'!$C$2:$AQ$2,0))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INDEX('アイテム'!$K$3:$L$114, MATCH($A$1,'アイテム'!$A$3:$A$114,0), MATCH(C135,'アイテム'!$C$2:$AQ$2,0))</f>
        <v>15</v>
      </c>
      <c r="D142" s="328">
        <f t="array" ref="D142">INDEX('アイテム'!$K$3:$L$114, MATCH($A$1,'アイテム'!$A$3:$A$114,0), MATCH(D135,'アイテム'!$C$2:$AQ$2,0))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234</v>
      </c>
      <c r="C143" s="328" t="str">
        <f t="array" ref="C143">INDEX('アイテム'!$M$3:$N$114, MATCH($A$1,'アイテム'!$A$3:$A$114,0), MATCH(C135,'アイテム'!$C$2:$AQ$2,0))</f>
        <v>8</v>
      </c>
      <c r="D143" s="328">
        <f t="array" ref="D143">INDEX('アイテム'!$M$3:$N$114, MATCH($A$1,'アイテム'!$A$3:$A$114,0), MATCH(D135,'アイテム'!$C$2:$AQ$2,0))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219</v>
      </c>
      <c r="C144" s="328" t="str">
        <f t="array" ref="C144">INDEX('アイテム'!$O$3:$P$114, MATCH($A$1,'アイテム'!$A$3:$A$114,0), MATCH(C135,'アイテム'!$C$2:$AQ$2,0))</f>
        <v>6</v>
      </c>
      <c r="D144" s="328">
        <f t="array" ref="D144">INDEX('アイテム'!$O$3:$P$114, MATCH($A$1,'アイテム'!$A$3:$A$114,0), MATCH(D135,'アイテム'!$C$2:$AQ$2,0))</f>
        <v>29</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263</v>
      </c>
      <c r="C145" s="328" t="str">
        <f t="array" ref="C145">INDEX('アイテム'!$Q$3:$R$114, MATCH($A$1,'アイテム'!$A$3:$A$114,0), MATCH(C135,'アイテム'!$C$2:$AQ$2,0))</f>
        <v>7</v>
      </c>
      <c r="D145" s="328">
        <f t="array" ref="D145">INDEX('アイテム'!$Q$3:$R$114, MATCH($A$1,'アイテム'!$A$3:$A$114,0), MATCH(D135,'アイテム'!$C$2:$AQ$2,0))</f>
        <v>23</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264</v>
      </c>
      <c r="B146" s="327" t="s">
        <v>226</v>
      </c>
      <c r="C146" s="328" t="str">
        <f t="array" ref="C146">INDEX('アイテム'!$S$3:$T$114, MATCH($A$1,'アイテム'!$A$3:$A$114,0), MATCH(C135,'アイテム'!$C$2:$AQ$2,0))</f>
        <v>10</v>
      </c>
      <c r="D146" s="328">
        <f t="array" ref="D146">INDEX('アイテム'!$S$3:$T$114, MATCH($A$1,'アイテム'!$A$3:$A$114,0), MATCH(D135,'アイテム'!$C$2:$AQ$2,0))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229</v>
      </c>
      <c r="C147" s="328" t="str">
        <f t="array" ref="C147">INDEX('アイテム'!$U$3:$V$114, MATCH($A$1,'アイテム'!$A$3:$A$114,0), MATCH(C135,'アイテム'!$C$2:$AQ$2,0))</f>
        <v>14</v>
      </c>
      <c r="D147" s="328">
        <f t="array" ref="D147">INDEX('アイテム'!$U$3:$V$114, MATCH($A$1,'アイテム'!$A$3:$A$114,0), MATCH(D135,'アイテム'!$C$2:$AQ$2,0))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233</v>
      </c>
      <c r="C148" s="328" t="str">
        <f t="array" ref="C148">INDEX('アイテム'!$W$3:$X$114, MATCH($A$1,'アイテム'!$A$3:$A$114,0), MATCH(C135,'アイテム'!$C$2:$AQ$2,0))</f>
        <v>15</v>
      </c>
      <c r="D148" s="328">
        <f t="array" ref="D148">INDEX('アイテム'!$W$3:$X$114, MATCH($A$1,'アイテム'!$A$3:$A$114,0), MATCH(D135,'アイテム'!$C$2:$AQ$2,0))</f>
        <v>23</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234</v>
      </c>
      <c r="C149" s="328" t="str">
        <f t="array" ref="C149">INDEX('アイテム'!$Y$3:$Z$114, MATCH($A$1,'アイテム'!$A$3:$A$114,0), MATCH(C135,'アイテム'!$C$2:$AQ$2,0))</f>
        <v>8</v>
      </c>
      <c r="D149" s="328">
        <f t="array" ref="D149">INDEX('アイテム'!$Y$3:$Z$114, MATCH($A$1,'アイテム'!$A$3:$A$114,0), MATCH(D135,'アイテム'!$C$2:$AQ$2,0))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326" t="s">
        <v>265</v>
      </c>
      <c r="B150" s="327" t="s">
        <v>226</v>
      </c>
      <c r="C150" s="328">
        <f t="array" ref="C150">INDEX('アイテム'!$AC$3:$AD$114, MATCH($A$1,'アイテム'!$A$3:$A$114,0), MATCH(C135,'アイテム'!$C$2:$AQ$2,0))</f>
        <v>14</v>
      </c>
      <c r="D150" s="328" t="str">
        <f t="array" ref="D150">INDEX('アイテム'!$AC$3:$AD$114, MATCH($A$1,'アイテム'!$A$3:$A$114,0), MATCH(D135,'アイテム'!$C$2:$AQ$2,0))</f>
        <v>30</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229</v>
      </c>
      <c r="C151" s="328">
        <f t="array" ref="C151">INDEX('アイテム'!$AE$3:$AF$114, MATCH($A$1,'アイテム'!$A$3:$A$114,0), MATCH(C135,'アイテム'!$C$2:$AQ$2,0))</f>
        <v>17</v>
      </c>
      <c r="D151" s="328" t="str">
        <f t="array" ref="D151">INDEX('アイテム'!$AE$3:$AF$114, MATCH($A$1,'アイテム'!$A$3:$A$114,0), MATCH(D135,'アイテム'!$C$2:$AQ$2,0))</f>
        <v>30</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233</v>
      </c>
      <c r="C152" s="328">
        <f t="array" ref="C152">INDEX('アイテム'!$AG$3:$AH$114, MATCH($A$1,'アイテム'!$A$3:$A$114,0), MATCH(C135,'アイテム'!$C$2:$AQ$2,0))</f>
        <v>12</v>
      </c>
      <c r="D152" s="328" t="str">
        <f t="array" ref="D152">INDEX('アイテム'!$AG$3:$AH$114, MATCH($A$1,'アイテム'!$A$3:$A$114,0), MATCH(D135,'アイテム'!$C$2:$AQ$2,0))</f>
        <v>22</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234</v>
      </c>
      <c r="C153" s="328">
        <f t="array" ref="C153">INDEX('アイテム'!$AI$3:$AJ$114, MATCH($A$1,'アイテム'!$A$3:$A$114,0), MATCH(C135,'アイテム'!$C$2:$AQ$2,0))</f>
        <v>11</v>
      </c>
      <c r="D153" s="328" t="str">
        <f t="array" ref="D153">INDEX('アイテム'!$AI$3:$AJ$114, MATCH($A$1,'アイテム'!$A$3:$A$114,0), MATCH(D135,'アイテム'!$C$2:$AQ$2,0))</f>
        <v>22</v>
      </c>
      <c r="E153" s="322"/>
      <c r="F153" s="322"/>
      <c r="G153" s="114"/>
      <c r="H153" s="228"/>
      <c r="I153" s="228"/>
      <c r="J153" s="228"/>
      <c r="K153" s="118"/>
      <c r="L153" s="118"/>
      <c r="M153" s="118"/>
      <c r="N153" s="102"/>
      <c r="O153" s="102"/>
      <c r="P153" s="102"/>
      <c r="Q153" s="102"/>
      <c r="R153" s="118"/>
      <c r="S153" s="118"/>
      <c r="T153" s="118"/>
      <c r="U153" s="118"/>
      <c r="V153" s="118"/>
    </row>
  </sheetData>
  <mergeCells count="154">
    <mergeCell ref="R41:V41"/>
    <mergeCell ref="R42:V43"/>
    <mergeCell ref="R44:V45"/>
    <mergeCell ref="R46:V47"/>
    <mergeCell ref="R48:V48"/>
    <mergeCell ref="R49:V49"/>
    <mergeCell ref="H34:J34"/>
    <mergeCell ref="H35:J35"/>
    <mergeCell ref="H36:J36"/>
    <mergeCell ref="H37:J38"/>
    <mergeCell ref="U37:U38"/>
    <mergeCell ref="I42:I43"/>
    <mergeCell ref="J42:J43"/>
    <mergeCell ref="U53:U56"/>
    <mergeCell ref="U61:U66"/>
    <mergeCell ref="V61:V66"/>
    <mergeCell ref="U68:U69"/>
    <mergeCell ref="V68:V69"/>
    <mergeCell ref="U70:U71"/>
    <mergeCell ref="V70:V71"/>
    <mergeCell ref="I44:I45"/>
    <mergeCell ref="J44:J45"/>
    <mergeCell ref="I46:I47"/>
    <mergeCell ref="J46:J47"/>
    <mergeCell ref="H52:J52"/>
    <mergeCell ref="V53:V56"/>
    <mergeCell ref="V58:V59"/>
    <mergeCell ref="H53:J56"/>
    <mergeCell ref="H57:J57"/>
    <mergeCell ref="H61:J63"/>
    <mergeCell ref="H64:J66"/>
    <mergeCell ref="H67:J67"/>
    <mergeCell ref="H68:J69"/>
    <mergeCell ref="H70:J71"/>
    <mergeCell ref="G79:J79"/>
    <mergeCell ref="G80:J80"/>
    <mergeCell ref="G81:J82"/>
    <mergeCell ref="G83:J84"/>
    <mergeCell ref="G85:J86"/>
    <mergeCell ref="G87:J88"/>
    <mergeCell ref="G89:J90"/>
    <mergeCell ref="K115:K118"/>
    <mergeCell ref="K121:K124"/>
    <mergeCell ref="K125:L125"/>
    <mergeCell ref="K128:L128"/>
    <mergeCell ref="G91:J92"/>
    <mergeCell ref="G93:J94"/>
    <mergeCell ref="K105:L105"/>
    <mergeCell ref="K106:K107"/>
    <mergeCell ref="K108:L108"/>
    <mergeCell ref="K109:K114"/>
    <mergeCell ref="K119:L119"/>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9"/>
    <mergeCell ref="U28:U29"/>
    <mergeCell ref="H30:J32"/>
    <mergeCell ref="U30:U32"/>
    <mergeCell ref="H33:J33"/>
    <mergeCell ref="A24:B25"/>
    <mergeCell ref="A26:A27"/>
    <mergeCell ref="A28:A29"/>
    <mergeCell ref="D28:D29"/>
    <mergeCell ref="A30:A32"/>
    <mergeCell ref="C30:C32"/>
    <mergeCell ref="D37:D38"/>
    <mergeCell ref="A37:A38"/>
    <mergeCell ref="A40:B41"/>
    <mergeCell ref="A42:A43"/>
    <mergeCell ref="D42:D43"/>
    <mergeCell ref="A44:A45"/>
    <mergeCell ref="D44:D45"/>
    <mergeCell ref="D46:D47"/>
    <mergeCell ref="C58:C59"/>
    <mergeCell ref="D58:D59"/>
    <mergeCell ref="E58:E59"/>
    <mergeCell ref="F58:F59"/>
    <mergeCell ref="G58:G59"/>
    <mergeCell ref="H58:J59"/>
    <mergeCell ref="U58:U59"/>
    <mergeCell ref="H60:J60"/>
    <mergeCell ref="C118:C119"/>
    <mergeCell ref="C124:C125"/>
    <mergeCell ref="A101:A102"/>
    <mergeCell ref="A104:B105"/>
    <mergeCell ref="A106:A110"/>
    <mergeCell ref="A111:A113"/>
    <mergeCell ref="A114:A119"/>
    <mergeCell ref="D118:D119"/>
    <mergeCell ref="D124:D125"/>
    <mergeCell ref="A58:A59"/>
    <mergeCell ref="A61:A63"/>
    <mergeCell ref="D61:D63"/>
    <mergeCell ref="D64:D66"/>
    <mergeCell ref="A46:A47"/>
    <mergeCell ref="A51:B51"/>
    <mergeCell ref="A52:B52"/>
    <mergeCell ref="A53:A54"/>
    <mergeCell ref="A55:A56"/>
    <mergeCell ref="A57:B57"/>
    <mergeCell ref="A60:B60"/>
    <mergeCell ref="A64:A66"/>
    <mergeCell ref="A67:B67"/>
    <mergeCell ref="A68:A69"/>
    <mergeCell ref="D68:D69"/>
    <mergeCell ref="A70:A71"/>
    <mergeCell ref="D70:D71"/>
    <mergeCell ref="A73:B74"/>
    <mergeCell ref="D87:D88"/>
    <mergeCell ref="D89:D90"/>
    <mergeCell ref="D91:D92"/>
    <mergeCell ref="D93:D94"/>
    <mergeCell ref="A76:A78"/>
    <mergeCell ref="A79:B79"/>
    <mergeCell ref="A81:A82"/>
    <mergeCell ref="D81:D82"/>
    <mergeCell ref="A83:A84"/>
    <mergeCell ref="D83:D84"/>
    <mergeCell ref="D85:D86"/>
    <mergeCell ref="A85:A86"/>
    <mergeCell ref="A87:A88"/>
    <mergeCell ref="A89:A90"/>
    <mergeCell ref="A91:A92"/>
    <mergeCell ref="A93:A94"/>
    <mergeCell ref="A96:B97"/>
    <mergeCell ref="A98:A100"/>
    <mergeCell ref="A136:A137"/>
    <mergeCell ref="A140:A145"/>
    <mergeCell ref="A146:A149"/>
    <mergeCell ref="A150:A153"/>
    <mergeCell ref="A120:A125"/>
    <mergeCell ref="A126:A132"/>
    <mergeCell ref="C131:C132"/>
    <mergeCell ref="D131:D132"/>
    <mergeCell ref="A134:B134"/>
    <mergeCell ref="A135:B135"/>
    <mergeCell ref="A139:B139"/>
  </mergeCells>
  <conditionalFormatting sqref="K1:K15 K17:K55 K57:K129">
    <cfRule type="containsText" dxfId="0" priority="1" operator="containsText" text="361">
      <formula>NOT(ISERROR(SEARCH(("361"),(K1))))</formula>
    </cfRule>
  </conditionalFormatting>
  <conditionalFormatting sqref="K1:K15 K17:K55 K57:K129">
    <cfRule type="containsText" dxfId="1" priority="2" operator="containsText" text="363">
      <formula>NOT(ISERROR(SEARCH(("363"),(K1))))</formula>
    </cfRule>
  </conditionalFormatting>
  <conditionalFormatting sqref="K1:K15 K17:K55 K57:K129">
    <cfRule type="containsText" dxfId="1" priority="3" operator="containsText" text="365">
      <formula>NOT(ISERROR(SEARCH(("365"),(K1))))</formula>
    </cfRule>
  </conditionalFormatting>
  <conditionalFormatting sqref="K1:K15 K17:K55 K57:K129">
    <cfRule type="containsText" dxfId="1" priority="4" operator="containsText" text="366">
      <formula>NOT(ISERROR(SEARCH(("366"),(K1))))</formula>
    </cfRule>
  </conditionalFormatting>
  <conditionalFormatting sqref="K1:K15 K17:K55 K57:K129">
    <cfRule type="containsText" dxfId="1" priority="5" operator="containsText" text="367">
      <formula>NOT(ISERROR(SEARCH(("367"),(K1))))</formula>
    </cfRule>
  </conditionalFormatting>
  <conditionalFormatting sqref="P80:P94">
    <cfRule type="cellIs" dxfId="2" priority="6" operator="equal">
      <formula>"敵のみ"</formula>
    </cfRule>
  </conditionalFormatting>
  <conditionalFormatting sqref="C80:C94 E80:F81 K80:N80 O80:Q80 K81:N81 E83:F83 K83:Q83 E85:F85 K85:Q85 E87:F87 K87:Q87 E89:F89 K89:Q89 E91:F91 K91:Q91 E93:F93 K93:O93 P93:P94 Q93">
    <cfRule type="cellIs" dxfId="3" priority="7" operator="equal">
      <formula>"-"</formula>
    </cfRule>
  </conditionalFormatting>
  <conditionalFormatting sqref="O1:O153 P81:Q90">
    <cfRule type="cellIs" dxfId="4" priority="8" operator="greaterThan">
      <formula>0</formula>
    </cfRule>
  </conditionalFormatting>
  <conditionalFormatting sqref="P1:Q153">
    <cfRule type="cellIs" dxfId="5" priority="9" operator="lessThan">
      <formula>1</formula>
    </cfRule>
  </conditionalFormatting>
  <conditionalFormatting sqref="P1:Q153">
    <cfRule type="cellIs" dxfId="4" priority="10" operator="greaterThan">
      <formula>1</formula>
    </cfRule>
  </conditionalFormatting>
  <conditionalFormatting sqref="N25:N55 N57:N94">
    <cfRule type="cellIs" dxfId="6" priority="11" operator="greaterThan">
      <formula>0</formula>
    </cfRule>
  </conditionalFormatting>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BB8D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417">
        <v>3.0</v>
      </c>
      <c r="B1" s="418"/>
      <c r="C1" s="419" t="str">
        <f>IMAGE(VLOOKUP($A$1,Fighters!A2:AI114,12,FALSE),1)</f>
        <v>#REF!</v>
      </c>
      <c r="D1" s="420"/>
      <c r="E1" s="420"/>
      <c r="F1" s="420"/>
      <c r="G1" s="421"/>
      <c r="H1" s="422"/>
      <c r="I1" s="420"/>
      <c r="J1" s="421"/>
      <c r="K1" s="423"/>
      <c r="L1" s="420"/>
      <c r="M1" s="421"/>
      <c r="N1" s="424"/>
      <c r="O1" s="424"/>
      <c r="P1" s="424"/>
      <c r="Q1" s="424"/>
      <c r="R1" s="425"/>
      <c r="S1" s="425"/>
      <c r="T1" s="425"/>
      <c r="U1" s="425"/>
      <c r="V1" s="425"/>
    </row>
    <row r="2">
      <c r="A2" s="426" t="str">
        <f>VLOOKUP($A$1,Fighters!$A$2:$AI$81,6,FALSE)</f>
        <v>#5bb8d4</v>
      </c>
      <c r="B2" s="418"/>
      <c r="C2" s="427"/>
      <c r="G2" s="428"/>
      <c r="H2" s="429"/>
      <c r="I2" s="430"/>
      <c r="J2" s="431"/>
      <c r="K2" s="429"/>
      <c r="L2" s="430"/>
      <c r="M2" s="431"/>
      <c r="N2" s="424"/>
      <c r="O2" s="424"/>
      <c r="P2" s="424"/>
      <c r="Q2" s="424"/>
      <c r="R2" s="425"/>
      <c r="S2" s="425"/>
      <c r="T2" s="425"/>
      <c r="U2" s="425"/>
      <c r="V2" s="425"/>
    </row>
    <row r="3">
      <c r="A3" s="426" t="str">
        <f>VLOOKUP($A$1,Fighters!$A$2:$AI$81,14,FALSE)</f>
        <v>3. リンク</v>
      </c>
      <c r="B3" s="418"/>
      <c r="C3" s="427"/>
      <c r="G3" s="428"/>
      <c r="H3" s="432"/>
      <c r="I3" s="432"/>
      <c r="J3" s="432"/>
      <c r="K3" s="433"/>
      <c r="L3" s="433"/>
      <c r="M3" s="433"/>
      <c r="N3" s="424"/>
      <c r="O3" s="424"/>
      <c r="P3" s="424"/>
      <c r="Q3" s="424"/>
      <c r="R3" s="434"/>
      <c r="S3" s="425"/>
      <c r="T3" s="425"/>
      <c r="U3" s="425"/>
      <c r="V3" s="425"/>
    </row>
    <row r="4">
      <c r="A4" s="426" t="str">
        <f>VLOOKUP($A$1,Fighters!$A$2:$AI$81,13,FALSE)</f>
        <v>1</v>
      </c>
      <c r="B4" s="418"/>
      <c r="C4" s="427"/>
      <c r="G4" s="428"/>
      <c r="H4" s="435"/>
      <c r="I4" s="435"/>
      <c r="J4" s="432"/>
      <c r="K4" s="433"/>
      <c r="L4" s="433"/>
      <c r="M4" s="433"/>
      <c r="N4" s="424"/>
      <c r="O4" s="424"/>
      <c r="P4" s="424"/>
      <c r="Q4" s="424"/>
      <c r="R4" s="434"/>
      <c r="S4" s="425"/>
      <c r="T4" s="425"/>
      <c r="U4" s="425"/>
      <c r="V4" s="425"/>
    </row>
    <row r="5" ht="16.5" customHeight="1">
      <c r="A5" s="417"/>
      <c r="B5" s="418"/>
      <c r="C5" s="427"/>
      <c r="G5" s="428"/>
      <c r="H5" s="436"/>
      <c r="I5" s="436"/>
      <c r="J5" s="437"/>
      <c r="K5" s="438"/>
      <c r="L5" s="439"/>
      <c r="M5" s="439"/>
      <c r="N5" s="424"/>
      <c r="O5" s="424"/>
      <c r="P5" s="424"/>
      <c r="Q5" s="424"/>
      <c r="R5" s="434"/>
      <c r="S5" s="425"/>
      <c r="T5" s="425"/>
      <c r="U5" s="425"/>
      <c r="V5" s="425"/>
    </row>
    <row r="6">
      <c r="A6" s="418"/>
      <c r="B6" s="418"/>
      <c r="C6" s="427"/>
      <c r="G6" s="428"/>
      <c r="H6" s="435"/>
      <c r="I6" s="440" t="s">
        <v>39</v>
      </c>
      <c r="J6" s="438"/>
      <c r="K6" s="441"/>
      <c r="L6" s="439"/>
      <c r="M6" s="439"/>
      <c r="N6" s="424"/>
      <c r="O6" s="424"/>
      <c r="P6" s="424"/>
      <c r="Q6" s="424"/>
      <c r="R6" s="434"/>
      <c r="S6" s="425"/>
      <c r="T6" s="425"/>
      <c r="U6" s="425"/>
      <c r="V6" s="425"/>
    </row>
    <row r="7">
      <c r="A7" s="418"/>
      <c r="B7" s="418"/>
      <c r="C7" s="427"/>
      <c r="G7" s="428"/>
      <c r="H7" s="436"/>
      <c r="I7" s="436"/>
      <c r="J7" s="438"/>
      <c r="K7" s="441"/>
      <c r="L7" s="439"/>
      <c r="M7" s="439"/>
      <c r="N7" s="424"/>
      <c r="O7" s="424"/>
      <c r="P7" s="424"/>
      <c r="Q7" s="424"/>
      <c r="R7" s="434"/>
      <c r="S7" s="425"/>
      <c r="T7" s="425"/>
      <c r="U7" s="425"/>
      <c r="V7" s="425"/>
    </row>
    <row r="8">
      <c r="A8" s="418"/>
      <c r="B8" s="418"/>
      <c r="C8" s="427"/>
      <c r="G8" s="428"/>
      <c r="H8" s="442">
        <v>44533.407643831015</v>
      </c>
      <c r="I8" s="420"/>
      <c r="J8" s="421"/>
      <c r="K8" s="438"/>
      <c r="L8" s="439"/>
      <c r="M8" s="439"/>
      <c r="N8" s="424"/>
      <c r="O8" s="424"/>
      <c r="P8" s="424"/>
      <c r="Q8" s="424"/>
      <c r="R8" s="434"/>
      <c r="S8" s="425"/>
      <c r="T8" s="425"/>
      <c r="U8" s="425"/>
      <c r="V8" s="425"/>
    </row>
    <row r="9">
      <c r="A9" s="418"/>
      <c r="B9" s="418"/>
      <c r="C9" s="427"/>
      <c r="G9" s="428"/>
      <c r="H9" s="429"/>
      <c r="I9" s="430"/>
      <c r="J9" s="431"/>
      <c r="K9" s="425"/>
      <c r="L9" s="424"/>
      <c r="M9" s="424"/>
      <c r="N9" s="424"/>
      <c r="O9" s="424"/>
      <c r="P9" s="424"/>
      <c r="Q9" s="424"/>
      <c r="R9" s="434"/>
      <c r="S9" s="425"/>
      <c r="T9" s="425"/>
      <c r="U9" s="425"/>
      <c r="V9" s="425"/>
    </row>
    <row r="10">
      <c r="A10" s="443"/>
      <c r="B10" s="418"/>
      <c r="C10" s="427"/>
      <c r="G10" s="428"/>
      <c r="H10" s="444"/>
      <c r="I10" s="444"/>
      <c r="J10" s="425"/>
      <c r="K10" s="425"/>
      <c r="L10" s="424"/>
      <c r="M10" s="424"/>
      <c r="N10" s="424"/>
      <c r="O10" s="424"/>
      <c r="P10" s="424"/>
      <c r="Q10" s="424"/>
      <c r="R10" s="434"/>
      <c r="S10" s="425"/>
      <c r="T10" s="425"/>
      <c r="U10" s="425"/>
      <c r="V10" s="425"/>
    </row>
    <row r="11">
      <c r="A11" s="445"/>
      <c r="B11" s="418"/>
      <c r="C11" s="427"/>
      <c r="G11" s="428"/>
      <c r="H11" s="436"/>
      <c r="I11" s="436"/>
      <c r="J11" s="425"/>
      <c r="K11" s="425"/>
      <c r="L11" s="424"/>
      <c r="M11" s="424"/>
      <c r="N11" s="424"/>
      <c r="O11" s="424"/>
      <c r="P11" s="424"/>
      <c r="Q11" s="424"/>
      <c r="R11" s="434"/>
      <c r="S11" s="425"/>
      <c r="T11" s="425"/>
      <c r="U11" s="425"/>
      <c r="V11" s="425"/>
    </row>
    <row r="12">
      <c r="A12" s="436"/>
      <c r="B12" s="418"/>
      <c r="C12" s="429"/>
      <c r="D12" s="430"/>
      <c r="E12" s="430"/>
      <c r="F12" s="430"/>
      <c r="G12" s="431"/>
      <c r="H12" s="446"/>
      <c r="I12" s="446"/>
      <c r="J12" s="418"/>
      <c r="K12" s="418"/>
      <c r="L12" s="424"/>
      <c r="M12" s="424"/>
      <c r="N12" s="424"/>
      <c r="O12" s="424"/>
      <c r="P12" s="424"/>
      <c r="Q12" s="424"/>
      <c r="R12" s="434"/>
      <c r="S12" s="425"/>
      <c r="T12" s="425"/>
      <c r="U12" s="425"/>
      <c r="V12" s="425"/>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104 [22nd]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33F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1.98 [30th]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447"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1.247 [23rd]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0.17567 [11th]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27.8 [76th]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1.534 [71st]</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22F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0.113 [34th]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13.38 [76th]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0.924 [75th]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30F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 [67th]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 [43rd]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0.0038 [85th]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3.04 [6th]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0.096 [38th]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403" t="s">
        <v>319</v>
      </c>
      <c r="D26" s="448" t="s">
        <v>173</v>
      </c>
      <c r="E26" s="136" t="s">
        <v>204</v>
      </c>
      <c r="F26" s="138">
        <v>3.6</v>
      </c>
      <c r="G26" s="139" t="s">
        <v>147</v>
      </c>
      <c r="H26" s="449" t="s">
        <v>399</v>
      </c>
      <c r="I26" s="110"/>
      <c r="J26" s="109"/>
      <c r="K26" s="138"/>
      <c r="L26" s="282"/>
      <c r="M26" s="363"/>
      <c r="N26" s="363"/>
      <c r="O26" s="145">
        <v>0.0</v>
      </c>
      <c r="P26" s="145">
        <v>1.0</v>
      </c>
      <c r="Q26" s="145">
        <v>1.0</v>
      </c>
      <c r="R26" s="100"/>
      <c r="S26" s="100"/>
      <c r="T26" s="100"/>
      <c r="U26" s="145" t="s">
        <v>62</v>
      </c>
      <c r="V26" s="100"/>
    </row>
    <row r="27" outlineLevel="1">
      <c r="A27" s="146"/>
      <c r="B27" s="147" t="s">
        <v>63</v>
      </c>
      <c r="C27" s="148" t="s">
        <v>267</v>
      </c>
      <c r="D27" s="149" t="s">
        <v>268</v>
      </c>
      <c r="E27" s="149" t="s">
        <v>204</v>
      </c>
      <c r="F27" s="138">
        <v>3.6</v>
      </c>
      <c r="G27" s="216" t="s">
        <v>147</v>
      </c>
      <c r="H27" s="362" t="s">
        <v>400</v>
      </c>
      <c r="I27" s="110"/>
      <c r="J27" s="109"/>
      <c r="K27" s="282"/>
      <c r="L27" s="282"/>
      <c r="M27" s="363"/>
      <c r="N27" s="363"/>
      <c r="O27" s="145">
        <v>0.0</v>
      </c>
      <c r="P27" s="145">
        <v>1.0</v>
      </c>
      <c r="Q27" s="145">
        <v>1.0</v>
      </c>
      <c r="R27" s="100"/>
      <c r="S27" s="100"/>
      <c r="T27" s="100"/>
      <c r="U27" s="145" t="s">
        <v>69</v>
      </c>
      <c r="V27" s="100"/>
    </row>
    <row r="28" outlineLevel="1">
      <c r="A28" s="156"/>
      <c r="B28" s="147" t="s">
        <v>70</v>
      </c>
      <c r="C28" s="148" t="s">
        <v>217</v>
      </c>
      <c r="D28" s="149" t="s">
        <v>218</v>
      </c>
      <c r="E28" s="149" t="s">
        <v>73</v>
      </c>
      <c r="F28" s="138">
        <v>4.8</v>
      </c>
      <c r="G28" s="216" t="s">
        <v>75</v>
      </c>
      <c r="H28" s="366"/>
      <c r="I28" s="110"/>
      <c r="J28" s="109"/>
      <c r="K28" s="282"/>
      <c r="L28" s="282"/>
      <c r="M28" s="363"/>
      <c r="N28" s="363"/>
      <c r="O28" s="145">
        <v>0.0</v>
      </c>
      <c r="P28" s="145">
        <v>1.0</v>
      </c>
      <c r="Q28" s="145">
        <v>1.0</v>
      </c>
      <c r="R28" s="100"/>
      <c r="S28" s="100"/>
      <c r="T28" s="100"/>
      <c r="U28" s="145"/>
      <c r="V28" s="100"/>
    </row>
    <row r="29" outlineLevel="1">
      <c r="A29" s="170" t="s">
        <v>77</v>
      </c>
      <c r="B29" s="160"/>
      <c r="C29" s="148" t="s">
        <v>401</v>
      </c>
      <c r="D29" s="157" t="s">
        <v>402</v>
      </c>
      <c r="E29" s="149" t="s">
        <v>403</v>
      </c>
      <c r="F29" s="138" t="s">
        <v>404</v>
      </c>
      <c r="G29" s="450" t="s">
        <v>405</v>
      </c>
      <c r="H29" s="140" t="s">
        <v>406</v>
      </c>
      <c r="I29" s="110"/>
      <c r="J29" s="109"/>
      <c r="K29" s="138"/>
      <c r="L29" s="282"/>
      <c r="M29" s="363"/>
      <c r="N29" s="363"/>
      <c r="O29" s="145">
        <v>0.0</v>
      </c>
      <c r="P29" s="145">
        <v>1.0</v>
      </c>
      <c r="Q29" s="145">
        <v>1.0</v>
      </c>
      <c r="R29" s="100"/>
      <c r="S29" s="100"/>
      <c r="T29" s="100"/>
      <c r="U29" s="145" t="s">
        <v>69</v>
      </c>
      <c r="V29" s="100"/>
    </row>
    <row r="30" outlineLevel="1">
      <c r="A30" s="133" t="s">
        <v>89</v>
      </c>
      <c r="B30" s="147"/>
      <c r="C30" s="148" t="s">
        <v>386</v>
      </c>
      <c r="D30" s="406" t="s">
        <v>118</v>
      </c>
      <c r="E30" s="149" t="s">
        <v>228</v>
      </c>
      <c r="F30" s="138">
        <v>15.6</v>
      </c>
      <c r="G30" s="216" t="s">
        <v>407</v>
      </c>
      <c r="H30" s="283" t="s">
        <v>408</v>
      </c>
      <c r="I30" s="164"/>
      <c r="J30" s="104"/>
      <c r="K30" s="138"/>
      <c r="L30" s="282"/>
      <c r="M30" s="363"/>
      <c r="N30" s="363"/>
      <c r="O30" s="145">
        <v>0.0</v>
      </c>
      <c r="P30" s="145">
        <v>1.0</v>
      </c>
      <c r="Q30" s="145">
        <v>1.0</v>
      </c>
      <c r="R30" s="100"/>
      <c r="S30" s="100"/>
      <c r="T30" s="100"/>
      <c r="U30" s="166" t="s">
        <v>62</v>
      </c>
      <c r="V30" s="100"/>
    </row>
    <row r="31" outlineLevel="1">
      <c r="A31" s="156"/>
      <c r="B31" s="147" t="s">
        <v>84</v>
      </c>
      <c r="C31" s="148" t="s">
        <v>409</v>
      </c>
      <c r="D31" s="107"/>
      <c r="E31" s="149" t="s">
        <v>228</v>
      </c>
      <c r="F31" s="138">
        <v>15.6</v>
      </c>
      <c r="G31" s="216" t="s">
        <v>407</v>
      </c>
      <c r="H31" s="106"/>
      <c r="I31" s="168"/>
      <c r="J31" s="107"/>
      <c r="K31" s="282"/>
      <c r="L31" s="282"/>
      <c r="M31" s="363"/>
      <c r="N31" s="363"/>
      <c r="O31" s="145"/>
      <c r="P31" s="145"/>
      <c r="Q31" s="145"/>
      <c r="R31" s="100"/>
      <c r="S31" s="100"/>
      <c r="T31" s="100"/>
      <c r="U31" s="156"/>
      <c r="V31" s="100"/>
    </row>
    <row r="32" outlineLevel="1">
      <c r="A32" s="170" t="s">
        <v>97</v>
      </c>
      <c r="B32" s="160"/>
      <c r="C32" s="148" t="s">
        <v>410</v>
      </c>
      <c r="D32" s="157" t="s">
        <v>193</v>
      </c>
      <c r="E32" s="149" t="s">
        <v>232</v>
      </c>
      <c r="F32" s="138">
        <v>13.2</v>
      </c>
      <c r="G32" s="216" t="s">
        <v>121</v>
      </c>
      <c r="H32" s="140" t="s">
        <v>408</v>
      </c>
      <c r="I32" s="110"/>
      <c r="J32" s="109"/>
      <c r="K32" s="282"/>
      <c r="L32" s="282"/>
      <c r="M32" s="363"/>
      <c r="N32" s="363"/>
      <c r="O32" s="145">
        <v>0.0</v>
      </c>
      <c r="P32" s="145">
        <v>1.0</v>
      </c>
      <c r="Q32" s="145">
        <v>1.0</v>
      </c>
      <c r="R32" s="100"/>
      <c r="S32" s="100"/>
      <c r="T32" s="100"/>
      <c r="U32" s="145" t="s">
        <v>62</v>
      </c>
      <c r="V32" s="100"/>
    </row>
    <row r="33" outlineLevel="1">
      <c r="A33" s="170" t="s">
        <v>103</v>
      </c>
      <c r="B33" s="160"/>
      <c r="C33" s="148" t="s">
        <v>223</v>
      </c>
      <c r="D33" s="149" t="s">
        <v>164</v>
      </c>
      <c r="E33" s="149" t="s">
        <v>274</v>
      </c>
      <c r="F33" s="138">
        <v>10.8</v>
      </c>
      <c r="G33" s="216" t="s">
        <v>275</v>
      </c>
      <c r="H33" s="140" t="s">
        <v>411</v>
      </c>
      <c r="I33" s="110"/>
      <c r="J33" s="109"/>
      <c r="K33" s="145"/>
      <c r="L33" s="363"/>
      <c r="M33" s="363"/>
      <c r="N33" s="363"/>
      <c r="O33" s="145">
        <v>0.0</v>
      </c>
      <c r="P33" s="145">
        <v>1.0</v>
      </c>
      <c r="Q33" s="145">
        <v>1.0</v>
      </c>
      <c r="R33" s="100"/>
      <c r="S33" s="100"/>
      <c r="T33" s="100"/>
      <c r="U33" s="145" t="s">
        <v>69</v>
      </c>
      <c r="V33" s="100"/>
    </row>
    <row r="34" ht="26.25" customHeight="1" outlineLevel="1">
      <c r="A34" s="133" t="s">
        <v>109</v>
      </c>
      <c r="B34" s="147" t="s">
        <v>412</v>
      </c>
      <c r="C34" s="148" t="s">
        <v>203</v>
      </c>
      <c r="D34" s="406" t="s">
        <v>413</v>
      </c>
      <c r="E34" s="149" t="s">
        <v>414</v>
      </c>
      <c r="F34" s="138" t="s">
        <v>415</v>
      </c>
      <c r="G34" s="216" t="s">
        <v>416</v>
      </c>
      <c r="H34" s="140" t="s">
        <v>417</v>
      </c>
      <c r="I34" s="110"/>
      <c r="J34" s="109"/>
      <c r="K34" s="282"/>
      <c r="L34" s="282"/>
      <c r="M34" s="363"/>
      <c r="N34" s="363"/>
      <c r="O34" s="145">
        <v>0.0</v>
      </c>
      <c r="P34" s="145">
        <v>1.0</v>
      </c>
      <c r="Q34" s="145">
        <v>1.0</v>
      </c>
      <c r="R34" s="100"/>
      <c r="S34" s="100"/>
      <c r="T34" s="100"/>
      <c r="U34" s="166" t="s">
        <v>88</v>
      </c>
      <c r="V34" s="100"/>
    </row>
    <row r="35" ht="26.25" customHeight="1" outlineLevel="1">
      <c r="A35" s="146"/>
      <c r="B35" s="147" t="s">
        <v>418</v>
      </c>
      <c r="C35" s="148" t="s">
        <v>419</v>
      </c>
      <c r="D35" s="210"/>
      <c r="E35" s="149" t="s">
        <v>150</v>
      </c>
      <c r="F35" s="138">
        <v>6.0</v>
      </c>
      <c r="G35" s="216" t="s">
        <v>147</v>
      </c>
      <c r="H35" s="283" t="s">
        <v>420</v>
      </c>
      <c r="I35" s="164"/>
      <c r="J35" s="104"/>
      <c r="K35" s="282"/>
      <c r="L35" s="282"/>
      <c r="M35" s="363"/>
      <c r="N35" s="363"/>
      <c r="O35" s="145">
        <v>0.0</v>
      </c>
      <c r="P35" s="145">
        <v>1.0</v>
      </c>
      <c r="Q35" s="145">
        <v>1.0</v>
      </c>
      <c r="R35" s="100"/>
      <c r="S35" s="100"/>
      <c r="T35" s="100"/>
      <c r="U35" s="146"/>
      <c r="V35" s="100"/>
    </row>
    <row r="36" ht="26.25" customHeight="1" outlineLevel="1">
      <c r="A36" s="146"/>
      <c r="B36" s="147" t="s">
        <v>421</v>
      </c>
      <c r="C36" s="148" t="s">
        <v>422</v>
      </c>
      <c r="D36" s="107"/>
      <c r="E36" s="149" t="s">
        <v>228</v>
      </c>
      <c r="F36" s="138">
        <v>15.6</v>
      </c>
      <c r="G36" s="216" t="s">
        <v>275</v>
      </c>
      <c r="H36" s="106"/>
      <c r="I36" s="168"/>
      <c r="J36" s="107"/>
      <c r="K36" s="282"/>
      <c r="L36" s="282"/>
      <c r="M36" s="363"/>
      <c r="N36" s="363"/>
      <c r="O36" s="145">
        <v>0.0</v>
      </c>
      <c r="P36" s="145">
        <v>1.0</v>
      </c>
      <c r="Q36" s="145">
        <v>1.0</v>
      </c>
      <c r="R36" s="100"/>
      <c r="S36" s="100"/>
      <c r="T36" s="100"/>
      <c r="U36" s="156"/>
      <c r="V36" s="100"/>
    </row>
    <row r="37" outlineLevel="1">
      <c r="A37" s="146"/>
      <c r="B37" s="147" t="s">
        <v>423</v>
      </c>
      <c r="C37" s="148" t="s">
        <v>223</v>
      </c>
      <c r="D37" s="149" t="s">
        <v>424</v>
      </c>
      <c r="E37" s="149" t="s">
        <v>425</v>
      </c>
      <c r="F37" s="138" t="s">
        <v>426</v>
      </c>
      <c r="G37" s="216" t="s">
        <v>427</v>
      </c>
      <c r="H37" s="140" t="s">
        <v>408</v>
      </c>
      <c r="I37" s="110"/>
      <c r="J37" s="109"/>
      <c r="K37" s="282"/>
      <c r="L37" s="282"/>
      <c r="M37" s="363"/>
      <c r="N37" s="363"/>
      <c r="O37" s="145">
        <v>0.0</v>
      </c>
      <c r="P37" s="145">
        <v>1.5</v>
      </c>
      <c r="Q37" s="145">
        <v>1.0</v>
      </c>
      <c r="R37" s="100"/>
      <c r="S37" s="100"/>
      <c r="T37" s="100"/>
      <c r="U37" s="145"/>
      <c r="V37" s="100"/>
    </row>
    <row r="38" outlineLevel="1">
      <c r="A38" s="133" t="s">
        <v>116</v>
      </c>
      <c r="B38" s="147" t="s">
        <v>125</v>
      </c>
      <c r="C38" s="214" t="s">
        <v>309</v>
      </c>
      <c r="D38" s="195" t="s">
        <v>428</v>
      </c>
      <c r="E38" s="137" t="s">
        <v>73</v>
      </c>
      <c r="F38" s="138">
        <v>4.8</v>
      </c>
      <c r="G38" s="216" t="s">
        <v>147</v>
      </c>
      <c r="H38" s="395" t="s">
        <v>429</v>
      </c>
      <c r="I38" s="164"/>
      <c r="J38" s="104"/>
      <c r="K38" s="363"/>
      <c r="L38" s="363"/>
      <c r="M38" s="363"/>
      <c r="N38" s="363"/>
      <c r="O38" s="145">
        <v>0.0</v>
      </c>
      <c r="P38" s="145">
        <v>1.0</v>
      </c>
      <c r="Q38" s="145">
        <v>0.5</v>
      </c>
      <c r="R38" s="100"/>
      <c r="S38" s="100"/>
      <c r="T38" s="100"/>
      <c r="U38" s="166" t="s">
        <v>62</v>
      </c>
      <c r="V38" s="100"/>
    </row>
    <row r="39" outlineLevel="1">
      <c r="A39" s="146"/>
      <c r="B39" s="147" t="s">
        <v>430</v>
      </c>
      <c r="C39" s="214" t="s">
        <v>295</v>
      </c>
      <c r="D39" s="210"/>
      <c r="E39" s="150" t="s">
        <v>73</v>
      </c>
      <c r="F39" s="138">
        <v>4.8</v>
      </c>
      <c r="G39" s="216" t="s">
        <v>147</v>
      </c>
      <c r="H39" s="212"/>
      <c r="J39" s="210"/>
      <c r="K39" s="363"/>
      <c r="L39" s="363"/>
      <c r="M39" s="363"/>
      <c r="N39" s="363"/>
      <c r="O39" s="145">
        <v>0.0</v>
      </c>
      <c r="P39" s="145">
        <v>1.0</v>
      </c>
      <c r="Q39" s="145">
        <v>0.5</v>
      </c>
      <c r="R39" s="100"/>
      <c r="S39" s="100"/>
      <c r="T39" s="100"/>
      <c r="U39" s="146"/>
      <c r="V39" s="100"/>
    </row>
    <row r="40" outlineLevel="1">
      <c r="A40" s="146"/>
      <c r="B40" s="147" t="s">
        <v>131</v>
      </c>
      <c r="C40" s="214" t="s">
        <v>431</v>
      </c>
      <c r="D40" s="210"/>
      <c r="E40" s="150" t="s">
        <v>204</v>
      </c>
      <c r="F40" s="138">
        <v>3.6</v>
      </c>
      <c r="G40" s="216" t="s">
        <v>60</v>
      </c>
      <c r="H40" s="212"/>
      <c r="J40" s="210"/>
      <c r="K40" s="363"/>
      <c r="L40" s="363"/>
      <c r="M40" s="363"/>
      <c r="N40" s="363"/>
      <c r="O40" s="145">
        <v>0.0</v>
      </c>
      <c r="P40" s="145">
        <v>1.0</v>
      </c>
      <c r="Q40" s="145">
        <v>0.5</v>
      </c>
      <c r="R40" s="100"/>
      <c r="S40" s="100"/>
      <c r="T40" s="100"/>
      <c r="U40" s="146"/>
      <c r="V40" s="100"/>
    </row>
    <row r="41" outlineLevel="1">
      <c r="A41" s="146"/>
      <c r="B41" s="147" t="s">
        <v>432</v>
      </c>
      <c r="C41" s="214" t="s">
        <v>433</v>
      </c>
      <c r="D41" s="210"/>
      <c r="E41" s="150" t="s">
        <v>204</v>
      </c>
      <c r="F41" s="138">
        <v>3.6</v>
      </c>
      <c r="G41" s="216" t="s">
        <v>60</v>
      </c>
      <c r="H41" s="212"/>
      <c r="J41" s="210"/>
      <c r="K41" s="363"/>
      <c r="L41" s="363"/>
      <c r="M41" s="363"/>
      <c r="N41" s="363"/>
      <c r="O41" s="145">
        <v>0.0</v>
      </c>
      <c r="P41" s="145">
        <v>1.0</v>
      </c>
      <c r="Q41" s="145">
        <v>0.5</v>
      </c>
      <c r="R41" s="100"/>
      <c r="S41" s="100"/>
      <c r="T41" s="100"/>
      <c r="U41" s="146"/>
      <c r="V41" s="100"/>
    </row>
    <row r="42" outlineLevel="1">
      <c r="A42" s="156"/>
      <c r="B42" s="147" t="s">
        <v>434</v>
      </c>
      <c r="C42" s="214" t="s">
        <v>435</v>
      </c>
      <c r="D42" s="107"/>
      <c r="E42" s="150" t="s">
        <v>436</v>
      </c>
      <c r="F42" s="138" t="s">
        <v>437</v>
      </c>
      <c r="G42" s="216" t="s">
        <v>438</v>
      </c>
      <c r="H42" s="106"/>
      <c r="I42" s="168"/>
      <c r="J42" s="107"/>
      <c r="K42" s="363"/>
      <c r="L42" s="363"/>
      <c r="M42" s="363"/>
      <c r="N42" s="363"/>
      <c r="O42" s="145">
        <v>0.0</v>
      </c>
      <c r="P42" s="145">
        <v>1.0</v>
      </c>
      <c r="Q42" s="145">
        <v>1.0</v>
      </c>
      <c r="R42" s="100"/>
      <c r="S42" s="100"/>
      <c r="T42" s="100"/>
      <c r="U42" s="156"/>
      <c r="V42" s="100"/>
    </row>
    <row r="43" outlineLevel="1">
      <c r="A43" s="133" t="s">
        <v>124</v>
      </c>
      <c r="B43" s="147" t="s">
        <v>125</v>
      </c>
      <c r="C43" s="137" t="s">
        <v>373</v>
      </c>
      <c r="D43" s="195" t="s">
        <v>289</v>
      </c>
      <c r="E43" s="150" t="s">
        <v>439</v>
      </c>
      <c r="F43" s="138" t="s">
        <v>440</v>
      </c>
      <c r="G43" s="216" t="s">
        <v>441</v>
      </c>
      <c r="H43" s="395" t="s">
        <v>442</v>
      </c>
      <c r="I43" s="164"/>
      <c r="J43" s="104"/>
      <c r="K43" s="282"/>
      <c r="L43" s="282"/>
      <c r="M43" s="363"/>
      <c r="N43" s="363"/>
      <c r="O43" s="145">
        <v>0.0</v>
      </c>
      <c r="P43" s="145">
        <v>1.0</v>
      </c>
      <c r="Q43" s="145">
        <v>1.0</v>
      </c>
      <c r="R43" s="100"/>
      <c r="S43" s="100"/>
      <c r="T43" s="100"/>
      <c r="U43" s="166" t="s">
        <v>62</v>
      </c>
      <c r="V43" s="100"/>
    </row>
    <row r="44" outlineLevel="1">
      <c r="A44" s="156"/>
      <c r="B44" s="147" t="s">
        <v>131</v>
      </c>
      <c r="C44" s="150" t="s">
        <v>443</v>
      </c>
      <c r="D44" s="107"/>
      <c r="E44" s="150" t="s">
        <v>444</v>
      </c>
      <c r="F44" s="138" t="s">
        <v>445</v>
      </c>
      <c r="G44" s="216" t="s">
        <v>446</v>
      </c>
      <c r="H44" s="106"/>
      <c r="I44" s="168"/>
      <c r="J44" s="107"/>
      <c r="K44" s="282"/>
      <c r="L44" s="282"/>
      <c r="M44" s="363"/>
      <c r="N44" s="363"/>
      <c r="O44" s="145">
        <v>0.0</v>
      </c>
      <c r="P44" s="145">
        <v>1.0</v>
      </c>
      <c r="Q44" s="145">
        <v>1.0</v>
      </c>
      <c r="R44" s="100"/>
      <c r="S44" s="100"/>
      <c r="T44" s="100"/>
      <c r="U44" s="156"/>
      <c r="V44" s="100"/>
    </row>
    <row r="45">
      <c r="A45" s="118"/>
      <c r="B45" s="176"/>
      <c r="C45" s="118"/>
      <c r="D45" s="118"/>
      <c r="E45" s="118"/>
      <c r="F45" s="177"/>
      <c r="G45" s="177"/>
      <c r="H45" s="118"/>
      <c r="I45" s="118"/>
      <c r="J45" s="118"/>
      <c r="K45" s="118"/>
      <c r="L45" s="118"/>
      <c r="M45" s="118"/>
      <c r="N45" s="118"/>
      <c r="O45" s="118"/>
      <c r="P45" s="118"/>
      <c r="Q45" s="118"/>
      <c r="R45" s="118"/>
      <c r="S45" s="118"/>
      <c r="T45" s="118"/>
      <c r="U45" s="118"/>
      <c r="V45" s="118"/>
    </row>
    <row r="46">
      <c r="A46" s="178" t="str">
        <f>'テンプレート'!A55</f>
        <v>空中攻撃</v>
      </c>
      <c r="B46" s="104"/>
      <c r="C46" s="179"/>
      <c r="D46" s="179"/>
      <c r="E46" s="179"/>
      <c r="F46" s="180"/>
      <c r="G46" s="179"/>
      <c r="H46" s="180"/>
      <c r="I46" s="180"/>
      <c r="J46" s="181"/>
      <c r="K46" s="180"/>
      <c r="L46" s="180"/>
      <c r="M46" s="180"/>
      <c r="N46" s="180"/>
      <c r="O46" s="180"/>
      <c r="P46" s="180"/>
      <c r="Q46" s="180"/>
      <c r="R46" s="180"/>
      <c r="S46" s="180"/>
      <c r="T46" s="180"/>
      <c r="U46" s="180"/>
      <c r="V46" s="180"/>
    </row>
    <row r="47" outlineLevel="1">
      <c r="A47" s="106"/>
      <c r="B47" s="107"/>
      <c r="C47" s="182" t="str">
        <f>'テンプレート'!C56</f>
        <v>判定持続</v>
      </c>
      <c r="D47" s="183" t="str">
        <f>'テンプレート'!D56</f>
        <v>全体フレーム</v>
      </c>
      <c r="E47" s="182" t="str">
        <f>'テンプレート'!E56</f>
        <v>基礎ダメージ</v>
      </c>
      <c r="F47" s="184" t="str">
        <f>'テンプレート'!F56</f>
        <v>ダメージ (1v1)</v>
      </c>
      <c r="G47" s="184" t="str">
        <f>'テンプレート'!G56</f>
        <v>ダメ (1v1+小J)</v>
      </c>
      <c r="H47" s="185" t="str">
        <f>'テンプレート'!H56</f>
        <v>ガード硬直</v>
      </c>
      <c r="I47" s="184" t="str">
        <f>'テンプレート'!I56</f>
        <v>着地隙</v>
      </c>
      <c r="J47" s="184" t="s">
        <v>136</v>
      </c>
      <c r="K47" s="184" t="str">
        <f>'テンプレート'!K56</f>
        <v>ベクトル</v>
      </c>
      <c r="L47" s="184" t="str">
        <f>'テンプレート'!L56</f>
        <v>KBG (R.E.)</v>
      </c>
      <c r="M47" s="184" t="str">
        <f>'テンプレート'!M56</f>
        <v>BKB (R.A.)</v>
      </c>
      <c r="N47" s="184" t="str">
        <f>'テンプレート'!N56</f>
        <v>FKB (R.F.)</v>
      </c>
      <c r="O47" s="186" t="str">
        <f>'テンプレート'!O56</f>
        <v>盾削り値</v>
      </c>
      <c r="P47" s="184" t="str">
        <f>'テンプレート'!P56</f>
        <v>ﾋｯﾄｽﾄｯﾌﾟ</v>
      </c>
      <c r="Q47" s="186" t="str">
        <f>'テンプレート'!Q56</f>
        <v>ずらし</v>
      </c>
      <c r="R47" s="372" t="str">
        <f>'テンプレート'!R56</f>
        <v>備考</v>
      </c>
      <c r="S47" s="110"/>
      <c r="T47" s="110"/>
      <c r="U47" s="110"/>
      <c r="V47" s="110"/>
    </row>
    <row r="48" outlineLevel="1">
      <c r="A48" s="188" t="s">
        <v>144</v>
      </c>
      <c r="B48" s="373"/>
      <c r="C48" s="451" t="s">
        <v>447</v>
      </c>
      <c r="D48" s="452">
        <v>38.0</v>
      </c>
      <c r="E48" s="453" t="s">
        <v>448</v>
      </c>
      <c r="F48" s="193" t="s">
        <v>449</v>
      </c>
      <c r="G48" s="193" t="s">
        <v>450</v>
      </c>
      <c r="H48" s="138" t="s">
        <v>451</v>
      </c>
      <c r="I48" s="454" t="str">
        <f t="array" ref="I48">INDEX('空中攻撃'!$O$3:$AA$109, MATCH($A$1,'空中攻撃'!$A$3:$A$109,0), MATCH(A48,'空中攻撃'!$O$2:$S$2,0))</f>
        <v>6</v>
      </c>
      <c r="J48" s="455" t="s">
        <v>452</v>
      </c>
      <c r="K48" s="138"/>
      <c r="L48" s="282"/>
      <c r="M48" s="363"/>
      <c r="N48" s="363"/>
      <c r="O48" s="145">
        <v>0.0</v>
      </c>
      <c r="P48" s="145">
        <v>1.0</v>
      </c>
      <c r="Q48" s="145">
        <v>1.0</v>
      </c>
      <c r="R48" s="456"/>
      <c r="S48" s="164"/>
      <c r="T48" s="164"/>
      <c r="U48" s="164"/>
      <c r="V48" s="104"/>
    </row>
    <row r="49" outlineLevel="1">
      <c r="A49" s="156"/>
      <c r="B49" s="373" t="s">
        <v>84</v>
      </c>
      <c r="C49" s="457" t="s">
        <v>453</v>
      </c>
      <c r="D49" s="107"/>
      <c r="E49" s="458" t="s">
        <v>86</v>
      </c>
      <c r="F49" s="193">
        <v>7.2</v>
      </c>
      <c r="G49" s="193">
        <v>6.12</v>
      </c>
      <c r="H49" s="138" t="s">
        <v>60</v>
      </c>
      <c r="I49" s="156"/>
      <c r="J49" s="107"/>
      <c r="K49" s="138"/>
      <c r="L49" s="282"/>
      <c r="M49" s="363"/>
      <c r="N49" s="363"/>
      <c r="O49" s="145">
        <v>0.0</v>
      </c>
      <c r="P49" s="145">
        <v>1.0</v>
      </c>
      <c r="Q49" s="145">
        <v>1.0</v>
      </c>
      <c r="R49" s="106"/>
      <c r="S49" s="168"/>
      <c r="T49" s="168"/>
      <c r="U49" s="168"/>
      <c r="V49" s="107"/>
    </row>
    <row r="50" outlineLevel="1">
      <c r="A50" s="188" t="s">
        <v>151</v>
      </c>
      <c r="B50" s="459" t="s">
        <v>125</v>
      </c>
      <c r="C50" s="460" t="s">
        <v>454</v>
      </c>
      <c r="D50" s="195" t="s">
        <v>455</v>
      </c>
      <c r="E50" s="458" t="s">
        <v>80</v>
      </c>
      <c r="F50" s="193">
        <v>9.6</v>
      </c>
      <c r="G50" s="193">
        <v>8.16</v>
      </c>
      <c r="H50" s="138" t="s">
        <v>147</v>
      </c>
      <c r="I50" s="454" t="str">
        <f t="array" ref="I50">INDEX('空中攻撃'!$O$3:$AA$109, MATCH($A$1,'空中攻撃'!$A$3:$A$109,0), MATCH(A50,'空中攻撃'!$O$2:$S$2,0))</f>
        <v>11</v>
      </c>
      <c r="J50" s="195" t="s">
        <v>456</v>
      </c>
      <c r="K50" s="138"/>
      <c r="L50" s="282"/>
      <c r="M50" s="363"/>
      <c r="N50" s="363"/>
      <c r="O50" s="145">
        <v>0.0</v>
      </c>
      <c r="P50" s="145">
        <v>1.0</v>
      </c>
      <c r="Q50" s="145">
        <v>1.0</v>
      </c>
      <c r="R50" s="163" t="s">
        <v>457</v>
      </c>
      <c r="S50" s="164"/>
      <c r="T50" s="164"/>
      <c r="U50" s="164"/>
      <c r="V50" s="104"/>
    </row>
    <row r="51" outlineLevel="1">
      <c r="A51" s="156"/>
      <c r="B51" s="461" t="s">
        <v>131</v>
      </c>
      <c r="C51" s="460" t="s">
        <v>443</v>
      </c>
      <c r="D51" s="107"/>
      <c r="E51" s="458" t="s">
        <v>128</v>
      </c>
      <c r="F51" s="193">
        <v>12.0</v>
      </c>
      <c r="G51" s="193">
        <v>10.2</v>
      </c>
      <c r="H51" s="138" t="s">
        <v>147</v>
      </c>
      <c r="I51" s="156"/>
      <c r="J51" s="107"/>
      <c r="K51" s="138"/>
      <c r="L51" s="282"/>
      <c r="M51" s="363"/>
      <c r="N51" s="363"/>
      <c r="O51" s="145">
        <v>0.0</v>
      </c>
      <c r="P51" s="145">
        <v>1.2</v>
      </c>
      <c r="Q51" s="145">
        <v>1.0</v>
      </c>
      <c r="R51" s="106"/>
      <c r="S51" s="168"/>
      <c r="T51" s="168"/>
      <c r="U51" s="168"/>
      <c r="V51" s="107"/>
    </row>
    <row r="52" outlineLevel="1">
      <c r="A52" s="188" t="s">
        <v>157</v>
      </c>
      <c r="B52" s="461" t="s">
        <v>125</v>
      </c>
      <c r="C52" s="460" t="s">
        <v>458</v>
      </c>
      <c r="D52" s="452">
        <v>30.0</v>
      </c>
      <c r="E52" s="458" t="s">
        <v>150</v>
      </c>
      <c r="F52" s="193">
        <v>6.0</v>
      </c>
      <c r="G52" s="193">
        <v>5.1</v>
      </c>
      <c r="H52" s="138" t="s">
        <v>60</v>
      </c>
      <c r="I52" s="454">
        <f t="array" ref="I52">INDEX('空中攻撃'!$O$3:$AA$109, MATCH($A$1,'空中攻撃'!$A$3:$A$109,0), MATCH(A52,'空中攻撃'!$O$2:$S$2,0))</f>
        <v>6</v>
      </c>
      <c r="J52" s="455" t="s">
        <v>459</v>
      </c>
      <c r="K52" s="138"/>
      <c r="L52" s="282"/>
      <c r="M52" s="363"/>
      <c r="N52" s="363"/>
      <c r="O52" s="145">
        <v>0.0</v>
      </c>
      <c r="P52" s="145">
        <v>1.0</v>
      </c>
      <c r="Q52" s="145">
        <v>1.0</v>
      </c>
      <c r="R52" s="456"/>
      <c r="S52" s="164"/>
      <c r="T52" s="164"/>
      <c r="U52" s="164"/>
      <c r="V52" s="104"/>
    </row>
    <row r="53" outlineLevel="1">
      <c r="A53" s="156"/>
      <c r="B53" s="461" t="s">
        <v>131</v>
      </c>
      <c r="C53" s="460" t="s">
        <v>460</v>
      </c>
      <c r="D53" s="107"/>
      <c r="E53" s="458" t="s">
        <v>93</v>
      </c>
      <c r="F53" s="193">
        <v>8.4</v>
      </c>
      <c r="G53" s="193">
        <v>7.14</v>
      </c>
      <c r="H53" s="138" t="s">
        <v>60</v>
      </c>
      <c r="I53" s="156"/>
      <c r="J53" s="107"/>
      <c r="K53" s="138"/>
      <c r="L53" s="282"/>
      <c r="M53" s="363"/>
      <c r="N53" s="363"/>
      <c r="O53" s="145">
        <v>0.0</v>
      </c>
      <c r="P53" s="145">
        <v>1.0</v>
      </c>
      <c r="Q53" s="145">
        <v>1.0</v>
      </c>
      <c r="R53" s="106"/>
      <c r="S53" s="168"/>
      <c r="T53" s="168"/>
      <c r="U53" s="168"/>
      <c r="V53" s="107"/>
    </row>
    <row r="54" outlineLevel="1">
      <c r="A54" s="188" t="s">
        <v>162</v>
      </c>
      <c r="B54" s="373"/>
      <c r="C54" s="460" t="s">
        <v>461</v>
      </c>
      <c r="D54" s="452" t="s">
        <v>462</v>
      </c>
      <c r="E54" s="458" t="s">
        <v>386</v>
      </c>
      <c r="F54" s="193">
        <v>18.0</v>
      </c>
      <c r="G54" s="193">
        <v>15.3</v>
      </c>
      <c r="H54" s="138" t="s">
        <v>75</v>
      </c>
      <c r="I54" s="454" t="str">
        <f t="array" ref="I54">INDEX('空中攻撃'!$O$3:$AA$109, MATCH($A$1,'空中攻撃'!$A$3:$A$109,0), MATCH(A54,'空中攻撃'!$O$2:$S$2,0))</f>
        <v>14</v>
      </c>
      <c r="J54" s="379" t="s">
        <v>463</v>
      </c>
      <c r="K54" s="282"/>
      <c r="L54" s="282"/>
      <c r="M54" s="363"/>
      <c r="N54" s="363"/>
      <c r="O54" s="145">
        <v>0.0</v>
      </c>
      <c r="P54" s="145">
        <v>1.0</v>
      </c>
      <c r="Q54" s="145">
        <v>1.0</v>
      </c>
      <c r="R54" s="456"/>
      <c r="S54" s="164"/>
      <c r="T54" s="164"/>
      <c r="U54" s="164"/>
      <c r="V54" s="104"/>
    </row>
    <row r="55" outlineLevel="1">
      <c r="A55" s="156"/>
      <c r="B55" s="373" t="s">
        <v>84</v>
      </c>
      <c r="C55" s="457" t="s">
        <v>464</v>
      </c>
      <c r="D55" s="107"/>
      <c r="E55" s="458" t="s">
        <v>228</v>
      </c>
      <c r="F55" s="193">
        <v>15.6</v>
      </c>
      <c r="G55" s="193">
        <v>13.26</v>
      </c>
      <c r="H55" s="138" t="s">
        <v>75</v>
      </c>
      <c r="I55" s="156"/>
      <c r="J55" s="107"/>
      <c r="K55" s="282"/>
      <c r="L55" s="282"/>
      <c r="M55" s="363"/>
      <c r="N55" s="363"/>
      <c r="O55" s="145">
        <v>0.0</v>
      </c>
      <c r="P55" s="145">
        <v>1.0</v>
      </c>
      <c r="Q55" s="145">
        <v>1.0</v>
      </c>
      <c r="R55" s="106"/>
      <c r="S55" s="168"/>
      <c r="T55" s="168"/>
      <c r="U55" s="168"/>
      <c r="V55" s="107"/>
    </row>
    <row r="56" outlineLevel="1">
      <c r="A56" s="188" t="s">
        <v>166</v>
      </c>
      <c r="B56" s="373"/>
      <c r="C56" s="451" t="s">
        <v>465</v>
      </c>
      <c r="D56" s="454">
        <v>79.0</v>
      </c>
      <c r="E56" s="458" t="s">
        <v>466</v>
      </c>
      <c r="F56" s="193">
        <v>21.6</v>
      </c>
      <c r="G56" s="193">
        <v>18.36</v>
      </c>
      <c r="H56" s="138" t="s">
        <v>102</v>
      </c>
      <c r="I56" s="454">
        <f t="array" ref="I56">INDEX('空中攻撃'!$O$3:$AA$109, MATCH($A$1,'空中攻撃'!$A$3:$A$109,0), MATCH(A56,'空中攻撃'!$O$2:$S$2,0))</f>
        <v>19</v>
      </c>
      <c r="J56" s="455" t="s">
        <v>467</v>
      </c>
      <c r="K56" s="282"/>
      <c r="L56" s="282"/>
      <c r="M56" s="363"/>
      <c r="N56" s="363"/>
      <c r="O56" s="145">
        <v>0.0</v>
      </c>
      <c r="P56" s="145">
        <v>1.2</v>
      </c>
      <c r="Q56" s="145">
        <v>1.0</v>
      </c>
      <c r="R56" s="163" t="s">
        <v>468</v>
      </c>
      <c r="S56" s="164"/>
      <c r="T56" s="164"/>
      <c r="U56" s="164"/>
      <c r="V56" s="104"/>
    </row>
    <row r="57" outlineLevel="1">
      <c r="A57" s="146"/>
      <c r="B57" s="373" t="s">
        <v>84</v>
      </c>
      <c r="C57" s="451" t="s">
        <v>469</v>
      </c>
      <c r="D57" s="146"/>
      <c r="E57" s="458" t="s">
        <v>386</v>
      </c>
      <c r="F57" s="193">
        <v>18.0</v>
      </c>
      <c r="G57" s="193">
        <v>15.3</v>
      </c>
      <c r="H57" s="138" t="s">
        <v>75</v>
      </c>
      <c r="I57" s="146"/>
      <c r="J57" s="210"/>
      <c r="K57" s="282"/>
      <c r="L57" s="282"/>
      <c r="M57" s="363"/>
      <c r="N57" s="363"/>
      <c r="O57" s="145">
        <v>0.0</v>
      </c>
      <c r="P57" s="145">
        <v>1.0</v>
      </c>
      <c r="Q57" s="145">
        <v>1.0</v>
      </c>
      <c r="R57" s="212"/>
      <c r="V57" s="210"/>
    </row>
    <row r="58" outlineLevel="1">
      <c r="A58" s="156"/>
      <c r="B58" s="373" t="s">
        <v>470</v>
      </c>
      <c r="C58" s="453" t="s">
        <v>471</v>
      </c>
      <c r="D58" s="156"/>
      <c r="E58" s="458" t="s">
        <v>232</v>
      </c>
      <c r="F58" s="193">
        <v>13.2</v>
      </c>
      <c r="G58" s="193">
        <v>11.22</v>
      </c>
      <c r="H58" s="138" t="s">
        <v>147</v>
      </c>
      <c r="I58" s="156"/>
      <c r="J58" s="107"/>
      <c r="K58" s="282"/>
      <c r="L58" s="282"/>
      <c r="M58" s="363"/>
      <c r="N58" s="363"/>
      <c r="O58" s="145">
        <v>0.0</v>
      </c>
      <c r="P58" s="145">
        <v>1.0</v>
      </c>
      <c r="Q58" s="145">
        <v>1.0</v>
      </c>
      <c r="R58" s="106"/>
      <c r="S58" s="168"/>
      <c r="T58" s="168"/>
      <c r="U58" s="168"/>
      <c r="V58" s="107"/>
    </row>
    <row r="59">
      <c r="A59" s="223"/>
      <c r="B59" s="224"/>
      <c r="C59" s="225"/>
      <c r="D59" s="225"/>
      <c r="E59" s="226"/>
      <c r="F59" s="226"/>
      <c r="G59" s="226"/>
      <c r="H59" s="227"/>
      <c r="I59" s="227"/>
      <c r="J59" s="228"/>
      <c r="K59" s="228"/>
      <c r="L59" s="228"/>
      <c r="M59" s="228"/>
      <c r="N59" s="228"/>
      <c r="O59" s="228"/>
      <c r="P59" s="228"/>
      <c r="Q59" s="118"/>
      <c r="R59" s="118"/>
      <c r="S59" s="118"/>
      <c r="T59" s="118"/>
      <c r="U59" s="118"/>
      <c r="V59" s="118"/>
    </row>
    <row r="60">
      <c r="A60" s="229" t="s">
        <v>177</v>
      </c>
      <c r="B60" s="109"/>
      <c r="C60" s="225"/>
      <c r="D60" s="225"/>
      <c r="E60" s="226"/>
      <c r="F60" s="226"/>
      <c r="G60" s="226"/>
      <c r="H60" s="227"/>
      <c r="I60" s="227"/>
      <c r="J60" s="228"/>
      <c r="K60" s="228"/>
      <c r="L60" s="228"/>
      <c r="M60" s="228"/>
      <c r="N60" s="228"/>
      <c r="O60" s="228"/>
      <c r="P60" s="228"/>
      <c r="Q60" s="118"/>
      <c r="R60" s="118"/>
      <c r="S60" s="118"/>
      <c r="T60" s="118"/>
      <c r="U60" s="118"/>
      <c r="V60" s="118"/>
    </row>
    <row r="61" outlineLevel="1">
      <c r="A61" s="230" t="s">
        <v>472</v>
      </c>
      <c r="B61" s="109"/>
      <c r="C61" s="231" t="s">
        <v>48</v>
      </c>
      <c r="D61" s="231" t="s">
        <v>49</v>
      </c>
      <c r="E61" s="232" t="s">
        <v>50</v>
      </c>
      <c r="F61" s="233" t="s">
        <v>51</v>
      </c>
      <c r="G61" s="232" t="s">
        <v>52</v>
      </c>
      <c r="H61" s="382" t="s">
        <v>53</v>
      </c>
      <c r="I61" s="110"/>
      <c r="J61" s="109"/>
      <c r="K61" s="235" t="s">
        <v>137</v>
      </c>
      <c r="L61" s="235" t="s">
        <v>138</v>
      </c>
      <c r="M61" s="235" t="s">
        <v>139</v>
      </c>
      <c r="N61" s="235" t="s">
        <v>140</v>
      </c>
      <c r="O61" s="236" t="s">
        <v>141</v>
      </c>
      <c r="P61" s="235" t="s">
        <v>142</v>
      </c>
      <c r="Q61" s="236" t="s">
        <v>143</v>
      </c>
      <c r="R61" s="235" t="s">
        <v>179</v>
      </c>
      <c r="S61" s="236" t="s">
        <v>180</v>
      </c>
      <c r="T61" s="236" t="s">
        <v>181</v>
      </c>
      <c r="U61" s="236" t="s">
        <v>182</v>
      </c>
      <c r="V61" s="236" t="s">
        <v>183</v>
      </c>
    </row>
    <row r="62" outlineLevel="1">
      <c r="A62" s="237" t="s">
        <v>184</v>
      </c>
      <c r="B62" s="243" t="s">
        <v>473</v>
      </c>
      <c r="C62" s="365" t="s">
        <v>474</v>
      </c>
      <c r="D62" s="216" t="s">
        <v>393</v>
      </c>
      <c r="E62" s="239" t="s">
        <v>475</v>
      </c>
      <c r="F62" s="138" t="s">
        <v>476</v>
      </c>
      <c r="G62" s="239" t="s">
        <v>477</v>
      </c>
      <c r="H62" s="163" t="s">
        <v>478</v>
      </c>
      <c r="I62" s="164"/>
      <c r="J62" s="104"/>
      <c r="K62" s="282"/>
      <c r="L62" s="282"/>
      <c r="M62" s="363"/>
      <c r="N62" s="363"/>
      <c r="O62" s="138">
        <v>0.0</v>
      </c>
      <c r="P62" s="138">
        <v>0.8</v>
      </c>
      <c r="Q62" s="138">
        <v>1.0</v>
      </c>
      <c r="R62" s="145" t="b">
        <v>1</v>
      </c>
      <c r="S62" s="145" t="b">
        <v>1</v>
      </c>
      <c r="T62" s="145" t="b">
        <v>1</v>
      </c>
      <c r="U62" s="166" t="s">
        <v>186</v>
      </c>
      <c r="V62" s="166" t="b">
        <v>1</v>
      </c>
    </row>
    <row r="63" outlineLevel="1">
      <c r="A63" s="146"/>
      <c r="B63" s="462" t="s">
        <v>479</v>
      </c>
      <c r="C63" s="365" t="s">
        <v>474</v>
      </c>
      <c r="D63" s="195" t="s">
        <v>393</v>
      </c>
      <c r="E63" s="139" t="s">
        <v>480</v>
      </c>
      <c r="F63" s="463" t="s">
        <v>481</v>
      </c>
      <c r="G63" s="139" t="s">
        <v>477</v>
      </c>
      <c r="H63" s="212"/>
      <c r="J63" s="210"/>
      <c r="K63" s="282"/>
      <c r="L63" s="282"/>
      <c r="M63" s="363"/>
      <c r="N63" s="363"/>
      <c r="O63" s="138"/>
      <c r="P63" s="138"/>
      <c r="Q63" s="138"/>
      <c r="R63" s="145" t="b">
        <v>0</v>
      </c>
      <c r="S63" s="145" t="b">
        <v>0</v>
      </c>
      <c r="T63" s="145" t="b">
        <v>0</v>
      </c>
      <c r="U63" s="146"/>
      <c r="V63" s="146"/>
    </row>
    <row r="64" outlineLevel="1">
      <c r="A64" s="156"/>
      <c r="B64" s="156"/>
      <c r="C64" s="365" t="s">
        <v>482</v>
      </c>
      <c r="D64" s="107"/>
      <c r="E64" s="139" t="s">
        <v>480</v>
      </c>
      <c r="F64" s="463" t="s">
        <v>481</v>
      </c>
      <c r="G64" s="139" t="s">
        <v>477</v>
      </c>
      <c r="H64" s="212"/>
      <c r="J64" s="210"/>
      <c r="K64" s="282"/>
      <c r="L64" s="282"/>
      <c r="M64" s="363"/>
      <c r="N64" s="363"/>
      <c r="O64" s="138"/>
      <c r="P64" s="138"/>
      <c r="Q64" s="138"/>
      <c r="R64" s="145" t="b">
        <v>0</v>
      </c>
      <c r="S64" s="145" t="b">
        <v>0</v>
      </c>
      <c r="T64" s="145" t="b">
        <v>0</v>
      </c>
      <c r="U64" s="146"/>
      <c r="V64" s="146"/>
    </row>
    <row r="65" outlineLevel="1">
      <c r="A65" s="259" t="s">
        <v>483</v>
      </c>
      <c r="B65" s="243" t="s">
        <v>484</v>
      </c>
      <c r="C65" s="464"/>
      <c r="D65" s="464"/>
      <c r="E65" s="139" t="s">
        <v>485</v>
      </c>
      <c r="F65" s="463" t="s">
        <v>486</v>
      </c>
      <c r="G65" s="139"/>
      <c r="H65" s="106"/>
      <c r="I65" s="168"/>
      <c r="J65" s="107"/>
      <c r="K65" s="282"/>
      <c r="L65" s="282"/>
      <c r="M65" s="363"/>
      <c r="N65" s="363"/>
      <c r="O65" s="138"/>
      <c r="P65" s="138"/>
      <c r="Q65" s="138"/>
      <c r="R65" s="145" t="b">
        <v>0</v>
      </c>
      <c r="S65" s="145" t="b">
        <v>0</v>
      </c>
      <c r="T65" s="145" t="b">
        <v>0</v>
      </c>
      <c r="U65" s="156"/>
      <c r="V65" s="156"/>
    </row>
    <row r="66" outlineLevel="1">
      <c r="A66" s="230" t="s">
        <v>487</v>
      </c>
      <c r="B66" s="109"/>
      <c r="C66" s="231" t="s">
        <v>48</v>
      </c>
      <c r="D66" s="231" t="s">
        <v>49</v>
      </c>
      <c r="E66" s="232" t="s">
        <v>50</v>
      </c>
      <c r="F66" s="233" t="s">
        <v>51</v>
      </c>
      <c r="G66" s="232" t="s">
        <v>52</v>
      </c>
      <c r="H66" s="382"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outlineLevel="1">
      <c r="A67" s="237" t="s">
        <v>184</v>
      </c>
      <c r="B67" s="465" t="s">
        <v>488</v>
      </c>
      <c r="C67" s="451" t="s">
        <v>489</v>
      </c>
      <c r="D67" s="455" t="s">
        <v>146</v>
      </c>
      <c r="E67" s="453" t="s">
        <v>80</v>
      </c>
      <c r="F67" s="138">
        <v>9.6</v>
      </c>
      <c r="G67" s="239" t="s">
        <v>60</v>
      </c>
      <c r="H67" s="163" t="s">
        <v>490</v>
      </c>
      <c r="I67" s="164"/>
      <c r="J67" s="104"/>
      <c r="K67" s="282"/>
      <c r="L67" s="282"/>
      <c r="M67" s="363"/>
      <c r="N67" s="363"/>
      <c r="O67" s="138">
        <v>0.0</v>
      </c>
      <c r="P67" s="138">
        <v>1.0</v>
      </c>
      <c r="Q67" s="138">
        <v>1.0</v>
      </c>
      <c r="R67" s="145" t="b">
        <v>1</v>
      </c>
      <c r="S67" s="145" t="b">
        <v>1</v>
      </c>
      <c r="T67" s="145" t="b">
        <v>1</v>
      </c>
      <c r="U67" s="166" t="s">
        <v>186</v>
      </c>
      <c r="V67" s="166" t="b">
        <v>1</v>
      </c>
    </row>
    <row r="68" outlineLevel="1">
      <c r="A68" s="146"/>
      <c r="B68" s="466" t="s">
        <v>491</v>
      </c>
      <c r="C68" s="460" t="s">
        <v>492</v>
      </c>
      <c r="D68" s="210"/>
      <c r="E68" s="458" t="s">
        <v>86</v>
      </c>
      <c r="F68" s="138">
        <v>7.199999999999999</v>
      </c>
      <c r="G68" s="239" t="s">
        <v>60</v>
      </c>
      <c r="H68" s="212"/>
      <c r="J68" s="210"/>
      <c r="K68" s="138"/>
      <c r="L68" s="138"/>
      <c r="M68" s="145"/>
      <c r="N68" s="145"/>
      <c r="O68" s="138">
        <v>0.0</v>
      </c>
      <c r="P68" s="138">
        <v>1.0</v>
      </c>
      <c r="Q68" s="138">
        <v>1.0</v>
      </c>
      <c r="R68" s="145" t="b">
        <v>1</v>
      </c>
      <c r="S68" s="145" t="b">
        <v>1</v>
      </c>
      <c r="T68" s="145" t="b">
        <v>1</v>
      </c>
      <c r="U68" s="146"/>
      <c r="V68" s="146"/>
    </row>
    <row r="69" outlineLevel="1">
      <c r="A69" s="146"/>
      <c r="B69" s="466" t="s">
        <v>493</v>
      </c>
      <c r="C69" s="460" t="s">
        <v>494</v>
      </c>
      <c r="D69" s="107"/>
      <c r="E69" s="458" t="s">
        <v>204</v>
      </c>
      <c r="F69" s="138">
        <v>3.5999999999999996</v>
      </c>
      <c r="G69" s="239" t="s">
        <v>170</v>
      </c>
      <c r="H69" s="212"/>
      <c r="J69" s="210"/>
      <c r="K69" s="138"/>
      <c r="L69" s="138"/>
      <c r="M69" s="145"/>
      <c r="N69" s="145"/>
      <c r="O69" s="138">
        <v>0.0</v>
      </c>
      <c r="P69" s="138">
        <v>1.0</v>
      </c>
      <c r="Q69" s="138">
        <v>1.0</v>
      </c>
      <c r="R69" s="145" t="b">
        <v>1</v>
      </c>
      <c r="S69" s="145" t="b">
        <v>1</v>
      </c>
      <c r="T69" s="145" t="b">
        <v>1</v>
      </c>
      <c r="U69" s="146"/>
      <c r="V69" s="146"/>
    </row>
    <row r="70" outlineLevel="1">
      <c r="A70" s="146"/>
      <c r="B70" s="466" t="s">
        <v>495</v>
      </c>
      <c r="C70" s="464"/>
      <c r="D70" s="467" t="s">
        <v>462</v>
      </c>
      <c r="E70" s="464"/>
      <c r="F70" s="464"/>
      <c r="G70" s="464"/>
      <c r="H70" s="212"/>
      <c r="J70" s="210"/>
      <c r="K70" s="138"/>
      <c r="L70" s="138"/>
      <c r="M70" s="145"/>
      <c r="N70" s="145"/>
      <c r="O70" s="138"/>
      <c r="P70" s="138"/>
      <c r="Q70" s="138"/>
      <c r="R70" s="145" t="b">
        <v>0</v>
      </c>
      <c r="S70" s="145" t="b">
        <v>0</v>
      </c>
      <c r="T70" s="145" t="b">
        <v>0</v>
      </c>
      <c r="U70" s="146"/>
      <c r="V70" s="146"/>
    </row>
    <row r="71" outlineLevel="1">
      <c r="A71" s="146"/>
      <c r="B71" s="466" t="s">
        <v>496</v>
      </c>
      <c r="C71" s="464"/>
      <c r="D71" s="467" t="s">
        <v>146</v>
      </c>
      <c r="E71" s="464"/>
      <c r="F71" s="464"/>
      <c r="G71" s="464"/>
      <c r="H71" s="212"/>
      <c r="J71" s="210"/>
      <c r="K71" s="138"/>
      <c r="L71" s="138"/>
      <c r="M71" s="145"/>
      <c r="N71" s="145"/>
      <c r="O71" s="138"/>
      <c r="P71" s="138"/>
      <c r="Q71" s="138"/>
      <c r="R71" s="145" t="b">
        <v>0</v>
      </c>
      <c r="S71" s="145" t="b">
        <v>0</v>
      </c>
      <c r="T71" s="145" t="b">
        <v>0</v>
      </c>
      <c r="U71" s="146"/>
      <c r="V71" s="146"/>
    </row>
    <row r="72" outlineLevel="1">
      <c r="A72" s="146"/>
      <c r="B72" s="466" t="s">
        <v>497</v>
      </c>
      <c r="C72" s="464"/>
      <c r="D72" s="467" t="s">
        <v>274</v>
      </c>
      <c r="E72" s="464"/>
      <c r="F72" s="464"/>
      <c r="G72" s="464"/>
      <c r="H72" s="106"/>
      <c r="I72" s="168"/>
      <c r="J72" s="107"/>
      <c r="K72" s="138"/>
      <c r="L72" s="138"/>
      <c r="M72" s="145"/>
      <c r="N72" s="145"/>
      <c r="O72" s="138"/>
      <c r="P72" s="138"/>
      <c r="Q72" s="138"/>
      <c r="R72" s="145" t="b">
        <v>0</v>
      </c>
      <c r="S72" s="145" t="b">
        <v>0</v>
      </c>
      <c r="T72" s="145" t="b">
        <v>0</v>
      </c>
      <c r="U72" s="156"/>
      <c r="V72" s="156"/>
    </row>
    <row r="73" outlineLevel="1">
      <c r="A73" s="230" t="s">
        <v>498</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396" t="s">
        <v>332</v>
      </c>
      <c r="B74" s="468"/>
      <c r="C74" s="190" t="s">
        <v>319</v>
      </c>
      <c r="D74" s="469" t="s">
        <v>499</v>
      </c>
      <c r="E74" s="451" t="s">
        <v>500</v>
      </c>
      <c r="F74" s="246" t="s">
        <v>501</v>
      </c>
      <c r="G74" s="239" t="s">
        <v>502</v>
      </c>
      <c r="H74" s="163" t="s">
        <v>503</v>
      </c>
      <c r="I74" s="164"/>
      <c r="J74" s="104"/>
      <c r="K74" s="138"/>
      <c r="L74" s="138"/>
      <c r="M74" s="145"/>
      <c r="N74" s="145"/>
      <c r="O74" s="138">
        <v>0.0</v>
      </c>
      <c r="P74" s="470" t="s">
        <v>504</v>
      </c>
      <c r="Q74" s="138">
        <v>1.0</v>
      </c>
      <c r="R74" s="145" t="b">
        <v>0</v>
      </c>
      <c r="S74" s="145" t="b">
        <v>0</v>
      </c>
      <c r="T74" s="145"/>
      <c r="U74" s="166" t="b">
        <v>0</v>
      </c>
      <c r="V74" s="166" t="b">
        <v>1</v>
      </c>
    </row>
    <row r="75" outlineLevel="1">
      <c r="A75" s="146"/>
      <c r="B75" s="468" t="s">
        <v>187</v>
      </c>
      <c r="C75" s="202" t="s">
        <v>505</v>
      </c>
      <c r="D75" s="146"/>
      <c r="E75" s="460" t="s">
        <v>506</v>
      </c>
      <c r="F75" s="246" t="s">
        <v>507</v>
      </c>
      <c r="G75" s="239" t="s">
        <v>508</v>
      </c>
      <c r="H75" s="212"/>
      <c r="J75" s="210"/>
      <c r="K75" s="138"/>
      <c r="L75" s="138"/>
      <c r="M75" s="145"/>
      <c r="N75" s="145"/>
      <c r="O75" s="138">
        <v>0.0</v>
      </c>
      <c r="P75" s="138">
        <v>1.0</v>
      </c>
      <c r="Q75" s="138">
        <v>1.0</v>
      </c>
      <c r="R75" s="145"/>
      <c r="S75" s="145"/>
      <c r="T75" s="145"/>
      <c r="U75" s="146"/>
      <c r="V75" s="146"/>
    </row>
    <row r="76" outlineLevel="1">
      <c r="A76" s="146"/>
      <c r="B76" s="471" t="s">
        <v>189</v>
      </c>
      <c r="C76" s="202" t="s">
        <v>509</v>
      </c>
      <c r="D76" s="146"/>
      <c r="E76" s="457" t="s">
        <v>510</v>
      </c>
      <c r="F76" s="246" t="s">
        <v>511</v>
      </c>
      <c r="G76" s="239" t="s">
        <v>512</v>
      </c>
      <c r="H76" s="212"/>
      <c r="J76" s="210"/>
      <c r="K76" s="138"/>
      <c r="L76" s="138"/>
      <c r="M76" s="145"/>
      <c r="N76" s="145"/>
      <c r="O76" s="138">
        <v>0.0</v>
      </c>
      <c r="P76" s="138">
        <v>1.0</v>
      </c>
      <c r="Q76" s="138">
        <v>1.0</v>
      </c>
      <c r="R76" s="145"/>
      <c r="S76" s="145"/>
      <c r="T76" s="145"/>
      <c r="U76" s="146"/>
      <c r="V76" s="146"/>
    </row>
    <row r="77" outlineLevel="1">
      <c r="A77" s="156"/>
      <c r="B77" s="471" t="s">
        <v>513</v>
      </c>
      <c r="C77" s="202" t="s">
        <v>514</v>
      </c>
      <c r="D77" s="156"/>
      <c r="E77" s="457" t="s">
        <v>515</v>
      </c>
      <c r="F77" s="246" t="s">
        <v>516</v>
      </c>
      <c r="G77" s="239" t="s">
        <v>517</v>
      </c>
      <c r="H77" s="106"/>
      <c r="I77" s="168"/>
      <c r="J77" s="107"/>
      <c r="K77" s="138"/>
      <c r="L77" s="138"/>
      <c r="M77" s="145"/>
      <c r="N77" s="145"/>
      <c r="O77" s="138">
        <v>0.0</v>
      </c>
      <c r="P77" s="138">
        <v>1.0</v>
      </c>
      <c r="Q77" s="138">
        <v>1.0</v>
      </c>
      <c r="R77" s="145" t="b">
        <v>1</v>
      </c>
      <c r="S77" s="145" t="b">
        <v>1</v>
      </c>
      <c r="T77" s="145"/>
      <c r="U77" s="156"/>
      <c r="V77" s="156"/>
    </row>
    <row r="78" outlineLevel="1">
      <c r="A78" s="396" t="s">
        <v>344</v>
      </c>
      <c r="B78" s="471" t="s">
        <v>125</v>
      </c>
      <c r="C78" s="202" t="s">
        <v>518</v>
      </c>
      <c r="D78" s="472"/>
      <c r="E78" s="457" t="s">
        <v>73</v>
      </c>
      <c r="F78" s="246">
        <v>4.8</v>
      </c>
      <c r="G78" s="239" t="s">
        <v>75</v>
      </c>
      <c r="H78" s="473" t="s">
        <v>519</v>
      </c>
      <c r="K78" s="138"/>
      <c r="L78" s="138"/>
      <c r="M78" s="145"/>
      <c r="N78" s="145"/>
      <c r="O78" s="138">
        <v>0.0</v>
      </c>
      <c r="P78" s="138">
        <v>1.0</v>
      </c>
      <c r="Q78" s="138">
        <v>1.0</v>
      </c>
      <c r="R78" s="145" t="b">
        <v>0</v>
      </c>
      <c r="S78" s="145" t="b">
        <v>0</v>
      </c>
      <c r="T78" s="145"/>
      <c r="U78" s="166" t="s">
        <v>186</v>
      </c>
      <c r="V78" s="166" t="b">
        <v>1</v>
      </c>
    </row>
    <row r="79" outlineLevel="1">
      <c r="A79" s="146"/>
      <c r="B79" s="471" t="s">
        <v>131</v>
      </c>
      <c r="C79" s="202" t="s">
        <v>373</v>
      </c>
      <c r="D79" s="146"/>
      <c r="E79" s="457" t="s">
        <v>176</v>
      </c>
      <c r="F79" s="246">
        <v>2.4</v>
      </c>
      <c r="G79" s="239" t="s">
        <v>60</v>
      </c>
      <c r="H79" s="212"/>
      <c r="K79" s="138"/>
      <c r="L79" s="138"/>
      <c r="M79" s="145"/>
      <c r="N79" s="145"/>
      <c r="O79" s="138"/>
      <c r="P79" s="138"/>
      <c r="Q79" s="138"/>
      <c r="R79" s="145" t="b">
        <v>0</v>
      </c>
      <c r="S79" s="145" t="b">
        <v>0</v>
      </c>
      <c r="T79" s="145" t="b">
        <v>0</v>
      </c>
      <c r="U79" s="146"/>
      <c r="V79" s="146"/>
    </row>
    <row r="80" outlineLevel="1">
      <c r="A80" s="146"/>
      <c r="B80" s="471" t="s">
        <v>434</v>
      </c>
      <c r="C80" s="202" t="s">
        <v>454</v>
      </c>
      <c r="D80" s="146"/>
      <c r="E80" s="457" t="s">
        <v>176</v>
      </c>
      <c r="F80" s="246">
        <v>2.4</v>
      </c>
      <c r="G80" s="239" t="s">
        <v>60</v>
      </c>
      <c r="H80" s="212"/>
      <c r="K80" s="138"/>
      <c r="L80" s="138"/>
      <c r="M80" s="145"/>
      <c r="N80" s="145"/>
      <c r="O80" s="138">
        <v>0.0</v>
      </c>
      <c r="P80" s="138">
        <v>1.0</v>
      </c>
      <c r="Q80" s="138">
        <v>1.0</v>
      </c>
      <c r="R80" s="145"/>
      <c r="S80" s="145"/>
      <c r="T80" s="145"/>
      <c r="U80" s="146"/>
      <c r="V80" s="146"/>
    </row>
    <row r="81" outlineLevel="1">
      <c r="A81" s="146"/>
      <c r="B81" s="471" t="s">
        <v>520</v>
      </c>
      <c r="C81" s="202" t="s">
        <v>334</v>
      </c>
      <c r="D81" s="146"/>
      <c r="E81" s="457" t="s">
        <v>176</v>
      </c>
      <c r="F81" s="246">
        <v>2.4</v>
      </c>
      <c r="G81" s="239" t="s">
        <v>60</v>
      </c>
      <c r="H81" s="212"/>
      <c r="K81" s="138"/>
      <c r="L81" s="138"/>
      <c r="M81" s="145"/>
      <c r="N81" s="145"/>
      <c r="O81" s="138"/>
      <c r="P81" s="138"/>
      <c r="Q81" s="138"/>
      <c r="R81" s="145" t="b">
        <v>0</v>
      </c>
      <c r="S81" s="145" t="b">
        <v>0</v>
      </c>
      <c r="T81" s="145" t="b">
        <v>0</v>
      </c>
      <c r="U81" s="146"/>
      <c r="V81" s="146"/>
    </row>
    <row r="82" outlineLevel="1">
      <c r="A82" s="146"/>
      <c r="B82" s="471" t="s">
        <v>521</v>
      </c>
      <c r="C82" s="202" t="s">
        <v>288</v>
      </c>
      <c r="D82" s="146"/>
      <c r="E82" s="457" t="s">
        <v>176</v>
      </c>
      <c r="F82" s="246">
        <v>2.4</v>
      </c>
      <c r="G82" s="239" t="s">
        <v>60</v>
      </c>
      <c r="H82" s="212"/>
      <c r="K82" s="138"/>
      <c r="L82" s="138"/>
      <c r="M82" s="145"/>
      <c r="N82" s="145"/>
      <c r="O82" s="138">
        <v>0.0</v>
      </c>
      <c r="P82" s="138">
        <v>1.0</v>
      </c>
      <c r="Q82" s="138">
        <v>1.0</v>
      </c>
      <c r="R82" s="145"/>
      <c r="S82" s="145"/>
      <c r="T82" s="145"/>
      <c r="U82" s="146"/>
      <c r="V82" s="146"/>
    </row>
    <row r="83" outlineLevel="1">
      <c r="A83" s="146"/>
      <c r="B83" s="471" t="s">
        <v>172</v>
      </c>
      <c r="C83" s="202" t="s">
        <v>522</v>
      </c>
      <c r="D83" s="146"/>
      <c r="E83" s="457" t="s">
        <v>176</v>
      </c>
      <c r="F83" s="246">
        <v>2.4</v>
      </c>
      <c r="G83" s="239" t="s">
        <v>60</v>
      </c>
      <c r="H83" s="212"/>
      <c r="K83" s="138"/>
      <c r="L83" s="138"/>
      <c r="M83" s="145"/>
      <c r="N83" s="145"/>
      <c r="O83" s="138"/>
      <c r="P83" s="138"/>
      <c r="Q83" s="138"/>
      <c r="R83" s="145" t="b">
        <v>0</v>
      </c>
      <c r="S83" s="145" t="b">
        <v>0</v>
      </c>
      <c r="T83" s="145" t="b">
        <v>0</v>
      </c>
      <c r="U83" s="146"/>
      <c r="V83" s="146"/>
    </row>
    <row r="84" outlineLevel="1">
      <c r="A84" s="146"/>
      <c r="B84" s="471" t="s">
        <v>365</v>
      </c>
      <c r="C84" s="202" t="s">
        <v>523</v>
      </c>
      <c r="D84" s="146"/>
      <c r="E84" s="457" t="s">
        <v>176</v>
      </c>
      <c r="F84" s="246">
        <v>2.4</v>
      </c>
      <c r="G84" s="239" t="s">
        <v>60</v>
      </c>
      <c r="H84" s="212"/>
      <c r="K84" s="138"/>
      <c r="L84" s="138"/>
      <c r="M84" s="145"/>
      <c r="N84" s="145"/>
      <c r="O84" s="138">
        <v>0.0</v>
      </c>
      <c r="P84" s="138">
        <v>1.0</v>
      </c>
      <c r="Q84" s="138">
        <v>1.0</v>
      </c>
      <c r="R84" s="145"/>
      <c r="S84" s="145"/>
      <c r="T84" s="145"/>
      <c r="U84" s="146"/>
      <c r="V84" s="146"/>
    </row>
    <row r="85" outlineLevel="1">
      <c r="A85" s="146"/>
      <c r="B85" s="471" t="s">
        <v>524</v>
      </c>
      <c r="C85" s="202" t="s">
        <v>525</v>
      </c>
      <c r="D85" s="146"/>
      <c r="E85" s="457" t="s">
        <v>176</v>
      </c>
      <c r="F85" s="246">
        <v>2.4</v>
      </c>
      <c r="G85" s="239" t="s">
        <v>60</v>
      </c>
      <c r="H85" s="212"/>
      <c r="K85" s="138"/>
      <c r="L85" s="138"/>
      <c r="M85" s="145"/>
      <c r="N85" s="145"/>
      <c r="O85" s="138"/>
      <c r="P85" s="138"/>
      <c r="Q85" s="138"/>
      <c r="R85" s="145" t="b">
        <v>0</v>
      </c>
      <c r="S85" s="145" t="b">
        <v>0</v>
      </c>
      <c r="T85" s="145" t="b">
        <v>0</v>
      </c>
      <c r="U85" s="146"/>
      <c r="V85" s="146"/>
    </row>
    <row r="86" outlineLevel="1">
      <c r="A86" s="156"/>
      <c r="B86" s="471" t="s">
        <v>526</v>
      </c>
      <c r="C86" s="202" t="s">
        <v>527</v>
      </c>
      <c r="D86" s="156"/>
      <c r="E86" s="460" t="s">
        <v>73</v>
      </c>
      <c r="F86" s="246">
        <v>4.8</v>
      </c>
      <c r="G86" s="239" t="s">
        <v>75</v>
      </c>
      <c r="H86" s="212"/>
      <c r="K86" s="138"/>
      <c r="L86" s="138"/>
      <c r="M86" s="145"/>
      <c r="N86" s="145"/>
      <c r="O86" s="138">
        <v>0.0</v>
      </c>
      <c r="P86" s="138">
        <v>1.0</v>
      </c>
      <c r="Q86" s="138">
        <v>1.0</v>
      </c>
      <c r="R86" s="145"/>
      <c r="S86" s="145"/>
      <c r="T86" s="145"/>
      <c r="U86" s="156"/>
      <c r="V86" s="156"/>
    </row>
    <row r="87" outlineLevel="1">
      <c r="A87" s="230" t="s">
        <v>528</v>
      </c>
      <c r="B87" s="109"/>
      <c r="C87" s="231" t="s">
        <v>48</v>
      </c>
      <c r="D87" s="231" t="s">
        <v>49</v>
      </c>
      <c r="E87" s="232" t="s">
        <v>50</v>
      </c>
      <c r="F87" s="233" t="s">
        <v>51</v>
      </c>
      <c r="G87" s="232" t="s">
        <v>52</v>
      </c>
      <c r="H87" s="382" t="s">
        <v>53</v>
      </c>
      <c r="I87" s="110"/>
      <c r="J87" s="109"/>
      <c r="K87" s="235" t="s">
        <v>137</v>
      </c>
      <c r="L87" s="235" t="s">
        <v>138</v>
      </c>
      <c r="M87" s="235" t="s">
        <v>139</v>
      </c>
      <c r="N87" s="235" t="s">
        <v>140</v>
      </c>
      <c r="O87" s="236" t="s">
        <v>141</v>
      </c>
      <c r="P87" s="235" t="s">
        <v>142</v>
      </c>
      <c r="Q87" s="236" t="s">
        <v>143</v>
      </c>
      <c r="R87" s="235" t="s">
        <v>179</v>
      </c>
      <c r="S87" s="236" t="s">
        <v>180</v>
      </c>
      <c r="T87" s="236" t="s">
        <v>181</v>
      </c>
      <c r="U87" s="236" t="s">
        <v>182</v>
      </c>
      <c r="V87" s="236" t="s">
        <v>183</v>
      </c>
    </row>
    <row r="88" outlineLevel="1">
      <c r="A88" s="474" t="s">
        <v>332</v>
      </c>
      <c r="B88" s="468" t="s">
        <v>529</v>
      </c>
      <c r="C88" s="453" t="s">
        <v>530</v>
      </c>
      <c r="D88" s="239" t="s">
        <v>118</v>
      </c>
      <c r="E88" s="464"/>
      <c r="F88" s="475"/>
      <c r="G88" s="409"/>
      <c r="H88" s="163" t="s">
        <v>531</v>
      </c>
      <c r="I88" s="164"/>
      <c r="J88" s="104"/>
      <c r="K88" s="476"/>
      <c r="L88" s="476"/>
      <c r="M88" s="476"/>
      <c r="N88" s="476"/>
      <c r="O88" s="476"/>
      <c r="P88" s="476"/>
      <c r="Q88" s="476"/>
      <c r="R88" s="476"/>
      <c r="S88" s="476"/>
      <c r="T88" s="476"/>
      <c r="U88" s="166" t="s">
        <v>186</v>
      </c>
      <c r="V88" s="166" t="b">
        <v>0</v>
      </c>
    </row>
    <row r="89" outlineLevel="1">
      <c r="A89" s="146"/>
      <c r="B89" s="471" t="s">
        <v>532</v>
      </c>
      <c r="C89" s="477"/>
      <c r="D89" s="239" t="s">
        <v>118</v>
      </c>
      <c r="E89" s="477"/>
      <c r="F89" s="475"/>
      <c r="G89" s="409"/>
      <c r="H89" s="212"/>
      <c r="J89" s="210"/>
      <c r="K89" s="476"/>
      <c r="L89" s="476"/>
      <c r="M89" s="476"/>
      <c r="N89" s="476"/>
      <c r="O89" s="476"/>
      <c r="P89" s="476"/>
      <c r="Q89" s="476"/>
      <c r="R89" s="476"/>
      <c r="S89" s="476"/>
      <c r="T89" s="476"/>
      <c r="U89" s="146"/>
      <c r="V89" s="146"/>
    </row>
    <row r="90" outlineLevel="1">
      <c r="A90" s="156"/>
      <c r="B90" s="471" t="s">
        <v>533</v>
      </c>
      <c r="C90" s="458" t="s">
        <v>373</v>
      </c>
      <c r="D90" s="239" t="s">
        <v>118</v>
      </c>
      <c r="E90" s="458" t="s">
        <v>93</v>
      </c>
      <c r="F90" s="138">
        <v>8.4</v>
      </c>
      <c r="G90" s="239" t="s">
        <v>60</v>
      </c>
      <c r="H90" s="212"/>
      <c r="J90" s="210"/>
      <c r="K90" s="138"/>
      <c r="L90" s="138"/>
      <c r="M90" s="145"/>
      <c r="N90" s="145"/>
      <c r="O90" s="138">
        <v>0.0</v>
      </c>
      <c r="P90" s="138">
        <v>1.0</v>
      </c>
      <c r="Q90" s="138">
        <v>1.0</v>
      </c>
      <c r="R90" s="145" t="b">
        <v>0</v>
      </c>
      <c r="S90" s="145" t="b">
        <v>0</v>
      </c>
      <c r="T90" s="145" t="b">
        <v>1</v>
      </c>
      <c r="U90" s="146"/>
      <c r="V90" s="146"/>
    </row>
    <row r="91" outlineLevel="1">
      <c r="A91" s="259" t="s">
        <v>483</v>
      </c>
      <c r="B91" s="478" t="s">
        <v>484</v>
      </c>
      <c r="C91" s="477"/>
      <c r="D91" s="477"/>
      <c r="E91" s="458" t="s">
        <v>485</v>
      </c>
      <c r="F91" s="138" t="s">
        <v>486</v>
      </c>
      <c r="G91" s="239"/>
      <c r="H91" s="106"/>
      <c r="I91" s="168"/>
      <c r="J91" s="107"/>
      <c r="K91" s="290"/>
      <c r="L91" s="290"/>
      <c r="M91" s="117"/>
      <c r="N91" s="117"/>
      <c r="O91" s="290"/>
      <c r="P91" s="290"/>
      <c r="Q91" s="290"/>
      <c r="R91" s="117" t="b">
        <v>0</v>
      </c>
      <c r="S91" s="117" t="b">
        <v>0</v>
      </c>
      <c r="T91" s="117" t="b">
        <v>0</v>
      </c>
      <c r="U91" s="156"/>
      <c r="V91" s="156"/>
    </row>
    <row r="92">
      <c r="A92" s="223"/>
      <c r="B92" s="224"/>
      <c r="C92" s="225"/>
      <c r="D92" s="225"/>
      <c r="E92" s="226"/>
      <c r="F92" s="226"/>
      <c r="G92" s="226"/>
      <c r="H92" s="227"/>
      <c r="I92" s="227"/>
      <c r="J92" s="228"/>
      <c r="K92" s="228"/>
      <c r="L92" s="228"/>
      <c r="M92" s="228"/>
      <c r="N92" s="228"/>
      <c r="O92" s="228"/>
      <c r="P92" s="228"/>
      <c r="Q92" s="118"/>
      <c r="R92" s="118"/>
      <c r="S92" s="118"/>
      <c r="T92" s="118"/>
      <c r="U92" s="118"/>
      <c r="V92" s="118"/>
    </row>
    <row r="93">
      <c r="A93" s="264" t="s">
        <v>211</v>
      </c>
      <c r="B93" s="104"/>
      <c r="C93" s="227"/>
      <c r="D93" s="227"/>
      <c r="E93" s="228"/>
      <c r="F93" s="265"/>
      <c r="G93" s="265"/>
      <c r="H93" s="228"/>
      <c r="I93" s="228"/>
      <c r="J93" s="228"/>
      <c r="K93" s="228"/>
      <c r="L93" s="228"/>
      <c r="M93" s="228"/>
      <c r="N93" s="118"/>
      <c r="O93" s="118"/>
      <c r="P93" s="118"/>
      <c r="Q93" s="228"/>
      <c r="R93" s="228"/>
      <c r="S93" s="228"/>
      <c r="T93" s="228"/>
      <c r="U93" s="228"/>
      <c r="V93" s="228"/>
    </row>
    <row r="94" outlineLevel="1">
      <c r="A94" s="106"/>
      <c r="B94" s="107"/>
      <c r="C94" s="266" t="s">
        <v>48</v>
      </c>
      <c r="D94" s="266" t="s">
        <v>49</v>
      </c>
      <c r="E94" s="266" t="s">
        <v>50</v>
      </c>
      <c r="F94" s="267" t="s">
        <v>51</v>
      </c>
      <c r="G94" s="227"/>
      <c r="H94" s="227"/>
      <c r="I94" s="227"/>
      <c r="J94" s="228"/>
      <c r="K94" s="228"/>
      <c r="L94" s="228"/>
      <c r="M94" s="228"/>
      <c r="N94" s="228"/>
      <c r="O94" s="228"/>
      <c r="P94" s="228"/>
      <c r="Q94" s="228"/>
      <c r="R94" s="228"/>
      <c r="S94" s="228"/>
      <c r="T94" s="228"/>
      <c r="U94" s="228"/>
      <c r="V94" s="228"/>
    </row>
    <row r="95" outlineLevel="1">
      <c r="A95" s="268" t="s">
        <v>212</v>
      </c>
      <c r="B95" s="269" t="s">
        <v>212</v>
      </c>
      <c r="C95" s="239" t="s">
        <v>213</v>
      </c>
      <c r="D95" s="239" t="s">
        <v>86</v>
      </c>
      <c r="E95" s="239" t="s">
        <v>214</v>
      </c>
      <c r="F95" s="138">
        <v>1.56</v>
      </c>
      <c r="G95" s="227"/>
      <c r="H95" s="227"/>
      <c r="I95" s="227"/>
      <c r="J95" s="228"/>
      <c r="K95" s="228"/>
      <c r="L95" s="228"/>
      <c r="M95" s="228"/>
      <c r="N95" s="228"/>
      <c r="O95" s="228"/>
      <c r="P95" s="228"/>
      <c r="Q95" s="228"/>
      <c r="R95" s="228"/>
      <c r="S95" s="228"/>
      <c r="T95" s="228"/>
      <c r="U95" s="228"/>
      <c r="V95" s="228"/>
    </row>
    <row r="96" outlineLevel="1">
      <c r="A96" s="270" t="s">
        <v>215</v>
      </c>
      <c r="B96" s="269" t="s">
        <v>216</v>
      </c>
      <c r="C96" s="239" t="s">
        <v>217</v>
      </c>
      <c r="D96" s="239" t="s">
        <v>218</v>
      </c>
      <c r="E96" s="271"/>
      <c r="F96" s="272"/>
      <c r="G96" s="272"/>
      <c r="H96" s="227"/>
      <c r="I96" s="227"/>
      <c r="J96" s="228"/>
      <c r="K96" s="228"/>
      <c r="L96" s="228"/>
      <c r="M96" s="228"/>
      <c r="N96" s="228"/>
      <c r="O96" s="228"/>
      <c r="P96" s="228"/>
      <c r="Q96" s="228"/>
      <c r="R96" s="228"/>
      <c r="S96" s="228"/>
      <c r="T96" s="228"/>
      <c r="U96" s="228"/>
      <c r="V96" s="228"/>
    </row>
    <row r="97" outlineLevel="1">
      <c r="A97" s="212"/>
      <c r="B97" s="269" t="s">
        <v>219</v>
      </c>
      <c r="C97" s="239" t="s">
        <v>220</v>
      </c>
      <c r="D97" s="239" t="s">
        <v>221</v>
      </c>
      <c r="E97" s="271"/>
      <c r="F97" s="272"/>
      <c r="G97" s="272"/>
      <c r="H97" s="227"/>
      <c r="I97" s="227"/>
      <c r="J97" s="228"/>
      <c r="K97" s="228"/>
      <c r="L97" s="228"/>
      <c r="M97" s="228"/>
      <c r="N97" s="228"/>
      <c r="O97" s="228"/>
      <c r="P97" s="228"/>
      <c r="Q97" s="228"/>
      <c r="R97" s="228"/>
      <c r="S97" s="228"/>
      <c r="T97" s="228"/>
      <c r="U97" s="228"/>
      <c r="V97" s="228"/>
    </row>
    <row r="98" outlineLevel="1">
      <c r="A98" s="106"/>
      <c r="B98" s="269" t="s">
        <v>222</v>
      </c>
      <c r="C98" s="239" t="s">
        <v>223</v>
      </c>
      <c r="D98" s="239" t="s">
        <v>79</v>
      </c>
      <c r="E98" s="227"/>
      <c r="F98" s="272"/>
      <c r="G98" s="272"/>
      <c r="H98" s="227"/>
      <c r="I98" s="227"/>
      <c r="J98" s="228"/>
      <c r="K98" s="228"/>
      <c r="L98" s="228"/>
      <c r="M98" s="228"/>
      <c r="N98" s="228"/>
      <c r="O98" s="228"/>
      <c r="P98" s="228"/>
      <c r="Q98" s="228"/>
      <c r="R98" s="228"/>
      <c r="S98" s="228"/>
      <c r="T98" s="228"/>
      <c r="U98" s="228"/>
      <c r="V98" s="228"/>
    </row>
    <row r="99" outlineLevel="1">
      <c r="A99" s="273" t="s">
        <v>225</v>
      </c>
      <c r="B99" s="109"/>
      <c r="C99" s="266" t="s">
        <v>48</v>
      </c>
      <c r="D99" s="266" t="s">
        <v>49</v>
      </c>
      <c r="E99" s="266" t="s">
        <v>50</v>
      </c>
      <c r="F99" s="267" t="s">
        <v>51</v>
      </c>
      <c r="G99" s="274" t="s">
        <v>53</v>
      </c>
      <c r="H99" s="110"/>
      <c r="I99" s="110"/>
      <c r="J99" s="109"/>
      <c r="K99" s="275" t="str">
        <f>'テンプレート'!K97</f>
        <v>ベクトル</v>
      </c>
      <c r="L99" s="275" t="str">
        <f>'テンプレート'!L97</f>
        <v>KBG (R.E.)</v>
      </c>
      <c r="M99" s="275" t="str">
        <f>'テンプレート'!M97</f>
        <v>BKB (R.A.)</v>
      </c>
      <c r="N99" s="275" t="str">
        <f>'テンプレート'!N97</f>
        <v>FKB (R.F.)</v>
      </c>
      <c r="O99" s="276" t="str">
        <f>'テンプレート'!O97</f>
        <v>盾削り値</v>
      </c>
      <c r="P99" s="275" t="str">
        <f>'テンプレート'!P97</f>
        <v>ﾋｯﾄｽﾄｯﾌﾟ</v>
      </c>
      <c r="Q99" s="276" t="str">
        <f>'テンプレート'!Q97</f>
        <v>ずらし</v>
      </c>
      <c r="R99" s="277"/>
      <c r="S99" s="277"/>
      <c r="T99" s="277"/>
      <c r="U99" s="277"/>
      <c r="V99" s="277"/>
    </row>
    <row r="100" outlineLevel="1">
      <c r="A100" s="278" t="s">
        <v>226</v>
      </c>
      <c r="B100" s="269" t="s">
        <v>227</v>
      </c>
      <c r="C100" s="113" t="s">
        <v>534</v>
      </c>
      <c r="D100" s="367" t="s">
        <v>79</v>
      </c>
      <c r="E100" s="239" t="s">
        <v>204</v>
      </c>
      <c r="F100" s="138">
        <v>3.5999999999999996</v>
      </c>
      <c r="G100" s="416"/>
      <c r="H100" s="164"/>
      <c r="I100" s="164"/>
      <c r="J100" s="104"/>
      <c r="K100" s="282"/>
      <c r="L100" s="282"/>
      <c r="M100" s="363"/>
      <c r="N100" s="363"/>
      <c r="O100" s="145">
        <v>1.0</v>
      </c>
      <c r="P100" s="145">
        <v>1.0</v>
      </c>
      <c r="Q100" s="145">
        <v>1.0</v>
      </c>
      <c r="R100" s="277"/>
      <c r="S100" s="228"/>
      <c r="T100" s="228"/>
      <c r="U100" s="228"/>
      <c r="V100" s="228"/>
    </row>
    <row r="101" outlineLevel="1">
      <c r="A101" s="156"/>
      <c r="B101" s="269" t="s">
        <v>225</v>
      </c>
      <c r="C101" s="113">
        <v>13.0</v>
      </c>
      <c r="D101" s="156"/>
      <c r="E101" s="239" t="s">
        <v>535</v>
      </c>
      <c r="F101" s="138">
        <v>3.0</v>
      </c>
      <c r="G101" s="106"/>
      <c r="H101" s="168"/>
      <c r="I101" s="168"/>
      <c r="J101" s="107"/>
      <c r="K101" s="282"/>
      <c r="L101" s="282"/>
      <c r="M101" s="363"/>
      <c r="N101" s="363"/>
      <c r="O101" s="261"/>
      <c r="P101" s="261"/>
      <c r="Q101" s="261"/>
      <c r="R101" s="277"/>
      <c r="S101" s="228"/>
      <c r="T101" s="228"/>
      <c r="U101" s="228"/>
      <c r="V101" s="228"/>
    </row>
    <row r="102" outlineLevel="1">
      <c r="A102" s="278" t="s">
        <v>229</v>
      </c>
      <c r="B102" s="269" t="s">
        <v>227</v>
      </c>
      <c r="C102" s="113" t="s">
        <v>536</v>
      </c>
      <c r="D102" s="367">
        <v>38.0</v>
      </c>
      <c r="E102" s="239" t="s">
        <v>204</v>
      </c>
      <c r="F102" s="138">
        <v>3.5999999999999996</v>
      </c>
      <c r="G102" s="416"/>
      <c r="H102" s="164"/>
      <c r="I102" s="164"/>
      <c r="J102" s="104"/>
      <c r="K102" s="282"/>
      <c r="L102" s="282"/>
      <c r="M102" s="363"/>
      <c r="N102" s="363"/>
      <c r="O102" s="145">
        <v>1.0</v>
      </c>
      <c r="P102" s="145">
        <v>1.0</v>
      </c>
      <c r="Q102" s="145">
        <v>1.0</v>
      </c>
      <c r="R102" s="277"/>
      <c r="S102" s="228"/>
      <c r="T102" s="228"/>
      <c r="U102" s="228"/>
      <c r="V102" s="228"/>
    </row>
    <row r="103" outlineLevel="1">
      <c r="A103" s="156"/>
      <c r="B103" s="269" t="s">
        <v>225</v>
      </c>
      <c r="C103" s="113">
        <v>14.0</v>
      </c>
      <c r="D103" s="156"/>
      <c r="E103" s="239" t="s">
        <v>535</v>
      </c>
      <c r="F103" s="138">
        <v>3.0</v>
      </c>
      <c r="G103" s="106"/>
      <c r="H103" s="168"/>
      <c r="I103" s="168"/>
      <c r="J103" s="107"/>
      <c r="K103" s="282"/>
      <c r="L103" s="282"/>
      <c r="M103" s="363"/>
      <c r="N103" s="363"/>
      <c r="O103" s="261"/>
      <c r="P103" s="261"/>
      <c r="Q103" s="261"/>
      <c r="R103" s="277"/>
      <c r="S103" s="228"/>
      <c r="T103" s="228"/>
      <c r="U103" s="228"/>
      <c r="V103" s="228"/>
    </row>
    <row r="104" outlineLevel="1">
      <c r="A104" s="278" t="s">
        <v>233</v>
      </c>
      <c r="B104" s="269" t="s">
        <v>227</v>
      </c>
      <c r="C104" s="113" t="s">
        <v>537</v>
      </c>
      <c r="D104" s="367">
        <v>49.0</v>
      </c>
      <c r="E104" s="239" t="s">
        <v>538</v>
      </c>
      <c r="F104" s="138" t="s">
        <v>539</v>
      </c>
      <c r="G104" s="416"/>
      <c r="H104" s="164"/>
      <c r="I104" s="164"/>
      <c r="J104" s="104"/>
      <c r="K104" s="282"/>
      <c r="L104" s="282"/>
      <c r="M104" s="363"/>
      <c r="N104" s="363"/>
      <c r="O104" s="145">
        <v>1.0</v>
      </c>
      <c r="P104" s="145">
        <v>1.0</v>
      </c>
      <c r="Q104" s="145">
        <v>1.0</v>
      </c>
      <c r="R104" s="277"/>
      <c r="S104" s="228"/>
      <c r="T104" s="228"/>
      <c r="U104" s="228"/>
      <c r="V104" s="228"/>
    </row>
    <row r="105" outlineLevel="1">
      <c r="A105" s="156"/>
      <c r="B105" s="269" t="s">
        <v>225</v>
      </c>
      <c r="C105" s="113">
        <v>28.0</v>
      </c>
      <c r="D105" s="156"/>
      <c r="E105" s="239" t="s">
        <v>176</v>
      </c>
      <c r="F105" s="138">
        <v>2.4</v>
      </c>
      <c r="G105" s="106"/>
      <c r="H105" s="168"/>
      <c r="I105" s="168"/>
      <c r="J105" s="107"/>
      <c r="K105" s="282"/>
      <c r="L105" s="282"/>
      <c r="M105" s="363"/>
      <c r="N105" s="363"/>
      <c r="O105" s="261"/>
      <c r="P105" s="261"/>
      <c r="Q105" s="261"/>
      <c r="R105" s="277"/>
      <c r="S105" s="117"/>
      <c r="T105" s="117"/>
      <c r="U105" s="117"/>
      <c r="V105" s="117"/>
    </row>
    <row r="106" outlineLevel="1">
      <c r="A106" s="278" t="s">
        <v>234</v>
      </c>
      <c r="B106" s="269" t="s">
        <v>227</v>
      </c>
      <c r="C106" s="113" t="s">
        <v>540</v>
      </c>
      <c r="D106" s="367" t="s">
        <v>541</v>
      </c>
      <c r="E106" s="239" t="s">
        <v>204</v>
      </c>
      <c r="F106" s="138">
        <v>3.5999999999999996</v>
      </c>
      <c r="G106" s="416"/>
      <c r="H106" s="164"/>
      <c r="I106" s="164"/>
      <c r="J106" s="104"/>
      <c r="K106" s="282"/>
      <c r="L106" s="282"/>
      <c r="M106" s="363"/>
      <c r="N106" s="363"/>
      <c r="O106" s="145">
        <v>0.0</v>
      </c>
      <c r="P106" s="145">
        <v>1.0</v>
      </c>
      <c r="Q106" s="145">
        <v>1.0</v>
      </c>
      <c r="R106" s="277"/>
      <c r="S106" s="117"/>
      <c r="T106" s="117"/>
      <c r="U106" s="117"/>
      <c r="V106" s="117"/>
    </row>
    <row r="107" outlineLevel="1">
      <c r="A107" s="156"/>
      <c r="B107" s="269" t="s">
        <v>225</v>
      </c>
      <c r="C107" s="113">
        <v>24.0</v>
      </c>
      <c r="D107" s="156"/>
      <c r="E107" s="239" t="s">
        <v>204</v>
      </c>
      <c r="F107" s="138">
        <v>3.5999999999999996</v>
      </c>
      <c r="G107" s="106"/>
      <c r="H107" s="168"/>
      <c r="I107" s="168"/>
      <c r="J107" s="107"/>
      <c r="K107" s="282"/>
      <c r="L107" s="282"/>
      <c r="M107" s="363"/>
      <c r="N107" s="363"/>
      <c r="O107" s="261"/>
      <c r="P107" s="261"/>
      <c r="Q107" s="261"/>
      <c r="R107" s="277"/>
      <c r="S107" s="117"/>
      <c r="T107" s="117"/>
      <c r="U107" s="117"/>
      <c r="V107" s="117"/>
    </row>
    <row r="108">
      <c r="A108" s="223"/>
      <c r="B108" s="224"/>
      <c r="C108" s="225"/>
      <c r="D108" s="225"/>
      <c r="E108" s="227"/>
      <c r="F108" s="177"/>
      <c r="G108" s="177"/>
      <c r="H108" s="227"/>
      <c r="I108" s="227"/>
      <c r="J108" s="228"/>
      <c r="K108" s="228"/>
      <c r="L108" s="111"/>
      <c r="M108" s="111"/>
      <c r="N108" s="111"/>
      <c r="O108" s="117"/>
      <c r="P108" s="117"/>
      <c r="Q108" s="111"/>
      <c r="R108" s="111"/>
      <c r="S108" s="111"/>
      <c r="T108" s="111"/>
      <c r="U108" s="111"/>
      <c r="V108" s="111"/>
    </row>
    <row r="109">
      <c r="A109" s="284" t="s">
        <v>241</v>
      </c>
      <c r="B109" s="104"/>
      <c r="C109" s="265"/>
      <c r="D109" s="111"/>
      <c r="E109" s="111"/>
      <c r="F109" s="111"/>
      <c r="G109" s="111"/>
      <c r="H109" s="111"/>
      <c r="I109" s="111"/>
      <c r="J109" s="118"/>
      <c r="K109" s="111"/>
      <c r="L109" s="111"/>
      <c r="M109" s="111"/>
      <c r="N109" s="111"/>
      <c r="O109" s="111"/>
      <c r="P109" s="111"/>
      <c r="Q109" s="118"/>
      <c r="R109" s="111"/>
      <c r="S109" s="111"/>
      <c r="T109" s="111"/>
      <c r="U109" s="111"/>
      <c r="V109" s="111"/>
    </row>
    <row r="110" outlineLevel="1">
      <c r="A110" s="106"/>
      <c r="B110" s="107"/>
      <c r="C110" s="285" t="s">
        <v>235</v>
      </c>
      <c r="D110" s="285" t="s">
        <v>236</v>
      </c>
      <c r="E110" s="285" t="s">
        <v>49</v>
      </c>
      <c r="F110" s="285" t="s">
        <v>237</v>
      </c>
      <c r="G110" s="286"/>
      <c r="H110" s="227"/>
      <c r="I110" s="227"/>
      <c r="J110" s="228"/>
      <c r="K110" s="228"/>
      <c r="L110" s="111"/>
      <c r="M110" s="111"/>
      <c r="N110" s="111"/>
      <c r="O110" s="111"/>
      <c r="P110" s="111"/>
      <c r="Q110" s="111"/>
      <c r="R110" s="111"/>
      <c r="S110" s="111"/>
      <c r="T110" s="111"/>
      <c r="U110" s="111"/>
      <c r="V110" s="111"/>
    </row>
    <row r="111" outlineLevel="1">
      <c r="A111" s="287" t="s">
        <v>395</v>
      </c>
      <c r="B111" s="288" t="s">
        <v>216</v>
      </c>
      <c r="C111" s="113" t="str">
        <f t="array" ref="C111">INDEX('回避'!$C$3:$U$84, MATCH($A$1,'回避'!$A$3:$A$91,0), MATCH(C110,'回避'!$C$2:$F$2,0))</f>
        <v>3-17</v>
      </c>
      <c r="D111" s="113" t="str">
        <f t="array" ref="D111">INDEX('回避'!$C$3:$U$84, MATCH($A$1,'回避'!$A$3:$A$91,0), MATCH(D110,'回避'!$C$2:$F$2,0))</f>
        <v>6-17</v>
      </c>
      <c r="E111" s="113" t="str">
        <f t="array" ref="E111">INDEX('回避'!$C$3:$U$84, MATCH($A$1,'回避'!$A$3:$A$91,0), MATCH(E110,'回避'!$C$2:$F$2,0))</f>
        <v>26 (21)</v>
      </c>
      <c r="F111" s="113" t="str">
        <f t="array" ref="F111">INDEX('回避'!$C$3:$U$84, MATCH($A$1,'回避'!$A$3:$A$91,0), MATCH(F110,'回避'!$C$2:$F$2,0))</f>
        <v>35 (28)</v>
      </c>
      <c r="G111" s="272"/>
      <c r="H111" s="290"/>
      <c r="I111" s="227"/>
      <c r="J111" s="228"/>
      <c r="K111" s="228"/>
      <c r="L111" s="228"/>
      <c r="M111" s="111"/>
      <c r="N111" s="111"/>
      <c r="O111" s="111"/>
      <c r="P111" s="111"/>
      <c r="Q111" s="111"/>
      <c r="R111" s="111"/>
      <c r="S111" s="111"/>
      <c r="T111" s="111"/>
      <c r="U111" s="111"/>
      <c r="V111" s="111"/>
    </row>
    <row r="112" outlineLevel="1">
      <c r="A112" s="212"/>
      <c r="B112" s="288" t="s">
        <v>245</v>
      </c>
      <c r="C112" s="113" t="str">
        <f t="array" ref="C112">INDEX('回避'!$G$3:$U$84, MATCH($A$1,'回避'!$A$3:$A$91,0), MATCH(C110,'回避'!$G$2:$J$2,0))</f>
        <v>4-15</v>
      </c>
      <c r="D112" s="113" t="str">
        <f t="array" ref="D112">INDEX('回避'!$G$3:$U$84, MATCH($A$1,'回避'!$A$3:$A$91,0), MATCH(D110,'回避'!$G$2:$J$2,0))</f>
        <v>8-14</v>
      </c>
      <c r="E112" s="113" t="str">
        <f t="array" ref="E112">INDEX('回避'!$G$3:$U$84, MATCH($A$1,'回避'!$A$3:$A$91,0), MATCH(E110,'回避'!$G$2:$J$2,0))</f>
        <v>30</v>
      </c>
      <c r="F112" s="113">
        <f t="array" ref="F112">INDEX('回避'!$G$3:$U$84, MATCH($A$1,'回避'!$A$3:$A$91,0), MATCH(F110,'回避'!$G$2:$J$2,0))</f>
        <v>40</v>
      </c>
      <c r="G112" s="289"/>
      <c r="H112" s="479"/>
      <c r="I112" s="227"/>
      <c r="J112" s="228"/>
      <c r="K112" s="228"/>
      <c r="L112" s="228"/>
      <c r="M112" s="228"/>
      <c r="N112" s="228"/>
      <c r="O112" s="111"/>
      <c r="P112" s="111"/>
      <c r="Q112" s="111"/>
      <c r="R112" s="111"/>
      <c r="S112" s="111"/>
      <c r="T112" s="111"/>
      <c r="U112" s="111"/>
      <c r="V112" s="111"/>
    </row>
    <row r="113" outlineLevel="1">
      <c r="A113" s="106"/>
      <c r="B113" s="288" t="s">
        <v>246</v>
      </c>
      <c r="C113" s="113" t="str">
        <f t="array" ref="C113">INDEX('回避'!$K$3:$U$84, MATCH($A$1,'回避'!$A$3:$A$91,0), MATCH(C110,'回避'!$K$2:$N$2,0))</f>
        <v>5-16</v>
      </c>
      <c r="D113" s="113" t="str">
        <f t="array" ref="D113">INDEX('回避'!$K$3:$U$84, MATCH($A$1,'回避'!$A$3:$A$91,0), MATCH(D110,'回避'!$K$2:$N$2,0))</f>
        <v>9-14</v>
      </c>
      <c r="E113" s="113" t="str">
        <f t="array" ref="E113">INDEX('回避'!$K$3:$U$84, MATCH($A$1,'回避'!$A$3:$A$91,0), MATCH(E110,'回避'!$K$2:$N$2,0))</f>
        <v>35</v>
      </c>
      <c r="F113" s="113" t="str">
        <f t="array" ref="F113">INDEX('回避'!$K$3:$U$84, MATCH($A$1,'回避'!$A$3:$A$91,0), MATCH(F110,'回避'!$K$2:$N$2,0))</f>
        <v>53</v>
      </c>
      <c r="G113" s="289"/>
      <c r="H113" s="290"/>
      <c r="I113" s="290"/>
      <c r="J113" s="117"/>
      <c r="K113" s="117"/>
      <c r="L113" s="117"/>
      <c r="M113" s="117"/>
      <c r="N113" s="117"/>
      <c r="O113" s="111"/>
      <c r="P113" s="111"/>
      <c r="Q113" s="111"/>
      <c r="R113" s="111"/>
      <c r="S113" s="111"/>
      <c r="T113" s="111"/>
      <c r="U113" s="111"/>
      <c r="V113" s="111"/>
    </row>
    <row r="114" outlineLevel="1">
      <c r="A114" s="287" t="s">
        <v>396</v>
      </c>
      <c r="B114" s="288" t="s">
        <v>397</v>
      </c>
      <c r="C114" s="113" t="str">
        <f t="array" ref="C114">INDEX('回避'!$O$3:$U$84, MATCH($A$1,'回避'!$A$3:$A$91,0), MATCH(C110,'回避'!$O$2:$R$2,0))</f>
        <v>3-30</v>
      </c>
      <c r="D114" s="113" t="str">
        <f t="array" ref="D114">INDEX('回避'!$O$3:$U$84, MATCH($A$1,'回避'!$A$3:$A$91,0), MATCH(D110,'回避'!$O$2:$R$2,0))</f>
        <v>6-27</v>
      </c>
      <c r="E114" s="113" t="str">
        <f t="array" ref="E114">INDEX('回避'!$O$3:$U$84, MATCH($A$1,'回避'!$A$3:$A$91,0), MATCH(E110,'回避'!$O$2:$R$2,0))</f>
        <v>49</v>
      </c>
      <c r="F114" s="177"/>
      <c r="G114" s="177"/>
      <c r="H114" s="118"/>
      <c r="I114" s="118"/>
      <c r="J114" s="111"/>
      <c r="K114" s="111"/>
      <c r="L114" s="111"/>
      <c r="M114" s="111"/>
      <c r="N114" s="111"/>
      <c r="O114" s="228"/>
      <c r="P114" s="228"/>
      <c r="Q114" s="228"/>
      <c r="R114" s="228"/>
      <c r="S114" s="228"/>
      <c r="T114" s="228"/>
      <c r="U114" s="228"/>
      <c r="V114" s="228"/>
    </row>
    <row r="115" outlineLevel="1">
      <c r="A115" s="106"/>
      <c r="B115" s="288" t="s">
        <v>398</v>
      </c>
      <c r="C115" s="113" t="str">
        <f t="array" ref="C115">INDEX('回避'!$S$3:$U$84, MATCH($A$1,'回避'!$A$3:$A$91,0), MATCH(C110,'回避'!$S$2:$U$2,0))</f>
        <v>3-21</v>
      </c>
      <c r="D115" s="113" t="str">
        <f t="array" ref="D115">INDEX('回避'!$S$3:$U$84, MATCH($A$1,'回避'!$A$3:$A$91,0), MATCH(D110,'回避'!$S$2:$U$2,0))</f>
        <v>6-20</v>
      </c>
      <c r="E115" s="113" t="str">
        <f t="array" ref="E115">INDEX('回避'!$S$3:$U$84, MATCH($A$1,'回避'!$A$3:$A$91,0), MATCH(E110,'回避'!$S$2:$U$2,0))</f>
        <v>真横：82
真上：108
真下：69</v>
      </c>
      <c r="F115" s="289"/>
      <c r="G115" s="289"/>
      <c r="H115" s="118"/>
      <c r="I115" s="118"/>
      <c r="J115" s="117"/>
      <c r="K115" s="117"/>
      <c r="L115" s="117"/>
      <c r="M115" s="117"/>
      <c r="N115" s="111"/>
      <c r="O115" s="118"/>
      <c r="P115" s="118"/>
      <c r="Q115" s="118"/>
      <c r="R115" s="118"/>
      <c r="S115" s="118"/>
      <c r="T115" s="118"/>
      <c r="U115" s="118"/>
      <c r="V115" s="118"/>
    </row>
    <row r="116">
      <c r="A116" s="291"/>
      <c r="B116" s="292"/>
      <c r="C116" s="286"/>
      <c r="D116" s="286"/>
      <c r="E116" s="293"/>
      <c r="F116" s="286"/>
      <c r="G116" s="286"/>
      <c r="H116" s="286"/>
      <c r="I116" s="286"/>
      <c r="J116" s="111"/>
      <c r="K116" s="227"/>
      <c r="L116" s="227"/>
      <c r="M116" s="227"/>
      <c r="N116" s="227"/>
      <c r="O116" s="118"/>
      <c r="P116" s="118"/>
      <c r="Q116" s="118"/>
      <c r="R116" s="118"/>
      <c r="S116" s="118"/>
      <c r="T116" s="118"/>
      <c r="U116" s="118"/>
      <c r="V116" s="118"/>
    </row>
    <row r="117">
      <c r="A117" s="294" t="s">
        <v>238</v>
      </c>
      <c r="B117" s="104"/>
      <c r="C117" s="228"/>
      <c r="D117" s="117"/>
      <c r="E117" s="228"/>
      <c r="F117" s="114"/>
      <c r="G117" s="114"/>
      <c r="H117" s="117"/>
      <c r="I117" s="117"/>
      <c r="J117" s="118"/>
      <c r="K117" s="118"/>
      <c r="L117" s="118"/>
      <c r="M117" s="118"/>
      <c r="N117" s="118"/>
      <c r="O117" s="118"/>
      <c r="P117" s="118"/>
      <c r="Q117" s="118"/>
      <c r="R117" s="118"/>
      <c r="S117" s="118"/>
      <c r="T117" s="118"/>
      <c r="U117" s="118"/>
      <c r="V117" s="118"/>
    </row>
    <row r="118" outlineLevel="1">
      <c r="A118" s="106"/>
      <c r="B118" s="107"/>
      <c r="C118" s="295" t="s">
        <v>235</v>
      </c>
      <c r="D118" s="295" t="s">
        <v>49</v>
      </c>
      <c r="E118" s="295" t="s">
        <v>48</v>
      </c>
      <c r="F118" s="295" t="s">
        <v>50</v>
      </c>
      <c r="G118" s="296" t="s">
        <v>51</v>
      </c>
      <c r="H118" s="228"/>
      <c r="I118" s="228"/>
      <c r="J118" s="117"/>
      <c r="K118" s="297" t="str">
        <f>'テンプレート'!K116</f>
        <v>アイテム取得</v>
      </c>
      <c r="L118" s="109"/>
      <c r="M118" s="298" t="str">
        <f>'テンプレート'!M116</f>
        <v>取得フレーム</v>
      </c>
      <c r="N118" s="298" t="str">
        <f>'テンプレート'!N116</f>
        <v>全体フレーム</v>
      </c>
      <c r="O118" s="118"/>
      <c r="P118" s="118"/>
      <c r="Q118" s="118"/>
      <c r="R118" s="118"/>
      <c r="S118" s="118"/>
      <c r="T118" s="118"/>
      <c r="U118" s="118"/>
      <c r="V118" s="118"/>
    </row>
    <row r="119" outlineLevel="1">
      <c r="A119" s="299" t="s">
        <v>239</v>
      </c>
      <c r="B119" s="300" t="s">
        <v>240</v>
      </c>
      <c r="C119" s="301"/>
      <c r="D119" s="113">
        <f t="array" ref="D119">INDEX('崖行動・受け身'!$C$3:$C116, MATCH($A$1,'崖行動・受け身'!$A$3:$A$115,0), MATCH(D118,'崖行動・受け身'!$C$2,0))</f>
        <v>19</v>
      </c>
      <c r="E119" s="301"/>
      <c r="F119" s="301"/>
      <c r="G119" s="301"/>
      <c r="H119" s="228"/>
      <c r="I119" s="228"/>
      <c r="J119" s="111"/>
      <c r="K119" s="302" t="str">
        <f>'テンプレート'!K117</f>
        <v>小アイテム</v>
      </c>
      <c r="L119" s="303" t="str">
        <f>'テンプレート'!L117</f>
        <v>その場</v>
      </c>
      <c r="M119" s="113" t="s">
        <v>76</v>
      </c>
      <c r="N119" s="113">
        <v>7.0</v>
      </c>
      <c r="O119" s="118"/>
      <c r="P119" s="118"/>
      <c r="Q119" s="118"/>
      <c r="R119" s="118"/>
      <c r="S119" s="118"/>
      <c r="T119" s="118"/>
      <c r="U119" s="118"/>
      <c r="V119" s="118"/>
    </row>
    <row r="120" outlineLevel="1">
      <c r="A120" s="146"/>
      <c r="B120" s="300" t="s">
        <v>216</v>
      </c>
      <c r="C120" s="113" t="str">
        <f t="array" ref="C120">INDEX('崖行動・受け身'!$D$3:$E116, MATCH($A$1,'崖行動・受け身'!$A$3:$A$115,0), MATCH(C118,'崖行動・受け身'!$D$2:$E$2,0))</f>
        <v>1-33</v>
      </c>
      <c r="D120" s="113">
        <f t="array" ref="D120">INDEX('崖行動・受け身'!$D$3:$E116, MATCH($A$1,'崖行動・受け身'!$A$3:$A$115,0), MATCH(D118,'崖行動・受け身'!$D$2:$E$2,0))</f>
        <v>34</v>
      </c>
      <c r="E120" s="301"/>
      <c r="F120" s="301"/>
      <c r="G120" s="301"/>
      <c r="H120" s="228"/>
      <c r="I120" s="228"/>
      <c r="J120" s="117"/>
      <c r="K120" s="156"/>
      <c r="L120" s="303" t="str">
        <f>'テンプレート'!L118</f>
        <v>歩き</v>
      </c>
      <c r="M120" s="113" t="s">
        <v>76</v>
      </c>
      <c r="N120" s="113">
        <v>23.0</v>
      </c>
      <c r="O120" s="118"/>
      <c r="P120" s="118"/>
      <c r="Q120" s="118"/>
      <c r="R120" s="118"/>
      <c r="S120" s="118"/>
      <c r="T120" s="118"/>
      <c r="U120" s="118"/>
      <c r="V120" s="118"/>
    </row>
    <row r="121" outlineLevel="1">
      <c r="A121" s="146"/>
      <c r="B121" s="300" t="s">
        <v>241</v>
      </c>
      <c r="C121" s="113" t="str">
        <f t="array" ref="C121">INDEX('崖行動・受け身'!$F$3:$G$115, MATCH($A$1,'崖行動・受け身'!$A$3:$A$115,0), MATCH(C118,'崖行動・受け身'!$F$2:$G$2,0))</f>
        <v>1-26</v>
      </c>
      <c r="D121" s="113">
        <f t="array" ref="D121">INDEX('崖行動・受け身'!$F$3:$G$115, MATCH($A$1,'崖行動・受け身'!$A$3:$A$115,0), MATCH(D118,'崖行動・受け身'!$F$2:$G$2,0))</f>
        <v>45</v>
      </c>
      <c r="E121" s="301"/>
      <c r="F121" s="301"/>
      <c r="G121" s="301"/>
      <c r="H121" s="228"/>
      <c r="I121" s="228"/>
      <c r="J121" s="111"/>
      <c r="K121" s="304" t="str">
        <f>'テンプレート'!K119</f>
        <v>アイテム投擲</v>
      </c>
      <c r="L121" s="109"/>
      <c r="M121" s="298" t="str">
        <f>'テンプレート'!M119</f>
        <v>投擲フレーム</v>
      </c>
      <c r="N121" s="298" t="str">
        <f>'テンプレート'!N119</f>
        <v>全体フレーム</v>
      </c>
      <c r="O121" s="118"/>
      <c r="P121" s="118"/>
      <c r="Q121" s="118"/>
      <c r="R121" s="118"/>
      <c r="S121" s="118"/>
      <c r="T121" s="118"/>
      <c r="U121" s="118"/>
      <c r="V121" s="118"/>
    </row>
    <row r="122" outlineLevel="1">
      <c r="A122" s="146"/>
      <c r="B122" s="300" t="s">
        <v>242</v>
      </c>
      <c r="C122" s="113" t="str">
        <f t="array" ref="C122">INDEX('崖行動・受け身'!$H$3:$I$115, MATCH($A$1,'崖行動・受け身'!$A$3:$A$115,0), MATCH(C118,'崖行動・受け身'!$H$2:$I$2,0))</f>
        <v>1-12</v>
      </c>
      <c r="D122" s="113">
        <f t="array" ref="D122">INDEX('崖行動・受け身'!$H$3:$I$115, MATCH($A$1,'崖行動・受け身'!$A$3:$A$115,0), MATCH(D118,'崖行動・受け身'!$H$2:$I$2,0))</f>
        <v>14</v>
      </c>
      <c r="E122" s="301"/>
      <c r="F122" s="301"/>
      <c r="G122" s="301"/>
      <c r="H122" s="228"/>
      <c r="I122" s="228"/>
      <c r="J122" s="117"/>
      <c r="K122" s="305" t="str">
        <f>'テンプレート'!K120</f>
        <v>地上投擲</v>
      </c>
      <c r="L122" s="303" t="str">
        <f>'テンプレート'!L120</f>
        <v>前投げ</v>
      </c>
      <c r="M122" s="113" t="s">
        <v>93</v>
      </c>
      <c r="N122" s="113">
        <v>20.0</v>
      </c>
      <c r="O122" s="111"/>
      <c r="P122" s="111"/>
      <c r="Q122" s="111"/>
      <c r="R122" s="111"/>
      <c r="S122" s="111"/>
      <c r="T122" s="111"/>
      <c r="U122" s="111"/>
      <c r="V122" s="111"/>
    </row>
    <row r="123" outlineLevel="1">
      <c r="A123" s="156"/>
      <c r="B123" s="300" t="s">
        <v>243</v>
      </c>
      <c r="C123" s="113" t="str">
        <f t="array" ref="C123">INDEX('崖行動・受け身'!$J$3:$M$115, MATCH($A$1,'崖行動・受け身'!$A$3:$A$115,0), MATCH(C118,'崖行動・受け身'!$J$2:$M$2,0))</f>
        <v>1-22</v>
      </c>
      <c r="D123" s="113">
        <f t="array" ref="D123">INDEX('崖行動・受け身'!$J$3:$M$115, MATCH($A$1,'崖行動・受け身'!$A$3:$A$115,0), MATCH(D118,'崖行動・受け身'!$J$2:$M$2,0))</f>
        <v>55</v>
      </c>
      <c r="E123" s="113" t="str">
        <f t="array" ref="E123">INDEX('崖行動・受け身'!$J$3:$M$115, MATCH($A$1,'崖行動・受け身'!$A$3:$A$115,0), MATCH(E118,'崖行動・受け身'!$J$2:$M$2,0))</f>
        <v>20-22</v>
      </c>
      <c r="F123" s="113">
        <f t="array" ref="F123">INDEX('崖行動・受け身'!$J$3:$M$115, MATCH($A$1,'崖行動・受け身'!$A$3:$A$115,0), MATCH(F118,'崖行動・受け身'!$J$2:$M$2,0))</f>
        <v>9</v>
      </c>
      <c r="G123" s="113">
        <f>F123*1.2</f>
        <v>10.8</v>
      </c>
      <c r="H123" s="228"/>
      <c r="I123" s="228"/>
      <c r="J123" s="111"/>
      <c r="K123" s="146"/>
      <c r="L123" s="303" t="str">
        <f>'テンプレート'!L121</f>
        <v>後投げ</v>
      </c>
      <c r="M123" s="113" t="s">
        <v>274</v>
      </c>
      <c r="N123" s="113">
        <v>20.0</v>
      </c>
      <c r="O123" s="111"/>
      <c r="P123" s="111"/>
      <c r="Q123" s="111"/>
      <c r="R123" s="111"/>
      <c r="S123" s="111"/>
      <c r="T123" s="111"/>
      <c r="U123" s="111"/>
      <c r="V123" s="111"/>
    </row>
    <row r="124" outlineLevel="1">
      <c r="A124" s="299" t="s">
        <v>244</v>
      </c>
      <c r="B124" s="300" t="s">
        <v>216</v>
      </c>
      <c r="C124" s="113" t="str">
        <f t="array" ref="C124">INDEX('崖行動・受け身'!$N$3:$O$115, MATCH($A$1,'崖行動・受け身'!$A$3:$A$115,0), MATCH(C118,'崖行動・受け身'!$N$2:$O$2,0))</f>
        <v>1-20</v>
      </c>
      <c r="D124" s="113">
        <f t="array" ref="D124">INDEX('崖行動・受け身'!$N$3:$O$115, MATCH($A$1,'崖行動・受け身'!$A$3:$A$115,0), MATCH(D118,'崖行動・受け身'!$N$2:$O$2,0))</f>
        <v>26</v>
      </c>
      <c r="E124" s="301"/>
      <c r="F124" s="301"/>
      <c r="G124" s="301"/>
      <c r="H124" s="228"/>
      <c r="I124" s="228"/>
      <c r="J124" s="117"/>
      <c r="K124" s="146"/>
      <c r="L124" s="303" t="str">
        <f>'テンプレート'!L122</f>
        <v>上投げ</v>
      </c>
      <c r="M124" s="113" t="s">
        <v>232</v>
      </c>
      <c r="N124" s="113">
        <v>20.0</v>
      </c>
      <c r="O124" s="228"/>
      <c r="P124" s="228"/>
      <c r="Q124" s="228"/>
      <c r="R124" s="228"/>
      <c r="S124" s="228"/>
      <c r="T124" s="228"/>
      <c r="U124" s="228"/>
      <c r="V124" s="228"/>
    </row>
    <row r="125" outlineLevel="1">
      <c r="A125" s="146"/>
      <c r="B125" s="300" t="s">
        <v>245</v>
      </c>
      <c r="C125" s="113" t="str">
        <f t="array" ref="C125">INDEX('崖行動・受け身'!$P$3:$Q$115, MATCH($A$1,'崖行動・受け身'!$A$3:$A$115,0), MATCH(C118,'崖行動・受け身'!$P$2:$Q$2,0))</f>
        <v>1-20</v>
      </c>
      <c r="D125" s="113">
        <f t="array" ref="D125">INDEX('崖行動・受け身'!$P$3:$Q$115, MATCH($A$1,'崖行動・受け身'!$A$3:$A$115,0), MATCH(D118,'崖行動・受け身'!$P$2:$Q$2,0))</f>
        <v>40</v>
      </c>
      <c r="E125" s="301"/>
      <c r="F125" s="301"/>
      <c r="G125" s="301"/>
      <c r="H125" s="228"/>
      <c r="I125" s="228"/>
      <c r="J125" s="111"/>
      <c r="K125" s="146"/>
      <c r="L125" s="303" t="str">
        <f>'テンプレート'!L123</f>
        <v>下投げ</v>
      </c>
      <c r="M125" s="113" t="s">
        <v>86</v>
      </c>
      <c r="N125" s="113">
        <v>18.0</v>
      </c>
      <c r="O125" s="118"/>
      <c r="P125" s="118"/>
      <c r="Q125" s="118"/>
      <c r="R125" s="118"/>
      <c r="S125" s="118"/>
      <c r="T125" s="118"/>
      <c r="U125" s="118"/>
      <c r="V125" s="118"/>
    </row>
    <row r="126" outlineLevel="1">
      <c r="A126" s="156"/>
      <c r="B126" s="300" t="s">
        <v>246</v>
      </c>
      <c r="C126" s="113" t="str">
        <f t="array" ref="C126">INDEX('崖行動・受け身'!$R$3:$S$115, MATCH($A$1,'崖行動・受け身'!$A$3:$A$115,0), MATCH(C118,'崖行動・受け身'!$R$2:$S$2,0))</f>
        <v>1-20</v>
      </c>
      <c r="D126" s="113">
        <f t="array" ref="D126">INDEX('崖行動・受け身'!$R$3:$S$115, MATCH($A$1,'崖行動・受け身'!$A$3:$A$115,0), MATCH(D118,'崖行動・受け身'!$R$2:$S$2,0))</f>
        <v>40</v>
      </c>
      <c r="E126" s="301"/>
      <c r="F126" s="301"/>
      <c r="G126" s="301"/>
      <c r="H126" s="228"/>
      <c r="I126" s="228"/>
      <c r="J126" s="117"/>
      <c r="K126" s="146"/>
      <c r="L126" s="306" t="str">
        <f>'テンプレート'!L124</f>
        <v>ダッシュ</v>
      </c>
      <c r="M126" s="113" t="s">
        <v>73</v>
      </c>
      <c r="N126" s="113">
        <v>18.0</v>
      </c>
      <c r="O126" s="118"/>
      <c r="P126" s="118"/>
      <c r="Q126" s="118"/>
      <c r="R126" s="118"/>
      <c r="S126" s="118"/>
      <c r="T126" s="118"/>
      <c r="U126" s="118"/>
      <c r="V126" s="118"/>
    </row>
    <row r="127" outlineLevel="1">
      <c r="A127" s="299" t="s">
        <v>247</v>
      </c>
      <c r="B127" s="300" t="s">
        <v>248</v>
      </c>
      <c r="C127" s="301"/>
      <c r="D127" s="113" t="str">
        <f t="array" ref="D127">INDEX('起きあがり'!$C$3:$C116, MATCH($A$1,'起きあがり'!$A$3:$A$115,0), MATCH(D118,'起きあがり'!$C$2:$AD$2,0))</f>
        <v>25</v>
      </c>
      <c r="E127" s="301"/>
      <c r="F127" s="301"/>
      <c r="G127" s="301"/>
      <c r="H127" s="228"/>
      <c r="I127" s="228"/>
      <c r="J127" s="111"/>
      <c r="K127" s="156"/>
      <c r="L127" s="306" t="str">
        <f>'テンプレート'!L125</f>
        <v>その場捨て</v>
      </c>
      <c r="M127" s="113" t="s">
        <v>150</v>
      </c>
      <c r="N127" s="113">
        <v>23.0</v>
      </c>
      <c r="O127" s="118"/>
      <c r="P127" s="118"/>
      <c r="Q127" s="118"/>
      <c r="R127" s="118"/>
      <c r="S127" s="118"/>
      <c r="T127" s="118"/>
      <c r="U127" s="118"/>
      <c r="V127" s="118"/>
    </row>
    <row r="128" outlineLevel="1">
      <c r="A128" s="146"/>
      <c r="B128" s="300" t="s">
        <v>216</v>
      </c>
      <c r="C128" s="307" t="str">
        <f t="array" ref="C128">INDEX('起きあがり'!$D$3:$E116, MATCH($A$1,'起きあがり'!$A$3:$A$115,0), MATCH(C118,'起きあがり'!$D$2:$AD$2,0))</f>
        <v>1-22</v>
      </c>
      <c r="D128" s="308">
        <f t="array" ref="D128">INDEX('起きあがり'!$D$3:$E116, MATCH($A$1,'起きあがり'!$A$3:$A$115,0), MATCH(D118,'起きあがり'!$D$2:$AD$2,0))</f>
        <v>29</v>
      </c>
      <c r="E128" s="301"/>
      <c r="F128" s="301"/>
      <c r="G128" s="301"/>
      <c r="H128" s="228"/>
      <c r="I128" s="228"/>
      <c r="J128" s="117"/>
      <c r="K128" s="305" t="str">
        <f>'テンプレート'!K126</f>
        <v>空中投擲</v>
      </c>
      <c r="L128" s="303" t="str">
        <f>'テンプレート'!L126</f>
        <v>前投げ</v>
      </c>
      <c r="M128" s="113" t="s">
        <v>93</v>
      </c>
      <c r="N128" s="113">
        <v>20.0</v>
      </c>
      <c r="O128" s="118"/>
      <c r="P128" s="118"/>
      <c r="Q128" s="118"/>
      <c r="R128" s="118"/>
      <c r="S128" s="118"/>
      <c r="T128" s="118"/>
      <c r="U128" s="118"/>
      <c r="V128" s="118"/>
    </row>
    <row r="129" outlineLevel="1">
      <c r="A129" s="146"/>
      <c r="B129" s="300" t="s">
        <v>245</v>
      </c>
      <c r="C129" s="307" t="str">
        <f t="array" ref="C129">INDEX('起きあがり'!$F$3:$G$115, MATCH($A$1,'起きあがり'!$A$3:$A$115,0), MATCH(C118,'起きあがり'!$F$2:$AD$2,0))</f>
        <v>1-24</v>
      </c>
      <c r="D129" s="308">
        <f t="array" ref="D129">INDEX('起きあがり'!$F$3:$G$115, MATCH($A$1,'起きあがり'!$A$3:$A$115,0), MATCH(D118,'起きあがり'!$F$2:$AD$2,0))</f>
        <v>35</v>
      </c>
      <c r="E129" s="301"/>
      <c r="F129" s="301"/>
      <c r="G129" s="301"/>
      <c r="H129" s="228"/>
      <c r="I129" s="228"/>
      <c r="J129" s="111"/>
      <c r="K129" s="146"/>
      <c r="L129" s="303" t="str">
        <f>'テンプレート'!L127</f>
        <v>後投げ</v>
      </c>
      <c r="M129" s="113" t="s">
        <v>274</v>
      </c>
      <c r="N129" s="113">
        <v>20.0</v>
      </c>
      <c r="O129" s="118"/>
      <c r="P129" s="118"/>
      <c r="Q129" s="118"/>
      <c r="R129" s="118"/>
      <c r="S129" s="118"/>
      <c r="T129" s="118"/>
      <c r="U129" s="118"/>
      <c r="V129" s="118"/>
    </row>
    <row r="130" outlineLevel="1">
      <c r="A130" s="146"/>
      <c r="B130" s="300" t="s">
        <v>246</v>
      </c>
      <c r="C130" s="113" t="str">
        <f t="array" ref="C130">INDEX('起きあがり'!$H$3:$I$115, MATCH($A$1,'起きあがり'!$A$3:$A$115,0), MATCH(C118,'起きあがり'!$H$2:$AD$2,0))</f>
        <v>1-31</v>
      </c>
      <c r="D130" s="113">
        <f t="array" ref="D130">INDEX('起きあがり'!$H$3:$I$115, MATCH($A$1,'起きあがり'!$A$3:$A$115,0), MATCH(D118,'起きあがり'!$H$2:$AD$2,0))</f>
        <v>35</v>
      </c>
      <c r="E130" s="301"/>
      <c r="F130" s="301"/>
      <c r="G130" s="301"/>
      <c r="H130" s="228"/>
      <c r="I130" s="228"/>
      <c r="J130" s="117"/>
      <c r="K130" s="146"/>
      <c r="L130" s="303" t="str">
        <f>'テンプレート'!L128</f>
        <v>上投げ</v>
      </c>
      <c r="M130" s="113" t="s">
        <v>232</v>
      </c>
      <c r="N130" s="113">
        <v>20.0</v>
      </c>
      <c r="O130" s="118"/>
      <c r="P130" s="118"/>
      <c r="Q130" s="118"/>
      <c r="R130" s="118"/>
      <c r="S130" s="118"/>
      <c r="T130" s="118"/>
      <c r="U130" s="118"/>
      <c r="V130" s="118"/>
    </row>
    <row r="131" outlineLevel="1">
      <c r="A131" s="146"/>
      <c r="B131" s="300" t="s">
        <v>249</v>
      </c>
      <c r="C131" s="309" t="str">
        <f t="array" ref="C131">INDEX('起きあがり'!$J$3:$M$115, MATCH($A$1,'起きあがり'!$A$3:$A$115,0), MATCH(C118,'起きあがり'!$J$2:$AD$2,0))</f>
        <v>1-22</v>
      </c>
      <c r="D131" s="310">
        <f t="array" ref="D131">INDEX('起きあがり'!$J$3:$M$115, MATCH($A$1,'起きあがり'!$A$3:$A$115,0), MATCH(D118,'起きあがり'!$J$2:$AD$2,0))</f>
        <v>45</v>
      </c>
      <c r="E131" s="307" t="str">
        <f t="array" ref="E131">INDEX('起きあがり'!$J$3:$M$115, MATCH($A$1,'起きあがり'!$A$3:$A$115,0), MATCH(E118,'起きあがり'!$J$2:$AD$2,0))</f>
        <v>17-18</v>
      </c>
      <c r="F131" s="308">
        <f t="array" ref="F131">INDEX('起きあがり'!$J$3:$M$115, MATCH($A$1,'起きあがり'!$A$3:$A$115,0), MATCH(F118,'起きあがり'!$J$2:$AD$2,0))</f>
        <v>7</v>
      </c>
      <c r="G131" s="113">
        <f t="shared" ref="G131:G132" si="1">F131*1.2</f>
        <v>8.4</v>
      </c>
      <c r="H131" s="228"/>
      <c r="I131" s="228"/>
      <c r="J131" s="111"/>
      <c r="K131" s="156"/>
      <c r="L131" s="303" t="str">
        <f>'テンプレート'!L129</f>
        <v>下投げ</v>
      </c>
      <c r="M131" s="113" t="s">
        <v>86</v>
      </c>
      <c r="N131" s="113">
        <v>18.0</v>
      </c>
      <c r="O131" s="111"/>
      <c r="P131" s="111"/>
      <c r="Q131" s="111"/>
      <c r="R131" s="111"/>
      <c r="S131" s="111"/>
      <c r="T131" s="111"/>
      <c r="U131" s="111"/>
      <c r="V131" s="111"/>
    </row>
    <row r="132" outlineLevel="1">
      <c r="A132" s="156"/>
      <c r="B132" s="311" t="s">
        <v>250</v>
      </c>
      <c r="C132" s="156"/>
      <c r="D132" s="156"/>
      <c r="E132" s="307" t="str">
        <f t="array" ref="E132">INDEX('起きあがり'!$N$3:$O$115, MATCH($A$1,'起きあがり'!$A$3:$A$115,0), MATCH(E118,'起きあがり'!$N$2:$AD$2,0))</f>
        <v>21-22</v>
      </c>
      <c r="F132" s="308">
        <f t="array" ref="F132">INDEX('起きあがり'!$N$3:$O$115, MATCH($A$1,'起きあがり'!$A$3:$A$115,0), MATCH(F118,'起きあがり'!$N$2:$AD$2,0))</f>
        <v>7</v>
      </c>
      <c r="G132" s="113">
        <f t="shared" si="1"/>
        <v>8.4</v>
      </c>
      <c r="H132" s="228"/>
      <c r="I132" s="228"/>
      <c r="J132" s="111"/>
      <c r="K132" s="312" t="str">
        <f>'テンプレート'!K130</f>
        <v>踏み台ジャンプ</v>
      </c>
      <c r="L132" s="168"/>
      <c r="M132" s="298" t="str">
        <f>'テンプレート'!M130</f>
        <v>全体フレーム</v>
      </c>
      <c r="N132" s="114"/>
      <c r="O132" s="111"/>
      <c r="P132" s="111"/>
      <c r="Q132" s="111"/>
      <c r="R132" s="111"/>
      <c r="S132" s="111"/>
      <c r="T132" s="111"/>
      <c r="U132" s="111"/>
      <c r="V132" s="111"/>
    </row>
    <row r="133" outlineLevel="1">
      <c r="A133" s="299" t="s">
        <v>251</v>
      </c>
      <c r="B133" s="300" t="s">
        <v>248</v>
      </c>
      <c r="C133" s="301"/>
      <c r="D133" s="307" t="str">
        <f t="array" ref="D133">INDEX('起きあがり'!$C$3:$C116, MATCH($A$1,'起きあがり'!$A$3:$A$115,0), MATCH(D118,'起きあがり'!$C$2,0))</f>
        <v>25</v>
      </c>
      <c r="E133" s="301"/>
      <c r="F133" s="301"/>
      <c r="G133" s="301"/>
      <c r="H133" s="228"/>
      <c r="I133" s="228"/>
      <c r="J133" s="117"/>
      <c r="K133" s="313" t="str">
        <f>'テンプレート'!K131</f>
        <v>踏み</v>
      </c>
      <c r="L133" s="314" t="str">
        <f>'テンプレート'!L131</f>
        <v>踏み</v>
      </c>
      <c r="M133" s="113" t="s">
        <v>93</v>
      </c>
      <c r="N133" s="315"/>
      <c r="O133" s="111"/>
      <c r="P133" s="111"/>
      <c r="Q133" s="111"/>
      <c r="R133" s="111"/>
      <c r="S133" s="111"/>
      <c r="T133" s="111"/>
      <c r="U133" s="111"/>
      <c r="V133" s="111"/>
    </row>
    <row r="134" outlineLevel="1">
      <c r="A134" s="146"/>
      <c r="B134" s="300" t="s">
        <v>216</v>
      </c>
      <c r="C134" s="307" t="str">
        <f t="array" ref="C134">INDEX('起きあがり'!$P$3:$Q$115, MATCH($A$1,'起きあがり'!$A$3:$A$115,0), MATCH(C118,'起きあがり'!$P$2:$AD$2,0))</f>
        <v>1-22</v>
      </c>
      <c r="D134" s="308">
        <f t="array" ref="D134">INDEX('起きあがり'!$P$3:$Q$115, MATCH($A$1,'起きあがり'!$A$3:$A$115,0), MATCH(D118,'起きあがり'!$P$2:$AD$2,0))</f>
        <v>29</v>
      </c>
      <c r="E134" s="301"/>
      <c r="F134" s="301"/>
      <c r="G134" s="301"/>
      <c r="H134" s="228"/>
      <c r="I134" s="228"/>
      <c r="J134" s="111"/>
      <c r="K134" s="305" t="str">
        <f>'テンプレート'!K132</f>
        <v>踏まれ</v>
      </c>
      <c r="L134" s="314" t="str">
        <f>'テンプレート'!L132</f>
        <v>地上踏まれ</v>
      </c>
      <c r="M134" s="113" t="s">
        <v>76</v>
      </c>
      <c r="N134" s="315"/>
      <c r="O134" s="228"/>
      <c r="P134" s="228"/>
      <c r="Q134" s="228"/>
      <c r="R134" s="228"/>
      <c r="S134" s="228"/>
      <c r="T134" s="228"/>
      <c r="U134" s="228"/>
      <c r="V134" s="228"/>
    </row>
    <row r="135" outlineLevel="1">
      <c r="A135" s="146"/>
      <c r="B135" s="300" t="s">
        <v>245</v>
      </c>
      <c r="C135" s="307" t="str">
        <f t="array" ref="C135">INDEX('起きあがり'!$R$3:$S$115, MATCH($A$1,'起きあがり'!$A$3:$A$115,0), MATCH(C118,'起きあがり'!$R$2:$AD$2,0))</f>
        <v>1-19</v>
      </c>
      <c r="D135" s="308">
        <f t="array" ref="D135">INDEX('起きあがり'!$R$3:$S$115, MATCH($A$1,'起きあがり'!$A$3:$A$115,0), MATCH(D118,'起きあがり'!$R$2:$AD$2,0))</f>
        <v>35</v>
      </c>
      <c r="E135" s="301"/>
      <c r="F135" s="301"/>
      <c r="G135" s="301"/>
      <c r="H135" s="228"/>
      <c r="I135" s="228"/>
      <c r="J135" s="117"/>
      <c r="K135" s="146"/>
      <c r="L135" s="314" t="str">
        <f>'テンプレート'!L133</f>
        <v>地上硬直</v>
      </c>
      <c r="M135" s="113">
        <v>27.0</v>
      </c>
      <c r="N135" s="102"/>
      <c r="O135" s="118"/>
      <c r="P135" s="118"/>
      <c r="Q135" s="118"/>
      <c r="R135" s="118"/>
      <c r="S135" s="118"/>
      <c r="T135" s="118"/>
      <c r="U135" s="118"/>
      <c r="V135" s="118"/>
    </row>
    <row r="136" outlineLevel="1">
      <c r="A136" s="146"/>
      <c r="B136" s="300" t="s">
        <v>246</v>
      </c>
      <c r="C136" s="307" t="str">
        <f t="array" ref="C136">INDEX('起きあがり'!$T$3:$U$115, MATCH($A$1,'起きあがり'!$A$3:$A$115,0), MATCH(C118,'起きあがり'!$T$2:$AD$2,0))</f>
        <v>1-25</v>
      </c>
      <c r="D136" s="308">
        <f t="array" ref="D136">INDEX('起きあがり'!$T$3:$U$115, MATCH($A$1,'起きあがり'!$A$3:$A$115,0), MATCH(D118,'起きあがり'!$T$2:$AD$2,0))</f>
        <v>35</v>
      </c>
      <c r="E136" s="301"/>
      <c r="F136" s="301"/>
      <c r="G136" s="301"/>
      <c r="H136" s="228"/>
      <c r="I136" s="228"/>
      <c r="J136" s="111"/>
      <c r="K136" s="146"/>
      <c r="L136" s="314" t="str">
        <f>'テンプレート'!L134</f>
        <v>空中踏まれ</v>
      </c>
      <c r="M136" s="113">
        <v>8.0</v>
      </c>
      <c r="N136" s="102"/>
      <c r="O136" s="118"/>
      <c r="P136" s="118"/>
      <c r="Q136" s="118"/>
      <c r="R136" s="118"/>
      <c r="S136" s="118"/>
      <c r="T136" s="118"/>
      <c r="U136" s="118"/>
      <c r="V136" s="118"/>
    </row>
    <row r="137" outlineLevel="1">
      <c r="A137" s="146"/>
      <c r="B137" s="300" t="s">
        <v>249</v>
      </c>
      <c r="C137" s="309" t="str">
        <f t="array" ref="C137">INDEX('起きあがり'!$V$3:$Y$115, MATCH($A$1,'起きあがり'!$A$3:$A$115,0), MATCH(C118,'起きあがり'!$V$2:$AD$2,0))</f>
        <v>1-22</v>
      </c>
      <c r="D137" s="310">
        <f t="array" ref="D137">INDEX('起きあがり'!$V$3:$Y$115, MATCH($A$1,'起きあがり'!$A$3:$A$115,0), MATCH(D118,'起きあがり'!$V$2:$AD$2,0))</f>
        <v>45</v>
      </c>
      <c r="E137" s="307" t="str">
        <f t="array" ref="E137">INDEX('起きあがり'!$V$3:$Y$115, MATCH($A$1,'起きあがり'!$A$3:$A$115,0), MATCH(E118,'起きあがり'!$V$2:$AD$2,0))</f>
        <v>17-18</v>
      </c>
      <c r="F137" s="308">
        <f t="array" ref="F137">INDEX('起きあがり'!$V$3:$Y$115, MATCH($A$1,'起きあがり'!$A$3:$A$115,0), MATCH(F118,'起きあがり'!$V$2:$AD$2,0))</f>
        <v>7</v>
      </c>
      <c r="G137" s="113">
        <f t="shared" ref="G137:G138" si="2">F137*1.2</f>
        <v>8.4</v>
      </c>
      <c r="H137" s="228"/>
      <c r="I137" s="228"/>
      <c r="J137" s="117"/>
      <c r="K137" s="146"/>
      <c r="L137" s="314" t="str">
        <f>'テンプレート'!L135</f>
        <v>空中落下</v>
      </c>
      <c r="M137" s="113">
        <v>36.0</v>
      </c>
      <c r="N137" s="102"/>
      <c r="O137" s="118"/>
      <c r="P137" s="118"/>
      <c r="Q137" s="118"/>
      <c r="R137" s="118"/>
      <c r="S137" s="118"/>
      <c r="T137" s="118"/>
      <c r="U137" s="118"/>
      <c r="V137" s="118"/>
    </row>
    <row r="138" outlineLevel="1">
      <c r="A138" s="156"/>
      <c r="B138" s="311" t="s">
        <v>250</v>
      </c>
      <c r="C138" s="156"/>
      <c r="D138" s="156"/>
      <c r="E138" s="307" t="str">
        <f t="array" ref="E138">INDEX('起きあがり'!$Z$3:$AA$115, MATCH($A$1,'起きあがり'!$A$3:$A$115,0), MATCH(E118,'起きあがり'!$Z$2:$AD$2,0))</f>
        <v>21-22</v>
      </c>
      <c r="F138" s="308">
        <f t="array" ref="F138">INDEX('起きあがり'!$Z$3:$AA$115, MATCH($A$1,'起きあがり'!$A$3:$A$115,0), MATCH(F118,'起きあがり'!$Z$2:$AD$2,0))</f>
        <v>7</v>
      </c>
      <c r="G138" s="113">
        <f t="shared" si="2"/>
        <v>8.4</v>
      </c>
      <c r="H138" s="228"/>
      <c r="I138" s="228"/>
      <c r="J138" s="117"/>
      <c r="K138" s="304" t="str">
        <f>'テンプレート'!K136</f>
        <v>倒れダメージ</v>
      </c>
      <c r="L138" s="110"/>
      <c r="M138" s="298" t="str">
        <f>'テンプレート'!M136</f>
        <v>全体フレーム</v>
      </c>
      <c r="N138" s="102"/>
      <c r="O138" s="118"/>
      <c r="P138" s="118"/>
      <c r="Q138" s="118"/>
      <c r="R138" s="118"/>
      <c r="S138" s="118"/>
      <c r="T138" s="118"/>
      <c r="U138" s="118"/>
      <c r="V138" s="118"/>
    </row>
    <row r="139" outlineLevel="1">
      <c r="A139" s="299" t="s">
        <v>252</v>
      </c>
      <c r="B139" s="300" t="s">
        <v>253</v>
      </c>
      <c r="C139" s="307" t="str">
        <f t="array" ref="C139">INDEX('転倒'!$C$3:$D116, MATCH($A$1,'転倒'!$A$3:$A$115,0), MATCH(C118,'転倒'!$C$2:$AC$2,0))</f>
        <v>1-5</v>
      </c>
      <c r="D139" s="308">
        <f t="array" ref="D139">INDEX('転倒'!$C$3:$D116, MATCH($A$1,'転倒'!$A$3:$A$115,0), MATCH(D118,'転倒'!$C$2:$AC$2,0))</f>
        <v>29</v>
      </c>
      <c r="E139" s="301"/>
      <c r="F139" s="301"/>
      <c r="G139" s="301"/>
      <c r="H139" s="228"/>
      <c r="I139" s="228"/>
      <c r="J139" s="111"/>
      <c r="K139" s="313" t="str">
        <f>'テンプレート'!K137</f>
        <v>あお向け倒れ</v>
      </c>
      <c r="L139" s="306" t="str">
        <f>'テンプレート'!L137</f>
        <v>モーション大</v>
      </c>
      <c r="M139" s="113">
        <v>39.0</v>
      </c>
      <c r="N139" s="315"/>
      <c r="O139" s="118"/>
      <c r="P139" s="118"/>
      <c r="Q139" s="118"/>
      <c r="R139" s="118"/>
      <c r="S139" s="118"/>
      <c r="T139" s="118"/>
      <c r="U139" s="118"/>
      <c r="V139" s="118"/>
    </row>
    <row r="140" outlineLevel="1">
      <c r="A140" s="146"/>
      <c r="B140" s="300" t="s">
        <v>254</v>
      </c>
      <c r="C140" s="307" t="str">
        <f t="array" ref="C140">INDEX('転倒'!$E$3:$F116, MATCH($A$1,'転倒'!$A$3:$A$115,0), MATCH(C118,'転倒'!$E$2:$AC$2,0))</f>
        <v>1-5</v>
      </c>
      <c r="D140" s="308">
        <f t="array" ref="D140">INDEX('転倒'!$E$3:$F116, MATCH($A$1,'転倒'!$A$3:$A$115,0), MATCH(D118,'転倒'!$E$2:$AC$2,0))</f>
        <v>39</v>
      </c>
      <c r="E140" s="301"/>
      <c r="F140" s="301"/>
      <c r="G140" s="301"/>
      <c r="H140" s="228"/>
      <c r="I140" s="228"/>
      <c r="J140" s="117"/>
      <c r="K140" s="313" t="str">
        <f>'テンプレート'!K138</f>
        <v>うつ伏せ倒れ</v>
      </c>
      <c r="L140" s="306" t="str">
        <f>'テンプレート'!L138</f>
        <v>モーション大</v>
      </c>
      <c r="M140" s="113" t="s">
        <v>118</v>
      </c>
      <c r="N140" s="315"/>
      <c r="O140" s="118"/>
      <c r="P140" s="118"/>
      <c r="Q140" s="118"/>
      <c r="R140" s="118"/>
      <c r="S140" s="118"/>
      <c r="T140" s="118"/>
      <c r="U140" s="118"/>
      <c r="V140" s="118"/>
    </row>
    <row r="141" outlineLevel="1">
      <c r="A141" s="146"/>
      <c r="B141" s="300" t="s">
        <v>216</v>
      </c>
      <c r="C141" s="307" t="str">
        <f t="array" ref="C141">INDEX('転倒'!$G$3:$H$115, MATCH($A$1,'転倒'!$A$3:$A$115,0), MATCH(C118,'転倒'!$G$2:$AC$2,0))</f>
        <v>1-16</v>
      </c>
      <c r="D141" s="308">
        <f t="array" ref="D141">INDEX('転倒'!$G$3:$H$115, MATCH($A$1,'転倒'!$A$3:$A$115,0), MATCH(D118,'転倒'!$G$2:$AC$2,0))</f>
        <v>21</v>
      </c>
      <c r="E141" s="301"/>
      <c r="F141" s="301"/>
      <c r="G141" s="301"/>
      <c r="H141" s="228"/>
      <c r="I141" s="228"/>
      <c r="J141" s="111"/>
      <c r="K141" s="304" t="str">
        <f>'テンプレート'!K139</f>
        <v/>
      </c>
      <c r="L141" s="110"/>
      <c r="M141" s="298" t="str">
        <f>'テンプレート'!M139</f>
        <v/>
      </c>
      <c r="N141" s="102"/>
      <c r="O141" s="118"/>
      <c r="P141" s="118"/>
      <c r="Q141" s="118"/>
      <c r="R141" s="118"/>
      <c r="S141" s="118"/>
      <c r="T141" s="118"/>
      <c r="U141" s="118"/>
      <c r="V141" s="118"/>
    </row>
    <row r="142" outlineLevel="1">
      <c r="A142" s="146"/>
      <c r="B142" s="300" t="s">
        <v>245</v>
      </c>
      <c r="C142" s="307" t="str">
        <f t="array" ref="C142">INDEX('転倒'!$I$3:$J$115, MATCH($A$1,'転倒'!$A$3:$A$115,0), MATCH(C118,'転倒'!$I$2:$AC$2,0))</f>
        <v>1-9</v>
      </c>
      <c r="D142" s="308">
        <f t="array" ref="D142">INDEX('転倒'!$I$3:$J$115, MATCH($A$1,'転倒'!$A$3:$A$115,0), MATCH(D118,'転倒'!$I$2:$AC$2,0))</f>
        <v>28</v>
      </c>
      <c r="E142" s="301"/>
      <c r="F142" s="301"/>
      <c r="G142" s="301"/>
      <c r="H142" s="228"/>
      <c r="I142" s="228"/>
      <c r="J142" s="228"/>
      <c r="K142" s="316"/>
      <c r="L142" s="317" t="str">
        <f>'テンプレート'!L140</f>
        <v/>
      </c>
      <c r="M142" s="113" t="s">
        <v>76</v>
      </c>
      <c r="N142" s="102"/>
      <c r="O142" s="118"/>
      <c r="P142" s="118"/>
      <c r="Q142" s="118"/>
      <c r="R142" s="118"/>
      <c r="S142" s="118"/>
      <c r="T142" s="118"/>
      <c r="U142" s="118"/>
      <c r="V142" s="118"/>
    </row>
    <row r="143" outlineLevel="1">
      <c r="A143" s="146"/>
      <c r="B143" s="300" t="s">
        <v>246</v>
      </c>
      <c r="C143" s="307" t="str">
        <f t="array" ref="C143">INDEX('転倒'!$K$3:$L$115, MATCH($A$1,'転倒'!$A$3:$A$115,0), MATCH(C118,'転倒'!$K$2:$AC$2,0))</f>
        <v>1-9</v>
      </c>
      <c r="D143" s="308">
        <f t="array" ref="D143">INDEX('転倒'!$K$3:$L$115, MATCH($A$1,'転倒'!$A$3:$A$115,0), MATCH(D118,'転倒'!$K$2:$AC$2,0))</f>
        <v>28</v>
      </c>
      <c r="E143" s="301"/>
      <c r="F143" s="301"/>
      <c r="G143" s="301"/>
      <c r="H143" s="228"/>
      <c r="I143" s="228"/>
      <c r="J143" s="228"/>
      <c r="K143" s="318"/>
      <c r="L143" s="118"/>
      <c r="M143" s="118"/>
      <c r="N143" s="102"/>
      <c r="O143" s="118"/>
      <c r="P143" s="118"/>
      <c r="Q143" s="118"/>
      <c r="R143" s="118"/>
      <c r="S143" s="118"/>
      <c r="T143" s="118"/>
      <c r="U143" s="118"/>
      <c r="V143" s="118"/>
    </row>
    <row r="144" outlineLevel="1">
      <c r="A144" s="146"/>
      <c r="B144" s="300" t="s">
        <v>249</v>
      </c>
      <c r="C144" s="309" t="str">
        <f t="array" ref="C144">INDEX('転倒'!$M$3:$P$115, MATCH($A$1,'転倒'!$A$3:$A$115,0), MATCH(C118,'転倒'!$M$2:$AC$2,0))</f>
        <v>1-7</v>
      </c>
      <c r="D144" s="310">
        <f t="array" ref="D144">INDEX('転倒'!$M$3:$P$115, MATCH($A$1,'転倒'!$A$3:$A$115,0), MATCH(D118,'転倒'!$M$2:$AC$2,0))</f>
        <v>49</v>
      </c>
      <c r="E144" s="307" t="str">
        <f t="array" ref="E144">INDEX('転倒'!$M$3:$P$115, MATCH($A$1,'転倒'!$A$3:$A$115,0), MATCH(E118,'転倒'!$M$2:$AC$2,0))</f>
        <v>19-20</v>
      </c>
      <c r="F144" s="308">
        <f t="array" ref="F144">INDEX('転倒'!$M$3:$P$115, MATCH($A$1,'転倒'!$A$3:$A$115,0), MATCH(F118,'転倒'!$M$2:$AC$2,0))</f>
        <v>5</v>
      </c>
      <c r="G144" s="113">
        <f t="shared" ref="G144:G145" si="3">F144*1.2</f>
        <v>6</v>
      </c>
      <c r="H144" s="228"/>
      <c r="I144" s="228"/>
      <c r="J144" s="228"/>
      <c r="K144" s="118"/>
      <c r="L144" s="118"/>
      <c r="M144" s="118"/>
      <c r="N144" s="102"/>
      <c r="O144" s="102"/>
      <c r="P144" s="102"/>
      <c r="Q144" s="102"/>
      <c r="R144" s="118"/>
      <c r="S144" s="118"/>
      <c r="T144" s="118"/>
      <c r="U144" s="118"/>
      <c r="V144" s="118"/>
    </row>
    <row r="145" outlineLevel="1">
      <c r="A145" s="156"/>
      <c r="B145" s="311" t="s">
        <v>250</v>
      </c>
      <c r="C145" s="156"/>
      <c r="D145" s="156"/>
      <c r="E145" s="307" t="str">
        <f t="array" ref="E145">INDEX('転倒'!$Q$3:$R$115, MATCH($A$1,'転倒'!$A$3:$A$115,0), MATCH(E118,'転倒'!$Q$2:$AC$2,0))</f>
        <v>28-29</v>
      </c>
      <c r="F145" s="308">
        <f t="array" ref="F145">INDEX('転倒'!$Q$3:$R$115, MATCH($A$1,'転倒'!$A$3:$A$115,0), MATCH(F118,'転倒'!$Q$2:$AC$2,0))</f>
        <v>5</v>
      </c>
      <c r="G145" s="113">
        <f t="shared" si="3"/>
        <v>6</v>
      </c>
      <c r="H145" s="228"/>
      <c r="I145" s="228"/>
      <c r="J145" s="228"/>
      <c r="K145" s="118"/>
      <c r="L145" s="118"/>
      <c r="M145" s="118"/>
      <c r="N145" s="102"/>
      <c r="O145" s="102"/>
      <c r="P145" s="102"/>
      <c r="Q145" s="102"/>
      <c r="R145" s="118"/>
      <c r="S145" s="118"/>
      <c r="T145" s="118"/>
      <c r="U145" s="118"/>
      <c r="V145" s="118"/>
    </row>
    <row r="146" outlineLevel="1">
      <c r="A146" s="319"/>
      <c r="B146" s="320"/>
      <c r="C146" s="321"/>
      <c r="D146" s="321"/>
      <c r="E146" s="322"/>
      <c r="F146" s="322"/>
      <c r="G146" s="114"/>
      <c r="H146" s="228"/>
      <c r="I146" s="228"/>
      <c r="J146" s="228"/>
      <c r="K146" s="118"/>
      <c r="L146" s="118"/>
      <c r="M146" s="118"/>
      <c r="N146" s="102"/>
      <c r="O146" s="102"/>
      <c r="P146" s="102"/>
      <c r="Q146" s="102"/>
      <c r="R146" s="118"/>
      <c r="S146" s="118"/>
      <c r="T146" s="118"/>
      <c r="U146" s="118"/>
      <c r="V146" s="118"/>
    </row>
    <row r="147" outlineLevel="1">
      <c r="A147" s="323" t="s">
        <v>255</v>
      </c>
      <c r="B147" s="109"/>
      <c r="C147" s="321"/>
      <c r="D147" s="321"/>
      <c r="E147" s="322"/>
      <c r="F147" s="322"/>
      <c r="G147" s="114"/>
      <c r="H147" s="228"/>
      <c r="I147" s="228"/>
      <c r="J147" s="228"/>
      <c r="K147" s="118"/>
      <c r="L147" s="118"/>
      <c r="M147" s="118"/>
      <c r="N147" s="102"/>
      <c r="O147" s="102"/>
      <c r="P147" s="102"/>
      <c r="Q147" s="102"/>
      <c r="R147" s="118"/>
      <c r="S147" s="118"/>
      <c r="T147" s="118"/>
      <c r="U147" s="118"/>
      <c r="V147" s="118"/>
    </row>
    <row r="148" outlineLevel="1">
      <c r="A148" s="324" t="s">
        <v>256</v>
      </c>
      <c r="B148" s="109"/>
      <c r="C148" s="325" t="s">
        <v>257</v>
      </c>
      <c r="D148" s="325" t="s">
        <v>49</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258</v>
      </c>
      <c r="B149" s="327" t="s">
        <v>216</v>
      </c>
      <c r="C149" s="328" t="str">
        <f t="array" ref="C149">INDEX('アイテム'!$C$3:$D$114, MATCH($A$1,'アイテム'!$A$3:$A$114,0), MATCH(C148,'アイテム'!$C$2:$AQ$2,0))</f>
        <v>2</v>
      </c>
      <c r="D149" s="328">
        <f t="array" ref="D149">INDEX('アイテム'!$C$3:$D$114, MATCH($A$1,'アイテム'!$A$3:$A$114,0), MATCH(D148,'アイテム'!$C$2:$AQ$2,0))</f>
        <v>7</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219</v>
      </c>
      <c r="C150" s="328" t="str">
        <f t="array" ref="C150">INDEX('アイテム'!$E$3:$F$114, MATCH($A$1,'アイテム'!$A$3:$A$114,0), MATCH(C148,'アイテム'!$C$2:$AQ$2,0))</f>
        <v>2</v>
      </c>
      <c r="D150" s="328">
        <f t="array" ref="D150">INDEX('アイテム'!$E$3:$F$114, MATCH($A$1,'アイテム'!$A$3:$A$114,0), MATCH(D148,'アイテム'!$C$2:$AQ$2,0))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9" t="s">
        <v>259</v>
      </c>
      <c r="B151" s="327" t="s">
        <v>216</v>
      </c>
      <c r="C151" s="328">
        <f t="array" ref="C151">INDEX('アイテム'!$AA$3:$AB$114, MATCH($A$1,'アイテム'!$A$3:$A$114,0), MATCH(C148,'アイテム'!$C$2:$AQ$2,0))</f>
        <v>3</v>
      </c>
      <c r="D151" s="328" t="str">
        <f t="array" ref="D151">INDEX('アイテム'!$AA$3:$AB$114, MATCH($A$1,'アイテム'!$A$3:$A$114,0), MATCH(D148,'アイテム'!$C$2:$AQ$2,0))</f>
        <v>12</v>
      </c>
      <c r="E151" s="322"/>
      <c r="F151" s="322"/>
      <c r="G151" s="114"/>
      <c r="H151" s="228"/>
      <c r="I151" s="228"/>
      <c r="J151" s="228"/>
      <c r="K151" s="118"/>
      <c r="L151" s="118"/>
      <c r="M151" s="118"/>
      <c r="N151" s="102"/>
      <c r="O151" s="102"/>
      <c r="P151" s="102"/>
      <c r="Q151" s="102"/>
      <c r="R151" s="118"/>
      <c r="S151" s="118"/>
      <c r="T151" s="118"/>
      <c r="U151" s="118"/>
      <c r="V151" s="118"/>
    </row>
    <row r="152" outlineLevel="1">
      <c r="A152" s="324" t="s">
        <v>260</v>
      </c>
      <c r="B152" s="109"/>
      <c r="C152" s="325" t="s">
        <v>261</v>
      </c>
      <c r="D152" s="325" t="s">
        <v>49</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262</v>
      </c>
      <c r="B153" s="327" t="s">
        <v>226</v>
      </c>
      <c r="C153" s="328" t="str">
        <f t="array" ref="C153">INDEX('アイテム'!$G$3:$H$114, MATCH($A$1,'アイテム'!$A$3:$A$114,0), MATCH(C148,'アイテム'!$C$2:$AQ$2,0))</f>
        <v>7</v>
      </c>
      <c r="D153" s="328">
        <f t="array" ref="D153">INDEX('アイテム'!$G$3:$H$114, MATCH($A$1,'アイテム'!$A$3:$A$114,0), MATCH(D148,'アイテム'!$C$2:$AQ$2,0))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t="str">
        <f t="array" ref="C154">INDEX('アイテム'!$I$3:$J$114, MATCH($A$1,'アイテム'!$A$3:$A$114,0), MATCH(C148,'アイテム'!$C$2:$AQ$2,0))</f>
        <v>9</v>
      </c>
      <c r="D154" s="328">
        <f t="array" ref="D154">INDEX('アイテム'!$I$3:$J$114, MATCH($A$1,'アイテム'!$A$3:$A$114,0), MATCH(D148,'アイテム'!$C$2:$AQ$2,0))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t="str">
        <f t="array" ref="C155">INDEX('アイテム'!$K$3:$L$114, MATCH($A$1,'アイテム'!$A$3:$A$114,0), MATCH(C148,'アイテム'!$C$2:$AQ$2,0))</f>
        <v>11</v>
      </c>
      <c r="D155" s="328">
        <f t="array" ref="D155">INDEX('アイテム'!$K$3:$L$114, MATCH($A$1,'アイテム'!$A$3:$A$114,0), MATCH(D148,'アイテム'!$C$2:$AQ$2,0))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234</v>
      </c>
      <c r="C156" s="328" t="str">
        <f t="array" ref="C156">INDEX('アイテム'!$M$3:$N$114, MATCH($A$1,'アイテム'!$A$3:$A$114,0), MATCH(C148,'アイテム'!$C$2:$AQ$2,0))</f>
        <v>6</v>
      </c>
      <c r="D156" s="328">
        <f t="array" ref="D156">INDEX('アイテム'!$M$3:$N$114, MATCH($A$1,'アイテム'!$A$3:$A$114,0), MATCH(D148,'アイテム'!$C$2:$AQ$2,0))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219</v>
      </c>
      <c r="C157" s="328" t="str">
        <f t="array" ref="C157">INDEX('アイテム'!$O$3:$P$114, MATCH($A$1,'アイテム'!$A$3:$A$114,0), MATCH(C148,'アイテム'!$C$2:$AQ$2,0))</f>
        <v>4</v>
      </c>
      <c r="D157" s="328">
        <f t="array" ref="D157">INDEX('アイテム'!$O$3:$P$114, MATCH($A$1,'アイテム'!$A$3:$A$114,0), MATCH(D148,'アイテム'!$C$2:$AQ$2,0))</f>
        <v>29</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263</v>
      </c>
      <c r="C158" s="328" t="str">
        <f t="array" ref="C158">INDEX('アイテム'!$Q$3:$R$114, MATCH($A$1,'アイテム'!$A$3:$A$114,0), MATCH(C148,'アイテム'!$C$2:$AQ$2,0))</f>
        <v>5</v>
      </c>
      <c r="D158" s="328">
        <f t="array" ref="D158">INDEX('アイテム'!$Q$3:$R$114, MATCH($A$1,'アイテム'!$A$3:$A$114,0), MATCH(D148,'アイテム'!$C$2:$AQ$2,0))</f>
        <v>23</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264</v>
      </c>
      <c r="B159" s="327" t="s">
        <v>226</v>
      </c>
      <c r="C159" s="328" t="str">
        <f t="array" ref="C159">INDEX('アイテム'!$S$3:$T$114, MATCH($A$1,'アイテム'!$A$3:$A$114,0), MATCH(C148,'アイテム'!$C$2:$AQ$2,0))</f>
        <v>7</v>
      </c>
      <c r="D159" s="328">
        <f t="array" ref="D159">INDEX('アイテム'!$S$3:$T$114, MATCH($A$1,'アイテム'!$A$3:$A$114,0), MATCH(D148,'アイテム'!$C$2:$AQ$2,0))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t="str">
        <f t="array" ref="C160">INDEX('アイテム'!$U$3:$V$114, MATCH($A$1,'アイテム'!$A$3:$A$114,0), MATCH(C148,'アイテム'!$C$2:$AQ$2,0))</f>
        <v>9</v>
      </c>
      <c r="D160" s="328">
        <f t="array" ref="D160">INDEX('アイテム'!$U$3:$V$114, MATCH($A$1,'アイテム'!$A$3:$A$114,0), MATCH(D148,'アイテム'!$C$2:$AQ$2,0))</f>
        <v>24</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t="str">
        <f t="array" ref="C161">INDEX('アイテム'!$W$3:$X$114, MATCH($A$1,'アイテム'!$A$3:$A$114,0), MATCH(C148,'アイテム'!$C$2:$AQ$2,0))</f>
        <v>11</v>
      </c>
      <c r="D161" s="328">
        <f t="array" ref="D161">INDEX('アイテム'!$W$3:$X$114, MATCH($A$1,'アイテム'!$A$3:$A$114,0), MATCH(D148,'アイテム'!$C$2:$AQ$2,0))</f>
        <v>23</v>
      </c>
      <c r="E161" s="322"/>
      <c r="F161" s="322"/>
      <c r="G161" s="114"/>
      <c r="H161" s="228"/>
      <c r="I161" s="228"/>
      <c r="J161" s="228"/>
      <c r="K161" s="118"/>
      <c r="L161" s="118"/>
      <c r="M161" s="118"/>
      <c r="N161" s="102"/>
      <c r="O161" s="102"/>
      <c r="P161" s="102"/>
      <c r="Q161" s="102"/>
      <c r="R161" s="118"/>
      <c r="S161" s="118"/>
      <c r="T161" s="118"/>
      <c r="U161" s="118"/>
      <c r="V161" s="118"/>
    </row>
    <row r="162" outlineLevel="1">
      <c r="A162" s="156"/>
      <c r="B162" s="327" t="s">
        <v>234</v>
      </c>
      <c r="C162" s="328" t="str">
        <f t="array" ref="C162">INDEX('アイテム'!$Y$3:$Z$114, MATCH($A$1,'アイテム'!$A$3:$A$114,0), MATCH(C148,'アイテム'!$C$2:$AQ$2,0))</f>
        <v>6</v>
      </c>
      <c r="D162" s="328">
        <f t="array" ref="D162">INDEX('アイテム'!$Y$3:$Z$114, MATCH($A$1,'アイテム'!$A$3:$A$114,0), MATCH(D148,'アイテム'!$C$2:$AQ$2,0))</f>
        <v>19</v>
      </c>
      <c r="E162" s="322"/>
      <c r="F162" s="322"/>
      <c r="G162" s="114"/>
      <c r="H162" s="228"/>
      <c r="I162" s="228"/>
      <c r="J162" s="228"/>
      <c r="K162" s="118"/>
      <c r="L162" s="118"/>
      <c r="M162" s="118"/>
      <c r="N162" s="102"/>
      <c r="O162" s="102"/>
      <c r="P162" s="102"/>
      <c r="Q162" s="102"/>
      <c r="R162" s="118"/>
      <c r="S162" s="118"/>
      <c r="T162" s="118"/>
      <c r="U162" s="118"/>
      <c r="V162" s="118"/>
    </row>
    <row r="163" outlineLevel="1">
      <c r="A163" s="326" t="s">
        <v>265</v>
      </c>
      <c r="B163" s="327" t="s">
        <v>226</v>
      </c>
      <c r="C163" s="328">
        <f t="array" ref="C163">INDEX('アイテム'!$AC$3:$AD$114, MATCH($A$1,'アイテム'!$A$3:$A$114,0), MATCH(C148,'アイテム'!$C$2:$AQ$2,0))</f>
        <v>16</v>
      </c>
      <c r="D163" s="328" t="str">
        <f t="array" ref="D163">INDEX('アイテム'!$AC$3:$AD$114, MATCH($A$1,'アイテム'!$A$3:$A$114,0), MATCH(D148,'アイテム'!$C$2:$AQ$2,0))</f>
        <v>30</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229</v>
      </c>
      <c r="C164" s="328">
        <f t="array" ref="C164">INDEX('アイテム'!$AE$3:$AF$114, MATCH($A$1,'アイテム'!$A$3:$A$114,0), MATCH(C148,'アイテム'!$C$2:$AQ$2,0))</f>
        <v>17</v>
      </c>
      <c r="D164" s="328" t="str">
        <f t="array" ref="D164">INDEX('アイテム'!$AE$3:$AF$114, MATCH($A$1,'アイテム'!$A$3:$A$114,0), MATCH(D148,'アイテム'!$C$2:$AQ$2,0))</f>
        <v>30</v>
      </c>
      <c r="E164" s="322"/>
      <c r="F164" s="322"/>
      <c r="G164" s="114"/>
      <c r="H164" s="228"/>
      <c r="I164" s="228"/>
      <c r="J164" s="228"/>
      <c r="K164" s="118"/>
      <c r="L164" s="118"/>
      <c r="M164" s="118"/>
      <c r="N164" s="102"/>
      <c r="O164" s="102"/>
      <c r="P164" s="102"/>
      <c r="Q164" s="102"/>
      <c r="R164" s="118"/>
      <c r="S164" s="118"/>
      <c r="T164" s="118"/>
      <c r="U164" s="118"/>
      <c r="V164" s="118"/>
    </row>
    <row r="165" outlineLevel="1">
      <c r="A165" s="146"/>
      <c r="B165" s="327" t="s">
        <v>233</v>
      </c>
      <c r="C165" s="328">
        <f t="array" ref="C165">INDEX('アイテム'!$AG$3:$AH$114, MATCH($A$1,'アイテム'!$A$3:$A$114,0), MATCH(C148,'アイテム'!$C$2:$AQ$2,0))</f>
        <v>11</v>
      </c>
      <c r="D165" s="328" t="str">
        <f t="array" ref="D165">INDEX('アイテム'!$AG$3:$AH$114, MATCH($A$1,'アイテム'!$A$3:$A$114,0), MATCH(D148,'アイテム'!$C$2:$AQ$2,0))</f>
        <v>22</v>
      </c>
      <c r="E165" s="322"/>
      <c r="F165" s="322"/>
      <c r="G165" s="114"/>
      <c r="H165" s="228"/>
      <c r="I165" s="228"/>
      <c r="J165" s="228"/>
      <c r="K165" s="118"/>
      <c r="L165" s="118"/>
      <c r="M165" s="118"/>
      <c r="N165" s="102"/>
      <c r="O165" s="102"/>
      <c r="P165" s="102"/>
      <c r="Q165" s="102"/>
      <c r="R165" s="118"/>
      <c r="S165" s="118"/>
      <c r="T165" s="118"/>
      <c r="U165" s="118"/>
      <c r="V165" s="118"/>
    </row>
    <row r="166" outlineLevel="1">
      <c r="A166" s="156"/>
      <c r="B166" s="327" t="s">
        <v>234</v>
      </c>
      <c r="C166" s="328">
        <f t="array" ref="C166">INDEX('アイテム'!$AI$3:$AJ$114, MATCH($A$1,'アイテム'!$A$3:$A$114,0), MATCH(C148,'アイテム'!$C$2:$AQ$2,0))</f>
        <v>11</v>
      </c>
      <c r="D166" s="328" t="str">
        <f t="array" ref="D166">INDEX('アイテム'!$AI$3:$AJ$114, MATCH($A$1,'アイテム'!$A$3:$A$114,0), MATCH(D148,'アイテム'!$C$2:$AQ$2,0))</f>
        <v>22</v>
      </c>
      <c r="E166" s="322"/>
      <c r="F166" s="322"/>
      <c r="G166" s="114"/>
      <c r="H166" s="228"/>
      <c r="I166" s="228"/>
      <c r="J166" s="228"/>
      <c r="K166" s="118"/>
      <c r="L166" s="118"/>
      <c r="M166" s="118"/>
      <c r="N166" s="102"/>
      <c r="O166" s="102"/>
      <c r="P166" s="102"/>
      <c r="Q166" s="102"/>
      <c r="R166" s="118"/>
      <c r="S166" s="118"/>
      <c r="T166" s="118"/>
      <c r="U166" s="118"/>
      <c r="V166" s="118"/>
    </row>
  </sheetData>
  <mergeCells count="151">
    <mergeCell ref="I48:I49"/>
    <mergeCell ref="J48:J49"/>
    <mergeCell ref="I50:I51"/>
    <mergeCell ref="J50:J51"/>
    <mergeCell ref="I52:I53"/>
    <mergeCell ref="J52:J53"/>
    <mergeCell ref="J54:J55"/>
    <mergeCell ref="I54:I55"/>
    <mergeCell ref="I56:I58"/>
    <mergeCell ref="J56:J58"/>
    <mergeCell ref="H61:J61"/>
    <mergeCell ref="H62:J65"/>
    <mergeCell ref="H66:J66"/>
    <mergeCell ref="H67:J72"/>
    <mergeCell ref="H73:J73"/>
    <mergeCell ref="H74:J77"/>
    <mergeCell ref="H78:J86"/>
    <mergeCell ref="H87:J87"/>
    <mergeCell ref="H88:J91"/>
    <mergeCell ref="G99:J99"/>
    <mergeCell ref="G100:J101"/>
    <mergeCell ref="K128:K131"/>
    <mergeCell ref="K132:L132"/>
    <mergeCell ref="K134:K137"/>
    <mergeCell ref="K138:L138"/>
    <mergeCell ref="K141:L141"/>
    <mergeCell ref="G102:J103"/>
    <mergeCell ref="G104:J105"/>
    <mergeCell ref="G106:J107"/>
    <mergeCell ref="K118:L118"/>
    <mergeCell ref="K119:K120"/>
    <mergeCell ref="K121:L121"/>
    <mergeCell ref="K122:K127"/>
    <mergeCell ref="U78:U86"/>
    <mergeCell ref="V78:V86"/>
    <mergeCell ref="U88:U91"/>
    <mergeCell ref="V88:V91"/>
    <mergeCell ref="U43:U44"/>
    <mergeCell ref="U62:U65"/>
    <mergeCell ref="V62:V65"/>
    <mergeCell ref="U67:U72"/>
    <mergeCell ref="V67:V72"/>
    <mergeCell ref="U74:U77"/>
    <mergeCell ref="V74:V77"/>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29"/>
    <mergeCell ref="H30:J31"/>
    <mergeCell ref="U30:U31"/>
    <mergeCell ref="H32:J32"/>
    <mergeCell ref="A38:A42"/>
    <mergeCell ref="A43:A44"/>
    <mergeCell ref="H33:J33"/>
    <mergeCell ref="H34:J34"/>
    <mergeCell ref="U34:U36"/>
    <mergeCell ref="H35:J36"/>
    <mergeCell ref="H37:J37"/>
    <mergeCell ref="H38:J42"/>
    <mergeCell ref="H43:J44"/>
    <mergeCell ref="U38:U42"/>
    <mergeCell ref="R47:V47"/>
    <mergeCell ref="R48:V49"/>
    <mergeCell ref="R50:V51"/>
    <mergeCell ref="R52:V53"/>
    <mergeCell ref="R54:V55"/>
    <mergeCell ref="R56:V58"/>
    <mergeCell ref="A93:B94"/>
    <mergeCell ref="A96:A98"/>
    <mergeCell ref="A99:B99"/>
    <mergeCell ref="A100:A101"/>
    <mergeCell ref="A102:A103"/>
    <mergeCell ref="A104:A105"/>
    <mergeCell ref="A106:A107"/>
    <mergeCell ref="A109:B110"/>
    <mergeCell ref="A111:A113"/>
    <mergeCell ref="A114:A115"/>
    <mergeCell ref="A117:B118"/>
    <mergeCell ref="A119:A123"/>
    <mergeCell ref="A124:A126"/>
    <mergeCell ref="A127:A132"/>
    <mergeCell ref="A159:A162"/>
    <mergeCell ref="A163:A166"/>
    <mergeCell ref="A133:A138"/>
    <mergeCell ref="A139:A145"/>
    <mergeCell ref="A147:B147"/>
    <mergeCell ref="A148:B148"/>
    <mergeCell ref="A149:A150"/>
    <mergeCell ref="A152:B152"/>
    <mergeCell ref="A153:A158"/>
    <mergeCell ref="A24:B25"/>
    <mergeCell ref="A26:A28"/>
    <mergeCell ref="A30:A31"/>
    <mergeCell ref="D30:D31"/>
    <mergeCell ref="A34:A37"/>
    <mergeCell ref="D34:D36"/>
    <mergeCell ref="D38:D42"/>
    <mergeCell ref="D43:D44"/>
    <mergeCell ref="A46:B47"/>
    <mergeCell ref="A48:A49"/>
    <mergeCell ref="D48:D49"/>
    <mergeCell ref="A50:A51"/>
    <mergeCell ref="D50:D51"/>
    <mergeCell ref="D52:D53"/>
    <mergeCell ref="A52:A53"/>
    <mergeCell ref="A54:A55"/>
    <mergeCell ref="A56:A58"/>
    <mergeCell ref="A60:B60"/>
    <mergeCell ref="A61:B61"/>
    <mergeCell ref="B63:B64"/>
    <mergeCell ref="A66:B66"/>
    <mergeCell ref="A62:A64"/>
    <mergeCell ref="A67:A72"/>
    <mergeCell ref="A73:B73"/>
    <mergeCell ref="A74:A77"/>
    <mergeCell ref="A78:A86"/>
    <mergeCell ref="A87:B87"/>
    <mergeCell ref="A88:A90"/>
    <mergeCell ref="D102:D103"/>
    <mergeCell ref="D104:D105"/>
    <mergeCell ref="D106:D107"/>
    <mergeCell ref="D54:D55"/>
    <mergeCell ref="D56:D58"/>
    <mergeCell ref="D63:D64"/>
    <mergeCell ref="D67:D69"/>
    <mergeCell ref="D74:D77"/>
    <mergeCell ref="D78:D86"/>
    <mergeCell ref="D100:D101"/>
    <mergeCell ref="C131:C132"/>
    <mergeCell ref="D131:D132"/>
    <mergeCell ref="C137:C138"/>
    <mergeCell ref="D137:D138"/>
    <mergeCell ref="C144:C145"/>
    <mergeCell ref="D144:D145"/>
  </mergeCells>
  <conditionalFormatting sqref="K1:K15 K17:K142">
    <cfRule type="containsText" dxfId="0" priority="1" operator="containsText" text="361">
      <formula>NOT(ISERROR(SEARCH(("361"),(K1))))</formula>
    </cfRule>
  </conditionalFormatting>
  <conditionalFormatting sqref="K1:K15 K17:K142">
    <cfRule type="containsText" dxfId="1" priority="2" operator="containsText" text="363">
      <formula>NOT(ISERROR(SEARCH(("363"),(K1))))</formula>
    </cfRule>
  </conditionalFormatting>
  <conditionalFormatting sqref="K1:K15 K17:K142">
    <cfRule type="containsText" dxfId="1" priority="3" operator="containsText" text="365">
      <formula>NOT(ISERROR(SEARCH(("365"),(K1))))</formula>
    </cfRule>
  </conditionalFormatting>
  <conditionalFormatting sqref="K1:K15 K17:K142">
    <cfRule type="containsText" dxfId="1" priority="4" operator="containsText" text="366">
      <formula>NOT(ISERROR(SEARCH(("366"),(K1))))</formula>
    </cfRule>
  </conditionalFormatting>
  <conditionalFormatting sqref="K1:K15 K17:K142">
    <cfRule type="containsText" dxfId="1" priority="5" operator="containsText" text="367">
      <formula>NOT(ISERROR(SEARCH(("367"),(K1))))</formula>
    </cfRule>
  </conditionalFormatting>
  <conditionalFormatting sqref="P100:P107">
    <cfRule type="cellIs" dxfId="2" priority="6" operator="equal">
      <formula>"敵のみ"</formula>
    </cfRule>
  </conditionalFormatting>
  <conditionalFormatting sqref="C100:C107">
    <cfRule type="cellIs" dxfId="3" priority="7" operator="equal">
      <formula>"-"</formula>
    </cfRule>
  </conditionalFormatting>
  <conditionalFormatting sqref="O1:O166">
    <cfRule type="cellIs" dxfId="4" priority="8" operator="greaterThan">
      <formula>0</formula>
    </cfRule>
  </conditionalFormatting>
  <conditionalFormatting sqref="P1:Q166">
    <cfRule type="cellIs" dxfId="5" priority="9" operator="lessThan">
      <formula>1</formula>
    </cfRule>
  </conditionalFormatting>
  <conditionalFormatting sqref="P1:Q166">
    <cfRule type="cellIs" dxfId="4" priority="10" operator="greaterThan">
      <formula>1</formula>
    </cfRule>
  </conditionalFormatting>
  <conditionalFormatting sqref="N25:N107">
    <cfRule type="cellIs" dxfId="6" priority="11" operator="greaterThan">
      <formula>0</formula>
    </cfRule>
  </conditionalFormatting>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8116"/>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480">
        <v>4.0</v>
      </c>
      <c r="B1" s="481"/>
      <c r="C1" s="482" t="str">
        <f>IMAGE(VLOOKUP($A$1,Fighters!A2:AI114,12,FALSE),1)</f>
        <v>#REF!</v>
      </c>
      <c r="D1" s="483"/>
      <c r="E1" s="483"/>
      <c r="F1" s="483"/>
      <c r="G1" s="484"/>
      <c r="H1" s="485"/>
      <c r="I1" s="483"/>
      <c r="J1" s="484"/>
      <c r="K1" s="486"/>
      <c r="L1" s="483"/>
      <c r="M1" s="484"/>
      <c r="N1" s="487"/>
      <c r="O1" s="487"/>
      <c r="P1" s="487"/>
      <c r="Q1" s="487"/>
      <c r="R1" s="488"/>
      <c r="S1" s="488"/>
      <c r="T1" s="488"/>
      <c r="U1" s="488"/>
      <c r="V1" s="488"/>
    </row>
    <row r="2">
      <c r="A2" s="489" t="str">
        <f>VLOOKUP($A$1,Fighters!$A$2:$AI$81,6,FALSE)</f>
        <v>#fe8116</v>
      </c>
      <c r="B2" s="481"/>
      <c r="C2" s="490"/>
      <c r="G2" s="491"/>
      <c r="H2" s="492"/>
      <c r="I2" s="493"/>
      <c r="J2" s="494"/>
      <c r="K2" s="492"/>
      <c r="L2" s="493"/>
      <c r="M2" s="494"/>
      <c r="N2" s="487"/>
      <c r="O2" s="487"/>
      <c r="P2" s="487"/>
      <c r="Q2" s="487"/>
      <c r="R2" s="488"/>
      <c r="S2" s="488"/>
      <c r="T2" s="488"/>
      <c r="U2" s="488"/>
      <c r="V2" s="488"/>
    </row>
    <row r="3">
      <c r="A3" s="489" t="str">
        <f>VLOOKUP($A$1,Fighters!$A$2:$AI$81,14,FALSE)</f>
        <v>4. サムス</v>
      </c>
      <c r="B3" s="481"/>
      <c r="C3" s="490"/>
      <c r="G3" s="491"/>
      <c r="H3" s="495"/>
      <c r="I3" s="495"/>
      <c r="J3" s="495"/>
      <c r="K3" s="496"/>
      <c r="L3" s="496"/>
      <c r="M3" s="496"/>
      <c r="N3" s="487"/>
      <c r="O3" s="487"/>
      <c r="P3" s="487"/>
      <c r="Q3" s="487"/>
      <c r="R3" s="497"/>
      <c r="S3" s="488"/>
      <c r="T3" s="488"/>
      <c r="U3" s="488"/>
      <c r="V3" s="488"/>
    </row>
    <row r="4">
      <c r="A4" s="489" t="str">
        <f>VLOOKUP($A$1,Fighters!$A$2:$AI$81,13,FALSE)</f>
        <v>1</v>
      </c>
      <c r="B4" s="481"/>
      <c r="C4" s="490"/>
      <c r="G4" s="491"/>
      <c r="H4" s="498"/>
      <c r="I4" s="498"/>
      <c r="J4" s="495"/>
      <c r="K4" s="496"/>
      <c r="L4" s="496"/>
      <c r="M4" s="496"/>
      <c r="N4" s="487"/>
      <c r="O4" s="487"/>
      <c r="P4" s="487"/>
      <c r="Q4" s="487"/>
      <c r="R4" s="497"/>
      <c r="S4" s="488"/>
      <c r="T4" s="488"/>
      <c r="U4" s="488"/>
      <c r="V4" s="488"/>
    </row>
    <row r="5" ht="16.5" customHeight="1">
      <c r="A5" s="480"/>
      <c r="B5" s="481"/>
      <c r="C5" s="490"/>
      <c r="G5" s="491"/>
      <c r="H5" s="499"/>
      <c r="I5" s="499"/>
      <c r="J5" s="500"/>
      <c r="K5" s="501"/>
      <c r="L5" s="502"/>
      <c r="M5" s="502"/>
      <c r="N5" s="487"/>
      <c r="O5" s="487"/>
      <c r="P5" s="487"/>
      <c r="Q5" s="487"/>
      <c r="R5" s="497"/>
      <c r="S5" s="488"/>
      <c r="T5" s="488"/>
      <c r="U5" s="488"/>
      <c r="V5" s="488"/>
    </row>
    <row r="6">
      <c r="A6" s="481"/>
      <c r="B6" s="481"/>
      <c r="C6" s="490"/>
      <c r="G6" s="491"/>
      <c r="H6" s="498"/>
      <c r="I6" s="503" t="s">
        <v>39</v>
      </c>
      <c r="J6" s="501"/>
      <c r="K6" s="504"/>
      <c r="L6" s="502"/>
      <c r="M6" s="502"/>
      <c r="N6" s="487"/>
      <c r="O6" s="487"/>
      <c r="P6" s="487"/>
      <c r="Q6" s="487"/>
      <c r="R6" s="497"/>
      <c r="S6" s="488"/>
      <c r="T6" s="488"/>
      <c r="U6" s="488"/>
      <c r="V6" s="488"/>
    </row>
    <row r="7">
      <c r="A7" s="481"/>
      <c r="B7" s="481"/>
      <c r="C7" s="490"/>
      <c r="G7" s="491"/>
      <c r="H7" s="499"/>
      <c r="I7" s="499"/>
      <c r="J7" s="501"/>
      <c r="K7" s="504"/>
      <c r="L7" s="502"/>
      <c r="M7" s="502"/>
      <c r="N7" s="487"/>
      <c r="O7" s="487"/>
      <c r="P7" s="487"/>
      <c r="Q7" s="487"/>
      <c r="R7" s="497"/>
      <c r="S7" s="488"/>
      <c r="T7" s="488"/>
      <c r="U7" s="488"/>
      <c r="V7" s="488"/>
    </row>
    <row r="8">
      <c r="A8" s="481"/>
      <c r="B8" s="481"/>
      <c r="C8" s="490"/>
      <c r="G8" s="491"/>
      <c r="H8" s="505">
        <v>44379.84301946759</v>
      </c>
      <c r="I8" s="483"/>
      <c r="J8" s="484"/>
      <c r="K8" s="501"/>
      <c r="L8" s="502"/>
      <c r="M8" s="502"/>
      <c r="N8" s="487"/>
      <c r="O8" s="487"/>
      <c r="P8" s="487"/>
      <c r="Q8" s="487"/>
      <c r="R8" s="497"/>
      <c r="S8" s="488"/>
      <c r="T8" s="488"/>
      <c r="U8" s="488"/>
      <c r="V8" s="488"/>
    </row>
    <row r="9">
      <c r="A9" s="481"/>
      <c r="B9" s="481"/>
      <c r="C9" s="490"/>
      <c r="G9" s="491"/>
      <c r="H9" s="492"/>
      <c r="I9" s="493"/>
      <c r="J9" s="494"/>
      <c r="K9" s="488"/>
      <c r="L9" s="487"/>
      <c r="M9" s="487"/>
      <c r="N9" s="487"/>
      <c r="O9" s="487"/>
      <c r="P9" s="487"/>
      <c r="Q9" s="487"/>
      <c r="R9" s="497"/>
      <c r="S9" s="488"/>
      <c r="T9" s="488"/>
      <c r="U9" s="488"/>
      <c r="V9" s="488"/>
    </row>
    <row r="10">
      <c r="A10" s="506"/>
      <c r="B10" s="481"/>
      <c r="C10" s="490"/>
      <c r="G10" s="491"/>
      <c r="H10" s="507"/>
      <c r="I10" s="507"/>
      <c r="J10" s="488"/>
      <c r="K10" s="488"/>
      <c r="L10" s="487"/>
      <c r="M10" s="487"/>
      <c r="N10" s="487"/>
      <c r="O10" s="487"/>
      <c r="P10" s="487"/>
      <c r="Q10" s="487"/>
      <c r="R10" s="497"/>
      <c r="S10" s="488"/>
      <c r="T10" s="488"/>
      <c r="U10" s="488"/>
      <c r="V10" s="488"/>
    </row>
    <row r="11">
      <c r="A11" s="508"/>
      <c r="B11" s="481"/>
      <c r="C11" s="490"/>
      <c r="G11" s="491"/>
      <c r="H11" s="499"/>
      <c r="I11" s="499"/>
      <c r="J11" s="488"/>
      <c r="K11" s="488"/>
      <c r="L11" s="487"/>
      <c r="M11" s="487"/>
      <c r="N11" s="487"/>
      <c r="O11" s="487"/>
      <c r="P11" s="487"/>
      <c r="Q11" s="487"/>
      <c r="R11" s="497"/>
      <c r="S11" s="488"/>
      <c r="T11" s="488"/>
      <c r="U11" s="488"/>
      <c r="V11" s="488"/>
    </row>
    <row r="12">
      <c r="A12" s="499"/>
      <c r="B12" s="481"/>
      <c r="C12" s="492"/>
      <c r="D12" s="493"/>
      <c r="E12" s="493"/>
      <c r="F12" s="493"/>
      <c r="G12" s="494"/>
      <c r="H12" s="509"/>
      <c r="I12" s="509"/>
      <c r="J12" s="481"/>
      <c r="K12" s="481"/>
      <c r="L12" s="487"/>
      <c r="M12" s="487"/>
      <c r="N12" s="487"/>
      <c r="O12" s="487"/>
      <c r="P12" s="487"/>
      <c r="Q12" s="487"/>
      <c r="R12" s="497"/>
      <c r="S12" s="488"/>
      <c r="T12" s="488"/>
      <c r="U12" s="488"/>
      <c r="V12" s="48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108 [10th]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1.87 [51st]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1.115 [44th]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61F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0.176 [7th]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37 [13th]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1.654 [50th]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31F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0.082 [83rd]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18 [10th]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1.103 [34th]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43F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37 [19th]</v>
      </c>
      <c r="O20" s="99"/>
      <c r="P20" s="99"/>
      <c r="Q20" s="99"/>
      <c r="R20" s="99"/>
      <c r="S20" s="100"/>
      <c r="T20" s="100"/>
      <c r="U20" s="100"/>
      <c r="V20" s="100"/>
    </row>
    <row r="21" outlineLevel="1">
      <c r="A21" s="112" t="str">
        <f>'テンプレート'!A21</f>
        <v>空中ワイヤー</v>
      </c>
      <c r="B21" s="115" t="b">
        <v>1</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1.33 [75th]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2.128 [75th]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0.075 [75th]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510" t="s">
        <v>55</v>
      </c>
      <c r="C26" s="511" t="s">
        <v>71</v>
      </c>
      <c r="D26" s="512" t="s">
        <v>394</v>
      </c>
      <c r="E26" s="397" t="s">
        <v>204</v>
      </c>
      <c r="F26" s="138">
        <v>3.5999999999999996</v>
      </c>
      <c r="G26" s="139" t="s">
        <v>147</v>
      </c>
      <c r="H26" s="140" t="s">
        <v>542</v>
      </c>
      <c r="I26" s="110"/>
      <c r="J26" s="109"/>
      <c r="K26" s="138"/>
      <c r="L26" s="282"/>
      <c r="M26" s="363"/>
      <c r="N26" s="363"/>
      <c r="O26" s="145">
        <v>0.0</v>
      </c>
      <c r="P26" s="145">
        <v>1.0</v>
      </c>
      <c r="Q26" s="145">
        <v>1.0</v>
      </c>
      <c r="R26" s="100"/>
      <c r="S26" s="100"/>
      <c r="T26" s="100"/>
      <c r="U26" s="145" t="s">
        <v>69</v>
      </c>
      <c r="V26" s="100"/>
    </row>
    <row r="27" outlineLevel="1">
      <c r="A27" s="156"/>
      <c r="B27" s="513" t="s">
        <v>63</v>
      </c>
      <c r="C27" s="514" t="s">
        <v>543</v>
      </c>
      <c r="D27" s="515" t="s">
        <v>99</v>
      </c>
      <c r="E27" s="157" t="s">
        <v>80</v>
      </c>
      <c r="F27" s="138">
        <v>9.6</v>
      </c>
      <c r="G27" s="139" t="s">
        <v>123</v>
      </c>
      <c r="H27" s="159"/>
      <c r="I27" s="110"/>
      <c r="J27" s="109"/>
      <c r="K27" s="282"/>
      <c r="L27" s="282"/>
      <c r="M27" s="363"/>
      <c r="N27" s="363"/>
      <c r="O27" s="145">
        <v>0.0</v>
      </c>
      <c r="P27" s="145">
        <v>1.0</v>
      </c>
      <c r="Q27" s="145">
        <v>1.0</v>
      </c>
      <c r="R27" s="100"/>
      <c r="S27" s="100"/>
      <c r="T27" s="100"/>
      <c r="U27" s="145" t="s">
        <v>76</v>
      </c>
      <c r="V27" s="100"/>
    </row>
    <row r="28" outlineLevel="1">
      <c r="A28" s="133" t="s">
        <v>77</v>
      </c>
      <c r="B28" s="513" t="s">
        <v>152</v>
      </c>
      <c r="C28" s="514" t="s">
        <v>518</v>
      </c>
      <c r="D28" s="516" t="s">
        <v>384</v>
      </c>
      <c r="E28" s="517" t="s">
        <v>128</v>
      </c>
      <c r="F28" s="138">
        <v>12.0</v>
      </c>
      <c r="G28" s="139" t="s">
        <v>95</v>
      </c>
      <c r="H28" s="456"/>
      <c r="I28" s="164"/>
      <c r="J28" s="104"/>
      <c r="K28" s="138"/>
      <c r="L28" s="282"/>
      <c r="M28" s="363"/>
      <c r="N28" s="363"/>
      <c r="O28" s="145">
        <v>0.0</v>
      </c>
      <c r="P28" s="145">
        <v>1.0</v>
      </c>
      <c r="Q28" s="145">
        <v>1.0</v>
      </c>
      <c r="R28" s="100"/>
      <c r="S28" s="100"/>
      <c r="T28" s="100"/>
      <c r="U28" s="166" t="s">
        <v>69</v>
      </c>
      <c r="V28" s="100"/>
    </row>
    <row r="29" outlineLevel="1">
      <c r="A29" s="146"/>
      <c r="B29" s="513"/>
      <c r="C29" s="515" t="s">
        <v>309</v>
      </c>
      <c r="D29" s="146"/>
      <c r="E29" s="518" t="s">
        <v>128</v>
      </c>
      <c r="F29" s="138">
        <v>12.0</v>
      </c>
      <c r="G29" s="139" t="s">
        <v>95</v>
      </c>
      <c r="H29" s="212"/>
      <c r="J29" s="210"/>
      <c r="K29" s="282"/>
      <c r="L29" s="282"/>
      <c r="M29" s="363"/>
      <c r="N29" s="363"/>
      <c r="O29" s="145">
        <v>0.0</v>
      </c>
      <c r="P29" s="145">
        <v>1.0</v>
      </c>
      <c r="Q29" s="145">
        <v>1.0</v>
      </c>
      <c r="R29" s="100"/>
      <c r="S29" s="100"/>
      <c r="T29" s="100"/>
      <c r="U29" s="146"/>
      <c r="V29" s="100"/>
    </row>
    <row r="30" outlineLevel="1">
      <c r="A30" s="156"/>
      <c r="B30" s="513" t="s">
        <v>84</v>
      </c>
      <c r="C30" s="515" t="s">
        <v>544</v>
      </c>
      <c r="D30" s="156"/>
      <c r="E30" s="518" t="s">
        <v>86</v>
      </c>
      <c r="F30" s="138">
        <v>7.199999999999999</v>
      </c>
      <c r="G30" s="139" t="s">
        <v>102</v>
      </c>
      <c r="H30" s="106"/>
      <c r="I30" s="168"/>
      <c r="J30" s="107"/>
      <c r="K30" s="282"/>
      <c r="L30" s="282"/>
      <c r="M30" s="363"/>
      <c r="N30" s="363"/>
      <c r="O30" s="145">
        <v>0.0</v>
      </c>
      <c r="P30" s="145">
        <v>1.0</v>
      </c>
      <c r="Q30" s="145">
        <v>1.0</v>
      </c>
      <c r="R30" s="100"/>
      <c r="S30" s="100"/>
      <c r="T30" s="100"/>
      <c r="U30" s="156"/>
      <c r="V30" s="100"/>
    </row>
    <row r="31" outlineLevel="1">
      <c r="A31" s="133" t="s">
        <v>89</v>
      </c>
      <c r="B31" s="513" t="s">
        <v>276</v>
      </c>
      <c r="C31" s="516" t="s">
        <v>161</v>
      </c>
      <c r="D31" s="519" t="s">
        <v>72</v>
      </c>
      <c r="E31" s="520" t="s">
        <v>545</v>
      </c>
      <c r="F31" s="138" t="s">
        <v>546</v>
      </c>
      <c r="G31" s="139" t="s">
        <v>547</v>
      </c>
      <c r="H31" s="456"/>
      <c r="I31" s="164"/>
      <c r="J31" s="104"/>
      <c r="K31" s="138"/>
      <c r="L31" s="282"/>
      <c r="M31" s="363"/>
      <c r="N31" s="363"/>
      <c r="O31" s="145">
        <v>0.0</v>
      </c>
      <c r="P31" s="145">
        <v>1.0</v>
      </c>
      <c r="Q31" s="145">
        <v>1.0</v>
      </c>
      <c r="R31" s="100"/>
      <c r="S31" s="100"/>
      <c r="T31" s="100"/>
      <c r="U31" s="166" t="s">
        <v>96</v>
      </c>
      <c r="V31" s="100"/>
    </row>
    <row r="32" outlineLevel="1">
      <c r="A32" s="146"/>
      <c r="B32" s="521" t="s">
        <v>279</v>
      </c>
      <c r="C32" s="146"/>
      <c r="D32" s="146"/>
      <c r="E32" s="520" t="s">
        <v>283</v>
      </c>
      <c r="F32" s="138" t="s">
        <v>284</v>
      </c>
      <c r="G32" s="139" t="s">
        <v>285</v>
      </c>
      <c r="H32" s="212"/>
      <c r="J32" s="210"/>
      <c r="K32" s="138"/>
      <c r="L32" s="282"/>
      <c r="M32" s="363"/>
      <c r="N32" s="363"/>
      <c r="O32" s="145">
        <v>0.0</v>
      </c>
      <c r="P32" s="145">
        <v>1.0</v>
      </c>
      <c r="Q32" s="145">
        <v>1.0</v>
      </c>
      <c r="R32" s="100"/>
      <c r="S32" s="100"/>
      <c r="T32" s="100"/>
      <c r="U32" s="146"/>
      <c r="V32" s="100"/>
    </row>
    <row r="33" outlineLevel="1">
      <c r="A33" s="156"/>
      <c r="B33" s="513" t="s">
        <v>280</v>
      </c>
      <c r="C33" s="156"/>
      <c r="D33" s="156"/>
      <c r="E33" s="520" t="s">
        <v>545</v>
      </c>
      <c r="F33" s="138" t="s">
        <v>546</v>
      </c>
      <c r="G33" s="139" t="s">
        <v>547</v>
      </c>
      <c r="H33" s="106"/>
      <c r="I33" s="168"/>
      <c r="J33" s="107"/>
      <c r="K33" s="282"/>
      <c r="L33" s="282"/>
      <c r="M33" s="363"/>
      <c r="N33" s="363"/>
      <c r="O33" s="145">
        <v>0.0</v>
      </c>
      <c r="P33" s="145">
        <v>1.0</v>
      </c>
      <c r="Q33" s="145">
        <v>1.0</v>
      </c>
      <c r="R33" s="100"/>
      <c r="S33" s="100"/>
      <c r="T33" s="100"/>
      <c r="U33" s="156"/>
      <c r="V33" s="100"/>
    </row>
    <row r="34" outlineLevel="1">
      <c r="A34" s="133" t="s">
        <v>97</v>
      </c>
      <c r="B34" s="522" t="s">
        <v>350</v>
      </c>
      <c r="C34" s="523" t="s">
        <v>548</v>
      </c>
      <c r="D34" s="519" t="s">
        <v>118</v>
      </c>
      <c r="E34" s="520" t="s">
        <v>228</v>
      </c>
      <c r="F34" s="138">
        <v>15.6</v>
      </c>
      <c r="G34" s="139" t="s">
        <v>407</v>
      </c>
      <c r="H34" s="456"/>
      <c r="I34" s="164"/>
      <c r="J34" s="104"/>
      <c r="K34" s="282"/>
      <c r="L34" s="282"/>
      <c r="M34" s="363"/>
      <c r="N34" s="363"/>
      <c r="O34" s="145">
        <v>0.0</v>
      </c>
      <c r="P34" s="145">
        <v>1.0</v>
      </c>
      <c r="Q34" s="145">
        <v>1.0</v>
      </c>
      <c r="R34" s="100"/>
      <c r="S34" s="100"/>
      <c r="T34" s="100"/>
      <c r="U34" s="166" t="s">
        <v>69</v>
      </c>
      <c r="V34" s="100"/>
    </row>
    <row r="35" outlineLevel="1">
      <c r="A35" s="156"/>
      <c r="B35" s="522" t="s">
        <v>356</v>
      </c>
      <c r="C35" s="156"/>
      <c r="D35" s="156"/>
      <c r="E35" s="520" t="s">
        <v>129</v>
      </c>
      <c r="F35" s="138">
        <v>14.399999999999999</v>
      </c>
      <c r="G35" s="281"/>
      <c r="H35" s="106"/>
      <c r="I35" s="168"/>
      <c r="J35" s="107"/>
      <c r="K35" s="282"/>
      <c r="L35" s="282"/>
      <c r="M35" s="363"/>
      <c r="N35" s="363"/>
      <c r="O35" s="145"/>
      <c r="P35" s="145"/>
      <c r="Q35" s="145"/>
      <c r="R35" s="100"/>
      <c r="S35" s="100"/>
      <c r="T35" s="100"/>
      <c r="U35" s="156"/>
      <c r="V35" s="100"/>
    </row>
    <row r="36" outlineLevel="1">
      <c r="A36" s="170" t="s">
        <v>103</v>
      </c>
      <c r="B36" s="524"/>
      <c r="C36" s="514" t="s">
        <v>549</v>
      </c>
      <c r="D36" s="150" t="s">
        <v>393</v>
      </c>
      <c r="E36" s="518" t="s">
        <v>129</v>
      </c>
      <c r="F36" s="138">
        <v>14.399999999999999</v>
      </c>
      <c r="G36" s="139" t="s">
        <v>88</v>
      </c>
      <c r="H36" s="159"/>
      <c r="I36" s="110"/>
      <c r="J36" s="109"/>
      <c r="K36" s="145"/>
      <c r="L36" s="363"/>
      <c r="M36" s="363"/>
      <c r="N36" s="363"/>
      <c r="O36" s="145">
        <v>0.0</v>
      </c>
      <c r="P36" s="145">
        <v>1.0</v>
      </c>
      <c r="Q36" s="145">
        <v>1.0</v>
      </c>
      <c r="R36" s="100"/>
      <c r="S36" s="100"/>
      <c r="T36" s="100"/>
      <c r="U36" s="145" t="s">
        <v>69</v>
      </c>
      <c r="V36" s="100"/>
    </row>
    <row r="37" outlineLevel="1">
      <c r="A37" s="133" t="s">
        <v>109</v>
      </c>
      <c r="B37" s="513" t="s">
        <v>276</v>
      </c>
      <c r="C37" s="523" t="s">
        <v>223</v>
      </c>
      <c r="D37" s="519" t="s">
        <v>541</v>
      </c>
      <c r="E37" s="518" t="s">
        <v>550</v>
      </c>
      <c r="F37" s="138" t="s">
        <v>551</v>
      </c>
      <c r="G37" s="139" t="s">
        <v>552</v>
      </c>
      <c r="H37" s="163" t="s">
        <v>553</v>
      </c>
      <c r="I37" s="164"/>
      <c r="J37" s="104"/>
      <c r="K37" s="282"/>
      <c r="L37" s="282"/>
      <c r="M37" s="363"/>
      <c r="N37" s="363"/>
      <c r="O37" s="145">
        <v>0.0</v>
      </c>
      <c r="P37" s="145">
        <v>1.0</v>
      </c>
      <c r="Q37" s="145">
        <v>1.0</v>
      </c>
      <c r="R37" s="100"/>
      <c r="S37" s="100"/>
      <c r="T37" s="100"/>
      <c r="U37" s="166" t="s">
        <v>62</v>
      </c>
      <c r="V37" s="100"/>
    </row>
    <row r="38" outlineLevel="1">
      <c r="A38" s="146"/>
      <c r="B38" s="521" t="s">
        <v>279</v>
      </c>
      <c r="C38" s="146"/>
      <c r="D38" s="146"/>
      <c r="E38" s="518" t="s">
        <v>554</v>
      </c>
      <c r="F38" s="138" t="s">
        <v>555</v>
      </c>
      <c r="G38" s="139" t="s">
        <v>556</v>
      </c>
      <c r="H38" s="212"/>
      <c r="J38" s="210"/>
      <c r="K38" s="282"/>
      <c r="L38" s="282"/>
      <c r="M38" s="363"/>
      <c r="N38" s="363"/>
      <c r="O38" s="145">
        <v>0.0</v>
      </c>
      <c r="P38" s="145">
        <v>1.0</v>
      </c>
      <c r="Q38" s="145">
        <v>1.0</v>
      </c>
      <c r="R38" s="100"/>
      <c r="S38" s="100"/>
      <c r="T38" s="100"/>
      <c r="U38" s="146"/>
      <c r="V38" s="100"/>
    </row>
    <row r="39" outlineLevel="1">
      <c r="A39" s="156"/>
      <c r="B39" s="513" t="s">
        <v>280</v>
      </c>
      <c r="C39" s="156"/>
      <c r="D39" s="156"/>
      <c r="E39" s="518" t="s">
        <v>557</v>
      </c>
      <c r="F39" s="138" t="s">
        <v>558</v>
      </c>
      <c r="G39" s="139" t="s">
        <v>559</v>
      </c>
      <c r="H39" s="106"/>
      <c r="I39" s="168"/>
      <c r="J39" s="107"/>
      <c r="K39" s="282"/>
      <c r="L39" s="282"/>
      <c r="M39" s="363"/>
      <c r="N39" s="363"/>
      <c r="O39" s="145">
        <v>0.0</v>
      </c>
      <c r="P39" s="145">
        <v>1.0</v>
      </c>
      <c r="Q39" s="145">
        <v>1.0</v>
      </c>
      <c r="R39" s="100"/>
      <c r="S39" s="100"/>
      <c r="T39" s="100"/>
      <c r="U39" s="156"/>
      <c r="V39" s="100"/>
    </row>
    <row r="40" outlineLevel="1">
      <c r="A40" s="133" t="s">
        <v>116</v>
      </c>
      <c r="B40" s="513" t="s">
        <v>125</v>
      </c>
      <c r="C40" s="514" t="s">
        <v>299</v>
      </c>
      <c r="D40" s="519" t="s">
        <v>402</v>
      </c>
      <c r="E40" s="518" t="s">
        <v>204</v>
      </c>
      <c r="F40" s="138">
        <v>3.5999999999999996</v>
      </c>
      <c r="G40" s="139" t="s">
        <v>60</v>
      </c>
      <c r="H40" s="283" t="s">
        <v>560</v>
      </c>
      <c r="I40" s="164"/>
      <c r="J40" s="104"/>
      <c r="K40" s="363"/>
      <c r="L40" s="363"/>
      <c r="M40" s="363"/>
      <c r="N40" s="363"/>
      <c r="O40" s="145">
        <v>0.0</v>
      </c>
      <c r="P40" s="145">
        <v>1.0</v>
      </c>
      <c r="Q40" s="145">
        <v>0.8</v>
      </c>
      <c r="R40" s="100"/>
      <c r="S40" s="100"/>
      <c r="T40" s="100"/>
      <c r="U40" s="166" t="s">
        <v>123</v>
      </c>
      <c r="V40" s="100"/>
    </row>
    <row r="41" outlineLevel="1">
      <c r="A41" s="146"/>
      <c r="B41" s="513" t="s">
        <v>131</v>
      </c>
      <c r="C41" s="150" t="s">
        <v>561</v>
      </c>
      <c r="D41" s="146"/>
      <c r="E41" s="518" t="s">
        <v>204</v>
      </c>
      <c r="F41" s="138">
        <v>3.5999999999999996</v>
      </c>
      <c r="G41" s="139" t="s">
        <v>60</v>
      </c>
      <c r="H41" s="212"/>
      <c r="J41" s="210"/>
      <c r="K41" s="363"/>
      <c r="L41" s="363"/>
      <c r="M41" s="363"/>
      <c r="N41" s="363"/>
      <c r="O41" s="145">
        <v>0.0</v>
      </c>
      <c r="P41" s="145">
        <v>1.0</v>
      </c>
      <c r="Q41" s="145">
        <v>0.8</v>
      </c>
      <c r="R41" s="100"/>
      <c r="S41" s="100"/>
      <c r="T41" s="100"/>
      <c r="U41" s="146"/>
      <c r="V41" s="100"/>
    </row>
    <row r="42" outlineLevel="1">
      <c r="A42" s="146"/>
      <c r="B42" s="513" t="s">
        <v>434</v>
      </c>
      <c r="C42" s="150" t="s">
        <v>334</v>
      </c>
      <c r="D42" s="146"/>
      <c r="E42" s="518" t="s">
        <v>204</v>
      </c>
      <c r="F42" s="138">
        <v>3.5999999999999996</v>
      </c>
      <c r="G42" s="139" t="s">
        <v>60</v>
      </c>
      <c r="H42" s="212"/>
      <c r="J42" s="210"/>
      <c r="K42" s="363"/>
      <c r="L42" s="363"/>
      <c r="M42" s="363"/>
      <c r="N42" s="363"/>
      <c r="O42" s="145">
        <v>0.0</v>
      </c>
      <c r="P42" s="145">
        <v>1.0</v>
      </c>
      <c r="Q42" s="145">
        <v>0.8</v>
      </c>
      <c r="R42" s="100"/>
      <c r="S42" s="100"/>
      <c r="T42" s="100"/>
      <c r="U42" s="146"/>
      <c r="V42" s="100"/>
    </row>
    <row r="43" outlineLevel="1">
      <c r="A43" s="146"/>
      <c r="B43" s="513" t="s">
        <v>520</v>
      </c>
      <c r="C43" s="150" t="s">
        <v>377</v>
      </c>
      <c r="D43" s="146"/>
      <c r="E43" s="518" t="s">
        <v>204</v>
      </c>
      <c r="F43" s="138">
        <v>3.5999999999999996</v>
      </c>
      <c r="G43" s="139" t="s">
        <v>60</v>
      </c>
      <c r="H43" s="212"/>
      <c r="J43" s="210"/>
      <c r="K43" s="363"/>
      <c r="L43" s="363"/>
      <c r="M43" s="363"/>
      <c r="N43" s="363"/>
      <c r="O43" s="145">
        <v>0.0</v>
      </c>
      <c r="P43" s="145">
        <v>1.0</v>
      </c>
      <c r="Q43" s="145">
        <v>0.8</v>
      </c>
      <c r="R43" s="100"/>
      <c r="S43" s="100"/>
      <c r="T43" s="100"/>
      <c r="U43" s="146"/>
      <c r="V43" s="100"/>
    </row>
    <row r="44" outlineLevel="1">
      <c r="A44" s="156"/>
      <c r="B44" s="513" t="s">
        <v>521</v>
      </c>
      <c r="C44" s="150" t="s">
        <v>562</v>
      </c>
      <c r="D44" s="156"/>
      <c r="E44" s="518" t="s">
        <v>86</v>
      </c>
      <c r="F44" s="138">
        <v>7.199999999999999</v>
      </c>
      <c r="G44" s="139" t="s">
        <v>75</v>
      </c>
      <c r="H44" s="106"/>
      <c r="I44" s="168"/>
      <c r="J44" s="107"/>
      <c r="K44" s="363"/>
      <c r="L44" s="363"/>
      <c r="M44" s="363"/>
      <c r="N44" s="363"/>
      <c r="O44" s="145">
        <v>0.0</v>
      </c>
      <c r="P44" s="145">
        <v>1.0</v>
      </c>
      <c r="Q44" s="145">
        <v>0.8</v>
      </c>
      <c r="R44" s="100"/>
      <c r="S44" s="100"/>
      <c r="T44" s="100"/>
      <c r="U44" s="156"/>
      <c r="V44" s="100"/>
    </row>
    <row r="45" outlineLevel="1">
      <c r="A45" s="133" t="s">
        <v>124</v>
      </c>
      <c r="B45" s="147" t="s">
        <v>125</v>
      </c>
      <c r="C45" s="150" t="s">
        <v>220</v>
      </c>
      <c r="D45" s="519" t="s">
        <v>393</v>
      </c>
      <c r="E45" s="518" t="s">
        <v>128</v>
      </c>
      <c r="F45" s="138">
        <v>12.0</v>
      </c>
      <c r="G45" s="139" t="s">
        <v>95</v>
      </c>
      <c r="H45" s="283" t="s">
        <v>553</v>
      </c>
      <c r="I45" s="164"/>
      <c r="J45" s="104"/>
      <c r="K45" s="282"/>
      <c r="L45" s="282"/>
      <c r="M45" s="363"/>
      <c r="N45" s="363"/>
      <c r="O45" s="145">
        <v>0.0</v>
      </c>
      <c r="P45" s="145">
        <v>1.0</v>
      </c>
      <c r="Q45" s="145">
        <v>1.0</v>
      </c>
      <c r="R45" s="100"/>
      <c r="S45" s="100"/>
      <c r="T45" s="100"/>
      <c r="U45" s="166" t="s">
        <v>62</v>
      </c>
      <c r="V45" s="100"/>
    </row>
    <row r="46" outlineLevel="1">
      <c r="A46" s="156"/>
      <c r="B46" s="147" t="s">
        <v>131</v>
      </c>
      <c r="C46" s="150" t="s">
        <v>203</v>
      </c>
      <c r="D46" s="156"/>
      <c r="E46" s="518" t="s">
        <v>129</v>
      </c>
      <c r="F46" s="138">
        <v>14.399999999999999</v>
      </c>
      <c r="G46" s="139" t="s">
        <v>123</v>
      </c>
      <c r="H46" s="106"/>
      <c r="I46" s="168"/>
      <c r="J46" s="107"/>
      <c r="K46" s="282"/>
      <c r="L46" s="282"/>
      <c r="M46" s="363"/>
      <c r="N46" s="363"/>
      <c r="O46" s="145">
        <v>0.0</v>
      </c>
      <c r="P46" s="145">
        <v>1.0</v>
      </c>
      <c r="Q46" s="145">
        <v>1.0</v>
      </c>
      <c r="R46" s="100"/>
      <c r="S46" s="100"/>
      <c r="T46" s="100"/>
      <c r="U46" s="156"/>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
        <v>133</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
        <v>48</v>
      </c>
      <c r="D49" s="183" t="s">
        <v>49</v>
      </c>
      <c r="E49" s="182" t="s">
        <v>50</v>
      </c>
      <c r="F49" s="184" t="s">
        <v>51</v>
      </c>
      <c r="G49" s="184" t="s">
        <v>134</v>
      </c>
      <c r="H49" s="185" t="s">
        <v>52</v>
      </c>
      <c r="I49" s="184" t="str">
        <f>'テンプレート'!I56</f>
        <v>着地隙</v>
      </c>
      <c r="J49" s="184" t="s">
        <v>136</v>
      </c>
      <c r="K49" s="184" t="str">
        <f>'テンプレート'!K56</f>
        <v>ベクトル</v>
      </c>
      <c r="L49" s="184" t="str">
        <f>'テンプレート'!L56</f>
        <v>KBG (R.E.)</v>
      </c>
      <c r="M49" s="184" t="str">
        <f>'テンプレート'!M56</f>
        <v>BKB (R.A.)</v>
      </c>
      <c r="N49" s="184" t="str">
        <f>'テンプレート'!N56</f>
        <v>FKB (R.F.)</v>
      </c>
      <c r="O49" s="186" t="str">
        <f>'テンプレート'!O56</f>
        <v>盾削り値</v>
      </c>
      <c r="P49" s="184" t="str">
        <f>'テンプレート'!P56</f>
        <v>ﾋｯﾄｽﾄｯﾌﾟ</v>
      </c>
      <c r="Q49" s="186" t="str">
        <f>'テンプレート'!Q56</f>
        <v>ずらし</v>
      </c>
      <c r="R49" s="372" t="str">
        <f>'テンプレート'!R56</f>
        <v>備考</v>
      </c>
      <c r="S49" s="110"/>
      <c r="T49" s="110"/>
      <c r="U49" s="110"/>
      <c r="V49" s="110"/>
    </row>
    <row r="50" outlineLevel="1">
      <c r="A50" s="188" t="s">
        <v>144</v>
      </c>
      <c r="B50" s="525" t="s">
        <v>125</v>
      </c>
      <c r="C50" s="136" t="s">
        <v>563</v>
      </c>
      <c r="D50" s="195" t="s">
        <v>146</v>
      </c>
      <c r="E50" s="526" t="s">
        <v>128</v>
      </c>
      <c r="F50" s="193">
        <v>12.0</v>
      </c>
      <c r="G50" s="193" t="s">
        <v>564</v>
      </c>
      <c r="H50" s="138" t="s">
        <v>147</v>
      </c>
      <c r="I50" s="454" t="str">
        <f t="array" ref="I50">INDEX('空中攻撃'!$O$3:$AA$109, MATCH($A$1,'空中攻撃'!$A$3:$A$109,0), MATCH(A50,'空中攻撃'!$O$2:$S$2,0))</f>
        <v>9</v>
      </c>
      <c r="J50" s="455" t="s">
        <v>565</v>
      </c>
      <c r="K50" s="138"/>
      <c r="L50" s="282"/>
      <c r="M50" s="363"/>
      <c r="N50" s="363"/>
      <c r="O50" s="527">
        <v>0.0</v>
      </c>
      <c r="P50" s="253">
        <v>1.0</v>
      </c>
      <c r="Q50" s="253">
        <v>1.0</v>
      </c>
      <c r="R50" s="163"/>
      <c r="S50" s="164"/>
      <c r="T50" s="164"/>
      <c r="U50" s="164"/>
      <c r="V50" s="104"/>
    </row>
    <row r="51" outlineLevel="1">
      <c r="A51" s="146"/>
      <c r="B51" s="528" t="s">
        <v>131</v>
      </c>
      <c r="C51" s="149" t="s">
        <v>295</v>
      </c>
      <c r="D51" s="210"/>
      <c r="E51" s="158" t="s">
        <v>274</v>
      </c>
      <c r="F51" s="193">
        <v>10.799999999999999</v>
      </c>
      <c r="G51" s="193" t="s">
        <v>566</v>
      </c>
      <c r="H51" s="138" t="s">
        <v>147</v>
      </c>
      <c r="I51" s="146"/>
      <c r="J51" s="210"/>
      <c r="K51" s="138"/>
      <c r="L51" s="282"/>
      <c r="M51" s="363"/>
      <c r="N51" s="363"/>
      <c r="O51" s="527">
        <v>0.0</v>
      </c>
      <c r="P51" s="253">
        <v>1.0</v>
      </c>
      <c r="Q51" s="253">
        <v>1.0</v>
      </c>
      <c r="R51" s="212"/>
      <c r="V51" s="210"/>
    </row>
    <row r="52" outlineLevel="1">
      <c r="A52" s="156"/>
      <c r="B52" s="528" t="s">
        <v>432</v>
      </c>
      <c r="C52" s="149" t="s">
        <v>567</v>
      </c>
      <c r="D52" s="107"/>
      <c r="E52" s="158" t="s">
        <v>80</v>
      </c>
      <c r="F52" s="193">
        <v>9.6</v>
      </c>
      <c r="G52" s="193" t="s">
        <v>568</v>
      </c>
      <c r="H52" s="138" t="s">
        <v>147</v>
      </c>
      <c r="I52" s="156"/>
      <c r="J52" s="107"/>
      <c r="K52" s="138"/>
      <c r="L52" s="282"/>
      <c r="M52" s="363"/>
      <c r="N52" s="363"/>
      <c r="O52" s="527">
        <v>0.0</v>
      </c>
      <c r="P52" s="253">
        <v>1.0</v>
      </c>
      <c r="Q52" s="253">
        <v>1.0</v>
      </c>
      <c r="R52" s="106"/>
      <c r="S52" s="168"/>
      <c r="T52" s="168"/>
      <c r="U52" s="168"/>
      <c r="V52" s="107"/>
    </row>
    <row r="53" outlineLevel="1">
      <c r="A53" s="188" t="s">
        <v>151</v>
      </c>
      <c r="B53" s="528" t="s">
        <v>125</v>
      </c>
      <c r="C53" s="149" t="s">
        <v>217</v>
      </c>
      <c r="D53" s="195" t="s">
        <v>462</v>
      </c>
      <c r="E53" s="158" t="s">
        <v>204</v>
      </c>
      <c r="F53" s="193">
        <v>3.5999999999999996</v>
      </c>
      <c r="G53" s="193" t="s">
        <v>569</v>
      </c>
      <c r="H53" s="138" t="s">
        <v>170</v>
      </c>
      <c r="I53" s="454" t="str">
        <f t="array" ref="I53">INDEX('空中攻撃'!$O$3:$AA$109, MATCH($A$1,'空中攻撃'!$A$3:$A$109,0), MATCH(A53,'空中攻撃'!$O$2:$S$2,0))</f>
        <v>14</v>
      </c>
      <c r="J53" s="455" t="s">
        <v>570</v>
      </c>
      <c r="K53" s="138"/>
      <c r="L53" s="282"/>
      <c r="M53" s="363"/>
      <c r="N53" s="363"/>
      <c r="O53" s="527">
        <v>0.0</v>
      </c>
      <c r="P53" s="253">
        <v>1.0</v>
      </c>
      <c r="Q53" s="145">
        <v>0.8</v>
      </c>
      <c r="R53" s="163"/>
      <c r="S53" s="164"/>
      <c r="T53" s="164"/>
      <c r="U53" s="164"/>
      <c r="V53" s="104"/>
    </row>
    <row r="54" outlineLevel="1">
      <c r="A54" s="146"/>
      <c r="B54" s="529" t="s">
        <v>571</v>
      </c>
      <c r="C54" s="149" t="s">
        <v>572</v>
      </c>
      <c r="D54" s="210"/>
      <c r="E54" s="158" t="s">
        <v>381</v>
      </c>
      <c r="F54" s="193">
        <v>1.92</v>
      </c>
      <c r="G54" s="193" t="s">
        <v>573</v>
      </c>
      <c r="H54" s="138" t="s">
        <v>170</v>
      </c>
      <c r="I54" s="146"/>
      <c r="J54" s="210"/>
      <c r="K54" s="138"/>
      <c r="L54" s="282"/>
      <c r="M54" s="363"/>
      <c r="N54" s="363"/>
      <c r="O54" s="527">
        <v>0.0</v>
      </c>
      <c r="P54" s="253">
        <v>1.0</v>
      </c>
      <c r="Q54" s="145">
        <v>0.8</v>
      </c>
      <c r="R54" s="212"/>
      <c r="V54" s="210"/>
    </row>
    <row r="55" outlineLevel="1">
      <c r="A55" s="156"/>
      <c r="B55" s="528" t="s">
        <v>521</v>
      </c>
      <c r="C55" s="149" t="s">
        <v>574</v>
      </c>
      <c r="D55" s="107"/>
      <c r="E55" s="158" t="s">
        <v>150</v>
      </c>
      <c r="F55" s="193">
        <v>6.0</v>
      </c>
      <c r="G55" s="193" t="s">
        <v>575</v>
      </c>
      <c r="H55" s="138" t="s">
        <v>60</v>
      </c>
      <c r="I55" s="156"/>
      <c r="J55" s="107"/>
      <c r="K55" s="138"/>
      <c r="L55" s="282"/>
      <c r="M55" s="363"/>
      <c r="N55" s="363"/>
      <c r="O55" s="527">
        <v>0.0</v>
      </c>
      <c r="P55" s="530">
        <v>2.2</v>
      </c>
      <c r="Q55" s="145">
        <v>1.0</v>
      </c>
      <c r="R55" s="106"/>
      <c r="S55" s="168"/>
      <c r="T55" s="168"/>
      <c r="U55" s="168"/>
      <c r="V55" s="107"/>
    </row>
    <row r="56" outlineLevel="1">
      <c r="A56" s="188" t="s">
        <v>157</v>
      </c>
      <c r="B56" s="528"/>
      <c r="C56" s="149" t="s">
        <v>220</v>
      </c>
      <c r="D56" s="195" t="s">
        <v>384</v>
      </c>
      <c r="E56" s="158" t="s">
        <v>576</v>
      </c>
      <c r="F56" s="193" t="s">
        <v>577</v>
      </c>
      <c r="G56" s="193" t="s">
        <v>578</v>
      </c>
      <c r="H56" s="138" t="s">
        <v>318</v>
      </c>
      <c r="I56" s="454">
        <f t="array" ref="I56">INDEX('空中攻撃'!$O$3:$AA$109, MATCH($A$1,'空中攻撃'!$A$3:$A$109,0), MATCH(A56,'空中攻撃'!$O$2:$S$2,0))</f>
        <v>14</v>
      </c>
      <c r="J56" s="455" t="s">
        <v>579</v>
      </c>
      <c r="K56" s="138"/>
      <c r="L56" s="282"/>
      <c r="M56" s="363"/>
      <c r="N56" s="363"/>
      <c r="O56" s="527">
        <v>0.0</v>
      </c>
      <c r="P56" s="530">
        <v>1.1</v>
      </c>
      <c r="Q56" s="253">
        <v>1.0</v>
      </c>
      <c r="R56" s="163"/>
      <c r="S56" s="164"/>
      <c r="T56" s="164"/>
      <c r="U56" s="164"/>
      <c r="V56" s="104"/>
    </row>
    <row r="57" outlineLevel="1">
      <c r="A57" s="156"/>
      <c r="B57" s="528" t="s">
        <v>84</v>
      </c>
      <c r="C57" s="157" t="s">
        <v>580</v>
      </c>
      <c r="D57" s="107"/>
      <c r="E57" s="158" t="s">
        <v>274</v>
      </c>
      <c r="F57" s="193">
        <v>10.799999999999999</v>
      </c>
      <c r="G57" s="193" t="s">
        <v>566</v>
      </c>
      <c r="H57" s="138" t="s">
        <v>147</v>
      </c>
      <c r="I57" s="156"/>
      <c r="J57" s="107"/>
      <c r="K57" s="138"/>
      <c r="L57" s="282"/>
      <c r="M57" s="363"/>
      <c r="N57" s="363"/>
      <c r="O57" s="527">
        <v>0.0</v>
      </c>
      <c r="P57" s="253">
        <v>1.0</v>
      </c>
      <c r="Q57" s="253">
        <v>1.0</v>
      </c>
      <c r="R57" s="106"/>
      <c r="S57" s="168"/>
      <c r="T57" s="168"/>
      <c r="U57" s="168"/>
      <c r="V57" s="107"/>
    </row>
    <row r="58" outlineLevel="1">
      <c r="A58" s="188" t="s">
        <v>162</v>
      </c>
      <c r="B58" s="529" t="s">
        <v>152</v>
      </c>
      <c r="C58" s="149" t="s">
        <v>150</v>
      </c>
      <c r="D58" s="374" t="s">
        <v>118</v>
      </c>
      <c r="E58" s="158" t="s">
        <v>204</v>
      </c>
      <c r="F58" s="193">
        <v>3.5999999999999996</v>
      </c>
      <c r="G58" s="193" t="s">
        <v>569</v>
      </c>
      <c r="H58" s="138" t="s">
        <v>170</v>
      </c>
      <c r="I58" s="454" t="str">
        <f t="array" ref="I58">INDEX('空中攻撃'!$O$3:$AA$109, MATCH($A$1,'空中攻撃'!$A$3:$A$109,0), MATCH(A58,'空中攻撃'!$O$2:$S$2,0))</f>
        <v>18</v>
      </c>
      <c r="J58" s="195" t="s">
        <v>581</v>
      </c>
      <c r="K58" s="282"/>
      <c r="L58" s="282"/>
      <c r="M58" s="363"/>
      <c r="N58" s="363"/>
      <c r="O58" s="527">
        <v>0.0</v>
      </c>
      <c r="P58" s="253">
        <v>1.0</v>
      </c>
      <c r="Q58" s="253">
        <v>1.0</v>
      </c>
      <c r="R58" s="163"/>
      <c r="S58" s="164"/>
      <c r="T58" s="164"/>
      <c r="U58" s="164"/>
      <c r="V58" s="104"/>
    </row>
    <row r="59" outlineLevel="1">
      <c r="A59" s="146"/>
      <c r="B59" s="529" t="s">
        <v>199</v>
      </c>
      <c r="C59" s="149" t="s">
        <v>582</v>
      </c>
      <c r="D59" s="210"/>
      <c r="E59" s="150" t="s">
        <v>214</v>
      </c>
      <c r="F59" s="193">
        <v>1.56</v>
      </c>
      <c r="G59" s="193" t="s">
        <v>583</v>
      </c>
      <c r="H59" s="138" t="s">
        <v>170</v>
      </c>
      <c r="I59" s="146"/>
      <c r="J59" s="210"/>
      <c r="K59" s="282"/>
      <c r="L59" s="282"/>
      <c r="M59" s="363"/>
      <c r="N59" s="363"/>
      <c r="O59" s="527">
        <v>0.0</v>
      </c>
      <c r="P59" s="253">
        <v>1.0</v>
      </c>
      <c r="Q59" s="253">
        <v>1.0</v>
      </c>
      <c r="R59" s="212"/>
      <c r="V59" s="210"/>
    </row>
    <row r="60" outlineLevel="1">
      <c r="A60" s="156"/>
      <c r="B60" s="529" t="s">
        <v>202</v>
      </c>
      <c r="C60" s="149" t="s">
        <v>454</v>
      </c>
      <c r="D60" s="107"/>
      <c r="E60" s="158" t="s">
        <v>73</v>
      </c>
      <c r="F60" s="193">
        <v>4.8</v>
      </c>
      <c r="G60" s="193" t="s">
        <v>584</v>
      </c>
      <c r="H60" s="138" t="s">
        <v>60</v>
      </c>
      <c r="I60" s="156"/>
      <c r="J60" s="107"/>
      <c r="K60" s="282"/>
      <c r="L60" s="282"/>
      <c r="M60" s="363"/>
      <c r="N60" s="363"/>
      <c r="O60" s="527">
        <v>0.0</v>
      </c>
      <c r="P60" s="253">
        <v>1.0</v>
      </c>
      <c r="Q60" s="253">
        <v>1.0</v>
      </c>
      <c r="R60" s="106"/>
      <c r="S60" s="168"/>
      <c r="T60" s="168"/>
      <c r="U60" s="168"/>
      <c r="V60" s="107"/>
    </row>
    <row r="61" outlineLevel="1">
      <c r="A61" s="188" t="s">
        <v>166</v>
      </c>
      <c r="B61" s="528" t="s">
        <v>152</v>
      </c>
      <c r="C61" s="149" t="s">
        <v>203</v>
      </c>
      <c r="D61" s="374">
        <v>48.0</v>
      </c>
      <c r="E61" s="158" t="s">
        <v>128</v>
      </c>
      <c r="F61" s="193">
        <v>12.0</v>
      </c>
      <c r="G61" s="193" t="s">
        <v>564</v>
      </c>
      <c r="H61" s="138" t="s">
        <v>147</v>
      </c>
      <c r="I61" s="454">
        <f t="array" ref="I61">INDEX('空中攻撃'!$O$3:$AA$109, MATCH($A$1,'空中攻撃'!$A$3:$A$109,0), MATCH(A61,'空中攻撃'!$O$2:$S$2,0))</f>
        <v>12</v>
      </c>
      <c r="J61" s="455" t="s">
        <v>585</v>
      </c>
      <c r="K61" s="282"/>
      <c r="L61" s="282"/>
      <c r="M61" s="363"/>
      <c r="N61" s="363"/>
      <c r="O61" s="527">
        <v>0.0</v>
      </c>
      <c r="P61" s="253">
        <v>1.0</v>
      </c>
      <c r="Q61" s="253">
        <v>1.0</v>
      </c>
      <c r="R61" s="163"/>
      <c r="S61" s="164"/>
      <c r="T61" s="164"/>
      <c r="U61" s="164"/>
      <c r="V61" s="104"/>
    </row>
    <row r="62" outlineLevel="1">
      <c r="A62" s="146"/>
      <c r="B62" s="528" t="s">
        <v>155</v>
      </c>
      <c r="C62" s="157" t="s">
        <v>378</v>
      </c>
      <c r="D62" s="210"/>
      <c r="E62" s="158" t="s">
        <v>119</v>
      </c>
      <c r="F62" s="193">
        <v>16.8</v>
      </c>
      <c r="G62" s="193" t="s">
        <v>586</v>
      </c>
      <c r="H62" s="138" t="s">
        <v>75</v>
      </c>
      <c r="I62" s="146"/>
      <c r="J62" s="210"/>
      <c r="K62" s="282"/>
      <c r="L62" s="282"/>
      <c r="M62" s="363"/>
      <c r="N62" s="363"/>
      <c r="O62" s="527">
        <v>0.0</v>
      </c>
      <c r="P62" s="253">
        <v>1.0</v>
      </c>
      <c r="Q62" s="253">
        <v>1.0</v>
      </c>
      <c r="R62" s="212"/>
      <c r="V62" s="210"/>
    </row>
    <row r="63" outlineLevel="1">
      <c r="A63" s="156"/>
      <c r="B63" s="528" t="s">
        <v>84</v>
      </c>
      <c r="C63" s="157" t="s">
        <v>288</v>
      </c>
      <c r="D63" s="107"/>
      <c r="E63" s="150" t="s">
        <v>128</v>
      </c>
      <c r="F63" s="193">
        <v>12.0</v>
      </c>
      <c r="G63" s="193" t="s">
        <v>564</v>
      </c>
      <c r="H63" s="138" t="s">
        <v>147</v>
      </c>
      <c r="I63" s="156"/>
      <c r="J63" s="107"/>
      <c r="K63" s="282"/>
      <c r="L63" s="282"/>
      <c r="M63" s="363"/>
      <c r="N63" s="363"/>
      <c r="O63" s="527">
        <v>0.0</v>
      </c>
      <c r="P63" s="253">
        <v>1.0</v>
      </c>
      <c r="Q63" s="253">
        <v>1.0</v>
      </c>
      <c r="R63" s="106"/>
      <c r="S63" s="168"/>
      <c r="T63" s="168"/>
      <c r="U63" s="168"/>
      <c r="V63" s="107"/>
    </row>
    <row r="64" outlineLevel="1">
      <c r="A64" s="188" t="s">
        <v>587</v>
      </c>
      <c r="B64" s="528" t="s">
        <v>125</v>
      </c>
      <c r="C64" s="149" t="s">
        <v>588</v>
      </c>
      <c r="D64" s="195" t="s">
        <v>462</v>
      </c>
      <c r="E64" s="531" t="s">
        <v>535</v>
      </c>
      <c r="F64" s="193">
        <v>3.0</v>
      </c>
      <c r="G64" s="193">
        <v>3.0</v>
      </c>
      <c r="H64" s="138" t="s">
        <v>147</v>
      </c>
      <c r="I64" s="166">
        <v>8.0</v>
      </c>
      <c r="J64" s="532"/>
      <c r="K64" s="282"/>
      <c r="L64" s="282"/>
      <c r="M64" s="363"/>
      <c r="N64" s="363"/>
      <c r="O64" s="527">
        <v>0.0</v>
      </c>
      <c r="P64" s="253">
        <v>1.0</v>
      </c>
      <c r="Q64" s="253">
        <v>1.0</v>
      </c>
      <c r="R64" s="163" t="s">
        <v>589</v>
      </c>
      <c r="S64" s="164"/>
      <c r="T64" s="164"/>
      <c r="U64" s="164"/>
      <c r="V64" s="104"/>
    </row>
    <row r="65" outlineLevel="1">
      <c r="A65" s="156"/>
      <c r="B65" s="528" t="s">
        <v>131</v>
      </c>
      <c r="C65" s="517" t="s">
        <v>409</v>
      </c>
      <c r="D65" s="107"/>
      <c r="E65" s="531" t="s">
        <v>73</v>
      </c>
      <c r="F65" s="193">
        <v>4.8</v>
      </c>
      <c r="G65" s="193">
        <v>4.8</v>
      </c>
      <c r="H65" s="138" t="s">
        <v>75</v>
      </c>
      <c r="I65" s="156"/>
      <c r="J65" s="156"/>
      <c r="K65" s="282"/>
      <c r="L65" s="282"/>
      <c r="M65" s="363"/>
      <c r="N65" s="363"/>
      <c r="O65" s="527">
        <v>0.0</v>
      </c>
      <c r="P65" s="253">
        <v>1.0</v>
      </c>
      <c r="Q65" s="253">
        <v>1.0</v>
      </c>
      <c r="R65" s="106"/>
      <c r="S65" s="168"/>
      <c r="T65" s="168"/>
      <c r="U65" s="168"/>
      <c r="V65" s="107"/>
    </row>
    <row r="66">
      <c r="A66" s="223"/>
      <c r="B66" s="224"/>
      <c r="C66" s="225"/>
      <c r="D66" s="225"/>
      <c r="E66" s="226"/>
      <c r="F66" s="226"/>
      <c r="G66" s="226"/>
      <c r="H66" s="227"/>
      <c r="I66" s="227"/>
      <c r="J66" s="228"/>
      <c r="K66" s="228"/>
      <c r="L66" s="228"/>
      <c r="M66" s="228"/>
      <c r="N66" s="228"/>
      <c r="O66" s="228"/>
      <c r="P66" s="228"/>
      <c r="Q66" s="118"/>
      <c r="R66" s="118"/>
      <c r="S66" s="118"/>
      <c r="T66" s="118"/>
      <c r="U66" s="118"/>
      <c r="V66" s="118"/>
    </row>
    <row r="67">
      <c r="A67" s="229" t="s">
        <v>177</v>
      </c>
      <c r="B67" s="109"/>
      <c r="C67" s="225"/>
      <c r="D67" s="225"/>
      <c r="E67" s="226"/>
      <c r="F67" s="226"/>
      <c r="G67" s="226"/>
      <c r="H67" s="227"/>
      <c r="I67" s="227"/>
      <c r="J67" s="228"/>
      <c r="K67" s="228"/>
      <c r="L67" s="228"/>
      <c r="M67" s="228"/>
      <c r="N67" s="228"/>
      <c r="O67" s="228"/>
      <c r="P67" s="228"/>
      <c r="Q67" s="118"/>
      <c r="R67" s="118"/>
      <c r="S67" s="118"/>
      <c r="T67" s="118"/>
      <c r="U67" s="118"/>
      <c r="V67" s="118"/>
    </row>
    <row r="68" outlineLevel="1">
      <c r="A68" s="230" t="s">
        <v>590</v>
      </c>
      <c r="B68" s="109"/>
      <c r="C68" s="231" t="s">
        <v>48</v>
      </c>
      <c r="D68" s="231" t="s">
        <v>49</v>
      </c>
      <c r="E68" s="232" t="s">
        <v>50</v>
      </c>
      <c r="F68" s="233" t="s">
        <v>51</v>
      </c>
      <c r="G68" s="232" t="s">
        <v>52</v>
      </c>
      <c r="H68" s="382" t="s">
        <v>53</v>
      </c>
      <c r="I68" s="110"/>
      <c r="J68" s="109"/>
      <c r="K68" s="235" t="s">
        <v>137</v>
      </c>
      <c r="L68" s="235" t="s">
        <v>138</v>
      </c>
      <c r="M68" s="235" t="s">
        <v>139</v>
      </c>
      <c r="N68" s="235" t="s">
        <v>140</v>
      </c>
      <c r="O68" s="236" t="s">
        <v>141</v>
      </c>
      <c r="P68" s="235" t="s">
        <v>142</v>
      </c>
      <c r="Q68" s="236" t="s">
        <v>143</v>
      </c>
      <c r="R68" s="235" t="s">
        <v>179</v>
      </c>
      <c r="S68" s="236" t="s">
        <v>180</v>
      </c>
      <c r="T68" s="236" t="s">
        <v>181</v>
      </c>
      <c r="U68" s="236" t="s">
        <v>182</v>
      </c>
      <c r="V68" s="236" t="s">
        <v>183</v>
      </c>
    </row>
    <row r="69" ht="19.5" customHeight="1" outlineLevel="1">
      <c r="A69" s="237" t="s">
        <v>332</v>
      </c>
      <c r="B69" s="242" t="s">
        <v>473</v>
      </c>
      <c r="C69" s="150" t="s">
        <v>591</v>
      </c>
      <c r="D69" s="149" t="s">
        <v>393</v>
      </c>
      <c r="E69" s="239" t="s">
        <v>150</v>
      </c>
      <c r="F69" s="138">
        <v>6.0</v>
      </c>
      <c r="G69" s="239" t="s">
        <v>60</v>
      </c>
      <c r="H69" s="163" t="s">
        <v>592</v>
      </c>
      <c r="I69" s="164"/>
      <c r="J69" s="104"/>
      <c r="K69" s="282"/>
      <c r="L69" s="282"/>
      <c r="M69" s="363"/>
      <c r="N69" s="363"/>
      <c r="O69" s="138">
        <v>0.0</v>
      </c>
      <c r="P69" s="138">
        <v>1.0</v>
      </c>
      <c r="Q69" s="138">
        <v>1.0</v>
      </c>
      <c r="R69" s="145" t="b">
        <v>1</v>
      </c>
      <c r="S69" s="145"/>
      <c r="T69" s="145" t="b">
        <v>1</v>
      </c>
      <c r="U69" s="166" t="s">
        <v>186</v>
      </c>
      <c r="V69" s="166" t="b">
        <v>1</v>
      </c>
    </row>
    <row r="70" ht="19.5" customHeight="1" outlineLevel="1">
      <c r="A70" s="146"/>
      <c r="B70" s="242" t="s">
        <v>340</v>
      </c>
      <c r="C70" s="150" t="s">
        <v>591</v>
      </c>
      <c r="D70" s="157" t="s">
        <v>424</v>
      </c>
      <c r="E70" s="239" t="s">
        <v>593</v>
      </c>
      <c r="F70" s="138">
        <v>33.6</v>
      </c>
      <c r="G70" s="239" t="s">
        <v>123</v>
      </c>
      <c r="H70" s="212"/>
      <c r="J70" s="210"/>
      <c r="K70" s="282"/>
      <c r="L70" s="282"/>
      <c r="M70" s="363"/>
      <c r="N70" s="363"/>
      <c r="O70" s="138">
        <v>3.0</v>
      </c>
      <c r="P70" s="138">
        <v>0.7</v>
      </c>
      <c r="Q70" s="138">
        <v>1.0</v>
      </c>
      <c r="R70" s="145" t="b">
        <v>1</v>
      </c>
      <c r="S70" s="145"/>
      <c r="T70" s="145" t="b">
        <v>1</v>
      </c>
      <c r="U70" s="146"/>
      <c r="V70" s="146"/>
    </row>
    <row r="71" ht="19.5" customHeight="1" outlineLevel="1">
      <c r="A71" s="237" t="s">
        <v>344</v>
      </c>
      <c r="B71" s="242" t="s">
        <v>473</v>
      </c>
      <c r="C71" s="150" t="s">
        <v>591</v>
      </c>
      <c r="D71" s="149" t="s">
        <v>146</v>
      </c>
      <c r="E71" s="239" t="s">
        <v>150</v>
      </c>
      <c r="F71" s="138">
        <v>6.0</v>
      </c>
      <c r="G71" s="239" t="s">
        <v>60</v>
      </c>
      <c r="H71" s="212"/>
      <c r="J71" s="210"/>
      <c r="K71" s="533"/>
      <c r="L71" s="533"/>
      <c r="M71" s="533"/>
      <c r="N71" s="533"/>
      <c r="O71" s="533"/>
      <c r="P71" s="533"/>
      <c r="Q71" s="533"/>
      <c r="R71" s="533"/>
      <c r="S71" s="533"/>
      <c r="T71" s="533"/>
      <c r="U71" s="146"/>
      <c r="V71" s="146"/>
    </row>
    <row r="72" ht="19.5" customHeight="1" outlineLevel="1">
      <c r="A72" s="146"/>
      <c r="B72" s="242" t="s">
        <v>340</v>
      </c>
      <c r="C72" s="150" t="s">
        <v>591</v>
      </c>
      <c r="D72" s="149" t="s">
        <v>146</v>
      </c>
      <c r="E72" s="239" t="s">
        <v>593</v>
      </c>
      <c r="F72" s="138">
        <v>33.6</v>
      </c>
      <c r="G72" s="239" t="s">
        <v>123</v>
      </c>
      <c r="H72" s="106"/>
      <c r="I72" s="168"/>
      <c r="J72" s="107"/>
      <c r="K72" s="533"/>
      <c r="L72" s="533"/>
      <c r="M72" s="533"/>
      <c r="N72" s="533"/>
      <c r="O72" s="533"/>
      <c r="P72" s="533"/>
      <c r="Q72" s="533"/>
      <c r="R72" s="533"/>
      <c r="S72" s="533"/>
      <c r="T72" s="533"/>
      <c r="U72" s="156"/>
      <c r="V72" s="156"/>
    </row>
    <row r="73" outlineLevel="1">
      <c r="A73" s="230" t="s">
        <v>594</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237" t="s">
        <v>332</v>
      </c>
      <c r="B74" s="468" t="s">
        <v>595</v>
      </c>
      <c r="C74" s="453" t="s">
        <v>596</v>
      </c>
      <c r="D74" s="534" t="s">
        <v>289</v>
      </c>
      <c r="E74" s="239" t="s">
        <v>80</v>
      </c>
      <c r="F74" s="138">
        <v>9.6</v>
      </c>
      <c r="G74" s="139" t="s">
        <v>60</v>
      </c>
      <c r="H74" s="163" t="s">
        <v>597</v>
      </c>
      <c r="I74" s="164"/>
      <c r="J74" s="104"/>
      <c r="K74" s="282"/>
      <c r="L74" s="282"/>
      <c r="M74" s="363"/>
      <c r="N74" s="363"/>
      <c r="O74" s="138">
        <v>5.0</v>
      </c>
      <c r="P74" s="138">
        <v>1.0</v>
      </c>
      <c r="Q74" s="138">
        <v>1.0</v>
      </c>
      <c r="R74" s="145" t="b">
        <v>1</v>
      </c>
      <c r="S74" s="145" t="b">
        <v>0</v>
      </c>
      <c r="T74" s="145" t="b">
        <v>1</v>
      </c>
      <c r="U74" s="166" t="b">
        <v>0</v>
      </c>
      <c r="V74" s="166" t="b">
        <v>1</v>
      </c>
    </row>
    <row r="75" outlineLevel="1">
      <c r="A75" s="146"/>
      <c r="B75" s="471" t="s">
        <v>598</v>
      </c>
      <c r="C75" s="458" t="s">
        <v>599</v>
      </c>
      <c r="D75" s="535" t="s">
        <v>600</v>
      </c>
      <c r="E75" s="239" t="s">
        <v>129</v>
      </c>
      <c r="F75" s="138">
        <v>14.399999999999999</v>
      </c>
      <c r="G75" s="139" t="s">
        <v>147</v>
      </c>
      <c r="H75" s="212"/>
      <c r="J75" s="210"/>
      <c r="K75" s="138"/>
      <c r="L75" s="138"/>
      <c r="M75" s="145"/>
      <c r="N75" s="145"/>
      <c r="O75" s="138"/>
      <c r="P75" s="138"/>
      <c r="Q75" s="138"/>
      <c r="R75" s="145"/>
      <c r="S75" s="145"/>
      <c r="T75" s="145" t="b">
        <v>1</v>
      </c>
      <c r="U75" s="146"/>
      <c r="V75" s="146"/>
    </row>
    <row r="76" outlineLevel="1">
      <c r="A76" s="237" t="s">
        <v>344</v>
      </c>
      <c r="B76" s="468" t="s">
        <v>595</v>
      </c>
      <c r="C76" s="453" t="s">
        <v>596</v>
      </c>
      <c r="D76" s="536" t="s">
        <v>462</v>
      </c>
      <c r="E76" s="239" t="s">
        <v>80</v>
      </c>
      <c r="F76" s="138">
        <v>9.6</v>
      </c>
      <c r="G76" s="139" t="s">
        <v>60</v>
      </c>
      <c r="H76" s="212"/>
      <c r="J76" s="210"/>
      <c r="K76" s="138"/>
      <c r="L76" s="138"/>
      <c r="M76" s="145"/>
      <c r="N76" s="145"/>
      <c r="O76" s="138"/>
      <c r="P76" s="138"/>
      <c r="Q76" s="138"/>
      <c r="R76" s="145"/>
      <c r="S76" s="145"/>
      <c r="T76" s="145" t="b">
        <v>1</v>
      </c>
      <c r="U76" s="146"/>
      <c r="V76" s="146"/>
    </row>
    <row r="77" outlineLevel="1">
      <c r="A77" s="146"/>
      <c r="B77" s="471" t="s">
        <v>598</v>
      </c>
      <c r="C77" s="458" t="s">
        <v>599</v>
      </c>
      <c r="D77" s="537" t="s">
        <v>601</v>
      </c>
      <c r="E77" s="239" t="s">
        <v>129</v>
      </c>
      <c r="F77" s="138">
        <v>14.399999999999999</v>
      </c>
      <c r="G77" s="139" t="s">
        <v>147</v>
      </c>
      <c r="H77" s="106"/>
      <c r="I77" s="168"/>
      <c r="J77" s="107"/>
      <c r="K77" s="138"/>
      <c r="L77" s="138"/>
      <c r="M77" s="145"/>
      <c r="N77" s="145"/>
      <c r="O77" s="138">
        <v>10.0</v>
      </c>
      <c r="P77" s="138">
        <v>1.0</v>
      </c>
      <c r="Q77" s="138">
        <v>1.0</v>
      </c>
      <c r="R77" s="145" t="b">
        <v>1</v>
      </c>
      <c r="S77" s="145" t="b">
        <v>0</v>
      </c>
      <c r="T77" s="145" t="b">
        <v>1</v>
      </c>
      <c r="U77" s="156"/>
      <c r="V77" s="156"/>
    </row>
    <row r="78" outlineLevel="1">
      <c r="A78" s="230" t="s">
        <v>602</v>
      </c>
      <c r="B78" s="109"/>
      <c r="C78" s="231" t="s">
        <v>48</v>
      </c>
      <c r="D78" s="231" t="s">
        <v>49</v>
      </c>
      <c r="E78" s="232" t="s">
        <v>50</v>
      </c>
      <c r="F78" s="233" t="s">
        <v>51</v>
      </c>
      <c r="G78" s="232" t="s">
        <v>52</v>
      </c>
      <c r="H78" s="382" t="s">
        <v>53</v>
      </c>
      <c r="I78" s="110"/>
      <c r="J78" s="109"/>
      <c r="K78" s="235" t="s">
        <v>137</v>
      </c>
      <c r="L78" s="235" t="s">
        <v>138</v>
      </c>
      <c r="M78" s="235" t="s">
        <v>139</v>
      </c>
      <c r="N78" s="235" t="s">
        <v>140</v>
      </c>
      <c r="O78" s="236" t="s">
        <v>141</v>
      </c>
      <c r="P78" s="235" t="s">
        <v>142</v>
      </c>
      <c r="Q78" s="236" t="s">
        <v>143</v>
      </c>
      <c r="R78" s="235" t="s">
        <v>179</v>
      </c>
      <c r="S78" s="236" t="s">
        <v>180</v>
      </c>
      <c r="T78" s="236" t="s">
        <v>181</v>
      </c>
      <c r="U78" s="236" t="s">
        <v>182</v>
      </c>
      <c r="V78" s="236" t="s">
        <v>183</v>
      </c>
    </row>
    <row r="79" outlineLevel="1">
      <c r="A79" s="383" t="s">
        <v>332</v>
      </c>
      <c r="B79" s="384" t="s">
        <v>152</v>
      </c>
      <c r="C79" s="137" t="s">
        <v>270</v>
      </c>
      <c r="D79" s="400"/>
      <c r="E79" s="137" t="s">
        <v>204</v>
      </c>
      <c r="F79" s="138">
        <v>3.5999999999999996</v>
      </c>
      <c r="G79" s="139" t="s">
        <v>147</v>
      </c>
      <c r="H79" s="163" t="s">
        <v>603</v>
      </c>
      <c r="I79" s="164"/>
      <c r="J79" s="104"/>
      <c r="K79" s="138"/>
      <c r="L79" s="138"/>
      <c r="M79" s="145"/>
      <c r="N79" s="145"/>
      <c r="O79" s="538">
        <v>3.0</v>
      </c>
      <c r="P79" s="252">
        <v>1.0</v>
      </c>
      <c r="Q79" s="539">
        <v>0.5</v>
      </c>
      <c r="R79" s="145" t="b">
        <v>1</v>
      </c>
      <c r="S79" s="145" t="b">
        <v>1</v>
      </c>
      <c r="T79" s="145"/>
      <c r="U79" s="166" t="s">
        <v>186</v>
      </c>
      <c r="V79" s="166" t="b">
        <v>1</v>
      </c>
    </row>
    <row r="80" outlineLevel="1">
      <c r="A80" s="146"/>
      <c r="B80" s="540" t="s">
        <v>604</v>
      </c>
      <c r="C80" s="137" t="s">
        <v>605</v>
      </c>
      <c r="D80" s="146"/>
      <c r="E80" s="526" t="s">
        <v>213</v>
      </c>
      <c r="F80" s="138">
        <v>1.2</v>
      </c>
      <c r="G80" s="541"/>
      <c r="H80" s="212"/>
      <c r="J80" s="210"/>
      <c r="K80" s="138"/>
      <c r="L80" s="138"/>
      <c r="M80" s="145"/>
      <c r="N80" s="145"/>
      <c r="O80" s="542">
        <v>3.0</v>
      </c>
      <c r="P80" s="256">
        <v>1.0</v>
      </c>
      <c r="Q80" s="543">
        <v>0.2</v>
      </c>
      <c r="R80" s="145" t="b">
        <v>1</v>
      </c>
      <c r="S80" s="145"/>
      <c r="T80" s="145"/>
      <c r="U80" s="146"/>
      <c r="V80" s="146"/>
    </row>
    <row r="81" outlineLevel="1">
      <c r="A81" s="146"/>
      <c r="B81" s="540" t="s">
        <v>606</v>
      </c>
      <c r="C81" s="137" t="s">
        <v>607</v>
      </c>
      <c r="D81" s="146"/>
      <c r="E81" s="526" t="s">
        <v>213</v>
      </c>
      <c r="F81" s="138">
        <v>1.2</v>
      </c>
      <c r="G81" s="541"/>
      <c r="H81" s="212"/>
      <c r="J81" s="210"/>
      <c r="K81" s="138"/>
      <c r="L81" s="138"/>
      <c r="M81" s="145"/>
      <c r="N81" s="145"/>
      <c r="O81" s="542"/>
      <c r="P81" s="256"/>
      <c r="Q81" s="543"/>
      <c r="R81" s="145" t="b">
        <v>0</v>
      </c>
      <c r="S81" s="145" t="b">
        <v>0</v>
      </c>
      <c r="T81" s="145" t="b">
        <v>0</v>
      </c>
      <c r="U81" s="146"/>
      <c r="V81" s="146"/>
    </row>
    <row r="82" outlineLevel="1">
      <c r="A82" s="146"/>
      <c r="B82" s="540" t="s">
        <v>608</v>
      </c>
      <c r="C82" s="137" t="s">
        <v>609</v>
      </c>
      <c r="D82" s="146"/>
      <c r="E82" s="526" t="s">
        <v>213</v>
      </c>
      <c r="F82" s="138">
        <v>1.2</v>
      </c>
      <c r="G82" s="541"/>
      <c r="H82" s="212"/>
      <c r="J82" s="210"/>
      <c r="K82" s="138"/>
      <c r="L82" s="138"/>
      <c r="M82" s="145"/>
      <c r="N82" s="145"/>
      <c r="O82" s="542"/>
      <c r="P82" s="544"/>
      <c r="Q82" s="256"/>
      <c r="R82" s="145" t="b">
        <v>0</v>
      </c>
      <c r="S82" s="145" t="b">
        <v>0</v>
      </c>
      <c r="T82" s="145" t="b">
        <v>0</v>
      </c>
      <c r="U82" s="146"/>
      <c r="V82" s="146"/>
    </row>
    <row r="83" outlineLevel="1">
      <c r="A83" s="156"/>
      <c r="B83" s="540" t="s">
        <v>202</v>
      </c>
      <c r="C83" s="526" t="s">
        <v>610</v>
      </c>
      <c r="D83" s="156"/>
      <c r="E83" s="137" t="s">
        <v>176</v>
      </c>
      <c r="F83" s="138">
        <v>2.4</v>
      </c>
      <c r="G83" s="541"/>
      <c r="H83" s="212"/>
      <c r="J83" s="210"/>
      <c r="K83" s="138"/>
      <c r="L83" s="138"/>
      <c r="M83" s="145"/>
      <c r="N83" s="145"/>
      <c r="O83" s="542">
        <v>3.0</v>
      </c>
      <c r="P83" s="544">
        <v>2.0</v>
      </c>
      <c r="Q83" s="256">
        <v>1.0</v>
      </c>
      <c r="R83" s="145" t="b">
        <v>1</v>
      </c>
      <c r="S83" s="145" t="b">
        <v>0</v>
      </c>
      <c r="T83" s="145"/>
      <c r="U83" s="146"/>
      <c r="V83" s="146"/>
    </row>
    <row r="84" outlineLevel="1">
      <c r="A84" s="389" t="s">
        <v>344</v>
      </c>
      <c r="B84" s="540" t="s">
        <v>604</v>
      </c>
      <c r="C84" s="137" t="s">
        <v>611</v>
      </c>
      <c r="D84" s="400"/>
      <c r="E84" s="526" t="s">
        <v>213</v>
      </c>
      <c r="F84" s="138">
        <v>1.2</v>
      </c>
      <c r="G84" s="139" t="s">
        <v>170</v>
      </c>
      <c r="H84" s="212"/>
      <c r="J84" s="210"/>
      <c r="K84" s="138"/>
      <c r="L84" s="138"/>
      <c r="M84" s="145"/>
      <c r="N84" s="145"/>
      <c r="O84" s="542">
        <v>3.0</v>
      </c>
      <c r="P84" s="256">
        <v>1.0</v>
      </c>
      <c r="Q84" s="545" t="s">
        <v>612</v>
      </c>
      <c r="R84" s="145" t="b">
        <v>1</v>
      </c>
      <c r="S84" s="145" t="b">
        <v>0</v>
      </c>
      <c r="T84" s="145"/>
      <c r="U84" s="146"/>
      <c r="V84" s="146"/>
    </row>
    <row r="85" outlineLevel="1">
      <c r="A85" s="146"/>
      <c r="B85" s="540" t="s">
        <v>606</v>
      </c>
      <c r="C85" s="137" t="s">
        <v>613</v>
      </c>
      <c r="D85" s="146"/>
      <c r="E85" s="526" t="s">
        <v>213</v>
      </c>
      <c r="F85" s="138">
        <v>1.2</v>
      </c>
      <c r="G85" s="139" t="s">
        <v>170</v>
      </c>
      <c r="H85" s="212"/>
      <c r="J85" s="210"/>
      <c r="K85" s="138"/>
      <c r="L85" s="138"/>
      <c r="M85" s="145"/>
      <c r="N85" s="145"/>
      <c r="O85" s="542"/>
      <c r="P85" s="544"/>
      <c r="Q85" s="256"/>
      <c r="R85" s="145" t="b">
        <v>0</v>
      </c>
      <c r="S85" s="145" t="b">
        <v>0</v>
      </c>
      <c r="T85" s="145" t="b">
        <v>0</v>
      </c>
      <c r="U85" s="146"/>
      <c r="V85" s="146"/>
    </row>
    <row r="86" outlineLevel="1">
      <c r="A86" s="156"/>
      <c r="B86" s="540" t="s">
        <v>202</v>
      </c>
      <c r="C86" s="526" t="s">
        <v>562</v>
      </c>
      <c r="D86" s="156"/>
      <c r="E86" s="526" t="s">
        <v>213</v>
      </c>
      <c r="F86" s="138">
        <v>1.2</v>
      </c>
      <c r="G86" s="139" t="s">
        <v>170</v>
      </c>
      <c r="H86" s="106"/>
      <c r="I86" s="168"/>
      <c r="J86" s="107"/>
      <c r="K86" s="138"/>
      <c r="L86" s="138"/>
      <c r="M86" s="145"/>
      <c r="N86" s="145"/>
      <c r="O86" s="542">
        <v>3.0</v>
      </c>
      <c r="P86" s="544">
        <v>2.0</v>
      </c>
      <c r="Q86" s="256">
        <v>1.0</v>
      </c>
      <c r="R86" s="145" t="b">
        <v>1</v>
      </c>
      <c r="S86" s="145" t="b">
        <v>0</v>
      </c>
      <c r="T86" s="145"/>
      <c r="U86" s="156"/>
      <c r="V86" s="156"/>
    </row>
    <row r="87" outlineLevel="1">
      <c r="A87" s="230" t="s">
        <v>614</v>
      </c>
      <c r="B87" s="109"/>
      <c r="C87" s="231" t="s">
        <v>48</v>
      </c>
      <c r="D87" s="231" t="s">
        <v>49</v>
      </c>
      <c r="E87" s="232" t="s">
        <v>50</v>
      </c>
      <c r="F87" s="233" t="s">
        <v>51</v>
      </c>
      <c r="G87" s="232" t="s">
        <v>52</v>
      </c>
      <c r="H87" s="382" t="s">
        <v>53</v>
      </c>
      <c r="I87" s="110"/>
      <c r="J87" s="109"/>
      <c r="K87" s="235" t="s">
        <v>137</v>
      </c>
      <c r="L87" s="235" t="s">
        <v>138</v>
      </c>
      <c r="M87" s="235" t="s">
        <v>139</v>
      </c>
      <c r="N87" s="235" t="s">
        <v>140</v>
      </c>
      <c r="O87" s="236" t="s">
        <v>141</v>
      </c>
      <c r="P87" s="235" t="s">
        <v>142</v>
      </c>
      <c r="Q87" s="236" t="s">
        <v>143</v>
      </c>
      <c r="R87" s="235" t="s">
        <v>179</v>
      </c>
      <c r="S87" s="236" t="s">
        <v>180</v>
      </c>
      <c r="T87" s="236" t="s">
        <v>181</v>
      </c>
      <c r="U87" s="236" t="s">
        <v>182</v>
      </c>
      <c r="V87" s="236" t="s">
        <v>183</v>
      </c>
    </row>
    <row r="88" outlineLevel="1">
      <c r="A88" s="546" t="s">
        <v>184</v>
      </c>
      <c r="B88" s="249" t="s">
        <v>615</v>
      </c>
      <c r="C88" s="393" t="s">
        <v>616</v>
      </c>
      <c r="D88" s="547" t="s">
        <v>111</v>
      </c>
      <c r="E88" s="548" t="s">
        <v>73</v>
      </c>
      <c r="F88" s="394">
        <v>4.8</v>
      </c>
      <c r="G88" s="549" t="s">
        <v>170</v>
      </c>
      <c r="H88" s="550"/>
      <c r="I88" s="164"/>
      <c r="J88" s="104"/>
      <c r="K88" s="138"/>
      <c r="L88" s="138"/>
      <c r="M88" s="145"/>
      <c r="N88" s="145"/>
      <c r="O88" s="138">
        <v>6.0</v>
      </c>
      <c r="P88" s="138">
        <v>0.6</v>
      </c>
      <c r="Q88" s="138">
        <v>1.0</v>
      </c>
      <c r="R88" s="145" t="b">
        <v>1</v>
      </c>
      <c r="S88" s="145" t="b">
        <v>0</v>
      </c>
      <c r="T88" s="145" t="b">
        <v>1</v>
      </c>
      <c r="U88" s="166" t="b">
        <v>0</v>
      </c>
      <c r="V88" s="166" t="b">
        <v>0</v>
      </c>
    </row>
    <row r="89" outlineLevel="1">
      <c r="A89" s="146"/>
      <c r="B89" s="255" t="s">
        <v>617</v>
      </c>
      <c r="C89" s="107"/>
      <c r="D89" s="458" t="s">
        <v>541</v>
      </c>
      <c r="E89" s="156"/>
      <c r="F89" s="156"/>
      <c r="G89" s="107"/>
      <c r="H89" s="212"/>
      <c r="J89" s="210"/>
      <c r="K89" s="138"/>
      <c r="L89" s="138"/>
      <c r="M89" s="145"/>
      <c r="N89" s="145"/>
      <c r="O89" s="138"/>
      <c r="P89" s="138"/>
      <c r="Q89" s="138"/>
      <c r="R89" s="145"/>
      <c r="S89" s="145"/>
      <c r="T89" s="145" t="b">
        <v>1</v>
      </c>
      <c r="U89" s="146"/>
      <c r="V89" s="146"/>
    </row>
    <row r="90" outlineLevel="1">
      <c r="A90" s="146"/>
      <c r="B90" s="407" t="s">
        <v>618</v>
      </c>
      <c r="C90" s="157" t="s">
        <v>619</v>
      </c>
      <c r="D90" s="477"/>
      <c r="E90" s="551" t="s">
        <v>150</v>
      </c>
      <c r="F90" s="138">
        <v>6.0</v>
      </c>
      <c r="G90" s="139" t="s">
        <v>60</v>
      </c>
      <c r="H90" s="212"/>
      <c r="J90" s="210"/>
      <c r="K90" s="138"/>
      <c r="L90" s="138"/>
      <c r="M90" s="145"/>
      <c r="N90" s="145"/>
      <c r="O90" s="138">
        <v>6.0</v>
      </c>
      <c r="P90" s="138">
        <v>0.3</v>
      </c>
      <c r="Q90" s="138">
        <v>1.0</v>
      </c>
      <c r="R90" s="145" t="b">
        <v>1</v>
      </c>
      <c r="S90" s="145" t="b">
        <v>0</v>
      </c>
      <c r="T90" s="145" t="b">
        <v>1</v>
      </c>
      <c r="U90" s="146"/>
      <c r="V90" s="146"/>
    </row>
    <row r="91" outlineLevel="1">
      <c r="A91" s="156"/>
      <c r="B91" s="407" t="s">
        <v>620</v>
      </c>
      <c r="C91" s="477"/>
      <c r="D91" s="149" t="s">
        <v>541</v>
      </c>
      <c r="E91" s="477"/>
      <c r="F91" s="477"/>
      <c r="G91" s="477"/>
      <c r="H91" s="106"/>
      <c r="I91" s="168"/>
      <c r="J91" s="107"/>
      <c r="K91" s="552"/>
      <c r="L91" s="552"/>
      <c r="M91" s="552"/>
      <c r="N91" s="552"/>
      <c r="O91" s="552"/>
      <c r="P91" s="552"/>
      <c r="Q91" s="552"/>
      <c r="R91" s="552"/>
      <c r="S91" s="552"/>
      <c r="T91" s="552"/>
      <c r="U91" s="156"/>
      <c r="V91" s="156"/>
    </row>
    <row r="92">
      <c r="A92" s="223"/>
      <c r="B92" s="224"/>
      <c r="C92" s="225"/>
      <c r="D92" s="225"/>
      <c r="E92" s="226"/>
      <c r="F92" s="226"/>
      <c r="G92" s="226"/>
      <c r="H92" s="227"/>
      <c r="I92" s="227"/>
      <c r="J92" s="228"/>
      <c r="K92" s="228"/>
      <c r="L92" s="228"/>
      <c r="M92" s="228"/>
      <c r="N92" s="228"/>
      <c r="O92" s="228"/>
      <c r="P92" s="228"/>
      <c r="Q92" s="118"/>
      <c r="R92" s="118"/>
      <c r="S92" s="118"/>
      <c r="T92" s="118"/>
      <c r="U92" s="118"/>
      <c r="V92" s="118"/>
    </row>
    <row r="93">
      <c r="A93" s="264" t="s">
        <v>211</v>
      </c>
      <c r="B93" s="104"/>
      <c r="C93" s="227"/>
      <c r="D93" s="227"/>
      <c r="E93" s="228"/>
      <c r="F93" s="265"/>
      <c r="G93" s="265"/>
      <c r="H93" s="228"/>
      <c r="I93" s="228"/>
      <c r="J93" s="228"/>
      <c r="K93" s="228"/>
      <c r="L93" s="228"/>
      <c r="M93" s="228"/>
      <c r="N93" s="118"/>
      <c r="O93" s="118"/>
      <c r="P93" s="118"/>
      <c r="Q93" s="228"/>
      <c r="R93" s="228"/>
      <c r="S93" s="228"/>
      <c r="T93" s="228"/>
      <c r="U93" s="228"/>
      <c r="V93" s="228"/>
    </row>
    <row r="94" outlineLevel="1">
      <c r="A94" s="106"/>
      <c r="B94" s="107"/>
      <c r="C94" s="266" t="s">
        <v>48</v>
      </c>
      <c r="D94" s="266" t="s">
        <v>49</v>
      </c>
      <c r="E94" s="266" t="s">
        <v>50</v>
      </c>
      <c r="F94" s="267" t="s">
        <v>51</v>
      </c>
      <c r="G94" s="227"/>
      <c r="H94" s="227"/>
      <c r="I94" s="227"/>
      <c r="J94" s="228"/>
      <c r="K94" s="228"/>
      <c r="L94" s="228"/>
      <c r="M94" s="228"/>
      <c r="N94" s="228"/>
      <c r="O94" s="228"/>
      <c r="P94" s="228"/>
      <c r="Q94" s="228"/>
      <c r="R94" s="228"/>
      <c r="S94" s="228"/>
      <c r="T94" s="228"/>
      <c r="U94" s="228"/>
      <c r="V94" s="228"/>
    </row>
    <row r="95" outlineLevel="1">
      <c r="A95" s="268" t="s">
        <v>212</v>
      </c>
      <c r="B95" s="269" t="s">
        <v>212</v>
      </c>
      <c r="C95" s="239" t="s">
        <v>213</v>
      </c>
      <c r="D95" s="239" t="s">
        <v>86</v>
      </c>
      <c r="E95" s="239" t="s">
        <v>214</v>
      </c>
      <c r="F95" s="138">
        <v>1.56</v>
      </c>
      <c r="G95" s="227"/>
      <c r="H95" s="227"/>
      <c r="I95" s="227"/>
      <c r="J95" s="228"/>
      <c r="K95" s="228"/>
      <c r="L95" s="228"/>
      <c r="M95" s="228"/>
      <c r="N95" s="228"/>
      <c r="O95" s="228"/>
      <c r="P95" s="228"/>
      <c r="Q95" s="228"/>
      <c r="R95" s="228"/>
      <c r="S95" s="228"/>
      <c r="T95" s="228"/>
      <c r="U95" s="228"/>
      <c r="V95" s="228"/>
    </row>
    <row r="96" outlineLevel="1">
      <c r="A96" s="270" t="s">
        <v>215</v>
      </c>
      <c r="B96" s="269" t="s">
        <v>216</v>
      </c>
      <c r="C96" s="239" t="s">
        <v>621</v>
      </c>
      <c r="D96" s="239" t="s">
        <v>462</v>
      </c>
      <c r="E96" s="271"/>
      <c r="F96" s="272"/>
      <c r="G96" s="272"/>
      <c r="H96" s="227"/>
      <c r="I96" s="227"/>
      <c r="J96" s="228"/>
      <c r="K96" s="228"/>
      <c r="L96" s="228"/>
      <c r="M96" s="228"/>
      <c r="N96" s="228"/>
      <c r="O96" s="228"/>
      <c r="P96" s="228"/>
      <c r="Q96" s="228"/>
      <c r="R96" s="228"/>
      <c r="S96" s="228"/>
      <c r="T96" s="228"/>
      <c r="U96" s="228"/>
      <c r="V96" s="228"/>
    </row>
    <row r="97" outlineLevel="1">
      <c r="A97" s="212"/>
      <c r="B97" s="269" t="s">
        <v>219</v>
      </c>
      <c r="C97" s="239" t="s">
        <v>622</v>
      </c>
      <c r="D97" s="239">
        <v>67.0</v>
      </c>
      <c r="E97" s="271"/>
      <c r="F97" s="272"/>
      <c r="G97" s="272"/>
      <c r="H97" s="227"/>
      <c r="I97" s="227"/>
      <c r="J97" s="228"/>
      <c r="K97" s="228"/>
      <c r="L97" s="228"/>
      <c r="M97" s="228"/>
      <c r="N97" s="228"/>
      <c r="O97" s="228"/>
      <c r="P97" s="228"/>
      <c r="Q97" s="228"/>
      <c r="R97" s="228"/>
      <c r="S97" s="228"/>
      <c r="T97" s="228"/>
      <c r="U97" s="228"/>
      <c r="V97" s="228"/>
    </row>
    <row r="98" outlineLevel="1">
      <c r="A98" s="106"/>
      <c r="B98" s="269" t="s">
        <v>222</v>
      </c>
      <c r="C98" s="239" t="s">
        <v>623</v>
      </c>
      <c r="D98" s="239" t="s">
        <v>335</v>
      </c>
      <c r="E98" s="227"/>
      <c r="F98" s="272"/>
      <c r="G98" s="272"/>
      <c r="H98" s="227"/>
      <c r="I98" s="227"/>
      <c r="J98" s="228"/>
      <c r="K98" s="228"/>
      <c r="L98" s="228"/>
      <c r="M98" s="228"/>
      <c r="N98" s="228"/>
      <c r="O98" s="228"/>
      <c r="P98" s="228"/>
      <c r="Q98" s="228"/>
      <c r="R98" s="228"/>
      <c r="S98" s="228"/>
      <c r="T98" s="228"/>
      <c r="U98" s="228"/>
      <c r="V98" s="228"/>
    </row>
    <row r="99" outlineLevel="1">
      <c r="A99" s="273" t="s">
        <v>225</v>
      </c>
      <c r="B99" s="109"/>
      <c r="C99" s="266" t="s">
        <v>48</v>
      </c>
      <c r="D99" s="266" t="s">
        <v>49</v>
      </c>
      <c r="E99" s="266" t="s">
        <v>50</v>
      </c>
      <c r="F99" s="267" t="s">
        <v>51</v>
      </c>
      <c r="G99" s="274" t="s">
        <v>53</v>
      </c>
      <c r="H99" s="110"/>
      <c r="I99" s="110"/>
      <c r="J99" s="109"/>
      <c r="K99" s="275" t="str">
        <f>'テンプレート'!K97</f>
        <v>ベクトル</v>
      </c>
      <c r="L99" s="275" t="str">
        <f>'テンプレート'!L97</f>
        <v>KBG (R.E.)</v>
      </c>
      <c r="M99" s="275" t="str">
        <f>'テンプレート'!M97</f>
        <v>BKB (R.A.)</v>
      </c>
      <c r="N99" s="275" t="str">
        <f>'テンプレート'!N97</f>
        <v>FKB (R.F.)</v>
      </c>
      <c r="O99" s="276" t="str">
        <f>'テンプレート'!O97</f>
        <v>盾削り値</v>
      </c>
      <c r="P99" s="275" t="str">
        <f>'テンプレート'!P97</f>
        <v>ﾋｯﾄｽﾄｯﾌﾟ</v>
      </c>
      <c r="Q99" s="276" t="str">
        <f>'テンプレート'!Q97</f>
        <v>ずらし</v>
      </c>
      <c r="R99" s="277"/>
      <c r="S99" s="277"/>
      <c r="T99" s="277"/>
      <c r="U99" s="277"/>
      <c r="V99" s="277"/>
    </row>
    <row r="100" outlineLevel="1">
      <c r="A100" s="278" t="s">
        <v>226</v>
      </c>
      <c r="B100" s="269" t="s">
        <v>227</v>
      </c>
      <c r="C100" s="553"/>
      <c r="D100" s="279">
        <v>41.0</v>
      </c>
      <c r="E100" s="261"/>
      <c r="F100" s="261"/>
      <c r="G100" s="416"/>
      <c r="H100" s="164"/>
      <c r="I100" s="164"/>
      <c r="J100" s="104"/>
      <c r="K100" s="261"/>
      <c r="L100" s="261"/>
      <c r="M100" s="261"/>
      <c r="N100" s="261"/>
      <c r="O100" s="261"/>
      <c r="P100" s="261"/>
      <c r="Q100" s="261"/>
      <c r="R100" s="277"/>
      <c r="S100" s="228"/>
      <c r="T100" s="228"/>
      <c r="U100" s="228"/>
      <c r="V100" s="228"/>
    </row>
    <row r="101" outlineLevel="1">
      <c r="A101" s="156"/>
      <c r="B101" s="269" t="s">
        <v>225</v>
      </c>
      <c r="C101" s="113">
        <v>16.0</v>
      </c>
      <c r="D101" s="156"/>
      <c r="E101" s="239" t="s">
        <v>128</v>
      </c>
      <c r="F101" s="138">
        <v>12.0</v>
      </c>
      <c r="G101" s="106"/>
      <c r="H101" s="168"/>
      <c r="I101" s="168"/>
      <c r="J101" s="107"/>
      <c r="K101" s="282"/>
      <c r="L101" s="282"/>
      <c r="M101" s="363"/>
      <c r="N101" s="363"/>
      <c r="O101" s="261"/>
      <c r="P101" s="261"/>
      <c r="Q101" s="261"/>
      <c r="R101" s="277"/>
      <c r="S101" s="228"/>
      <c r="T101" s="228"/>
      <c r="U101" s="228"/>
      <c r="V101" s="228"/>
    </row>
    <row r="102" outlineLevel="1">
      <c r="A102" s="278" t="s">
        <v>229</v>
      </c>
      <c r="B102" s="269" t="s">
        <v>227</v>
      </c>
      <c r="C102" s="553"/>
      <c r="D102" s="279">
        <v>49.0</v>
      </c>
      <c r="E102" s="261"/>
      <c r="F102" s="261"/>
      <c r="G102" s="416"/>
      <c r="H102" s="164"/>
      <c r="I102" s="164"/>
      <c r="J102" s="104"/>
      <c r="K102" s="261"/>
      <c r="L102" s="261"/>
      <c r="M102" s="261"/>
      <c r="N102" s="261"/>
      <c r="O102" s="261"/>
      <c r="P102" s="261"/>
      <c r="Q102" s="261"/>
      <c r="R102" s="277"/>
      <c r="S102" s="228"/>
      <c r="T102" s="228"/>
      <c r="U102" s="228"/>
      <c r="V102" s="228"/>
    </row>
    <row r="103" outlineLevel="1">
      <c r="A103" s="156"/>
      <c r="B103" s="269" t="s">
        <v>225</v>
      </c>
      <c r="C103" s="113">
        <v>12.0</v>
      </c>
      <c r="D103" s="156"/>
      <c r="E103" s="239" t="s">
        <v>128</v>
      </c>
      <c r="F103" s="138">
        <v>12.0</v>
      </c>
      <c r="G103" s="106"/>
      <c r="H103" s="168"/>
      <c r="I103" s="168"/>
      <c r="J103" s="107"/>
      <c r="K103" s="282"/>
      <c r="L103" s="282"/>
      <c r="M103" s="363"/>
      <c r="N103" s="363"/>
      <c r="O103" s="261"/>
      <c r="P103" s="261"/>
      <c r="Q103" s="261"/>
      <c r="R103" s="277"/>
      <c r="S103" s="228"/>
      <c r="T103" s="228"/>
      <c r="U103" s="228"/>
      <c r="V103" s="228"/>
    </row>
    <row r="104" outlineLevel="1">
      <c r="A104" s="278" t="s">
        <v>233</v>
      </c>
      <c r="B104" s="269" t="s">
        <v>227</v>
      </c>
      <c r="C104" s="239" t="s">
        <v>386</v>
      </c>
      <c r="D104" s="279">
        <v>41.0</v>
      </c>
      <c r="E104" s="239" t="s">
        <v>150</v>
      </c>
      <c r="F104" s="138">
        <v>6.0</v>
      </c>
      <c r="G104" s="416"/>
      <c r="H104" s="164"/>
      <c r="I104" s="164"/>
      <c r="J104" s="104"/>
      <c r="K104" s="282"/>
      <c r="L104" s="282"/>
      <c r="M104" s="363"/>
      <c r="N104" s="363"/>
      <c r="O104" s="145">
        <v>0.0</v>
      </c>
      <c r="P104" s="145">
        <v>0.0</v>
      </c>
      <c r="Q104" s="145">
        <v>0.0</v>
      </c>
      <c r="R104" s="277"/>
      <c r="S104" s="228"/>
      <c r="T104" s="228"/>
      <c r="U104" s="228"/>
      <c r="V104" s="228"/>
    </row>
    <row r="105" outlineLevel="1">
      <c r="A105" s="156"/>
      <c r="B105" s="269" t="s">
        <v>225</v>
      </c>
      <c r="C105" s="239" t="s">
        <v>153</v>
      </c>
      <c r="D105" s="156"/>
      <c r="E105" s="239" t="s">
        <v>93</v>
      </c>
      <c r="F105" s="138">
        <v>8.4</v>
      </c>
      <c r="G105" s="106"/>
      <c r="H105" s="168"/>
      <c r="I105" s="168"/>
      <c r="J105" s="107"/>
      <c r="K105" s="282"/>
      <c r="L105" s="282"/>
      <c r="M105" s="363"/>
      <c r="N105" s="363"/>
      <c r="O105" s="261"/>
      <c r="P105" s="261"/>
      <c r="Q105" s="261"/>
      <c r="R105" s="277"/>
      <c r="S105" s="117"/>
      <c r="T105" s="117"/>
      <c r="U105" s="117"/>
      <c r="V105" s="117"/>
    </row>
    <row r="106" outlineLevel="1">
      <c r="A106" s="278" t="s">
        <v>234</v>
      </c>
      <c r="B106" s="269" t="s">
        <v>227</v>
      </c>
      <c r="C106" s="553"/>
      <c r="D106" s="367" t="s">
        <v>79</v>
      </c>
      <c r="E106" s="261"/>
      <c r="F106" s="261"/>
      <c r="G106" s="416"/>
      <c r="H106" s="164"/>
      <c r="I106" s="164"/>
      <c r="J106" s="104"/>
      <c r="K106" s="261"/>
      <c r="L106" s="261"/>
      <c r="M106" s="261"/>
      <c r="N106" s="261"/>
      <c r="O106" s="261"/>
      <c r="P106" s="261"/>
      <c r="Q106" s="261"/>
      <c r="R106" s="277"/>
      <c r="S106" s="117"/>
      <c r="T106" s="117"/>
      <c r="U106" s="117"/>
      <c r="V106" s="117"/>
    </row>
    <row r="107" outlineLevel="1">
      <c r="A107" s="156"/>
      <c r="B107" s="269" t="s">
        <v>225</v>
      </c>
      <c r="C107" s="239" t="s">
        <v>65</v>
      </c>
      <c r="D107" s="156"/>
      <c r="E107" s="239" t="s">
        <v>80</v>
      </c>
      <c r="F107" s="138">
        <v>9.6</v>
      </c>
      <c r="G107" s="106"/>
      <c r="H107" s="168"/>
      <c r="I107" s="168"/>
      <c r="J107" s="107"/>
      <c r="K107" s="282"/>
      <c r="L107" s="282"/>
      <c r="M107" s="363"/>
      <c r="N107" s="363"/>
      <c r="O107" s="261"/>
      <c r="P107" s="261"/>
      <c r="Q107" s="261"/>
      <c r="R107" s="277"/>
      <c r="S107" s="117"/>
      <c r="T107" s="117"/>
      <c r="U107" s="117"/>
      <c r="V107" s="117"/>
    </row>
    <row r="108">
      <c r="A108" s="223"/>
      <c r="B108" s="224"/>
      <c r="C108" s="225"/>
      <c r="D108" s="225"/>
      <c r="E108" s="227"/>
      <c r="F108" s="177"/>
      <c r="G108" s="177"/>
      <c r="H108" s="227"/>
      <c r="I108" s="227"/>
      <c r="J108" s="228"/>
      <c r="K108" s="228"/>
      <c r="L108" s="111"/>
      <c r="M108" s="111"/>
      <c r="N108" s="111"/>
      <c r="O108" s="117"/>
      <c r="P108" s="117"/>
      <c r="Q108" s="111"/>
      <c r="R108" s="111"/>
      <c r="S108" s="111"/>
      <c r="T108" s="111"/>
      <c r="U108" s="111"/>
      <c r="V108" s="111"/>
    </row>
    <row r="109">
      <c r="A109" s="284" t="s">
        <v>241</v>
      </c>
      <c r="B109" s="104"/>
      <c r="C109" s="265"/>
      <c r="D109" s="111"/>
      <c r="E109" s="111"/>
      <c r="F109" s="111"/>
      <c r="G109" s="111"/>
      <c r="H109" s="111"/>
      <c r="I109" s="111"/>
      <c r="J109" s="118"/>
      <c r="K109" s="111"/>
      <c r="L109" s="111"/>
      <c r="M109" s="111"/>
      <c r="N109" s="111"/>
      <c r="O109" s="111"/>
      <c r="P109" s="111"/>
      <c r="Q109" s="118"/>
      <c r="R109" s="111"/>
      <c r="S109" s="111"/>
      <c r="T109" s="111"/>
      <c r="U109" s="111"/>
      <c r="V109" s="111"/>
    </row>
    <row r="110" outlineLevel="1">
      <c r="A110" s="106"/>
      <c r="B110" s="107"/>
      <c r="C110" s="285" t="s">
        <v>235</v>
      </c>
      <c r="D110" s="285" t="s">
        <v>236</v>
      </c>
      <c r="E110" s="285" t="s">
        <v>49</v>
      </c>
      <c r="F110" s="285" t="s">
        <v>237</v>
      </c>
      <c r="G110" s="286"/>
      <c r="H110" s="227"/>
      <c r="I110" s="227"/>
      <c r="J110" s="228"/>
      <c r="K110" s="228"/>
      <c r="L110" s="111"/>
      <c r="M110" s="111"/>
      <c r="N110" s="111"/>
      <c r="O110" s="111"/>
      <c r="P110" s="111"/>
      <c r="Q110" s="111"/>
      <c r="R110" s="111"/>
      <c r="S110" s="111"/>
      <c r="T110" s="111"/>
      <c r="U110" s="111"/>
      <c r="V110" s="111"/>
    </row>
    <row r="111" outlineLevel="1">
      <c r="A111" s="287" t="s">
        <v>395</v>
      </c>
      <c r="B111" s="288" t="s">
        <v>216</v>
      </c>
      <c r="C111" s="113" t="str">
        <f t="array" ref="C111">INDEX('回避'!$C$3:$U$84, MATCH($A$1,'回避'!$A$3:$A$91,0), MATCH(C110,'回避'!$C$2:$F$2,0))</f>
        <v>3-17</v>
      </c>
      <c r="D111" s="113" t="str">
        <f t="array" ref="D111">INDEX('回避'!$C$3:$U$84, MATCH($A$1,'回避'!$A$3:$A$91,0), MATCH(D110,'回避'!$C$2:$F$2,0))</f>
        <v>6-17</v>
      </c>
      <c r="E111" s="113" t="str">
        <f t="array" ref="E111">INDEX('回避'!$C$3:$U$84, MATCH($A$1,'回避'!$A$3:$A$91,0), MATCH(E110,'回避'!$C$2:$F$2,0))</f>
        <v>26 (21)</v>
      </c>
      <c r="F111" s="113" t="str">
        <f t="array" ref="F111">INDEX('回避'!$C$3:$U$84, MATCH($A$1,'回避'!$A$3:$A$91,0), MATCH(F110,'回避'!$C$2:$F$2,0))</f>
        <v>35 (28)</v>
      </c>
      <c r="G111" s="272"/>
      <c r="H111" s="290"/>
      <c r="I111" s="227"/>
      <c r="J111" s="228"/>
      <c r="K111" s="228"/>
      <c r="L111" s="228"/>
      <c r="M111" s="111"/>
      <c r="N111" s="111"/>
      <c r="O111" s="111"/>
      <c r="P111" s="111"/>
      <c r="Q111" s="111"/>
      <c r="R111" s="111"/>
      <c r="S111" s="111"/>
      <c r="T111" s="111"/>
      <c r="U111" s="111"/>
      <c r="V111" s="111"/>
    </row>
    <row r="112" outlineLevel="1">
      <c r="A112" s="212"/>
      <c r="B112" s="288" t="s">
        <v>245</v>
      </c>
      <c r="C112" s="113" t="str">
        <f t="array" ref="C112">INDEX('回避'!$G$3:$U$84, MATCH($A$1,'回避'!$A$3:$A$91,0), MATCH(C110,'回避'!$G$2:$J$2,0))</f>
        <v>4-18</v>
      </c>
      <c r="D112" s="113" t="str">
        <f t="array" ref="D112">INDEX('回避'!$G$3:$U$84, MATCH($A$1,'回避'!$A$3:$A$91,0), MATCH(D110,'回避'!$G$2:$J$2,0))</f>
        <v>8-16</v>
      </c>
      <c r="E112" s="113" t="str">
        <f t="array" ref="E112">INDEX('回避'!$G$3:$U$84, MATCH($A$1,'回避'!$A$3:$A$91,0), MATCH(E110,'回避'!$G$2:$J$2,0))</f>
        <v>34</v>
      </c>
      <c r="F112" s="113">
        <f t="array" ref="F112">INDEX('回避'!$G$3:$U$84, MATCH($A$1,'回避'!$A$3:$A$91,0), MATCH(F110,'回避'!$G$2:$J$2,0))</f>
        <v>45</v>
      </c>
      <c r="G112" s="289"/>
      <c r="H112" s="290"/>
      <c r="I112" s="290"/>
      <c r="J112" s="228"/>
      <c r="K112" s="228"/>
      <c r="L112" s="228"/>
      <c r="M112" s="228"/>
      <c r="N112" s="228"/>
      <c r="O112" s="111"/>
      <c r="P112" s="111"/>
      <c r="Q112" s="111"/>
      <c r="R112" s="111"/>
      <c r="S112" s="111"/>
      <c r="T112" s="111"/>
      <c r="U112" s="111"/>
      <c r="V112" s="111"/>
    </row>
    <row r="113" outlineLevel="1">
      <c r="A113" s="106"/>
      <c r="B113" s="288" t="s">
        <v>246</v>
      </c>
      <c r="C113" s="113" t="str">
        <f t="array" ref="C113">INDEX('回避'!$K$3:$U$84, MATCH($A$1,'回避'!$A$3:$A$91,0), MATCH(C110,'回避'!$K$2:$N$2,0))</f>
        <v>5-20</v>
      </c>
      <c r="D113" s="113" t="str">
        <f t="array" ref="D113">INDEX('回避'!$K$3:$U$84, MATCH($A$1,'回避'!$A$3:$A$91,0), MATCH(D110,'回避'!$K$2:$N$2,0))</f>
        <v>9-16</v>
      </c>
      <c r="E113" s="113" t="str">
        <f t="array" ref="E113">INDEX('回避'!$K$3:$U$84, MATCH($A$1,'回避'!$A$3:$A$91,0), MATCH(E110,'回避'!$K$2:$N$2,0))</f>
        <v>39</v>
      </c>
      <c r="F113" s="113" t="str">
        <f t="array" ref="F113">INDEX('回避'!$K$3:$U$84, MATCH($A$1,'回避'!$A$3:$A$91,0), MATCH(F110,'回避'!$K$2:$N$2,0))</f>
        <v>59</v>
      </c>
      <c r="G113" s="289"/>
      <c r="H113" s="290"/>
      <c r="I113" s="290"/>
      <c r="J113" s="117"/>
      <c r="K113" s="117"/>
      <c r="L113" s="117"/>
      <c r="M113" s="117"/>
      <c r="N113" s="117"/>
      <c r="O113" s="111"/>
      <c r="P113" s="111"/>
      <c r="Q113" s="111"/>
      <c r="R113" s="111"/>
      <c r="S113" s="111"/>
      <c r="T113" s="111"/>
      <c r="U113" s="111"/>
      <c r="V113" s="111"/>
    </row>
    <row r="114" outlineLevel="1">
      <c r="A114" s="287" t="s">
        <v>396</v>
      </c>
      <c r="B114" s="288" t="s">
        <v>397</v>
      </c>
      <c r="C114" s="113" t="str">
        <f t="array" ref="C114">INDEX('回避'!$O$3:$U$84, MATCH($A$1,'回避'!$A$3:$A$91,0), MATCH(C110,'回避'!$O$2:$R$2,0))</f>
        <v>3-29</v>
      </c>
      <c r="D114" s="113" t="str">
        <f t="array" ref="D114">INDEX('回避'!$O$3:$U$84, MATCH($A$1,'回避'!$A$3:$A$91,0), MATCH(D110,'回避'!$O$2:$R$2,0))</f>
        <v>6-27</v>
      </c>
      <c r="E114" s="113" t="str">
        <f t="array" ref="E114">INDEX('回避'!$O$3:$U$84, MATCH($A$1,'回避'!$A$3:$A$91,0), MATCH(E110,'回避'!$O$2:$R$2,0))</f>
        <v>56</v>
      </c>
      <c r="F114" s="177"/>
      <c r="G114" s="177"/>
      <c r="H114" s="290"/>
      <c r="I114" s="290"/>
      <c r="J114" s="111"/>
      <c r="K114" s="111"/>
      <c r="L114" s="111"/>
      <c r="M114" s="111"/>
      <c r="N114" s="111"/>
      <c r="O114" s="228"/>
      <c r="P114" s="228"/>
      <c r="Q114" s="228"/>
      <c r="R114" s="228"/>
      <c r="S114" s="228"/>
      <c r="T114" s="228"/>
      <c r="U114" s="228"/>
      <c r="V114" s="228"/>
    </row>
    <row r="115" outlineLevel="1">
      <c r="A115" s="106"/>
      <c r="B115" s="288" t="s">
        <v>398</v>
      </c>
      <c r="C115" s="113" t="str">
        <f t="array" ref="C115">INDEX('回避'!$S$3:$U$84, MATCH($A$1,'回避'!$A$3:$A$91,0), MATCH(C110,'回避'!$S$2:$U$2,0))</f>
        <v>3-21</v>
      </c>
      <c r="D115" s="113" t="str">
        <f t="array" ref="D115">INDEX('回避'!$S$3:$U$84, MATCH($A$1,'回避'!$A$3:$A$91,0), MATCH(D110,'回避'!$S$2:$U$2,0))</f>
        <v>6-20</v>
      </c>
      <c r="E115" s="113" t="str">
        <f t="array" ref="E115">INDEX('回避'!$S$3:$U$84, MATCH($A$1,'回避'!$A$3:$A$91,0), MATCH(E110,'回避'!$S$2:$U$2,0))</f>
        <v>真横：96
真上：130
真下：80</v>
      </c>
      <c r="F115" s="289"/>
      <c r="G115" s="289"/>
      <c r="H115" s="118"/>
      <c r="I115" s="118"/>
      <c r="J115" s="117"/>
      <c r="K115" s="117"/>
      <c r="L115" s="117"/>
      <c r="M115" s="117"/>
      <c r="N115" s="111"/>
      <c r="O115" s="118"/>
      <c r="P115" s="118"/>
      <c r="Q115" s="118"/>
      <c r="R115" s="118"/>
      <c r="S115" s="118"/>
      <c r="T115" s="118"/>
      <c r="U115" s="118"/>
      <c r="V115" s="118"/>
    </row>
    <row r="116">
      <c r="A116" s="291"/>
      <c r="B116" s="292"/>
      <c r="C116" s="286"/>
      <c r="D116" s="286"/>
      <c r="E116" s="293"/>
      <c r="F116" s="286"/>
      <c r="G116" s="286"/>
      <c r="H116" s="286"/>
      <c r="I116" s="286"/>
      <c r="J116" s="111"/>
      <c r="K116" s="227"/>
      <c r="L116" s="227"/>
      <c r="M116" s="227"/>
      <c r="N116" s="227"/>
      <c r="O116" s="118"/>
      <c r="P116" s="118"/>
      <c r="Q116" s="118"/>
      <c r="R116" s="118"/>
      <c r="S116" s="118"/>
      <c r="T116" s="118"/>
      <c r="U116" s="118"/>
      <c r="V116" s="118"/>
    </row>
    <row r="117">
      <c r="A117" s="294" t="s">
        <v>238</v>
      </c>
      <c r="B117" s="104"/>
      <c r="C117" s="228"/>
      <c r="D117" s="117"/>
      <c r="E117" s="228"/>
      <c r="F117" s="114"/>
      <c r="G117" s="114"/>
      <c r="H117" s="117"/>
      <c r="I117" s="117"/>
      <c r="J117" s="118"/>
      <c r="K117" s="118"/>
      <c r="L117" s="118"/>
      <c r="M117" s="118"/>
      <c r="N117" s="118"/>
      <c r="O117" s="118"/>
      <c r="P117" s="118"/>
      <c r="Q117" s="118"/>
      <c r="R117" s="118"/>
      <c r="S117" s="118"/>
      <c r="T117" s="118"/>
      <c r="U117" s="118"/>
      <c r="V117" s="118"/>
    </row>
    <row r="118" outlineLevel="1">
      <c r="A118" s="106"/>
      <c r="B118" s="107"/>
      <c r="C118" s="295" t="s">
        <v>235</v>
      </c>
      <c r="D118" s="295" t="s">
        <v>49</v>
      </c>
      <c r="E118" s="295" t="s">
        <v>48</v>
      </c>
      <c r="F118" s="295" t="s">
        <v>50</v>
      </c>
      <c r="G118" s="296" t="s">
        <v>51</v>
      </c>
      <c r="H118" s="228"/>
      <c r="I118" s="228"/>
      <c r="J118" s="117"/>
      <c r="K118" s="297" t="str">
        <f>'テンプレート'!K116</f>
        <v>アイテム取得</v>
      </c>
      <c r="L118" s="109"/>
      <c r="M118" s="298" t="str">
        <f>'テンプレート'!M116</f>
        <v>取得フレーム</v>
      </c>
      <c r="N118" s="298" t="str">
        <f>'テンプレート'!N116</f>
        <v>全体フレーム</v>
      </c>
      <c r="O118" s="118"/>
      <c r="P118" s="118"/>
      <c r="Q118" s="118"/>
      <c r="R118" s="118"/>
      <c r="S118" s="118"/>
      <c r="T118" s="118"/>
      <c r="U118" s="118"/>
      <c r="V118" s="118"/>
    </row>
    <row r="119" outlineLevel="1">
      <c r="A119" s="299" t="s">
        <v>239</v>
      </c>
      <c r="B119" s="300" t="s">
        <v>240</v>
      </c>
      <c r="C119" s="301"/>
      <c r="D119" s="113">
        <f t="array" ref="D119">INDEX('崖行動・受け身'!$C$3:$C126, MATCH($A$1,'崖行動・受け身'!$A$3:$A$115,0), MATCH(D118,'崖行動・受け身'!$C$2,0))</f>
        <v>19</v>
      </c>
      <c r="E119" s="301"/>
      <c r="F119" s="301"/>
      <c r="G119" s="301"/>
      <c r="H119" s="228"/>
      <c r="I119" s="228"/>
      <c r="J119" s="111"/>
      <c r="K119" s="302" t="str">
        <f>'テンプレート'!K117</f>
        <v>小アイテム</v>
      </c>
      <c r="L119" s="303" t="str">
        <f>'テンプレート'!L117</f>
        <v>その場</v>
      </c>
      <c r="M119" s="113" t="s">
        <v>76</v>
      </c>
      <c r="N119" s="113">
        <v>7.0</v>
      </c>
      <c r="O119" s="118"/>
      <c r="P119" s="118"/>
      <c r="Q119" s="118"/>
      <c r="R119" s="118"/>
      <c r="S119" s="118"/>
      <c r="T119" s="118"/>
      <c r="U119" s="118"/>
      <c r="V119" s="118"/>
    </row>
    <row r="120" outlineLevel="1">
      <c r="A120" s="146"/>
      <c r="B120" s="300" t="s">
        <v>216</v>
      </c>
      <c r="C120" s="113" t="str">
        <f t="array" ref="C120">INDEX('崖行動・受け身'!$D$3:$E126, MATCH($A$1,'崖行動・受け身'!$A$3:$A$115,0), MATCH(C118,'崖行動・受け身'!$D$2:$E$2,0))</f>
        <v>1-31</v>
      </c>
      <c r="D120" s="113">
        <f t="array" ref="D120">INDEX('崖行動・受け身'!$D$3:$E126, MATCH($A$1,'崖行動・受け身'!$A$3:$A$115,0), MATCH(D118,'崖行動・受け身'!$D$2:$E$2,0))</f>
        <v>32</v>
      </c>
      <c r="E120" s="301"/>
      <c r="F120" s="301"/>
      <c r="G120" s="301"/>
      <c r="H120" s="228"/>
      <c r="I120" s="228"/>
      <c r="J120" s="117"/>
      <c r="K120" s="156"/>
      <c r="L120" s="303" t="str">
        <f>'テンプレート'!L118</f>
        <v>歩き</v>
      </c>
      <c r="M120" s="113" t="s">
        <v>76</v>
      </c>
      <c r="N120" s="113">
        <v>19.0</v>
      </c>
      <c r="O120" s="118"/>
      <c r="P120" s="118"/>
      <c r="Q120" s="118"/>
      <c r="R120" s="118"/>
      <c r="S120" s="118"/>
      <c r="T120" s="118"/>
      <c r="U120" s="118"/>
      <c r="V120" s="118"/>
    </row>
    <row r="121" outlineLevel="1">
      <c r="A121" s="146"/>
      <c r="B121" s="300" t="s">
        <v>241</v>
      </c>
      <c r="C121" s="113" t="str">
        <f t="array" ref="C121">INDEX('崖行動・受け身'!$F$3:$G$115, MATCH($A$1,'崖行動・受け身'!$A$3:$A$115,0), MATCH(C118,'崖行動・受け身'!$F$2:$G$2,0))</f>
        <v>1-22</v>
      </c>
      <c r="D121" s="113">
        <f t="array" ref="D121">INDEX('崖行動・受け身'!$F$3:$G$115, MATCH($A$1,'崖行動・受け身'!$A$3:$A$115,0), MATCH(D118,'崖行動・受け身'!$F$2:$G$2,0))</f>
        <v>45</v>
      </c>
      <c r="E121" s="301"/>
      <c r="F121" s="301"/>
      <c r="G121" s="301"/>
      <c r="H121" s="228"/>
      <c r="I121" s="228"/>
      <c r="J121" s="111"/>
      <c r="K121" s="304" t="str">
        <f>'テンプレート'!K119</f>
        <v>アイテム投擲</v>
      </c>
      <c r="L121" s="109"/>
      <c r="M121" s="298" t="str">
        <f>'テンプレート'!M119</f>
        <v>投擲フレーム</v>
      </c>
      <c r="N121" s="298" t="str">
        <f>'テンプレート'!N119</f>
        <v>全体フレーム</v>
      </c>
      <c r="O121" s="118"/>
      <c r="P121" s="118"/>
      <c r="Q121" s="118"/>
      <c r="R121" s="118"/>
      <c r="S121" s="118"/>
      <c r="T121" s="118"/>
      <c r="U121" s="118"/>
      <c r="V121" s="118"/>
    </row>
    <row r="122" outlineLevel="1">
      <c r="A122" s="146"/>
      <c r="B122" s="300" t="s">
        <v>242</v>
      </c>
      <c r="C122" s="113" t="str">
        <f t="array" ref="C122">INDEX('崖行動・受け身'!$H$3:$I$115, MATCH($A$1,'崖行動・受け身'!$A$3:$A$115,0), MATCH(C118,'崖行動・受け身'!$H$2:$I$2,0))</f>
        <v>1-12</v>
      </c>
      <c r="D122" s="113">
        <f t="array" ref="D122">INDEX('崖行動・受け身'!$H$3:$I$115, MATCH($A$1,'崖行動・受け身'!$A$3:$A$115,0), MATCH(D118,'崖行動・受け身'!$H$2:$I$2,0))</f>
        <v>14</v>
      </c>
      <c r="E122" s="301"/>
      <c r="F122" s="301"/>
      <c r="G122" s="301"/>
      <c r="H122" s="228"/>
      <c r="I122" s="228"/>
      <c r="J122" s="117"/>
      <c r="K122" s="305" t="str">
        <f>'テンプレート'!K120</f>
        <v>地上投擲</v>
      </c>
      <c r="L122" s="303" t="str">
        <f>'テンプレート'!L120</f>
        <v>前投げ</v>
      </c>
      <c r="M122" s="113" t="s">
        <v>80</v>
      </c>
      <c r="N122" s="113">
        <v>25.0</v>
      </c>
      <c r="O122" s="111"/>
      <c r="P122" s="111"/>
      <c r="Q122" s="111"/>
      <c r="R122" s="111"/>
      <c r="S122" s="111"/>
      <c r="T122" s="111"/>
      <c r="U122" s="111"/>
      <c r="V122" s="111"/>
    </row>
    <row r="123" outlineLevel="1">
      <c r="A123" s="156"/>
      <c r="B123" s="300" t="s">
        <v>243</v>
      </c>
      <c r="C123" s="113" t="str">
        <f t="array" ref="C123">INDEX('崖行動・受け身'!$J$3:$M$115, MATCH($A$1,'崖行動・受け身'!$A$3:$A$115,0), MATCH(C118,'崖行動・受け身'!$J$2:$M$2,0))</f>
        <v>1-27</v>
      </c>
      <c r="D123" s="113">
        <f t="array" ref="D123">INDEX('崖行動・受け身'!$J$3:$M$115, MATCH($A$1,'崖行動・受け身'!$A$3:$A$115,0), MATCH(D118,'崖行動・受け身'!$J$2:$M$2,0))</f>
        <v>55</v>
      </c>
      <c r="E123" s="113" t="str">
        <f t="array" ref="E123">INDEX('崖行動・受け身'!$J$3:$M$115, MATCH($A$1,'崖行動・受け身'!$A$3:$A$115,0), MATCH(E118,'崖行動・受け身'!$J$2:$M$2,0))</f>
        <v>25-27</v>
      </c>
      <c r="F123" s="113">
        <f t="array" ref="F123">INDEX('崖行動・受け身'!$J$3:$M$115, MATCH($A$1,'崖行動・受け身'!$A$3:$A$115,0), MATCH(F118,'崖行動・受け身'!$J$2:$M$2,0))</f>
        <v>9</v>
      </c>
      <c r="G123" s="113">
        <f>F123*1.2</f>
        <v>10.8</v>
      </c>
      <c r="H123" s="228"/>
      <c r="I123" s="228"/>
      <c r="J123" s="111"/>
      <c r="K123" s="146"/>
      <c r="L123" s="303" t="str">
        <f>'テンプレート'!L121</f>
        <v>後投げ</v>
      </c>
      <c r="M123" s="113" t="s">
        <v>232</v>
      </c>
      <c r="N123" s="113">
        <v>25.0</v>
      </c>
      <c r="O123" s="111"/>
      <c r="P123" s="111"/>
      <c r="Q123" s="111"/>
      <c r="R123" s="111"/>
      <c r="S123" s="111"/>
      <c r="T123" s="111"/>
      <c r="U123" s="111"/>
      <c r="V123" s="111"/>
    </row>
    <row r="124" outlineLevel="1">
      <c r="A124" s="299" t="s">
        <v>244</v>
      </c>
      <c r="B124" s="300" t="s">
        <v>216</v>
      </c>
      <c r="C124" s="113" t="str">
        <f t="array" ref="C124">INDEX('崖行動・受け身'!$N$3:$O$115, MATCH($A$1,'崖行動・受け身'!$A$3:$A$115,0), MATCH(C118,'崖行動・受け身'!$N$2:$O$2,0))</f>
        <v>1-20</v>
      </c>
      <c r="D124" s="113">
        <f t="array" ref="D124">INDEX('崖行動・受け身'!$N$3:$O$115, MATCH($A$1,'崖行動・受け身'!$A$3:$A$115,0), MATCH(D118,'崖行動・受け身'!$N$2:$O$2,0))</f>
        <v>26</v>
      </c>
      <c r="E124" s="301"/>
      <c r="F124" s="301"/>
      <c r="G124" s="301"/>
      <c r="H124" s="228"/>
      <c r="I124" s="228"/>
      <c r="J124" s="117"/>
      <c r="K124" s="146"/>
      <c r="L124" s="303" t="str">
        <f>'テンプレート'!L122</f>
        <v>上投げ</v>
      </c>
      <c r="M124" s="113" t="s">
        <v>129</v>
      </c>
      <c r="N124" s="113">
        <v>24.0</v>
      </c>
      <c r="O124" s="228"/>
      <c r="P124" s="228"/>
      <c r="Q124" s="228"/>
      <c r="R124" s="228"/>
      <c r="S124" s="228"/>
      <c r="T124" s="228"/>
      <c r="U124" s="228"/>
      <c r="V124" s="228"/>
    </row>
    <row r="125" outlineLevel="1">
      <c r="A125" s="146"/>
      <c r="B125" s="300" t="s">
        <v>245</v>
      </c>
      <c r="C125" s="113" t="str">
        <f t="array" ref="C125">INDEX('崖行動・受け身'!$P$3:$Q$115, MATCH($A$1,'崖行動・受け身'!$A$3:$A$115,0), MATCH(C118,'崖行動・受け身'!$P$2:$Q$2,0))</f>
        <v>1-20</v>
      </c>
      <c r="D125" s="113">
        <f t="array" ref="D125">INDEX('崖行動・受け身'!$P$3:$Q$115, MATCH($A$1,'崖行動・受け身'!$A$3:$A$115,0), MATCH(D118,'崖行動・受け身'!$P$2:$Q$2,0))</f>
        <v>40</v>
      </c>
      <c r="E125" s="301"/>
      <c r="F125" s="301"/>
      <c r="G125" s="301"/>
      <c r="H125" s="228"/>
      <c r="I125" s="228"/>
      <c r="J125" s="111"/>
      <c r="K125" s="146"/>
      <c r="L125" s="303" t="str">
        <f>'テンプレート'!L123</f>
        <v>下投げ</v>
      </c>
      <c r="M125" s="113" t="s">
        <v>93</v>
      </c>
      <c r="N125" s="113">
        <v>20.0</v>
      </c>
      <c r="O125" s="118"/>
      <c r="P125" s="118"/>
      <c r="Q125" s="118"/>
      <c r="R125" s="118"/>
      <c r="S125" s="118"/>
      <c r="T125" s="118"/>
      <c r="U125" s="118"/>
      <c r="V125" s="118"/>
    </row>
    <row r="126" outlineLevel="1">
      <c r="A126" s="156"/>
      <c r="B126" s="300" t="s">
        <v>246</v>
      </c>
      <c r="C126" s="113" t="str">
        <f t="array" ref="C126">INDEX('崖行動・受け身'!$R$3:$S$115, MATCH($A$1,'崖行動・受け身'!$A$3:$A$115,0), MATCH(C118,'崖行動・受け身'!$R$2:$S$2,0))</f>
        <v>1-20</v>
      </c>
      <c r="D126" s="113">
        <f t="array" ref="D126">INDEX('崖行動・受け身'!$R$3:$S$115, MATCH($A$1,'崖行動・受け身'!$A$3:$A$115,0), MATCH(D118,'崖行動・受け身'!$R$2:$S$2,0))</f>
        <v>40</v>
      </c>
      <c r="E126" s="301"/>
      <c r="F126" s="301"/>
      <c r="G126" s="301"/>
      <c r="H126" s="228"/>
      <c r="I126" s="228"/>
      <c r="J126" s="117"/>
      <c r="K126" s="146"/>
      <c r="L126" s="306" t="str">
        <f>'テンプレート'!L124</f>
        <v>ダッシュ</v>
      </c>
      <c r="M126" s="113" t="s">
        <v>150</v>
      </c>
      <c r="N126" s="113">
        <v>38.0</v>
      </c>
      <c r="O126" s="118"/>
      <c r="P126" s="118"/>
      <c r="Q126" s="118"/>
      <c r="R126" s="118"/>
      <c r="S126" s="118"/>
      <c r="T126" s="118"/>
      <c r="U126" s="118"/>
      <c r="V126" s="118"/>
    </row>
    <row r="127" outlineLevel="1">
      <c r="A127" s="299" t="s">
        <v>247</v>
      </c>
      <c r="B127" s="300" t="s">
        <v>248</v>
      </c>
      <c r="C127" s="301"/>
      <c r="D127" s="113" t="str">
        <f t="array" ref="D127">INDEX('起きあがり'!$C$3:$C126, MATCH($A$1,'起きあがり'!$A$3:$A$115,0), MATCH(D118,'起きあがり'!$C$2:$AD$2,0))</f>
        <v>25</v>
      </c>
      <c r="E127" s="301"/>
      <c r="F127" s="301"/>
      <c r="G127" s="301"/>
      <c r="H127" s="228"/>
      <c r="I127" s="228"/>
      <c r="J127" s="111"/>
      <c r="K127" s="156"/>
      <c r="L127" s="306" t="str">
        <f>'テンプレート'!L125</f>
        <v>その場捨て</v>
      </c>
      <c r="M127" s="113" t="s">
        <v>86</v>
      </c>
      <c r="N127" s="113">
        <v>24.0</v>
      </c>
      <c r="O127" s="118"/>
      <c r="P127" s="118"/>
      <c r="Q127" s="118"/>
      <c r="R127" s="118"/>
      <c r="S127" s="118"/>
      <c r="T127" s="118"/>
      <c r="U127" s="118"/>
      <c r="V127" s="118"/>
    </row>
    <row r="128" outlineLevel="1">
      <c r="A128" s="146"/>
      <c r="B128" s="300" t="s">
        <v>216</v>
      </c>
      <c r="C128" s="307" t="str">
        <f t="array" ref="C128">INDEX('起きあがり'!$D$3:$E126, MATCH($A$1,'起きあがり'!$A$3:$A$115,0), MATCH(C118,'起きあがり'!$D$2:$AD$2,0))</f>
        <v>1-22</v>
      </c>
      <c r="D128" s="308">
        <f t="array" ref="D128">INDEX('起きあがり'!$D$3:$E126, MATCH($A$1,'起きあがり'!$A$3:$A$115,0), MATCH(D118,'起きあがり'!$D$2:$AD$2,0))</f>
        <v>29</v>
      </c>
      <c r="E128" s="301"/>
      <c r="F128" s="301"/>
      <c r="G128" s="301"/>
      <c r="H128" s="228"/>
      <c r="I128" s="228"/>
      <c r="J128" s="117"/>
      <c r="K128" s="305" t="str">
        <f>'テンプレート'!K126</f>
        <v>空中投擲</v>
      </c>
      <c r="L128" s="303" t="str">
        <f>'テンプレート'!L126</f>
        <v>前投げ</v>
      </c>
      <c r="M128" s="113" t="s">
        <v>80</v>
      </c>
      <c r="N128" s="113">
        <v>25.0</v>
      </c>
      <c r="O128" s="118"/>
      <c r="P128" s="118"/>
      <c r="Q128" s="118"/>
      <c r="R128" s="118"/>
      <c r="S128" s="118"/>
      <c r="T128" s="118"/>
      <c r="U128" s="118"/>
      <c r="V128" s="118"/>
    </row>
    <row r="129" outlineLevel="1">
      <c r="A129" s="146"/>
      <c r="B129" s="300" t="s">
        <v>245</v>
      </c>
      <c r="C129" s="307" t="str">
        <f t="array" ref="C129">INDEX('起きあがり'!$F$3:$G$115, MATCH($A$1,'起きあがり'!$A$3:$A$115,0), MATCH(C118,'起きあがり'!$F$2:$AD$2,0))</f>
        <v>1-14</v>
      </c>
      <c r="D129" s="308">
        <f t="array" ref="D129">INDEX('起きあがり'!$F$3:$G$115, MATCH($A$1,'起きあがり'!$A$3:$A$115,0), MATCH(D118,'起きあがり'!$F$2:$AD$2,0))</f>
        <v>35</v>
      </c>
      <c r="E129" s="301"/>
      <c r="F129" s="301"/>
      <c r="G129" s="301"/>
      <c r="H129" s="228"/>
      <c r="I129" s="228"/>
      <c r="J129" s="111"/>
      <c r="K129" s="146"/>
      <c r="L129" s="303" t="str">
        <f>'テンプレート'!L127</f>
        <v>後投げ</v>
      </c>
      <c r="M129" s="113" t="s">
        <v>232</v>
      </c>
      <c r="N129" s="113">
        <v>25.0</v>
      </c>
      <c r="O129" s="118"/>
      <c r="P129" s="118"/>
      <c r="Q129" s="118"/>
      <c r="R129" s="118"/>
      <c r="S129" s="118"/>
      <c r="T129" s="118"/>
      <c r="U129" s="118"/>
      <c r="V129" s="118"/>
    </row>
    <row r="130" outlineLevel="1">
      <c r="A130" s="146"/>
      <c r="B130" s="300" t="s">
        <v>246</v>
      </c>
      <c r="C130" s="113" t="str">
        <f t="array" ref="C130">INDEX('起きあがり'!$H$3:$I$115, MATCH($A$1,'起きあがり'!$A$3:$A$115,0), MATCH(C118,'起きあがり'!$H$2:$AD$2,0))</f>
        <v>1-20</v>
      </c>
      <c r="D130" s="113">
        <f t="array" ref="D130">INDEX('起きあがり'!$H$3:$I$115, MATCH($A$1,'起きあがり'!$A$3:$A$115,0), MATCH(D118,'起きあがり'!$H$2:$AD$2,0))</f>
        <v>35</v>
      </c>
      <c r="E130" s="301"/>
      <c r="F130" s="301"/>
      <c r="G130" s="301"/>
      <c r="H130" s="228"/>
      <c r="I130" s="228"/>
      <c r="J130" s="117"/>
      <c r="K130" s="146"/>
      <c r="L130" s="303" t="str">
        <f>'テンプレート'!L128</f>
        <v>上投げ</v>
      </c>
      <c r="M130" s="113" t="s">
        <v>129</v>
      </c>
      <c r="N130" s="113">
        <v>24.0</v>
      </c>
      <c r="O130" s="118"/>
      <c r="P130" s="118"/>
      <c r="Q130" s="118"/>
      <c r="R130" s="118"/>
      <c r="S130" s="118"/>
      <c r="T130" s="118"/>
      <c r="U130" s="118"/>
      <c r="V130" s="118"/>
    </row>
    <row r="131" outlineLevel="1">
      <c r="A131" s="146"/>
      <c r="B131" s="300" t="s">
        <v>249</v>
      </c>
      <c r="C131" s="309" t="str">
        <f t="array" ref="C131">INDEX('起きあがり'!$J$3:$M$115, MATCH($A$1,'起きあがり'!$A$3:$A$115,0), MATCH(C118,'起きあがり'!$J$2:$AD$2,0))</f>
        <v>1-23</v>
      </c>
      <c r="D131" s="310">
        <f t="array" ref="D131">INDEX('起きあがり'!$J$3:$M$115, MATCH($A$1,'起きあがり'!$A$3:$A$115,0), MATCH(D118,'起きあがり'!$J$2:$AD$2,0))</f>
        <v>45</v>
      </c>
      <c r="E131" s="307" t="str">
        <f t="array" ref="E131">INDEX('起きあがり'!$J$3:$M$115, MATCH($A$1,'起きあがり'!$A$3:$A$115,0), MATCH(E118,'起きあがり'!$J$2:$AD$2,0))</f>
        <v>17-18</v>
      </c>
      <c r="F131" s="308">
        <f t="array" ref="F131">INDEX('起きあがり'!$J$3:$M$115, MATCH($A$1,'起きあがり'!$A$3:$A$115,0), MATCH(F118,'起きあがり'!$J$2:$AD$2,0))</f>
        <v>7</v>
      </c>
      <c r="G131" s="113">
        <f t="shared" ref="G131:G132" si="1">F131*1.2</f>
        <v>8.4</v>
      </c>
      <c r="H131" s="228"/>
      <c r="I131" s="228"/>
      <c r="J131" s="111"/>
      <c r="K131" s="156"/>
      <c r="L131" s="303" t="str">
        <f>'テンプレート'!L129</f>
        <v>下投げ</v>
      </c>
      <c r="M131" s="113" t="s">
        <v>93</v>
      </c>
      <c r="N131" s="113">
        <v>20.0</v>
      </c>
      <c r="O131" s="111"/>
      <c r="P131" s="111"/>
      <c r="Q131" s="111"/>
      <c r="R131" s="111"/>
      <c r="S131" s="111"/>
      <c r="T131" s="111"/>
      <c r="U131" s="111"/>
      <c r="V131" s="111"/>
    </row>
    <row r="132" outlineLevel="1">
      <c r="A132" s="156"/>
      <c r="B132" s="311" t="s">
        <v>250</v>
      </c>
      <c r="C132" s="156"/>
      <c r="D132" s="156"/>
      <c r="E132" s="307" t="str">
        <f t="array" ref="E132">INDEX('起きあがり'!$N$3:$O$115, MATCH($A$1,'起きあがり'!$A$3:$A$115,0), MATCH(E118,'起きあがり'!$N$2:$AD$2,0))</f>
        <v>22-23</v>
      </c>
      <c r="F132" s="308">
        <f t="array" ref="F132">INDEX('起きあがり'!$N$3:$O$115, MATCH($A$1,'起きあがり'!$A$3:$A$115,0), MATCH(F118,'起きあがり'!$N$2:$AD$2,0))</f>
        <v>7</v>
      </c>
      <c r="G132" s="113">
        <f t="shared" si="1"/>
        <v>8.4</v>
      </c>
      <c r="H132" s="228"/>
      <c r="I132" s="228"/>
      <c r="J132" s="111"/>
      <c r="K132" s="312" t="str">
        <f>'テンプレート'!K130</f>
        <v>踏み台ジャンプ</v>
      </c>
      <c r="L132" s="168"/>
      <c r="M132" s="298" t="str">
        <f>'テンプレート'!M130</f>
        <v>全体フレーム</v>
      </c>
      <c r="N132" s="114"/>
      <c r="O132" s="111"/>
      <c r="P132" s="111"/>
      <c r="Q132" s="111"/>
      <c r="R132" s="111"/>
      <c r="S132" s="111"/>
      <c r="T132" s="111"/>
      <c r="U132" s="111"/>
      <c r="V132" s="111"/>
    </row>
    <row r="133" outlineLevel="1">
      <c r="A133" s="299" t="s">
        <v>251</v>
      </c>
      <c r="B133" s="300" t="s">
        <v>248</v>
      </c>
      <c r="C133" s="301"/>
      <c r="D133" s="307" t="str">
        <f t="array" ref="D133">INDEX('起きあがり'!$C$3:$C126, MATCH($A$1,'起きあがり'!$A$3:$A$115,0), MATCH(D118,'起きあがり'!$C$2,0))</f>
        <v>25</v>
      </c>
      <c r="E133" s="301"/>
      <c r="F133" s="301"/>
      <c r="G133" s="301"/>
      <c r="H133" s="228"/>
      <c r="I133" s="228"/>
      <c r="J133" s="117"/>
      <c r="K133" s="313" t="str">
        <f>'テンプレート'!K131</f>
        <v>踏み</v>
      </c>
      <c r="L133" s="314" t="str">
        <f>'テンプレート'!L131</f>
        <v>踏み</v>
      </c>
      <c r="M133" s="113">
        <v>7.0</v>
      </c>
      <c r="N133" s="315"/>
      <c r="O133" s="111"/>
      <c r="P133" s="111"/>
      <c r="Q133" s="111"/>
      <c r="R133" s="111"/>
      <c r="S133" s="111"/>
      <c r="T133" s="111"/>
      <c r="U133" s="111"/>
      <c r="V133" s="111"/>
    </row>
    <row r="134" outlineLevel="1">
      <c r="A134" s="146"/>
      <c r="B134" s="300" t="s">
        <v>216</v>
      </c>
      <c r="C134" s="307" t="str">
        <f t="array" ref="C134">INDEX('起きあがり'!$P$3:$Q$115, MATCH($A$1,'起きあがり'!$A$3:$A$115,0), MATCH(C118,'起きあがり'!$P$2:$AD$2,0))</f>
        <v>1-22</v>
      </c>
      <c r="D134" s="308">
        <f t="array" ref="D134">INDEX('起きあがり'!$P$3:$Q$115, MATCH($A$1,'起きあがり'!$A$3:$A$115,0), MATCH(D118,'起きあがり'!$P$2:$AD$2,0))</f>
        <v>29</v>
      </c>
      <c r="E134" s="301"/>
      <c r="F134" s="301"/>
      <c r="G134" s="301"/>
      <c r="H134" s="228"/>
      <c r="I134" s="228"/>
      <c r="J134" s="111"/>
      <c r="K134" s="305" t="str">
        <f>'テンプレート'!K132</f>
        <v>踏まれ</v>
      </c>
      <c r="L134" s="314" t="str">
        <f>'テンプレート'!L132</f>
        <v>地上踏まれ</v>
      </c>
      <c r="M134" s="113" t="s">
        <v>76</v>
      </c>
      <c r="N134" s="315"/>
      <c r="O134" s="228"/>
      <c r="P134" s="228"/>
      <c r="Q134" s="228"/>
      <c r="R134" s="228"/>
      <c r="S134" s="228"/>
      <c r="T134" s="228"/>
      <c r="U134" s="228"/>
      <c r="V134" s="228"/>
    </row>
    <row r="135" outlineLevel="1">
      <c r="A135" s="146"/>
      <c r="B135" s="300" t="s">
        <v>245</v>
      </c>
      <c r="C135" s="307" t="str">
        <f t="array" ref="C135">INDEX('起きあがり'!$R$3:$S$115, MATCH($A$1,'起きあがり'!$A$3:$A$115,0), MATCH(C118,'起きあがり'!$R$2:$AD$2,0))</f>
        <v>1-19</v>
      </c>
      <c r="D135" s="308">
        <f t="array" ref="D135">INDEX('起きあがり'!$R$3:$S$115, MATCH($A$1,'起きあがり'!$A$3:$A$115,0), MATCH(D118,'起きあがり'!$R$2:$AD$2,0))</f>
        <v>35</v>
      </c>
      <c r="E135" s="301"/>
      <c r="F135" s="301"/>
      <c r="G135" s="301"/>
      <c r="H135" s="228"/>
      <c r="I135" s="228"/>
      <c r="J135" s="117"/>
      <c r="K135" s="146"/>
      <c r="L135" s="314" t="str">
        <f>'テンプレート'!L133</f>
        <v>地上硬直</v>
      </c>
      <c r="M135" s="113">
        <v>27.0</v>
      </c>
      <c r="N135" s="102"/>
      <c r="O135" s="118"/>
      <c r="P135" s="118"/>
      <c r="Q135" s="118"/>
      <c r="R135" s="118"/>
      <c r="S135" s="118"/>
      <c r="T135" s="118"/>
      <c r="U135" s="118"/>
      <c r="V135" s="118"/>
    </row>
    <row r="136" outlineLevel="1">
      <c r="A136" s="146"/>
      <c r="B136" s="300" t="s">
        <v>246</v>
      </c>
      <c r="C136" s="307" t="str">
        <f t="array" ref="C136">INDEX('起きあがり'!$T$3:$U$115, MATCH($A$1,'起きあがり'!$A$3:$A$115,0), MATCH(C118,'起きあがり'!$T$2:$AD$2,0))</f>
        <v>1-22</v>
      </c>
      <c r="D136" s="308">
        <f t="array" ref="D136">INDEX('起きあがり'!$T$3:$U$115, MATCH($A$1,'起きあがり'!$A$3:$A$115,0), MATCH(D118,'起きあがり'!$T$2:$AD$2,0))</f>
        <v>35</v>
      </c>
      <c r="E136" s="301"/>
      <c r="F136" s="301"/>
      <c r="G136" s="301"/>
      <c r="H136" s="228"/>
      <c r="I136" s="228"/>
      <c r="J136" s="111"/>
      <c r="K136" s="146"/>
      <c r="L136" s="314" t="str">
        <f>'テンプレート'!L134</f>
        <v>空中踏まれ</v>
      </c>
      <c r="M136" s="113">
        <v>7.0</v>
      </c>
      <c r="N136" s="102"/>
      <c r="O136" s="118"/>
      <c r="P136" s="118"/>
      <c r="Q136" s="118"/>
      <c r="R136" s="118"/>
      <c r="S136" s="118"/>
      <c r="T136" s="118"/>
      <c r="U136" s="118"/>
      <c r="V136" s="118"/>
    </row>
    <row r="137" outlineLevel="1">
      <c r="A137" s="146"/>
      <c r="B137" s="300" t="s">
        <v>249</v>
      </c>
      <c r="C137" s="309" t="str">
        <f t="array" ref="C137">INDEX('起きあがり'!$V$3:$Y$115, MATCH($A$1,'起きあがり'!$A$3:$A$115,0), MATCH(C118,'起きあがり'!$V$2:$AD$2,0))</f>
        <v>1-24</v>
      </c>
      <c r="D137" s="310">
        <f t="array" ref="D137">INDEX('起きあがり'!$V$3:$Y$115, MATCH($A$1,'起きあがり'!$A$3:$A$115,0), MATCH(D118,'起きあがり'!$V$2:$AD$2,0))</f>
        <v>45</v>
      </c>
      <c r="E137" s="307" t="str">
        <f t="array" ref="E137">INDEX('起きあがり'!$V$3:$Y$115, MATCH($A$1,'起きあがり'!$A$3:$A$115,0), MATCH(E118,'起きあがり'!$V$2:$AD$2,0))</f>
        <v>17-18</v>
      </c>
      <c r="F137" s="308">
        <f t="array" ref="F137">INDEX('起きあがり'!$V$3:$Y$115, MATCH($A$1,'起きあがり'!$A$3:$A$115,0), MATCH(F118,'起きあがり'!$V$2:$AD$2,0))</f>
        <v>7</v>
      </c>
      <c r="G137" s="113">
        <f t="shared" ref="G137:G138" si="2">F137*1.2</f>
        <v>8.4</v>
      </c>
      <c r="H137" s="228"/>
      <c r="I137" s="228"/>
      <c r="J137" s="117"/>
      <c r="K137" s="146"/>
      <c r="L137" s="314" t="str">
        <f>'テンプレート'!L135</f>
        <v>空中落下</v>
      </c>
      <c r="M137" s="113">
        <v>40.0</v>
      </c>
      <c r="N137" s="102"/>
      <c r="O137" s="118"/>
      <c r="P137" s="118"/>
      <c r="Q137" s="118"/>
      <c r="R137" s="118"/>
      <c r="S137" s="118"/>
      <c r="T137" s="118"/>
      <c r="U137" s="118"/>
      <c r="V137" s="118"/>
    </row>
    <row r="138" outlineLevel="1">
      <c r="A138" s="156"/>
      <c r="B138" s="311" t="s">
        <v>250</v>
      </c>
      <c r="C138" s="156"/>
      <c r="D138" s="156"/>
      <c r="E138" s="307" t="str">
        <f t="array" ref="E138">INDEX('起きあがり'!$Z$3:$AA$115, MATCH($A$1,'起きあがり'!$A$3:$A$115,0), MATCH(E118,'起きあがり'!$Z$2:$AD$2,0))</f>
        <v>23-24</v>
      </c>
      <c r="F138" s="308">
        <f t="array" ref="F138">INDEX('起きあがり'!$Z$3:$AA$115, MATCH($A$1,'起きあがり'!$A$3:$A$115,0), MATCH(F118,'起きあがり'!$Z$2:$AD$2,0))</f>
        <v>7</v>
      </c>
      <c r="G138" s="113">
        <f t="shared" si="2"/>
        <v>8.4</v>
      </c>
      <c r="H138" s="228"/>
      <c r="I138" s="228"/>
      <c r="J138" s="117"/>
      <c r="K138" s="304" t="str">
        <f>'テンプレート'!K136</f>
        <v>倒れダメージ</v>
      </c>
      <c r="L138" s="110"/>
      <c r="M138" s="298" t="str">
        <f>'テンプレート'!M136</f>
        <v>全体フレーム</v>
      </c>
      <c r="N138" s="102"/>
      <c r="O138" s="118"/>
      <c r="P138" s="118"/>
      <c r="Q138" s="118"/>
      <c r="R138" s="118"/>
      <c r="S138" s="118"/>
      <c r="T138" s="118"/>
      <c r="U138" s="118"/>
      <c r="V138" s="118"/>
    </row>
    <row r="139" outlineLevel="1">
      <c r="A139" s="299" t="s">
        <v>252</v>
      </c>
      <c r="B139" s="300" t="s">
        <v>253</v>
      </c>
      <c r="C139" s="307" t="str">
        <f t="array" ref="C139">INDEX('転倒'!$C$3:$D126, MATCH($A$1,'転倒'!$A$3:$A$115,0), MATCH(C118,'転倒'!$C$2:$AC$2,0))</f>
        <v>1-5</v>
      </c>
      <c r="D139" s="308">
        <f t="array" ref="D139">INDEX('転倒'!$C$3:$D126, MATCH($A$1,'転倒'!$A$3:$A$115,0), MATCH(D118,'転倒'!$C$2:$AC$2,0))</f>
        <v>29</v>
      </c>
      <c r="E139" s="301"/>
      <c r="F139" s="301"/>
      <c r="G139" s="301"/>
      <c r="H139" s="228"/>
      <c r="I139" s="228"/>
      <c r="J139" s="111"/>
      <c r="K139" s="313" t="str">
        <f>'テンプレート'!K137</f>
        <v>あお向け倒れ</v>
      </c>
      <c r="L139" s="306" t="str">
        <f>'テンプレート'!L137</f>
        <v>モーション大</v>
      </c>
      <c r="M139" s="113">
        <v>39.0</v>
      </c>
      <c r="N139" s="315"/>
      <c r="O139" s="118"/>
      <c r="P139" s="118"/>
      <c r="Q139" s="118"/>
      <c r="R139" s="118"/>
      <c r="S139" s="118"/>
      <c r="T139" s="118"/>
      <c r="U139" s="118"/>
      <c r="V139" s="118"/>
    </row>
    <row r="140" outlineLevel="1">
      <c r="A140" s="146"/>
      <c r="B140" s="300" t="s">
        <v>254</v>
      </c>
      <c r="C140" s="307" t="str">
        <f t="array" ref="C140">INDEX('転倒'!$E$3:$F126, MATCH($A$1,'転倒'!$A$3:$A$115,0), MATCH(C118,'転倒'!$E$2:$AC$2,0))</f>
        <v>1-5</v>
      </c>
      <c r="D140" s="308">
        <f t="array" ref="D140">INDEX('転倒'!$E$3:$F126, MATCH($A$1,'転倒'!$A$3:$A$115,0), MATCH(D118,'転倒'!$E$2:$AC$2,0))</f>
        <v>39</v>
      </c>
      <c r="E140" s="301"/>
      <c r="F140" s="301"/>
      <c r="G140" s="301"/>
      <c r="H140" s="228"/>
      <c r="I140" s="228"/>
      <c r="J140" s="117"/>
      <c r="K140" s="313" t="str">
        <f>'テンプレート'!K138</f>
        <v>うつ伏せ倒れ</v>
      </c>
      <c r="L140" s="306" t="str">
        <f>'テンプレート'!L138</f>
        <v>モーション大</v>
      </c>
      <c r="M140" s="113" t="s">
        <v>118</v>
      </c>
      <c r="N140" s="315"/>
      <c r="O140" s="118"/>
      <c r="P140" s="118"/>
      <c r="Q140" s="118"/>
      <c r="R140" s="118"/>
      <c r="S140" s="118"/>
      <c r="T140" s="118"/>
      <c r="U140" s="118"/>
      <c r="V140" s="118"/>
    </row>
    <row r="141" outlineLevel="1">
      <c r="A141" s="146"/>
      <c r="B141" s="300" t="s">
        <v>216</v>
      </c>
      <c r="C141" s="307" t="str">
        <f t="array" ref="C141">INDEX('転倒'!$G$3:$H$115, MATCH($A$1,'転倒'!$A$3:$A$115,0), MATCH(C118,'転倒'!$G$2:$AC$2,0))</f>
        <v>1-16</v>
      </c>
      <c r="D141" s="308">
        <f t="array" ref="D141">INDEX('転倒'!$G$3:$H$115, MATCH($A$1,'転倒'!$A$3:$A$115,0), MATCH(D118,'転倒'!$G$2:$AC$2,0))</f>
        <v>21</v>
      </c>
      <c r="E141" s="301"/>
      <c r="F141" s="301"/>
      <c r="G141" s="301"/>
      <c r="H141" s="228"/>
      <c r="I141" s="228"/>
      <c r="J141" s="111"/>
      <c r="K141" s="304" t="str">
        <f>'テンプレート'!K139</f>
        <v/>
      </c>
      <c r="L141" s="110"/>
      <c r="M141" s="298" t="str">
        <f>'テンプレート'!M139</f>
        <v/>
      </c>
      <c r="N141" s="102"/>
      <c r="O141" s="118"/>
      <c r="P141" s="118"/>
      <c r="Q141" s="118"/>
      <c r="R141" s="118"/>
      <c r="S141" s="118"/>
      <c r="T141" s="118"/>
      <c r="U141" s="118"/>
      <c r="V141" s="118"/>
    </row>
    <row r="142" outlineLevel="1">
      <c r="A142" s="146"/>
      <c r="B142" s="300" t="s">
        <v>245</v>
      </c>
      <c r="C142" s="307" t="str">
        <f t="array" ref="C142">INDEX('転倒'!$I$3:$J$115, MATCH($A$1,'転倒'!$A$3:$A$115,0), MATCH(C118,'転倒'!$I$2:$AC$2,0))</f>
        <v>1-9</v>
      </c>
      <c r="D142" s="308">
        <f t="array" ref="D142">INDEX('転倒'!$I$3:$J$115, MATCH($A$1,'転倒'!$A$3:$A$115,0), MATCH(D118,'転倒'!$I$2:$AC$2,0))</f>
        <v>28</v>
      </c>
      <c r="E142" s="301"/>
      <c r="F142" s="301"/>
      <c r="G142" s="301"/>
      <c r="H142" s="228"/>
      <c r="I142" s="228"/>
      <c r="J142" s="228"/>
      <c r="K142" s="316"/>
      <c r="L142" s="317" t="str">
        <f>'テンプレート'!L140</f>
        <v/>
      </c>
      <c r="M142" s="113" t="s">
        <v>76</v>
      </c>
      <c r="N142" s="102"/>
      <c r="O142" s="118"/>
      <c r="P142" s="118"/>
      <c r="Q142" s="118"/>
      <c r="R142" s="118"/>
      <c r="S142" s="118"/>
      <c r="T142" s="118"/>
      <c r="U142" s="118"/>
      <c r="V142" s="118"/>
    </row>
    <row r="143" outlineLevel="1">
      <c r="A143" s="146"/>
      <c r="B143" s="300" t="s">
        <v>246</v>
      </c>
      <c r="C143" s="307" t="str">
        <f t="array" ref="C143">INDEX('転倒'!$K$3:$L$115, MATCH($A$1,'転倒'!$A$3:$A$115,0), MATCH(C118,'転倒'!$K$2:$AC$2,0))</f>
        <v>1-9</v>
      </c>
      <c r="D143" s="308">
        <f t="array" ref="D143">INDEX('転倒'!$K$3:$L$115, MATCH($A$1,'転倒'!$A$3:$A$115,0), MATCH(D118,'転倒'!$K$2:$AC$2,0))</f>
        <v>28</v>
      </c>
      <c r="E143" s="301"/>
      <c r="F143" s="301"/>
      <c r="G143" s="301"/>
      <c r="H143" s="228"/>
      <c r="I143" s="228"/>
      <c r="J143" s="228"/>
      <c r="K143" s="318"/>
      <c r="L143" s="118"/>
      <c r="M143" s="118"/>
      <c r="N143" s="102"/>
      <c r="O143" s="118"/>
      <c r="P143" s="118"/>
      <c r="Q143" s="118"/>
      <c r="R143" s="118"/>
      <c r="S143" s="118"/>
      <c r="T143" s="118"/>
      <c r="U143" s="118"/>
      <c r="V143" s="118"/>
    </row>
    <row r="144" outlineLevel="1">
      <c r="A144" s="146"/>
      <c r="B144" s="300" t="s">
        <v>249</v>
      </c>
      <c r="C144" s="309" t="str">
        <f t="array" ref="C144">INDEX('転倒'!$M$3:$P$115, MATCH($A$1,'転倒'!$A$3:$A$115,0), MATCH(C118,'転倒'!$M$2:$AC$2,0))</f>
        <v>1-7</v>
      </c>
      <c r="D144" s="310">
        <f t="array" ref="D144">INDEX('転倒'!$M$3:$P$115, MATCH($A$1,'転倒'!$A$3:$A$115,0), MATCH(D118,'転倒'!$M$2:$AC$2,0))</f>
        <v>49</v>
      </c>
      <c r="E144" s="307" t="str">
        <f t="array" ref="E144">INDEX('転倒'!$M$3:$P$115, MATCH($A$1,'転倒'!$A$3:$A$115,0), MATCH(E118,'転倒'!$M$2:$AC$2,0))</f>
        <v>19-20</v>
      </c>
      <c r="F144" s="308">
        <f t="array" ref="F144">INDEX('転倒'!$M$3:$P$115, MATCH($A$1,'転倒'!$A$3:$A$115,0), MATCH(F118,'転倒'!$M$2:$AC$2,0))</f>
        <v>5</v>
      </c>
      <c r="G144" s="113">
        <f t="shared" ref="G144:G145" si="3">F144*1.2</f>
        <v>6</v>
      </c>
      <c r="H144" s="228"/>
      <c r="I144" s="228"/>
      <c r="J144" s="228"/>
      <c r="K144" s="118"/>
      <c r="L144" s="118"/>
      <c r="M144" s="118"/>
      <c r="N144" s="102"/>
      <c r="O144" s="102"/>
      <c r="P144" s="102"/>
      <c r="Q144" s="102"/>
      <c r="R144" s="118"/>
      <c r="S144" s="118"/>
      <c r="T144" s="118"/>
      <c r="U144" s="118"/>
      <c r="V144" s="118"/>
    </row>
    <row r="145" outlineLevel="1">
      <c r="A145" s="156"/>
      <c r="B145" s="311" t="s">
        <v>250</v>
      </c>
      <c r="C145" s="156"/>
      <c r="D145" s="156"/>
      <c r="E145" s="307" t="str">
        <f t="array" ref="E145">INDEX('転倒'!$Q$3:$R$115, MATCH($A$1,'転倒'!$A$3:$A$115,0), MATCH(E118,'転倒'!$Q$2:$AC$2,0))</f>
        <v>35-36</v>
      </c>
      <c r="F145" s="308">
        <f t="array" ref="F145">INDEX('転倒'!$Q$3:$R$115, MATCH($A$1,'転倒'!$A$3:$A$115,0), MATCH(F118,'転倒'!$Q$2:$AC$2,0))</f>
        <v>5</v>
      </c>
      <c r="G145" s="113">
        <f t="shared" si="3"/>
        <v>6</v>
      </c>
      <c r="H145" s="228"/>
      <c r="I145" s="228"/>
      <c r="J145" s="228"/>
      <c r="K145" s="118"/>
      <c r="L145" s="118"/>
      <c r="M145" s="118"/>
      <c r="N145" s="102"/>
      <c r="O145" s="102"/>
      <c r="P145" s="102"/>
      <c r="Q145" s="102"/>
      <c r="R145" s="118"/>
      <c r="S145" s="118"/>
      <c r="T145" s="118"/>
      <c r="U145" s="118"/>
      <c r="V145" s="118"/>
    </row>
    <row r="146" outlineLevel="1">
      <c r="A146" s="319"/>
      <c r="B146" s="320"/>
      <c r="C146" s="321"/>
      <c r="D146" s="321"/>
      <c r="E146" s="322"/>
      <c r="F146" s="322"/>
      <c r="G146" s="114"/>
      <c r="H146" s="228"/>
      <c r="I146" s="228"/>
      <c r="J146" s="228"/>
      <c r="K146" s="118"/>
      <c r="L146" s="118"/>
      <c r="M146" s="118"/>
      <c r="N146" s="102"/>
      <c r="O146" s="102"/>
      <c r="P146" s="102"/>
      <c r="Q146" s="102"/>
      <c r="R146" s="118"/>
      <c r="S146" s="118"/>
      <c r="T146" s="118"/>
      <c r="U146" s="118"/>
      <c r="V146" s="118"/>
    </row>
    <row r="147" outlineLevel="1">
      <c r="A147" s="323" t="s">
        <v>255</v>
      </c>
      <c r="B147" s="109"/>
      <c r="C147" s="321"/>
      <c r="D147" s="321"/>
      <c r="E147" s="322"/>
      <c r="F147" s="322"/>
      <c r="G147" s="114"/>
      <c r="H147" s="228"/>
      <c r="I147" s="228"/>
      <c r="J147" s="228"/>
      <c r="K147" s="118"/>
      <c r="L147" s="118"/>
      <c r="M147" s="118"/>
      <c r="N147" s="102"/>
      <c r="O147" s="102"/>
      <c r="P147" s="102"/>
      <c r="Q147" s="102"/>
      <c r="R147" s="118"/>
      <c r="S147" s="118"/>
      <c r="T147" s="118"/>
      <c r="U147" s="118"/>
      <c r="V147" s="118"/>
    </row>
    <row r="148" outlineLevel="1">
      <c r="A148" s="324" t="s">
        <v>256</v>
      </c>
      <c r="B148" s="109"/>
      <c r="C148" s="325" t="s">
        <v>257</v>
      </c>
      <c r="D148" s="325" t="s">
        <v>49</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258</v>
      </c>
      <c r="B149" s="327" t="s">
        <v>216</v>
      </c>
      <c r="C149" s="328" t="str">
        <f t="array" ref="C149">INDEX('アイテム'!$C$3:$D$114, MATCH($A$1,'アイテム'!$A$3:$A$114,0), MATCH(C148,'アイテム'!$C$2:$AQ$2,0))</f>
        <v>2</v>
      </c>
      <c r="D149" s="328">
        <f t="array" ref="D149">INDEX('アイテム'!$C$3:$D$114, MATCH($A$1,'アイテム'!$A$3:$A$114,0), MATCH(D148,'アイテム'!$C$2:$AQ$2,0))</f>
        <v>7</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219</v>
      </c>
      <c r="C150" s="328" t="str">
        <f t="array" ref="C150">INDEX('アイテム'!$E$3:$F$114, MATCH($A$1,'アイテム'!$A$3:$A$114,0), MATCH(C148,'アイテム'!$C$2:$AQ$2,0))</f>
        <v>2</v>
      </c>
      <c r="D150" s="328">
        <f t="array" ref="D150">INDEX('アイテム'!$E$3:$F$114, MATCH($A$1,'アイテム'!$A$3:$A$114,0), MATCH(D148,'アイテム'!$C$2:$AQ$2,0))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9" t="s">
        <v>259</v>
      </c>
      <c r="B151" s="327" t="s">
        <v>216</v>
      </c>
      <c r="C151" s="328">
        <f t="array" ref="C151">INDEX('アイテム'!$AA$3:$AB$114, MATCH($A$1,'アイテム'!$A$3:$A$114,0), MATCH(C148,'アイテム'!$C$2:$AQ$2,0))</f>
        <v>3</v>
      </c>
      <c r="D151" s="328" t="str">
        <f t="array" ref="D151">INDEX('アイテム'!$AA$3:$AB$114, MATCH($A$1,'アイテム'!$A$3:$A$114,0), MATCH(D148,'アイテム'!$C$2:$AQ$2,0))</f>
        <v>12</v>
      </c>
      <c r="E151" s="322"/>
      <c r="F151" s="322"/>
      <c r="G151" s="114"/>
      <c r="H151" s="228"/>
      <c r="I151" s="228"/>
      <c r="J151" s="228"/>
      <c r="K151" s="118"/>
      <c r="L151" s="118"/>
      <c r="M151" s="118"/>
      <c r="N151" s="102"/>
      <c r="O151" s="102"/>
      <c r="P151" s="102"/>
      <c r="Q151" s="102"/>
      <c r="R151" s="118"/>
      <c r="S151" s="118"/>
      <c r="T151" s="118"/>
      <c r="U151" s="118"/>
      <c r="V151" s="118"/>
    </row>
    <row r="152" outlineLevel="1">
      <c r="A152" s="324" t="s">
        <v>260</v>
      </c>
      <c r="B152" s="109"/>
      <c r="C152" s="325" t="s">
        <v>261</v>
      </c>
      <c r="D152" s="325" t="s">
        <v>49</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262</v>
      </c>
      <c r="B153" s="327" t="s">
        <v>226</v>
      </c>
      <c r="C153" s="328" t="str">
        <f t="array" ref="C153">INDEX('アイテム'!$G$3:$H$114, MATCH($A$1,'アイテム'!$A$3:$A$114,0), MATCH(C148,'アイテム'!$C$2:$AQ$2,0))</f>
        <v>8</v>
      </c>
      <c r="D153" s="328">
        <f t="array" ref="D153">INDEX('アイテム'!$G$3:$H$114, MATCH($A$1,'アイテム'!$A$3:$A$114,0), MATCH(D148,'アイテム'!$C$2:$AQ$2,0))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t="str">
        <f t="array" ref="C154">INDEX('アイテム'!$I$3:$J$114, MATCH($A$1,'アイテム'!$A$3:$A$114,0), MATCH(C148,'アイテム'!$C$2:$AQ$2,0))</f>
        <v>11</v>
      </c>
      <c r="D154" s="328">
        <f t="array" ref="D154">INDEX('アイテム'!$I$3:$J$114, MATCH($A$1,'アイテム'!$A$3:$A$114,0), MATCH(D148,'アイテム'!$C$2:$AQ$2,0))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t="str">
        <f t="array" ref="C155">INDEX('アイテム'!$K$3:$L$114, MATCH($A$1,'アイテム'!$A$3:$A$114,0), MATCH(C148,'アイテム'!$C$2:$AQ$2,0))</f>
        <v>12</v>
      </c>
      <c r="D155" s="328">
        <f t="array" ref="D155">INDEX('アイテム'!$K$3:$L$114, MATCH($A$1,'アイテム'!$A$3:$A$114,0), MATCH(D148,'アイテム'!$C$2:$AQ$2,0))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234</v>
      </c>
      <c r="C156" s="328" t="str">
        <f t="array" ref="C156">INDEX('アイテム'!$M$3:$N$114, MATCH($A$1,'アイテム'!$A$3:$A$114,0), MATCH(C148,'アイテム'!$C$2:$AQ$2,0))</f>
        <v>7</v>
      </c>
      <c r="D156" s="328">
        <f t="array" ref="D156">INDEX('アイテム'!$M$3:$N$114, MATCH($A$1,'アイテム'!$A$3:$A$114,0), MATCH(D148,'アイテム'!$C$2:$AQ$2,0))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219</v>
      </c>
      <c r="C157" s="328" t="str">
        <f t="array" ref="C157">INDEX('アイテム'!$O$3:$P$114, MATCH($A$1,'アイテム'!$A$3:$A$114,0), MATCH(C148,'アイテム'!$C$2:$AQ$2,0))</f>
        <v>5</v>
      </c>
      <c r="D157" s="328">
        <f t="array" ref="D157">INDEX('アイテム'!$O$3:$P$114, MATCH($A$1,'アイテム'!$A$3:$A$114,0), MATCH(D148,'アイテム'!$C$2:$AQ$2,0))</f>
        <v>29</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263</v>
      </c>
      <c r="C158" s="328" t="str">
        <f t="array" ref="C158">INDEX('アイテム'!$Q$3:$R$114, MATCH($A$1,'アイテム'!$A$3:$A$114,0), MATCH(C148,'アイテム'!$C$2:$AQ$2,0))</f>
        <v>6</v>
      </c>
      <c r="D158" s="328">
        <f t="array" ref="D158">INDEX('アイテム'!$Q$3:$R$114, MATCH($A$1,'アイテム'!$A$3:$A$114,0), MATCH(D148,'アイテム'!$C$2:$AQ$2,0))</f>
        <v>23</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264</v>
      </c>
      <c r="B159" s="327" t="s">
        <v>226</v>
      </c>
      <c r="C159" s="328" t="str">
        <f t="array" ref="C159">INDEX('アイテム'!$S$3:$T$114, MATCH($A$1,'アイテム'!$A$3:$A$114,0), MATCH(C148,'アイテム'!$C$2:$AQ$2,0))</f>
        <v>8</v>
      </c>
      <c r="D159" s="328">
        <f t="array" ref="D159">INDEX('アイテム'!$S$3:$T$114, MATCH($A$1,'アイテム'!$A$3:$A$114,0), MATCH(D148,'アイテム'!$C$2:$AQ$2,0))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t="str">
        <f t="array" ref="C160">INDEX('アイテム'!$U$3:$V$114, MATCH($A$1,'アイテム'!$A$3:$A$114,0), MATCH(C148,'アイテム'!$C$2:$AQ$2,0))</f>
        <v>11</v>
      </c>
      <c r="D160" s="328">
        <f t="array" ref="D160">INDEX('アイテム'!$U$3:$V$114, MATCH($A$1,'アイテム'!$A$3:$A$114,0), MATCH(D148,'アイテム'!$C$2:$AQ$2,0))</f>
        <v>24</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t="str">
        <f t="array" ref="C161">INDEX('アイテム'!$W$3:$X$114, MATCH($A$1,'アイテム'!$A$3:$A$114,0), MATCH(C148,'アイテム'!$C$2:$AQ$2,0))</f>
        <v>12</v>
      </c>
      <c r="D161" s="328">
        <f t="array" ref="D161">INDEX('アイテム'!$W$3:$X$114, MATCH($A$1,'アイテム'!$A$3:$A$114,0), MATCH(D148,'アイテム'!$C$2:$AQ$2,0))</f>
        <v>23</v>
      </c>
      <c r="E161" s="322"/>
      <c r="F161" s="322"/>
      <c r="G161" s="114"/>
      <c r="H161" s="228"/>
      <c r="I161" s="228"/>
      <c r="J161" s="228"/>
      <c r="K161" s="118"/>
      <c r="L161" s="118"/>
      <c r="M161" s="118"/>
      <c r="N161" s="102"/>
      <c r="O161" s="102"/>
      <c r="P161" s="102"/>
      <c r="Q161" s="102"/>
      <c r="R161" s="118"/>
      <c r="S161" s="118"/>
      <c r="T161" s="118"/>
      <c r="U161" s="118"/>
      <c r="V161" s="118"/>
    </row>
    <row r="162" outlineLevel="1">
      <c r="A162" s="156"/>
      <c r="B162" s="327" t="s">
        <v>234</v>
      </c>
      <c r="C162" s="328" t="str">
        <f t="array" ref="C162">INDEX('アイテム'!$Y$3:$Z$114, MATCH($A$1,'アイテム'!$A$3:$A$114,0), MATCH(C148,'アイテム'!$C$2:$AQ$2,0))</f>
        <v>7</v>
      </c>
      <c r="D162" s="328">
        <f t="array" ref="D162">INDEX('アイテム'!$Y$3:$Z$114, MATCH($A$1,'アイテム'!$A$3:$A$114,0), MATCH(D148,'アイテム'!$C$2:$AQ$2,0))</f>
        <v>19</v>
      </c>
      <c r="E162" s="322"/>
      <c r="F162" s="322"/>
      <c r="G162" s="114"/>
      <c r="H162" s="228"/>
      <c r="I162" s="228"/>
      <c r="J162" s="228"/>
      <c r="K162" s="118"/>
      <c r="L162" s="118"/>
      <c r="M162" s="118"/>
      <c r="N162" s="102"/>
      <c r="O162" s="102"/>
      <c r="P162" s="102"/>
      <c r="Q162" s="102"/>
      <c r="R162" s="118"/>
      <c r="S162" s="118"/>
      <c r="T162" s="118"/>
      <c r="U162" s="118"/>
      <c r="V162" s="118"/>
    </row>
    <row r="163" outlineLevel="1">
      <c r="A163" s="326" t="s">
        <v>265</v>
      </c>
      <c r="B163" s="327" t="s">
        <v>226</v>
      </c>
      <c r="C163" s="328">
        <f t="array" ref="C163">INDEX('アイテム'!$AC$3:$AD$114, MATCH($A$1,'アイテム'!$A$3:$A$114,0), MATCH(C148,'アイテム'!$C$2:$AQ$2,0))</f>
        <v>17</v>
      </c>
      <c r="D163" s="328" t="str">
        <f t="array" ref="D163">INDEX('アイテム'!$AC$3:$AD$114, MATCH($A$1,'アイテム'!$A$3:$A$114,0), MATCH(D148,'アイテム'!$C$2:$AQ$2,0))</f>
        <v>30</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229</v>
      </c>
      <c r="C164" s="328">
        <f t="array" ref="C164">INDEX('アイテム'!$AE$3:$AF$114, MATCH($A$1,'アイテム'!$A$3:$A$114,0), MATCH(C148,'アイテム'!$C$2:$AQ$2,0))</f>
        <v>18</v>
      </c>
      <c r="D164" s="328" t="str">
        <f t="array" ref="D164">INDEX('アイテム'!$AE$3:$AF$114, MATCH($A$1,'アイテム'!$A$3:$A$114,0), MATCH(D148,'アイテム'!$C$2:$AQ$2,0))</f>
        <v>30</v>
      </c>
      <c r="E164" s="322"/>
      <c r="F164" s="322"/>
      <c r="G164" s="114"/>
      <c r="H164" s="228"/>
      <c r="I164" s="228"/>
      <c r="J164" s="228"/>
      <c r="K164" s="118"/>
      <c r="L164" s="118"/>
      <c r="M164" s="118"/>
      <c r="N164" s="102"/>
      <c r="O164" s="102"/>
      <c r="P164" s="102"/>
      <c r="Q164" s="102"/>
      <c r="R164" s="118"/>
      <c r="S164" s="118"/>
      <c r="T164" s="118"/>
      <c r="U164" s="118"/>
      <c r="V164" s="118"/>
    </row>
    <row r="165" outlineLevel="1">
      <c r="A165" s="146"/>
      <c r="B165" s="327" t="s">
        <v>233</v>
      </c>
      <c r="C165" s="328">
        <f t="array" ref="C165">INDEX('アイテム'!$AG$3:$AH$114, MATCH($A$1,'アイテム'!$A$3:$A$114,0), MATCH(C148,'アイテム'!$C$2:$AQ$2,0))</f>
        <v>11</v>
      </c>
      <c r="D165" s="328" t="str">
        <f t="array" ref="D165">INDEX('アイテム'!$AG$3:$AH$114, MATCH($A$1,'アイテム'!$A$3:$A$114,0), MATCH(D148,'アイテム'!$C$2:$AQ$2,0))</f>
        <v>22</v>
      </c>
      <c r="E165" s="322"/>
      <c r="F165" s="322"/>
      <c r="G165" s="114"/>
      <c r="H165" s="228"/>
      <c r="I165" s="228"/>
      <c r="J165" s="228"/>
      <c r="K165" s="118"/>
      <c r="L165" s="118"/>
      <c r="M165" s="118"/>
      <c r="N165" s="102"/>
      <c r="O165" s="102"/>
      <c r="P165" s="102"/>
      <c r="Q165" s="102"/>
      <c r="R165" s="118"/>
      <c r="S165" s="118"/>
      <c r="T165" s="118"/>
      <c r="U165" s="118"/>
      <c r="V165" s="118"/>
    </row>
    <row r="166" outlineLevel="1">
      <c r="A166" s="156"/>
      <c r="B166" s="327" t="s">
        <v>234</v>
      </c>
      <c r="C166" s="328">
        <f t="array" ref="C166">INDEX('アイテム'!$AI$3:$AJ$114, MATCH($A$1,'アイテム'!$A$3:$A$114,0), MATCH(C148,'アイテム'!$C$2:$AQ$2,0))</f>
        <v>8</v>
      </c>
      <c r="D166" s="328" t="str">
        <f t="array" ref="D166">INDEX('アイテム'!$AI$3:$AJ$114, MATCH($A$1,'アイテム'!$A$3:$A$114,0), MATCH(D148,'アイテム'!$C$2:$AQ$2,0))</f>
        <v>22</v>
      </c>
      <c r="E166" s="322"/>
      <c r="F166" s="322"/>
      <c r="G166" s="114"/>
      <c r="H166" s="228"/>
      <c r="I166" s="228"/>
      <c r="J166" s="228"/>
      <c r="K166" s="118"/>
      <c r="L166" s="118"/>
      <c r="M166" s="118"/>
      <c r="N166" s="102"/>
      <c r="O166" s="102"/>
      <c r="P166" s="102"/>
      <c r="Q166" s="102"/>
      <c r="R166" s="118"/>
      <c r="S166" s="118"/>
      <c r="T166" s="118"/>
      <c r="U166" s="118"/>
      <c r="V166" s="118"/>
    </row>
  </sheetData>
  <mergeCells count="162">
    <mergeCell ref="A24:B25"/>
    <mergeCell ref="A26:A27"/>
    <mergeCell ref="A28:A30"/>
    <mergeCell ref="D28:D30"/>
    <mergeCell ref="A31:A33"/>
    <mergeCell ref="D31:D33"/>
    <mergeCell ref="D34:D35"/>
    <mergeCell ref="H26:J26"/>
    <mergeCell ref="H27:J27"/>
    <mergeCell ref="H28:J30"/>
    <mergeCell ref="U28:U30"/>
    <mergeCell ref="H31:J33"/>
    <mergeCell ref="U31:U33"/>
    <mergeCell ref="U34:U35"/>
    <mergeCell ref="D53:D55"/>
    <mergeCell ref="D56:D57"/>
    <mergeCell ref="C31:C33"/>
    <mergeCell ref="C34:C35"/>
    <mergeCell ref="C37:C39"/>
    <mergeCell ref="D37:D39"/>
    <mergeCell ref="D40:D44"/>
    <mergeCell ref="D45:D46"/>
    <mergeCell ref="D50:D52"/>
    <mergeCell ref="U37:U39"/>
    <mergeCell ref="U40:U44"/>
    <mergeCell ref="U45:U46"/>
    <mergeCell ref="R49:V49"/>
    <mergeCell ref="R50:V52"/>
    <mergeCell ref="R53:V55"/>
    <mergeCell ref="R56:V57"/>
    <mergeCell ref="U79:U86"/>
    <mergeCell ref="V79:V86"/>
    <mergeCell ref="U88:U91"/>
    <mergeCell ref="V88:V91"/>
    <mergeCell ref="R58:V60"/>
    <mergeCell ref="R61:V63"/>
    <mergeCell ref="R64:V65"/>
    <mergeCell ref="U69:U72"/>
    <mergeCell ref="V69:V72"/>
    <mergeCell ref="U74:U77"/>
    <mergeCell ref="V74:V77"/>
    <mergeCell ref="A56:A57"/>
    <mergeCell ref="A58:A60"/>
    <mergeCell ref="D58:D60"/>
    <mergeCell ref="A61:A63"/>
    <mergeCell ref="D61:D63"/>
    <mergeCell ref="A64:A65"/>
    <mergeCell ref="D64:D65"/>
    <mergeCell ref="A67:B67"/>
    <mergeCell ref="A68:B68"/>
    <mergeCell ref="A69:A70"/>
    <mergeCell ref="A73:B73"/>
    <mergeCell ref="A74:A75"/>
    <mergeCell ref="A78:B78"/>
    <mergeCell ref="D79:D83"/>
    <mergeCell ref="C88:C89"/>
    <mergeCell ref="D100:D101"/>
    <mergeCell ref="D102:D103"/>
    <mergeCell ref="D104:D105"/>
    <mergeCell ref="D106:D107"/>
    <mergeCell ref="A79:A83"/>
    <mergeCell ref="A88:A91"/>
    <mergeCell ref="A93:B94"/>
    <mergeCell ref="A96:A98"/>
    <mergeCell ref="A99:B99"/>
    <mergeCell ref="A100:A101"/>
    <mergeCell ref="A102:A103"/>
    <mergeCell ref="A104:A105"/>
    <mergeCell ref="A106:A107"/>
    <mergeCell ref="A109:B110"/>
    <mergeCell ref="A111:A113"/>
    <mergeCell ref="A114:A115"/>
    <mergeCell ref="A117:B118"/>
    <mergeCell ref="A119:A123"/>
    <mergeCell ref="C137:C138"/>
    <mergeCell ref="C144:C145"/>
    <mergeCell ref="A139:A145"/>
    <mergeCell ref="A147:B147"/>
    <mergeCell ref="A148:B148"/>
    <mergeCell ref="A149:A150"/>
    <mergeCell ref="A152:B152"/>
    <mergeCell ref="A153:A158"/>
    <mergeCell ref="A159:A162"/>
    <mergeCell ref="A163:A166"/>
    <mergeCell ref="A124:A126"/>
    <mergeCell ref="A127:A132"/>
    <mergeCell ref="C131:C132"/>
    <mergeCell ref="D131:D132"/>
    <mergeCell ref="A133:A138"/>
    <mergeCell ref="D137:D138"/>
    <mergeCell ref="D144:D145"/>
    <mergeCell ref="I53:I55"/>
    <mergeCell ref="J53:J55"/>
    <mergeCell ref="I56:I57"/>
    <mergeCell ref="J56:J57"/>
    <mergeCell ref="I58:I60"/>
    <mergeCell ref="J58:J60"/>
    <mergeCell ref="J61:J63"/>
    <mergeCell ref="J64:J65"/>
    <mergeCell ref="I61:I63"/>
    <mergeCell ref="I64:I65"/>
    <mergeCell ref="H68:J68"/>
    <mergeCell ref="H69:J72"/>
    <mergeCell ref="H73:J73"/>
    <mergeCell ref="H74:J77"/>
    <mergeCell ref="H78:J78"/>
    <mergeCell ref="K119:K120"/>
    <mergeCell ref="K122:K127"/>
    <mergeCell ref="K128:K131"/>
    <mergeCell ref="K132:L132"/>
    <mergeCell ref="K134:K137"/>
    <mergeCell ref="K138:L138"/>
    <mergeCell ref="K141:L141"/>
    <mergeCell ref="G99:J99"/>
    <mergeCell ref="G100:J101"/>
    <mergeCell ref="G102:J103"/>
    <mergeCell ref="G104:J105"/>
    <mergeCell ref="G106:J107"/>
    <mergeCell ref="K118:L118"/>
    <mergeCell ref="K121:L121"/>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34:J35"/>
    <mergeCell ref="H36:J36"/>
    <mergeCell ref="H37:J39"/>
    <mergeCell ref="H40:J44"/>
    <mergeCell ref="H45:J46"/>
    <mergeCell ref="I50:I52"/>
    <mergeCell ref="J50:J52"/>
    <mergeCell ref="A71:A72"/>
    <mergeCell ref="A76:A77"/>
    <mergeCell ref="A84:A86"/>
    <mergeCell ref="D84:D86"/>
    <mergeCell ref="A87:B87"/>
    <mergeCell ref="E88:E89"/>
    <mergeCell ref="F88:F89"/>
    <mergeCell ref="A34:A35"/>
    <mergeCell ref="A37:A39"/>
    <mergeCell ref="A40:A44"/>
    <mergeCell ref="A45:A46"/>
    <mergeCell ref="A48:B49"/>
    <mergeCell ref="A50:A52"/>
    <mergeCell ref="A53:A55"/>
    <mergeCell ref="H79:J86"/>
    <mergeCell ref="H87:J87"/>
    <mergeCell ref="G88:G89"/>
    <mergeCell ref="H88:J91"/>
  </mergeCells>
  <conditionalFormatting sqref="K1:K15 K17:K70 K73:K90 K92:K142">
    <cfRule type="containsText" dxfId="0" priority="1" operator="containsText" text="361">
      <formula>NOT(ISERROR(SEARCH(("361"),(K1))))</formula>
    </cfRule>
  </conditionalFormatting>
  <conditionalFormatting sqref="K1:K15 K17:K70 K73:K90 K92:K142">
    <cfRule type="containsText" dxfId="1" priority="2" operator="containsText" text="363">
      <formula>NOT(ISERROR(SEARCH(("363"),(K1))))</formula>
    </cfRule>
  </conditionalFormatting>
  <conditionalFormatting sqref="K1:K15 K17:K70 K73:K90 K92:K142">
    <cfRule type="containsText" dxfId="1" priority="3" operator="containsText" text="365">
      <formula>NOT(ISERROR(SEARCH(("365"),(K1))))</formula>
    </cfRule>
  </conditionalFormatting>
  <conditionalFormatting sqref="K1:K15 K17:K70 K73:K90 K92:K142">
    <cfRule type="containsText" dxfId="1" priority="4" operator="containsText" text="366">
      <formula>NOT(ISERROR(SEARCH(("366"),(K1))))</formula>
    </cfRule>
  </conditionalFormatting>
  <conditionalFormatting sqref="K1:K15 K17:K70 K73:K90 K92:K142">
    <cfRule type="containsText" dxfId="1" priority="5" operator="containsText" text="367">
      <formula>NOT(ISERROR(SEARCH(("367"),(K1))))</formula>
    </cfRule>
  </conditionalFormatting>
  <conditionalFormatting sqref="C100 E100:F100 K100:N100 O100:O102 P100:P107 Q100:Q102 C102 E102:F102 K102:N102 C106 E106:F106 K106:N106">
    <cfRule type="cellIs" dxfId="2" priority="6" operator="equal">
      <formula>"敵のみ"</formula>
    </cfRule>
  </conditionalFormatting>
  <conditionalFormatting sqref="C100:C107">
    <cfRule type="cellIs" dxfId="3" priority="7" operator="equal">
      <formula>"-"</formula>
    </cfRule>
  </conditionalFormatting>
  <conditionalFormatting sqref="O1:O70 O73:O90 O92:O166">
    <cfRule type="cellIs" dxfId="4" priority="8" operator="greaterThan">
      <formula>0</formula>
    </cfRule>
  </conditionalFormatting>
  <conditionalFormatting sqref="P1:Q70 P73:Q90 P92:Q166 C100 E100:F100 K100:N100 O100:O102 C102 E102:F102 K102:N102 O105:O107 C106 E106:F106 K106:N106">
    <cfRule type="cellIs" dxfId="5" priority="9" operator="lessThan">
      <formula>1</formula>
    </cfRule>
  </conditionalFormatting>
  <conditionalFormatting sqref="P1:Q70 P73:Q90 P92:Q166 C100 E100:F100 K100:N100 O100:O102 C102 E102:F102 K102:N102 O105:O107 C106 E106:F106 K106:N106">
    <cfRule type="cellIs" dxfId="4" priority="10" operator="greaterThan">
      <formula>1</formula>
    </cfRule>
  </conditionalFormatting>
  <conditionalFormatting sqref="N25:N70 N73:N90 N92:N107">
    <cfRule type="cellIs" dxfId="6" priority="11" operator="greaterThan">
      <formula>0</formula>
    </cfRule>
  </conditionalFormatting>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2474A"/>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554" t="s">
        <v>624</v>
      </c>
      <c r="B1" s="555"/>
      <c r="C1" s="556" t="str">
        <f>IMAGE(VLOOKUP($A$1,Fighters!A2:AI114,12,FALSE),1)</f>
        <v>#REF!</v>
      </c>
      <c r="D1" s="557"/>
      <c r="E1" s="557"/>
      <c r="F1" s="557"/>
      <c r="G1" s="558"/>
      <c r="H1" s="559"/>
      <c r="I1" s="557"/>
      <c r="J1" s="558"/>
      <c r="K1" s="560"/>
      <c r="L1" s="557"/>
      <c r="M1" s="558"/>
      <c r="N1" s="561"/>
      <c r="O1" s="561"/>
      <c r="P1" s="561"/>
      <c r="Q1" s="561"/>
      <c r="R1" s="562"/>
      <c r="S1" s="562"/>
      <c r="T1" s="562"/>
      <c r="U1" s="562"/>
      <c r="V1" s="562"/>
    </row>
    <row r="2">
      <c r="A2" s="563" t="str">
        <f>VLOOKUP($A$1,Fighters!$A$2:$AI$81,6,FALSE)</f>
        <v>#32474a</v>
      </c>
      <c r="B2" s="555"/>
      <c r="C2" s="564"/>
      <c r="G2" s="565"/>
      <c r="H2" s="566"/>
      <c r="I2" s="567"/>
      <c r="J2" s="568"/>
      <c r="K2" s="566"/>
      <c r="L2" s="567"/>
      <c r="M2" s="568"/>
      <c r="N2" s="561"/>
      <c r="O2" s="561"/>
      <c r="P2" s="561"/>
      <c r="Q2" s="561"/>
      <c r="R2" s="562"/>
      <c r="S2" s="562"/>
      <c r="T2" s="562"/>
      <c r="U2" s="562"/>
      <c r="V2" s="562"/>
    </row>
    <row r="3">
      <c r="A3" s="563" t="str">
        <f>VLOOKUP($A$1,Fighters!$A$2:$AI$81,14,FALSE)</f>
        <v>4'. ダークサムス</v>
      </c>
      <c r="B3" s="555"/>
      <c r="C3" s="564"/>
      <c r="G3" s="565"/>
      <c r="H3" s="569"/>
      <c r="I3" s="569"/>
      <c r="J3" s="569"/>
      <c r="K3" s="570"/>
      <c r="L3" s="570"/>
      <c r="M3" s="570"/>
      <c r="N3" s="561"/>
      <c r="O3" s="561"/>
      <c r="P3" s="561"/>
      <c r="Q3" s="561"/>
      <c r="R3" s="571"/>
      <c r="S3" s="562"/>
      <c r="T3" s="562"/>
      <c r="U3" s="562"/>
      <c r="V3" s="562"/>
    </row>
    <row r="4">
      <c r="A4" s="563" t="str">
        <f>VLOOKUP($A$1,Fighters!$A$2:$AI$81,13,FALSE)</f>
        <v>1</v>
      </c>
      <c r="B4" s="555"/>
      <c r="C4" s="564"/>
      <c r="G4" s="565"/>
      <c r="H4" s="572"/>
      <c r="I4" s="572"/>
      <c r="J4" s="569"/>
      <c r="K4" s="570"/>
      <c r="L4" s="570"/>
      <c r="M4" s="570"/>
      <c r="N4" s="561"/>
      <c r="O4" s="561"/>
      <c r="P4" s="561"/>
      <c r="Q4" s="561"/>
      <c r="R4" s="571"/>
      <c r="S4" s="562"/>
      <c r="T4" s="562"/>
      <c r="U4" s="562"/>
      <c r="V4" s="562"/>
    </row>
    <row r="5" ht="16.5" customHeight="1">
      <c r="A5" s="554"/>
      <c r="B5" s="555"/>
      <c r="C5" s="564"/>
      <c r="G5" s="565"/>
      <c r="H5" s="573"/>
      <c r="I5" s="573"/>
      <c r="J5" s="574"/>
      <c r="K5" s="575"/>
      <c r="L5" s="576"/>
      <c r="M5" s="576"/>
      <c r="N5" s="561"/>
      <c r="O5" s="561"/>
      <c r="P5" s="561"/>
      <c r="Q5" s="561"/>
      <c r="R5" s="571"/>
      <c r="S5" s="562"/>
      <c r="T5" s="562"/>
      <c r="U5" s="562"/>
      <c r="V5" s="562"/>
    </row>
    <row r="6">
      <c r="A6" s="555"/>
      <c r="B6" s="555"/>
      <c r="C6" s="564"/>
      <c r="G6" s="565"/>
      <c r="H6" s="572"/>
      <c r="I6" s="577" t="s">
        <v>39</v>
      </c>
      <c r="J6" s="575"/>
      <c r="K6" s="578"/>
      <c r="L6" s="576"/>
      <c r="M6" s="576"/>
      <c r="N6" s="561"/>
      <c r="O6" s="561"/>
      <c r="P6" s="561"/>
      <c r="Q6" s="561"/>
      <c r="R6" s="571"/>
      <c r="S6" s="562"/>
      <c r="T6" s="562"/>
      <c r="U6" s="562"/>
      <c r="V6" s="562"/>
    </row>
    <row r="7">
      <c r="A7" s="555"/>
      <c r="B7" s="555"/>
      <c r="C7" s="564"/>
      <c r="G7" s="565"/>
      <c r="H7" s="573"/>
      <c r="I7" s="573"/>
      <c r="J7" s="575"/>
      <c r="K7" s="578"/>
      <c r="L7" s="576"/>
      <c r="M7" s="576"/>
      <c r="N7" s="561"/>
      <c r="O7" s="561"/>
      <c r="P7" s="561"/>
      <c r="Q7" s="561"/>
      <c r="R7" s="571"/>
      <c r="S7" s="562"/>
      <c r="T7" s="562"/>
      <c r="U7" s="562"/>
      <c r="V7" s="562"/>
    </row>
    <row r="8">
      <c r="A8" s="555"/>
      <c r="B8" s="555"/>
      <c r="C8" s="564"/>
      <c r="G8" s="565"/>
      <c r="H8" s="579">
        <v>44379.84304506944</v>
      </c>
      <c r="I8" s="557"/>
      <c r="J8" s="558"/>
      <c r="K8" s="575"/>
      <c r="L8" s="576"/>
      <c r="M8" s="576"/>
      <c r="N8" s="561"/>
      <c r="O8" s="561"/>
      <c r="P8" s="561"/>
      <c r="Q8" s="561"/>
      <c r="R8" s="571"/>
      <c r="S8" s="562"/>
      <c r="T8" s="562"/>
      <c r="U8" s="562"/>
      <c r="V8" s="562"/>
    </row>
    <row r="9">
      <c r="A9" s="555"/>
      <c r="B9" s="555"/>
      <c r="C9" s="564"/>
      <c r="G9" s="565"/>
      <c r="H9" s="566"/>
      <c r="I9" s="567"/>
      <c r="J9" s="568"/>
      <c r="K9" s="562"/>
      <c r="L9" s="561"/>
      <c r="M9" s="561"/>
      <c r="N9" s="561"/>
      <c r="O9" s="561"/>
      <c r="P9" s="561"/>
      <c r="Q9" s="561"/>
      <c r="R9" s="571"/>
      <c r="S9" s="562"/>
      <c r="T9" s="562"/>
      <c r="U9" s="562"/>
      <c r="V9" s="562"/>
    </row>
    <row r="10">
      <c r="A10" s="580"/>
      <c r="B10" s="555"/>
      <c r="C10" s="564"/>
      <c r="G10" s="565"/>
      <c r="H10" s="581"/>
      <c r="I10" s="581"/>
      <c r="J10" s="562"/>
      <c r="K10" s="562"/>
      <c r="L10" s="561"/>
      <c r="M10" s="561"/>
      <c r="N10" s="561"/>
      <c r="O10" s="561"/>
      <c r="P10" s="561"/>
      <c r="Q10" s="561"/>
      <c r="R10" s="571"/>
      <c r="S10" s="562"/>
      <c r="T10" s="562"/>
      <c r="U10" s="562"/>
      <c r="V10" s="562"/>
    </row>
    <row r="11">
      <c r="A11" s="582"/>
      <c r="B11" s="555"/>
      <c r="C11" s="564"/>
      <c r="G11" s="565"/>
      <c r="H11" s="573"/>
      <c r="I11" s="573"/>
      <c r="J11" s="562"/>
      <c r="K11" s="562"/>
      <c r="L11" s="561"/>
      <c r="M11" s="561"/>
      <c r="N11" s="561"/>
      <c r="O11" s="561"/>
      <c r="P11" s="561"/>
      <c r="Q11" s="561"/>
      <c r="R11" s="571"/>
      <c r="S11" s="562"/>
      <c r="T11" s="562"/>
      <c r="U11" s="562"/>
      <c r="V11" s="562"/>
    </row>
    <row r="12">
      <c r="A12" s="573"/>
      <c r="B12" s="555"/>
      <c r="C12" s="566"/>
      <c r="D12" s="567"/>
      <c r="E12" s="567"/>
      <c r="F12" s="567"/>
      <c r="G12" s="568"/>
      <c r="H12" s="583"/>
      <c r="I12" s="583"/>
      <c r="J12" s="555"/>
      <c r="K12" s="555"/>
      <c r="L12" s="561"/>
      <c r="M12" s="561"/>
      <c r="N12" s="561"/>
      <c r="O12" s="561"/>
      <c r="P12" s="561"/>
      <c r="Q12" s="561"/>
      <c r="R12" s="571"/>
      <c r="S12" s="562"/>
      <c r="T12" s="562"/>
      <c r="U12" s="562"/>
      <c r="V12" s="562"/>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108 [10th]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1.87 [51st]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1.115 [44th]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61F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0.176 [7th]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37 [13th]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1.654 [50th]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31F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0.082 [83rd]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18 [10th]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1.103 [34th]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43F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37 [19th]</v>
      </c>
      <c r="O20" s="99"/>
      <c r="P20" s="99"/>
      <c r="Q20" s="99"/>
      <c r="R20" s="99"/>
      <c r="S20" s="100"/>
      <c r="T20" s="100"/>
      <c r="U20" s="100"/>
      <c r="V20" s="100"/>
    </row>
    <row r="21" outlineLevel="1">
      <c r="A21" s="112" t="str">
        <f>'テンプレート'!A21</f>
        <v>空中ワイヤー</v>
      </c>
      <c r="B21" s="115" t="b">
        <v>1</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1.33 [75th]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2.128 [75th]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0.075 [75th]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510" t="s">
        <v>55</v>
      </c>
      <c r="C26" s="511" t="s">
        <v>71</v>
      </c>
      <c r="D26" s="512" t="s">
        <v>394</v>
      </c>
      <c r="E26" s="397" t="s">
        <v>204</v>
      </c>
      <c r="F26" s="138">
        <v>3.5999999999999996</v>
      </c>
      <c r="G26" s="139" t="s">
        <v>147</v>
      </c>
      <c r="H26" s="140" t="s">
        <v>542</v>
      </c>
      <c r="I26" s="110"/>
      <c r="J26" s="109"/>
      <c r="K26" s="138"/>
      <c r="L26" s="282"/>
      <c r="M26" s="363"/>
      <c r="N26" s="363"/>
      <c r="O26" s="145">
        <v>0.0</v>
      </c>
      <c r="P26" s="145">
        <v>1.0</v>
      </c>
      <c r="Q26" s="145">
        <v>1.0</v>
      </c>
      <c r="R26" s="100"/>
      <c r="S26" s="100"/>
      <c r="T26" s="100"/>
      <c r="U26" s="145" t="s">
        <v>69</v>
      </c>
      <c r="V26" s="100"/>
    </row>
    <row r="27" outlineLevel="1">
      <c r="A27" s="156"/>
      <c r="B27" s="513" t="s">
        <v>63</v>
      </c>
      <c r="C27" s="514" t="s">
        <v>543</v>
      </c>
      <c r="D27" s="515" t="s">
        <v>99</v>
      </c>
      <c r="E27" s="157" t="s">
        <v>80</v>
      </c>
      <c r="F27" s="138">
        <v>9.6</v>
      </c>
      <c r="G27" s="216" t="s">
        <v>123</v>
      </c>
      <c r="H27" s="159"/>
      <c r="I27" s="110"/>
      <c r="J27" s="109"/>
      <c r="K27" s="282"/>
      <c r="L27" s="282"/>
      <c r="M27" s="363"/>
      <c r="N27" s="363"/>
      <c r="O27" s="145">
        <v>0.0</v>
      </c>
      <c r="P27" s="145">
        <v>1.0</v>
      </c>
      <c r="Q27" s="145">
        <v>1.0</v>
      </c>
      <c r="R27" s="100"/>
      <c r="S27" s="100"/>
      <c r="T27" s="100"/>
      <c r="U27" s="145" t="s">
        <v>76</v>
      </c>
      <c r="V27" s="100"/>
    </row>
    <row r="28" outlineLevel="1">
      <c r="A28" s="133" t="s">
        <v>77</v>
      </c>
      <c r="B28" s="513" t="s">
        <v>152</v>
      </c>
      <c r="C28" s="514" t="s">
        <v>518</v>
      </c>
      <c r="D28" s="523" t="s">
        <v>384</v>
      </c>
      <c r="E28" s="517" t="s">
        <v>128</v>
      </c>
      <c r="F28" s="138">
        <v>12.0</v>
      </c>
      <c r="G28" s="139" t="s">
        <v>95</v>
      </c>
      <c r="H28" s="456"/>
      <c r="I28" s="164"/>
      <c r="J28" s="104"/>
      <c r="K28" s="138"/>
      <c r="L28" s="282"/>
      <c r="M28" s="363"/>
      <c r="N28" s="363"/>
      <c r="O28" s="145">
        <v>0.0</v>
      </c>
      <c r="P28" s="145">
        <v>1.0</v>
      </c>
      <c r="Q28" s="145">
        <v>1.0</v>
      </c>
      <c r="R28" s="100"/>
      <c r="S28" s="100"/>
      <c r="T28" s="100"/>
      <c r="U28" s="166" t="s">
        <v>69</v>
      </c>
      <c r="V28" s="100"/>
    </row>
    <row r="29" outlineLevel="1">
      <c r="A29" s="146"/>
      <c r="B29" s="513"/>
      <c r="C29" s="515" t="s">
        <v>309</v>
      </c>
      <c r="D29" s="146"/>
      <c r="E29" s="518" t="s">
        <v>128</v>
      </c>
      <c r="F29" s="138">
        <v>12.0</v>
      </c>
      <c r="G29" s="467" t="s">
        <v>95</v>
      </c>
      <c r="H29" s="212"/>
      <c r="J29" s="210"/>
      <c r="K29" s="282"/>
      <c r="L29" s="282"/>
      <c r="M29" s="363"/>
      <c r="N29" s="363"/>
      <c r="O29" s="145">
        <v>0.0</v>
      </c>
      <c r="P29" s="145">
        <v>1.0</v>
      </c>
      <c r="Q29" s="145">
        <v>1.0</v>
      </c>
      <c r="R29" s="100"/>
      <c r="S29" s="100"/>
      <c r="T29" s="100"/>
      <c r="U29" s="146"/>
      <c r="V29" s="100"/>
    </row>
    <row r="30" outlineLevel="1">
      <c r="A30" s="156"/>
      <c r="B30" s="513" t="s">
        <v>84</v>
      </c>
      <c r="C30" s="515" t="s">
        <v>544</v>
      </c>
      <c r="D30" s="156"/>
      <c r="E30" s="518" t="s">
        <v>86</v>
      </c>
      <c r="F30" s="138">
        <v>7.199999999999999</v>
      </c>
      <c r="G30" s="467" t="s">
        <v>102</v>
      </c>
      <c r="H30" s="106"/>
      <c r="I30" s="168"/>
      <c r="J30" s="107"/>
      <c r="K30" s="282"/>
      <c r="L30" s="282"/>
      <c r="M30" s="363"/>
      <c r="N30" s="363"/>
      <c r="O30" s="145">
        <v>0.0</v>
      </c>
      <c r="P30" s="145">
        <v>1.0</v>
      </c>
      <c r="Q30" s="145">
        <v>1.0</v>
      </c>
      <c r="R30" s="100"/>
      <c r="S30" s="100"/>
      <c r="T30" s="100"/>
      <c r="U30" s="156"/>
      <c r="V30" s="100"/>
    </row>
    <row r="31" outlineLevel="1">
      <c r="A31" s="133" t="s">
        <v>89</v>
      </c>
      <c r="B31" s="521" t="s">
        <v>279</v>
      </c>
      <c r="C31" s="516" t="s">
        <v>161</v>
      </c>
      <c r="D31" s="519" t="s">
        <v>72</v>
      </c>
      <c r="E31" s="520" t="s">
        <v>545</v>
      </c>
      <c r="F31" s="138" t="s">
        <v>546</v>
      </c>
      <c r="G31" s="139" t="s">
        <v>547</v>
      </c>
      <c r="H31" s="456"/>
      <c r="I31" s="164"/>
      <c r="J31" s="104"/>
      <c r="K31" s="138"/>
      <c r="L31" s="282"/>
      <c r="M31" s="363"/>
      <c r="N31" s="363"/>
      <c r="O31" s="145">
        <v>0.0</v>
      </c>
      <c r="P31" s="145">
        <v>1.0</v>
      </c>
      <c r="Q31" s="145">
        <v>1.0</v>
      </c>
      <c r="R31" s="100"/>
      <c r="S31" s="100"/>
      <c r="T31" s="100"/>
      <c r="U31" s="166" t="s">
        <v>96</v>
      </c>
      <c r="V31" s="100"/>
    </row>
    <row r="32" outlineLevel="1">
      <c r="A32" s="146"/>
      <c r="B32" s="513" t="s">
        <v>276</v>
      </c>
      <c r="C32" s="146"/>
      <c r="D32" s="146"/>
      <c r="E32" s="520" t="s">
        <v>283</v>
      </c>
      <c r="F32" s="138" t="s">
        <v>284</v>
      </c>
      <c r="G32" s="139" t="s">
        <v>285</v>
      </c>
      <c r="H32" s="212"/>
      <c r="J32" s="210"/>
      <c r="K32" s="138"/>
      <c r="L32" s="282"/>
      <c r="M32" s="363"/>
      <c r="N32" s="363"/>
      <c r="O32" s="145">
        <v>0.0</v>
      </c>
      <c r="P32" s="145">
        <v>1.0</v>
      </c>
      <c r="Q32" s="145">
        <v>1.0</v>
      </c>
      <c r="R32" s="100"/>
      <c r="S32" s="100"/>
      <c r="T32" s="100"/>
      <c r="U32" s="146"/>
      <c r="V32" s="100"/>
    </row>
    <row r="33" outlineLevel="1">
      <c r="A33" s="156"/>
      <c r="B33" s="513" t="s">
        <v>280</v>
      </c>
      <c r="C33" s="156"/>
      <c r="D33" s="156"/>
      <c r="E33" s="520" t="s">
        <v>545</v>
      </c>
      <c r="F33" s="138" t="s">
        <v>546</v>
      </c>
      <c r="G33" s="139" t="s">
        <v>547</v>
      </c>
      <c r="H33" s="106"/>
      <c r="I33" s="168"/>
      <c r="J33" s="107"/>
      <c r="K33" s="282"/>
      <c r="L33" s="282"/>
      <c r="M33" s="363"/>
      <c r="N33" s="363"/>
      <c r="O33" s="145">
        <v>0.0</v>
      </c>
      <c r="P33" s="145">
        <v>1.0</v>
      </c>
      <c r="Q33" s="145">
        <v>1.0</v>
      </c>
      <c r="R33" s="100"/>
      <c r="S33" s="100"/>
      <c r="T33" s="100"/>
      <c r="U33" s="156"/>
      <c r="V33" s="100"/>
    </row>
    <row r="34" outlineLevel="1">
      <c r="A34" s="133" t="s">
        <v>97</v>
      </c>
      <c r="B34" s="522" t="s">
        <v>350</v>
      </c>
      <c r="C34" s="523" t="s">
        <v>548</v>
      </c>
      <c r="D34" s="519" t="s">
        <v>118</v>
      </c>
      <c r="E34" s="520" t="s">
        <v>228</v>
      </c>
      <c r="F34" s="138">
        <v>15.6</v>
      </c>
      <c r="G34" s="467" t="s">
        <v>407</v>
      </c>
      <c r="H34" s="456"/>
      <c r="I34" s="164"/>
      <c r="J34" s="104"/>
      <c r="K34" s="282"/>
      <c r="L34" s="282"/>
      <c r="M34" s="363"/>
      <c r="N34" s="363"/>
      <c r="O34" s="145">
        <v>0.0</v>
      </c>
      <c r="P34" s="145">
        <v>1.0</v>
      </c>
      <c r="Q34" s="145">
        <v>1.0</v>
      </c>
      <c r="R34" s="100"/>
      <c r="S34" s="100"/>
      <c r="T34" s="100"/>
      <c r="U34" s="166" t="s">
        <v>69</v>
      </c>
      <c r="V34" s="100"/>
    </row>
    <row r="35" outlineLevel="1">
      <c r="A35" s="156"/>
      <c r="B35" s="522" t="s">
        <v>356</v>
      </c>
      <c r="C35" s="156"/>
      <c r="D35" s="156"/>
      <c r="E35" s="520" t="s">
        <v>129</v>
      </c>
      <c r="F35" s="138">
        <v>14.399999999999999</v>
      </c>
      <c r="G35" s="281"/>
      <c r="H35" s="106"/>
      <c r="I35" s="168"/>
      <c r="J35" s="107"/>
      <c r="K35" s="282"/>
      <c r="L35" s="282"/>
      <c r="M35" s="363"/>
      <c r="N35" s="363"/>
      <c r="O35" s="145"/>
      <c r="P35" s="145"/>
      <c r="Q35" s="145"/>
      <c r="R35" s="100"/>
      <c r="S35" s="100"/>
      <c r="T35" s="100"/>
      <c r="U35" s="156"/>
      <c r="V35" s="100"/>
    </row>
    <row r="36" outlineLevel="1">
      <c r="A36" s="170" t="s">
        <v>103</v>
      </c>
      <c r="B36" s="524"/>
      <c r="C36" s="514" t="s">
        <v>549</v>
      </c>
      <c r="D36" s="514" t="s">
        <v>393</v>
      </c>
      <c r="E36" s="518" t="s">
        <v>129</v>
      </c>
      <c r="F36" s="138">
        <v>14.399999999999999</v>
      </c>
      <c r="G36" s="467" t="s">
        <v>88</v>
      </c>
      <c r="H36" s="159"/>
      <c r="I36" s="110"/>
      <c r="J36" s="109"/>
      <c r="K36" s="145"/>
      <c r="L36" s="363"/>
      <c r="M36" s="363"/>
      <c r="N36" s="363"/>
      <c r="O36" s="145">
        <v>0.0</v>
      </c>
      <c r="P36" s="145">
        <v>1.0</v>
      </c>
      <c r="Q36" s="145">
        <v>1.0</v>
      </c>
      <c r="R36" s="100"/>
      <c r="S36" s="100"/>
      <c r="T36" s="100"/>
      <c r="U36" s="145" t="s">
        <v>69</v>
      </c>
      <c r="V36" s="100"/>
    </row>
    <row r="37" outlineLevel="1">
      <c r="A37" s="133" t="s">
        <v>109</v>
      </c>
      <c r="B37" s="513" t="s">
        <v>276</v>
      </c>
      <c r="C37" s="523" t="s">
        <v>223</v>
      </c>
      <c r="D37" s="519" t="s">
        <v>541</v>
      </c>
      <c r="E37" s="518" t="s">
        <v>550</v>
      </c>
      <c r="F37" s="138" t="s">
        <v>551</v>
      </c>
      <c r="G37" s="467" t="s">
        <v>552</v>
      </c>
      <c r="H37" s="163" t="s">
        <v>553</v>
      </c>
      <c r="I37" s="164"/>
      <c r="J37" s="104"/>
      <c r="K37" s="282"/>
      <c r="L37" s="282"/>
      <c r="M37" s="363"/>
      <c r="N37" s="363"/>
      <c r="O37" s="145">
        <v>0.0</v>
      </c>
      <c r="P37" s="145">
        <v>1.0</v>
      </c>
      <c r="Q37" s="145">
        <v>1.0</v>
      </c>
      <c r="R37" s="100"/>
      <c r="S37" s="100"/>
      <c r="T37" s="100"/>
      <c r="U37" s="166" t="s">
        <v>62</v>
      </c>
      <c r="V37" s="100"/>
    </row>
    <row r="38" outlineLevel="1">
      <c r="A38" s="146"/>
      <c r="B38" s="521" t="s">
        <v>279</v>
      </c>
      <c r="C38" s="146"/>
      <c r="D38" s="146"/>
      <c r="E38" s="518" t="s">
        <v>554</v>
      </c>
      <c r="F38" s="138" t="s">
        <v>555</v>
      </c>
      <c r="G38" s="467" t="s">
        <v>625</v>
      </c>
      <c r="H38" s="212"/>
      <c r="J38" s="210"/>
      <c r="K38" s="282"/>
      <c r="L38" s="282"/>
      <c r="M38" s="363"/>
      <c r="N38" s="363"/>
      <c r="O38" s="145">
        <v>0.0</v>
      </c>
      <c r="P38" s="145">
        <v>1.0</v>
      </c>
      <c r="Q38" s="145">
        <v>1.0</v>
      </c>
      <c r="R38" s="100"/>
      <c r="S38" s="100"/>
      <c r="T38" s="100"/>
      <c r="U38" s="146"/>
      <c r="V38" s="100"/>
    </row>
    <row r="39" outlineLevel="1">
      <c r="A39" s="156"/>
      <c r="B39" s="513" t="s">
        <v>280</v>
      </c>
      <c r="C39" s="156"/>
      <c r="D39" s="156"/>
      <c r="E39" s="518" t="s">
        <v>557</v>
      </c>
      <c r="F39" s="138" t="s">
        <v>558</v>
      </c>
      <c r="G39" s="467" t="s">
        <v>559</v>
      </c>
      <c r="H39" s="106"/>
      <c r="I39" s="168"/>
      <c r="J39" s="107"/>
      <c r="K39" s="282"/>
      <c r="L39" s="282"/>
      <c r="M39" s="363"/>
      <c r="N39" s="363"/>
      <c r="O39" s="145">
        <v>0.0</v>
      </c>
      <c r="P39" s="145">
        <v>1.0</v>
      </c>
      <c r="Q39" s="145">
        <v>1.0</v>
      </c>
      <c r="R39" s="100"/>
      <c r="S39" s="100"/>
      <c r="T39" s="100"/>
      <c r="U39" s="156"/>
      <c r="V39" s="100"/>
    </row>
    <row r="40" outlineLevel="1">
      <c r="A40" s="133" t="s">
        <v>116</v>
      </c>
      <c r="B40" s="513" t="s">
        <v>125</v>
      </c>
      <c r="C40" s="514" t="s">
        <v>299</v>
      </c>
      <c r="D40" s="519" t="s">
        <v>402</v>
      </c>
      <c r="E40" s="518" t="s">
        <v>204</v>
      </c>
      <c r="F40" s="138">
        <v>3.5999999999999996</v>
      </c>
      <c r="G40" s="467" t="s">
        <v>60</v>
      </c>
      <c r="H40" s="163" t="s">
        <v>560</v>
      </c>
      <c r="I40" s="164"/>
      <c r="J40" s="104"/>
      <c r="K40" s="363"/>
      <c r="L40" s="363"/>
      <c r="M40" s="363"/>
      <c r="N40" s="363"/>
      <c r="O40" s="145">
        <v>0.0</v>
      </c>
      <c r="P40" s="145">
        <v>1.0</v>
      </c>
      <c r="Q40" s="145">
        <v>0.8</v>
      </c>
      <c r="R40" s="100"/>
      <c r="S40" s="100"/>
      <c r="T40" s="100"/>
      <c r="U40" s="166" t="s">
        <v>123</v>
      </c>
      <c r="V40" s="100"/>
    </row>
    <row r="41" outlineLevel="1">
      <c r="A41" s="146"/>
      <c r="B41" s="513" t="s">
        <v>131</v>
      </c>
      <c r="C41" s="150" t="s">
        <v>561</v>
      </c>
      <c r="D41" s="146"/>
      <c r="E41" s="518" t="s">
        <v>204</v>
      </c>
      <c r="F41" s="138">
        <v>3.5999999999999996</v>
      </c>
      <c r="G41" s="467" t="s">
        <v>60</v>
      </c>
      <c r="H41" s="212"/>
      <c r="J41" s="210"/>
      <c r="K41" s="363"/>
      <c r="L41" s="363"/>
      <c r="M41" s="363"/>
      <c r="N41" s="363"/>
      <c r="O41" s="145">
        <v>0.0</v>
      </c>
      <c r="P41" s="145">
        <v>1.0</v>
      </c>
      <c r="Q41" s="145">
        <v>0.8</v>
      </c>
      <c r="R41" s="100"/>
      <c r="S41" s="100"/>
      <c r="T41" s="100"/>
      <c r="U41" s="146"/>
      <c r="V41" s="100"/>
    </row>
    <row r="42" outlineLevel="1">
      <c r="A42" s="146"/>
      <c r="B42" s="513" t="s">
        <v>434</v>
      </c>
      <c r="C42" s="150" t="s">
        <v>334</v>
      </c>
      <c r="D42" s="146"/>
      <c r="E42" s="518" t="s">
        <v>204</v>
      </c>
      <c r="F42" s="138">
        <v>3.5999999999999996</v>
      </c>
      <c r="G42" s="467" t="s">
        <v>60</v>
      </c>
      <c r="H42" s="212"/>
      <c r="J42" s="210"/>
      <c r="K42" s="363"/>
      <c r="L42" s="363"/>
      <c r="M42" s="363"/>
      <c r="N42" s="363"/>
      <c r="O42" s="145">
        <v>0.0</v>
      </c>
      <c r="P42" s="145">
        <v>1.0</v>
      </c>
      <c r="Q42" s="145">
        <v>0.8</v>
      </c>
      <c r="R42" s="100"/>
      <c r="S42" s="100"/>
      <c r="T42" s="100"/>
      <c r="U42" s="146"/>
      <c r="V42" s="100"/>
    </row>
    <row r="43" outlineLevel="1">
      <c r="A43" s="146"/>
      <c r="B43" s="513" t="s">
        <v>520</v>
      </c>
      <c r="C43" s="150" t="s">
        <v>377</v>
      </c>
      <c r="D43" s="146"/>
      <c r="E43" s="518" t="s">
        <v>204</v>
      </c>
      <c r="F43" s="138">
        <v>3.5999999999999996</v>
      </c>
      <c r="G43" s="467" t="s">
        <v>60</v>
      </c>
      <c r="H43" s="212"/>
      <c r="J43" s="210"/>
      <c r="K43" s="363"/>
      <c r="L43" s="363"/>
      <c r="M43" s="363"/>
      <c r="N43" s="363"/>
      <c r="O43" s="145">
        <v>0.0</v>
      </c>
      <c r="P43" s="145">
        <v>1.0</v>
      </c>
      <c r="Q43" s="145">
        <v>0.8</v>
      </c>
      <c r="R43" s="100"/>
      <c r="S43" s="100"/>
      <c r="T43" s="100"/>
      <c r="U43" s="146"/>
      <c r="V43" s="100"/>
    </row>
    <row r="44" outlineLevel="1">
      <c r="A44" s="156"/>
      <c r="B44" s="513" t="s">
        <v>521</v>
      </c>
      <c r="C44" s="150" t="s">
        <v>562</v>
      </c>
      <c r="D44" s="156"/>
      <c r="E44" s="518" t="s">
        <v>86</v>
      </c>
      <c r="F44" s="138">
        <v>7.199999999999999</v>
      </c>
      <c r="G44" s="467" t="s">
        <v>75</v>
      </c>
      <c r="H44" s="106"/>
      <c r="I44" s="168"/>
      <c r="J44" s="107"/>
      <c r="K44" s="363"/>
      <c r="L44" s="363"/>
      <c r="M44" s="363"/>
      <c r="N44" s="363"/>
      <c r="O44" s="145">
        <v>0.0</v>
      </c>
      <c r="P44" s="145">
        <v>1.0</v>
      </c>
      <c r="Q44" s="145">
        <v>0.8</v>
      </c>
      <c r="R44" s="100"/>
      <c r="S44" s="100"/>
      <c r="T44" s="100"/>
      <c r="U44" s="156"/>
      <c r="V44" s="100"/>
    </row>
    <row r="45" outlineLevel="1">
      <c r="A45" s="133" t="s">
        <v>124</v>
      </c>
      <c r="B45" s="147" t="s">
        <v>125</v>
      </c>
      <c r="C45" s="150" t="s">
        <v>220</v>
      </c>
      <c r="D45" s="519" t="s">
        <v>393</v>
      </c>
      <c r="E45" s="518" t="s">
        <v>128</v>
      </c>
      <c r="F45" s="138">
        <v>12.0</v>
      </c>
      <c r="G45" s="467" t="s">
        <v>95</v>
      </c>
      <c r="H45" s="163" t="s">
        <v>553</v>
      </c>
      <c r="I45" s="164"/>
      <c r="J45" s="104"/>
      <c r="K45" s="282"/>
      <c r="L45" s="282"/>
      <c r="M45" s="363"/>
      <c r="N45" s="363"/>
      <c r="O45" s="145">
        <v>0.0</v>
      </c>
      <c r="P45" s="145">
        <v>1.0</v>
      </c>
      <c r="Q45" s="145">
        <v>1.0</v>
      </c>
      <c r="R45" s="100"/>
      <c r="S45" s="100"/>
      <c r="T45" s="100"/>
      <c r="U45" s="166" t="s">
        <v>62</v>
      </c>
      <c r="V45" s="100"/>
    </row>
    <row r="46" outlineLevel="1">
      <c r="A46" s="156"/>
      <c r="B46" s="147" t="s">
        <v>131</v>
      </c>
      <c r="C46" s="150" t="s">
        <v>203</v>
      </c>
      <c r="D46" s="156"/>
      <c r="E46" s="518" t="s">
        <v>129</v>
      </c>
      <c r="F46" s="138">
        <v>14.399999999999999</v>
      </c>
      <c r="G46" s="467" t="s">
        <v>123</v>
      </c>
      <c r="H46" s="106"/>
      <c r="I46" s="168"/>
      <c r="J46" s="107"/>
      <c r="K46" s="282"/>
      <c r="L46" s="282"/>
      <c r="M46" s="363"/>
      <c r="N46" s="363"/>
      <c r="O46" s="145">
        <v>0.0</v>
      </c>
      <c r="P46" s="145">
        <v>1.0</v>
      </c>
      <c r="Q46" s="145">
        <v>1.0</v>
      </c>
      <c r="R46" s="100"/>
      <c r="S46" s="100"/>
      <c r="T46" s="100"/>
      <c r="U46" s="156"/>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
        <v>133</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
        <v>48</v>
      </c>
      <c r="D49" s="183" t="s">
        <v>49</v>
      </c>
      <c r="E49" s="182" t="s">
        <v>50</v>
      </c>
      <c r="F49" s="184" t="s">
        <v>51</v>
      </c>
      <c r="G49" s="184" t="s">
        <v>134</v>
      </c>
      <c r="H49" s="185" t="s">
        <v>52</v>
      </c>
      <c r="I49" s="184" t="str">
        <f>'テンプレート'!I56</f>
        <v>着地隙</v>
      </c>
      <c r="J49" s="184" t="s">
        <v>136</v>
      </c>
      <c r="K49" s="184" t="str">
        <f>'テンプレート'!K56</f>
        <v>ベクトル</v>
      </c>
      <c r="L49" s="184" t="str">
        <f>'テンプレート'!L56</f>
        <v>KBG (R.E.)</v>
      </c>
      <c r="M49" s="184" t="str">
        <f>'テンプレート'!M56</f>
        <v>BKB (R.A.)</v>
      </c>
      <c r="N49" s="184" t="str">
        <f>'テンプレート'!N56</f>
        <v>FKB (R.F.)</v>
      </c>
      <c r="O49" s="186" t="str">
        <f>'テンプレート'!O56</f>
        <v>盾削り値</v>
      </c>
      <c r="P49" s="184" t="str">
        <f>'テンプレート'!P56</f>
        <v>ﾋｯﾄｽﾄｯﾌﾟ</v>
      </c>
      <c r="Q49" s="186" t="str">
        <f>'テンプレート'!Q56</f>
        <v>ずらし</v>
      </c>
      <c r="R49" s="372" t="str">
        <f>'テンプレート'!R56</f>
        <v>備考</v>
      </c>
      <c r="S49" s="110"/>
      <c r="T49" s="110"/>
      <c r="U49" s="110"/>
      <c r="V49" s="110"/>
    </row>
    <row r="50" outlineLevel="1">
      <c r="A50" s="188" t="s">
        <v>144</v>
      </c>
      <c r="B50" s="525" t="s">
        <v>125</v>
      </c>
      <c r="C50" s="136" t="s">
        <v>563</v>
      </c>
      <c r="D50" s="455" t="s">
        <v>146</v>
      </c>
      <c r="E50" s="526" t="s">
        <v>128</v>
      </c>
      <c r="F50" s="193">
        <v>12.0</v>
      </c>
      <c r="G50" s="193" t="s">
        <v>564</v>
      </c>
      <c r="H50" s="138" t="s">
        <v>147</v>
      </c>
      <c r="I50" s="454" t="str">
        <f t="array" ref="I50">INDEX('空中攻撃'!$O$3:$AA$109, MATCH($A$1,'空中攻撃'!$A$3:$A$109,0), MATCH(A50,'空中攻撃'!$O$2:$S$2,0))</f>
        <v>9</v>
      </c>
      <c r="J50" s="455" t="s">
        <v>565</v>
      </c>
      <c r="K50" s="138"/>
      <c r="L50" s="282"/>
      <c r="M50" s="363"/>
      <c r="N50" s="363"/>
      <c r="O50" s="527">
        <v>0.0</v>
      </c>
      <c r="P50" s="253">
        <v>1.0</v>
      </c>
      <c r="Q50" s="253">
        <v>1.0</v>
      </c>
      <c r="R50" s="163"/>
      <c r="S50" s="164"/>
      <c r="T50" s="164"/>
      <c r="U50" s="164"/>
      <c r="V50" s="104"/>
    </row>
    <row r="51" outlineLevel="1">
      <c r="A51" s="146"/>
      <c r="B51" s="528" t="s">
        <v>131</v>
      </c>
      <c r="C51" s="149" t="s">
        <v>295</v>
      </c>
      <c r="D51" s="210"/>
      <c r="E51" s="158" t="s">
        <v>274</v>
      </c>
      <c r="F51" s="193">
        <v>10.799999999999999</v>
      </c>
      <c r="G51" s="193" t="s">
        <v>566</v>
      </c>
      <c r="H51" s="138" t="s">
        <v>147</v>
      </c>
      <c r="I51" s="146"/>
      <c r="J51" s="210"/>
      <c r="K51" s="138"/>
      <c r="L51" s="282"/>
      <c r="M51" s="363"/>
      <c r="N51" s="363"/>
      <c r="O51" s="527">
        <v>0.0</v>
      </c>
      <c r="P51" s="253">
        <v>1.0</v>
      </c>
      <c r="Q51" s="253">
        <v>1.0</v>
      </c>
      <c r="R51" s="212"/>
      <c r="V51" s="210"/>
    </row>
    <row r="52" outlineLevel="1">
      <c r="A52" s="156"/>
      <c r="B52" s="528" t="s">
        <v>432</v>
      </c>
      <c r="C52" s="149" t="s">
        <v>567</v>
      </c>
      <c r="D52" s="107"/>
      <c r="E52" s="158" t="s">
        <v>80</v>
      </c>
      <c r="F52" s="193">
        <v>9.6</v>
      </c>
      <c r="G52" s="193" t="s">
        <v>568</v>
      </c>
      <c r="H52" s="138" t="s">
        <v>147</v>
      </c>
      <c r="I52" s="156"/>
      <c r="J52" s="107"/>
      <c r="K52" s="138"/>
      <c r="L52" s="282"/>
      <c r="M52" s="363"/>
      <c r="N52" s="363"/>
      <c r="O52" s="527">
        <v>0.0</v>
      </c>
      <c r="P52" s="253">
        <v>1.0</v>
      </c>
      <c r="Q52" s="253">
        <v>1.0</v>
      </c>
      <c r="R52" s="106"/>
      <c r="S52" s="168"/>
      <c r="T52" s="168"/>
      <c r="U52" s="168"/>
      <c r="V52" s="107"/>
    </row>
    <row r="53" outlineLevel="1">
      <c r="A53" s="188" t="s">
        <v>151</v>
      </c>
      <c r="B53" s="528" t="s">
        <v>125</v>
      </c>
      <c r="C53" s="149" t="s">
        <v>217</v>
      </c>
      <c r="D53" s="455" t="s">
        <v>462</v>
      </c>
      <c r="E53" s="158" t="s">
        <v>204</v>
      </c>
      <c r="F53" s="193">
        <v>3.5999999999999996</v>
      </c>
      <c r="G53" s="193" t="s">
        <v>569</v>
      </c>
      <c r="H53" s="138" t="s">
        <v>170</v>
      </c>
      <c r="I53" s="454" t="str">
        <f t="array" ref="I53">INDEX('空中攻撃'!$O$3:$AA$109, MATCH($A$1,'空中攻撃'!$A$3:$A$109,0), MATCH(A53,'空中攻撃'!$O$2:$S$2,0))</f>
        <v>14</v>
      </c>
      <c r="J53" s="455" t="s">
        <v>570</v>
      </c>
      <c r="K53" s="138"/>
      <c r="L53" s="282"/>
      <c r="M53" s="363"/>
      <c r="N53" s="363"/>
      <c r="O53" s="527">
        <v>0.0</v>
      </c>
      <c r="P53" s="253">
        <v>1.0</v>
      </c>
      <c r="Q53" s="145">
        <v>0.8</v>
      </c>
      <c r="R53" s="163"/>
      <c r="S53" s="164"/>
      <c r="T53" s="164"/>
      <c r="U53" s="164"/>
      <c r="V53" s="104"/>
    </row>
    <row r="54" outlineLevel="1">
      <c r="A54" s="146"/>
      <c r="B54" s="529" t="s">
        <v>571</v>
      </c>
      <c r="C54" s="149" t="s">
        <v>572</v>
      </c>
      <c r="D54" s="210"/>
      <c r="E54" s="158" t="s">
        <v>381</v>
      </c>
      <c r="F54" s="193">
        <v>1.92</v>
      </c>
      <c r="G54" s="193" t="s">
        <v>573</v>
      </c>
      <c r="H54" s="138" t="s">
        <v>170</v>
      </c>
      <c r="I54" s="146"/>
      <c r="J54" s="210"/>
      <c r="K54" s="138"/>
      <c r="L54" s="282"/>
      <c r="M54" s="363"/>
      <c r="N54" s="363"/>
      <c r="O54" s="527">
        <v>0.0</v>
      </c>
      <c r="P54" s="253">
        <v>1.0</v>
      </c>
      <c r="Q54" s="145">
        <v>0.8</v>
      </c>
      <c r="R54" s="212"/>
      <c r="V54" s="210"/>
    </row>
    <row r="55" outlineLevel="1">
      <c r="A55" s="156"/>
      <c r="B55" s="528" t="s">
        <v>521</v>
      </c>
      <c r="C55" s="149" t="s">
        <v>574</v>
      </c>
      <c r="D55" s="107"/>
      <c r="E55" s="158" t="s">
        <v>150</v>
      </c>
      <c r="F55" s="193">
        <v>6.0</v>
      </c>
      <c r="G55" s="193" t="s">
        <v>575</v>
      </c>
      <c r="H55" s="138" t="s">
        <v>60</v>
      </c>
      <c r="I55" s="156"/>
      <c r="J55" s="107"/>
      <c r="K55" s="138"/>
      <c r="L55" s="282"/>
      <c r="M55" s="363"/>
      <c r="N55" s="363"/>
      <c r="O55" s="527">
        <v>0.0</v>
      </c>
      <c r="P55" s="530">
        <v>2.2</v>
      </c>
      <c r="Q55" s="145">
        <v>1.0</v>
      </c>
      <c r="R55" s="106"/>
      <c r="S55" s="168"/>
      <c r="T55" s="168"/>
      <c r="U55" s="168"/>
      <c r="V55" s="107"/>
    </row>
    <row r="56" outlineLevel="1">
      <c r="A56" s="188" t="s">
        <v>157</v>
      </c>
      <c r="B56" s="528"/>
      <c r="C56" s="149" t="s">
        <v>220</v>
      </c>
      <c r="D56" s="455" t="s">
        <v>384</v>
      </c>
      <c r="E56" s="158" t="s">
        <v>576</v>
      </c>
      <c r="F56" s="193" t="s">
        <v>577</v>
      </c>
      <c r="G56" s="193" t="s">
        <v>578</v>
      </c>
      <c r="H56" s="138" t="s">
        <v>318</v>
      </c>
      <c r="I56" s="454">
        <f t="array" ref="I56">INDEX('空中攻撃'!$O$3:$AA$109, MATCH($A$1,'空中攻撃'!$A$3:$A$109,0), MATCH(A56,'空中攻撃'!$O$2:$S$2,0))</f>
        <v>14</v>
      </c>
      <c r="J56" s="455" t="s">
        <v>579</v>
      </c>
      <c r="K56" s="138"/>
      <c r="L56" s="282"/>
      <c r="M56" s="363"/>
      <c r="N56" s="363"/>
      <c r="O56" s="527">
        <v>0.0</v>
      </c>
      <c r="P56" s="530">
        <v>1.1</v>
      </c>
      <c r="Q56" s="253">
        <v>1.0</v>
      </c>
      <c r="R56" s="163"/>
      <c r="S56" s="164"/>
      <c r="T56" s="164"/>
      <c r="U56" s="164"/>
      <c r="V56" s="104"/>
    </row>
    <row r="57" outlineLevel="1">
      <c r="A57" s="156"/>
      <c r="B57" s="528" t="s">
        <v>84</v>
      </c>
      <c r="C57" s="157" t="s">
        <v>580</v>
      </c>
      <c r="D57" s="107"/>
      <c r="E57" s="158" t="s">
        <v>274</v>
      </c>
      <c r="F57" s="193">
        <v>10.799999999999999</v>
      </c>
      <c r="G57" s="193" t="s">
        <v>566</v>
      </c>
      <c r="H57" s="138" t="s">
        <v>147</v>
      </c>
      <c r="I57" s="156"/>
      <c r="J57" s="107"/>
      <c r="K57" s="138"/>
      <c r="L57" s="282"/>
      <c r="M57" s="363"/>
      <c r="N57" s="363"/>
      <c r="O57" s="527">
        <v>0.0</v>
      </c>
      <c r="P57" s="253">
        <v>1.0</v>
      </c>
      <c r="Q57" s="253">
        <v>1.0</v>
      </c>
      <c r="R57" s="106"/>
      <c r="S57" s="168"/>
      <c r="T57" s="168"/>
      <c r="U57" s="168"/>
      <c r="V57" s="107"/>
    </row>
    <row r="58" outlineLevel="1">
      <c r="A58" s="188" t="s">
        <v>162</v>
      </c>
      <c r="B58" s="529" t="s">
        <v>152</v>
      </c>
      <c r="C58" s="149" t="s">
        <v>150</v>
      </c>
      <c r="D58" s="452" t="s">
        <v>118</v>
      </c>
      <c r="E58" s="158" t="s">
        <v>204</v>
      </c>
      <c r="F58" s="193">
        <v>3.5999999999999996</v>
      </c>
      <c r="G58" s="193" t="s">
        <v>569</v>
      </c>
      <c r="H58" s="138" t="s">
        <v>170</v>
      </c>
      <c r="I58" s="454" t="str">
        <f t="array" ref="I58">INDEX('空中攻撃'!$O$3:$AA$109, MATCH($A$1,'空中攻撃'!$A$3:$A$109,0), MATCH(A58,'空中攻撃'!$O$2:$S$2,0))</f>
        <v>18</v>
      </c>
      <c r="J58" s="455" t="s">
        <v>581</v>
      </c>
      <c r="K58" s="282"/>
      <c r="L58" s="282"/>
      <c r="M58" s="363"/>
      <c r="N58" s="363"/>
      <c r="O58" s="527">
        <v>0.0</v>
      </c>
      <c r="P58" s="253">
        <v>1.0</v>
      </c>
      <c r="Q58" s="253">
        <v>1.0</v>
      </c>
      <c r="R58" s="163"/>
      <c r="S58" s="164"/>
      <c r="T58" s="164"/>
      <c r="U58" s="164"/>
      <c r="V58" s="104"/>
    </row>
    <row r="59" outlineLevel="1">
      <c r="A59" s="146"/>
      <c r="B59" s="529" t="s">
        <v>199</v>
      </c>
      <c r="C59" s="149" t="s">
        <v>582</v>
      </c>
      <c r="D59" s="210"/>
      <c r="E59" s="150" t="s">
        <v>214</v>
      </c>
      <c r="F59" s="193">
        <v>1.56</v>
      </c>
      <c r="G59" s="193" t="s">
        <v>583</v>
      </c>
      <c r="H59" s="138" t="s">
        <v>170</v>
      </c>
      <c r="I59" s="146"/>
      <c r="J59" s="210"/>
      <c r="K59" s="282"/>
      <c r="L59" s="282"/>
      <c r="M59" s="363"/>
      <c r="N59" s="363"/>
      <c r="O59" s="527">
        <v>0.0</v>
      </c>
      <c r="P59" s="253">
        <v>1.0</v>
      </c>
      <c r="Q59" s="253">
        <v>1.0</v>
      </c>
      <c r="R59" s="212"/>
      <c r="V59" s="210"/>
    </row>
    <row r="60" outlineLevel="1">
      <c r="A60" s="156"/>
      <c r="B60" s="529" t="s">
        <v>202</v>
      </c>
      <c r="C60" s="149" t="s">
        <v>454</v>
      </c>
      <c r="D60" s="107"/>
      <c r="E60" s="158" t="s">
        <v>73</v>
      </c>
      <c r="F60" s="193">
        <v>4.8</v>
      </c>
      <c r="G60" s="193" t="s">
        <v>584</v>
      </c>
      <c r="H60" s="138" t="s">
        <v>60</v>
      </c>
      <c r="I60" s="156"/>
      <c r="J60" s="107"/>
      <c r="K60" s="282"/>
      <c r="L60" s="282"/>
      <c r="M60" s="363"/>
      <c r="N60" s="363"/>
      <c r="O60" s="527">
        <v>0.0</v>
      </c>
      <c r="P60" s="253">
        <v>1.0</v>
      </c>
      <c r="Q60" s="253">
        <v>1.0</v>
      </c>
      <c r="R60" s="106"/>
      <c r="S60" s="168"/>
      <c r="T60" s="168"/>
      <c r="U60" s="168"/>
      <c r="V60" s="107"/>
    </row>
    <row r="61" outlineLevel="1">
      <c r="A61" s="188" t="s">
        <v>166</v>
      </c>
      <c r="B61" s="528" t="s">
        <v>152</v>
      </c>
      <c r="C61" s="149" t="s">
        <v>203</v>
      </c>
      <c r="D61" s="452">
        <v>48.0</v>
      </c>
      <c r="E61" s="158" t="s">
        <v>128</v>
      </c>
      <c r="F61" s="193">
        <v>12.0</v>
      </c>
      <c r="G61" s="193" t="s">
        <v>564</v>
      </c>
      <c r="H61" s="138" t="s">
        <v>147</v>
      </c>
      <c r="I61" s="454">
        <f t="array" ref="I61">INDEX('空中攻撃'!$O$3:$AA$109, MATCH($A$1,'空中攻撃'!$A$3:$A$109,0), MATCH(A61,'空中攻撃'!$O$2:$S$2,0))</f>
        <v>12</v>
      </c>
      <c r="J61" s="455" t="s">
        <v>585</v>
      </c>
      <c r="K61" s="282"/>
      <c r="L61" s="282"/>
      <c r="M61" s="363"/>
      <c r="N61" s="363"/>
      <c r="O61" s="527">
        <v>0.0</v>
      </c>
      <c r="P61" s="253">
        <v>1.0</v>
      </c>
      <c r="Q61" s="253">
        <v>1.0</v>
      </c>
      <c r="R61" s="163"/>
      <c r="S61" s="164"/>
      <c r="T61" s="164"/>
      <c r="U61" s="164"/>
      <c r="V61" s="104"/>
    </row>
    <row r="62" outlineLevel="1">
      <c r="A62" s="146"/>
      <c r="B62" s="528" t="s">
        <v>155</v>
      </c>
      <c r="C62" s="157" t="s">
        <v>378</v>
      </c>
      <c r="D62" s="210"/>
      <c r="E62" s="158" t="s">
        <v>119</v>
      </c>
      <c r="F62" s="193">
        <v>16.8</v>
      </c>
      <c r="G62" s="193" t="s">
        <v>586</v>
      </c>
      <c r="H62" s="138" t="s">
        <v>75</v>
      </c>
      <c r="I62" s="146"/>
      <c r="J62" s="210"/>
      <c r="K62" s="282"/>
      <c r="L62" s="282"/>
      <c r="M62" s="363"/>
      <c r="N62" s="363"/>
      <c r="O62" s="527">
        <v>0.0</v>
      </c>
      <c r="P62" s="253">
        <v>1.0</v>
      </c>
      <c r="Q62" s="253">
        <v>1.0</v>
      </c>
      <c r="R62" s="212"/>
      <c r="V62" s="210"/>
    </row>
    <row r="63" outlineLevel="1">
      <c r="A63" s="156"/>
      <c r="B63" s="528" t="s">
        <v>84</v>
      </c>
      <c r="C63" s="157" t="s">
        <v>288</v>
      </c>
      <c r="D63" s="107"/>
      <c r="E63" s="150" t="s">
        <v>128</v>
      </c>
      <c r="F63" s="193">
        <v>12.0</v>
      </c>
      <c r="G63" s="193" t="s">
        <v>564</v>
      </c>
      <c r="H63" s="138" t="s">
        <v>147</v>
      </c>
      <c r="I63" s="156"/>
      <c r="J63" s="107"/>
      <c r="K63" s="282"/>
      <c r="L63" s="282"/>
      <c r="M63" s="363"/>
      <c r="N63" s="363"/>
      <c r="O63" s="527">
        <v>0.0</v>
      </c>
      <c r="P63" s="253">
        <v>1.0</v>
      </c>
      <c r="Q63" s="253">
        <v>1.0</v>
      </c>
      <c r="R63" s="106"/>
      <c r="S63" s="168"/>
      <c r="T63" s="168"/>
      <c r="U63" s="168"/>
      <c r="V63" s="107"/>
    </row>
    <row r="64" outlineLevel="1">
      <c r="A64" s="188" t="s">
        <v>587</v>
      </c>
      <c r="B64" s="528" t="s">
        <v>125</v>
      </c>
      <c r="C64" s="149" t="s">
        <v>588</v>
      </c>
      <c r="D64" s="455" t="s">
        <v>462</v>
      </c>
      <c r="E64" s="531" t="s">
        <v>535</v>
      </c>
      <c r="F64" s="193">
        <v>3.0</v>
      </c>
      <c r="G64" s="193">
        <v>3.0</v>
      </c>
      <c r="H64" s="138" t="s">
        <v>147</v>
      </c>
      <c r="I64" s="166">
        <v>8.0</v>
      </c>
      <c r="J64" s="532"/>
      <c r="K64" s="282"/>
      <c r="L64" s="282"/>
      <c r="M64" s="363"/>
      <c r="N64" s="363"/>
      <c r="O64" s="527">
        <v>0.0</v>
      </c>
      <c r="P64" s="253">
        <v>1.0</v>
      </c>
      <c r="Q64" s="253">
        <v>1.0</v>
      </c>
      <c r="R64" s="163" t="s">
        <v>589</v>
      </c>
      <c r="S64" s="164"/>
      <c r="T64" s="164"/>
      <c r="U64" s="164"/>
      <c r="V64" s="104"/>
    </row>
    <row r="65" outlineLevel="1">
      <c r="A65" s="156"/>
      <c r="B65" s="528" t="s">
        <v>131</v>
      </c>
      <c r="C65" s="517" t="s">
        <v>409</v>
      </c>
      <c r="D65" s="107"/>
      <c r="E65" s="531" t="s">
        <v>73</v>
      </c>
      <c r="F65" s="193">
        <v>4.8</v>
      </c>
      <c r="G65" s="193">
        <v>4.8</v>
      </c>
      <c r="H65" s="138" t="s">
        <v>75</v>
      </c>
      <c r="I65" s="156"/>
      <c r="J65" s="156"/>
      <c r="K65" s="282"/>
      <c r="L65" s="282"/>
      <c r="M65" s="363"/>
      <c r="N65" s="363"/>
      <c r="O65" s="527">
        <v>0.0</v>
      </c>
      <c r="P65" s="253">
        <v>1.0</v>
      </c>
      <c r="Q65" s="253">
        <v>1.0</v>
      </c>
      <c r="R65" s="106"/>
      <c r="S65" s="168"/>
      <c r="T65" s="168"/>
      <c r="U65" s="168"/>
      <c r="V65" s="107"/>
    </row>
    <row r="66">
      <c r="A66" s="223"/>
      <c r="B66" s="224"/>
      <c r="C66" s="225"/>
      <c r="D66" s="225"/>
      <c r="E66" s="226"/>
      <c r="F66" s="226"/>
      <c r="G66" s="226"/>
      <c r="H66" s="227"/>
      <c r="I66" s="227"/>
      <c r="J66" s="228"/>
      <c r="K66" s="228"/>
      <c r="L66" s="228"/>
      <c r="M66" s="228"/>
      <c r="N66" s="228"/>
      <c r="O66" s="228"/>
      <c r="P66" s="228"/>
      <c r="Q66" s="118"/>
      <c r="R66" s="118"/>
      <c r="S66" s="118"/>
      <c r="T66" s="118"/>
      <c r="U66" s="118"/>
      <c r="V66" s="118"/>
    </row>
    <row r="67">
      <c r="A67" s="229" t="s">
        <v>177</v>
      </c>
      <c r="B67" s="109"/>
      <c r="C67" s="225"/>
      <c r="D67" s="225"/>
      <c r="E67" s="226"/>
      <c r="F67" s="226"/>
      <c r="G67" s="226"/>
      <c r="H67" s="227"/>
      <c r="I67" s="227"/>
      <c r="J67" s="228"/>
      <c r="K67" s="228"/>
      <c r="L67" s="228"/>
      <c r="M67" s="228"/>
      <c r="N67" s="228"/>
      <c r="O67" s="228"/>
      <c r="P67" s="228"/>
      <c r="Q67" s="118"/>
      <c r="R67" s="118"/>
      <c r="S67" s="118"/>
      <c r="T67" s="118"/>
      <c r="U67" s="118"/>
      <c r="V67" s="118"/>
    </row>
    <row r="68" outlineLevel="1">
      <c r="A68" s="230" t="s">
        <v>590</v>
      </c>
      <c r="B68" s="109"/>
      <c r="C68" s="231" t="s">
        <v>48</v>
      </c>
      <c r="D68" s="231" t="s">
        <v>49</v>
      </c>
      <c r="E68" s="232" t="s">
        <v>50</v>
      </c>
      <c r="F68" s="233" t="s">
        <v>51</v>
      </c>
      <c r="G68" s="232" t="s">
        <v>52</v>
      </c>
      <c r="H68" s="382" t="s">
        <v>53</v>
      </c>
      <c r="I68" s="110"/>
      <c r="J68" s="109"/>
      <c r="K68" s="235" t="s">
        <v>137</v>
      </c>
      <c r="L68" s="235" t="s">
        <v>138</v>
      </c>
      <c r="M68" s="235" t="s">
        <v>139</v>
      </c>
      <c r="N68" s="235" t="s">
        <v>140</v>
      </c>
      <c r="O68" s="236" t="s">
        <v>141</v>
      </c>
      <c r="P68" s="235" t="s">
        <v>142</v>
      </c>
      <c r="Q68" s="236" t="s">
        <v>143</v>
      </c>
      <c r="R68" s="235" t="s">
        <v>179</v>
      </c>
      <c r="S68" s="236" t="s">
        <v>180</v>
      </c>
      <c r="T68" s="236" t="s">
        <v>181</v>
      </c>
      <c r="U68" s="236" t="s">
        <v>182</v>
      </c>
      <c r="V68" s="236" t="s">
        <v>183</v>
      </c>
    </row>
    <row r="69" ht="19.5" customHeight="1" outlineLevel="1">
      <c r="A69" s="237" t="s">
        <v>332</v>
      </c>
      <c r="B69" s="242" t="s">
        <v>473</v>
      </c>
      <c r="C69" s="150" t="s">
        <v>591</v>
      </c>
      <c r="D69" s="149" t="s">
        <v>393</v>
      </c>
      <c r="E69" s="239" t="s">
        <v>150</v>
      </c>
      <c r="F69" s="138">
        <v>6.0</v>
      </c>
      <c r="G69" s="239" t="s">
        <v>60</v>
      </c>
      <c r="H69" s="163" t="s">
        <v>592</v>
      </c>
      <c r="I69" s="164"/>
      <c r="J69" s="104"/>
      <c r="K69" s="282"/>
      <c r="L69" s="282"/>
      <c r="M69" s="363"/>
      <c r="N69" s="363"/>
      <c r="O69" s="138">
        <v>0.0</v>
      </c>
      <c r="P69" s="138">
        <v>1.0</v>
      </c>
      <c r="Q69" s="138">
        <v>1.0</v>
      </c>
      <c r="R69" s="145" t="b">
        <v>1</v>
      </c>
      <c r="S69" s="145"/>
      <c r="T69" s="145" t="b">
        <v>1</v>
      </c>
      <c r="U69" s="166" t="s">
        <v>186</v>
      </c>
      <c r="V69" s="166" t="b">
        <v>1</v>
      </c>
    </row>
    <row r="70" ht="19.5" customHeight="1" outlineLevel="1">
      <c r="A70" s="146"/>
      <c r="B70" s="242" t="s">
        <v>340</v>
      </c>
      <c r="C70" s="150" t="s">
        <v>591</v>
      </c>
      <c r="D70" s="157" t="s">
        <v>424</v>
      </c>
      <c r="E70" s="239" t="s">
        <v>593</v>
      </c>
      <c r="F70" s="138">
        <v>33.6</v>
      </c>
      <c r="G70" s="239" t="s">
        <v>123</v>
      </c>
      <c r="H70" s="212"/>
      <c r="J70" s="210"/>
      <c r="K70" s="282"/>
      <c r="L70" s="282"/>
      <c r="M70" s="363"/>
      <c r="N70" s="363"/>
      <c r="O70" s="138">
        <v>3.0</v>
      </c>
      <c r="P70" s="138">
        <v>0.7</v>
      </c>
      <c r="Q70" s="138">
        <v>1.0</v>
      </c>
      <c r="R70" s="145" t="b">
        <v>1</v>
      </c>
      <c r="S70" s="145"/>
      <c r="T70" s="145" t="b">
        <v>1</v>
      </c>
      <c r="U70" s="146"/>
      <c r="V70" s="146"/>
    </row>
    <row r="71" ht="19.5" customHeight="1" outlineLevel="1">
      <c r="A71" s="237" t="s">
        <v>344</v>
      </c>
      <c r="B71" s="242" t="s">
        <v>473</v>
      </c>
      <c r="C71" s="150" t="s">
        <v>591</v>
      </c>
      <c r="D71" s="149" t="s">
        <v>146</v>
      </c>
      <c r="E71" s="239" t="s">
        <v>150</v>
      </c>
      <c r="F71" s="138">
        <v>6.0</v>
      </c>
      <c r="G71" s="239" t="s">
        <v>60</v>
      </c>
      <c r="H71" s="212"/>
      <c r="J71" s="210"/>
      <c r="K71" s="533"/>
      <c r="L71" s="533"/>
      <c r="M71" s="533"/>
      <c r="N71" s="533"/>
      <c r="O71" s="533"/>
      <c r="P71" s="533"/>
      <c r="Q71" s="533"/>
      <c r="R71" s="533"/>
      <c r="S71" s="533"/>
      <c r="T71" s="533"/>
      <c r="U71" s="146"/>
      <c r="V71" s="146"/>
    </row>
    <row r="72" ht="19.5" customHeight="1" outlineLevel="1">
      <c r="A72" s="146"/>
      <c r="B72" s="242" t="s">
        <v>340</v>
      </c>
      <c r="C72" s="150" t="s">
        <v>591</v>
      </c>
      <c r="D72" s="149" t="s">
        <v>146</v>
      </c>
      <c r="E72" s="239" t="s">
        <v>593</v>
      </c>
      <c r="F72" s="138">
        <v>33.6</v>
      </c>
      <c r="G72" s="239" t="s">
        <v>123</v>
      </c>
      <c r="H72" s="106"/>
      <c r="I72" s="168"/>
      <c r="J72" s="107"/>
      <c r="K72" s="533"/>
      <c r="L72" s="533"/>
      <c r="M72" s="533"/>
      <c r="N72" s="533"/>
      <c r="O72" s="533"/>
      <c r="P72" s="533"/>
      <c r="Q72" s="533"/>
      <c r="R72" s="533"/>
      <c r="S72" s="533"/>
      <c r="T72" s="533"/>
      <c r="U72" s="156"/>
      <c r="V72" s="156"/>
    </row>
    <row r="73" outlineLevel="1">
      <c r="A73" s="230" t="s">
        <v>594</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237" t="s">
        <v>332</v>
      </c>
      <c r="B74" s="468" t="s">
        <v>595</v>
      </c>
      <c r="C74" s="453" t="s">
        <v>596</v>
      </c>
      <c r="D74" s="584" t="s">
        <v>289</v>
      </c>
      <c r="E74" s="239" t="s">
        <v>80</v>
      </c>
      <c r="F74" s="138">
        <v>9.6</v>
      </c>
      <c r="G74" s="239" t="s">
        <v>60</v>
      </c>
      <c r="H74" s="163" t="s">
        <v>597</v>
      </c>
      <c r="I74" s="164"/>
      <c r="J74" s="104"/>
      <c r="K74" s="282"/>
      <c r="L74" s="282"/>
      <c r="M74" s="363"/>
      <c r="N74" s="363"/>
      <c r="O74" s="138">
        <v>5.0</v>
      </c>
      <c r="P74" s="138">
        <v>1.0</v>
      </c>
      <c r="Q74" s="138">
        <v>1.0</v>
      </c>
      <c r="R74" s="145" t="b">
        <v>1</v>
      </c>
      <c r="S74" s="145" t="b">
        <v>0</v>
      </c>
      <c r="T74" s="145" t="b">
        <v>1</v>
      </c>
      <c r="U74" s="166" t="b">
        <v>0</v>
      </c>
      <c r="V74" s="166" t="b">
        <v>1</v>
      </c>
    </row>
    <row r="75" outlineLevel="1">
      <c r="A75" s="146"/>
      <c r="B75" s="471" t="s">
        <v>598</v>
      </c>
      <c r="C75" s="460" t="s">
        <v>599</v>
      </c>
      <c r="D75" s="535" t="s">
        <v>600</v>
      </c>
      <c r="E75" s="239" t="s">
        <v>129</v>
      </c>
      <c r="F75" s="138">
        <v>14.399999999999999</v>
      </c>
      <c r="G75" s="239" t="s">
        <v>147</v>
      </c>
      <c r="H75" s="212"/>
      <c r="J75" s="210"/>
      <c r="K75" s="138"/>
      <c r="L75" s="138"/>
      <c r="M75" s="145"/>
      <c r="N75" s="145"/>
      <c r="O75" s="138"/>
      <c r="P75" s="138"/>
      <c r="Q75" s="138"/>
      <c r="R75" s="145"/>
      <c r="S75" s="145"/>
      <c r="T75" s="145"/>
      <c r="U75" s="146"/>
      <c r="V75" s="146"/>
    </row>
    <row r="76" outlineLevel="1">
      <c r="A76" s="237" t="s">
        <v>344</v>
      </c>
      <c r="B76" s="468" t="s">
        <v>595</v>
      </c>
      <c r="C76" s="453" t="s">
        <v>596</v>
      </c>
      <c r="D76" s="535" t="s">
        <v>462</v>
      </c>
      <c r="E76" s="239" t="s">
        <v>80</v>
      </c>
      <c r="F76" s="138">
        <v>9.6</v>
      </c>
      <c r="G76" s="239" t="s">
        <v>60</v>
      </c>
      <c r="H76" s="212"/>
      <c r="J76" s="210"/>
      <c r="K76" s="138"/>
      <c r="L76" s="138"/>
      <c r="M76" s="145"/>
      <c r="N76" s="145"/>
      <c r="O76" s="138"/>
      <c r="P76" s="138"/>
      <c r="Q76" s="138"/>
      <c r="R76" s="145"/>
      <c r="S76" s="145"/>
      <c r="T76" s="145"/>
      <c r="U76" s="146"/>
      <c r="V76" s="146"/>
    </row>
    <row r="77" outlineLevel="1">
      <c r="A77" s="146"/>
      <c r="B77" s="471" t="s">
        <v>598</v>
      </c>
      <c r="C77" s="460" t="s">
        <v>599</v>
      </c>
      <c r="D77" s="536" t="s">
        <v>601</v>
      </c>
      <c r="E77" s="239" t="s">
        <v>129</v>
      </c>
      <c r="F77" s="138">
        <v>14.399999999999999</v>
      </c>
      <c r="G77" s="239" t="s">
        <v>147</v>
      </c>
      <c r="H77" s="106"/>
      <c r="I77" s="168"/>
      <c r="J77" s="107"/>
      <c r="K77" s="138"/>
      <c r="L77" s="138"/>
      <c r="M77" s="145"/>
      <c r="N77" s="145"/>
      <c r="O77" s="138">
        <v>10.0</v>
      </c>
      <c r="P77" s="138">
        <v>1.0</v>
      </c>
      <c r="Q77" s="138">
        <v>1.0</v>
      </c>
      <c r="R77" s="145" t="b">
        <v>1</v>
      </c>
      <c r="S77" s="145" t="b">
        <v>0</v>
      </c>
      <c r="T77" s="145" t="b">
        <v>1</v>
      </c>
      <c r="U77" s="156"/>
      <c r="V77" s="156"/>
    </row>
    <row r="78" outlineLevel="1">
      <c r="A78" s="230" t="s">
        <v>602</v>
      </c>
      <c r="B78" s="109"/>
      <c r="C78" s="231" t="s">
        <v>48</v>
      </c>
      <c r="D78" s="231" t="s">
        <v>49</v>
      </c>
      <c r="E78" s="232" t="s">
        <v>50</v>
      </c>
      <c r="F78" s="233" t="s">
        <v>51</v>
      </c>
      <c r="G78" s="232" t="s">
        <v>52</v>
      </c>
      <c r="H78" s="382" t="s">
        <v>53</v>
      </c>
      <c r="I78" s="110"/>
      <c r="J78" s="109"/>
      <c r="K78" s="235" t="s">
        <v>137</v>
      </c>
      <c r="L78" s="235" t="s">
        <v>138</v>
      </c>
      <c r="M78" s="235" t="s">
        <v>139</v>
      </c>
      <c r="N78" s="235" t="s">
        <v>140</v>
      </c>
      <c r="O78" s="236" t="s">
        <v>141</v>
      </c>
      <c r="P78" s="235" t="s">
        <v>142</v>
      </c>
      <c r="Q78" s="236" t="s">
        <v>143</v>
      </c>
      <c r="R78" s="235" t="s">
        <v>179</v>
      </c>
      <c r="S78" s="236" t="s">
        <v>180</v>
      </c>
      <c r="T78" s="236" t="s">
        <v>181</v>
      </c>
      <c r="U78" s="236" t="s">
        <v>182</v>
      </c>
      <c r="V78" s="236" t="s">
        <v>183</v>
      </c>
    </row>
    <row r="79" outlineLevel="1">
      <c r="A79" s="383" t="s">
        <v>332</v>
      </c>
      <c r="B79" s="384" t="s">
        <v>152</v>
      </c>
      <c r="C79" s="136" t="s">
        <v>270</v>
      </c>
      <c r="D79" s="400"/>
      <c r="E79" s="137" t="s">
        <v>204</v>
      </c>
      <c r="F79" s="138">
        <v>3.5999999999999996</v>
      </c>
      <c r="G79" s="139" t="s">
        <v>147</v>
      </c>
      <c r="H79" s="163" t="s">
        <v>603</v>
      </c>
      <c r="I79" s="164"/>
      <c r="J79" s="104"/>
      <c r="K79" s="138"/>
      <c r="L79" s="138"/>
      <c r="M79" s="145"/>
      <c r="N79" s="145"/>
      <c r="O79" s="538">
        <v>3.0</v>
      </c>
      <c r="P79" s="252">
        <v>1.0</v>
      </c>
      <c r="Q79" s="539">
        <v>0.5</v>
      </c>
      <c r="R79" s="145" t="b">
        <v>1</v>
      </c>
      <c r="S79" s="145" t="b">
        <v>1</v>
      </c>
      <c r="T79" s="145"/>
      <c r="U79" s="166" t="s">
        <v>186</v>
      </c>
      <c r="V79" s="166" t="b">
        <v>1</v>
      </c>
    </row>
    <row r="80" outlineLevel="1">
      <c r="A80" s="146"/>
      <c r="B80" s="540" t="s">
        <v>604</v>
      </c>
      <c r="C80" s="149" t="s">
        <v>605</v>
      </c>
      <c r="D80" s="146"/>
      <c r="E80" s="158" t="s">
        <v>213</v>
      </c>
      <c r="F80" s="138">
        <v>1.2</v>
      </c>
      <c r="G80" s="541"/>
      <c r="H80" s="212"/>
      <c r="J80" s="210"/>
      <c r="K80" s="138"/>
      <c r="L80" s="138"/>
      <c r="M80" s="145"/>
      <c r="N80" s="145"/>
      <c r="O80" s="542">
        <v>3.0</v>
      </c>
      <c r="P80" s="256">
        <v>1.0</v>
      </c>
      <c r="Q80" s="543">
        <v>0.2</v>
      </c>
      <c r="R80" s="145" t="b">
        <v>1</v>
      </c>
      <c r="S80" s="145"/>
      <c r="T80" s="145"/>
      <c r="U80" s="146"/>
      <c r="V80" s="146"/>
    </row>
    <row r="81" outlineLevel="1">
      <c r="A81" s="146"/>
      <c r="B81" s="540" t="s">
        <v>606</v>
      </c>
      <c r="C81" s="149" t="s">
        <v>607</v>
      </c>
      <c r="D81" s="146"/>
      <c r="E81" s="158" t="s">
        <v>213</v>
      </c>
      <c r="F81" s="138">
        <v>1.2</v>
      </c>
      <c r="G81" s="541"/>
      <c r="H81" s="212"/>
      <c r="J81" s="210"/>
      <c r="K81" s="138"/>
      <c r="L81" s="138"/>
      <c r="M81" s="145"/>
      <c r="N81" s="145"/>
      <c r="O81" s="542"/>
      <c r="P81" s="256"/>
      <c r="Q81" s="543"/>
      <c r="R81" s="145" t="b">
        <v>0</v>
      </c>
      <c r="S81" s="145" t="b">
        <v>0</v>
      </c>
      <c r="T81" s="145" t="b">
        <v>0</v>
      </c>
      <c r="U81" s="146"/>
      <c r="V81" s="146"/>
    </row>
    <row r="82" outlineLevel="1">
      <c r="A82" s="146"/>
      <c r="B82" s="540" t="s">
        <v>608</v>
      </c>
      <c r="C82" s="149" t="s">
        <v>609</v>
      </c>
      <c r="D82" s="146"/>
      <c r="E82" s="158" t="s">
        <v>213</v>
      </c>
      <c r="F82" s="138">
        <v>1.2</v>
      </c>
      <c r="G82" s="541"/>
      <c r="H82" s="212"/>
      <c r="J82" s="210"/>
      <c r="K82" s="138"/>
      <c r="L82" s="138"/>
      <c r="M82" s="145"/>
      <c r="N82" s="145"/>
      <c r="O82" s="542"/>
      <c r="P82" s="544"/>
      <c r="Q82" s="256"/>
      <c r="R82" s="145" t="b">
        <v>0</v>
      </c>
      <c r="S82" s="145" t="b">
        <v>0</v>
      </c>
      <c r="T82" s="145" t="b">
        <v>0</v>
      </c>
      <c r="U82" s="146"/>
      <c r="V82" s="146"/>
    </row>
    <row r="83" outlineLevel="1">
      <c r="A83" s="156"/>
      <c r="B83" s="540" t="s">
        <v>202</v>
      </c>
      <c r="C83" s="157" t="s">
        <v>610</v>
      </c>
      <c r="D83" s="146"/>
      <c r="E83" s="150" t="s">
        <v>176</v>
      </c>
      <c r="F83" s="138">
        <v>2.4</v>
      </c>
      <c r="G83" s="541"/>
      <c r="H83" s="212"/>
      <c r="J83" s="210"/>
      <c r="K83" s="138"/>
      <c r="L83" s="138"/>
      <c r="M83" s="145"/>
      <c r="N83" s="145"/>
      <c r="O83" s="542">
        <v>3.0</v>
      </c>
      <c r="P83" s="544">
        <v>2.0</v>
      </c>
      <c r="Q83" s="256">
        <v>1.0</v>
      </c>
      <c r="R83" s="145" t="b">
        <v>1</v>
      </c>
      <c r="S83" s="145" t="b">
        <v>0</v>
      </c>
      <c r="T83" s="145"/>
      <c r="U83" s="146"/>
      <c r="V83" s="146"/>
    </row>
    <row r="84" outlineLevel="1">
      <c r="A84" s="389" t="s">
        <v>344</v>
      </c>
      <c r="B84" s="540" t="s">
        <v>604</v>
      </c>
      <c r="C84" s="149" t="s">
        <v>611</v>
      </c>
      <c r="D84" s="146"/>
      <c r="E84" s="158" t="s">
        <v>213</v>
      </c>
      <c r="F84" s="138">
        <v>1.2</v>
      </c>
      <c r="G84" s="139" t="s">
        <v>170</v>
      </c>
      <c r="H84" s="212"/>
      <c r="J84" s="210"/>
      <c r="K84" s="138"/>
      <c r="L84" s="138"/>
      <c r="M84" s="145"/>
      <c r="N84" s="145"/>
      <c r="O84" s="542">
        <v>3.0</v>
      </c>
      <c r="P84" s="256">
        <v>1.0</v>
      </c>
      <c r="Q84" s="545" t="s">
        <v>612</v>
      </c>
      <c r="R84" s="145" t="b">
        <v>1</v>
      </c>
      <c r="S84" s="145" t="b">
        <v>0</v>
      </c>
      <c r="T84" s="145"/>
      <c r="U84" s="146"/>
      <c r="V84" s="146"/>
    </row>
    <row r="85" outlineLevel="1">
      <c r="A85" s="146"/>
      <c r="B85" s="540" t="s">
        <v>606</v>
      </c>
      <c r="C85" s="149" t="s">
        <v>613</v>
      </c>
      <c r="D85" s="146"/>
      <c r="E85" s="158" t="s">
        <v>213</v>
      </c>
      <c r="F85" s="138">
        <v>1.2</v>
      </c>
      <c r="G85" s="139" t="s">
        <v>170</v>
      </c>
      <c r="H85" s="212"/>
      <c r="J85" s="210"/>
      <c r="K85" s="138"/>
      <c r="L85" s="138"/>
      <c r="M85" s="145"/>
      <c r="N85" s="145"/>
      <c r="O85" s="542"/>
      <c r="P85" s="544"/>
      <c r="Q85" s="256"/>
      <c r="R85" s="145" t="b">
        <v>0</v>
      </c>
      <c r="S85" s="145" t="b">
        <v>0</v>
      </c>
      <c r="T85" s="145" t="b">
        <v>0</v>
      </c>
      <c r="U85" s="146"/>
      <c r="V85" s="146"/>
    </row>
    <row r="86" outlineLevel="1">
      <c r="A86" s="156"/>
      <c r="B86" s="540" t="s">
        <v>202</v>
      </c>
      <c r="C86" s="157" t="s">
        <v>562</v>
      </c>
      <c r="D86" s="156"/>
      <c r="E86" s="158" t="s">
        <v>213</v>
      </c>
      <c r="F86" s="138">
        <v>1.2</v>
      </c>
      <c r="G86" s="139" t="s">
        <v>170</v>
      </c>
      <c r="H86" s="106"/>
      <c r="I86" s="168"/>
      <c r="J86" s="107"/>
      <c r="K86" s="138"/>
      <c r="L86" s="138"/>
      <c r="M86" s="145"/>
      <c r="N86" s="145"/>
      <c r="O86" s="542">
        <v>3.0</v>
      </c>
      <c r="P86" s="544">
        <v>2.0</v>
      </c>
      <c r="Q86" s="256">
        <v>1.0</v>
      </c>
      <c r="R86" s="145" t="b">
        <v>1</v>
      </c>
      <c r="S86" s="145" t="b">
        <v>0</v>
      </c>
      <c r="T86" s="145"/>
      <c r="U86" s="156"/>
      <c r="V86" s="156"/>
    </row>
    <row r="87" outlineLevel="1">
      <c r="A87" s="230" t="s">
        <v>614</v>
      </c>
      <c r="B87" s="109"/>
      <c r="C87" s="231" t="s">
        <v>48</v>
      </c>
      <c r="D87" s="231" t="s">
        <v>49</v>
      </c>
      <c r="E87" s="232" t="s">
        <v>50</v>
      </c>
      <c r="F87" s="233" t="s">
        <v>51</v>
      </c>
      <c r="G87" s="232" t="s">
        <v>52</v>
      </c>
      <c r="H87" s="382" t="s">
        <v>53</v>
      </c>
      <c r="I87" s="110"/>
      <c r="J87" s="109"/>
      <c r="K87" s="235" t="s">
        <v>137</v>
      </c>
      <c r="L87" s="235" t="s">
        <v>138</v>
      </c>
      <c r="M87" s="235" t="s">
        <v>139</v>
      </c>
      <c r="N87" s="235" t="s">
        <v>140</v>
      </c>
      <c r="O87" s="236" t="s">
        <v>141</v>
      </c>
      <c r="P87" s="235" t="s">
        <v>142</v>
      </c>
      <c r="Q87" s="236" t="s">
        <v>143</v>
      </c>
      <c r="R87" s="235" t="s">
        <v>179</v>
      </c>
      <c r="S87" s="236" t="s">
        <v>180</v>
      </c>
      <c r="T87" s="236" t="s">
        <v>181</v>
      </c>
      <c r="U87" s="236" t="s">
        <v>182</v>
      </c>
      <c r="V87" s="236" t="s">
        <v>183</v>
      </c>
    </row>
    <row r="88" outlineLevel="1">
      <c r="A88" s="546" t="s">
        <v>184</v>
      </c>
      <c r="B88" s="249" t="s">
        <v>615</v>
      </c>
      <c r="C88" s="136" t="s">
        <v>616</v>
      </c>
      <c r="D88" s="547" t="s">
        <v>111</v>
      </c>
      <c r="E88" s="585" t="s">
        <v>73</v>
      </c>
      <c r="F88" s="138">
        <v>4.8</v>
      </c>
      <c r="G88" s="239" t="s">
        <v>170</v>
      </c>
      <c r="H88" s="550"/>
      <c r="I88" s="164"/>
      <c r="J88" s="104"/>
      <c r="K88" s="138"/>
      <c r="L88" s="138"/>
      <c r="M88" s="145"/>
      <c r="N88" s="145"/>
      <c r="O88" s="138">
        <v>6.0</v>
      </c>
      <c r="P88" s="138">
        <v>0.6</v>
      </c>
      <c r="Q88" s="138">
        <v>1.0</v>
      </c>
      <c r="R88" s="145" t="b">
        <v>1</v>
      </c>
      <c r="S88" s="145" t="b">
        <v>0</v>
      </c>
      <c r="T88" s="145" t="b">
        <v>1</v>
      </c>
      <c r="U88" s="166" t="b">
        <v>0</v>
      </c>
      <c r="V88" s="166" t="b">
        <v>0</v>
      </c>
    </row>
    <row r="89" outlineLevel="1">
      <c r="A89" s="146"/>
      <c r="B89" s="255" t="s">
        <v>617</v>
      </c>
      <c r="C89" s="136" t="s">
        <v>616</v>
      </c>
      <c r="D89" s="458" t="s">
        <v>541</v>
      </c>
      <c r="E89" s="585" t="s">
        <v>73</v>
      </c>
      <c r="F89" s="138">
        <v>4.8</v>
      </c>
      <c r="G89" s="239" t="s">
        <v>170</v>
      </c>
      <c r="H89" s="212"/>
      <c r="J89" s="210"/>
      <c r="K89" s="138"/>
      <c r="L89" s="138"/>
      <c r="M89" s="145"/>
      <c r="N89" s="145"/>
      <c r="O89" s="138"/>
      <c r="P89" s="138"/>
      <c r="Q89" s="138"/>
      <c r="R89" s="145"/>
      <c r="S89" s="145"/>
      <c r="T89" s="145"/>
      <c r="U89" s="146"/>
      <c r="V89" s="146"/>
    </row>
    <row r="90" outlineLevel="1">
      <c r="A90" s="146"/>
      <c r="B90" s="407" t="s">
        <v>618</v>
      </c>
      <c r="C90" s="157" t="s">
        <v>619</v>
      </c>
      <c r="D90" s="477"/>
      <c r="E90" s="551" t="s">
        <v>150</v>
      </c>
      <c r="F90" s="138">
        <v>6.0</v>
      </c>
      <c r="G90" s="239" t="s">
        <v>60</v>
      </c>
      <c r="H90" s="212"/>
      <c r="J90" s="210"/>
      <c r="K90" s="138"/>
      <c r="L90" s="138"/>
      <c r="M90" s="145"/>
      <c r="N90" s="145"/>
      <c r="O90" s="138">
        <v>6.0</v>
      </c>
      <c r="P90" s="138">
        <v>0.3</v>
      </c>
      <c r="Q90" s="138">
        <v>1.0</v>
      </c>
      <c r="R90" s="145" t="b">
        <v>1</v>
      </c>
      <c r="S90" s="145" t="b">
        <v>0</v>
      </c>
      <c r="T90" s="145" t="b">
        <v>1</v>
      </c>
      <c r="U90" s="146"/>
      <c r="V90" s="146"/>
    </row>
    <row r="91" outlineLevel="1">
      <c r="A91" s="156"/>
      <c r="B91" s="407" t="s">
        <v>620</v>
      </c>
      <c r="C91" s="477"/>
      <c r="D91" s="149" t="s">
        <v>541</v>
      </c>
      <c r="E91" s="477"/>
      <c r="F91" s="477"/>
      <c r="G91" s="477"/>
      <c r="H91" s="106"/>
      <c r="I91" s="168"/>
      <c r="J91" s="107"/>
      <c r="K91" s="552"/>
      <c r="L91" s="552"/>
      <c r="M91" s="552"/>
      <c r="N91" s="552"/>
      <c r="O91" s="552"/>
      <c r="P91" s="552"/>
      <c r="Q91" s="552"/>
      <c r="R91" s="552"/>
      <c r="S91" s="552"/>
      <c r="T91" s="552"/>
      <c r="U91" s="156"/>
      <c r="V91" s="156"/>
    </row>
    <row r="92">
      <c r="A92" s="223"/>
      <c r="B92" s="224"/>
      <c r="C92" s="225"/>
      <c r="D92" s="225"/>
      <c r="E92" s="226"/>
      <c r="F92" s="226"/>
      <c r="G92" s="226"/>
      <c r="H92" s="227"/>
      <c r="I92" s="227"/>
      <c r="J92" s="228"/>
      <c r="K92" s="228"/>
      <c r="L92" s="228"/>
      <c r="M92" s="228"/>
      <c r="N92" s="228"/>
      <c r="O92" s="228"/>
      <c r="P92" s="228"/>
      <c r="Q92" s="118"/>
      <c r="R92" s="118"/>
      <c r="S92" s="118"/>
      <c r="T92" s="118"/>
      <c r="U92" s="118"/>
      <c r="V92" s="118"/>
    </row>
    <row r="93">
      <c r="A93" s="264" t="s">
        <v>211</v>
      </c>
      <c r="B93" s="104"/>
      <c r="C93" s="227"/>
      <c r="D93" s="227"/>
      <c r="E93" s="228"/>
      <c r="F93" s="265"/>
      <c r="G93" s="265"/>
      <c r="H93" s="228"/>
      <c r="I93" s="228"/>
      <c r="J93" s="228"/>
      <c r="K93" s="228"/>
      <c r="L93" s="228"/>
      <c r="M93" s="228"/>
      <c r="N93" s="118"/>
      <c r="O93" s="118"/>
      <c r="P93" s="118"/>
      <c r="Q93" s="228"/>
      <c r="R93" s="228"/>
      <c r="S93" s="228"/>
      <c r="T93" s="228"/>
      <c r="U93" s="228"/>
      <c r="V93" s="228"/>
    </row>
    <row r="94" outlineLevel="1">
      <c r="A94" s="106"/>
      <c r="B94" s="107"/>
      <c r="C94" s="266" t="s">
        <v>48</v>
      </c>
      <c r="D94" s="266" t="s">
        <v>49</v>
      </c>
      <c r="E94" s="266" t="s">
        <v>50</v>
      </c>
      <c r="F94" s="267" t="s">
        <v>51</v>
      </c>
      <c r="G94" s="227"/>
      <c r="H94" s="227"/>
      <c r="I94" s="227"/>
      <c r="J94" s="228"/>
      <c r="K94" s="228"/>
      <c r="L94" s="228"/>
      <c r="M94" s="228"/>
      <c r="N94" s="228"/>
      <c r="O94" s="228"/>
      <c r="P94" s="228"/>
      <c r="Q94" s="228"/>
      <c r="R94" s="228"/>
      <c r="S94" s="228"/>
      <c r="T94" s="228"/>
      <c r="U94" s="228"/>
      <c r="V94" s="228"/>
    </row>
    <row r="95" outlineLevel="1">
      <c r="A95" s="268" t="s">
        <v>212</v>
      </c>
      <c r="B95" s="269" t="s">
        <v>212</v>
      </c>
      <c r="C95" s="113" t="s">
        <v>213</v>
      </c>
      <c r="D95" s="113" t="s">
        <v>86</v>
      </c>
      <c r="E95" s="113" t="s">
        <v>214</v>
      </c>
      <c r="F95" s="138">
        <v>1.56</v>
      </c>
      <c r="G95" s="227"/>
      <c r="H95" s="227"/>
      <c r="I95" s="227"/>
      <c r="J95" s="228"/>
      <c r="K95" s="228"/>
      <c r="L95" s="228"/>
      <c r="M95" s="228"/>
      <c r="N95" s="228"/>
      <c r="O95" s="228"/>
      <c r="P95" s="228"/>
      <c r="Q95" s="228"/>
      <c r="R95" s="228"/>
      <c r="S95" s="228"/>
      <c r="T95" s="228"/>
      <c r="U95" s="228"/>
      <c r="V95" s="228"/>
    </row>
    <row r="96" outlineLevel="1">
      <c r="A96" s="270" t="s">
        <v>215</v>
      </c>
      <c r="B96" s="269" t="s">
        <v>216</v>
      </c>
      <c r="C96" s="113" t="s">
        <v>621</v>
      </c>
      <c r="D96" s="113" t="s">
        <v>462</v>
      </c>
      <c r="E96" s="271"/>
      <c r="F96" s="272"/>
      <c r="G96" s="272"/>
      <c r="H96" s="227"/>
      <c r="I96" s="227"/>
      <c r="J96" s="228"/>
      <c r="K96" s="228"/>
      <c r="L96" s="228"/>
      <c r="M96" s="228"/>
      <c r="N96" s="228"/>
      <c r="O96" s="228"/>
      <c r="P96" s="228"/>
      <c r="Q96" s="228"/>
      <c r="R96" s="228"/>
      <c r="S96" s="228"/>
      <c r="T96" s="228"/>
      <c r="U96" s="228"/>
      <c r="V96" s="228"/>
    </row>
    <row r="97" outlineLevel="1">
      <c r="A97" s="212"/>
      <c r="B97" s="269" t="s">
        <v>219</v>
      </c>
      <c r="C97" s="113" t="s">
        <v>622</v>
      </c>
      <c r="D97" s="113">
        <v>67.0</v>
      </c>
      <c r="E97" s="271"/>
      <c r="F97" s="272"/>
      <c r="G97" s="272"/>
      <c r="H97" s="227"/>
      <c r="I97" s="227"/>
      <c r="J97" s="228"/>
      <c r="K97" s="228"/>
      <c r="L97" s="228"/>
      <c r="M97" s="228"/>
      <c r="N97" s="228"/>
      <c r="O97" s="228"/>
      <c r="P97" s="228"/>
      <c r="Q97" s="228"/>
      <c r="R97" s="228"/>
      <c r="S97" s="228"/>
      <c r="T97" s="228"/>
      <c r="U97" s="228"/>
      <c r="V97" s="228"/>
    </row>
    <row r="98" outlineLevel="1">
      <c r="A98" s="106"/>
      <c r="B98" s="269" t="s">
        <v>222</v>
      </c>
      <c r="C98" s="113" t="s">
        <v>623</v>
      </c>
      <c r="D98" s="113" t="s">
        <v>335</v>
      </c>
      <c r="E98" s="227"/>
      <c r="F98" s="272"/>
      <c r="G98" s="272"/>
      <c r="H98" s="227"/>
      <c r="I98" s="227"/>
      <c r="J98" s="228"/>
      <c r="K98" s="228"/>
      <c r="L98" s="228"/>
      <c r="M98" s="228"/>
      <c r="N98" s="228"/>
      <c r="O98" s="228"/>
      <c r="P98" s="228"/>
      <c r="Q98" s="228"/>
      <c r="R98" s="228"/>
      <c r="S98" s="228"/>
      <c r="T98" s="228"/>
      <c r="U98" s="228"/>
      <c r="V98" s="228"/>
    </row>
    <row r="99" outlineLevel="1">
      <c r="A99" s="273" t="s">
        <v>225</v>
      </c>
      <c r="B99" s="109"/>
      <c r="C99" s="266" t="s">
        <v>48</v>
      </c>
      <c r="D99" s="266" t="s">
        <v>49</v>
      </c>
      <c r="E99" s="266" t="s">
        <v>50</v>
      </c>
      <c r="F99" s="267" t="s">
        <v>51</v>
      </c>
      <c r="G99" s="274" t="s">
        <v>53</v>
      </c>
      <c r="H99" s="110"/>
      <c r="I99" s="110"/>
      <c r="J99" s="109"/>
      <c r="K99" s="275" t="str">
        <f>'テンプレート'!K97</f>
        <v>ベクトル</v>
      </c>
      <c r="L99" s="275" t="str">
        <f>'テンプレート'!L97</f>
        <v>KBG (R.E.)</v>
      </c>
      <c r="M99" s="275" t="str">
        <f>'テンプレート'!M97</f>
        <v>BKB (R.A.)</v>
      </c>
      <c r="N99" s="275" t="str">
        <f>'テンプレート'!N97</f>
        <v>FKB (R.F.)</v>
      </c>
      <c r="O99" s="276" t="str">
        <f>'テンプレート'!O97</f>
        <v>盾削り値</v>
      </c>
      <c r="P99" s="275" t="str">
        <f>'テンプレート'!P97</f>
        <v>ﾋｯﾄｽﾄｯﾌﾟ</v>
      </c>
      <c r="Q99" s="276" t="str">
        <f>'テンプレート'!Q97</f>
        <v>ずらし</v>
      </c>
      <c r="R99" s="277"/>
      <c r="S99" s="277"/>
      <c r="T99" s="277"/>
      <c r="U99" s="277"/>
      <c r="V99" s="277"/>
    </row>
    <row r="100" outlineLevel="1">
      <c r="A100" s="278" t="s">
        <v>226</v>
      </c>
      <c r="B100" s="269" t="s">
        <v>227</v>
      </c>
      <c r="C100" s="261"/>
      <c r="D100" s="279">
        <v>41.0</v>
      </c>
      <c r="E100" s="261"/>
      <c r="F100" s="261"/>
      <c r="G100" s="416"/>
      <c r="H100" s="164"/>
      <c r="I100" s="164"/>
      <c r="J100" s="104"/>
      <c r="K100" s="261"/>
      <c r="L100" s="261"/>
      <c r="M100" s="261"/>
      <c r="N100" s="261"/>
      <c r="O100" s="261"/>
      <c r="P100" s="261"/>
      <c r="Q100" s="261"/>
      <c r="R100" s="277"/>
      <c r="S100" s="228"/>
      <c r="T100" s="228"/>
      <c r="U100" s="228"/>
      <c r="V100" s="228"/>
    </row>
    <row r="101" outlineLevel="1">
      <c r="A101" s="156"/>
      <c r="B101" s="269" t="s">
        <v>225</v>
      </c>
      <c r="C101" s="113">
        <v>16.0</v>
      </c>
      <c r="D101" s="156"/>
      <c r="E101" s="239" t="s">
        <v>128</v>
      </c>
      <c r="F101" s="138">
        <v>12.0</v>
      </c>
      <c r="G101" s="106"/>
      <c r="H101" s="168"/>
      <c r="I101" s="168"/>
      <c r="J101" s="107"/>
      <c r="K101" s="282"/>
      <c r="L101" s="282"/>
      <c r="M101" s="363"/>
      <c r="N101" s="363"/>
      <c r="O101" s="261"/>
      <c r="P101" s="261"/>
      <c r="Q101" s="261"/>
      <c r="R101" s="277"/>
      <c r="S101" s="228"/>
      <c r="T101" s="228"/>
      <c r="U101" s="228"/>
      <c r="V101" s="228"/>
    </row>
    <row r="102" outlineLevel="1">
      <c r="A102" s="278" t="s">
        <v>229</v>
      </c>
      <c r="B102" s="269" t="s">
        <v>227</v>
      </c>
      <c r="C102" s="261"/>
      <c r="D102" s="279">
        <v>49.0</v>
      </c>
      <c r="E102" s="261"/>
      <c r="F102" s="261"/>
      <c r="G102" s="416"/>
      <c r="H102" s="164"/>
      <c r="I102" s="164"/>
      <c r="J102" s="104"/>
      <c r="K102" s="261"/>
      <c r="L102" s="261"/>
      <c r="M102" s="261"/>
      <c r="N102" s="261"/>
      <c r="O102" s="261"/>
      <c r="P102" s="261"/>
      <c r="Q102" s="261"/>
      <c r="R102" s="277"/>
      <c r="S102" s="228"/>
      <c r="T102" s="228"/>
      <c r="U102" s="228"/>
      <c r="V102" s="228"/>
    </row>
    <row r="103" outlineLevel="1">
      <c r="A103" s="156"/>
      <c r="B103" s="269" t="s">
        <v>225</v>
      </c>
      <c r="C103" s="113">
        <v>12.0</v>
      </c>
      <c r="D103" s="156"/>
      <c r="E103" s="239" t="s">
        <v>128</v>
      </c>
      <c r="F103" s="138">
        <v>12.0</v>
      </c>
      <c r="G103" s="106"/>
      <c r="H103" s="168"/>
      <c r="I103" s="168"/>
      <c r="J103" s="107"/>
      <c r="K103" s="282"/>
      <c r="L103" s="282"/>
      <c r="M103" s="363"/>
      <c r="N103" s="363"/>
      <c r="O103" s="261"/>
      <c r="P103" s="261"/>
      <c r="Q103" s="261"/>
      <c r="R103" s="277"/>
      <c r="S103" s="228"/>
      <c r="T103" s="228"/>
      <c r="U103" s="228"/>
      <c r="V103" s="228"/>
    </row>
    <row r="104" outlineLevel="1">
      <c r="A104" s="278" t="s">
        <v>233</v>
      </c>
      <c r="B104" s="269" t="s">
        <v>227</v>
      </c>
      <c r="C104" s="113" t="s">
        <v>386</v>
      </c>
      <c r="D104" s="279">
        <v>41.0</v>
      </c>
      <c r="E104" s="239" t="s">
        <v>150</v>
      </c>
      <c r="F104" s="138">
        <v>6.0</v>
      </c>
      <c r="G104" s="416"/>
      <c r="H104" s="164"/>
      <c r="I104" s="164"/>
      <c r="J104" s="104"/>
      <c r="K104" s="282"/>
      <c r="L104" s="282"/>
      <c r="M104" s="363"/>
      <c r="N104" s="363"/>
      <c r="O104" s="145">
        <v>0.0</v>
      </c>
      <c r="P104" s="145">
        <v>0.0</v>
      </c>
      <c r="Q104" s="145">
        <v>0.0</v>
      </c>
      <c r="R104" s="277"/>
      <c r="S104" s="228"/>
      <c r="T104" s="228"/>
      <c r="U104" s="228"/>
      <c r="V104" s="228"/>
    </row>
    <row r="105" outlineLevel="1">
      <c r="A105" s="156"/>
      <c r="B105" s="269" t="s">
        <v>225</v>
      </c>
      <c r="C105" s="113" t="s">
        <v>153</v>
      </c>
      <c r="D105" s="156"/>
      <c r="E105" s="239" t="s">
        <v>93</v>
      </c>
      <c r="F105" s="138">
        <v>8.4</v>
      </c>
      <c r="G105" s="106"/>
      <c r="H105" s="168"/>
      <c r="I105" s="168"/>
      <c r="J105" s="107"/>
      <c r="K105" s="282"/>
      <c r="L105" s="282"/>
      <c r="M105" s="363"/>
      <c r="N105" s="363"/>
      <c r="O105" s="261"/>
      <c r="P105" s="261"/>
      <c r="Q105" s="261"/>
      <c r="R105" s="277"/>
      <c r="S105" s="117"/>
      <c r="T105" s="117"/>
      <c r="U105" s="117"/>
      <c r="V105" s="117"/>
    </row>
    <row r="106" outlineLevel="1">
      <c r="A106" s="278" t="s">
        <v>234</v>
      </c>
      <c r="B106" s="269" t="s">
        <v>227</v>
      </c>
      <c r="C106" s="261"/>
      <c r="D106" s="279" t="s">
        <v>79</v>
      </c>
      <c r="E106" s="261"/>
      <c r="F106" s="261"/>
      <c r="G106" s="416"/>
      <c r="H106" s="164"/>
      <c r="I106" s="164"/>
      <c r="J106" s="104"/>
      <c r="K106" s="261"/>
      <c r="L106" s="261"/>
      <c r="M106" s="261"/>
      <c r="N106" s="261"/>
      <c r="O106" s="261"/>
      <c r="P106" s="261"/>
      <c r="Q106" s="261"/>
      <c r="R106" s="277"/>
      <c r="S106" s="117"/>
      <c r="T106" s="117"/>
      <c r="U106" s="117"/>
      <c r="V106" s="117"/>
    </row>
    <row r="107" outlineLevel="1">
      <c r="A107" s="156"/>
      <c r="B107" s="269" t="s">
        <v>225</v>
      </c>
      <c r="C107" s="113" t="s">
        <v>65</v>
      </c>
      <c r="D107" s="156"/>
      <c r="E107" s="239" t="s">
        <v>80</v>
      </c>
      <c r="F107" s="138">
        <v>9.6</v>
      </c>
      <c r="G107" s="106"/>
      <c r="H107" s="168"/>
      <c r="I107" s="168"/>
      <c r="J107" s="107"/>
      <c r="K107" s="282"/>
      <c r="L107" s="282"/>
      <c r="M107" s="363"/>
      <c r="N107" s="363"/>
      <c r="O107" s="261"/>
      <c r="P107" s="261"/>
      <c r="Q107" s="261"/>
      <c r="R107" s="277"/>
      <c r="S107" s="117"/>
      <c r="T107" s="117"/>
      <c r="U107" s="117"/>
      <c r="V107" s="117"/>
    </row>
    <row r="108">
      <c r="A108" s="223"/>
      <c r="B108" s="224"/>
      <c r="C108" s="225"/>
      <c r="D108" s="225"/>
      <c r="E108" s="227"/>
      <c r="F108" s="177"/>
      <c r="G108" s="177"/>
      <c r="H108" s="227"/>
      <c r="I108" s="227"/>
      <c r="J108" s="228"/>
      <c r="K108" s="228"/>
      <c r="L108" s="111"/>
      <c r="M108" s="111"/>
      <c r="N108" s="111"/>
      <c r="O108" s="117"/>
      <c r="P108" s="117"/>
      <c r="Q108" s="111"/>
      <c r="R108" s="111"/>
      <c r="S108" s="111"/>
      <c r="T108" s="111"/>
      <c r="U108" s="111"/>
      <c r="V108" s="111"/>
    </row>
    <row r="109">
      <c r="A109" s="284" t="s">
        <v>241</v>
      </c>
      <c r="B109" s="104"/>
      <c r="C109" s="265"/>
      <c r="D109" s="111"/>
      <c r="E109" s="111"/>
      <c r="F109" s="111"/>
      <c r="G109" s="111"/>
      <c r="H109" s="111"/>
      <c r="I109" s="111"/>
      <c r="J109" s="118"/>
      <c r="K109" s="111"/>
      <c r="L109" s="111"/>
      <c r="M109" s="111"/>
      <c r="N109" s="111"/>
      <c r="O109" s="111"/>
      <c r="P109" s="111"/>
      <c r="Q109" s="118"/>
      <c r="R109" s="111"/>
      <c r="S109" s="111"/>
      <c r="T109" s="111"/>
      <c r="U109" s="111"/>
      <c r="V109" s="111"/>
    </row>
    <row r="110" outlineLevel="1">
      <c r="A110" s="106"/>
      <c r="B110" s="107"/>
      <c r="C110" s="285" t="s">
        <v>235</v>
      </c>
      <c r="D110" s="285" t="s">
        <v>236</v>
      </c>
      <c r="E110" s="285" t="s">
        <v>49</v>
      </c>
      <c r="F110" s="285" t="s">
        <v>237</v>
      </c>
      <c r="G110" s="286"/>
      <c r="H110" s="227"/>
      <c r="I110" s="227"/>
      <c r="J110" s="228"/>
      <c r="K110" s="228"/>
      <c r="L110" s="111"/>
      <c r="M110" s="111"/>
      <c r="N110" s="111"/>
      <c r="O110" s="111"/>
      <c r="P110" s="111"/>
      <c r="Q110" s="111"/>
      <c r="R110" s="111"/>
      <c r="S110" s="111"/>
      <c r="T110" s="111"/>
      <c r="U110" s="111"/>
      <c r="V110" s="111"/>
    </row>
    <row r="111" outlineLevel="1">
      <c r="A111" s="287" t="s">
        <v>395</v>
      </c>
      <c r="B111" s="288" t="s">
        <v>216</v>
      </c>
      <c r="C111" s="113" t="str">
        <f t="array" ref="C111">INDEX('回避'!$C$3:$U$84, MATCH($A$1,'回避'!$A$3:$A$91,0), MATCH(C110,'回避'!$C$2:$F$2,0))</f>
        <v>3-17</v>
      </c>
      <c r="D111" s="113" t="str">
        <f t="array" ref="D111">INDEX('回避'!$C$3:$U$84, MATCH($A$1,'回避'!$A$3:$A$91,0), MATCH(D110,'回避'!$C$2:$F$2,0))</f>
        <v>6-17</v>
      </c>
      <c r="E111" s="113" t="str">
        <f t="array" ref="E111">INDEX('回避'!$C$3:$U$84, MATCH($A$1,'回避'!$A$3:$A$91,0), MATCH(E110,'回避'!$C$2:$F$2,0))</f>
        <v>26 (21)</v>
      </c>
      <c r="F111" s="113" t="str">
        <f t="array" ref="F111">INDEX('回避'!$C$3:$U$84, MATCH($A$1,'回避'!$A$3:$A$91,0), MATCH(F110,'回避'!$C$2:$F$2,0))</f>
        <v>35 (28)</v>
      </c>
      <c r="G111" s="272"/>
      <c r="H111" s="290"/>
      <c r="I111" s="227"/>
      <c r="J111" s="228"/>
      <c r="K111" s="228"/>
      <c r="L111" s="228"/>
      <c r="M111" s="111"/>
      <c r="N111" s="111"/>
      <c r="O111" s="111"/>
      <c r="P111" s="111"/>
      <c r="Q111" s="111"/>
      <c r="R111" s="111"/>
      <c r="S111" s="111"/>
      <c r="T111" s="111"/>
      <c r="U111" s="111"/>
      <c r="V111" s="111"/>
    </row>
    <row r="112" outlineLevel="1">
      <c r="A112" s="212"/>
      <c r="B112" s="288" t="s">
        <v>245</v>
      </c>
      <c r="C112" s="113" t="str">
        <f t="array" ref="C112">INDEX('回避'!$G$3:$U$84, MATCH($A$1,'回避'!$A$3:$A$91,0), MATCH(C110,'回避'!$G$2:$J$2,0))</f>
        <v>4-18</v>
      </c>
      <c r="D112" s="113" t="str">
        <f t="array" ref="D112">INDEX('回避'!$G$3:$U$84, MATCH($A$1,'回避'!$A$3:$A$91,0), MATCH(D110,'回避'!$G$2:$J$2,0))</f>
        <v>8-16</v>
      </c>
      <c r="E112" s="113" t="str">
        <f t="array" ref="E112">INDEX('回避'!$G$3:$U$84, MATCH($A$1,'回避'!$A$3:$A$91,0), MATCH(E110,'回避'!$G$2:$J$2,0))</f>
        <v>31</v>
      </c>
      <c r="F112" s="113">
        <f t="array" ref="F112">INDEX('回避'!$G$3:$U$84, MATCH($A$1,'回避'!$A$3:$A$91,0), MATCH(F110,'回避'!$G$2:$J$2,0))</f>
        <v>41</v>
      </c>
      <c r="G112" s="289"/>
      <c r="H112" s="290"/>
      <c r="I112" s="290"/>
      <c r="J112" s="228"/>
      <c r="K112" s="228"/>
      <c r="L112" s="228"/>
      <c r="M112" s="228"/>
      <c r="N112" s="228"/>
      <c r="O112" s="111"/>
      <c r="P112" s="111"/>
      <c r="Q112" s="111"/>
      <c r="R112" s="111"/>
      <c r="S112" s="111"/>
      <c r="T112" s="111"/>
      <c r="U112" s="111"/>
      <c r="V112" s="111"/>
    </row>
    <row r="113" outlineLevel="1">
      <c r="A113" s="106"/>
      <c r="B113" s="288" t="s">
        <v>246</v>
      </c>
      <c r="C113" s="113" t="str">
        <f t="array" ref="C113">INDEX('回避'!$K$3:$U$84, MATCH($A$1,'回避'!$A$3:$A$91,0), MATCH(C110,'回避'!$K$2:$N$2,0))</f>
        <v>5-20</v>
      </c>
      <c r="D113" s="113" t="str">
        <f t="array" ref="D113">INDEX('回避'!$K$3:$U$84, MATCH($A$1,'回避'!$A$3:$A$91,0), MATCH(D110,'回避'!$K$2:$N$2,0))</f>
        <v>9-16</v>
      </c>
      <c r="E113" s="113" t="str">
        <f t="array" ref="E113">INDEX('回避'!$K$3:$U$84, MATCH($A$1,'回避'!$A$3:$A$91,0), MATCH(E110,'回避'!$K$2:$N$2,0))</f>
        <v>36</v>
      </c>
      <c r="F113" s="113" t="str">
        <f t="array" ref="F113">INDEX('回避'!$K$3:$U$84, MATCH($A$1,'回避'!$A$3:$A$91,0), MATCH(F110,'回避'!$K$2:$N$2,0))</f>
        <v>54</v>
      </c>
      <c r="G113" s="289"/>
      <c r="H113" s="290"/>
      <c r="I113" s="290"/>
      <c r="J113" s="117"/>
      <c r="K113" s="117"/>
      <c r="L113" s="117"/>
      <c r="M113" s="117"/>
      <c r="N113" s="117"/>
      <c r="O113" s="111"/>
      <c r="P113" s="111"/>
      <c r="Q113" s="111"/>
      <c r="R113" s="111"/>
      <c r="S113" s="111"/>
      <c r="T113" s="111"/>
      <c r="U113" s="111"/>
      <c r="V113" s="111"/>
    </row>
    <row r="114" outlineLevel="1">
      <c r="A114" s="287" t="s">
        <v>396</v>
      </c>
      <c r="B114" s="288" t="s">
        <v>397</v>
      </c>
      <c r="C114" s="113" t="str">
        <f t="array" ref="C114">INDEX('回避'!$O$3:$U$84, MATCH($A$1,'回避'!$A$3:$A$91,0), MATCH(C110,'回避'!$O$2:$R$2,0))</f>
        <v>3-29</v>
      </c>
      <c r="D114" s="113" t="str">
        <f t="array" ref="D114">INDEX('回避'!$O$3:$U$84, MATCH($A$1,'回避'!$A$3:$A$91,0), MATCH(D110,'回避'!$O$2:$R$2,0))</f>
        <v>6-27</v>
      </c>
      <c r="E114" s="113" t="str">
        <f t="array" ref="E114">INDEX('回避'!$O$3:$U$84, MATCH($A$1,'回避'!$A$3:$A$91,0), MATCH(E110,'回避'!$O$2:$R$2,0))</f>
        <v>56</v>
      </c>
      <c r="F114" s="177"/>
      <c r="G114" s="177"/>
      <c r="H114" s="290"/>
      <c r="I114" s="290"/>
      <c r="J114" s="111"/>
      <c r="K114" s="111"/>
      <c r="L114" s="111"/>
      <c r="M114" s="111"/>
      <c r="N114" s="111"/>
      <c r="O114" s="228"/>
      <c r="P114" s="228"/>
      <c r="Q114" s="228"/>
      <c r="R114" s="228"/>
      <c r="S114" s="228"/>
      <c r="T114" s="228"/>
      <c r="U114" s="228"/>
      <c r="V114" s="228"/>
    </row>
    <row r="115" outlineLevel="1">
      <c r="A115" s="106"/>
      <c r="B115" s="288" t="s">
        <v>398</v>
      </c>
      <c r="C115" s="113" t="str">
        <f t="array" ref="C115">INDEX('回避'!$S$3:$U$84, MATCH($A$1,'回避'!$A$3:$A$91,0), MATCH(C110,'回避'!$S$2:$U$2,0))</f>
        <v>3-21</v>
      </c>
      <c r="D115" s="113" t="str">
        <f t="array" ref="D115">INDEX('回避'!$S$3:$U$84, MATCH($A$1,'回避'!$A$3:$A$91,0), MATCH(D110,'回避'!$S$2:$U$2,0))</f>
        <v>6-20</v>
      </c>
      <c r="E115" s="113" t="str">
        <f t="array" ref="E115">INDEX('回避'!$S$3:$U$84, MATCH($A$1,'回避'!$A$3:$A$91,0), MATCH(E110,'回避'!$S$2:$U$2,0))</f>
        <v>真横：96
真上：130
真下：80</v>
      </c>
      <c r="F115" s="289"/>
      <c r="G115" s="289"/>
      <c r="H115" s="118"/>
      <c r="I115" s="118"/>
      <c r="J115" s="117"/>
      <c r="K115" s="117"/>
      <c r="L115" s="117"/>
      <c r="M115" s="117"/>
      <c r="N115" s="111"/>
      <c r="O115" s="118"/>
      <c r="P115" s="118"/>
      <c r="Q115" s="118"/>
      <c r="R115" s="118"/>
      <c r="S115" s="118"/>
      <c r="T115" s="118"/>
      <c r="U115" s="118"/>
      <c r="V115" s="118"/>
    </row>
    <row r="116">
      <c r="A116" s="291"/>
      <c r="B116" s="292"/>
      <c r="C116" s="286"/>
      <c r="D116" s="286"/>
      <c r="E116" s="293"/>
      <c r="F116" s="286"/>
      <c r="G116" s="286"/>
      <c r="H116" s="286"/>
      <c r="I116" s="286"/>
      <c r="J116" s="111"/>
      <c r="K116" s="227"/>
      <c r="L116" s="227"/>
      <c r="M116" s="227"/>
      <c r="N116" s="227"/>
      <c r="O116" s="118"/>
      <c r="P116" s="118"/>
      <c r="Q116" s="118"/>
      <c r="R116" s="118"/>
      <c r="S116" s="118"/>
      <c r="T116" s="118"/>
      <c r="U116" s="118"/>
      <c r="V116" s="118"/>
    </row>
    <row r="117">
      <c r="A117" s="294" t="s">
        <v>238</v>
      </c>
      <c r="B117" s="104"/>
      <c r="C117" s="228"/>
      <c r="D117" s="117"/>
      <c r="E117" s="228"/>
      <c r="F117" s="114"/>
      <c r="G117" s="114"/>
      <c r="H117" s="117"/>
      <c r="I117" s="117"/>
      <c r="J117" s="118"/>
      <c r="K117" s="118"/>
      <c r="L117" s="118"/>
      <c r="M117" s="118"/>
      <c r="N117" s="118"/>
      <c r="O117" s="118"/>
      <c r="P117" s="118"/>
      <c r="Q117" s="118"/>
      <c r="R117" s="118"/>
      <c r="S117" s="118"/>
      <c r="T117" s="118"/>
      <c r="U117" s="118"/>
      <c r="V117" s="118"/>
    </row>
    <row r="118" outlineLevel="1">
      <c r="A118" s="106"/>
      <c r="B118" s="107"/>
      <c r="C118" s="295" t="s">
        <v>235</v>
      </c>
      <c r="D118" s="295" t="s">
        <v>49</v>
      </c>
      <c r="E118" s="295" t="s">
        <v>48</v>
      </c>
      <c r="F118" s="295" t="s">
        <v>50</v>
      </c>
      <c r="G118" s="296" t="s">
        <v>51</v>
      </c>
      <c r="H118" s="228"/>
      <c r="I118" s="228"/>
      <c r="J118" s="117"/>
      <c r="K118" s="297" t="str">
        <f>'テンプレート'!K116</f>
        <v>アイテム取得</v>
      </c>
      <c r="L118" s="109"/>
      <c r="M118" s="298" t="str">
        <f>'テンプレート'!M116</f>
        <v>取得フレーム</v>
      </c>
      <c r="N118" s="298" t="str">
        <f>'テンプレート'!N116</f>
        <v>全体フレーム</v>
      </c>
      <c r="O118" s="118"/>
      <c r="P118" s="118"/>
      <c r="Q118" s="118"/>
      <c r="R118" s="118"/>
      <c r="S118" s="118"/>
      <c r="T118" s="118"/>
      <c r="U118" s="118"/>
      <c r="V118" s="118"/>
    </row>
    <row r="119" outlineLevel="1">
      <c r="A119" s="299" t="s">
        <v>239</v>
      </c>
      <c r="B119" s="300" t="s">
        <v>240</v>
      </c>
      <c r="C119" s="301"/>
      <c r="D119" s="113">
        <f t="array" ref="D119">INDEX('崖行動・受け身'!$C$3:$C126, MATCH($A$1,'崖行動・受け身'!$A$3:$A$115,0), MATCH(D118,'崖行動・受け身'!$C$2,0))</f>
        <v>19</v>
      </c>
      <c r="E119" s="301"/>
      <c r="F119" s="301"/>
      <c r="G119" s="301"/>
      <c r="H119" s="228"/>
      <c r="I119" s="228"/>
      <c r="J119" s="111"/>
      <c r="K119" s="302" t="str">
        <f>'テンプレート'!K117</f>
        <v>小アイテム</v>
      </c>
      <c r="L119" s="303" t="str">
        <f>'テンプレート'!L117</f>
        <v>その場</v>
      </c>
      <c r="M119" s="113" t="s">
        <v>76</v>
      </c>
      <c r="N119" s="113">
        <v>7.0</v>
      </c>
      <c r="O119" s="118"/>
      <c r="P119" s="118"/>
      <c r="Q119" s="118"/>
      <c r="R119" s="118"/>
      <c r="S119" s="118"/>
      <c r="T119" s="118"/>
      <c r="U119" s="118"/>
      <c r="V119" s="118"/>
    </row>
    <row r="120" outlineLevel="1">
      <c r="A120" s="146"/>
      <c r="B120" s="300" t="s">
        <v>216</v>
      </c>
      <c r="C120" s="113" t="str">
        <f t="array" ref="C120">INDEX('崖行動・受け身'!$D$3:$E126, MATCH($A$1,'崖行動・受け身'!$A$3:$A$115,0), MATCH(C118,'崖行動・受け身'!$D$2:$E$2,0))</f>
        <v>1-31</v>
      </c>
      <c r="D120" s="113">
        <f t="array" ref="D120">INDEX('崖行動・受け身'!$D$3:$E126, MATCH($A$1,'崖行動・受け身'!$A$3:$A$115,0), MATCH(D118,'崖行動・受け身'!$D$2:$E$2,0))</f>
        <v>32</v>
      </c>
      <c r="E120" s="301"/>
      <c r="F120" s="301"/>
      <c r="G120" s="301"/>
      <c r="H120" s="228"/>
      <c r="I120" s="228"/>
      <c r="J120" s="117"/>
      <c r="K120" s="156"/>
      <c r="L120" s="303" t="str">
        <f>'テンプレート'!L118</f>
        <v>歩き</v>
      </c>
      <c r="M120" s="113" t="s">
        <v>76</v>
      </c>
      <c r="N120" s="113">
        <v>19.0</v>
      </c>
      <c r="O120" s="118"/>
      <c r="P120" s="118"/>
      <c r="Q120" s="118"/>
      <c r="R120" s="118"/>
      <c r="S120" s="118"/>
      <c r="T120" s="118"/>
      <c r="U120" s="118"/>
      <c r="V120" s="118"/>
    </row>
    <row r="121" outlineLevel="1">
      <c r="A121" s="146"/>
      <c r="B121" s="300" t="s">
        <v>241</v>
      </c>
      <c r="C121" s="113" t="str">
        <f t="array" ref="C121">INDEX('崖行動・受け身'!$F$3:$G$115, MATCH($A$1,'崖行動・受け身'!$A$3:$A$115,0), MATCH(C118,'崖行動・受け身'!$F$2:$G$2,0))</f>
        <v>1-22</v>
      </c>
      <c r="D121" s="113">
        <f t="array" ref="D121">INDEX('崖行動・受け身'!$F$3:$G$115, MATCH($A$1,'崖行動・受け身'!$A$3:$A$115,0), MATCH(D118,'崖行動・受け身'!$F$2:$G$2,0))</f>
        <v>45</v>
      </c>
      <c r="E121" s="301"/>
      <c r="F121" s="301"/>
      <c r="G121" s="301"/>
      <c r="H121" s="228"/>
      <c r="I121" s="228"/>
      <c r="J121" s="111"/>
      <c r="K121" s="304" t="str">
        <f>'テンプレート'!K119</f>
        <v>アイテム投擲</v>
      </c>
      <c r="L121" s="109"/>
      <c r="M121" s="298" t="str">
        <f>'テンプレート'!M119</f>
        <v>投擲フレーム</v>
      </c>
      <c r="N121" s="298" t="str">
        <f>'テンプレート'!N119</f>
        <v>全体フレーム</v>
      </c>
      <c r="O121" s="118"/>
      <c r="P121" s="118"/>
      <c r="Q121" s="118"/>
      <c r="R121" s="118"/>
      <c r="S121" s="118"/>
      <c r="T121" s="118"/>
      <c r="U121" s="118"/>
      <c r="V121" s="118"/>
    </row>
    <row r="122" outlineLevel="1">
      <c r="A122" s="146"/>
      <c r="B122" s="300" t="s">
        <v>242</v>
      </c>
      <c r="C122" s="113" t="str">
        <f t="array" ref="C122">INDEX('崖行動・受け身'!$H$3:$I$115, MATCH($A$1,'崖行動・受け身'!$A$3:$A$115,0), MATCH(C118,'崖行動・受け身'!$H$2:$I$2,0))</f>
        <v>1-12</v>
      </c>
      <c r="D122" s="113">
        <f t="array" ref="D122">INDEX('崖行動・受け身'!$H$3:$I$115, MATCH($A$1,'崖行動・受け身'!$A$3:$A$115,0), MATCH(D118,'崖行動・受け身'!$H$2:$I$2,0))</f>
        <v>14</v>
      </c>
      <c r="E122" s="301"/>
      <c r="F122" s="301"/>
      <c r="G122" s="301"/>
      <c r="H122" s="228"/>
      <c r="I122" s="228"/>
      <c r="J122" s="117"/>
      <c r="K122" s="305" t="str">
        <f>'テンプレート'!K120</f>
        <v>地上投擲</v>
      </c>
      <c r="L122" s="303" t="str">
        <f>'テンプレート'!L120</f>
        <v>前投げ</v>
      </c>
      <c r="M122" s="113" t="s">
        <v>80</v>
      </c>
      <c r="N122" s="113">
        <v>25.0</v>
      </c>
      <c r="O122" s="111"/>
      <c r="P122" s="111"/>
      <c r="Q122" s="111"/>
      <c r="R122" s="111"/>
      <c r="S122" s="111"/>
      <c r="T122" s="111"/>
      <c r="U122" s="111"/>
      <c r="V122" s="111"/>
    </row>
    <row r="123" outlineLevel="1">
      <c r="A123" s="156"/>
      <c r="B123" s="300" t="s">
        <v>243</v>
      </c>
      <c r="C123" s="113" t="str">
        <f t="array" ref="C123">INDEX('崖行動・受け身'!$J$3:$M$115, MATCH($A$1,'崖行動・受け身'!$A$3:$A$115,0), MATCH(C118,'崖行動・受け身'!$J$2:$M$2,0))</f>
        <v>1-27</v>
      </c>
      <c r="D123" s="113">
        <f t="array" ref="D123">INDEX('崖行動・受け身'!$J$3:$M$115, MATCH($A$1,'崖行動・受け身'!$A$3:$A$115,0), MATCH(D118,'崖行動・受け身'!$J$2:$M$2,0))</f>
        <v>55</v>
      </c>
      <c r="E123" s="113" t="str">
        <f t="array" ref="E123">INDEX('崖行動・受け身'!$J$3:$M$115, MATCH($A$1,'崖行動・受け身'!$A$3:$A$115,0), MATCH(E118,'崖行動・受け身'!$J$2:$M$2,0))</f>
        <v>25-27</v>
      </c>
      <c r="F123" s="113">
        <f t="array" ref="F123">INDEX('崖行動・受け身'!$J$3:$M$115, MATCH($A$1,'崖行動・受け身'!$A$3:$A$115,0), MATCH(F118,'崖行動・受け身'!$J$2:$M$2,0))</f>
        <v>9</v>
      </c>
      <c r="G123" s="113">
        <f>F123*1.2</f>
        <v>10.8</v>
      </c>
      <c r="H123" s="228"/>
      <c r="I123" s="228"/>
      <c r="J123" s="111"/>
      <c r="K123" s="146"/>
      <c r="L123" s="303" t="str">
        <f>'テンプレート'!L121</f>
        <v>後投げ</v>
      </c>
      <c r="M123" s="113" t="s">
        <v>232</v>
      </c>
      <c r="N123" s="113">
        <v>25.0</v>
      </c>
      <c r="O123" s="111"/>
      <c r="P123" s="111"/>
      <c r="Q123" s="111"/>
      <c r="R123" s="111"/>
      <c r="S123" s="111"/>
      <c r="T123" s="111"/>
      <c r="U123" s="111"/>
      <c r="V123" s="111"/>
    </row>
    <row r="124" outlineLevel="1">
      <c r="A124" s="299" t="s">
        <v>244</v>
      </c>
      <c r="B124" s="300" t="s">
        <v>216</v>
      </c>
      <c r="C124" s="113" t="str">
        <f t="array" ref="C124">INDEX('崖行動・受け身'!$N$3:$O$115, MATCH($A$1,'崖行動・受け身'!$A$3:$A$115,0), MATCH(C118,'崖行動・受け身'!$N$2:$O$2,0))</f>
        <v>1-20</v>
      </c>
      <c r="D124" s="113">
        <f t="array" ref="D124">INDEX('崖行動・受け身'!$N$3:$O$115, MATCH($A$1,'崖行動・受け身'!$A$3:$A$115,0), MATCH(D118,'崖行動・受け身'!$N$2:$O$2,0))</f>
        <v>26</v>
      </c>
      <c r="E124" s="301"/>
      <c r="F124" s="301"/>
      <c r="G124" s="301"/>
      <c r="H124" s="228"/>
      <c r="I124" s="228"/>
      <c r="J124" s="117"/>
      <c r="K124" s="146"/>
      <c r="L124" s="303" t="str">
        <f>'テンプレート'!L122</f>
        <v>上投げ</v>
      </c>
      <c r="M124" s="113" t="s">
        <v>129</v>
      </c>
      <c r="N124" s="113">
        <v>24.0</v>
      </c>
      <c r="O124" s="228"/>
      <c r="P124" s="228"/>
      <c r="Q124" s="228"/>
      <c r="R124" s="228"/>
      <c r="S124" s="228"/>
      <c r="T124" s="228"/>
      <c r="U124" s="228"/>
      <c r="V124" s="228"/>
    </row>
    <row r="125" outlineLevel="1">
      <c r="A125" s="146"/>
      <c r="B125" s="300" t="s">
        <v>245</v>
      </c>
      <c r="C125" s="113" t="str">
        <f t="array" ref="C125">INDEX('崖行動・受け身'!$P$3:$Q$115, MATCH($A$1,'崖行動・受け身'!$A$3:$A$115,0), MATCH(C118,'崖行動・受け身'!$P$2:$Q$2,0))</f>
        <v>1-20</v>
      </c>
      <c r="D125" s="113">
        <f t="array" ref="D125">INDEX('崖行動・受け身'!$P$3:$Q$115, MATCH($A$1,'崖行動・受け身'!$A$3:$A$115,0), MATCH(D118,'崖行動・受け身'!$P$2:$Q$2,0))</f>
        <v>40</v>
      </c>
      <c r="E125" s="301"/>
      <c r="F125" s="301"/>
      <c r="G125" s="301"/>
      <c r="H125" s="228"/>
      <c r="I125" s="228"/>
      <c r="J125" s="111"/>
      <c r="K125" s="146"/>
      <c r="L125" s="303" t="str">
        <f>'テンプレート'!L123</f>
        <v>下投げ</v>
      </c>
      <c r="M125" s="113" t="s">
        <v>93</v>
      </c>
      <c r="N125" s="113">
        <v>20.0</v>
      </c>
      <c r="O125" s="118"/>
      <c r="P125" s="118"/>
      <c r="Q125" s="118"/>
      <c r="R125" s="118"/>
      <c r="S125" s="118"/>
      <c r="T125" s="118"/>
      <c r="U125" s="118"/>
      <c r="V125" s="118"/>
    </row>
    <row r="126" outlineLevel="1">
      <c r="A126" s="156"/>
      <c r="B126" s="300" t="s">
        <v>246</v>
      </c>
      <c r="C126" s="113" t="str">
        <f t="array" ref="C126">INDEX('崖行動・受け身'!$R$3:$S$115, MATCH($A$1,'崖行動・受け身'!$A$3:$A$115,0), MATCH(C118,'崖行動・受け身'!$R$2:$S$2,0))</f>
        <v>1-20</v>
      </c>
      <c r="D126" s="113">
        <f t="array" ref="D126">INDEX('崖行動・受け身'!$R$3:$S$115, MATCH($A$1,'崖行動・受け身'!$A$3:$A$115,0), MATCH(D118,'崖行動・受け身'!$R$2:$S$2,0))</f>
        <v>40</v>
      </c>
      <c r="E126" s="301"/>
      <c r="F126" s="301"/>
      <c r="G126" s="301"/>
      <c r="H126" s="228"/>
      <c r="I126" s="228"/>
      <c r="J126" s="117"/>
      <c r="K126" s="146"/>
      <c r="L126" s="306" t="str">
        <f>'テンプレート'!L124</f>
        <v>ダッシュ</v>
      </c>
      <c r="M126" s="113" t="s">
        <v>150</v>
      </c>
      <c r="N126" s="113">
        <v>38.0</v>
      </c>
      <c r="O126" s="118"/>
      <c r="P126" s="118"/>
      <c r="Q126" s="118"/>
      <c r="R126" s="118"/>
      <c r="S126" s="118"/>
      <c r="T126" s="118"/>
      <c r="U126" s="118"/>
      <c r="V126" s="118"/>
    </row>
    <row r="127" outlineLevel="1">
      <c r="A127" s="299" t="s">
        <v>247</v>
      </c>
      <c r="B127" s="300" t="s">
        <v>248</v>
      </c>
      <c r="C127" s="301"/>
      <c r="D127" s="113" t="str">
        <f t="array" ref="D127">INDEX('起きあがり'!$C$3:$C126, MATCH($A$1,'起きあがり'!$A$3:$A$115,0), MATCH(D118,'起きあがり'!$C$2:$AD$2,0))</f>
        <v>25</v>
      </c>
      <c r="E127" s="301"/>
      <c r="F127" s="301"/>
      <c r="G127" s="301"/>
      <c r="H127" s="228"/>
      <c r="I127" s="228"/>
      <c r="J127" s="111"/>
      <c r="K127" s="156"/>
      <c r="L127" s="306" t="str">
        <f>'テンプレート'!L125</f>
        <v>その場捨て</v>
      </c>
      <c r="M127" s="113" t="s">
        <v>86</v>
      </c>
      <c r="N127" s="113">
        <v>24.0</v>
      </c>
      <c r="O127" s="118"/>
      <c r="P127" s="118"/>
      <c r="Q127" s="118"/>
      <c r="R127" s="118"/>
      <c r="S127" s="118"/>
      <c r="T127" s="118"/>
      <c r="U127" s="118"/>
      <c r="V127" s="118"/>
    </row>
    <row r="128" outlineLevel="1">
      <c r="A128" s="146"/>
      <c r="B128" s="300" t="s">
        <v>216</v>
      </c>
      <c r="C128" s="307" t="str">
        <f t="array" ref="C128">INDEX('起きあがり'!$D$3:$E126, MATCH($A$1,'起きあがり'!$A$3:$A$115,0), MATCH(C118,'起きあがり'!$D$2:$AD$2,0))</f>
        <v>1-22</v>
      </c>
      <c r="D128" s="308">
        <f t="array" ref="D128">INDEX('起きあがり'!$D$3:$E126, MATCH($A$1,'起きあがり'!$A$3:$A$115,0), MATCH(D118,'起きあがり'!$D$2:$AD$2,0))</f>
        <v>29</v>
      </c>
      <c r="E128" s="301"/>
      <c r="F128" s="301"/>
      <c r="G128" s="301"/>
      <c r="H128" s="228"/>
      <c r="I128" s="228"/>
      <c r="J128" s="117"/>
      <c r="K128" s="305" t="str">
        <f>'テンプレート'!K126</f>
        <v>空中投擲</v>
      </c>
      <c r="L128" s="303" t="str">
        <f>'テンプレート'!L126</f>
        <v>前投げ</v>
      </c>
      <c r="M128" s="113" t="s">
        <v>80</v>
      </c>
      <c r="N128" s="113">
        <v>25.0</v>
      </c>
      <c r="O128" s="118"/>
      <c r="P128" s="118"/>
      <c r="Q128" s="118"/>
      <c r="R128" s="118"/>
      <c r="S128" s="118"/>
      <c r="T128" s="118"/>
      <c r="U128" s="118"/>
      <c r="V128" s="118"/>
    </row>
    <row r="129" outlineLevel="1">
      <c r="A129" s="146"/>
      <c r="B129" s="300" t="s">
        <v>245</v>
      </c>
      <c r="C129" s="307" t="str">
        <f t="array" ref="C129">INDEX('起きあがり'!$F$3:$G$115, MATCH($A$1,'起きあがり'!$A$3:$A$115,0), MATCH(C118,'起きあがり'!$F$2:$AD$2,0))</f>
        <v>1-14</v>
      </c>
      <c r="D129" s="308">
        <f t="array" ref="D129">INDEX('起きあがり'!$F$3:$G$115, MATCH($A$1,'起きあがり'!$A$3:$A$115,0), MATCH(D118,'起きあがり'!$F$2:$AD$2,0))</f>
        <v>35</v>
      </c>
      <c r="E129" s="301"/>
      <c r="F129" s="301"/>
      <c r="G129" s="301"/>
      <c r="H129" s="228"/>
      <c r="I129" s="228"/>
      <c r="J129" s="111"/>
      <c r="K129" s="146"/>
      <c r="L129" s="303" t="str">
        <f>'テンプレート'!L127</f>
        <v>後投げ</v>
      </c>
      <c r="M129" s="113" t="s">
        <v>232</v>
      </c>
      <c r="N129" s="113">
        <v>25.0</v>
      </c>
      <c r="O129" s="118"/>
      <c r="P129" s="118"/>
      <c r="Q129" s="118"/>
      <c r="R129" s="118"/>
      <c r="S129" s="118"/>
      <c r="T129" s="118"/>
      <c r="U129" s="118"/>
      <c r="V129" s="118"/>
    </row>
    <row r="130" outlineLevel="1">
      <c r="A130" s="146"/>
      <c r="B130" s="300" t="s">
        <v>246</v>
      </c>
      <c r="C130" s="113" t="str">
        <f t="array" ref="C130">INDEX('起きあがり'!$H$3:$I$115, MATCH($A$1,'起きあがり'!$A$3:$A$115,0), MATCH(C118,'起きあがり'!$H$2:$AD$2,0))</f>
        <v>1-20</v>
      </c>
      <c r="D130" s="113">
        <f t="array" ref="D130">INDEX('起きあがり'!$H$3:$I$115, MATCH($A$1,'起きあがり'!$A$3:$A$115,0), MATCH(D118,'起きあがり'!$H$2:$AD$2,0))</f>
        <v>35</v>
      </c>
      <c r="E130" s="301"/>
      <c r="F130" s="301"/>
      <c r="G130" s="301"/>
      <c r="H130" s="228"/>
      <c r="I130" s="228"/>
      <c r="J130" s="117"/>
      <c r="K130" s="146"/>
      <c r="L130" s="303" t="str">
        <f>'テンプレート'!L128</f>
        <v>上投げ</v>
      </c>
      <c r="M130" s="113" t="s">
        <v>129</v>
      </c>
      <c r="N130" s="113">
        <v>24.0</v>
      </c>
      <c r="O130" s="118"/>
      <c r="P130" s="118"/>
      <c r="Q130" s="118"/>
      <c r="R130" s="118"/>
      <c r="S130" s="118"/>
      <c r="T130" s="118"/>
      <c r="U130" s="118"/>
      <c r="V130" s="118"/>
    </row>
    <row r="131" outlineLevel="1">
      <c r="A131" s="146"/>
      <c r="B131" s="300" t="s">
        <v>249</v>
      </c>
      <c r="C131" s="309" t="str">
        <f t="array" ref="C131">INDEX('起きあがり'!$J$3:$M$115, MATCH($A$1,'起きあがり'!$A$3:$A$115,0), MATCH(C118,'起きあがり'!$J$2:$AD$2,0))</f>
        <v>1-23</v>
      </c>
      <c r="D131" s="310">
        <f t="array" ref="D131">INDEX('起きあがり'!$J$3:$M$115, MATCH($A$1,'起きあがり'!$A$3:$A$115,0), MATCH(D118,'起きあがり'!$J$2:$AD$2,0))</f>
        <v>45</v>
      </c>
      <c r="E131" s="307" t="str">
        <f t="array" ref="E131">INDEX('起きあがり'!$J$3:$M$115, MATCH($A$1,'起きあがり'!$A$3:$A$115,0), MATCH(E118,'起きあがり'!$J$2:$AD$2,0))</f>
        <v>17-18</v>
      </c>
      <c r="F131" s="308">
        <f t="array" ref="F131">INDEX('起きあがり'!$J$3:$M$115, MATCH($A$1,'起きあがり'!$A$3:$A$115,0), MATCH(F118,'起きあがり'!$J$2:$AD$2,0))</f>
        <v>7</v>
      </c>
      <c r="G131" s="113">
        <f t="shared" ref="G131:G132" si="1">F131*1.2</f>
        <v>8.4</v>
      </c>
      <c r="H131" s="228"/>
      <c r="I131" s="228"/>
      <c r="J131" s="111"/>
      <c r="K131" s="156"/>
      <c r="L131" s="303" t="str">
        <f>'テンプレート'!L129</f>
        <v>下投げ</v>
      </c>
      <c r="M131" s="113" t="s">
        <v>93</v>
      </c>
      <c r="N131" s="113">
        <v>20.0</v>
      </c>
      <c r="O131" s="111"/>
      <c r="P131" s="111"/>
      <c r="Q131" s="111"/>
      <c r="R131" s="111"/>
      <c r="S131" s="111"/>
      <c r="T131" s="111"/>
      <c r="U131" s="111"/>
      <c r="V131" s="111"/>
    </row>
    <row r="132" outlineLevel="1">
      <c r="A132" s="156"/>
      <c r="B132" s="311" t="s">
        <v>250</v>
      </c>
      <c r="C132" s="156"/>
      <c r="D132" s="156"/>
      <c r="E132" s="307" t="str">
        <f t="array" ref="E132">INDEX('起きあがり'!$N$3:$O$115, MATCH($A$1,'起きあがり'!$A$3:$A$115,0), MATCH(E118,'起きあがり'!$N$2:$AD$2,0))</f>
        <v>22-23</v>
      </c>
      <c r="F132" s="308">
        <f t="array" ref="F132">INDEX('起きあがり'!$N$3:$O$115, MATCH($A$1,'起きあがり'!$A$3:$A$115,0), MATCH(F118,'起きあがり'!$N$2:$AD$2,0))</f>
        <v>7</v>
      </c>
      <c r="G132" s="113">
        <f t="shared" si="1"/>
        <v>8.4</v>
      </c>
      <c r="H132" s="228"/>
      <c r="I132" s="228"/>
      <c r="J132" s="111"/>
      <c r="K132" s="312" t="str">
        <f>'テンプレート'!K130</f>
        <v>踏み台ジャンプ</v>
      </c>
      <c r="L132" s="168"/>
      <c r="M132" s="298" t="str">
        <f>'テンプレート'!M130</f>
        <v>全体フレーム</v>
      </c>
      <c r="N132" s="114"/>
      <c r="O132" s="111"/>
      <c r="P132" s="111"/>
      <c r="Q132" s="111"/>
      <c r="R132" s="111"/>
      <c r="S132" s="111"/>
      <c r="T132" s="111"/>
      <c r="U132" s="111"/>
      <c r="V132" s="111"/>
    </row>
    <row r="133" outlineLevel="1">
      <c r="A133" s="299" t="s">
        <v>251</v>
      </c>
      <c r="B133" s="300" t="s">
        <v>248</v>
      </c>
      <c r="C133" s="301"/>
      <c r="D133" s="307" t="str">
        <f t="array" ref="D133">INDEX('起きあがり'!$C$3:$C126, MATCH($A$1,'起きあがり'!$A$3:$A$115,0), MATCH(D118,'起きあがり'!$C$2,0))</f>
        <v>25</v>
      </c>
      <c r="E133" s="301"/>
      <c r="F133" s="301"/>
      <c r="G133" s="301"/>
      <c r="H133" s="228"/>
      <c r="I133" s="228"/>
      <c r="J133" s="117"/>
      <c r="K133" s="313" t="str">
        <f>'テンプレート'!K131</f>
        <v>踏み</v>
      </c>
      <c r="L133" s="314" t="str">
        <f>'テンプレート'!L131</f>
        <v>踏み</v>
      </c>
      <c r="M133" s="113">
        <v>7.0</v>
      </c>
      <c r="N133" s="315"/>
      <c r="O133" s="111"/>
      <c r="P133" s="111"/>
      <c r="Q133" s="111"/>
      <c r="R133" s="111"/>
      <c r="S133" s="111"/>
      <c r="T133" s="111"/>
      <c r="U133" s="111"/>
      <c r="V133" s="111"/>
    </row>
    <row r="134" outlineLevel="1">
      <c r="A134" s="146"/>
      <c r="B134" s="300" t="s">
        <v>216</v>
      </c>
      <c r="C134" s="307" t="str">
        <f t="array" ref="C134">INDEX('起きあがり'!$P$3:$Q$115, MATCH($A$1,'起きあがり'!$A$3:$A$115,0), MATCH(C118,'起きあがり'!$P$2:$AD$2,0))</f>
        <v>1-22</v>
      </c>
      <c r="D134" s="308">
        <f t="array" ref="D134">INDEX('起きあがり'!$P$3:$Q$115, MATCH($A$1,'起きあがり'!$A$3:$A$115,0), MATCH(D118,'起きあがり'!$P$2:$AD$2,0))</f>
        <v>29</v>
      </c>
      <c r="E134" s="301"/>
      <c r="F134" s="301"/>
      <c r="G134" s="301"/>
      <c r="H134" s="228"/>
      <c r="I134" s="228"/>
      <c r="J134" s="111"/>
      <c r="K134" s="305" t="str">
        <f>'テンプレート'!K132</f>
        <v>踏まれ</v>
      </c>
      <c r="L134" s="314" t="str">
        <f>'テンプレート'!L132</f>
        <v>地上踏まれ</v>
      </c>
      <c r="M134" s="113" t="s">
        <v>76</v>
      </c>
      <c r="N134" s="315"/>
      <c r="O134" s="228"/>
      <c r="P134" s="228"/>
      <c r="Q134" s="228"/>
      <c r="R134" s="228"/>
      <c r="S134" s="228"/>
      <c r="T134" s="228"/>
      <c r="U134" s="228"/>
      <c r="V134" s="228"/>
    </row>
    <row r="135" outlineLevel="1">
      <c r="A135" s="146"/>
      <c r="B135" s="300" t="s">
        <v>245</v>
      </c>
      <c r="C135" s="307" t="str">
        <f t="array" ref="C135">INDEX('起きあがり'!$R$3:$S$115, MATCH($A$1,'起きあがり'!$A$3:$A$115,0), MATCH(C118,'起きあがり'!$R$2:$AD$2,0))</f>
        <v>1-19</v>
      </c>
      <c r="D135" s="308">
        <f t="array" ref="D135">INDEX('起きあがり'!$R$3:$S$115, MATCH($A$1,'起きあがり'!$A$3:$A$115,0), MATCH(D118,'起きあがり'!$R$2:$AD$2,0))</f>
        <v>35</v>
      </c>
      <c r="E135" s="301"/>
      <c r="F135" s="301"/>
      <c r="G135" s="301"/>
      <c r="H135" s="228"/>
      <c r="I135" s="228"/>
      <c r="J135" s="117"/>
      <c r="K135" s="146"/>
      <c r="L135" s="314" t="str">
        <f>'テンプレート'!L133</f>
        <v>地上硬直</v>
      </c>
      <c r="M135" s="113">
        <v>27.0</v>
      </c>
      <c r="N135" s="102"/>
      <c r="O135" s="118"/>
      <c r="P135" s="118"/>
      <c r="Q135" s="118"/>
      <c r="R135" s="118"/>
      <c r="S135" s="118"/>
      <c r="T135" s="118"/>
      <c r="U135" s="118"/>
      <c r="V135" s="118"/>
    </row>
    <row r="136" outlineLevel="1">
      <c r="A136" s="146"/>
      <c r="B136" s="300" t="s">
        <v>246</v>
      </c>
      <c r="C136" s="307" t="str">
        <f t="array" ref="C136">INDEX('起きあがり'!$T$3:$U$115, MATCH($A$1,'起きあがり'!$A$3:$A$115,0), MATCH(C118,'起きあがり'!$T$2:$AD$2,0))</f>
        <v>1-22</v>
      </c>
      <c r="D136" s="308">
        <f t="array" ref="D136">INDEX('起きあがり'!$T$3:$U$115, MATCH($A$1,'起きあがり'!$A$3:$A$115,0), MATCH(D118,'起きあがり'!$T$2:$AD$2,0))</f>
        <v>35</v>
      </c>
      <c r="E136" s="301"/>
      <c r="F136" s="301"/>
      <c r="G136" s="301"/>
      <c r="H136" s="228"/>
      <c r="I136" s="228"/>
      <c r="J136" s="111"/>
      <c r="K136" s="146"/>
      <c r="L136" s="314" t="str">
        <f>'テンプレート'!L134</f>
        <v>空中踏まれ</v>
      </c>
      <c r="M136" s="113">
        <v>7.0</v>
      </c>
      <c r="N136" s="102"/>
      <c r="O136" s="118"/>
      <c r="P136" s="118"/>
      <c r="Q136" s="118"/>
      <c r="R136" s="118"/>
      <c r="S136" s="118"/>
      <c r="T136" s="118"/>
      <c r="U136" s="118"/>
      <c r="V136" s="118"/>
    </row>
    <row r="137" outlineLevel="1">
      <c r="A137" s="146"/>
      <c r="B137" s="300" t="s">
        <v>249</v>
      </c>
      <c r="C137" s="309" t="str">
        <f t="array" ref="C137">INDEX('起きあがり'!$V$3:$Y$115, MATCH($A$1,'起きあがり'!$A$3:$A$115,0), MATCH(C118,'起きあがり'!$V$2:$AD$2,0))</f>
        <v>1-24</v>
      </c>
      <c r="D137" s="310">
        <f t="array" ref="D137">INDEX('起きあがり'!$V$3:$Y$115, MATCH($A$1,'起きあがり'!$A$3:$A$115,0), MATCH(D118,'起きあがり'!$V$2:$AD$2,0))</f>
        <v>45</v>
      </c>
      <c r="E137" s="307" t="str">
        <f t="array" ref="E137">INDEX('起きあがり'!$V$3:$Y$115, MATCH($A$1,'起きあがり'!$A$3:$A$115,0), MATCH(E118,'起きあがり'!$V$2:$AD$2,0))</f>
        <v>17-18</v>
      </c>
      <c r="F137" s="308">
        <f t="array" ref="F137">INDEX('起きあがり'!$V$3:$Y$115, MATCH($A$1,'起きあがり'!$A$3:$A$115,0), MATCH(F118,'起きあがり'!$V$2:$AD$2,0))</f>
        <v>7</v>
      </c>
      <c r="G137" s="113">
        <f t="shared" ref="G137:G138" si="2">F137*1.2</f>
        <v>8.4</v>
      </c>
      <c r="H137" s="228"/>
      <c r="I137" s="228"/>
      <c r="J137" s="117"/>
      <c r="K137" s="146"/>
      <c r="L137" s="314" t="str">
        <f>'テンプレート'!L135</f>
        <v>空中落下</v>
      </c>
      <c r="M137" s="113">
        <v>40.0</v>
      </c>
      <c r="N137" s="102"/>
      <c r="O137" s="118"/>
      <c r="P137" s="118"/>
      <c r="Q137" s="118"/>
      <c r="R137" s="118"/>
      <c r="S137" s="118"/>
      <c r="T137" s="118"/>
      <c r="U137" s="118"/>
      <c r="V137" s="118"/>
    </row>
    <row r="138" outlineLevel="1">
      <c r="A138" s="156"/>
      <c r="B138" s="311" t="s">
        <v>250</v>
      </c>
      <c r="C138" s="156"/>
      <c r="D138" s="156"/>
      <c r="E138" s="307" t="str">
        <f t="array" ref="E138">INDEX('起きあがり'!$Z$3:$AA$115, MATCH($A$1,'起きあがり'!$A$3:$A$115,0), MATCH(E118,'起きあがり'!$Z$2:$AD$2,0))</f>
        <v>23-24</v>
      </c>
      <c r="F138" s="308">
        <f t="array" ref="F138">INDEX('起きあがり'!$Z$3:$AA$115, MATCH($A$1,'起きあがり'!$A$3:$A$115,0), MATCH(F118,'起きあがり'!$Z$2:$AD$2,0))</f>
        <v>7</v>
      </c>
      <c r="G138" s="113">
        <f t="shared" si="2"/>
        <v>8.4</v>
      </c>
      <c r="H138" s="228"/>
      <c r="I138" s="228"/>
      <c r="J138" s="117"/>
      <c r="K138" s="304" t="str">
        <f>'テンプレート'!K136</f>
        <v>倒れダメージ</v>
      </c>
      <c r="L138" s="110"/>
      <c r="M138" s="298" t="str">
        <f>'テンプレート'!M136</f>
        <v>全体フレーム</v>
      </c>
      <c r="N138" s="102"/>
      <c r="O138" s="118"/>
      <c r="P138" s="118"/>
      <c r="Q138" s="118"/>
      <c r="R138" s="118"/>
      <c r="S138" s="118"/>
      <c r="T138" s="118"/>
      <c r="U138" s="118"/>
      <c r="V138" s="118"/>
    </row>
    <row r="139" outlineLevel="1">
      <c r="A139" s="299" t="s">
        <v>252</v>
      </c>
      <c r="B139" s="300" t="s">
        <v>253</v>
      </c>
      <c r="C139" s="307" t="str">
        <f t="array" ref="C139">INDEX('転倒'!$C$3:$D126, MATCH($A$1,'転倒'!$A$3:$A$115,0), MATCH(C118,'転倒'!$C$2:$AC$2,0))</f>
        <v>1-5</v>
      </c>
      <c r="D139" s="308">
        <f t="array" ref="D139">INDEX('転倒'!$C$3:$D126, MATCH($A$1,'転倒'!$A$3:$A$115,0), MATCH(D118,'転倒'!$C$2:$AC$2,0))</f>
        <v>29</v>
      </c>
      <c r="E139" s="301"/>
      <c r="F139" s="301"/>
      <c r="G139" s="301"/>
      <c r="H139" s="228"/>
      <c r="I139" s="228"/>
      <c r="J139" s="111"/>
      <c r="K139" s="313" t="str">
        <f>'テンプレート'!K137</f>
        <v>あお向け倒れ</v>
      </c>
      <c r="L139" s="306" t="str">
        <f>'テンプレート'!L137</f>
        <v>モーション大</v>
      </c>
      <c r="M139" s="113">
        <v>39.0</v>
      </c>
      <c r="N139" s="315"/>
      <c r="O139" s="118"/>
      <c r="P139" s="118"/>
      <c r="Q139" s="118"/>
      <c r="R139" s="118"/>
      <c r="S139" s="118"/>
      <c r="T139" s="118"/>
      <c r="U139" s="118"/>
      <c r="V139" s="118"/>
    </row>
    <row r="140" outlineLevel="1">
      <c r="A140" s="146"/>
      <c r="B140" s="300" t="s">
        <v>254</v>
      </c>
      <c r="C140" s="307" t="str">
        <f t="array" ref="C140">INDEX('転倒'!$E$3:$F126, MATCH($A$1,'転倒'!$A$3:$A$115,0), MATCH(C118,'転倒'!$E$2:$AC$2,0))</f>
        <v>1-5</v>
      </c>
      <c r="D140" s="308">
        <f t="array" ref="D140">INDEX('転倒'!$E$3:$F126, MATCH($A$1,'転倒'!$A$3:$A$115,0), MATCH(D118,'転倒'!$E$2:$AC$2,0))</f>
        <v>39</v>
      </c>
      <c r="E140" s="301"/>
      <c r="F140" s="301"/>
      <c r="G140" s="301"/>
      <c r="H140" s="228"/>
      <c r="I140" s="228"/>
      <c r="J140" s="117"/>
      <c r="K140" s="313" t="str">
        <f>'テンプレート'!K138</f>
        <v>うつ伏せ倒れ</v>
      </c>
      <c r="L140" s="306" t="str">
        <f>'テンプレート'!L138</f>
        <v>モーション大</v>
      </c>
      <c r="M140" s="113" t="s">
        <v>118</v>
      </c>
      <c r="N140" s="315"/>
      <c r="O140" s="118"/>
      <c r="P140" s="118"/>
      <c r="Q140" s="118"/>
      <c r="R140" s="118"/>
      <c r="S140" s="118"/>
      <c r="T140" s="118"/>
      <c r="U140" s="118"/>
      <c r="V140" s="118"/>
    </row>
    <row r="141" outlineLevel="1">
      <c r="A141" s="146"/>
      <c r="B141" s="300" t="s">
        <v>216</v>
      </c>
      <c r="C141" s="307" t="str">
        <f t="array" ref="C141">INDEX('転倒'!$G$3:$H$115, MATCH($A$1,'転倒'!$A$3:$A$115,0), MATCH(C118,'転倒'!$G$2:$AC$2,0))</f>
        <v>1-16</v>
      </c>
      <c r="D141" s="308">
        <f t="array" ref="D141">INDEX('転倒'!$G$3:$H$115, MATCH($A$1,'転倒'!$A$3:$A$115,0), MATCH(D118,'転倒'!$G$2:$AC$2,0))</f>
        <v>21</v>
      </c>
      <c r="E141" s="301"/>
      <c r="F141" s="301"/>
      <c r="G141" s="301"/>
      <c r="H141" s="228"/>
      <c r="I141" s="228"/>
      <c r="J141" s="111"/>
      <c r="K141" s="304" t="str">
        <f>'テンプレート'!K139</f>
        <v/>
      </c>
      <c r="L141" s="110"/>
      <c r="M141" s="298" t="str">
        <f>'テンプレート'!M139</f>
        <v/>
      </c>
      <c r="N141" s="102"/>
      <c r="O141" s="118"/>
      <c r="P141" s="118"/>
      <c r="Q141" s="118"/>
      <c r="R141" s="118"/>
      <c r="S141" s="118"/>
      <c r="T141" s="118"/>
      <c r="U141" s="118"/>
      <c r="V141" s="118"/>
    </row>
    <row r="142" outlineLevel="1">
      <c r="A142" s="146"/>
      <c r="B142" s="300" t="s">
        <v>245</v>
      </c>
      <c r="C142" s="307" t="str">
        <f t="array" ref="C142">INDEX('転倒'!$I$3:$J$115, MATCH($A$1,'転倒'!$A$3:$A$115,0), MATCH(C118,'転倒'!$I$2:$AC$2,0))</f>
        <v>1-9</v>
      </c>
      <c r="D142" s="308">
        <f t="array" ref="D142">INDEX('転倒'!$I$3:$J$115, MATCH($A$1,'転倒'!$A$3:$A$115,0), MATCH(D118,'転倒'!$I$2:$AC$2,0))</f>
        <v>28</v>
      </c>
      <c r="E142" s="301"/>
      <c r="F142" s="301"/>
      <c r="G142" s="301"/>
      <c r="H142" s="228"/>
      <c r="I142" s="228"/>
      <c r="J142" s="228"/>
      <c r="K142" s="316"/>
      <c r="L142" s="317" t="str">
        <f>'テンプレート'!L140</f>
        <v/>
      </c>
      <c r="M142" s="113" t="s">
        <v>76</v>
      </c>
      <c r="N142" s="102"/>
      <c r="O142" s="118"/>
      <c r="P142" s="118"/>
      <c r="Q142" s="118"/>
      <c r="R142" s="118"/>
      <c r="S142" s="118"/>
      <c r="T142" s="118"/>
      <c r="U142" s="118"/>
      <c r="V142" s="118"/>
    </row>
    <row r="143" outlineLevel="1">
      <c r="A143" s="146"/>
      <c r="B143" s="300" t="s">
        <v>246</v>
      </c>
      <c r="C143" s="307" t="str">
        <f t="array" ref="C143">INDEX('転倒'!$K$3:$L$115, MATCH($A$1,'転倒'!$A$3:$A$115,0), MATCH(C118,'転倒'!$K$2:$AC$2,0))</f>
        <v>1-9</v>
      </c>
      <c r="D143" s="308">
        <f t="array" ref="D143">INDEX('転倒'!$K$3:$L$115, MATCH($A$1,'転倒'!$A$3:$A$115,0), MATCH(D118,'転倒'!$K$2:$AC$2,0))</f>
        <v>28</v>
      </c>
      <c r="E143" s="301"/>
      <c r="F143" s="301"/>
      <c r="G143" s="301"/>
      <c r="H143" s="228"/>
      <c r="I143" s="228"/>
      <c r="J143" s="228"/>
      <c r="K143" s="318"/>
      <c r="L143" s="118"/>
      <c r="M143" s="118"/>
      <c r="N143" s="102"/>
      <c r="O143" s="118"/>
      <c r="P143" s="118"/>
      <c r="Q143" s="118"/>
      <c r="R143" s="118"/>
      <c r="S143" s="118"/>
      <c r="T143" s="118"/>
      <c r="U143" s="118"/>
      <c r="V143" s="118"/>
    </row>
    <row r="144" outlineLevel="1">
      <c r="A144" s="146"/>
      <c r="B144" s="300" t="s">
        <v>249</v>
      </c>
      <c r="C144" s="309" t="str">
        <f t="array" ref="C144">INDEX('転倒'!$M$3:$P$115, MATCH($A$1,'転倒'!$A$3:$A$115,0), MATCH(C118,'転倒'!$M$2:$AC$2,0))</f>
        <v>1-7</v>
      </c>
      <c r="D144" s="310">
        <f t="array" ref="D144">INDEX('転倒'!$M$3:$P$115, MATCH($A$1,'転倒'!$A$3:$A$115,0), MATCH(D118,'転倒'!$M$2:$AC$2,0))</f>
        <v>49</v>
      </c>
      <c r="E144" s="307" t="str">
        <f t="array" ref="E144">INDEX('転倒'!$M$3:$P$115, MATCH($A$1,'転倒'!$A$3:$A$115,0), MATCH(E118,'転倒'!$M$2:$AC$2,0))</f>
        <v>19-20</v>
      </c>
      <c r="F144" s="308">
        <f t="array" ref="F144">INDEX('転倒'!$M$3:$P$115, MATCH($A$1,'転倒'!$A$3:$A$115,0), MATCH(F118,'転倒'!$M$2:$AC$2,0))</f>
        <v>5</v>
      </c>
      <c r="G144" s="113">
        <f t="shared" ref="G144:G145" si="3">F144*1.2</f>
        <v>6</v>
      </c>
      <c r="H144" s="228"/>
      <c r="I144" s="228"/>
      <c r="J144" s="228"/>
      <c r="K144" s="118"/>
      <c r="L144" s="118"/>
      <c r="M144" s="118"/>
      <c r="N144" s="102"/>
      <c r="O144" s="102"/>
      <c r="P144" s="102"/>
      <c r="Q144" s="102"/>
      <c r="R144" s="118"/>
      <c r="S144" s="118"/>
      <c r="T144" s="118"/>
      <c r="U144" s="118"/>
      <c r="V144" s="118"/>
    </row>
    <row r="145" outlineLevel="1">
      <c r="A145" s="156"/>
      <c r="B145" s="311" t="s">
        <v>250</v>
      </c>
      <c r="C145" s="156"/>
      <c r="D145" s="156"/>
      <c r="E145" s="307" t="str">
        <f t="array" ref="E145">INDEX('転倒'!$Q$3:$R$115, MATCH($A$1,'転倒'!$A$3:$A$115,0), MATCH(E118,'転倒'!$Q$2:$AC$2,0))</f>
        <v>35-36</v>
      </c>
      <c r="F145" s="308">
        <f t="array" ref="F145">INDEX('転倒'!$Q$3:$R$115, MATCH($A$1,'転倒'!$A$3:$A$115,0), MATCH(F118,'転倒'!$Q$2:$AC$2,0))</f>
        <v>5</v>
      </c>
      <c r="G145" s="113">
        <f t="shared" si="3"/>
        <v>6</v>
      </c>
      <c r="H145" s="228"/>
      <c r="I145" s="228"/>
      <c r="J145" s="228"/>
      <c r="K145" s="118"/>
      <c r="L145" s="118"/>
      <c r="M145" s="118"/>
      <c r="N145" s="102"/>
      <c r="O145" s="102"/>
      <c r="P145" s="102"/>
      <c r="Q145" s="102"/>
      <c r="R145" s="118"/>
      <c r="S145" s="118"/>
      <c r="T145" s="118"/>
      <c r="U145" s="118"/>
      <c r="V145" s="118"/>
    </row>
    <row r="146" outlineLevel="1">
      <c r="A146" s="319"/>
      <c r="B146" s="320"/>
      <c r="C146" s="321"/>
      <c r="D146" s="321"/>
      <c r="E146" s="322"/>
      <c r="F146" s="322"/>
      <c r="G146" s="114"/>
      <c r="H146" s="228"/>
      <c r="I146" s="228"/>
      <c r="J146" s="228"/>
      <c r="K146" s="118"/>
      <c r="L146" s="118"/>
      <c r="M146" s="118"/>
      <c r="N146" s="102"/>
      <c r="O146" s="102"/>
      <c r="P146" s="102"/>
      <c r="Q146" s="102"/>
      <c r="R146" s="118"/>
      <c r="S146" s="118"/>
      <c r="T146" s="118"/>
      <c r="U146" s="118"/>
      <c r="V146" s="118"/>
    </row>
    <row r="147" outlineLevel="1">
      <c r="A147" s="323" t="s">
        <v>255</v>
      </c>
      <c r="B147" s="109"/>
      <c r="C147" s="321"/>
      <c r="D147" s="321"/>
      <c r="E147" s="322"/>
      <c r="F147" s="322"/>
      <c r="G147" s="114"/>
      <c r="H147" s="228"/>
      <c r="I147" s="228"/>
      <c r="J147" s="228"/>
      <c r="K147" s="118"/>
      <c r="L147" s="118"/>
      <c r="M147" s="118"/>
      <c r="N147" s="102"/>
      <c r="O147" s="102"/>
      <c r="P147" s="102"/>
      <c r="Q147" s="102"/>
      <c r="R147" s="118"/>
      <c r="S147" s="118"/>
      <c r="T147" s="118"/>
      <c r="U147" s="118"/>
      <c r="V147" s="118"/>
    </row>
    <row r="148" outlineLevel="1">
      <c r="A148" s="324" t="s">
        <v>256</v>
      </c>
      <c r="B148" s="109"/>
      <c r="C148" s="325" t="s">
        <v>257</v>
      </c>
      <c r="D148" s="325" t="s">
        <v>49</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258</v>
      </c>
      <c r="B149" s="327" t="s">
        <v>216</v>
      </c>
      <c r="C149" s="328" t="str">
        <f t="array" ref="C149">INDEX('アイテム'!$C$3:$D$114, MATCH($A$1,'アイテム'!$A$3:$A$114,0), MATCH(C148,'アイテム'!$C$2:$AQ$2,0))</f>
        <v>2</v>
      </c>
      <c r="D149" s="328">
        <f t="array" ref="D149">INDEX('アイテム'!$C$3:$D$114, MATCH($A$1,'アイテム'!$A$3:$A$114,0), MATCH(D148,'アイテム'!$C$2:$AQ$2,0))</f>
        <v>7</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219</v>
      </c>
      <c r="C150" s="328" t="str">
        <f t="array" ref="C150">INDEX('アイテム'!$E$3:$F$114, MATCH($A$1,'アイテム'!$A$3:$A$114,0), MATCH(C148,'アイテム'!$C$2:$AQ$2,0))</f>
        <v>2</v>
      </c>
      <c r="D150" s="328">
        <f t="array" ref="D150">INDEX('アイテム'!$E$3:$F$114, MATCH($A$1,'アイテム'!$A$3:$A$114,0), MATCH(D148,'アイテム'!$C$2:$AQ$2,0))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9" t="s">
        <v>259</v>
      </c>
      <c r="B151" s="327" t="s">
        <v>216</v>
      </c>
      <c r="C151" s="328">
        <f t="array" ref="C151">INDEX('アイテム'!$AA$3:$AB$114, MATCH($A$1,'アイテム'!$A$3:$A$114,0), MATCH(C148,'アイテム'!$C$2:$AQ$2,0))</f>
        <v>3</v>
      </c>
      <c r="D151" s="328" t="str">
        <f t="array" ref="D151">INDEX('アイテム'!$AA$3:$AB$114, MATCH($A$1,'アイテム'!$A$3:$A$114,0), MATCH(D148,'アイテム'!$C$2:$AQ$2,0))</f>
        <v>12</v>
      </c>
      <c r="E151" s="322"/>
      <c r="F151" s="322"/>
      <c r="G151" s="114"/>
      <c r="H151" s="228"/>
      <c r="I151" s="228"/>
      <c r="J151" s="228"/>
      <c r="K151" s="118"/>
      <c r="L151" s="118"/>
      <c r="M151" s="118"/>
      <c r="N151" s="102"/>
      <c r="O151" s="102"/>
      <c r="P151" s="102"/>
      <c r="Q151" s="102"/>
      <c r="R151" s="118"/>
      <c r="S151" s="118"/>
      <c r="T151" s="118"/>
      <c r="U151" s="118"/>
      <c r="V151" s="118"/>
    </row>
    <row r="152" outlineLevel="1">
      <c r="A152" s="324" t="s">
        <v>260</v>
      </c>
      <c r="B152" s="109"/>
      <c r="C152" s="325" t="s">
        <v>261</v>
      </c>
      <c r="D152" s="325" t="s">
        <v>49</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262</v>
      </c>
      <c r="B153" s="327" t="s">
        <v>226</v>
      </c>
      <c r="C153" s="328" t="str">
        <f t="array" ref="C153">INDEX('アイテム'!$G$3:$H$114, MATCH($A$1,'アイテム'!$A$3:$A$114,0), MATCH(C148,'アイテム'!$C$2:$AQ$2,0))</f>
        <v>8</v>
      </c>
      <c r="D153" s="328">
        <f t="array" ref="D153">INDEX('アイテム'!$G$3:$H$114, MATCH($A$1,'アイテム'!$A$3:$A$114,0), MATCH(D148,'アイテム'!$C$2:$AQ$2,0))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t="str">
        <f t="array" ref="C154">INDEX('アイテム'!$I$3:$J$114, MATCH($A$1,'アイテム'!$A$3:$A$114,0), MATCH(C148,'アイテム'!$C$2:$AQ$2,0))</f>
        <v>11</v>
      </c>
      <c r="D154" s="328">
        <f t="array" ref="D154">INDEX('アイテム'!$I$3:$J$114, MATCH($A$1,'アイテム'!$A$3:$A$114,0), MATCH(D148,'アイテム'!$C$2:$AQ$2,0))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t="str">
        <f t="array" ref="C155">INDEX('アイテム'!$K$3:$L$114, MATCH($A$1,'アイテム'!$A$3:$A$114,0), MATCH(C148,'アイテム'!$C$2:$AQ$2,0))</f>
        <v>12</v>
      </c>
      <c r="D155" s="328">
        <f t="array" ref="D155">INDEX('アイテム'!$K$3:$L$114, MATCH($A$1,'アイテム'!$A$3:$A$114,0), MATCH(D148,'アイテム'!$C$2:$AQ$2,0))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234</v>
      </c>
      <c r="C156" s="328" t="str">
        <f t="array" ref="C156">INDEX('アイテム'!$M$3:$N$114, MATCH($A$1,'アイテム'!$A$3:$A$114,0), MATCH(C148,'アイテム'!$C$2:$AQ$2,0))</f>
        <v>7</v>
      </c>
      <c r="D156" s="328">
        <f t="array" ref="D156">INDEX('アイテム'!$M$3:$N$114, MATCH($A$1,'アイテム'!$A$3:$A$114,0), MATCH(D148,'アイテム'!$C$2:$AQ$2,0))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219</v>
      </c>
      <c r="C157" s="328" t="str">
        <f t="array" ref="C157">INDEX('アイテム'!$O$3:$P$114, MATCH($A$1,'アイテム'!$A$3:$A$114,0), MATCH(C148,'アイテム'!$C$2:$AQ$2,0))</f>
        <v>5</v>
      </c>
      <c r="D157" s="328">
        <f t="array" ref="D157">INDEX('アイテム'!$O$3:$P$114, MATCH($A$1,'アイテム'!$A$3:$A$114,0), MATCH(D148,'アイテム'!$C$2:$AQ$2,0))</f>
        <v>29</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263</v>
      </c>
      <c r="C158" s="328" t="str">
        <f t="array" ref="C158">INDEX('アイテム'!$Q$3:$R$114, MATCH($A$1,'アイテム'!$A$3:$A$114,0), MATCH(C148,'アイテム'!$C$2:$AQ$2,0))</f>
        <v>6</v>
      </c>
      <c r="D158" s="328">
        <f t="array" ref="D158">INDEX('アイテム'!$Q$3:$R$114, MATCH($A$1,'アイテム'!$A$3:$A$114,0), MATCH(D148,'アイテム'!$C$2:$AQ$2,0))</f>
        <v>23</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264</v>
      </c>
      <c r="B159" s="327" t="s">
        <v>226</v>
      </c>
      <c r="C159" s="328" t="str">
        <f t="array" ref="C159">INDEX('アイテム'!$S$3:$T$114, MATCH($A$1,'アイテム'!$A$3:$A$114,0), MATCH(C148,'アイテム'!$C$2:$AQ$2,0))</f>
        <v>8</v>
      </c>
      <c r="D159" s="328">
        <f t="array" ref="D159">INDEX('アイテム'!$S$3:$T$114, MATCH($A$1,'アイテム'!$A$3:$A$114,0), MATCH(D148,'アイテム'!$C$2:$AQ$2,0))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t="str">
        <f t="array" ref="C160">INDEX('アイテム'!$U$3:$V$114, MATCH($A$1,'アイテム'!$A$3:$A$114,0), MATCH(C148,'アイテム'!$C$2:$AQ$2,0))</f>
        <v>11</v>
      </c>
      <c r="D160" s="328">
        <f t="array" ref="D160">INDEX('アイテム'!$U$3:$V$114, MATCH($A$1,'アイテム'!$A$3:$A$114,0), MATCH(D148,'アイテム'!$C$2:$AQ$2,0))</f>
        <v>24</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t="str">
        <f t="array" ref="C161">INDEX('アイテム'!$W$3:$X$114, MATCH($A$1,'アイテム'!$A$3:$A$114,0), MATCH(C148,'アイテム'!$C$2:$AQ$2,0))</f>
        <v>12</v>
      </c>
      <c r="D161" s="328">
        <f t="array" ref="D161">INDEX('アイテム'!$W$3:$X$114, MATCH($A$1,'アイテム'!$A$3:$A$114,0), MATCH(D148,'アイテム'!$C$2:$AQ$2,0))</f>
        <v>23</v>
      </c>
      <c r="E161" s="322"/>
      <c r="F161" s="322"/>
      <c r="G161" s="114"/>
      <c r="H161" s="228"/>
      <c r="I161" s="228"/>
      <c r="J161" s="228"/>
      <c r="K161" s="118"/>
      <c r="L161" s="118"/>
      <c r="M161" s="118"/>
      <c r="N161" s="102"/>
      <c r="O161" s="102"/>
      <c r="P161" s="102"/>
      <c r="Q161" s="102"/>
      <c r="R161" s="118"/>
      <c r="S161" s="118"/>
      <c r="T161" s="118"/>
      <c r="U161" s="118"/>
      <c r="V161" s="118"/>
    </row>
    <row r="162" outlineLevel="1">
      <c r="A162" s="156"/>
      <c r="B162" s="327" t="s">
        <v>234</v>
      </c>
      <c r="C162" s="328" t="str">
        <f t="array" ref="C162">INDEX('アイテム'!$Y$3:$Z$114, MATCH($A$1,'アイテム'!$A$3:$A$114,0), MATCH(C148,'アイテム'!$C$2:$AQ$2,0))</f>
        <v>7</v>
      </c>
      <c r="D162" s="328">
        <f t="array" ref="D162">INDEX('アイテム'!$Y$3:$Z$114, MATCH($A$1,'アイテム'!$A$3:$A$114,0), MATCH(D148,'アイテム'!$C$2:$AQ$2,0))</f>
        <v>19</v>
      </c>
      <c r="E162" s="322"/>
      <c r="F162" s="322"/>
      <c r="G162" s="114"/>
      <c r="H162" s="228"/>
      <c r="I162" s="228"/>
      <c r="J162" s="228"/>
      <c r="K162" s="118"/>
      <c r="L162" s="118"/>
      <c r="M162" s="118"/>
      <c r="N162" s="102"/>
      <c r="O162" s="102"/>
      <c r="P162" s="102"/>
      <c r="Q162" s="102"/>
      <c r="R162" s="118"/>
      <c r="S162" s="118"/>
      <c r="T162" s="118"/>
      <c r="U162" s="118"/>
      <c r="V162" s="118"/>
    </row>
    <row r="163" outlineLevel="1">
      <c r="A163" s="326" t="s">
        <v>265</v>
      </c>
      <c r="B163" s="327" t="s">
        <v>226</v>
      </c>
      <c r="C163" s="328">
        <f t="array" ref="C163">INDEX('アイテム'!$AC$3:$AD$114, MATCH($A$1,'アイテム'!$A$3:$A$114,0), MATCH(C148,'アイテム'!$C$2:$AQ$2,0))</f>
        <v>17</v>
      </c>
      <c r="D163" s="328" t="str">
        <f t="array" ref="D163">INDEX('アイテム'!$AC$3:$AD$114, MATCH($A$1,'アイテム'!$A$3:$A$114,0), MATCH(D148,'アイテム'!$C$2:$AQ$2,0))</f>
        <v>30</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229</v>
      </c>
      <c r="C164" s="328">
        <f t="array" ref="C164">INDEX('アイテム'!$AE$3:$AF$114, MATCH($A$1,'アイテム'!$A$3:$A$114,0), MATCH(C148,'アイテム'!$C$2:$AQ$2,0))</f>
        <v>18</v>
      </c>
      <c r="D164" s="328" t="str">
        <f t="array" ref="D164">INDEX('アイテム'!$AE$3:$AF$114, MATCH($A$1,'アイテム'!$A$3:$A$114,0), MATCH(D148,'アイテム'!$C$2:$AQ$2,0))</f>
        <v>30</v>
      </c>
      <c r="E164" s="322"/>
      <c r="F164" s="322"/>
      <c r="G164" s="114"/>
      <c r="H164" s="228"/>
      <c r="I164" s="228"/>
      <c r="J164" s="228"/>
      <c r="K164" s="118"/>
      <c r="L164" s="118"/>
      <c r="M164" s="118"/>
      <c r="N164" s="102"/>
      <c r="O164" s="102"/>
      <c r="P164" s="102"/>
      <c r="Q164" s="102"/>
      <c r="R164" s="118"/>
      <c r="S164" s="118"/>
      <c r="T164" s="118"/>
      <c r="U164" s="118"/>
      <c r="V164" s="118"/>
    </row>
    <row r="165" outlineLevel="1">
      <c r="A165" s="146"/>
      <c r="B165" s="327" t="s">
        <v>233</v>
      </c>
      <c r="C165" s="328">
        <f t="array" ref="C165">INDEX('アイテム'!$AG$3:$AH$114, MATCH($A$1,'アイテム'!$A$3:$A$114,0), MATCH(C148,'アイテム'!$C$2:$AQ$2,0))</f>
        <v>11</v>
      </c>
      <c r="D165" s="328" t="str">
        <f t="array" ref="D165">INDEX('アイテム'!$AG$3:$AH$114, MATCH($A$1,'アイテム'!$A$3:$A$114,0), MATCH(D148,'アイテム'!$C$2:$AQ$2,0))</f>
        <v>22</v>
      </c>
      <c r="E165" s="322"/>
      <c r="F165" s="322"/>
      <c r="G165" s="114"/>
      <c r="H165" s="228"/>
      <c r="I165" s="228"/>
      <c r="J165" s="228"/>
      <c r="K165" s="118"/>
      <c r="L165" s="118"/>
      <c r="M165" s="118"/>
      <c r="N165" s="102"/>
      <c r="O165" s="102"/>
      <c r="P165" s="102"/>
      <c r="Q165" s="102"/>
      <c r="R165" s="118"/>
      <c r="S165" s="118"/>
      <c r="T165" s="118"/>
      <c r="U165" s="118"/>
      <c r="V165" s="118"/>
    </row>
    <row r="166" outlineLevel="1">
      <c r="A166" s="156"/>
      <c r="B166" s="327" t="s">
        <v>234</v>
      </c>
      <c r="C166" s="328">
        <f t="array" ref="C166">INDEX('アイテム'!$AI$3:$AJ$114, MATCH($A$1,'アイテム'!$A$3:$A$114,0), MATCH(C148,'アイテム'!$C$2:$AQ$2,0))</f>
        <v>8</v>
      </c>
      <c r="D166" s="328" t="str">
        <f t="array" ref="D166">INDEX('アイテム'!$AI$3:$AJ$114, MATCH($A$1,'アイテム'!$A$3:$A$114,0), MATCH(D148,'アイテム'!$C$2:$AQ$2,0))</f>
        <v>22</v>
      </c>
      <c r="E166" s="322"/>
      <c r="F166" s="322"/>
      <c r="G166" s="114"/>
      <c r="H166" s="228"/>
      <c r="I166" s="228"/>
      <c r="J166" s="228"/>
      <c r="K166" s="118"/>
      <c r="L166" s="118"/>
      <c r="M166" s="118"/>
      <c r="N166" s="102"/>
      <c r="O166" s="102"/>
      <c r="P166" s="102"/>
      <c r="Q166" s="102"/>
      <c r="R166" s="118"/>
      <c r="S166" s="118"/>
      <c r="T166" s="118"/>
      <c r="U166" s="118"/>
      <c r="V166" s="118"/>
    </row>
  </sheetData>
  <mergeCells count="157">
    <mergeCell ref="A24:B25"/>
    <mergeCell ref="A26:A27"/>
    <mergeCell ref="A28:A30"/>
    <mergeCell ref="D28:D30"/>
    <mergeCell ref="A31:A33"/>
    <mergeCell ref="D31:D33"/>
    <mergeCell ref="D34:D35"/>
    <mergeCell ref="H26:J26"/>
    <mergeCell ref="H27:J27"/>
    <mergeCell ref="H28:J30"/>
    <mergeCell ref="U28:U30"/>
    <mergeCell ref="H31:J33"/>
    <mergeCell ref="U31:U33"/>
    <mergeCell ref="U34:U35"/>
    <mergeCell ref="D53:D55"/>
    <mergeCell ref="D56:D57"/>
    <mergeCell ref="C31:C33"/>
    <mergeCell ref="C34:C35"/>
    <mergeCell ref="C37:C39"/>
    <mergeCell ref="D37:D39"/>
    <mergeCell ref="D40:D44"/>
    <mergeCell ref="D45:D46"/>
    <mergeCell ref="D50:D52"/>
    <mergeCell ref="U37:U39"/>
    <mergeCell ref="U40:U44"/>
    <mergeCell ref="U45:U46"/>
    <mergeCell ref="R49:V49"/>
    <mergeCell ref="R50:V52"/>
    <mergeCell ref="R53:V55"/>
    <mergeCell ref="R56:V57"/>
    <mergeCell ref="U79:U86"/>
    <mergeCell ref="V79:V86"/>
    <mergeCell ref="U88:U91"/>
    <mergeCell ref="V88:V91"/>
    <mergeCell ref="R58:V60"/>
    <mergeCell ref="R61:V63"/>
    <mergeCell ref="R64:V65"/>
    <mergeCell ref="U69:U72"/>
    <mergeCell ref="V69:V72"/>
    <mergeCell ref="U74:U77"/>
    <mergeCell ref="V74:V77"/>
    <mergeCell ref="I53:I55"/>
    <mergeCell ref="J53:J55"/>
    <mergeCell ref="I56:I57"/>
    <mergeCell ref="J56:J57"/>
    <mergeCell ref="I58:I60"/>
    <mergeCell ref="J58:J60"/>
    <mergeCell ref="J61:J63"/>
    <mergeCell ref="J64:J65"/>
    <mergeCell ref="I61:I63"/>
    <mergeCell ref="I64:I65"/>
    <mergeCell ref="H68:J68"/>
    <mergeCell ref="H69:J72"/>
    <mergeCell ref="H73:J73"/>
    <mergeCell ref="H74:J77"/>
    <mergeCell ref="H78:J78"/>
    <mergeCell ref="K119:K120"/>
    <mergeCell ref="K121:L121"/>
    <mergeCell ref="K122:K127"/>
    <mergeCell ref="K128:K131"/>
    <mergeCell ref="K132:L132"/>
    <mergeCell ref="K134:K137"/>
    <mergeCell ref="K138:L138"/>
    <mergeCell ref="K141:L141"/>
    <mergeCell ref="H88:J91"/>
    <mergeCell ref="G99:J99"/>
    <mergeCell ref="G100:J101"/>
    <mergeCell ref="G102:J103"/>
    <mergeCell ref="G104:J105"/>
    <mergeCell ref="G106:J107"/>
    <mergeCell ref="K118:L118"/>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34:J35"/>
    <mergeCell ref="H36:J36"/>
    <mergeCell ref="H37:J39"/>
    <mergeCell ref="H40:J44"/>
    <mergeCell ref="H45:J46"/>
    <mergeCell ref="I50:I52"/>
    <mergeCell ref="J50:J52"/>
    <mergeCell ref="A71:A72"/>
    <mergeCell ref="A76:A77"/>
    <mergeCell ref="A34:A35"/>
    <mergeCell ref="A37:A39"/>
    <mergeCell ref="A40:A44"/>
    <mergeCell ref="A45:A46"/>
    <mergeCell ref="A48:B49"/>
    <mergeCell ref="A50:A52"/>
    <mergeCell ref="A53:A55"/>
    <mergeCell ref="H79:J86"/>
    <mergeCell ref="H87:J87"/>
    <mergeCell ref="C131:C132"/>
    <mergeCell ref="C144:C145"/>
    <mergeCell ref="A114:A115"/>
    <mergeCell ref="A119:A123"/>
    <mergeCell ref="A124:A126"/>
    <mergeCell ref="A127:A132"/>
    <mergeCell ref="D131:D132"/>
    <mergeCell ref="A133:A138"/>
    <mergeCell ref="D144:D145"/>
    <mergeCell ref="A56:A57"/>
    <mergeCell ref="A58:A60"/>
    <mergeCell ref="D58:D60"/>
    <mergeCell ref="A61:A63"/>
    <mergeCell ref="D61:D63"/>
    <mergeCell ref="A64:A65"/>
    <mergeCell ref="D64:D65"/>
    <mergeCell ref="A67:B67"/>
    <mergeCell ref="A68:B68"/>
    <mergeCell ref="A69:A70"/>
    <mergeCell ref="A73:B73"/>
    <mergeCell ref="A74:A75"/>
    <mergeCell ref="A78:B78"/>
    <mergeCell ref="D79:D86"/>
    <mergeCell ref="A87:B87"/>
    <mergeCell ref="D102:D103"/>
    <mergeCell ref="D104:D105"/>
    <mergeCell ref="D106:D107"/>
    <mergeCell ref="A79:A83"/>
    <mergeCell ref="A84:A86"/>
    <mergeCell ref="A88:A91"/>
    <mergeCell ref="A93:B94"/>
    <mergeCell ref="A96:A98"/>
    <mergeCell ref="A99:B99"/>
    <mergeCell ref="D100:D101"/>
    <mergeCell ref="A100:A101"/>
    <mergeCell ref="A102:A103"/>
    <mergeCell ref="A104:A105"/>
    <mergeCell ref="A106:A107"/>
    <mergeCell ref="A109:B110"/>
    <mergeCell ref="A111:A113"/>
    <mergeCell ref="A117:B118"/>
    <mergeCell ref="C137:C138"/>
    <mergeCell ref="D137:D138"/>
    <mergeCell ref="A139:A145"/>
    <mergeCell ref="A147:B147"/>
    <mergeCell ref="A148:B148"/>
    <mergeCell ref="A149:A150"/>
    <mergeCell ref="A152:B152"/>
    <mergeCell ref="A153:A158"/>
    <mergeCell ref="A159:A162"/>
    <mergeCell ref="A163:A166"/>
  </mergeCells>
  <conditionalFormatting sqref="K1:K15 K17:K70 K73:K90 K92:K142">
    <cfRule type="containsText" dxfId="0" priority="1" operator="containsText" text="361">
      <formula>NOT(ISERROR(SEARCH(("361"),(K1))))</formula>
    </cfRule>
  </conditionalFormatting>
  <conditionalFormatting sqref="K1:K15 K17:K70 K73:K90 K92:K142">
    <cfRule type="containsText" dxfId="1" priority="2" operator="containsText" text="363">
      <formula>NOT(ISERROR(SEARCH(("363"),(K1))))</formula>
    </cfRule>
  </conditionalFormatting>
  <conditionalFormatting sqref="K1:K15 K17:K70 K73:K90 K92:K142">
    <cfRule type="containsText" dxfId="1" priority="3" operator="containsText" text="365">
      <formula>NOT(ISERROR(SEARCH(("365"),(K1))))</formula>
    </cfRule>
  </conditionalFormatting>
  <conditionalFormatting sqref="K1:K15 K17:K70 K73:K90 K92:K142">
    <cfRule type="containsText" dxfId="1" priority="4" operator="containsText" text="366">
      <formula>NOT(ISERROR(SEARCH(("366"),(K1))))</formula>
    </cfRule>
  </conditionalFormatting>
  <conditionalFormatting sqref="K1:K15 K17:K70 K73:K90 K92:K142">
    <cfRule type="containsText" dxfId="1" priority="5" operator="containsText" text="367">
      <formula>NOT(ISERROR(SEARCH(("367"),(K1))))</formula>
    </cfRule>
  </conditionalFormatting>
  <conditionalFormatting sqref="C100 E100:F100 K100:N100 O100:O102 P100:P107 Q100:Q102 C102 E102:F102 K102:N102 C106 E106:F106 K106:N106">
    <cfRule type="cellIs" dxfId="2" priority="6" operator="equal">
      <formula>"敵のみ"</formula>
    </cfRule>
  </conditionalFormatting>
  <conditionalFormatting sqref="C100:C107">
    <cfRule type="cellIs" dxfId="3" priority="7" operator="equal">
      <formula>"-"</formula>
    </cfRule>
  </conditionalFormatting>
  <conditionalFormatting sqref="O1:O70 O73:O90 O92:O166">
    <cfRule type="cellIs" dxfId="4" priority="8" operator="greaterThan">
      <formula>0</formula>
    </cfRule>
  </conditionalFormatting>
  <conditionalFormatting sqref="P1:Q70 P73:Q90 P92:Q166 C100 E100:F100 K100:N100 O100:O102 C102 E102:F102 K102:N102 O105:O107 C106 E106:F106 K106:N106">
    <cfRule type="cellIs" dxfId="5" priority="9" operator="lessThan">
      <formula>1</formula>
    </cfRule>
  </conditionalFormatting>
  <conditionalFormatting sqref="P1:Q70 P73:Q90 P92:Q166 C100 E100:F100 K100:N100 O100:O102 C102 E102:F102 K102:N102 O105:O107 C106 E106:F106 K106:N106">
    <cfRule type="cellIs" dxfId="4" priority="10" operator="greaterThan">
      <formula>1</formula>
    </cfRule>
  </conditionalFormatting>
  <conditionalFormatting sqref="N25:N70 N73:N90 N92:N107">
    <cfRule type="cellIs" dxfId="6" priority="11" operator="greaterThan">
      <formula>0</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A92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586">
        <v>5.0</v>
      </c>
      <c r="B1" s="587"/>
      <c r="C1" s="588" t="str">
        <f>IMAGE(VLOOKUP($A$1,Fighters!A2:AI114,12,FALSE),1)</f>
        <v>#REF!</v>
      </c>
      <c r="D1" s="589"/>
      <c r="E1" s="589"/>
      <c r="F1" s="589"/>
      <c r="G1" s="590"/>
      <c r="H1" s="591"/>
      <c r="I1" s="589"/>
      <c r="J1" s="590"/>
      <c r="K1" s="592"/>
      <c r="L1" s="589"/>
      <c r="M1" s="590"/>
      <c r="N1" s="593"/>
      <c r="O1" s="593"/>
      <c r="P1" s="593"/>
      <c r="Q1" s="593"/>
      <c r="R1" s="594"/>
      <c r="S1" s="594"/>
      <c r="T1" s="594"/>
      <c r="U1" s="594"/>
      <c r="V1" s="594"/>
    </row>
    <row r="2">
      <c r="A2" s="595" t="str">
        <f>VLOOKUP($A$1,Fighters!$A$2:$AI$81,6,FALSE)</f>
        <v>#00a920</v>
      </c>
      <c r="B2" s="587"/>
      <c r="C2" s="596"/>
      <c r="G2" s="597"/>
      <c r="H2" s="598"/>
      <c r="I2" s="599"/>
      <c r="J2" s="600"/>
      <c r="K2" s="598"/>
      <c r="L2" s="599"/>
      <c r="M2" s="600"/>
      <c r="N2" s="593"/>
      <c r="O2" s="593"/>
      <c r="P2" s="593"/>
      <c r="Q2" s="593"/>
      <c r="R2" s="594"/>
      <c r="S2" s="594"/>
      <c r="T2" s="594"/>
      <c r="U2" s="594"/>
      <c r="V2" s="594"/>
    </row>
    <row r="3">
      <c r="A3" s="595" t="str">
        <f>VLOOKUP($A$1,Fighters!$A$2:$AI$81,14,FALSE)</f>
        <v>5. ヨッシー</v>
      </c>
      <c r="B3" s="587"/>
      <c r="C3" s="596"/>
      <c r="G3" s="597"/>
      <c r="H3" s="601"/>
      <c r="I3" s="601"/>
      <c r="J3" s="601"/>
      <c r="K3" s="602"/>
      <c r="L3" s="602"/>
      <c r="M3" s="602"/>
      <c r="N3" s="593"/>
      <c r="O3" s="593"/>
      <c r="P3" s="593"/>
      <c r="Q3" s="593"/>
      <c r="R3" s="603"/>
      <c r="S3" s="594"/>
      <c r="T3" s="594"/>
      <c r="U3" s="594"/>
      <c r="V3" s="594"/>
    </row>
    <row r="4">
      <c r="A4" s="595" t="str">
        <f>VLOOKUP($A$1,Fighters!$A$2:$AI$81,13,FALSE)</f>
        <v>0</v>
      </c>
      <c r="B4" s="587"/>
      <c r="C4" s="596"/>
      <c r="G4" s="597"/>
      <c r="H4" s="604"/>
      <c r="I4" s="604"/>
      <c r="J4" s="601"/>
      <c r="K4" s="602"/>
      <c r="L4" s="602"/>
      <c r="M4" s="602"/>
      <c r="N4" s="593"/>
      <c r="O4" s="593"/>
      <c r="P4" s="593"/>
      <c r="Q4" s="593"/>
      <c r="R4" s="603"/>
      <c r="S4" s="594"/>
      <c r="T4" s="594"/>
      <c r="U4" s="594"/>
      <c r="V4" s="594"/>
    </row>
    <row r="5" ht="16.5" customHeight="1">
      <c r="A5" s="586"/>
      <c r="B5" s="587"/>
      <c r="C5" s="596"/>
      <c r="G5" s="597"/>
      <c r="H5" s="605"/>
      <c r="I5" s="605"/>
      <c r="J5" s="606"/>
      <c r="K5" s="607"/>
      <c r="L5" s="608"/>
      <c r="M5" s="608"/>
      <c r="N5" s="593"/>
      <c r="O5" s="593"/>
      <c r="P5" s="593"/>
      <c r="Q5" s="593"/>
      <c r="R5" s="603"/>
      <c r="S5" s="594"/>
      <c r="T5" s="594"/>
      <c r="U5" s="594"/>
      <c r="V5" s="594"/>
    </row>
    <row r="6">
      <c r="A6" s="587"/>
      <c r="B6" s="587"/>
      <c r="C6" s="596"/>
      <c r="G6" s="597"/>
      <c r="H6" s="604"/>
      <c r="I6" s="609" t="s">
        <v>39</v>
      </c>
      <c r="J6" s="607"/>
      <c r="K6" s="610"/>
      <c r="L6" s="608"/>
      <c r="M6" s="608"/>
      <c r="N6" s="593"/>
      <c r="O6" s="593"/>
      <c r="P6" s="593"/>
      <c r="Q6" s="593"/>
      <c r="R6" s="603"/>
      <c r="S6" s="594"/>
      <c r="T6" s="594"/>
      <c r="U6" s="594"/>
      <c r="V6" s="594"/>
    </row>
    <row r="7">
      <c r="A7" s="587"/>
      <c r="B7" s="587"/>
      <c r="C7" s="596"/>
      <c r="G7" s="597"/>
      <c r="H7" s="605"/>
      <c r="I7" s="605"/>
      <c r="J7" s="607"/>
      <c r="K7" s="610"/>
      <c r="L7" s="608"/>
      <c r="M7" s="608"/>
      <c r="N7" s="593"/>
      <c r="O7" s="593"/>
      <c r="P7" s="593"/>
      <c r="Q7" s="593"/>
      <c r="R7" s="603"/>
      <c r="S7" s="594"/>
      <c r="T7" s="594"/>
      <c r="U7" s="594"/>
      <c r="V7" s="594"/>
    </row>
    <row r="8">
      <c r="A8" s="587"/>
      <c r="B8" s="587"/>
      <c r="C8" s="596"/>
      <c r="G8" s="597"/>
      <c r="H8" s="611">
        <v>44379.8431049537</v>
      </c>
      <c r="I8" s="589"/>
      <c r="J8" s="590"/>
      <c r="K8" s="607"/>
      <c r="L8" s="608"/>
      <c r="M8" s="608"/>
      <c r="N8" s="593"/>
      <c r="O8" s="593"/>
      <c r="P8" s="593"/>
      <c r="Q8" s="593"/>
      <c r="R8" s="603"/>
      <c r="S8" s="594"/>
      <c r="T8" s="594"/>
      <c r="U8" s="594"/>
      <c r="V8" s="594"/>
    </row>
    <row r="9">
      <c r="A9" s="587"/>
      <c r="B9" s="587"/>
      <c r="C9" s="596"/>
      <c r="G9" s="597"/>
      <c r="H9" s="598"/>
      <c r="I9" s="599"/>
      <c r="J9" s="600"/>
      <c r="K9" s="594"/>
      <c r="L9" s="593"/>
      <c r="M9" s="593"/>
      <c r="N9" s="593"/>
      <c r="O9" s="593"/>
      <c r="P9" s="593"/>
      <c r="Q9" s="593"/>
      <c r="R9" s="603"/>
      <c r="S9" s="594"/>
      <c r="T9" s="594"/>
      <c r="U9" s="594"/>
      <c r="V9" s="594"/>
    </row>
    <row r="10">
      <c r="A10" s="612"/>
      <c r="B10" s="587"/>
      <c r="C10" s="596"/>
      <c r="G10" s="597"/>
      <c r="H10" s="613"/>
      <c r="I10" s="613"/>
      <c r="J10" s="594"/>
      <c r="K10" s="594"/>
      <c r="L10" s="593"/>
      <c r="M10" s="593"/>
      <c r="N10" s="593"/>
      <c r="O10" s="593"/>
      <c r="P10" s="593"/>
      <c r="Q10" s="593"/>
      <c r="R10" s="603"/>
      <c r="S10" s="594"/>
      <c r="T10" s="594"/>
      <c r="U10" s="594"/>
      <c r="V10" s="594"/>
    </row>
    <row r="11">
      <c r="A11" s="614"/>
      <c r="B11" s="587"/>
      <c r="C11" s="596"/>
      <c r="G11" s="597"/>
      <c r="H11" s="605"/>
      <c r="I11" s="605"/>
      <c r="J11" s="594"/>
      <c r="K11" s="594"/>
      <c r="L11" s="593"/>
      <c r="M11" s="593"/>
      <c r="N11" s="593"/>
      <c r="O11" s="593"/>
      <c r="P11" s="593"/>
      <c r="Q11" s="593"/>
      <c r="R11" s="603"/>
      <c r="S11" s="594"/>
      <c r="T11" s="594"/>
      <c r="U11" s="594"/>
      <c r="V11" s="594"/>
    </row>
    <row r="12">
      <c r="A12" s="605"/>
      <c r="B12" s="587"/>
      <c r="C12" s="598"/>
      <c r="D12" s="599"/>
      <c r="E12" s="599"/>
      <c r="F12" s="599"/>
      <c r="G12" s="600"/>
      <c r="H12" s="615"/>
      <c r="I12" s="615"/>
      <c r="J12" s="587"/>
      <c r="K12" s="587"/>
      <c r="L12" s="593"/>
      <c r="M12" s="593"/>
      <c r="N12" s="593"/>
      <c r="O12" s="593"/>
      <c r="P12" s="593"/>
      <c r="Q12" s="593"/>
      <c r="R12" s="603"/>
      <c r="S12" s="594"/>
      <c r="T12" s="594"/>
      <c r="U12" s="594"/>
      <c r="V12" s="59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104 [22nd]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2.09 [18th]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1.208 [27th]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60F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0.1342 [63rd]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33.66 [33rd]</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2.046 [19th]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0.105 [55th]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16.26 [39th]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14F [79th]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1.344 [1st]</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42F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[66th]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33.66 [39th]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1.29 [83rd]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0.00375 [87th]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2.064 [83rd]</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0.096 [38th]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616" t="s">
        <v>204</v>
      </c>
      <c r="D26" s="616" t="s">
        <v>394</v>
      </c>
      <c r="E26" s="616" t="s">
        <v>204</v>
      </c>
      <c r="F26" s="246">
        <v>3.5999999999999996</v>
      </c>
      <c r="G26" s="616" t="s">
        <v>147</v>
      </c>
      <c r="H26" s="362" t="s">
        <v>626</v>
      </c>
      <c r="I26" s="110"/>
      <c r="J26" s="109"/>
      <c r="K26" s="138"/>
      <c r="L26" s="282"/>
      <c r="M26" s="363"/>
      <c r="N26" s="363"/>
      <c r="O26" s="145">
        <v>0.0</v>
      </c>
      <c r="P26" s="145">
        <v>1.0</v>
      </c>
      <c r="Q26" s="145">
        <v>1.0</v>
      </c>
      <c r="R26" s="100"/>
      <c r="S26" s="100"/>
      <c r="T26" s="100"/>
      <c r="U26" s="145" t="s">
        <v>62</v>
      </c>
      <c r="V26" s="100"/>
    </row>
    <row r="27" outlineLevel="1">
      <c r="A27" s="156"/>
      <c r="B27" s="147" t="s">
        <v>63</v>
      </c>
      <c r="C27" s="616" t="s">
        <v>71</v>
      </c>
      <c r="D27" s="214" t="s">
        <v>296</v>
      </c>
      <c r="E27" s="214" t="s">
        <v>73</v>
      </c>
      <c r="F27" s="246">
        <v>4.8</v>
      </c>
      <c r="G27" s="616" t="s">
        <v>75</v>
      </c>
      <c r="H27" s="362"/>
      <c r="I27" s="110"/>
      <c r="J27" s="109"/>
      <c r="K27" s="282"/>
      <c r="L27" s="282"/>
      <c r="M27" s="363"/>
      <c r="N27" s="363"/>
      <c r="O27" s="145">
        <v>0.0</v>
      </c>
      <c r="P27" s="145">
        <v>1.0</v>
      </c>
      <c r="Q27" s="145">
        <v>1.0</v>
      </c>
      <c r="R27" s="100"/>
      <c r="S27" s="100"/>
      <c r="T27" s="100"/>
      <c r="U27" s="145" t="s">
        <v>76</v>
      </c>
      <c r="V27" s="100"/>
    </row>
    <row r="28" outlineLevel="1">
      <c r="A28" s="133" t="s">
        <v>77</v>
      </c>
      <c r="B28" s="160"/>
      <c r="C28" s="214" t="s">
        <v>627</v>
      </c>
      <c r="D28" s="191" t="s">
        <v>628</v>
      </c>
      <c r="E28" s="214" t="s">
        <v>232</v>
      </c>
      <c r="F28" s="246">
        <v>13.2</v>
      </c>
      <c r="G28" s="616" t="s">
        <v>121</v>
      </c>
      <c r="H28" s="395"/>
      <c r="I28" s="164"/>
      <c r="J28" s="104"/>
      <c r="K28" s="138"/>
      <c r="L28" s="282"/>
      <c r="M28" s="363"/>
      <c r="N28" s="363"/>
      <c r="O28" s="145">
        <v>0.0</v>
      </c>
      <c r="P28" s="145">
        <v>1.0</v>
      </c>
      <c r="Q28" s="145">
        <v>1.0</v>
      </c>
      <c r="R28" s="100"/>
      <c r="S28" s="100"/>
      <c r="T28" s="100"/>
      <c r="U28" s="166" t="s">
        <v>69</v>
      </c>
      <c r="V28" s="100"/>
    </row>
    <row r="29" outlineLevel="1">
      <c r="A29" s="156"/>
      <c r="B29" s="147" t="s">
        <v>84</v>
      </c>
      <c r="C29" s="214" t="s">
        <v>629</v>
      </c>
      <c r="D29" s="107"/>
      <c r="E29" s="214" t="s">
        <v>80</v>
      </c>
      <c r="F29" s="246">
        <v>9.6</v>
      </c>
      <c r="G29" s="616" t="s">
        <v>123</v>
      </c>
      <c r="H29" s="106"/>
      <c r="I29" s="168"/>
      <c r="J29" s="107"/>
      <c r="K29" s="282"/>
      <c r="L29" s="282"/>
      <c r="M29" s="363"/>
      <c r="N29" s="363"/>
      <c r="O29" s="145">
        <v>0.0</v>
      </c>
      <c r="P29" s="145">
        <v>1.0</v>
      </c>
      <c r="Q29" s="145">
        <v>1.0</v>
      </c>
      <c r="R29" s="100"/>
      <c r="S29" s="100"/>
      <c r="T29" s="100"/>
      <c r="U29" s="156"/>
      <c r="V29" s="100"/>
    </row>
    <row r="30" outlineLevel="1">
      <c r="A30" s="170" t="s">
        <v>89</v>
      </c>
      <c r="B30" s="147" t="s">
        <v>90</v>
      </c>
      <c r="C30" s="214" t="s">
        <v>91</v>
      </c>
      <c r="D30" s="214" t="s">
        <v>99</v>
      </c>
      <c r="E30" s="214" t="s">
        <v>80</v>
      </c>
      <c r="F30" s="246">
        <v>9.6</v>
      </c>
      <c r="G30" s="616" t="s">
        <v>123</v>
      </c>
      <c r="H30" s="362"/>
      <c r="I30" s="110"/>
      <c r="J30" s="109"/>
      <c r="K30" s="138"/>
      <c r="L30" s="282"/>
      <c r="M30" s="363"/>
      <c r="N30" s="363"/>
      <c r="O30" s="145">
        <v>0.0</v>
      </c>
      <c r="P30" s="145">
        <v>1.0</v>
      </c>
      <c r="Q30" s="145">
        <v>1.0</v>
      </c>
      <c r="R30" s="100"/>
      <c r="S30" s="100"/>
      <c r="T30" s="100"/>
      <c r="U30" s="145" t="s">
        <v>62</v>
      </c>
      <c r="V30" s="100"/>
    </row>
    <row r="31" outlineLevel="1">
      <c r="A31" s="170" t="s">
        <v>97</v>
      </c>
      <c r="B31" s="160"/>
      <c r="C31" s="214" t="s">
        <v>588</v>
      </c>
      <c r="D31" s="214" t="s">
        <v>271</v>
      </c>
      <c r="E31" s="214" t="s">
        <v>93</v>
      </c>
      <c r="F31" s="246">
        <v>8.4</v>
      </c>
      <c r="G31" s="616" t="s">
        <v>95</v>
      </c>
      <c r="H31" s="362"/>
      <c r="I31" s="110"/>
      <c r="J31" s="109"/>
      <c r="K31" s="282"/>
      <c r="L31" s="282"/>
      <c r="M31" s="363"/>
      <c r="N31" s="363"/>
      <c r="O31" s="145">
        <v>0.0</v>
      </c>
      <c r="P31" s="145">
        <v>1.0</v>
      </c>
      <c r="Q31" s="145">
        <v>1.0</v>
      </c>
      <c r="R31" s="100"/>
      <c r="S31" s="100"/>
      <c r="T31" s="100"/>
      <c r="U31" s="145" t="s">
        <v>62</v>
      </c>
      <c r="V31" s="100"/>
    </row>
    <row r="32" outlineLevel="1">
      <c r="A32" s="170" t="s">
        <v>103</v>
      </c>
      <c r="B32" s="160"/>
      <c r="C32" s="214" t="s">
        <v>161</v>
      </c>
      <c r="D32" s="214" t="s">
        <v>173</v>
      </c>
      <c r="E32" s="214" t="s">
        <v>630</v>
      </c>
      <c r="F32" s="246" t="s">
        <v>631</v>
      </c>
      <c r="G32" s="616" t="s">
        <v>632</v>
      </c>
      <c r="H32" s="362" t="s">
        <v>633</v>
      </c>
      <c r="I32" s="110"/>
      <c r="J32" s="109"/>
      <c r="K32" s="145"/>
      <c r="L32" s="363"/>
      <c r="M32" s="363"/>
      <c r="N32" s="363"/>
      <c r="O32" s="145">
        <v>0.0</v>
      </c>
      <c r="P32" s="145">
        <v>1.0</v>
      </c>
      <c r="Q32" s="145">
        <v>1.0</v>
      </c>
      <c r="R32" s="100"/>
      <c r="S32" s="100"/>
      <c r="T32" s="100"/>
      <c r="U32" s="145" t="s">
        <v>69</v>
      </c>
      <c r="V32" s="100"/>
    </row>
    <row r="33" outlineLevel="1">
      <c r="A33" s="170" t="s">
        <v>109</v>
      </c>
      <c r="B33" s="147" t="s">
        <v>90</v>
      </c>
      <c r="C33" s="214" t="s">
        <v>325</v>
      </c>
      <c r="D33" s="214" t="s">
        <v>634</v>
      </c>
      <c r="E33" s="214" t="s">
        <v>635</v>
      </c>
      <c r="F33" s="246" t="s">
        <v>636</v>
      </c>
      <c r="G33" s="616" t="s">
        <v>637</v>
      </c>
      <c r="H33" s="362" t="s">
        <v>638</v>
      </c>
      <c r="I33" s="110"/>
      <c r="J33" s="109"/>
      <c r="K33" s="282"/>
      <c r="L33" s="282"/>
      <c r="M33" s="363"/>
      <c r="N33" s="363"/>
      <c r="O33" s="145">
        <v>0.0</v>
      </c>
      <c r="P33" s="145">
        <v>1.0</v>
      </c>
      <c r="Q33" s="145">
        <v>1.0</v>
      </c>
      <c r="R33" s="100"/>
      <c r="S33" s="100"/>
      <c r="T33" s="100"/>
      <c r="U33" s="145" t="s">
        <v>62</v>
      </c>
      <c r="V33" s="100"/>
    </row>
    <row r="34" outlineLevel="1">
      <c r="A34" s="133" t="s">
        <v>116</v>
      </c>
      <c r="B34" s="160"/>
      <c r="C34" s="214" t="s">
        <v>382</v>
      </c>
      <c r="D34" s="191" t="s">
        <v>374</v>
      </c>
      <c r="E34" s="214" t="s">
        <v>119</v>
      </c>
      <c r="F34" s="246">
        <v>16.8</v>
      </c>
      <c r="G34" s="616" t="s">
        <v>121</v>
      </c>
      <c r="H34" s="395" t="s">
        <v>639</v>
      </c>
      <c r="I34" s="164"/>
      <c r="J34" s="104"/>
      <c r="K34" s="363"/>
      <c r="L34" s="363"/>
      <c r="M34" s="363"/>
      <c r="N34" s="363"/>
      <c r="O34" s="145">
        <v>0.0</v>
      </c>
      <c r="P34" s="145">
        <v>1.0</v>
      </c>
      <c r="Q34" s="145">
        <v>1.0</v>
      </c>
      <c r="R34" s="100"/>
      <c r="S34" s="100"/>
      <c r="T34" s="100"/>
      <c r="U34" s="166" t="s">
        <v>62</v>
      </c>
      <c r="V34" s="100"/>
    </row>
    <row r="35" outlineLevel="1">
      <c r="A35" s="156"/>
      <c r="B35" s="147" t="s">
        <v>84</v>
      </c>
      <c r="C35" s="214" t="s">
        <v>325</v>
      </c>
      <c r="D35" s="107"/>
      <c r="E35" s="214" t="s">
        <v>129</v>
      </c>
      <c r="F35" s="246">
        <v>14.399999999999999</v>
      </c>
      <c r="G35" s="616" t="s">
        <v>123</v>
      </c>
      <c r="H35" s="106"/>
      <c r="I35" s="168"/>
      <c r="J35" s="107"/>
      <c r="K35" s="363"/>
      <c r="L35" s="363"/>
      <c r="M35" s="363"/>
      <c r="N35" s="363"/>
      <c r="O35" s="145">
        <v>0.0</v>
      </c>
      <c r="P35" s="145">
        <v>1.0</v>
      </c>
      <c r="Q35" s="145">
        <v>1.0</v>
      </c>
      <c r="R35" s="100"/>
      <c r="S35" s="100"/>
      <c r="T35" s="100"/>
      <c r="U35" s="156"/>
      <c r="V35" s="100"/>
    </row>
    <row r="36" outlineLevel="1">
      <c r="A36" s="133" t="s">
        <v>124</v>
      </c>
      <c r="B36" s="147" t="s">
        <v>125</v>
      </c>
      <c r="C36" s="214" t="s">
        <v>319</v>
      </c>
      <c r="D36" s="191" t="s">
        <v>185</v>
      </c>
      <c r="E36" s="214" t="s">
        <v>640</v>
      </c>
      <c r="F36" s="246" t="s">
        <v>641</v>
      </c>
      <c r="G36" s="616" t="s">
        <v>642</v>
      </c>
      <c r="H36" s="395" t="s">
        <v>553</v>
      </c>
      <c r="I36" s="164"/>
      <c r="J36" s="104"/>
      <c r="K36" s="282"/>
      <c r="L36" s="282"/>
      <c r="M36" s="363"/>
      <c r="N36" s="363"/>
      <c r="O36" s="145">
        <v>0.0</v>
      </c>
      <c r="P36" s="145">
        <v>1.0</v>
      </c>
      <c r="Q36" s="145">
        <v>1.0</v>
      </c>
      <c r="R36" s="100"/>
      <c r="S36" s="100"/>
      <c r="T36" s="100"/>
      <c r="U36" s="166" t="s">
        <v>69</v>
      </c>
      <c r="V36" s="100"/>
    </row>
    <row r="37" outlineLevel="1">
      <c r="A37" s="156"/>
      <c r="B37" s="147" t="s">
        <v>131</v>
      </c>
      <c r="C37" s="214" t="s">
        <v>288</v>
      </c>
      <c r="D37" s="107"/>
      <c r="E37" s="214" t="s">
        <v>640</v>
      </c>
      <c r="F37" s="246" t="s">
        <v>641</v>
      </c>
      <c r="G37" s="616" t="s">
        <v>642</v>
      </c>
      <c r="H37" s="106"/>
      <c r="I37" s="168"/>
      <c r="J37" s="107"/>
      <c r="K37" s="282"/>
      <c r="L37" s="282"/>
      <c r="M37" s="363"/>
      <c r="N37" s="363"/>
      <c r="O37" s="145">
        <v>0.0</v>
      </c>
      <c r="P37" s="145">
        <v>1.0</v>
      </c>
      <c r="Q37" s="145">
        <v>1.0</v>
      </c>
      <c r="R37" s="100"/>
      <c r="S37" s="100"/>
      <c r="T37" s="100"/>
      <c r="U37" s="156"/>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tr">
        <f>'テンプレート'!I56</f>
        <v>着地隙</v>
      </c>
      <c r="J40" s="184" t="s">
        <v>136</v>
      </c>
      <c r="K40" s="184" t="str">
        <f>'テンプレート'!K56</f>
        <v>ベクトル</v>
      </c>
      <c r="L40" s="184" t="str">
        <f>'テンプレート'!L56</f>
        <v>KBG (R.E.)</v>
      </c>
      <c r="M40" s="184" t="str">
        <f>'テンプレート'!M56</f>
        <v>BKB (R.A.)</v>
      </c>
      <c r="N40" s="184" t="str">
        <f>'テンプレート'!N56</f>
        <v>FKB (R.F.)</v>
      </c>
      <c r="O40" s="186" t="str">
        <f>'テンプレート'!O56</f>
        <v>盾削り値</v>
      </c>
      <c r="P40" s="184" t="str">
        <f>'テンプレート'!P56</f>
        <v>ﾋｯﾄｽﾄｯﾌﾟ</v>
      </c>
      <c r="Q40" s="186" t="str">
        <f>'テンプレート'!Q56</f>
        <v>ずらし</v>
      </c>
      <c r="R40" s="372" t="str">
        <f>'テンプレート'!R56</f>
        <v>備考</v>
      </c>
      <c r="S40" s="110"/>
      <c r="T40" s="110"/>
      <c r="U40" s="110"/>
      <c r="V40" s="110"/>
    </row>
    <row r="41" outlineLevel="1">
      <c r="A41" s="188" t="s">
        <v>144</v>
      </c>
      <c r="B41" s="373"/>
      <c r="C41" s="244" t="s">
        <v>71</v>
      </c>
      <c r="D41" s="207">
        <v>44.0</v>
      </c>
      <c r="E41" s="617" t="s">
        <v>128</v>
      </c>
      <c r="F41" s="618">
        <v>12.0</v>
      </c>
      <c r="G41" s="618">
        <v>10.2</v>
      </c>
      <c r="H41" s="138" t="s">
        <v>147</v>
      </c>
      <c r="I41" s="454" t="str">
        <f t="array" ref="I41">INDEX('空中攻撃'!$O$3:$AA$109, MATCH($A$1,'空中攻撃'!$A$3:$A$109,0), MATCH(A41,'空中攻撃'!$O$2:$S$2,0))</f>
        <v>7</v>
      </c>
      <c r="J41" s="455" t="s">
        <v>643</v>
      </c>
      <c r="K41" s="138"/>
      <c r="L41" s="282"/>
      <c r="M41" s="363"/>
      <c r="N41" s="363"/>
      <c r="O41" s="145">
        <v>0.0</v>
      </c>
      <c r="P41" s="145">
        <v>1.0</v>
      </c>
      <c r="Q41" s="145">
        <v>1.0</v>
      </c>
      <c r="R41" s="619"/>
      <c r="S41" s="164"/>
      <c r="T41" s="164"/>
      <c r="U41" s="164"/>
      <c r="V41" s="104"/>
    </row>
    <row r="42" outlineLevel="1">
      <c r="A42" s="146"/>
      <c r="B42" s="373" t="s">
        <v>187</v>
      </c>
      <c r="C42" s="244" t="s">
        <v>281</v>
      </c>
      <c r="D42" s="210"/>
      <c r="E42" s="617" t="s">
        <v>93</v>
      </c>
      <c r="F42" s="618">
        <v>8.4</v>
      </c>
      <c r="G42" s="618">
        <v>7.140000000000001</v>
      </c>
      <c r="H42" s="138" t="s">
        <v>60</v>
      </c>
      <c r="I42" s="146"/>
      <c r="J42" s="210"/>
      <c r="K42" s="138"/>
      <c r="L42" s="282"/>
      <c r="M42" s="363"/>
      <c r="N42" s="363"/>
      <c r="O42" s="145">
        <v>0.0</v>
      </c>
      <c r="P42" s="145">
        <v>1.0</v>
      </c>
      <c r="Q42" s="145">
        <v>1.0</v>
      </c>
      <c r="R42" s="212"/>
      <c r="V42" s="210"/>
    </row>
    <row r="43" outlineLevel="1">
      <c r="A43" s="156"/>
      <c r="B43" s="373" t="s">
        <v>189</v>
      </c>
      <c r="C43" s="244" t="s">
        <v>644</v>
      </c>
      <c r="D43" s="107"/>
      <c r="E43" s="244" t="s">
        <v>150</v>
      </c>
      <c r="F43" s="618">
        <v>6.0</v>
      </c>
      <c r="G43" s="618">
        <v>5.1</v>
      </c>
      <c r="H43" s="138" t="s">
        <v>60</v>
      </c>
      <c r="I43" s="156"/>
      <c r="J43" s="107"/>
      <c r="K43" s="138"/>
      <c r="L43" s="282"/>
      <c r="M43" s="363"/>
      <c r="N43" s="363"/>
      <c r="O43" s="145">
        <v>0.0</v>
      </c>
      <c r="P43" s="145">
        <v>1.0</v>
      </c>
      <c r="Q43" s="145">
        <v>1.0</v>
      </c>
      <c r="R43" s="106"/>
      <c r="S43" s="168"/>
      <c r="T43" s="168"/>
      <c r="U43" s="168"/>
      <c r="V43" s="107"/>
    </row>
    <row r="44" outlineLevel="1">
      <c r="A44" s="213" t="s">
        <v>151</v>
      </c>
      <c r="B44" s="373"/>
      <c r="C44" s="244" t="s">
        <v>645</v>
      </c>
      <c r="D44" s="620">
        <v>43.0</v>
      </c>
      <c r="E44" s="244" t="s">
        <v>646</v>
      </c>
      <c r="F44" s="618" t="s">
        <v>647</v>
      </c>
      <c r="G44" s="618" t="s">
        <v>648</v>
      </c>
      <c r="H44" s="138" t="s">
        <v>318</v>
      </c>
      <c r="I44" s="621" t="str">
        <f t="array" ref="I44">INDEX('空中攻撃'!$O$3:$AA$109, MATCH($A$1,'空中攻撃'!$A$3:$A$109,0), MATCH(A44,'空中攻撃'!$O$2:$S$2,0))</f>
        <v>12</v>
      </c>
      <c r="J44" s="467" t="s">
        <v>649</v>
      </c>
      <c r="K44" s="138"/>
      <c r="L44" s="282"/>
      <c r="M44" s="363"/>
      <c r="N44" s="363"/>
      <c r="O44" s="145">
        <v>0.0</v>
      </c>
      <c r="P44" s="145">
        <v>1.0</v>
      </c>
      <c r="Q44" s="145">
        <v>1.0</v>
      </c>
      <c r="R44" s="622"/>
      <c r="S44" s="110"/>
      <c r="T44" s="110"/>
      <c r="U44" s="110"/>
      <c r="V44" s="109"/>
    </row>
    <row r="45" outlineLevel="1">
      <c r="A45" s="188" t="s">
        <v>157</v>
      </c>
      <c r="B45" s="373" t="s">
        <v>650</v>
      </c>
      <c r="C45" s="244" t="s">
        <v>232</v>
      </c>
      <c r="D45" s="207">
        <v>55.0</v>
      </c>
      <c r="E45" s="244" t="s">
        <v>651</v>
      </c>
      <c r="F45" s="618">
        <v>4.2</v>
      </c>
      <c r="G45" s="618">
        <v>3.5700000000000003</v>
      </c>
      <c r="H45" s="138" t="s">
        <v>170</v>
      </c>
      <c r="I45" s="454">
        <f t="array" ref="I45">INDEX('空中攻撃'!$O$3:$AA$109, MATCH($A$1,'空中攻撃'!$A$3:$A$109,0), MATCH(A45,'空中攻撃'!$O$2:$S$2,0))</f>
        <v>11</v>
      </c>
      <c r="J45" s="455" t="s">
        <v>652</v>
      </c>
      <c r="K45" s="138"/>
      <c r="L45" s="282"/>
      <c r="M45" s="363"/>
      <c r="N45" s="363"/>
      <c r="O45" s="145">
        <v>0.0</v>
      </c>
      <c r="P45" s="145">
        <v>1.0</v>
      </c>
      <c r="Q45" s="145">
        <v>1.0</v>
      </c>
      <c r="R45" s="619"/>
      <c r="S45" s="164"/>
      <c r="T45" s="164"/>
      <c r="U45" s="164"/>
      <c r="V45" s="104"/>
    </row>
    <row r="46" outlineLevel="1">
      <c r="A46" s="146"/>
      <c r="B46" s="373" t="s">
        <v>131</v>
      </c>
      <c r="C46" s="244" t="s">
        <v>119</v>
      </c>
      <c r="D46" s="210"/>
      <c r="E46" s="244" t="s">
        <v>651</v>
      </c>
      <c r="F46" s="618">
        <v>4.2</v>
      </c>
      <c r="G46" s="618">
        <v>3.5700000000000003</v>
      </c>
      <c r="H46" s="138" t="s">
        <v>170</v>
      </c>
      <c r="I46" s="146"/>
      <c r="J46" s="210"/>
      <c r="K46" s="138"/>
      <c r="L46" s="282"/>
      <c r="M46" s="363"/>
      <c r="N46" s="363"/>
      <c r="O46" s="145"/>
      <c r="P46" s="145"/>
      <c r="Q46" s="145"/>
      <c r="R46" s="212"/>
      <c r="V46" s="210"/>
    </row>
    <row r="47" outlineLevel="1">
      <c r="A47" s="156"/>
      <c r="B47" s="373" t="s">
        <v>434</v>
      </c>
      <c r="C47" s="244" t="s">
        <v>653</v>
      </c>
      <c r="D47" s="107"/>
      <c r="E47" s="244" t="s">
        <v>100</v>
      </c>
      <c r="F47" s="618">
        <v>6.6</v>
      </c>
      <c r="G47" s="618">
        <v>5.61</v>
      </c>
      <c r="H47" s="138" t="s">
        <v>60</v>
      </c>
      <c r="I47" s="156"/>
      <c r="J47" s="107"/>
      <c r="K47" s="138"/>
      <c r="L47" s="282"/>
      <c r="M47" s="363"/>
      <c r="N47" s="363"/>
      <c r="O47" s="145">
        <v>0.0</v>
      </c>
      <c r="P47" s="145">
        <v>1.0</v>
      </c>
      <c r="Q47" s="145">
        <v>1.0</v>
      </c>
      <c r="R47" s="106"/>
      <c r="S47" s="168"/>
      <c r="T47" s="168"/>
      <c r="U47" s="168"/>
      <c r="V47" s="107"/>
    </row>
    <row r="48" outlineLevel="1">
      <c r="A48" s="213" t="s">
        <v>162</v>
      </c>
      <c r="B48" s="373"/>
      <c r="C48" s="244" t="s">
        <v>267</v>
      </c>
      <c r="D48" s="214" t="s">
        <v>224</v>
      </c>
      <c r="E48" s="244" t="s">
        <v>129</v>
      </c>
      <c r="F48" s="618">
        <v>14.399999999999999</v>
      </c>
      <c r="G48" s="618">
        <v>12.24</v>
      </c>
      <c r="H48" s="138" t="s">
        <v>75</v>
      </c>
      <c r="I48" s="621" t="str">
        <f t="array" ref="I48">INDEX('空中攻撃'!$O$3:$AA$109, MATCH($A$1,'空中攻撃'!$A$3:$A$109,0), MATCH(A48,'空中攻撃'!$O$2:$S$2,0))</f>
        <v>8</v>
      </c>
      <c r="J48" s="216" t="s">
        <v>654</v>
      </c>
      <c r="K48" s="282"/>
      <c r="L48" s="282"/>
      <c r="M48" s="363"/>
      <c r="N48" s="363"/>
      <c r="O48" s="145">
        <v>0.0</v>
      </c>
      <c r="P48" s="145">
        <v>1.0</v>
      </c>
      <c r="Q48" s="145">
        <v>1.0</v>
      </c>
      <c r="R48" s="622"/>
      <c r="S48" s="110"/>
      <c r="T48" s="110"/>
      <c r="U48" s="110"/>
      <c r="V48" s="109"/>
    </row>
    <row r="49" outlineLevel="1">
      <c r="A49" s="188" t="s">
        <v>166</v>
      </c>
      <c r="B49" s="373" t="s">
        <v>655</v>
      </c>
      <c r="C49" s="244" t="s">
        <v>656</v>
      </c>
      <c r="D49" s="207">
        <v>56.0</v>
      </c>
      <c r="E49" s="244" t="s">
        <v>657</v>
      </c>
      <c r="F49" s="618">
        <v>2.76</v>
      </c>
      <c r="G49" s="618">
        <v>2.3459999999999996</v>
      </c>
      <c r="H49" s="138" t="s">
        <v>170</v>
      </c>
      <c r="I49" s="454">
        <f t="array" ref="I49">INDEX('空中攻撃'!$O$3:$AA$109, MATCH($A$1,'空中攻撃'!$A$3:$A$109,0), MATCH(A49,'空中攻撃'!$O$2:$S$2,0))</f>
        <v>17</v>
      </c>
      <c r="J49" s="455" t="s">
        <v>658</v>
      </c>
      <c r="K49" s="282"/>
      <c r="L49" s="282"/>
      <c r="M49" s="363"/>
      <c r="N49" s="363"/>
      <c r="O49" s="145">
        <v>0.0</v>
      </c>
      <c r="P49" s="145">
        <v>1.0</v>
      </c>
      <c r="Q49" s="145">
        <v>1.0</v>
      </c>
      <c r="R49" s="163"/>
      <c r="S49" s="164"/>
      <c r="T49" s="164"/>
      <c r="U49" s="164"/>
      <c r="V49" s="104"/>
    </row>
    <row r="50" outlineLevel="1">
      <c r="A50" s="146"/>
      <c r="B50" s="373" t="s">
        <v>659</v>
      </c>
      <c r="C50" s="244" t="s">
        <v>660</v>
      </c>
      <c r="D50" s="210"/>
      <c r="E50" s="244" t="s">
        <v>661</v>
      </c>
      <c r="F50" s="618">
        <v>2.28</v>
      </c>
      <c r="G50" s="618">
        <v>1.938</v>
      </c>
      <c r="H50" s="138" t="s">
        <v>170</v>
      </c>
      <c r="I50" s="146"/>
      <c r="J50" s="210"/>
      <c r="K50" s="282"/>
      <c r="L50" s="282"/>
      <c r="M50" s="363"/>
      <c r="N50" s="363"/>
      <c r="O50" s="145">
        <v>0.0</v>
      </c>
      <c r="P50" s="145">
        <v>1.0</v>
      </c>
      <c r="Q50" s="145">
        <v>1.0</v>
      </c>
      <c r="R50" s="212"/>
      <c r="V50" s="210"/>
    </row>
    <row r="51" outlineLevel="1">
      <c r="A51" s="146"/>
      <c r="B51" s="373" t="s">
        <v>662</v>
      </c>
      <c r="C51" s="244" t="s">
        <v>384</v>
      </c>
      <c r="D51" s="210"/>
      <c r="E51" s="244" t="s">
        <v>663</v>
      </c>
      <c r="F51" s="618">
        <v>3.36</v>
      </c>
      <c r="G51" s="618">
        <v>2.856</v>
      </c>
      <c r="H51" s="138" t="s">
        <v>170</v>
      </c>
      <c r="I51" s="146"/>
      <c r="J51" s="210"/>
      <c r="K51" s="282"/>
      <c r="L51" s="282"/>
      <c r="M51" s="363"/>
      <c r="N51" s="363"/>
      <c r="O51" s="145">
        <v>0.0</v>
      </c>
      <c r="P51" s="145">
        <v>1.0</v>
      </c>
      <c r="Q51" s="145">
        <v>1.0</v>
      </c>
      <c r="R51" s="212"/>
      <c r="V51" s="210"/>
    </row>
    <row r="52" outlineLevel="1">
      <c r="A52" s="156"/>
      <c r="B52" s="373" t="s">
        <v>664</v>
      </c>
      <c r="C52" s="244" t="s">
        <v>213</v>
      </c>
      <c r="D52" s="107"/>
      <c r="E52" s="244" t="s">
        <v>213</v>
      </c>
      <c r="F52" s="618">
        <v>1.2</v>
      </c>
      <c r="G52" s="618">
        <v>1.2</v>
      </c>
      <c r="H52" s="138" t="s">
        <v>170</v>
      </c>
      <c r="I52" s="156"/>
      <c r="J52" s="107"/>
      <c r="K52" s="282"/>
      <c r="L52" s="282"/>
      <c r="M52" s="363"/>
      <c r="N52" s="363"/>
      <c r="O52" s="145">
        <v>0.0</v>
      </c>
      <c r="P52" s="145">
        <v>1.0</v>
      </c>
      <c r="Q52" s="145">
        <v>1.0</v>
      </c>
      <c r="R52" s="106"/>
      <c r="S52" s="168"/>
      <c r="T52" s="168"/>
      <c r="U52" s="168"/>
      <c r="V52" s="107"/>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
        <v>177</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
        <v>665</v>
      </c>
      <c r="B55" s="109"/>
      <c r="C55" s="231" t="s">
        <v>48</v>
      </c>
      <c r="D55" s="231" t="s">
        <v>49</v>
      </c>
      <c r="E55" s="232" t="s">
        <v>50</v>
      </c>
      <c r="F55" s="233" t="s">
        <v>51</v>
      </c>
      <c r="G55" s="232" t="s">
        <v>52</v>
      </c>
      <c r="H55" s="382" t="s">
        <v>53</v>
      </c>
      <c r="I55" s="110"/>
      <c r="J55" s="109"/>
      <c r="K55" s="235" t="s">
        <v>137</v>
      </c>
      <c r="L55" s="235" t="s">
        <v>138</v>
      </c>
      <c r="M55" s="235" t="s">
        <v>139</v>
      </c>
      <c r="N55" s="235" t="s">
        <v>140</v>
      </c>
      <c r="O55" s="236" t="s">
        <v>141</v>
      </c>
      <c r="P55" s="235" t="s">
        <v>142</v>
      </c>
      <c r="Q55" s="236" t="s">
        <v>143</v>
      </c>
      <c r="R55" s="235" t="s">
        <v>179</v>
      </c>
      <c r="S55" s="236" t="s">
        <v>180</v>
      </c>
      <c r="T55" s="236" t="s">
        <v>181</v>
      </c>
      <c r="U55" s="236" t="s">
        <v>182</v>
      </c>
      <c r="V55" s="236" t="s">
        <v>183</v>
      </c>
    </row>
    <row r="56" outlineLevel="1">
      <c r="A56" s="237" t="s">
        <v>184</v>
      </c>
      <c r="B56" s="243" t="s">
        <v>666</v>
      </c>
      <c r="C56" s="239" t="s">
        <v>667</v>
      </c>
      <c r="D56" s="216" t="s">
        <v>384</v>
      </c>
      <c r="E56" s="409"/>
      <c r="F56" s="409"/>
      <c r="G56" s="409"/>
      <c r="H56" s="623"/>
      <c r="I56" s="110"/>
      <c r="J56" s="109"/>
      <c r="K56" s="281"/>
      <c r="L56" s="281"/>
      <c r="M56" s="281"/>
      <c r="N56" s="281"/>
      <c r="O56" s="281"/>
      <c r="P56" s="281"/>
      <c r="Q56" s="281"/>
      <c r="R56" s="281"/>
      <c r="S56" s="281"/>
      <c r="T56" s="281"/>
      <c r="U56" s="166" t="s">
        <v>186</v>
      </c>
      <c r="V56" s="166" t="b">
        <v>1</v>
      </c>
    </row>
    <row r="57" outlineLevel="1">
      <c r="A57" s="146"/>
      <c r="B57" s="243" t="s">
        <v>668</v>
      </c>
      <c r="C57" s="239" t="s">
        <v>127</v>
      </c>
      <c r="D57" s="216" t="s">
        <v>462</v>
      </c>
      <c r="E57" s="239" t="s">
        <v>93</v>
      </c>
      <c r="F57" s="138">
        <v>8.4</v>
      </c>
      <c r="G57" s="409"/>
      <c r="H57" s="140" t="s">
        <v>669</v>
      </c>
      <c r="I57" s="110"/>
      <c r="J57" s="109"/>
      <c r="K57" s="281"/>
      <c r="L57" s="281"/>
      <c r="M57" s="281"/>
      <c r="N57" s="281"/>
      <c r="O57" s="281"/>
      <c r="P57" s="281"/>
      <c r="Q57" s="281"/>
      <c r="R57" s="281"/>
      <c r="S57" s="281"/>
      <c r="T57" s="281"/>
      <c r="U57" s="156"/>
      <c r="V57" s="156"/>
    </row>
    <row r="58" outlineLevel="1">
      <c r="A58" s="230" t="s">
        <v>670</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184</v>
      </c>
      <c r="B59" s="243" t="s">
        <v>671</v>
      </c>
      <c r="C59" s="239" t="s">
        <v>672</v>
      </c>
      <c r="D59" s="409"/>
      <c r="E59" s="239" t="s">
        <v>673</v>
      </c>
      <c r="F59" s="138" t="s">
        <v>674</v>
      </c>
      <c r="G59" s="239" t="s">
        <v>675</v>
      </c>
      <c r="H59" s="163" t="s">
        <v>676</v>
      </c>
      <c r="I59" s="164"/>
      <c r="J59" s="104"/>
      <c r="K59" s="282"/>
      <c r="L59" s="282"/>
      <c r="M59" s="363"/>
      <c r="N59" s="363"/>
      <c r="O59" s="138">
        <v>0.0</v>
      </c>
      <c r="P59" s="138">
        <v>1.0</v>
      </c>
      <c r="Q59" s="138">
        <v>1.0</v>
      </c>
      <c r="R59" s="145" t="b">
        <v>1</v>
      </c>
      <c r="S59" s="145" t="b">
        <v>0</v>
      </c>
      <c r="T59" s="145"/>
      <c r="U59" s="166" t="s">
        <v>186</v>
      </c>
      <c r="V59" s="166" t="b">
        <v>1</v>
      </c>
    </row>
    <row r="60" outlineLevel="1">
      <c r="A60" s="146"/>
      <c r="B60" s="243" t="s">
        <v>677</v>
      </c>
      <c r="C60" s="409"/>
      <c r="D60" s="245" t="s">
        <v>118</v>
      </c>
      <c r="E60" s="409"/>
      <c r="F60" s="409"/>
      <c r="G60" s="409"/>
      <c r="H60" s="106"/>
      <c r="I60" s="168"/>
      <c r="J60" s="107"/>
      <c r="K60" s="281"/>
      <c r="L60" s="281"/>
      <c r="M60" s="281"/>
      <c r="N60" s="281"/>
      <c r="O60" s="281"/>
      <c r="P60" s="281"/>
      <c r="Q60" s="281"/>
      <c r="R60" s="281"/>
      <c r="S60" s="281"/>
      <c r="T60" s="281"/>
      <c r="U60" s="156"/>
      <c r="V60" s="156"/>
    </row>
    <row r="61" outlineLevel="1">
      <c r="A61" s="230" t="s">
        <v>678</v>
      </c>
      <c r="B61" s="109"/>
      <c r="C61" s="231" t="s">
        <v>48</v>
      </c>
      <c r="D61" s="231" t="s">
        <v>49</v>
      </c>
      <c r="E61" s="232" t="s">
        <v>50</v>
      </c>
      <c r="F61" s="233" t="s">
        <v>51</v>
      </c>
      <c r="G61" s="232" t="s">
        <v>52</v>
      </c>
      <c r="H61" s="382" t="s">
        <v>53</v>
      </c>
      <c r="I61" s="110"/>
      <c r="J61" s="109"/>
      <c r="K61" s="235" t="s">
        <v>137</v>
      </c>
      <c r="L61" s="235" t="s">
        <v>138</v>
      </c>
      <c r="M61" s="235" t="s">
        <v>139</v>
      </c>
      <c r="N61" s="235" t="s">
        <v>140</v>
      </c>
      <c r="O61" s="236" t="s">
        <v>141</v>
      </c>
      <c r="P61" s="235" t="s">
        <v>142</v>
      </c>
      <c r="Q61" s="236" t="s">
        <v>143</v>
      </c>
      <c r="R61" s="235" t="s">
        <v>179</v>
      </c>
      <c r="S61" s="236" t="s">
        <v>180</v>
      </c>
      <c r="T61" s="236" t="s">
        <v>181</v>
      </c>
      <c r="U61" s="236" t="s">
        <v>182</v>
      </c>
      <c r="V61" s="236" t="s">
        <v>183</v>
      </c>
    </row>
    <row r="62" outlineLevel="1">
      <c r="A62" s="546" t="s">
        <v>184</v>
      </c>
      <c r="B62" s="402"/>
      <c r="C62" s="239" t="s">
        <v>474</v>
      </c>
      <c r="D62" s="367" t="s">
        <v>300</v>
      </c>
      <c r="E62" s="239" t="s">
        <v>86</v>
      </c>
      <c r="F62" s="138">
        <v>7.199999999999999</v>
      </c>
      <c r="G62" s="239" t="s">
        <v>60</v>
      </c>
      <c r="H62" s="163" t="s">
        <v>679</v>
      </c>
      <c r="I62" s="164"/>
      <c r="J62" s="104"/>
      <c r="K62" s="138"/>
      <c r="L62" s="138"/>
      <c r="M62" s="145"/>
      <c r="N62" s="145"/>
      <c r="O62" s="138">
        <v>0.0</v>
      </c>
      <c r="P62" s="138">
        <v>1.0</v>
      </c>
      <c r="Q62" s="138">
        <v>1.0</v>
      </c>
      <c r="R62" s="145" t="b">
        <v>1</v>
      </c>
      <c r="S62" s="145" t="b">
        <v>0</v>
      </c>
      <c r="T62" s="145" t="b">
        <v>1</v>
      </c>
      <c r="U62" s="166" t="s">
        <v>186</v>
      </c>
      <c r="V62" s="166" t="b">
        <v>1</v>
      </c>
    </row>
    <row r="63" outlineLevel="1">
      <c r="A63" s="156"/>
      <c r="B63" s="402" t="s">
        <v>680</v>
      </c>
      <c r="C63" s="239" t="s">
        <v>681</v>
      </c>
      <c r="D63" s="146"/>
      <c r="E63" s="139" t="s">
        <v>86</v>
      </c>
      <c r="F63" s="463">
        <v>7.2</v>
      </c>
      <c r="G63" s="239" t="s">
        <v>60</v>
      </c>
      <c r="H63" s="106"/>
      <c r="I63" s="168"/>
      <c r="J63" s="107"/>
      <c r="K63" s="138"/>
      <c r="L63" s="138"/>
      <c r="M63" s="145"/>
      <c r="N63" s="145"/>
      <c r="O63" s="138"/>
      <c r="P63" s="138"/>
      <c r="Q63" s="138"/>
      <c r="R63" s="145" t="b">
        <v>0</v>
      </c>
      <c r="S63" s="145" t="b">
        <v>0</v>
      </c>
      <c r="T63" s="145" t="b">
        <v>0</v>
      </c>
      <c r="U63" s="156"/>
      <c r="V63" s="156"/>
    </row>
    <row r="64" outlineLevel="1">
      <c r="A64" s="230" t="s">
        <v>682</v>
      </c>
      <c r="B64" s="109"/>
      <c r="C64" s="231" t="s">
        <v>48</v>
      </c>
      <c r="D64" s="231" t="s">
        <v>49</v>
      </c>
      <c r="E64" s="232" t="s">
        <v>50</v>
      </c>
      <c r="F64" s="233" t="s">
        <v>51</v>
      </c>
      <c r="G64" s="232" t="s">
        <v>52</v>
      </c>
      <c r="H64" s="382" t="s">
        <v>53</v>
      </c>
      <c r="I64" s="110"/>
      <c r="J64" s="109"/>
      <c r="K64" s="235" t="s">
        <v>137</v>
      </c>
      <c r="L64" s="235" t="s">
        <v>138</v>
      </c>
      <c r="M64" s="235" t="s">
        <v>139</v>
      </c>
      <c r="N64" s="235" t="s">
        <v>140</v>
      </c>
      <c r="O64" s="236" t="s">
        <v>141</v>
      </c>
      <c r="P64" s="235" t="s">
        <v>142</v>
      </c>
      <c r="Q64" s="236" t="s">
        <v>143</v>
      </c>
      <c r="R64" s="235" t="s">
        <v>179</v>
      </c>
      <c r="S64" s="236" t="s">
        <v>180</v>
      </c>
      <c r="T64" s="236" t="s">
        <v>181</v>
      </c>
      <c r="U64" s="236" t="s">
        <v>182</v>
      </c>
      <c r="V64" s="236" t="s">
        <v>183</v>
      </c>
    </row>
    <row r="65" outlineLevel="1">
      <c r="A65" s="474" t="s">
        <v>332</v>
      </c>
      <c r="B65" s="624" t="s">
        <v>683</v>
      </c>
      <c r="C65" s="239" t="s">
        <v>93</v>
      </c>
      <c r="D65" s="367" t="s">
        <v>684</v>
      </c>
      <c r="E65" s="239" t="s">
        <v>73</v>
      </c>
      <c r="F65" s="138">
        <v>4.8</v>
      </c>
      <c r="G65" s="239" t="s">
        <v>75</v>
      </c>
      <c r="H65" s="163" t="s">
        <v>685</v>
      </c>
      <c r="I65" s="164"/>
      <c r="J65" s="104"/>
      <c r="K65" s="138"/>
      <c r="L65" s="138"/>
      <c r="M65" s="145"/>
      <c r="N65" s="145"/>
      <c r="O65" s="138">
        <v>0.0</v>
      </c>
      <c r="P65" s="138">
        <v>1.0</v>
      </c>
      <c r="Q65" s="138">
        <v>1.0</v>
      </c>
      <c r="R65" s="145" t="b">
        <v>1</v>
      </c>
      <c r="S65" s="145" t="b">
        <v>0</v>
      </c>
      <c r="T65" s="145"/>
      <c r="U65" s="166" t="b">
        <v>0</v>
      </c>
      <c r="V65" s="166" t="b">
        <v>1</v>
      </c>
    </row>
    <row r="66" outlineLevel="1">
      <c r="A66" s="156"/>
      <c r="B66" s="624" t="s">
        <v>131</v>
      </c>
      <c r="C66" s="244" t="s">
        <v>686</v>
      </c>
      <c r="D66" s="156"/>
      <c r="E66" s="239" t="s">
        <v>386</v>
      </c>
      <c r="F66" s="138">
        <v>18.0</v>
      </c>
      <c r="G66" s="239" t="s">
        <v>82</v>
      </c>
      <c r="H66" s="212"/>
      <c r="J66" s="210"/>
      <c r="K66" s="138"/>
      <c r="L66" s="138"/>
      <c r="M66" s="145"/>
      <c r="N66" s="145"/>
      <c r="O66" s="138">
        <v>10.0</v>
      </c>
      <c r="P66" s="138">
        <v>1.0</v>
      </c>
      <c r="Q66" s="138">
        <v>1.0</v>
      </c>
      <c r="R66" s="145" t="b">
        <v>1</v>
      </c>
      <c r="S66" s="145" t="b">
        <v>0</v>
      </c>
      <c r="T66" s="145"/>
      <c r="U66" s="146"/>
      <c r="V66" s="146"/>
    </row>
    <row r="67" outlineLevel="1">
      <c r="A67" s="625" t="s">
        <v>344</v>
      </c>
      <c r="B67" s="626"/>
      <c r="C67" s="239" t="s">
        <v>687</v>
      </c>
      <c r="D67" s="409"/>
      <c r="E67" s="239" t="s">
        <v>129</v>
      </c>
      <c r="F67" s="138">
        <v>14.399999999999999</v>
      </c>
      <c r="G67" s="239" t="s">
        <v>88</v>
      </c>
      <c r="H67" s="212"/>
      <c r="J67" s="210"/>
      <c r="K67" s="138"/>
      <c r="L67" s="138"/>
      <c r="M67" s="145"/>
      <c r="N67" s="145"/>
      <c r="O67" s="138">
        <v>10.0</v>
      </c>
      <c r="P67" s="138">
        <v>1.0</v>
      </c>
      <c r="Q67" s="138">
        <v>1.0</v>
      </c>
      <c r="R67" s="145" t="b">
        <v>1</v>
      </c>
      <c r="S67" s="145" t="b">
        <v>0</v>
      </c>
      <c r="T67" s="145"/>
      <c r="U67" s="146"/>
      <c r="V67" s="146"/>
    </row>
    <row r="68" outlineLevel="1">
      <c r="A68" s="259" t="s">
        <v>184</v>
      </c>
      <c r="B68" s="624" t="s">
        <v>174</v>
      </c>
      <c r="C68" s="244" t="s">
        <v>688</v>
      </c>
      <c r="D68" s="239" t="s">
        <v>118</v>
      </c>
      <c r="E68" s="239" t="s">
        <v>73</v>
      </c>
      <c r="F68" s="138">
        <v>4.8</v>
      </c>
      <c r="G68" s="239" t="s">
        <v>170</v>
      </c>
      <c r="H68" s="106"/>
      <c r="I68" s="168"/>
      <c r="J68" s="107"/>
      <c r="K68" s="138"/>
      <c r="L68" s="282"/>
      <c r="M68" s="363"/>
      <c r="N68" s="363"/>
      <c r="O68" s="138">
        <v>6.0</v>
      </c>
      <c r="P68" s="138">
        <v>1.0</v>
      </c>
      <c r="Q68" s="138">
        <v>1.0</v>
      </c>
      <c r="R68" s="145" t="b">
        <v>1</v>
      </c>
      <c r="S68" s="145" t="b">
        <v>0</v>
      </c>
      <c r="T68" s="145" t="b">
        <v>1</v>
      </c>
      <c r="U68" s="156"/>
      <c r="V68" s="156"/>
    </row>
    <row r="69">
      <c r="A69" s="223"/>
      <c r="B69" s="224"/>
      <c r="C69" s="225"/>
      <c r="D69" s="225"/>
      <c r="E69" s="226"/>
      <c r="F69" s="226"/>
      <c r="G69" s="226"/>
      <c r="H69" s="227"/>
      <c r="I69" s="227"/>
      <c r="J69" s="228"/>
      <c r="K69" s="228"/>
      <c r="L69" s="228"/>
      <c r="M69" s="228"/>
      <c r="N69" s="228"/>
      <c r="O69" s="228"/>
      <c r="P69" s="228"/>
      <c r="Q69" s="118"/>
      <c r="R69" s="118"/>
      <c r="S69" s="118"/>
      <c r="T69" s="118"/>
      <c r="U69" s="118"/>
      <c r="V69" s="118"/>
    </row>
    <row r="70">
      <c r="A70" s="264" t="s">
        <v>211</v>
      </c>
      <c r="B70" s="104"/>
      <c r="C70" s="227"/>
      <c r="D70" s="227"/>
      <c r="E70" s="228"/>
      <c r="F70" s="265"/>
      <c r="G70" s="265"/>
      <c r="H70" s="228"/>
      <c r="I70" s="228"/>
      <c r="J70" s="228"/>
      <c r="K70" s="228"/>
      <c r="L70" s="228"/>
      <c r="M70" s="228"/>
      <c r="N70" s="118"/>
      <c r="O70" s="118"/>
      <c r="P70" s="118"/>
      <c r="Q70" s="228"/>
      <c r="R70" s="228"/>
      <c r="S70" s="228"/>
      <c r="T70" s="228"/>
      <c r="U70" s="228"/>
      <c r="V70" s="228"/>
    </row>
    <row r="71" outlineLevel="1">
      <c r="A71" s="106"/>
      <c r="B71" s="107"/>
      <c r="C71" s="266" t="s">
        <v>48</v>
      </c>
      <c r="D71" s="266" t="s">
        <v>49</v>
      </c>
      <c r="E71" s="266" t="s">
        <v>50</v>
      </c>
      <c r="F71" s="267" t="s">
        <v>51</v>
      </c>
      <c r="G71" s="227"/>
      <c r="H71" s="227"/>
      <c r="I71" s="227"/>
      <c r="J71" s="228"/>
      <c r="K71" s="228"/>
      <c r="L71" s="228"/>
      <c r="M71" s="228"/>
      <c r="N71" s="228"/>
      <c r="O71" s="228"/>
      <c r="P71" s="228"/>
      <c r="Q71" s="228"/>
      <c r="R71" s="228"/>
      <c r="S71" s="228"/>
      <c r="T71" s="228"/>
      <c r="U71" s="228"/>
      <c r="V71" s="228"/>
    </row>
    <row r="72" outlineLevel="1">
      <c r="A72" s="268" t="s">
        <v>212</v>
      </c>
      <c r="B72" s="269" t="s">
        <v>212</v>
      </c>
      <c r="C72" s="239" t="s">
        <v>213</v>
      </c>
      <c r="D72" s="239" t="s">
        <v>86</v>
      </c>
      <c r="E72" s="239" t="s">
        <v>214</v>
      </c>
      <c r="F72" s="138">
        <v>1.56</v>
      </c>
      <c r="G72" s="227"/>
      <c r="H72" s="227"/>
      <c r="I72" s="227"/>
      <c r="J72" s="228"/>
      <c r="K72" s="228"/>
      <c r="L72" s="228"/>
      <c r="M72" s="228"/>
      <c r="N72" s="228"/>
      <c r="O72" s="228"/>
      <c r="P72" s="228"/>
      <c r="Q72" s="228"/>
      <c r="R72" s="228"/>
      <c r="S72" s="228"/>
      <c r="T72" s="228"/>
      <c r="U72" s="228"/>
      <c r="V72" s="228"/>
    </row>
    <row r="73" outlineLevel="1">
      <c r="A73" s="270" t="s">
        <v>215</v>
      </c>
      <c r="B73" s="269" t="s">
        <v>216</v>
      </c>
      <c r="C73" s="239" t="s">
        <v>689</v>
      </c>
      <c r="D73" s="239" t="s">
        <v>541</v>
      </c>
      <c r="E73" s="271"/>
      <c r="F73" s="272"/>
      <c r="G73" s="272"/>
      <c r="H73" s="227"/>
      <c r="I73" s="227"/>
      <c r="J73" s="228"/>
      <c r="K73" s="228"/>
      <c r="L73" s="228"/>
      <c r="M73" s="228"/>
      <c r="N73" s="228"/>
      <c r="O73" s="228"/>
      <c r="P73" s="228"/>
      <c r="Q73" s="228"/>
      <c r="R73" s="228"/>
      <c r="S73" s="228"/>
      <c r="T73" s="228"/>
      <c r="U73" s="228"/>
      <c r="V73" s="228"/>
    </row>
    <row r="74" outlineLevel="1">
      <c r="A74" s="212"/>
      <c r="B74" s="269" t="s">
        <v>219</v>
      </c>
      <c r="C74" s="239" t="s">
        <v>690</v>
      </c>
      <c r="D74" s="239" t="s">
        <v>402</v>
      </c>
      <c r="E74" s="271"/>
      <c r="F74" s="272"/>
      <c r="G74" s="272"/>
      <c r="H74" s="227"/>
      <c r="I74" s="227"/>
      <c r="J74" s="228"/>
      <c r="K74" s="228"/>
      <c r="L74" s="228"/>
      <c r="M74" s="228"/>
      <c r="N74" s="228"/>
      <c r="O74" s="228"/>
      <c r="P74" s="228"/>
      <c r="Q74" s="228"/>
      <c r="R74" s="228"/>
      <c r="S74" s="228"/>
      <c r="T74" s="228"/>
      <c r="U74" s="228"/>
      <c r="V74" s="228"/>
    </row>
    <row r="75" outlineLevel="1">
      <c r="A75" s="106"/>
      <c r="B75" s="269" t="s">
        <v>222</v>
      </c>
      <c r="C75" s="239" t="s">
        <v>691</v>
      </c>
      <c r="D75" s="239" t="s">
        <v>455</v>
      </c>
      <c r="E75" s="227"/>
      <c r="F75" s="272"/>
      <c r="G75" s="272"/>
      <c r="H75" s="227"/>
      <c r="I75" s="227"/>
      <c r="J75" s="228"/>
      <c r="K75" s="228"/>
      <c r="L75" s="228"/>
      <c r="M75" s="228"/>
      <c r="N75" s="228"/>
      <c r="O75" s="228"/>
      <c r="P75" s="228"/>
      <c r="Q75" s="228"/>
      <c r="R75" s="228"/>
      <c r="S75" s="228"/>
      <c r="T75" s="228"/>
      <c r="U75" s="228"/>
      <c r="V75" s="228"/>
    </row>
    <row r="76" outlineLevel="1">
      <c r="A76" s="273" t="s">
        <v>225</v>
      </c>
      <c r="B76" s="109"/>
      <c r="C76" s="266" t="s">
        <v>48</v>
      </c>
      <c r="D76" s="266" t="s">
        <v>49</v>
      </c>
      <c r="E76" s="266" t="s">
        <v>50</v>
      </c>
      <c r="F76" s="267" t="s">
        <v>51</v>
      </c>
      <c r="G76" s="274" t="s">
        <v>53</v>
      </c>
      <c r="H76" s="110"/>
      <c r="I76" s="110"/>
      <c r="J76" s="109"/>
      <c r="K76" s="275" t="str">
        <f>'テンプレート'!K97</f>
        <v>ベクトル</v>
      </c>
      <c r="L76" s="275" t="str">
        <f>'テンプレート'!L97</f>
        <v>KBG (R.E.)</v>
      </c>
      <c r="M76" s="275" t="str">
        <f>'テンプレート'!M97</f>
        <v>BKB (R.A.)</v>
      </c>
      <c r="N76" s="275" t="str">
        <f>'テンプレート'!N97</f>
        <v>FKB (R.F.)</v>
      </c>
      <c r="O76" s="276" t="str">
        <f>'テンプレート'!O97</f>
        <v>盾削り値</v>
      </c>
      <c r="P76" s="275" t="str">
        <f>'テンプレート'!P97</f>
        <v>ﾋｯﾄｽﾄｯﾌﾟ</v>
      </c>
      <c r="Q76" s="276" t="str">
        <f>'テンプレート'!Q97</f>
        <v>ずらし</v>
      </c>
      <c r="R76" s="277"/>
      <c r="S76" s="277"/>
      <c r="T76" s="277"/>
      <c r="U76" s="277"/>
      <c r="V76" s="277"/>
    </row>
    <row r="77" outlineLevel="1">
      <c r="A77" s="278" t="s">
        <v>226</v>
      </c>
      <c r="B77" s="269" t="s">
        <v>227</v>
      </c>
      <c r="C77" s="281"/>
      <c r="D77" s="279">
        <v>39.0</v>
      </c>
      <c r="E77" s="281"/>
      <c r="F77" s="281"/>
      <c r="G77" s="416"/>
      <c r="H77" s="164"/>
      <c r="I77" s="164"/>
      <c r="J77" s="104"/>
      <c r="K77" s="261"/>
      <c r="L77" s="261"/>
      <c r="M77" s="261"/>
      <c r="N77" s="261"/>
      <c r="O77" s="261"/>
      <c r="P77" s="261"/>
      <c r="Q77" s="261"/>
      <c r="R77" s="277"/>
      <c r="S77" s="228"/>
      <c r="T77" s="228"/>
      <c r="U77" s="228"/>
      <c r="V77" s="228"/>
    </row>
    <row r="78" outlineLevel="1">
      <c r="A78" s="156"/>
      <c r="B78" s="269" t="s">
        <v>225</v>
      </c>
      <c r="C78" s="113">
        <v>15.0</v>
      </c>
      <c r="D78" s="156"/>
      <c r="E78" s="239" t="s">
        <v>274</v>
      </c>
      <c r="F78" s="138">
        <v>10.799999999999999</v>
      </c>
      <c r="G78" s="106"/>
      <c r="H78" s="168"/>
      <c r="I78" s="168"/>
      <c r="J78" s="107"/>
      <c r="K78" s="282"/>
      <c r="L78" s="282"/>
      <c r="M78" s="363"/>
      <c r="N78" s="363"/>
      <c r="O78" s="261"/>
      <c r="P78" s="261"/>
      <c r="Q78" s="261"/>
      <c r="R78" s="277"/>
      <c r="S78" s="228"/>
      <c r="T78" s="228"/>
      <c r="U78" s="228"/>
      <c r="V78" s="228"/>
    </row>
    <row r="79" outlineLevel="1">
      <c r="A79" s="278" t="s">
        <v>229</v>
      </c>
      <c r="B79" s="269" t="s">
        <v>227</v>
      </c>
      <c r="C79" s="281"/>
      <c r="D79" s="279">
        <v>43.0</v>
      </c>
      <c r="E79" s="281"/>
      <c r="F79" s="281"/>
      <c r="G79" s="416"/>
      <c r="H79" s="164"/>
      <c r="I79" s="164"/>
      <c r="J79" s="104"/>
      <c r="K79" s="261"/>
      <c r="L79" s="261"/>
      <c r="M79" s="261"/>
      <c r="N79" s="261"/>
      <c r="O79" s="261"/>
      <c r="P79" s="261"/>
      <c r="Q79" s="261"/>
      <c r="R79" s="277"/>
      <c r="S79" s="228"/>
      <c r="T79" s="228"/>
      <c r="U79" s="228"/>
      <c r="V79" s="228"/>
    </row>
    <row r="80" outlineLevel="1">
      <c r="A80" s="156"/>
      <c r="B80" s="269" t="s">
        <v>225</v>
      </c>
      <c r="C80" s="113">
        <v>20.0</v>
      </c>
      <c r="D80" s="156"/>
      <c r="E80" s="239" t="s">
        <v>274</v>
      </c>
      <c r="F80" s="138">
        <v>10.799999999999999</v>
      </c>
      <c r="G80" s="106"/>
      <c r="H80" s="168"/>
      <c r="I80" s="168"/>
      <c r="J80" s="107"/>
      <c r="K80" s="282"/>
      <c r="L80" s="282"/>
      <c r="M80" s="363"/>
      <c r="N80" s="363"/>
      <c r="O80" s="261"/>
      <c r="P80" s="261"/>
      <c r="Q80" s="261"/>
      <c r="R80" s="277"/>
      <c r="S80" s="228"/>
      <c r="T80" s="228"/>
      <c r="U80" s="228"/>
      <c r="V80" s="228"/>
    </row>
    <row r="81" outlineLevel="1">
      <c r="A81" s="278" t="s">
        <v>233</v>
      </c>
      <c r="B81" s="269" t="s">
        <v>227</v>
      </c>
      <c r="C81" s="281"/>
      <c r="D81" s="279">
        <v>43.0</v>
      </c>
      <c r="E81" s="281"/>
      <c r="F81" s="281"/>
      <c r="G81" s="416"/>
      <c r="H81" s="164"/>
      <c r="I81" s="164"/>
      <c r="J81" s="104"/>
      <c r="K81" s="261"/>
      <c r="L81" s="261"/>
      <c r="M81" s="261"/>
      <c r="N81" s="261"/>
      <c r="O81" s="261"/>
      <c r="P81" s="261"/>
      <c r="Q81" s="261"/>
      <c r="R81" s="277"/>
      <c r="S81" s="228"/>
      <c r="T81" s="228"/>
      <c r="U81" s="228"/>
      <c r="V81" s="228"/>
    </row>
    <row r="82" outlineLevel="1">
      <c r="A82" s="156"/>
      <c r="B82" s="269" t="s">
        <v>225</v>
      </c>
      <c r="C82" s="113">
        <v>13.0</v>
      </c>
      <c r="D82" s="156"/>
      <c r="E82" s="239" t="s">
        <v>150</v>
      </c>
      <c r="F82" s="138">
        <v>6.0</v>
      </c>
      <c r="G82" s="106"/>
      <c r="H82" s="168"/>
      <c r="I82" s="168"/>
      <c r="J82" s="107"/>
      <c r="K82" s="282"/>
      <c r="L82" s="282"/>
      <c r="M82" s="363"/>
      <c r="N82" s="363"/>
      <c r="O82" s="261"/>
      <c r="P82" s="261"/>
      <c r="Q82" s="261"/>
      <c r="R82" s="277"/>
      <c r="S82" s="117"/>
      <c r="T82" s="117"/>
      <c r="U82" s="117"/>
      <c r="V82" s="117"/>
    </row>
    <row r="83" outlineLevel="1">
      <c r="A83" s="278" t="s">
        <v>234</v>
      </c>
      <c r="B83" s="269" t="s">
        <v>227</v>
      </c>
      <c r="C83" s="281"/>
      <c r="D83" s="279">
        <v>43.0</v>
      </c>
      <c r="E83" s="281"/>
      <c r="F83" s="281"/>
      <c r="G83" s="413" t="s">
        <v>692</v>
      </c>
      <c r="H83" s="164"/>
      <c r="I83" s="164"/>
      <c r="J83" s="104"/>
      <c r="K83" s="281"/>
      <c r="L83" s="281"/>
      <c r="M83" s="281"/>
      <c r="N83" s="281"/>
      <c r="O83" s="261"/>
      <c r="P83" s="261"/>
      <c r="Q83" s="261"/>
      <c r="R83" s="277"/>
      <c r="S83" s="117"/>
      <c r="T83" s="117"/>
      <c r="U83" s="117"/>
      <c r="V83" s="117"/>
    </row>
    <row r="84" outlineLevel="1">
      <c r="A84" s="156"/>
      <c r="B84" s="269" t="s">
        <v>225</v>
      </c>
      <c r="C84" s="239" t="s">
        <v>466</v>
      </c>
      <c r="D84" s="156"/>
      <c r="E84" s="239" t="s">
        <v>73</v>
      </c>
      <c r="F84" s="138">
        <v>4.8</v>
      </c>
      <c r="G84" s="106"/>
      <c r="H84" s="168"/>
      <c r="I84" s="168"/>
      <c r="J84" s="107"/>
      <c r="K84" s="282"/>
      <c r="L84" s="282"/>
      <c r="M84" s="363"/>
      <c r="N84" s="363"/>
      <c r="O84" s="261"/>
      <c r="P84" s="261"/>
      <c r="Q84" s="261"/>
      <c r="R84" s="277"/>
      <c r="S84" s="117"/>
      <c r="T84" s="117"/>
      <c r="U84" s="117"/>
      <c r="V84" s="117"/>
    </row>
    <row r="85">
      <c r="A85" s="223"/>
      <c r="B85" s="224"/>
      <c r="C85" s="225"/>
      <c r="D85" s="225"/>
      <c r="E85" s="227"/>
      <c r="F85" s="177"/>
      <c r="G85" s="177"/>
      <c r="H85" s="227"/>
      <c r="I85" s="227"/>
      <c r="J85" s="228"/>
      <c r="K85" s="228"/>
      <c r="L85" s="111"/>
      <c r="M85" s="111"/>
      <c r="N85" s="111"/>
      <c r="O85" s="117"/>
      <c r="P85" s="117"/>
      <c r="Q85" s="111"/>
      <c r="R85" s="111"/>
      <c r="S85" s="111"/>
      <c r="T85" s="111"/>
      <c r="U85" s="111"/>
      <c r="V85" s="111"/>
    </row>
    <row r="86">
      <c r="A86" s="284" t="s">
        <v>241</v>
      </c>
      <c r="B86" s="104"/>
      <c r="C86" s="265"/>
      <c r="D86" s="111"/>
      <c r="E86" s="111"/>
      <c r="F86" s="111"/>
      <c r="G86" s="111"/>
      <c r="H86" s="228"/>
      <c r="I86" s="228"/>
      <c r="J86" s="118"/>
      <c r="K86" s="111"/>
      <c r="L86" s="111"/>
      <c r="M86" s="111"/>
      <c r="N86" s="111"/>
      <c r="O86" s="111"/>
      <c r="P86" s="111"/>
      <c r="Q86" s="118"/>
      <c r="R86" s="111"/>
      <c r="S86" s="111"/>
      <c r="T86" s="111"/>
      <c r="U86" s="111"/>
      <c r="V86" s="111"/>
    </row>
    <row r="87" outlineLevel="1">
      <c r="A87" s="106"/>
      <c r="B87" s="107"/>
      <c r="C87" s="285" t="s">
        <v>235</v>
      </c>
      <c r="D87" s="285" t="s">
        <v>236</v>
      </c>
      <c r="E87" s="285" t="s">
        <v>49</v>
      </c>
      <c r="F87" s="285" t="s">
        <v>237</v>
      </c>
      <c r="G87" s="286"/>
      <c r="H87" s="227"/>
      <c r="I87" s="227"/>
      <c r="J87" s="228"/>
      <c r="K87" s="228"/>
      <c r="L87" s="111"/>
      <c r="M87" s="111"/>
      <c r="N87" s="111"/>
      <c r="O87" s="111"/>
      <c r="P87" s="111"/>
      <c r="Q87" s="111"/>
      <c r="R87" s="111"/>
      <c r="S87" s="111"/>
      <c r="T87" s="111"/>
      <c r="U87" s="111"/>
      <c r="V87" s="111"/>
    </row>
    <row r="88" outlineLevel="1">
      <c r="A88" s="287" t="s">
        <v>395</v>
      </c>
      <c r="B88" s="288" t="s">
        <v>216</v>
      </c>
      <c r="C88" s="113" t="str">
        <f t="array" ref="C88">INDEX('回避'!$C$3:$U$84, MATCH($A$1,'回避'!$A$3:$A$91,0), MATCH(C87,'回避'!$C$2:$F$2,0))</f>
        <v>3-17</v>
      </c>
      <c r="D88" s="113" t="str">
        <f t="array" ref="D88">INDEX('回避'!$C$3:$U$84, MATCH($A$1,'回避'!$A$3:$A$91,0), MATCH(D87,'回避'!$C$2:$F$2,0))</f>
        <v>6-17</v>
      </c>
      <c r="E88" s="113" t="str">
        <f t="array" ref="E88">INDEX('回避'!$C$3:$U$84, MATCH($A$1,'回避'!$A$3:$A$91,0), MATCH(E87,'回避'!$C$2:$F$2,0))</f>
        <v>26 (21)</v>
      </c>
      <c r="F88" s="113" t="str">
        <f t="array" ref="F88">INDEX('回避'!$C$3:$U$84, MATCH($A$1,'回避'!$A$3:$A$91,0), MATCH(F87,'回避'!$C$2:$F$2,0))</f>
        <v>35 (28)</v>
      </c>
      <c r="G88" s="272"/>
      <c r="H88" s="290"/>
      <c r="I88" s="227"/>
      <c r="J88" s="228"/>
      <c r="K88" s="228"/>
      <c r="L88" s="228"/>
      <c r="M88" s="111"/>
      <c r="N88" s="111"/>
      <c r="O88" s="111"/>
      <c r="P88" s="111"/>
      <c r="Q88" s="111"/>
      <c r="R88" s="111"/>
      <c r="S88" s="111"/>
      <c r="T88" s="111"/>
      <c r="U88" s="111"/>
      <c r="V88" s="111"/>
    </row>
    <row r="89" outlineLevel="1">
      <c r="A89" s="212"/>
      <c r="B89" s="288" t="s">
        <v>245</v>
      </c>
      <c r="C89" s="113" t="str">
        <f t="array" ref="C89">INDEX('回避'!$G$3:$U$84, MATCH($A$1,'回避'!$A$3:$A$91,0), MATCH(C87,'回避'!$G$2:$J$2,0))</f>
        <v>4-15</v>
      </c>
      <c r="D89" s="113" t="str">
        <f t="array" ref="D89">INDEX('回避'!$G$3:$U$84, MATCH($A$1,'回避'!$A$3:$A$91,0), MATCH(D87,'回避'!$G$2:$J$2,0))</f>
        <v>8-14</v>
      </c>
      <c r="E89" s="113" t="str">
        <f t="array" ref="E89">INDEX('回避'!$G$3:$U$84, MATCH($A$1,'回避'!$A$3:$A$91,0), MATCH(E87,'回避'!$G$2:$J$2,0))</f>
        <v>30</v>
      </c>
      <c r="F89" s="113">
        <f t="array" ref="F89">INDEX('回避'!$G$3:$U$84, MATCH($A$1,'回避'!$A$3:$A$91,0), MATCH(F87,'回避'!$G$2:$J$2,0))</f>
        <v>40</v>
      </c>
      <c r="G89" s="289"/>
      <c r="H89" s="290"/>
      <c r="I89" s="290"/>
      <c r="J89" s="228"/>
      <c r="K89" s="228"/>
      <c r="L89" s="228"/>
      <c r="M89" s="228"/>
      <c r="N89" s="228"/>
      <c r="O89" s="111"/>
      <c r="P89" s="111"/>
      <c r="Q89" s="111"/>
      <c r="R89" s="111"/>
      <c r="S89" s="111"/>
      <c r="T89" s="111"/>
      <c r="U89" s="111"/>
      <c r="V89" s="111"/>
    </row>
    <row r="90" outlineLevel="1">
      <c r="A90" s="106"/>
      <c r="B90" s="288" t="s">
        <v>246</v>
      </c>
      <c r="C90" s="113" t="str">
        <f t="array" ref="C90">INDEX('回避'!$K$3:$U$84, MATCH($A$1,'回避'!$A$3:$A$91,0), MATCH(C87,'回避'!$K$2:$N$2,0))</f>
        <v>5-16</v>
      </c>
      <c r="D90" s="113" t="str">
        <f t="array" ref="D90">INDEX('回避'!$K$3:$U$84, MATCH($A$1,'回避'!$A$3:$A$91,0), MATCH(D87,'回避'!$K$2:$N$2,0))</f>
        <v>9-14</v>
      </c>
      <c r="E90" s="113" t="str">
        <f t="array" ref="E90">INDEX('回避'!$K$3:$U$84, MATCH($A$1,'回避'!$A$3:$A$91,0), MATCH(E87,'回避'!$K$2:$N$2,0))</f>
        <v>35</v>
      </c>
      <c r="F90" s="113" t="str">
        <f t="array" ref="F90">INDEX('回避'!$K$3:$U$84, MATCH($A$1,'回避'!$A$3:$A$91,0), MATCH(F87,'回避'!$K$2:$N$2,0))</f>
        <v>53</v>
      </c>
      <c r="G90" s="289"/>
      <c r="H90" s="290"/>
      <c r="I90" s="290"/>
      <c r="J90" s="117"/>
      <c r="K90" s="117"/>
      <c r="L90" s="117"/>
      <c r="M90" s="117"/>
      <c r="N90" s="117"/>
      <c r="O90" s="111"/>
      <c r="P90" s="111"/>
      <c r="Q90" s="111"/>
      <c r="R90" s="111"/>
      <c r="S90" s="111"/>
      <c r="T90" s="111"/>
      <c r="U90" s="111"/>
      <c r="V90" s="111"/>
    </row>
    <row r="91" outlineLevel="1">
      <c r="A91" s="287" t="s">
        <v>396</v>
      </c>
      <c r="B91" s="288" t="s">
        <v>397</v>
      </c>
      <c r="C91" s="113" t="str">
        <f t="array" ref="C91">INDEX('回避'!$O$3:$U$84, MATCH($A$1,'回避'!$A$3:$A$91,0), MATCH(C87,'回避'!$O$2:$R$2,0))</f>
        <v>3-30</v>
      </c>
      <c r="D91" s="113" t="str">
        <f t="array" ref="D91">INDEX('回避'!$O$3:$U$84, MATCH($A$1,'回避'!$A$3:$A$91,0), MATCH(D87,'回避'!$O$2:$R$2,0))</f>
        <v>6-27</v>
      </c>
      <c r="E91" s="113" t="str">
        <f t="array" ref="E91">INDEX('回避'!$O$3:$U$84, MATCH($A$1,'回避'!$A$3:$A$91,0), MATCH(E87,'回避'!$O$2:$R$2,0))</f>
        <v>58</v>
      </c>
      <c r="F91" s="177"/>
      <c r="G91" s="177"/>
      <c r="H91" s="290"/>
      <c r="I91" s="227"/>
      <c r="J91" s="111"/>
      <c r="K91" s="111"/>
      <c r="L91" s="111"/>
      <c r="M91" s="111"/>
      <c r="N91" s="111"/>
      <c r="O91" s="228"/>
      <c r="P91" s="228"/>
      <c r="Q91" s="228"/>
      <c r="R91" s="228"/>
      <c r="S91" s="228"/>
      <c r="T91" s="228"/>
      <c r="U91" s="228"/>
      <c r="V91" s="228"/>
    </row>
    <row r="92" outlineLevel="1">
      <c r="A92" s="106"/>
      <c r="B92" s="288" t="s">
        <v>398</v>
      </c>
      <c r="C92" s="113" t="str">
        <f t="array" ref="C92">INDEX('回避'!$S$3:$U$84, MATCH($A$1,'回避'!$A$3:$A$91,0), MATCH(C87,'回避'!$S$2:$U$2,0))</f>
        <v>3-21</v>
      </c>
      <c r="D92" s="113" t="str">
        <f t="array" ref="D92">INDEX('回避'!$S$3:$U$84, MATCH($A$1,'回避'!$A$3:$A$91,0), MATCH(D87,'回避'!$S$2:$U$2,0))</f>
        <v>6-20</v>
      </c>
      <c r="E92" s="113" t="str">
        <f t="array" ref="E92">INDEX('回避'!$S$3:$U$84, MATCH($A$1,'回避'!$A$3:$A$91,0), MATCH(E87,'回避'!$S$2:$U$2,0))</f>
        <v>真横：97
真上：130
真下：79</v>
      </c>
      <c r="F92" s="289"/>
      <c r="G92" s="289"/>
      <c r="H92" s="290"/>
      <c r="I92" s="290"/>
      <c r="J92" s="117"/>
      <c r="K92" s="117"/>
      <c r="L92" s="117"/>
      <c r="M92" s="117"/>
      <c r="N92" s="111"/>
      <c r="O92" s="118"/>
      <c r="P92" s="118"/>
      <c r="Q92" s="118"/>
      <c r="R92" s="118"/>
      <c r="S92" s="118"/>
      <c r="T92" s="118"/>
      <c r="U92" s="118"/>
      <c r="V92" s="118"/>
    </row>
    <row r="93">
      <c r="A93" s="291"/>
      <c r="B93" s="292"/>
      <c r="C93" s="286"/>
      <c r="D93" s="286"/>
      <c r="E93" s="293"/>
      <c r="F93" s="286"/>
      <c r="G93" s="286"/>
      <c r="H93" s="286"/>
      <c r="I93" s="286"/>
      <c r="J93" s="111"/>
      <c r="K93" s="227"/>
      <c r="L93" s="227"/>
      <c r="M93" s="227"/>
      <c r="N93" s="227"/>
      <c r="O93" s="118"/>
      <c r="P93" s="118"/>
      <c r="Q93" s="118"/>
      <c r="R93" s="118"/>
      <c r="S93" s="118"/>
      <c r="T93" s="118"/>
      <c r="U93" s="118"/>
      <c r="V93" s="118"/>
    </row>
    <row r="94">
      <c r="A94" s="294" t="s">
        <v>238</v>
      </c>
      <c r="B94" s="104"/>
      <c r="C94" s="228"/>
      <c r="D94" s="117"/>
      <c r="E94" s="228"/>
      <c r="F94" s="114"/>
      <c r="G94" s="114"/>
      <c r="H94" s="117"/>
      <c r="I94" s="117"/>
      <c r="J94" s="118"/>
      <c r="K94" s="118"/>
      <c r="L94" s="118"/>
      <c r="M94" s="118"/>
      <c r="N94" s="118"/>
      <c r="O94" s="118"/>
      <c r="P94" s="118"/>
      <c r="Q94" s="118"/>
      <c r="R94" s="118"/>
      <c r="S94" s="118"/>
      <c r="T94" s="118"/>
      <c r="U94" s="118"/>
      <c r="V94" s="118"/>
    </row>
    <row r="95" outlineLevel="1">
      <c r="A95" s="106"/>
      <c r="B95" s="107"/>
      <c r="C95" s="295" t="s">
        <v>235</v>
      </c>
      <c r="D95" s="295" t="s">
        <v>49</v>
      </c>
      <c r="E95" s="295" t="s">
        <v>48</v>
      </c>
      <c r="F95" s="295" t="s">
        <v>50</v>
      </c>
      <c r="G95" s="296" t="s">
        <v>51</v>
      </c>
      <c r="H95" s="228"/>
      <c r="I95" s="228"/>
      <c r="J95" s="117"/>
      <c r="K95" s="297" t="str">
        <f>'テンプレート'!K116</f>
        <v>アイテム取得</v>
      </c>
      <c r="L95" s="109"/>
      <c r="M95" s="298" t="str">
        <f>'テンプレート'!M116</f>
        <v>取得フレーム</v>
      </c>
      <c r="N95" s="298" t="str">
        <f>'テンプレート'!N116</f>
        <v>全体フレーム</v>
      </c>
      <c r="O95" s="118"/>
      <c r="P95" s="118"/>
      <c r="Q95" s="118"/>
      <c r="R95" s="118"/>
      <c r="S95" s="118"/>
      <c r="T95" s="118"/>
      <c r="U95" s="118"/>
      <c r="V95" s="118"/>
    </row>
    <row r="96" outlineLevel="1">
      <c r="A96" s="299" t="s">
        <v>239</v>
      </c>
      <c r="B96" s="300" t="s">
        <v>240</v>
      </c>
      <c r="C96" s="301"/>
      <c r="D96" s="113">
        <f t="array" ref="D96">INDEX('崖行動・受け身'!$C$3:$C100, MATCH($A$1,'崖行動・受け身'!$A$3:$A$115,0), MATCH(D95,'崖行動・受け身'!$C$2,0))</f>
        <v>19</v>
      </c>
      <c r="E96" s="301"/>
      <c r="F96" s="301"/>
      <c r="G96" s="301"/>
      <c r="H96" s="228"/>
      <c r="I96" s="228"/>
      <c r="J96" s="111"/>
      <c r="K96" s="302" t="str">
        <f>'テンプレート'!K117</f>
        <v>小アイテム</v>
      </c>
      <c r="L96" s="303" t="str">
        <f>'テンプレート'!L117</f>
        <v>その場</v>
      </c>
      <c r="M96" s="113" t="s">
        <v>76</v>
      </c>
      <c r="N96" s="113">
        <v>7.0</v>
      </c>
      <c r="O96" s="118"/>
      <c r="P96" s="118"/>
      <c r="Q96" s="118"/>
      <c r="R96" s="118"/>
      <c r="S96" s="118"/>
      <c r="T96" s="118"/>
      <c r="U96" s="118"/>
      <c r="V96" s="118"/>
    </row>
    <row r="97" outlineLevel="1">
      <c r="A97" s="146"/>
      <c r="B97" s="300" t="s">
        <v>216</v>
      </c>
      <c r="C97" s="113" t="str">
        <f t="array" ref="C97">INDEX('崖行動・受け身'!$D$3:$E100, MATCH($A$1,'崖行動・受け身'!$A$3:$A$115,0), MATCH(C95,'崖行動・受け身'!$D$2:$E$2,0))</f>
        <v>1-31</v>
      </c>
      <c r="D97" s="113">
        <f t="array" ref="D97">INDEX('崖行動・受け身'!$D$3:$E100, MATCH($A$1,'崖行動・受け身'!$A$3:$A$115,0), MATCH(D95,'崖行動・受け身'!$D$2:$E$2,0))</f>
        <v>32</v>
      </c>
      <c r="E97" s="301"/>
      <c r="F97" s="301"/>
      <c r="G97" s="301"/>
      <c r="H97" s="228"/>
      <c r="I97" s="228"/>
      <c r="J97" s="117"/>
      <c r="K97" s="156"/>
      <c r="L97" s="303" t="str">
        <f>'テンプレート'!L118</f>
        <v>歩き</v>
      </c>
      <c r="M97" s="113" t="s">
        <v>76</v>
      </c>
      <c r="N97" s="113">
        <v>19.0</v>
      </c>
      <c r="O97" s="118"/>
      <c r="P97" s="118"/>
      <c r="Q97" s="118"/>
      <c r="R97" s="118"/>
      <c r="S97" s="118"/>
      <c r="T97" s="118"/>
      <c r="U97" s="118"/>
      <c r="V97" s="118"/>
    </row>
    <row r="98" outlineLevel="1">
      <c r="A98" s="146"/>
      <c r="B98" s="300" t="s">
        <v>241</v>
      </c>
      <c r="C98" s="113" t="str">
        <f t="array" ref="C98">INDEX('崖行動・受け身'!$F$3:$G$115, MATCH($A$1,'崖行動・受け身'!$A$3:$A$115,0), MATCH(C95,'崖行動・受け身'!$F$2:$G$2,0))</f>
        <v>1-26</v>
      </c>
      <c r="D98" s="113">
        <f t="array" ref="D98">INDEX('崖行動・受け身'!$F$3:$G$115, MATCH($A$1,'崖行動・受け身'!$A$3:$A$115,0), MATCH(D95,'崖行動・受け身'!$F$2:$G$2,0))</f>
        <v>45</v>
      </c>
      <c r="E98" s="301"/>
      <c r="F98" s="301"/>
      <c r="G98" s="301"/>
      <c r="H98" s="228"/>
      <c r="I98" s="228"/>
      <c r="J98" s="111"/>
      <c r="K98" s="304" t="str">
        <f>'テンプレート'!K119</f>
        <v>アイテム投擲</v>
      </c>
      <c r="L98" s="109"/>
      <c r="M98" s="298" t="str">
        <f>'テンプレート'!M119</f>
        <v>投擲フレーム</v>
      </c>
      <c r="N98" s="298" t="str">
        <f>'テンプレート'!N119</f>
        <v>全体フレーム</v>
      </c>
      <c r="O98" s="118"/>
      <c r="P98" s="118"/>
      <c r="Q98" s="118"/>
      <c r="R98" s="118"/>
      <c r="S98" s="118"/>
      <c r="T98" s="118"/>
      <c r="U98" s="118"/>
      <c r="V98" s="118"/>
    </row>
    <row r="99" outlineLevel="1">
      <c r="A99" s="146"/>
      <c r="B99" s="300" t="s">
        <v>242</v>
      </c>
      <c r="C99" s="113" t="str">
        <f t="array" ref="C99">INDEX('崖行動・受け身'!$H$3:$I$115, MATCH($A$1,'崖行動・受け身'!$A$3:$A$115,0), MATCH(C95,'崖行動・受け身'!$H$2:$I$2,0))</f>
        <v>1-12</v>
      </c>
      <c r="D99" s="113">
        <f t="array" ref="D99">INDEX('崖行動・受け身'!$H$3:$I$115, MATCH($A$1,'崖行動・受け身'!$A$3:$A$115,0), MATCH(D95,'崖行動・受け身'!$H$2:$I$2,0))</f>
        <v>14</v>
      </c>
      <c r="E99" s="301"/>
      <c r="F99" s="301"/>
      <c r="G99" s="301"/>
      <c r="H99" s="228"/>
      <c r="I99" s="228"/>
      <c r="J99" s="117"/>
      <c r="K99" s="305" t="str">
        <f>'テンプレート'!K120</f>
        <v>地上投擲</v>
      </c>
      <c r="L99" s="303" t="str">
        <f>'テンプレート'!L120</f>
        <v>前投げ</v>
      </c>
      <c r="M99" s="113" t="s">
        <v>80</v>
      </c>
      <c r="N99" s="113">
        <v>20.0</v>
      </c>
      <c r="O99" s="111"/>
      <c r="P99" s="111"/>
      <c r="Q99" s="111"/>
      <c r="R99" s="111"/>
      <c r="S99" s="111"/>
      <c r="T99" s="111"/>
      <c r="U99" s="111"/>
      <c r="V99" s="111"/>
    </row>
    <row r="100" outlineLevel="1">
      <c r="A100" s="156"/>
      <c r="B100" s="300" t="s">
        <v>243</v>
      </c>
      <c r="C100" s="113" t="str">
        <f t="array" ref="C100">INDEX('崖行動・受け身'!$J$3:$M$115, MATCH($A$1,'崖行動・受け身'!$A$3:$A$115,0), MATCH(C95,'崖行動・受け身'!$J$2:$M$2,0))</f>
        <v>1-23</v>
      </c>
      <c r="D100" s="113">
        <f t="array" ref="D100">INDEX('崖行動・受け身'!$J$3:$M$115, MATCH($A$1,'崖行動・受け身'!$A$3:$A$115,0), MATCH(D95,'崖行動・受け身'!$J$2:$M$2,0))</f>
        <v>55</v>
      </c>
      <c r="E100" s="113" t="str">
        <f t="array" ref="E100">INDEX('崖行動・受け身'!$J$3:$M$115, MATCH($A$1,'崖行動・受け身'!$A$3:$A$115,0), MATCH(E95,'崖行動・受け身'!$J$2:$M$2,0))</f>
        <v>21-23</v>
      </c>
      <c r="F100" s="113">
        <f t="array" ref="F100">INDEX('崖行動・受け身'!$J$3:$M$115, MATCH($A$1,'崖行動・受け身'!$A$3:$A$115,0), MATCH(F95,'崖行動・受け身'!$J$2:$M$2,0))</f>
        <v>9</v>
      </c>
      <c r="G100" s="113">
        <f>F100*1.2</f>
        <v>10.8</v>
      </c>
      <c r="H100" s="228"/>
      <c r="I100" s="228"/>
      <c r="J100" s="111"/>
      <c r="K100" s="146"/>
      <c r="L100" s="303" t="str">
        <f>'テンプレート'!L121</f>
        <v>後投げ</v>
      </c>
      <c r="M100" s="113" t="s">
        <v>93</v>
      </c>
      <c r="N100" s="113">
        <v>20.0</v>
      </c>
      <c r="O100" s="111"/>
      <c r="P100" s="111"/>
      <c r="Q100" s="111"/>
      <c r="R100" s="111"/>
      <c r="S100" s="111"/>
      <c r="T100" s="111"/>
      <c r="U100" s="111"/>
      <c r="V100" s="111"/>
    </row>
    <row r="101" outlineLevel="1">
      <c r="A101" s="299" t="s">
        <v>244</v>
      </c>
      <c r="B101" s="300" t="s">
        <v>216</v>
      </c>
      <c r="C101" s="113" t="str">
        <f t="array" ref="C101">INDEX('崖行動・受け身'!$N$3:$O$115, MATCH($A$1,'崖行動・受け身'!$A$3:$A$115,0), MATCH(C95,'崖行動・受け身'!$N$2:$O$2,0))</f>
        <v>1-20</v>
      </c>
      <c r="D101" s="113">
        <f t="array" ref="D101">INDEX('崖行動・受け身'!$N$3:$O$115, MATCH($A$1,'崖行動・受け身'!$A$3:$A$115,0), MATCH(D95,'崖行動・受け身'!$N$2:$O$2,0))</f>
        <v>26</v>
      </c>
      <c r="E101" s="301"/>
      <c r="F101" s="301"/>
      <c r="G101" s="301"/>
      <c r="H101" s="228"/>
      <c r="I101" s="228"/>
      <c r="J101" s="117"/>
      <c r="K101" s="146"/>
      <c r="L101" s="303" t="str">
        <f>'テンプレート'!L122</f>
        <v>上投げ</v>
      </c>
      <c r="M101" s="113" t="s">
        <v>80</v>
      </c>
      <c r="N101" s="113">
        <v>20.0</v>
      </c>
      <c r="O101" s="228"/>
      <c r="P101" s="228"/>
      <c r="Q101" s="228"/>
      <c r="R101" s="228"/>
      <c r="S101" s="228"/>
      <c r="T101" s="228"/>
      <c r="U101" s="228"/>
      <c r="V101" s="228"/>
    </row>
    <row r="102" outlineLevel="1">
      <c r="A102" s="146"/>
      <c r="B102" s="300" t="s">
        <v>245</v>
      </c>
      <c r="C102" s="113" t="str">
        <f t="array" ref="C102">INDEX('崖行動・受け身'!$P$3:$Q$115, MATCH($A$1,'崖行動・受け身'!$A$3:$A$115,0), MATCH(C95,'崖行動・受け身'!$P$2:$Q$2,0))</f>
        <v>1-20</v>
      </c>
      <c r="D102" s="113">
        <f t="array" ref="D102">INDEX('崖行動・受け身'!$P$3:$Q$115, MATCH($A$1,'崖行動・受け身'!$A$3:$A$115,0), MATCH(D95,'崖行動・受け身'!$P$2:$Q$2,0))</f>
        <v>40</v>
      </c>
      <c r="E102" s="301"/>
      <c r="F102" s="301"/>
      <c r="G102" s="301"/>
      <c r="H102" s="228"/>
      <c r="I102" s="228"/>
      <c r="J102" s="111"/>
      <c r="K102" s="146"/>
      <c r="L102" s="303" t="str">
        <f>'テンプレート'!L123</f>
        <v>下投げ</v>
      </c>
      <c r="M102" s="113" t="s">
        <v>93</v>
      </c>
      <c r="N102" s="113">
        <v>18.0</v>
      </c>
      <c r="O102" s="118"/>
      <c r="P102" s="118"/>
      <c r="Q102" s="118"/>
      <c r="R102" s="118"/>
      <c r="S102" s="118"/>
      <c r="T102" s="118"/>
      <c r="U102" s="118"/>
      <c r="V102" s="118"/>
    </row>
    <row r="103" outlineLevel="1">
      <c r="A103" s="156"/>
      <c r="B103" s="300" t="s">
        <v>246</v>
      </c>
      <c r="C103" s="113" t="str">
        <f t="array" ref="C103">INDEX('崖行動・受け身'!$R$3:$S$115, MATCH($A$1,'崖行動・受け身'!$A$3:$A$115,0), MATCH(C95,'崖行動・受け身'!$R$2:$S$2,0))</f>
        <v>1-20</v>
      </c>
      <c r="D103" s="113">
        <f t="array" ref="D103">INDEX('崖行動・受け身'!$R$3:$S$115, MATCH($A$1,'崖行動・受け身'!$A$3:$A$115,0), MATCH(D95,'崖行動・受け身'!$R$2:$S$2,0))</f>
        <v>40</v>
      </c>
      <c r="E103" s="301"/>
      <c r="F103" s="301"/>
      <c r="G103" s="301"/>
      <c r="H103" s="228"/>
      <c r="I103" s="228"/>
      <c r="J103" s="117"/>
      <c r="K103" s="146"/>
      <c r="L103" s="306" t="str">
        <f>'テンプレート'!L124</f>
        <v>ダッシュ</v>
      </c>
      <c r="M103" s="113" t="s">
        <v>93</v>
      </c>
      <c r="N103" s="113">
        <v>35.0</v>
      </c>
      <c r="O103" s="118"/>
      <c r="P103" s="118"/>
      <c r="Q103" s="118"/>
      <c r="R103" s="118"/>
      <c r="S103" s="118"/>
      <c r="T103" s="118"/>
      <c r="U103" s="118"/>
      <c r="V103" s="118"/>
    </row>
    <row r="104" outlineLevel="1">
      <c r="A104" s="299" t="s">
        <v>247</v>
      </c>
      <c r="B104" s="300" t="s">
        <v>248</v>
      </c>
      <c r="C104" s="301"/>
      <c r="D104" s="113" t="str">
        <f t="array" ref="D104">INDEX('起きあがり'!$C$3:$C100, MATCH($A$1,'起きあがり'!$A$3:$A$115,0), MATCH(D95,'起きあがり'!$C$2:$AD$2,0))</f>
        <v>25</v>
      </c>
      <c r="E104" s="301"/>
      <c r="F104" s="301"/>
      <c r="G104" s="301"/>
      <c r="H104" s="228"/>
      <c r="I104" s="228"/>
      <c r="J104" s="111"/>
      <c r="K104" s="156"/>
      <c r="L104" s="306" t="str">
        <f>'テンプレート'!L125</f>
        <v>その場捨て</v>
      </c>
      <c r="M104" s="113" t="s">
        <v>86</v>
      </c>
      <c r="N104" s="113">
        <v>23.0</v>
      </c>
      <c r="O104" s="118"/>
      <c r="P104" s="118"/>
      <c r="Q104" s="118"/>
      <c r="R104" s="118"/>
      <c r="S104" s="118"/>
      <c r="T104" s="118"/>
      <c r="U104" s="118"/>
      <c r="V104" s="118"/>
    </row>
    <row r="105" outlineLevel="1">
      <c r="A105" s="146"/>
      <c r="B105" s="300" t="s">
        <v>216</v>
      </c>
      <c r="C105" s="307" t="str">
        <f t="array" ref="C105">INDEX('起きあがり'!$D$3:$E100, MATCH($A$1,'起きあがり'!$A$3:$A$115,0), MATCH(C95,'起きあがり'!$D$2:$AD$2,0))</f>
        <v>1-22</v>
      </c>
      <c r="D105" s="308">
        <f t="array" ref="D105">INDEX('起きあがり'!$D$3:$E100, MATCH($A$1,'起きあがり'!$A$3:$A$115,0), MATCH(D95,'起きあがり'!$D$2:$AD$2,0))</f>
        <v>29</v>
      </c>
      <c r="E105" s="301"/>
      <c r="F105" s="301"/>
      <c r="G105" s="301"/>
      <c r="H105" s="228"/>
      <c r="I105" s="228"/>
      <c r="J105" s="117"/>
      <c r="K105" s="305" t="str">
        <f>'テンプレート'!K126</f>
        <v>空中投擲</v>
      </c>
      <c r="L105" s="303" t="str">
        <f>'テンプレート'!L126</f>
        <v>前投げ</v>
      </c>
      <c r="M105" s="113" t="s">
        <v>80</v>
      </c>
      <c r="N105" s="113">
        <v>20.0</v>
      </c>
      <c r="O105" s="118"/>
      <c r="P105" s="118"/>
      <c r="Q105" s="118"/>
      <c r="R105" s="118"/>
      <c r="S105" s="118"/>
      <c r="T105" s="118"/>
      <c r="U105" s="118"/>
      <c r="V105" s="118"/>
    </row>
    <row r="106" outlineLevel="1">
      <c r="A106" s="146"/>
      <c r="B106" s="300" t="s">
        <v>245</v>
      </c>
      <c r="C106" s="307" t="str">
        <f t="array" ref="C106">INDEX('起きあがり'!$F$3:$G$115, MATCH($A$1,'起きあがり'!$A$3:$A$115,0), MATCH(C95,'起きあがり'!$F$2:$AD$2,0))</f>
        <v>1-19</v>
      </c>
      <c r="D106" s="308">
        <f t="array" ref="D106">INDEX('起きあがり'!$F$3:$G$115, MATCH($A$1,'起きあがり'!$A$3:$A$115,0), MATCH(D95,'起きあがり'!$F$2:$AD$2,0))</f>
        <v>35</v>
      </c>
      <c r="E106" s="301"/>
      <c r="F106" s="301"/>
      <c r="G106" s="301"/>
      <c r="H106" s="228"/>
      <c r="I106" s="228"/>
      <c r="J106" s="111"/>
      <c r="K106" s="146"/>
      <c r="L106" s="303" t="str">
        <f>'テンプレート'!L127</f>
        <v>後投げ</v>
      </c>
      <c r="M106" s="113" t="s">
        <v>93</v>
      </c>
      <c r="N106" s="113">
        <v>20.0</v>
      </c>
      <c r="O106" s="118"/>
      <c r="P106" s="118"/>
      <c r="Q106" s="118"/>
      <c r="R106" s="118"/>
      <c r="S106" s="118"/>
      <c r="T106" s="118"/>
      <c r="U106" s="118"/>
      <c r="V106" s="118"/>
    </row>
    <row r="107" outlineLevel="1">
      <c r="A107" s="146"/>
      <c r="B107" s="300" t="s">
        <v>246</v>
      </c>
      <c r="C107" s="113" t="str">
        <f t="array" ref="C107">INDEX('起きあがり'!$H$3:$I$115, MATCH($A$1,'起きあがり'!$A$3:$A$115,0), MATCH(C95,'起きあがり'!$H$2:$AD$2,0))</f>
        <v>1-24</v>
      </c>
      <c r="D107" s="113">
        <f t="array" ref="D107">INDEX('起きあがり'!$H$3:$I$115, MATCH($A$1,'起きあがり'!$A$3:$A$115,0), MATCH(D95,'起きあがり'!$H$2:$AD$2,0))</f>
        <v>35</v>
      </c>
      <c r="E107" s="301"/>
      <c r="F107" s="301"/>
      <c r="G107" s="301"/>
      <c r="H107" s="228"/>
      <c r="I107" s="228"/>
      <c r="J107" s="117"/>
      <c r="K107" s="146"/>
      <c r="L107" s="303" t="str">
        <f>'テンプレート'!L128</f>
        <v>上投げ</v>
      </c>
      <c r="M107" s="113" t="s">
        <v>80</v>
      </c>
      <c r="N107" s="113">
        <v>20.0</v>
      </c>
      <c r="O107" s="118"/>
      <c r="P107" s="118"/>
      <c r="Q107" s="118"/>
      <c r="R107" s="118"/>
      <c r="S107" s="118"/>
      <c r="T107" s="118"/>
      <c r="U107" s="118"/>
      <c r="V107" s="118"/>
    </row>
    <row r="108" outlineLevel="1">
      <c r="A108" s="146"/>
      <c r="B108" s="300" t="s">
        <v>249</v>
      </c>
      <c r="C108" s="309" t="str">
        <f t="array" ref="C108">INDEX('起きあがり'!$J$3:$M$115, MATCH($A$1,'起きあがり'!$A$3:$A$115,0), MATCH(C95,'起きあがり'!$J$2:$AD$2,0))</f>
        <v>1-21</v>
      </c>
      <c r="D108" s="310">
        <f t="array" ref="D108">INDEX('起きあがり'!$J$3:$M$115, MATCH($A$1,'起きあがり'!$A$3:$A$115,0), MATCH(D95,'起きあがり'!$J$2:$AD$2,0))</f>
        <v>45</v>
      </c>
      <c r="E108" s="307" t="str">
        <f t="array" ref="E108">INDEX('起きあがり'!$J$3:$M$115, MATCH($A$1,'起きあがり'!$A$3:$A$115,0), MATCH(E95,'起きあがり'!$J$2:$AD$2,0))</f>
        <v>14-15</v>
      </c>
      <c r="F108" s="308">
        <f t="array" ref="F108">INDEX('起きあがり'!$J$3:$M$115, MATCH($A$1,'起きあがり'!$A$3:$A$115,0), MATCH(F95,'起きあがり'!$J$2:$AD$2,0))</f>
        <v>7</v>
      </c>
      <c r="G108" s="113">
        <f t="shared" ref="G108:G109" si="1">F108*1.2</f>
        <v>8.4</v>
      </c>
      <c r="H108" s="228"/>
      <c r="I108" s="228"/>
      <c r="J108" s="111"/>
      <c r="K108" s="156"/>
      <c r="L108" s="303" t="str">
        <f>'テンプレート'!L129</f>
        <v>下投げ</v>
      </c>
      <c r="M108" s="113" t="s">
        <v>80</v>
      </c>
      <c r="N108" s="113">
        <v>18.0</v>
      </c>
      <c r="O108" s="111"/>
      <c r="P108" s="111"/>
      <c r="Q108" s="111"/>
      <c r="R108" s="111"/>
      <c r="S108" s="111"/>
      <c r="T108" s="111"/>
      <c r="U108" s="111"/>
      <c r="V108" s="111"/>
    </row>
    <row r="109" outlineLevel="1">
      <c r="A109" s="156"/>
      <c r="B109" s="311" t="s">
        <v>250</v>
      </c>
      <c r="C109" s="156"/>
      <c r="D109" s="156"/>
      <c r="E109" s="307" t="str">
        <f t="array" ref="E109">INDEX('起きあがり'!$N$3:$O$115, MATCH($A$1,'起きあがり'!$A$3:$A$115,0), MATCH(E95,'起きあがり'!$N$2:$AD$2,0))</f>
        <v>20-21</v>
      </c>
      <c r="F109" s="308">
        <f t="array" ref="F109">INDEX('起きあがり'!$N$3:$O$115, MATCH($A$1,'起きあがり'!$A$3:$A$115,0), MATCH(F95,'起きあがり'!$N$2:$AD$2,0))</f>
        <v>7</v>
      </c>
      <c r="G109" s="113">
        <f t="shared" si="1"/>
        <v>8.4</v>
      </c>
      <c r="H109" s="228"/>
      <c r="I109" s="228"/>
      <c r="J109" s="111"/>
      <c r="K109" s="312" t="str">
        <f>'テンプレート'!K130</f>
        <v>踏み台ジャンプ</v>
      </c>
      <c r="L109" s="168"/>
      <c r="M109" s="298" t="str">
        <f>'テンプレート'!M130</f>
        <v>全体フレーム</v>
      </c>
      <c r="N109" s="114"/>
      <c r="O109" s="111"/>
      <c r="P109" s="111"/>
      <c r="Q109" s="111"/>
      <c r="R109" s="111"/>
      <c r="S109" s="111"/>
      <c r="T109" s="111"/>
      <c r="U109" s="111"/>
      <c r="V109" s="111"/>
    </row>
    <row r="110" outlineLevel="1">
      <c r="A110" s="299" t="s">
        <v>251</v>
      </c>
      <c r="B110" s="300" t="s">
        <v>248</v>
      </c>
      <c r="C110" s="301"/>
      <c r="D110" s="307" t="str">
        <f t="array" ref="D110">INDEX('起きあがり'!$C$3:$C100, MATCH($A$1,'起きあがり'!$A$3:$A$115,0), MATCH(D95,'起きあがり'!$C$2,0))</f>
        <v>25</v>
      </c>
      <c r="E110" s="301"/>
      <c r="F110" s="301"/>
      <c r="G110" s="301"/>
      <c r="H110" s="228"/>
      <c r="I110" s="228"/>
      <c r="J110" s="117"/>
      <c r="K110" s="313" t="str">
        <f>'テンプレート'!K131</f>
        <v>踏み</v>
      </c>
      <c r="L110" s="314" t="str">
        <f>'テンプレート'!L131</f>
        <v>踏み</v>
      </c>
      <c r="M110" s="113">
        <v>8.0</v>
      </c>
      <c r="N110" s="315"/>
      <c r="O110" s="111"/>
      <c r="P110" s="111"/>
      <c r="Q110" s="111"/>
      <c r="R110" s="111"/>
      <c r="S110" s="111"/>
      <c r="T110" s="111"/>
      <c r="U110" s="111"/>
      <c r="V110" s="111"/>
    </row>
    <row r="111" outlineLevel="1">
      <c r="A111" s="146"/>
      <c r="B111" s="300" t="s">
        <v>216</v>
      </c>
      <c r="C111" s="307" t="str">
        <f t="array" ref="C111">INDEX('起きあがり'!$P$3:$Q$115, MATCH($A$1,'起きあがり'!$A$3:$A$115,0), MATCH(C95,'起きあがり'!$P$2:$AD$2,0))</f>
        <v>1-22</v>
      </c>
      <c r="D111" s="308">
        <f t="array" ref="D111">INDEX('起きあがり'!$P$3:$Q$115, MATCH($A$1,'起きあがり'!$A$3:$A$115,0), MATCH(D95,'起きあがり'!$P$2:$AD$2,0))</f>
        <v>29</v>
      </c>
      <c r="E111" s="301"/>
      <c r="F111" s="301"/>
      <c r="G111" s="301"/>
      <c r="H111" s="228"/>
      <c r="I111" s="228"/>
      <c r="J111" s="111"/>
      <c r="K111" s="305" t="str">
        <f>'テンプレート'!K132</f>
        <v>踏まれ</v>
      </c>
      <c r="L111" s="314" t="str">
        <f>'テンプレート'!L132</f>
        <v>地上踏まれ</v>
      </c>
      <c r="M111" s="113" t="s">
        <v>76</v>
      </c>
      <c r="N111" s="315"/>
      <c r="O111" s="228"/>
      <c r="P111" s="228"/>
      <c r="Q111" s="228"/>
      <c r="R111" s="228"/>
      <c r="S111" s="228"/>
      <c r="T111" s="228"/>
      <c r="U111" s="228"/>
      <c r="V111" s="228"/>
    </row>
    <row r="112" outlineLevel="1">
      <c r="A112" s="146"/>
      <c r="B112" s="300" t="s">
        <v>245</v>
      </c>
      <c r="C112" s="307" t="str">
        <f t="array" ref="C112">INDEX('起きあがり'!$R$3:$S$115, MATCH($A$1,'起きあがり'!$A$3:$A$115,0), MATCH(C95,'起きあがり'!$R$2:$AD$2,0))</f>
        <v>1-14</v>
      </c>
      <c r="D112" s="308">
        <f t="array" ref="D112">INDEX('起きあがり'!$R$3:$S$115, MATCH($A$1,'起きあがり'!$A$3:$A$115,0), MATCH(D95,'起きあがり'!$R$2:$AD$2,0))</f>
        <v>35</v>
      </c>
      <c r="E112" s="301"/>
      <c r="F112" s="301"/>
      <c r="G112" s="301"/>
      <c r="H112" s="228"/>
      <c r="I112" s="228"/>
      <c r="J112" s="117"/>
      <c r="K112" s="146"/>
      <c r="L112" s="314" t="s">
        <v>693</v>
      </c>
      <c r="M112" s="113">
        <v>28.0</v>
      </c>
      <c r="N112" s="102"/>
      <c r="O112" s="118"/>
      <c r="P112" s="118"/>
      <c r="Q112" s="118"/>
      <c r="R112" s="118"/>
      <c r="S112" s="118"/>
      <c r="T112" s="118"/>
      <c r="U112" s="118"/>
      <c r="V112" s="118"/>
    </row>
    <row r="113" outlineLevel="1">
      <c r="A113" s="146"/>
      <c r="B113" s="300" t="s">
        <v>246</v>
      </c>
      <c r="C113" s="307" t="str">
        <f t="array" ref="C113">INDEX('起きあがり'!$T$3:$U$115, MATCH($A$1,'起きあがり'!$A$3:$A$115,0), MATCH(C95,'起きあがり'!$T$2:$AD$2,0))</f>
        <v>1-29</v>
      </c>
      <c r="D113" s="308">
        <f t="array" ref="D113">INDEX('起きあがり'!$T$3:$U$115, MATCH($A$1,'起きあがり'!$A$3:$A$115,0), MATCH(D95,'起きあがり'!$T$2:$AD$2,0))</f>
        <v>35</v>
      </c>
      <c r="E113" s="301"/>
      <c r="F113" s="301"/>
      <c r="G113" s="301"/>
      <c r="H113" s="228"/>
      <c r="I113" s="228"/>
      <c r="J113" s="111"/>
      <c r="K113" s="146"/>
      <c r="L113" s="314" t="str">
        <f>'テンプレート'!L134</f>
        <v>空中踏まれ</v>
      </c>
      <c r="M113" s="113">
        <v>8.0</v>
      </c>
      <c r="N113" s="102"/>
      <c r="O113" s="118"/>
      <c r="P113" s="118"/>
      <c r="Q113" s="118"/>
      <c r="R113" s="118"/>
      <c r="S113" s="118"/>
      <c r="T113" s="118"/>
      <c r="U113" s="118"/>
      <c r="V113" s="118"/>
    </row>
    <row r="114" outlineLevel="1">
      <c r="A114" s="146"/>
      <c r="B114" s="300" t="s">
        <v>249</v>
      </c>
      <c r="C114" s="309" t="str">
        <f t="array" ref="C114">INDEX('起きあがり'!$V$3:$Y$115, MATCH($A$1,'起きあがり'!$A$3:$A$115,0), MATCH(C95,'起きあがり'!$V$2:$AD$2,0))</f>
        <v>1-25</v>
      </c>
      <c r="D114" s="310">
        <f t="array" ref="D114">INDEX('起きあがり'!$V$3:$Y$115, MATCH($A$1,'起きあがり'!$A$3:$A$115,0), MATCH(D95,'起きあがり'!$V$2:$AD$2,0))</f>
        <v>45</v>
      </c>
      <c r="E114" s="307" t="str">
        <f t="array" ref="E114">INDEX('起きあがり'!$V$3:$Y$115, MATCH($A$1,'起きあがり'!$A$3:$A$115,0), MATCH(E95,'起きあがり'!$V$2:$AD$2,0))</f>
        <v>14-15</v>
      </c>
      <c r="F114" s="308">
        <f t="array" ref="F114">INDEX('起きあがり'!$V$3:$Y$115, MATCH($A$1,'起きあがり'!$A$3:$A$115,0), MATCH(F95,'起きあがり'!$V$2:$AD$2,0))</f>
        <v>7</v>
      </c>
      <c r="G114" s="113">
        <f t="shared" ref="G114:G115" si="2">F114*1.2</f>
        <v>8.4</v>
      </c>
      <c r="H114" s="228"/>
      <c r="I114" s="228"/>
      <c r="J114" s="117"/>
      <c r="K114" s="146"/>
      <c r="L114" s="314" t="str">
        <f>'テンプレート'!L135</f>
        <v>空中落下</v>
      </c>
      <c r="M114" s="113">
        <v>40.0</v>
      </c>
      <c r="N114" s="102"/>
      <c r="O114" s="118"/>
      <c r="P114" s="118"/>
      <c r="Q114" s="118"/>
      <c r="R114" s="118"/>
      <c r="S114" s="118"/>
      <c r="T114" s="118"/>
      <c r="U114" s="118"/>
      <c r="V114" s="118"/>
    </row>
    <row r="115" outlineLevel="1">
      <c r="A115" s="156"/>
      <c r="B115" s="311" t="s">
        <v>250</v>
      </c>
      <c r="C115" s="156"/>
      <c r="D115" s="156"/>
      <c r="E115" s="307" t="str">
        <f t="array" ref="E115">INDEX('起きあがり'!$Z$3:$AA$115, MATCH($A$1,'起きあがり'!$A$3:$A$115,0), MATCH(E95,'起きあがり'!$Z$2:$AD$2,0))</f>
        <v>24-25</v>
      </c>
      <c r="F115" s="308">
        <f t="array" ref="F115">INDEX('起きあがり'!$Z$3:$AA$115, MATCH($A$1,'起きあがり'!$A$3:$A$115,0), MATCH(F95,'起きあがり'!$Z$2:$AD$2,0))</f>
        <v>7</v>
      </c>
      <c r="G115" s="113">
        <f t="shared" si="2"/>
        <v>8.4</v>
      </c>
      <c r="H115" s="228"/>
      <c r="I115" s="228"/>
      <c r="J115" s="117"/>
      <c r="K115" s="304" t="str">
        <f>'テンプレート'!K136</f>
        <v>倒れダメージ</v>
      </c>
      <c r="L115" s="110"/>
      <c r="M115" s="298" t="str">
        <f>'テンプレート'!M136</f>
        <v>全体フレーム</v>
      </c>
      <c r="N115" s="102"/>
      <c r="O115" s="118"/>
      <c r="P115" s="118"/>
      <c r="Q115" s="118"/>
      <c r="R115" s="118"/>
      <c r="S115" s="118"/>
      <c r="T115" s="118"/>
      <c r="U115" s="118"/>
      <c r="V115" s="118"/>
    </row>
    <row r="116" outlineLevel="1">
      <c r="A116" s="299" t="s">
        <v>252</v>
      </c>
      <c r="B116" s="300" t="s">
        <v>253</v>
      </c>
      <c r="C116" s="307" t="str">
        <f t="array" ref="C116">INDEX('転倒'!$C$3:$D100, MATCH($A$1,'転倒'!$A$3:$A$115,0), MATCH(C95,'転倒'!$C$2:$AC$2,0))</f>
        <v>1-5</v>
      </c>
      <c r="D116" s="308">
        <f t="array" ref="D116">INDEX('転倒'!$C$3:$D100, MATCH($A$1,'転倒'!$A$3:$A$115,0), MATCH(D95,'転倒'!$C$2:$AC$2,0))</f>
        <v>29</v>
      </c>
      <c r="E116" s="301"/>
      <c r="F116" s="301"/>
      <c r="G116" s="301"/>
      <c r="H116" s="228"/>
      <c r="I116" s="228"/>
      <c r="J116" s="111"/>
      <c r="K116" s="313" t="str">
        <f>'テンプレート'!K137</f>
        <v>あお向け倒れ</v>
      </c>
      <c r="L116" s="306" t="str">
        <f>'テンプレート'!L137</f>
        <v>モーション大</v>
      </c>
      <c r="M116" s="113">
        <v>39.0</v>
      </c>
      <c r="N116" s="315"/>
      <c r="O116" s="118"/>
      <c r="P116" s="118"/>
      <c r="Q116" s="118"/>
      <c r="R116" s="118"/>
      <c r="S116" s="118"/>
      <c r="T116" s="118"/>
      <c r="U116" s="118"/>
      <c r="V116" s="118"/>
    </row>
    <row r="117" outlineLevel="1">
      <c r="A117" s="146"/>
      <c r="B117" s="300" t="s">
        <v>254</v>
      </c>
      <c r="C117" s="307" t="str">
        <f t="array" ref="C117">INDEX('転倒'!$E$3:$F100, MATCH($A$1,'転倒'!$A$3:$A$115,0), MATCH(C95,'転倒'!$E$2:$AC$2,0))</f>
        <v>1-5</v>
      </c>
      <c r="D117" s="308">
        <f t="array" ref="D117">INDEX('転倒'!$E$3:$F100, MATCH($A$1,'転倒'!$A$3:$A$115,0), MATCH(D95,'転倒'!$E$2:$AC$2,0))</f>
        <v>39</v>
      </c>
      <c r="E117" s="301"/>
      <c r="F117" s="301"/>
      <c r="G117" s="301"/>
      <c r="H117" s="228"/>
      <c r="I117" s="228"/>
      <c r="J117" s="117"/>
      <c r="K117" s="313" t="str">
        <f>'テンプレート'!K138</f>
        <v>うつ伏せ倒れ</v>
      </c>
      <c r="L117" s="306" t="str">
        <f>'テンプレート'!L138</f>
        <v>モーション大</v>
      </c>
      <c r="M117" s="113" t="s">
        <v>118</v>
      </c>
      <c r="N117" s="315"/>
      <c r="O117" s="118"/>
      <c r="P117" s="118"/>
      <c r="Q117" s="118"/>
      <c r="R117" s="118"/>
      <c r="S117" s="118"/>
      <c r="T117" s="118"/>
      <c r="U117" s="118"/>
      <c r="V117" s="118"/>
    </row>
    <row r="118" outlineLevel="1">
      <c r="A118" s="146"/>
      <c r="B118" s="300" t="s">
        <v>216</v>
      </c>
      <c r="C118" s="307" t="str">
        <f t="array" ref="C118">INDEX('転倒'!$G$3:$H$115, MATCH($A$1,'転倒'!$A$3:$A$115,0), MATCH(C95,'転倒'!$G$2:$AC$2,0))</f>
        <v>1-16</v>
      </c>
      <c r="D118" s="308">
        <f t="array" ref="D118">INDEX('転倒'!$G$3:$H$115, MATCH($A$1,'転倒'!$A$3:$A$115,0), MATCH(D95,'転倒'!$G$2:$AC$2,0))</f>
        <v>21</v>
      </c>
      <c r="E118" s="301"/>
      <c r="F118" s="301"/>
      <c r="G118" s="301"/>
      <c r="H118" s="228"/>
      <c r="I118" s="228"/>
      <c r="J118" s="111"/>
      <c r="K118" s="304" t="str">
        <f>'テンプレート'!K139</f>
        <v/>
      </c>
      <c r="L118" s="110"/>
      <c r="M118" s="298" t="str">
        <f>'テンプレート'!M139</f>
        <v/>
      </c>
      <c r="N118" s="102"/>
      <c r="O118" s="118"/>
      <c r="P118" s="118"/>
      <c r="Q118" s="118"/>
      <c r="R118" s="118"/>
      <c r="S118" s="118"/>
      <c r="T118" s="118"/>
      <c r="U118" s="118"/>
      <c r="V118" s="118"/>
    </row>
    <row r="119" outlineLevel="1">
      <c r="A119" s="146"/>
      <c r="B119" s="300" t="s">
        <v>245</v>
      </c>
      <c r="C119" s="307" t="str">
        <f t="array" ref="C119">INDEX('転倒'!$I$3:$J$115, MATCH($A$1,'転倒'!$A$3:$A$115,0), MATCH(C95,'転倒'!$I$2:$AC$2,0))</f>
        <v>1-9</v>
      </c>
      <c r="D119" s="308">
        <f t="array" ref="D119">INDEX('転倒'!$I$3:$J$115, MATCH($A$1,'転倒'!$A$3:$A$115,0), MATCH(D95,'転倒'!$I$2:$AC$2,0))</f>
        <v>28</v>
      </c>
      <c r="E119" s="301"/>
      <c r="F119" s="301"/>
      <c r="G119" s="301"/>
      <c r="H119" s="228"/>
      <c r="I119" s="228"/>
      <c r="J119" s="228"/>
      <c r="K119" s="316"/>
      <c r="L119" s="317" t="str">
        <f>'テンプレート'!L140</f>
        <v/>
      </c>
      <c r="M119" s="113" t="s">
        <v>76</v>
      </c>
      <c r="N119" s="102"/>
      <c r="O119" s="118"/>
      <c r="P119" s="118"/>
      <c r="Q119" s="118"/>
      <c r="R119" s="118"/>
      <c r="S119" s="118"/>
      <c r="T119" s="118"/>
      <c r="U119" s="118"/>
      <c r="V119" s="118"/>
    </row>
    <row r="120" outlineLevel="1">
      <c r="A120" s="146"/>
      <c r="B120" s="300" t="s">
        <v>246</v>
      </c>
      <c r="C120" s="307" t="str">
        <f t="array" ref="C120">INDEX('転倒'!$K$3:$L$115, MATCH($A$1,'転倒'!$A$3:$A$115,0), MATCH(C95,'転倒'!$K$2:$AC$2,0))</f>
        <v>1-9</v>
      </c>
      <c r="D120" s="308">
        <f t="array" ref="D120">INDEX('転倒'!$K$3:$L$115, MATCH($A$1,'転倒'!$A$3:$A$115,0), MATCH(D95,'転倒'!$K$2:$AC$2,0))</f>
        <v>28</v>
      </c>
      <c r="E120" s="301"/>
      <c r="F120" s="301"/>
      <c r="G120" s="301"/>
      <c r="H120" s="228"/>
      <c r="I120" s="228"/>
      <c r="J120" s="228"/>
      <c r="K120" s="318"/>
      <c r="L120" s="118"/>
      <c r="M120" s="118"/>
      <c r="N120" s="102"/>
      <c r="O120" s="118"/>
      <c r="P120" s="118"/>
      <c r="Q120" s="118"/>
      <c r="R120" s="118"/>
      <c r="S120" s="118"/>
      <c r="T120" s="118"/>
      <c r="U120" s="118"/>
      <c r="V120" s="118"/>
    </row>
    <row r="121" outlineLevel="1">
      <c r="A121" s="146"/>
      <c r="B121" s="300" t="s">
        <v>249</v>
      </c>
      <c r="C121" s="309" t="str">
        <f t="array" ref="C121">INDEX('転倒'!$M$3:$P$115, MATCH($A$1,'転倒'!$A$3:$A$115,0), MATCH(C95,'転倒'!$M$2:$AC$2,0))</f>
        <v>1-7</v>
      </c>
      <c r="D121" s="310">
        <f t="array" ref="D121">INDEX('転倒'!$M$3:$P$115, MATCH($A$1,'転倒'!$A$3:$A$115,0), MATCH(D95,'転倒'!$M$2:$AC$2,0))</f>
        <v>49</v>
      </c>
      <c r="E121" s="307" t="str">
        <f t="array" ref="E121">INDEX('転倒'!$M$3:$P$115, MATCH($A$1,'転倒'!$A$3:$A$115,0), MATCH(E95,'転倒'!$M$2:$AC$2,0))</f>
        <v>19-20</v>
      </c>
      <c r="F121" s="308">
        <f t="array" ref="F121">INDEX('転倒'!$M$3:$P$115, MATCH($A$1,'転倒'!$A$3:$A$115,0), MATCH(F95,'転倒'!$M$2:$AC$2,0))</f>
        <v>5</v>
      </c>
      <c r="G121" s="113">
        <f t="shared" ref="G121:G122" si="3">F121*1.2</f>
        <v>6</v>
      </c>
      <c r="H121" s="228"/>
      <c r="I121" s="228"/>
      <c r="J121" s="228"/>
      <c r="K121" s="118"/>
      <c r="L121" s="118"/>
      <c r="M121" s="118"/>
      <c r="N121" s="102"/>
      <c r="O121" s="102"/>
      <c r="P121" s="102"/>
      <c r="Q121" s="102"/>
      <c r="R121" s="118"/>
      <c r="S121" s="118"/>
      <c r="T121" s="118"/>
      <c r="U121" s="118"/>
      <c r="V121" s="118"/>
    </row>
    <row r="122" outlineLevel="1">
      <c r="A122" s="156"/>
      <c r="B122" s="311" t="s">
        <v>250</v>
      </c>
      <c r="C122" s="156"/>
      <c r="D122" s="156"/>
      <c r="E122" s="307" t="str">
        <f t="array" ref="E122">INDEX('転倒'!$Q$3:$R$115, MATCH($A$1,'転倒'!$A$3:$A$115,0), MATCH(E95,'転倒'!$Q$2:$AC$2,0))</f>
        <v>26-27</v>
      </c>
      <c r="F122" s="308">
        <f t="array" ref="F122">INDEX('転倒'!$Q$3:$R$115, MATCH($A$1,'転倒'!$A$3:$A$115,0), MATCH(F95,'転倒'!$Q$2:$AC$2,0))</f>
        <v>5</v>
      </c>
      <c r="G122" s="113">
        <f t="shared" si="3"/>
        <v>6</v>
      </c>
      <c r="H122" s="228"/>
      <c r="I122" s="228"/>
      <c r="J122" s="228"/>
      <c r="K122" s="118"/>
      <c r="L122" s="118"/>
      <c r="M122" s="118"/>
      <c r="N122" s="102"/>
      <c r="O122" s="102"/>
      <c r="P122" s="102"/>
      <c r="Q122" s="102"/>
      <c r="R122" s="118"/>
      <c r="S122" s="118"/>
      <c r="T122" s="118"/>
      <c r="U122" s="118"/>
      <c r="V122" s="118"/>
    </row>
    <row r="123" outlineLevel="1">
      <c r="A123" s="319"/>
      <c r="B123" s="320"/>
      <c r="C123" s="321"/>
      <c r="D123" s="321"/>
      <c r="E123" s="322"/>
      <c r="F123" s="322"/>
      <c r="G123" s="114"/>
      <c r="H123" s="228"/>
      <c r="I123" s="228"/>
      <c r="J123" s="228"/>
      <c r="K123" s="118"/>
      <c r="L123" s="118"/>
      <c r="M123" s="118"/>
      <c r="N123" s="102"/>
      <c r="O123" s="102"/>
      <c r="P123" s="102"/>
      <c r="Q123" s="102"/>
      <c r="R123" s="118"/>
      <c r="S123" s="118"/>
      <c r="T123" s="118"/>
      <c r="U123" s="118"/>
      <c r="V123" s="118"/>
    </row>
    <row r="124" outlineLevel="1">
      <c r="A124" s="323" t="s">
        <v>255</v>
      </c>
      <c r="B124" s="109"/>
      <c r="C124" s="321"/>
      <c r="D124" s="321"/>
      <c r="E124" s="322"/>
      <c r="F124" s="322"/>
      <c r="G124" s="114"/>
      <c r="H124" s="228"/>
      <c r="I124" s="228"/>
      <c r="J124" s="228"/>
      <c r="K124" s="118"/>
      <c r="L124" s="118"/>
      <c r="M124" s="118"/>
      <c r="N124" s="102"/>
      <c r="O124" s="102"/>
      <c r="P124" s="102"/>
      <c r="Q124" s="102"/>
      <c r="R124" s="118"/>
      <c r="S124" s="118"/>
      <c r="T124" s="118"/>
      <c r="U124" s="118"/>
      <c r="V124" s="118"/>
    </row>
    <row r="125" outlineLevel="1">
      <c r="A125" s="324" t="s">
        <v>256</v>
      </c>
      <c r="B125" s="109"/>
      <c r="C125" s="325" t="s">
        <v>257</v>
      </c>
      <c r="D125" s="325" t="s">
        <v>49</v>
      </c>
      <c r="E125" s="322"/>
      <c r="F125" s="322"/>
      <c r="G125" s="114"/>
      <c r="H125" s="228"/>
      <c r="I125" s="228"/>
      <c r="J125" s="228"/>
      <c r="K125" s="118"/>
      <c r="L125" s="118"/>
      <c r="M125" s="118"/>
      <c r="N125" s="102"/>
      <c r="O125" s="102"/>
      <c r="P125" s="102"/>
      <c r="Q125" s="102"/>
      <c r="R125" s="118"/>
      <c r="S125" s="118"/>
      <c r="T125" s="118"/>
      <c r="U125" s="118"/>
      <c r="V125" s="118"/>
    </row>
    <row r="126" outlineLevel="1">
      <c r="A126" s="326" t="s">
        <v>258</v>
      </c>
      <c r="B126" s="327" t="s">
        <v>216</v>
      </c>
      <c r="C126" s="328" t="str">
        <f t="array" ref="C126">INDEX('アイテム'!$C$3:$D$114, MATCH($A$1,'アイテム'!$A$3:$A$114,0), MATCH(C125,'アイテム'!$C$2:$AQ$2,0))</f>
        <v>2</v>
      </c>
      <c r="D126" s="328">
        <f t="array" ref="D126">INDEX('アイテム'!$C$3:$D$114, MATCH($A$1,'アイテム'!$A$3:$A$114,0), MATCH(D125,'アイテム'!$C$2:$AQ$2,0))</f>
        <v>7</v>
      </c>
      <c r="E126" s="322"/>
      <c r="F126" s="322"/>
      <c r="G126" s="114"/>
      <c r="H126" s="228"/>
      <c r="I126" s="228"/>
      <c r="J126" s="228"/>
      <c r="K126" s="118"/>
      <c r="L126" s="118"/>
      <c r="M126" s="118"/>
      <c r="N126" s="102"/>
      <c r="O126" s="102"/>
      <c r="P126" s="102"/>
      <c r="Q126" s="102"/>
      <c r="R126" s="118"/>
      <c r="S126" s="118"/>
      <c r="T126" s="118"/>
      <c r="U126" s="118"/>
      <c r="V126" s="118"/>
    </row>
    <row r="127" outlineLevel="1">
      <c r="A127" s="156"/>
      <c r="B127" s="327" t="s">
        <v>219</v>
      </c>
      <c r="C127" s="328" t="str">
        <f t="array" ref="C127">INDEX('アイテム'!$E$3:$F$114, MATCH($A$1,'アイテム'!$A$3:$A$114,0), MATCH(C125,'アイテム'!$C$2:$AQ$2,0))</f>
        <v>2</v>
      </c>
      <c r="D127" s="328">
        <f t="array" ref="D127">INDEX('アイテム'!$E$3:$F$114, MATCH($A$1,'アイテム'!$A$3:$A$114,0), MATCH(D125,'アイテム'!$C$2:$AQ$2,0))</f>
        <v>19</v>
      </c>
      <c r="E127" s="322"/>
      <c r="F127" s="322"/>
      <c r="G127" s="114"/>
      <c r="H127" s="228"/>
      <c r="I127" s="228"/>
      <c r="J127" s="228"/>
      <c r="K127" s="118"/>
      <c r="L127" s="118"/>
      <c r="M127" s="118"/>
      <c r="N127" s="102"/>
      <c r="O127" s="102"/>
      <c r="P127" s="102"/>
      <c r="Q127" s="102"/>
      <c r="R127" s="118"/>
      <c r="S127" s="118"/>
      <c r="T127" s="118"/>
      <c r="U127" s="118"/>
      <c r="V127" s="118"/>
    </row>
    <row r="128" outlineLevel="1">
      <c r="A128" s="329" t="s">
        <v>259</v>
      </c>
      <c r="B128" s="327" t="s">
        <v>216</v>
      </c>
      <c r="C128" s="328">
        <f t="array" ref="C128">INDEX('アイテム'!$AA$3:$AB$114, MATCH($A$1,'アイテム'!$A$3:$A$114,0), MATCH(C125,'アイテム'!$C$2:$AQ$2,0))</f>
        <v>3</v>
      </c>
      <c r="D128" s="328" t="str">
        <f t="array" ref="D128">INDEX('アイテム'!$AA$3:$AB$114, MATCH($A$1,'アイテム'!$A$3:$A$114,0), MATCH(D125,'アイテム'!$C$2:$AQ$2,0))</f>
        <v>12</v>
      </c>
      <c r="E128" s="322"/>
      <c r="F128" s="322"/>
      <c r="G128" s="114"/>
      <c r="H128" s="228"/>
      <c r="I128" s="228"/>
      <c r="J128" s="228"/>
      <c r="K128" s="118"/>
      <c r="L128" s="118"/>
      <c r="M128" s="118"/>
      <c r="N128" s="102"/>
      <c r="O128" s="102"/>
      <c r="P128" s="102"/>
      <c r="Q128" s="102"/>
      <c r="R128" s="118"/>
      <c r="S128" s="118"/>
      <c r="T128" s="118"/>
      <c r="U128" s="118"/>
      <c r="V128" s="118"/>
    </row>
    <row r="129" outlineLevel="1">
      <c r="A129" s="324" t="s">
        <v>260</v>
      </c>
      <c r="B129" s="109"/>
      <c r="C129" s="325" t="s">
        <v>261</v>
      </c>
      <c r="D129" s="325" t="s">
        <v>49</v>
      </c>
      <c r="E129" s="322"/>
      <c r="F129" s="322"/>
      <c r="G129" s="114"/>
      <c r="H129" s="228"/>
      <c r="I129" s="228"/>
      <c r="J129" s="228"/>
      <c r="K129" s="118"/>
      <c r="L129" s="118"/>
      <c r="M129" s="118"/>
      <c r="N129" s="102"/>
      <c r="O129" s="102"/>
      <c r="P129" s="102"/>
      <c r="Q129" s="102"/>
      <c r="R129" s="118"/>
      <c r="S129" s="118"/>
      <c r="T129" s="118"/>
      <c r="U129" s="118"/>
      <c r="V129" s="118"/>
    </row>
    <row r="130" outlineLevel="1">
      <c r="A130" s="326" t="s">
        <v>262</v>
      </c>
      <c r="B130" s="327" t="s">
        <v>226</v>
      </c>
      <c r="C130" s="328" t="str">
        <f t="array" ref="C130">INDEX('アイテム'!$G$3:$H$114, MATCH($A$1,'アイテム'!$A$3:$A$114,0), MATCH(C125,'アイテム'!$C$2:$AQ$2,0))</f>
        <v>8</v>
      </c>
      <c r="D130" s="328">
        <f t="array" ref="D130">INDEX('アイテム'!$G$3:$H$114, MATCH($A$1,'アイテム'!$A$3:$A$114,0), MATCH(D125,'アイテム'!$C$2:$AQ$2,0))</f>
        <v>24</v>
      </c>
      <c r="E130" s="322"/>
      <c r="F130" s="322"/>
      <c r="G130" s="114"/>
      <c r="H130" s="228"/>
      <c r="I130" s="228"/>
      <c r="J130" s="228"/>
      <c r="K130" s="118"/>
      <c r="L130" s="118"/>
      <c r="M130" s="118"/>
      <c r="N130" s="102"/>
      <c r="O130" s="102"/>
      <c r="P130" s="102"/>
      <c r="Q130" s="102"/>
      <c r="R130" s="118"/>
      <c r="S130" s="118"/>
      <c r="T130" s="118"/>
      <c r="U130" s="118"/>
      <c r="V130" s="118"/>
    </row>
    <row r="131" outlineLevel="1">
      <c r="A131" s="146"/>
      <c r="B131" s="327" t="s">
        <v>229</v>
      </c>
      <c r="C131" s="328" t="str">
        <f t="array" ref="C131">INDEX('アイテム'!$I$3:$J$114, MATCH($A$1,'アイテム'!$A$3:$A$114,0), MATCH(C125,'アイテム'!$C$2:$AQ$2,0))</f>
        <v>7</v>
      </c>
      <c r="D131" s="328">
        <f t="array" ref="D131">INDEX('アイテム'!$I$3:$J$114, MATCH($A$1,'アイテム'!$A$3:$A$114,0), MATCH(D125,'アイテム'!$C$2:$AQ$2,0))</f>
        <v>24</v>
      </c>
      <c r="E131" s="322"/>
      <c r="F131" s="322"/>
      <c r="G131" s="114"/>
      <c r="H131" s="228"/>
      <c r="I131" s="228"/>
      <c r="J131" s="228"/>
      <c r="K131" s="118"/>
      <c r="L131" s="118"/>
      <c r="M131" s="118"/>
      <c r="N131" s="102"/>
      <c r="O131" s="102"/>
      <c r="P131" s="102"/>
      <c r="Q131" s="102"/>
      <c r="R131" s="118"/>
      <c r="S131" s="118"/>
      <c r="T131" s="118"/>
      <c r="U131" s="118"/>
      <c r="V131" s="118"/>
    </row>
    <row r="132" outlineLevel="1">
      <c r="A132" s="146"/>
      <c r="B132" s="327" t="s">
        <v>233</v>
      </c>
      <c r="C132" s="328" t="str">
        <f t="array" ref="C132">INDEX('アイテム'!$K$3:$L$114, MATCH($A$1,'アイテム'!$A$3:$A$114,0), MATCH(C125,'アイテム'!$C$2:$AQ$2,0))</f>
        <v>8</v>
      </c>
      <c r="D132" s="328">
        <f t="array" ref="D132">INDEX('アイテム'!$K$3:$L$114, MATCH($A$1,'アイテム'!$A$3:$A$114,0), MATCH(D125,'アイテム'!$C$2:$AQ$2,0))</f>
        <v>23</v>
      </c>
      <c r="E132" s="322"/>
      <c r="F132" s="322"/>
      <c r="G132" s="114"/>
      <c r="H132" s="228"/>
      <c r="I132" s="228"/>
      <c r="J132" s="228"/>
      <c r="K132" s="118"/>
      <c r="L132" s="118"/>
      <c r="M132" s="118"/>
      <c r="N132" s="102"/>
      <c r="O132" s="102"/>
      <c r="P132" s="102"/>
      <c r="Q132" s="102"/>
      <c r="R132" s="118"/>
      <c r="S132" s="118"/>
      <c r="T132" s="118"/>
      <c r="U132" s="118"/>
      <c r="V132" s="118"/>
    </row>
    <row r="133" outlineLevel="1">
      <c r="A133" s="146"/>
      <c r="B133" s="327" t="s">
        <v>234</v>
      </c>
      <c r="C133" s="328" t="str">
        <f t="array" ref="C133">INDEX('アイテム'!$M$3:$N$114, MATCH($A$1,'アイテム'!$A$3:$A$114,0), MATCH(C125,'アイテム'!$C$2:$AQ$2,0))</f>
        <v>7</v>
      </c>
      <c r="D133" s="328">
        <f t="array" ref="D133">INDEX('アイテム'!$M$3:$N$114, MATCH($A$1,'アイテム'!$A$3:$A$114,0), MATCH(D125,'アイテム'!$C$2:$AQ$2,0))</f>
        <v>19</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219</v>
      </c>
      <c r="C134" s="328" t="str">
        <f t="array" ref="C134">INDEX('アイテム'!$O$3:$P$114, MATCH($A$1,'アイテム'!$A$3:$A$114,0), MATCH(C125,'アイテム'!$C$2:$AQ$2,0))</f>
        <v>7</v>
      </c>
      <c r="D134" s="328">
        <f t="array" ref="D134">INDEX('アイテム'!$O$3:$P$114, MATCH($A$1,'アイテム'!$A$3:$A$114,0), MATCH(D125,'アイテム'!$C$2:$AQ$2,0))</f>
        <v>29</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263</v>
      </c>
      <c r="C135" s="328" t="str">
        <f t="array" ref="C135">INDEX('アイテム'!$Q$3:$R$114, MATCH($A$1,'アイテム'!$A$3:$A$114,0), MATCH(C125,'アイテム'!$C$2:$AQ$2,0))</f>
        <v>6</v>
      </c>
      <c r="D135" s="328">
        <f t="array" ref="D135">INDEX('アイテム'!$Q$3:$R$114, MATCH($A$1,'アイテム'!$A$3:$A$114,0), MATCH(D125,'アイテム'!$C$2:$AQ$2,0))</f>
        <v>23</v>
      </c>
      <c r="E135" s="322"/>
      <c r="F135" s="322"/>
      <c r="G135" s="114"/>
      <c r="H135" s="228"/>
      <c r="I135" s="228"/>
      <c r="J135" s="228"/>
      <c r="K135" s="118"/>
      <c r="L135" s="118"/>
      <c r="M135" s="118"/>
      <c r="N135" s="102"/>
      <c r="O135" s="102"/>
      <c r="P135" s="102"/>
      <c r="Q135" s="102"/>
      <c r="R135" s="118"/>
      <c r="S135" s="118"/>
      <c r="T135" s="118"/>
      <c r="U135" s="118"/>
      <c r="V135" s="118"/>
    </row>
    <row r="136" outlineLevel="1">
      <c r="A136" s="326" t="s">
        <v>264</v>
      </c>
      <c r="B136" s="327" t="s">
        <v>226</v>
      </c>
      <c r="C136" s="328" t="str">
        <f t="array" ref="C136">INDEX('アイテム'!$S$3:$T$114, MATCH($A$1,'アイテム'!$A$3:$A$114,0), MATCH(C125,'アイテム'!$C$2:$AQ$2,0))</f>
        <v>8</v>
      </c>
      <c r="D136" s="328">
        <f t="array" ref="D136">INDEX('アイテム'!$S$3:$T$114, MATCH($A$1,'アイテム'!$A$3:$A$114,0), MATCH(D125,'アイテム'!$C$2:$AQ$2,0))</f>
        <v>24</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229</v>
      </c>
      <c r="C137" s="328" t="str">
        <f t="array" ref="C137">INDEX('アイテム'!$U$3:$V$114, MATCH($A$1,'アイテム'!$A$3:$A$114,0), MATCH(C125,'アイテム'!$C$2:$AQ$2,0))</f>
        <v>7</v>
      </c>
      <c r="D137" s="328">
        <f t="array" ref="D137">INDEX('アイテム'!$U$3:$V$114, MATCH($A$1,'アイテム'!$A$3:$A$114,0), MATCH(D125,'アイテム'!$C$2:$AQ$2,0))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233</v>
      </c>
      <c r="C138" s="328" t="str">
        <f t="array" ref="C138">INDEX('アイテム'!$W$3:$X$114, MATCH($A$1,'アイテム'!$A$3:$A$114,0), MATCH(C125,'アイテム'!$C$2:$AQ$2,0))</f>
        <v>8</v>
      </c>
      <c r="D138" s="328">
        <f t="array" ref="D138">INDEX('アイテム'!$W$3:$X$114, MATCH($A$1,'アイテム'!$A$3:$A$114,0), MATCH(D125,'アイテム'!$C$2:$AQ$2,0))</f>
        <v>23</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234</v>
      </c>
      <c r="C139" s="328" t="str">
        <f t="array" ref="C139">INDEX('アイテム'!$Y$3:$Z$114, MATCH($A$1,'アイテム'!$A$3:$A$114,0), MATCH(C125,'アイテム'!$C$2:$AQ$2,0))</f>
        <v>7</v>
      </c>
      <c r="D139" s="328">
        <f t="array" ref="D139">INDEX('アイテム'!$Y$3:$Z$114, MATCH($A$1,'アイテム'!$A$3:$A$114,0), MATCH(D125,'アイテム'!$C$2:$AQ$2,0))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265</v>
      </c>
      <c r="B140" s="327" t="s">
        <v>226</v>
      </c>
      <c r="C140" s="328">
        <f t="array" ref="C140">INDEX('アイテム'!$AC$3:$AD$114, MATCH($A$1,'アイテム'!$A$3:$A$114,0), MATCH(C125,'アイテム'!$C$2:$AQ$2,0))</f>
        <v>16</v>
      </c>
      <c r="D140" s="328" t="str">
        <f t="array" ref="D140">INDEX('アイテム'!$AC$3:$AD$114, MATCH($A$1,'アイテム'!$A$3:$A$114,0), MATCH(D125,'アイテム'!$C$2:$AQ$2,0))</f>
        <v>30</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f t="array" ref="C141">INDEX('アイテム'!$AE$3:$AF$114, MATCH($A$1,'アイテム'!$A$3:$A$114,0), MATCH(C125,'アイテム'!$C$2:$AQ$2,0))</f>
        <v>18</v>
      </c>
      <c r="D141" s="328" t="str">
        <f t="array" ref="D141">INDEX('アイテム'!$AE$3:$AF$114, MATCH($A$1,'アイテム'!$A$3:$A$114,0), MATCH(D125,'アイテム'!$C$2:$AQ$2,0))</f>
        <v>30</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f t="array" ref="C142">INDEX('アイテム'!$AG$3:$AH$114, MATCH($A$1,'アイテム'!$A$3:$A$114,0), MATCH(C125,'アイテム'!$C$2:$AQ$2,0))</f>
        <v>10</v>
      </c>
      <c r="D142" s="328" t="str">
        <f t="array" ref="D142">INDEX('アイテム'!$AG$3:$AH$114, MATCH($A$1,'アイテム'!$A$3:$A$114,0), MATCH(D125,'アイテム'!$C$2:$AQ$2,0))</f>
        <v>22</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234</v>
      </c>
      <c r="C143" s="328">
        <f t="array" ref="C143">INDEX('アイテム'!$AI$3:$AJ$114, MATCH($A$1,'アイテム'!$A$3:$A$114,0), MATCH(C125,'アイテム'!$C$2:$AQ$2,0))</f>
        <v>12</v>
      </c>
      <c r="D143" s="328" t="str">
        <f t="array" ref="D143">INDEX('アイテム'!$AI$3:$AJ$114, MATCH($A$1,'アイテム'!$A$3:$A$114,0), MATCH(D125,'アイテム'!$C$2:$AQ$2,0))</f>
        <v>22</v>
      </c>
      <c r="E143" s="322"/>
      <c r="F143" s="322"/>
      <c r="G143" s="114"/>
      <c r="H143" s="228"/>
      <c r="I143" s="228"/>
      <c r="J143" s="228"/>
      <c r="K143" s="118"/>
      <c r="L143" s="118"/>
      <c r="M143" s="118"/>
      <c r="N143" s="102"/>
      <c r="O143" s="102"/>
      <c r="P143" s="102"/>
      <c r="Q143" s="102"/>
      <c r="R143" s="118"/>
      <c r="S143" s="118"/>
      <c r="T143" s="118"/>
      <c r="U143" s="118"/>
      <c r="V143" s="118"/>
    </row>
  </sheetData>
  <mergeCells count="131">
    <mergeCell ref="R48:V48"/>
    <mergeCell ref="R49:V52"/>
    <mergeCell ref="A45:A47"/>
    <mergeCell ref="D45:D47"/>
    <mergeCell ref="I45:I47"/>
    <mergeCell ref="J45:J47"/>
    <mergeCell ref="R45:V47"/>
    <mergeCell ref="I49:I52"/>
    <mergeCell ref="J49:J52"/>
    <mergeCell ref="U59:U60"/>
    <mergeCell ref="V59:V60"/>
    <mergeCell ref="H55:J55"/>
    <mergeCell ref="H56:J56"/>
    <mergeCell ref="U56:U57"/>
    <mergeCell ref="V56:V57"/>
    <mergeCell ref="H57:J57"/>
    <mergeCell ref="H58:J58"/>
    <mergeCell ref="H59:J60"/>
    <mergeCell ref="K96:K97"/>
    <mergeCell ref="K98:L98"/>
    <mergeCell ref="K99:K104"/>
    <mergeCell ref="K105:K108"/>
    <mergeCell ref="K109:L109"/>
    <mergeCell ref="K111:K114"/>
    <mergeCell ref="K115:L115"/>
    <mergeCell ref="K118:L118"/>
    <mergeCell ref="H65:J68"/>
    <mergeCell ref="G76:J76"/>
    <mergeCell ref="G77:J78"/>
    <mergeCell ref="G79:J80"/>
    <mergeCell ref="G81:J82"/>
    <mergeCell ref="G83:J84"/>
    <mergeCell ref="K95:L95"/>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33:J33"/>
    <mergeCell ref="H34:J35"/>
    <mergeCell ref="U34:U35"/>
    <mergeCell ref="H36:J37"/>
    <mergeCell ref="U36:U37"/>
    <mergeCell ref="R40:V40"/>
    <mergeCell ref="R41:V43"/>
    <mergeCell ref="R44:V44"/>
    <mergeCell ref="H26:J26"/>
    <mergeCell ref="H27:J27"/>
    <mergeCell ref="H28:J29"/>
    <mergeCell ref="U28:U29"/>
    <mergeCell ref="H30:J30"/>
    <mergeCell ref="H31:J31"/>
    <mergeCell ref="H32:J32"/>
    <mergeCell ref="A36:A37"/>
    <mergeCell ref="A39:B40"/>
    <mergeCell ref="A41:A43"/>
    <mergeCell ref="D41:D43"/>
    <mergeCell ref="I41:I43"/>
    <mergeCell ref="J41:J43"/>
    <mergeCell ref="H61:J61"/>
    <mergeCell ref="H62:J63"/>
    <mergeCell ref="U62:U63"/>
    <mergeCell ref="V62:V63"/>
    <mergeCell ref="H64:J64"/>
    <mergeCell ref="U65:U68"/>
    <mergeCell ref="V65:V68"/>
    <mergeCell ref="A116:A122"/>
    <mergeCell ref="A124:B124"/>
    <mergeCell ref="A125:B125"/>
    <mergeCell ref="A126:A127"/>
    <mergeCell ref="A129:B129"/>
    <mergeCell ref="A130:A135"/>
    <mergeCell ref="A136:A139"/>
    <mergeCell ref="A140:A143"/>
    <mergeCell ref="A101:A103"/>
    <mergeCell ref="A104:A109"/>
    <mergeCell ref="C108:C109"/>
    <mergeCell ref="D108:D109"/>
    <mergeCell ref="A110:A115"/>
    <mergeCell ref="D114:D115"/>
    <mergeCell ref="D121:D122"/>
    <mergeCell ref="A24:B25"/>
    <mergeCell ref="A26:A27"/>
    <mergeCell ref="A28:A29"/>
    <mergeCell ref="D28:D29"/>
    <mergeCell ref="A34:A35"/>
    <mergeCell ref="D34:D35"/>
    <mergeCell ref="D36:D37"/>
    <mergeCell ref="A59:A60"/>
    <mergeCell ref="A62:A63"/>
    <mergeCell ref="A65:A66"/>
    <mergeCell ref="A49:A52"/>
    <mergeCell ref="D49:D52"/>
    <mergeCell ref="A54:B54"/>
    <mergeCell ref="A55:B55"/>
    <mergeCell ref="A56:A57"/>
    <mergeCell ref="A58:B58"/>
    <mergeCell ref="D62:D63"/>
    <mergeCell ref="D65:D66"/>
    <mergeCell ref="D77:D78"/>
    <mergeCell ref="D79:D80"/>
    <mergeCell ref="D81:D82"/>
    <mergeCell ref="D83:D84"/>
    <mergeCell ref="A61:B61"/>
    <mergeCell ref="A64:B64"/>
    <mergeCell ref="A70:B71"/>
    <mergeCell ref="A73:A75"/>
    <mergeCell ref="A76:B76"/>
    <mergeCell ref="A77:A78"/>
    <mergeCell ref="A79:A80"/>
    <mergeCell ref="A81:A82"/>
    <mergeCell ref="A83:A84"/>
    <mergeCell ref="A86:B87"/>
    <mergeCell ref="A88:A90"/>
    <mergeCell ref="A91:A92"/>
    <mergeCell ref="A94:B95"/>
    <mergeCell ref="A96:A100"/>
    <mergeCell ref="C114:C115"/>
    <mergeCell ref="C121:C122"/>
  </mergeCells>
  <conditionalFormatting sqref="K1:K15 K17:K55 K58:K59 K61:K82 K84:K119">
    <cfRule type="containsText" dxfId="0" priority="1" operator="containsText" text="361">
      <formula>NOT(ISERROR(SEARCH(("361"),(K1))))</formula>
    </cfRule>
  </conditionalFormatting>
  <conditionalFormatting sqref="K1:K15 K17:K55 K58:K59 K61:K82 K84:K119">
    <cfRule type="containsText" dxfId="1" priority="2" operator="containsText" text="363">
      <formula>NOT(ISERROR(SEARCH(("363"),(K1))))</formula>
    </cfRule>
  </conditionalFormatting>
  <conditionalFormatting sqref="K1:K15 K17:K55 K58:K59 K61:K82 K84:K119">
    <cfRule type="containsText" dxfId="1" priority="3" operator="containsText" text="365">
      <formula>NOT(ISERROR(SEARCH(("365"),(K1))))</formula>
    </cfRule>
  </conditionalFormatting>
  <conditionalFormatting sqref="K1:K15 K17:K55 K58:K59 K61:K82 K84:K119">
    <cfRule type="containsText" dxfId="1" priority="4" operator="containsText" text="366">
      <formula>NOT(ISERROR(SEARCH(("366"),(K1))))</formula>
    </cfRule>
  </conditionalFormatting>
  <conditionalFormatting sqref="K1:K15 K17:K55 K58:K59 K61:K82 K84:K119">
    <cfRule type="containsText" dxfId="1" priority="5" operator="containsText" text="367">
      <formula>NOT(ISERROR(SEARCH(("367"),(K1))))</formula>
    </cfRule>
  </conditionalFormatting>
  <conditionalFormatting sqref="K77:N77 P77:P82 K79:N79 K81:N81 P84">
    <cfRule type="cellIs" dxfId="2" priority="6" operator="equal">
      <formula>"敵のみ"</formula>
    </cfRule>
  </conditionalFormatting>
  <conditionalFormatting sqref="C78 C80 C82 C84">
    <cfRule type="cellIs" dxfId="3" priority="7" operator="equal">
      <formula>"-"</formula>
    </cfRule>
  </conditionalFormatting>
  <conditionalFormatting sqref="O1:O55 O58:O59 O61:O82 O84:O143">
    <cfRule type="cellIs" dxfId="4" priority="8" operator="greaterThan">
      <formula>0</formula>
    </cfRule>
  </conditionalFormatting>
  <conditionalFormatting sqref="P1:Q55 P58:Q59 P61:Q143 K77:N77 O77:O84 K79:N79 K81:N81">
    <cfRule type="cellIs" dxfId="5" priority="9" operator="lessThan">
      <formula>1</formula>
    </cfRule>
  </conditionalFormatting>
  <conditionalFormatting sqref="P1:Q55 P58:Q59 P61:Q143 K77:N77 O77:O84 K79:N79 K81:N81">
    <cfRule type="cellIs" dxfId="4" priority="10" operator="greaterThan">
      <formula>1</formula>
    </cfRule>
  </conditionalFormatting>
  <conditionalFormatting sqref="N25:N55 N58:N59 N61:N82 N84">
    <cfRule type="cellIs" dxfId="6" priority="11" operator="greaterThan">
      <formula>0</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C0C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627">
        <v>6.0</v>
      </c>
      <c r="B1" s="628"/>
      <c r="C1" s="629" t="str">
        <f>IMAGE(VLOOKUP($A$1,Fighters!A2:AI114,12,FALSE),1)</f>
        <v>#REF!</v>
      </c>
      <c r="D1" s="630"/>
      <c r="E1" s="630"/>
      <c r="F1" s="630"/>
      <c r="G1" s="631"/>
      <c r="H1" s="632"/>
      <c r="I1" s="630"/>
      <c r="J1" s="631"/>
      <c r="K1" s="633"/>
      <c r="L1" s="630"/>
      <c r="M1" s="631"/>
      <c r="N1" s="634"/>
      <c r="O1" s="634"/>
      <c r="P1" s="634"/>
      <c r="Q1" s="634"/>
      <c r="R1" s="635"/>
      <c r="S1" s="635"/>
      <c r="T1" s="635"/>
      <c r="U1" s="635"/>
      <c r="V1" s="635"/>
    </row>
    <row r="2">
      <c r="A2" s="636" t="str">
        <f>VLOOKUP($A$1,Fighters!$A$2:$AI$81,6,FALSE)</f>
        <v>#f2c0c4</v>
      </c>
      <c r="B2" s="628"/>
      <c r="C2" s="637"/>
      <c r="G2" s="638"/>
      <c r="H2" s="639"/>
      <c r="I2" s="640"/>
      <c r="J2" s="641"/>
      <c r="K2" s="639"/>
      <c r="L2" s="640"/>
      <c r="M2" s="641"/>
      <c r="N2" s="634"/>
      <c r="O2" s="634"/>
      <c r="P2" s="634"/>
      <c r="Q2" s="634"/>
      <c r="R2" s="635"/>
      <c r="S2" s="635"/>
      <c r="T2" s="635"/>
      <c r="U2" s="635"/>
      <c r="V2" s="635"/>
    </row>
    <row r="3">
      <c r="A3" s="636" t="str">
        <f>VLOOKUP($A$1,Fighters!$A$2:$AI$81,14,FALSE)</f>
        <v>6. カービィ</v>
      </c>
      <c r="B3" s="628"/>
      <c r="C3" s="637"/>
      <c r="G3" s="638"/>
      <c r="H3" s="642"/>
      <c r="I3" s="642"/>
      <c r="J3" s="642"/>
      <c r="K3" s="643"/>
      <c r="L3" s="643"/>
      <c r="M3" s="643"/>
      <c r="N3" s="634"/>
      <c r="O3" s="634"/>
      <c r="P3" s="634"/>
      <c r="Q3" s="634"/>
      <c r="R3" s="644"/>
      <c r="S3" s="635"/>
      <c r="T3" s="635"/>
      <c r="U3" s="635"/>
      <c r="V3" s="635"/>
    </row>
    <row r="4">
      <c r="A4" s="636" t="str">
        <f>VLOOKUP($A$1,Fighters!$A$2:$AI$81,13,FALSE)</f>
        <v>0</v>
      </c>
      <c r="B4" s="628"/>
      <c r="C4" s="637"/>
      <c r="G4" s="638"/>
      <c r="H4" s="645"/>
      <c r="I4" s="645"/>
      <c r="J4" s="642"/>
      <c r="K4" s="643"/>
      <c r="L4" s="643"/>
      <c r="M4" s="643"/>
      <c r="N4" s="634"/>
      <c r="O4" s="634"/>
      <c r="P4" s="634"/>
      <c r="Q4" s="634"/>
      <c r="R4" s="644"/>
      <c r="S4" s="635"/>
      <c r="T4" s="635"/>
      <c r="U4" s="635"/>
      <c r="V4" s="635"/>
    </row>
    <row r="5" ht="16.5" customHeight="1">
      <c r="A5" s="627"/>
      <c r="B5" s="628"/>
      <c r="C5" s="637"/>
      <c r="G5" s="638"/>
      <c r="H5" s="646"/>
      <c r="I5" s="646"/>
      <c r="J5" s="647"/>
      <c r="K5" s="648"/>
      <c r="L5" s="649"/>
      <c r="M5" s="649"/>
      <c r="N5" s="634"/>
      <c r="O5" s="634"/>
      <c r="P5" s="634"/>
      <c r="Q5" s="634"/>
      <c r="R5" s="644"/>
      <c r="S5" s="635"/>
      <c r="T5" s="635"/>
      <c r="U5" s="635"/>
      <c r="V5" s="635"/>
    </row>
    <row r="6">
      <c r="A6" s="628"/>
      <c r="B6" s="628"/>
      <c r="C6" s="637"/>
      <c r="G6" s="638"/>
      <c r="H6" s="645"/>
      <c r="I6" s="650" t="s">
        <v>39</v>
      </c>
      <c r="J6" s="648"/>
      <c r="K6" s="651"/>
      <c r="L6" s="649"/>
      <c r="M6" s="649"/>
      <c r="N6" s="634"/>
      <c r="O6" s="634"/>
      <c r="P6" s="634"/>
      <c r="Q6" s="634"/>
      <c r="R6" s="644"/>
      <c r="S6" s="635"/>
      <c r="T6" s="635"/>
      <c r="U6" s="635"/>
      <c r="V6" s="635"/>
    </row>
    <row r="7">
      <c r="A7" s="628"/>
      <c r="B7" s="628"/>
      <c r="C7" s="637"/>
      <c r="G7" s="638"/>
      <c r="H7" s="646"/>
      <c r="I7" s="646"/>
      <c r="J7" s="648"/>
      <c r="K7" s="651"/>
      <c r="L7" s="649"/>
      <c r="M7" s="649"/>
      <c r="N7" s="634"/>
      <c r="O7" s="634"/>
      <c r="P7" s="634"/>
      <c r="Q7" s="634"/>
      <c r="R7" s="644"/>
      <c r="S7" s="635"/>
      <c r="T7" s="635"/>
      <c r="U7" s="635"/>
      <c r="V7" s="635"/>
    </row>
    <row r="8">
      <c r="A8" s="628"/>
      <c r="B8" s="628"/>
      <c r="C8" s="637"/>
      <c r="G8" s="638"/>
      <c r="H8" s="652">
        <v>44379.84312605324</v>
      </c>
      <c r="I8" s="630"/>
      <c r="J8" s="631"/>
      <c r="K8" s="648"/>
      <c r="L8" s="649"/>
      <c r="M8" s="649"/>
      <c r="N8" s="634"/>
      <c r="O8" s="634"/>
      <c r="P8" s="634"/>
      <c r="Q8" s="634"/>
      <c r="R8" s="644"/>
      <c r="S8" s="635"/>
      <c r="T8" s="635"/>
      <c r="U8" s="635"/>
      <c r="V8" s="635"/>
    </row>
    <row r="9">
      <c r="A9" s="628"/>
      <c r="B9" s="628"/>
      <c r="C9" s="637"/>
      <c r="G9" s="638"/>
      <c r="H9" s="639"/>
      <c r="I9" s="640"/>
      <c r="J9" s="641"/>
      <c r="K9" s="635"/>
      <c r="L9" s="634"/>
      <c r="M9" s="634"/>
      <c r="N9" s="634"/>
      <c r="O9" s="634"/>
      <c r="P9" s="634"/>
      <c r="Q9" s="634"/>
      <c r="R9" s="644"/>
      <c r="S9" s="635"/>
      <c r="T9" s="635"/>
      <c r="U9" s="635"/>
      <c r="V9" s="635"/>
    </row>
    <row r="10">
      <c r="A10" s="653"/>
      <c r="B10" s="628"/>
      <c r="C10" s="637"/>
      <c r="G10" s="638"/>
      <c r="H10" s="654"/>
      <c r="I10" s="654"/>
      <c r="J10" s="635"/>
      <c r="K10" s="635"/>
      <c r="L10" s="634"/>
      <c r="M10" s="634"/>
      <c r="N10" s="634"/>
      <c r="O10" s="634"/>
      <c r="P10" s="634"/>
      <c r="Q10" s="634"/>
      <c r="R10" s="644"/>
      <c r="S10" s="635"/>
      <c r="T10" s="635"/>
      <c r="U10" s="635"/>
      <c r="V10" s="635"/>
    </row>
    <row r="11">
      <c r="A11" s="655"/>
      <c r="B11" s="628"/>
      <c r="C11" s="637"/>
      <c r="G11" s="638"/>
      <c r="H11" s="646"/>
      <c r="I11" s="646"/>
      <c r="J11" s="635"/>
      <c r="K11" s="635"/>
      <c r="L11" s="634"/>
      <c r="M11" s="634"/>
      <c r="N11" s="634"/>
      <c r="O11" s="634"/>
      <c r="P11" s="634"/>
      <c r="Q11" s="634"/>
      <c r="R11" s="644"/>
      <c r="S11" s="635"/>
      <c r="T11" s="635"/>
      <c r="U11" s="635"/>
      <c r="V11" s="635"/>
    </row>
    <row r="12">
      <c r="A12" s="646"/>
      <c r="B12" s="628"/>
      <c r="C12" s="639"/>
      <c r="D12" s="640"/>
      <c r="E12" s="640"/>
      <c r="F12" s="640"/>
      <c r="G12" s="641"/>
      <c r="H12" s="656"/>
      <c r="I12" s="656"/>
      <c r="J12" s="628"/>
      <c r="K12" s="628"/>
      <c r="L12" s="634"/>
      <c r="M12" s="634"/>
      <c r="N12" s="634"/>
      <c r="O12" s="634"/>
      <c r="P12" s="634"/>
      <c r="Q12" s="634"/>
      <c r="R12" s="644"/>
      <c r="S12" s="635"/>
      <c r="T12" s="635"/>
      <c r="U12" s="635"/>
      <c r="V12" s="635"/>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694</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79 [79th]</v>
      </c>
      <c r="G17" s="112" t="str">
        <f>'テンプレート'!G17</f>
        <v>小J滞空</v>
      </c>
      <c r="H17" s="113" t="s">
        <v>695</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 [46th]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0.977 [59th]</v>
      </c>
      <c r="G18" s="112" t="str">
        <f>'テンプレート'!G18</f>
        <v>大J滞空</v>
      </c>
      <c r="H18" s="113" t="s">
        <v>696</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0.14894 [46th]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25.37 [85th]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1.727 [42nd]</v>
      </c>
      <c r="G19" s="112" t="str">
        <f>'テンプレート'!G19</f>
        <v>小J急降下滞空</v>
      </c>
      <c r="H19" s="113" t="s">
        <v>697</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12.24 [83rd]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0.84 [85th]</v>
      </c>
      <c r="G20" s="112" t="str">
        <f>'テンプレート'!G20</f>
        <v>大J急降下滞空</v>
      </c>
      <c r="H20" s="113" t="s">
        <v>698</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0.095 [16th]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21.06 [87th]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1.23 [85th]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1.968 [85th]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0.064 [86th]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62" t="s">
        <v>176</v>
      </c>
      <c r="D26" s="162" t="s">
        <v>699</v>
      </c>
      <c r="E26" s="139" t="s">
        <v>700</v>
      </c>
      <c r="F26" s="138">
        <v>2.16</v>
      </c>
      <c r="G26" s="139" t="s">
        <v>60</v>
      </c>
      <c r="H26" s="449" t="s">
        <v>701</v>
      </c>
      <c r="I26" s="110"/>
      <c r="J26" s="109"/>
      <c r="K26" s="138"/>
      <c r="L26" s="282"/>
      <c r="M26" s="363"/>
      <c r="N26" s="363"/>
      <c r="O26" s="145">
        <v>0.0</v>
      </c>
      <c r="P26" s="145">
        <v>1.0</v>
      </c>
      <c r="Q26" s="145">
        <v>1.0</v>
      </c>
      <c r="R26" s="100"/>
      <c r="S26" s="100"/>
      <c r="T26" s="100"/>
      <c r="U26" s="145" t="s">
        <v>62</v>
      </c>
      <c r="V26" s="100"/>
    </row>
    <row r="27" outlineLevel="1">
      <c r="A27" s="146"/>
      <c r="B27" s="147" t="s">
        <v>63</v>
      </c>
      <c r="C27" s="216" t="s">
        <v>204</v>
      </c>
      <c r="D27" s="467" t="s">
        <v>386</v>
      </c>
      <c r="E27" s="216" t="s">
        <v>381</v>
      </c>
      <c r="F27" s="138">
        <v>1.92</v>
      </c>
      <c r="G27" s="139" t="s">
        <v>60</v>
      </c>
      <c r="H27" s="362" t="s">
        <v>702</v>
      </c>
      <c r="I27" s="110"/>
      <c r="J27" s="109"/>
      <c r="K27" s="282"/>
      <c r="L27" s="282"/>
      <c r="M27" s="363"/>
      <c r="N27" s="363"/>
      <c r="O27" s="145">
        <v>0.0</v>
      </c>
      <c r="P27" s="145">
        <v>1.0</v>
      </c>
      <c r="Q27" s="145">
        <v>1.0</v>
      </c>
      <c r="R27" s="100"/>
      <c r="S27" s="100"/>
      <c r="T27" s="100"/>
      <c r="U27" s="145" t="s">
        <v>69</v>
      </c>
      <c r="V27" s="100"/>
    </row>
    <row r="28" outlineLevel="1">
      <c r="A28" s="146"/>
      <c r="B28" s="147" t="s">
        <v>703</v>
      </c>
      <c r="C28" s="657"/>
      <c r="D28" s="467" t="s">
        <v>73</v>
      </c>
      <c r="E28" s="657"/>
      <c r="F28" s="658"/>
      <c r="G28" s="659"/>
      <c r="H28" s="173" t="s">
        <v>411</v>
      </c>
      <c r="I28" s="110"/>
      <c r="J28" s="109"/>
      <c r="K28" s="261"/>
      <c r="L28" s="261"/>
      <c r="M28" s="261"/>
      <c r="N28" s="261"/>
      <c r="O28" s="261"/>
      <c r="P28" s="261"/>
      <c r="Q28" s="261"/>
      <c r="R28" s="100"/>
      <c r="S28" s="100"/>
      <c r="T28" s="100"/>
      <c r="U28" s="145" t="s">
        <v>76</v>
      </c>
      <c r="V28" s="100"/>
    </row>
    <row r="29" outlineLevel="1">
      <c r="A29" s="146"/>
      <c r="B29" s="147" t="s">
        <v>704</v>
      </c>
      <c r="C29" s="216" t="s">
        <v>705</v>
      </c>
      <c r="D29" s="216" t="s">
        <v>394</v>
      </c>
      <c r="E29" s="216" t="s">
        <v>706</v>
      </c>
      <c r="F29" s="138">
        <v>0.24</v>
      </c>
      <c r="G29" s="450" t="s">
        <v>60</v>
      </c>
      <c r="H29" s="362" t="s">
        <v>707</v>
      </c>
      <c r="I29" s="110"/>
      <c r="J29" s="109"/>
      <c r="K29" s="282"/>
      <c r="L29" s="282"/>
      <c r="M29" s="363"/>
      <c r="N29" s="363"/>
      <c r="O29" s="145">
        <v>0.0</v>
      </c>
      <c r="P29" s="145">
        <v>1.0</v>
      </c>
      <c r="Q29" s="145">
        <v>1.0</v>
      </c>
      <c r="R29" s="100"/>
      <c r="S29" s="100"/>
      <c r="T29" s="100"/>
      <c r="U29" s="145" t="s">
        <v>76</v>
      </c>
      <c r="V29" s="100"/>
    </row>
    <row r="30" outlineLevel="1">
      <c r="A30" s="156"/>
      <c r="B30" s="147" t="s">
        <v>708</v>
      </c>
      <c r="C30" s="216" t="s">
        <v>71</v>
      </c>
      <c r="D30" s="216" t="s">
        <v>118</v>
      </c>
      <c r="E30" s="216" t="s">
        <v>204</v>
      </c>
      <c r="F30" s="138">
        <v>3.5999999999999996</v>
      </c>
      <c r="G30" s="467" t="s">
        <v>147</v>
      </c>
      <c r="H30" s="173"/>
      <c r="I30" s="110"/>
      <c r="J30" s="109"/>
      <c r="K30" s="282"/>
      <c r="L30" s="282"/>
      <c r="M30" s="363"/>
      <c r="N30" s="363"/>
      <c r="O30" s="145">
        <v>0.0</v>
      </c>
      <c r="P30" s="145">
        <v>1.0</v>
      </c>
      <c r="Q30" s="145">
        <v>1.0</v>
      </c>
      <c r="R30" s="100"/>
      <c r="S30" s="100"/>
      <c r="T30" s="100"/>
      <c r="U30" s="145"/>
      <c r="V30" s="100"/>
    </row>
    <row r="31" outlineLevel="1">
      <c r="A31" s="133" t="s">
        <v>77</v>
      </c>
      <c r="B31" s="160"/>
      <c r="C31" s="216" t="s">
        <v>709</v>
      </c>
      <c r="D31" s="379" t="s">
        <v>455</v>
      </c>
      <c r="E31" s="450" t="s">
        <v>129</v>
      </c>
      <c r="F31" s="138">
        <v>14.399999999999999</v>
      </c>
      <c r="G31" s="139" t="s">
        <v>88</v>
      </c>
      <c r="H31" s="175" t="s">
        <v>710</v>
      </c>
      <c r="I31" s="164"/>
      <c r="J31" s="104"/>
      <c r="K31" s="138"/>
      <c r="L31" s="282"/>
      <c r="M31" s="363"/>
      <c r="N31" s="363"/>
      <c r="O31" s="145">
        <v>0.0</v>
      </c>
      <c r="P31" s="145">
        <v>1.0</v>
      </c>
      <c r="Q31" s="145">
        <v>1.0</v>
      </c>
      <c r="R31" s="100"/>
      <c r="S31" s="100"/>
      <c r="T31" s="100"/>
      <c r="U31" s="166" t="s">
        <v>69</v>
      </c>
      <c r="V31" s="100"/>
    </row>
    <row r="32" outlineLevel="1">
      <c r="A32" s="146"/>
      <c r="B32" s="147" t="s">
        <v>187</v>
      </c>
      <c r="C32" s="216" t="s">
        <v>711</v>
      </c>
      <c r="D32" s="210"/>
      <c r="E32" s="450" t="s">
        <v>274</v>
      </c>
      <c r="F32" s="138">
        <v>10.799999999999999</v>
      </c>
      <c r="G32" s="139" t="s">
        <v>275</v>
      </c>
      <c r="H32" s="212"/>
      <c r="J32" s="210"/>
      <c r="K32" s="282"/>
      <c r="L32" s="282"/>
      <c r="M32" s="363"/>
      <c r="N32" s="363"/>
      <c r="O32" s="145">
        <v>0.0</v>
      </c>
      <c r="P32" s="145">
        <v>1.0</v>
      </c>
      <c r="Q32" s="145">
        <v>1.0</v>
      </c>
      <c r="R32" s="100"/>
      <c r="S32" s="100"/>
      <c r="T32" s="100"/>
      <c r="U32" s="146"/>
      <c r="V32" s="100"/>
    </row>
    <row r="33" outlineLevel="1">
      <c r="A33" s="156"/>
      <c r="B33" s="147" t="s">
        <v>189</v>
      </c>
      <c r="C33" s="216" t="s">
        <v>712</v>
      </c>
      <c r="D33" s="107"/>
      <c r="E33" s="450" t="s">
        <v>86</v>
      </c>
      <c r="F33" s="138">
        <v>7.199999999999999</v>
      </c>
      <c r="G33" s="139" t="s">
        <v>102</v>
      </c>
      <c r="H33" s="106"/>
      <c r="I33" s="168"/>
      <c r="J33" s="107"/>
      <c r="K33" s="282"/>
      <c r="L33" s="282"/>
      <c r="M33" s="363"/>
      <c r="N33" s="363"/>
      <c r="O33" s="145">
        <v>0.0</v>
      </c>
      <c r="P33" s="145">
        <v>1.0</v>
      </c>
      <c r="Q33" s="145">
        <v>1.0</v>
      </c>
      <c r="R33" s="100"/>
      <c r="S33" s="100"/>
      <c r="T33" s="100"/>
      <c r="U33" s="156"/>
      <c r="V33" s="100"/>
    </row>
    <row r="34" outlineLevel="1">
      <c r="A34" s="170" t="s">
        <v>89</v>
      </c>
      <c r="B34" s="147" t="s">
        <v>90</v>
      </c>
      <c r="C34" s="467" t="s">
        <v>713</v>
      </c>
      <c r="D34" s="450" t="s">
        <v>173</v>
      </c>
      <c r="E34" s="467" t="s">
        <v>714</v>
      </c>
      <c r="F34" s="138" t="s">
        <v>715</v>
      </c>
      <c r="G34" s="139" t="s">
        <v>716</v>
      </c>
      <c r="H34" s="173"/>
      <c r="I34" s="110"/>
      <c r="J34" s="109"/>
      <c r="K34" s="138"/>
      <c r="L34" s="282"/>
      <c r="M34" s="363"/>
      <c r="N34" s="363"/>
      <c r="O34" s="145">
        <v>0.0</v>
      </c>
      <c r="P34" s="145">
        <v>1.0</v>
      </c>
      <c r="Q34" s="145">
        <v>1.0</v>
      </c>
      <c r="R34" s="100"/>
      <c r="S34" s="100"/>
      <c r="T34" s="100"/>
      <c r="U34" s="145" t="s">
        <v>62</v>
      </c>
      <c r="V34" s="100"/>
    </row>
    <row r="35" outlineLevel="1">
      <c r="A35" s="133" t="s">
        <v>97</v>
      </c>
      <c r="B35" s="160"/>
      <c r="C35" s="467" t="s">
        <v>717</v>
      </c>
      <c r="D35" s="195" t="s">
        <v>718</v>
      </c>
      <c r="E35" s="216" t="s">
        <v>150</v>
      </c>
      <c r="F35" s="138">
        <v>6.0</v>
      </c>
      <c r="G35" s="139" t="s">
        <v>102</v>
      </c>
      <c r="H35" s="395" t="s">
        <v>719</v>
      </c>
      <c r="I35" s="164"/>
      <c r="J35" s="104"/>
      <c r="K35" s="282"/>
      <c r="L35" s="282"/>
      <c r="M35" s="363"/>
      <c r="N35" s="363"/>
      <c r="O35" s="145">
        <v>0.0</v>
      </c>
      <c r="P35" s="145">
        <v>1.0</v>
      </c>
      <c r="Q35" s="145">
        <v>1.0</v>
      </c>
      <c r="R35" s="100"/>
      <c r="S35" s="100"/>
      <c r="T35" s="100"/>
      <c r="U35" s="166" t="s">
        <v>62</v>
      </c>
      <c r="V35" s="100"/>
    </row>
    <row r="36" outlineLevel="1">
      <c r="A36" s="156"/>
      <c r="B36" s="147" t="s">
        <v>84</v>
      </c>
      <c r="C36" s="216" t="s">
        <v>322</v>
      </c>
      <c r="D36" s="107"/>
      <c r="E36" s="216" t="s">
        <v>73</v>
      </c>
      <c r="F36" s="138">
        <v>4.8</v>
      </c>
      <c r="G36" s="139" t="s">
        <v>75</v>
      </c>
      <c r="H36" s="106"/>
      <c r="I36" s="168"/>
      <c r="J36" s="107"/>
      <c r="K36" s="145"/>
      <c r="L36" s="363"/>
      <c r="M36" s="363"/>
      <c r="N36" s="363"/>
      <c r="O36" s="145">
        <v>0.0</v>
      </c>
      <c r="P36" s="145">
        <v>1.0</v>
      </c>
      <c r="Q36" s="145">
        <v>1.0</v>
      </c>
      <c r="R36" s="100"/>
      <c r="S36" s="100"/>
      <c r="T36" s="100"/>
      <c r="U36" s="156"/>
      <c r="V36" s="100"/>
    </row>
    <row r="37" outlineLevel="1">
      <c r="A37" s="170" t="s">
        <v>103</v>
      </c>
      <c r="B37" s="160"/>
      <c r="C37" s="467" t="s">
        <v>270</v>
      </c>
      <c r="D37" s="216" t="s">
        <v>718</v>
      </c>
      <c r="E37" s="216" t="s">
        <v>86</v>
      </c>
      <c r="F37" s="138">
        <v>7.199999999999999</v>
      </c>
      <c r="G37" s="139" t="s">
        <v>102</v>
      </c>
      <c r="H37" s="362" t="s">
        <v>720</v>
      </c>
      <c r="I37" s="110"/>
      <c r="J37" s="109"/>
      <c r="K37" s="145"/>
      <c r="L37" s="363"/>
      <c r="M37" s="363"/>
      <c r="N37" s="363"/>
      <c r="O37" s="145">
        <v>0.0</v>
      </c>
      <c r="P37" s="145">
        <v>1.0</v>
      </c>
      <c r="Q37" s="145">
        <v>1.0</v>
      </c>
      <c r="R37" s="100"/>
      <c r="S37" s="100"/>
      <c r="T37" s="100"/>
      <c r="U37" s="145" t="s">
        <v>62</v>
      </c>
      <c r="V37" s="100"/>
    </row>
    <row r="38" outlineLevel="1">
      <c r="A38" s="133" t="s">
        <v>109</v>
      </c>
      <c r="B38" s="147" t="s">
        <v>90</v>
      </c>
      <c r="C38" s="467" t="s">
        <v>721</v>
      </c>
      <c r="D38" s="195" t="s">
        <v>111</v>
      </c>
      <c r="E38" s="216" t="s">
        <v>386</v>
      </c>
      <c r="F38" s="138">
        <v>18.0</v>
      </c>
      <c r="G38" s="139" t="s">
        <v>121</v>
      </c>
      <c r="H38" s="395" t="s">
        <v>442</v>
      </c>
      <c r="I38" s="164"/>
      <c r="J38" s="104"/>
      <c r="K38" s="282"/>
      <c r="L38" s="282"/>
      <c r="M38" s="363"/>
      <c r="N38" s="363"/>
      <c r="O38" s="145">
        <v>0.0</v>
      </c>
      <c r="P38" s="145">
        <v>1.0</v>
      </c>
      <c r="Q38" s="145">
        <v>1.0</v>
      </c>
      <c r="R38" s="100"/>
      <c r="S38" s="100"/>
      <c r="T38" s="100"/>
      <c r="U38" s="166" t="s">
        <v>102</v>
      </c>
      <c r="V38" s="100"/>
    </row>
    <row r="39" outlineLevel="1">
      <c r="A39" s="156"/>
      <c r="B39" s="147" t="s">
        <v>722</v>
      </c>
      <c r="C39" s="467" t="s">
        <v>409</v>
      </c>
      <c r="D39" s="107"/>
      <c r="E39" s="216" t="s">
        <v>232</v>
      </c>
      <c r="F39" s="138">
        <v>13.2</v>
      </c>
      <c r="G39" s="139" t="s">
        <v>123</v>
      </c>
      <c r="H39" s="106"/>
      <c r="I39" s="168"/>
      <c r="J39" s="107"/>
      <c r="K39" s="282"/>
      <c r="L39" s="282"/>
      <c r="M39" s="363"/>
      <c r="N39" s="363"/>
      <c r="O39" s="145">
        <v>0.0</v>
      </c>
      <c r="P39" s="145">
        <v>1.0</v>
      </c>
      <c r="Q39" s="145">
        <v>1.0</v>
      </c>
      <c r="R39" s="100"/>
      <c r="S39" s="100"/>
      <c r="T39" s="100"/>
      <c r="U39" s="156"/>
      <c r="V39" s="100"/>
    </row>
    <row r="40" outlineLevel="1">
      <c r="A40" s="133" t="s">
        <v>116</v>
      </c>
      <c r="B40" s="160"/>
      <c r="C40" s="450" t="s">
        <v>383</v>
      </c>
      <c r="D40" s="195" t="s">
        <v>146</v>
      </c>
      <c r="E40" s="216" t="s">
        <v>723</v>
      </c>
      <c r="F40" s="138" t="s">
        <v>724</v>
      </c>
      <c r="G40" s="139" t="s">
        <v>725</v>
      </c>
      <c r="H40" s="395" t="s">
        <v>726</v>
      </c>
      <c r="I40" s="164"/>
      <c r="J40" s="104"/>
      <c r="K40" s="363"/>
      <c r="L40" s="363"/>
      <c r="M40" s="363"/>
      <c r="N40" s="363"/>
      <c r="O40" s="145">
        <v>0.0</v>
      </c>
      <c r="P40" s="145">
        <v>1.0</v>
      </c>
      <c r="Q40" s="145">
        <v>1.0</v>
      </c>
      <c r="R40" s="100"/>
      <c r="S40" s="100"/>
      <c r="T40" s="100"/>
      <c r="U40" s="166" t="s">
        <v>62</v>
      </c>
      <c r="V40" s="100"/>
    </row>
    <row r="41" outlineLevel="1">
      <c r="A41" s="146"/>
      <c r="B41" s="147" t="s">
        <v>187</v>
      </c>
      <c r="C41" s="450" t="s">
        <v>561</v>
      </c>
      <c r="D41" s="210"/>
      <c r="E41" s="216" t="s">
        <v>727</v>
      </c>
      <c r="F41" s="138" t="s">
        <v>728</v>
      </c>
      <c r="G41" s="139" t="s">
        <v>729</v>
      </c>
      <c r="H41" s="212"/>
      <c r="J41" s="210"/>
      <c r="K41" s="363"/>
      <c r="L41" s="363"/>
      <c r="M41" s="363"/>
      <c r="N41" s="363"/>
      <c r="O41" s="145">
        <v>0.0</v>
      </c>
      <c r="P41" s="145">
        <v>1.0</v>
      </c>
      <c r="Q41" s="145">
        <v>1.0</v>
      </c>
      <c r="R41" s="100"/>
      <c r="S41" s="100"/>
      <c r="T41" s="100"/>
      <c r="U41" s="146"/>
      <c r="V41" s="100"/>
    </row>
    <row r="42" outlineLevel="1">
      <c r="A42" s="156"/>
      <c r="B42" s="147" t="s">
        <v>189</v>
      </c>
      <c r="C42" s="450" t="s">
        <v>394</v>
      </c>
      <c r="D42" s="107"/>
      <c r="E42" s="216" t="s">
        <v>730</v>
      </c>
      <c r="F42" s="138" t="s">
        <v>731</v>
      </c>
      <c r="G42" s="139" t="s">
        <v>732</v>
      </c>
      <c r="H42" s="106"/>
      <c r="I42" s="168"/>
      <c r="J42" s="107"/>
      <c r="K42" s="363"/>
      <c r="L42" s="363"/>
      <c r="M42" s="363"/>
      <c r="N42" s="363"/>
      <c r="O42" s="145">
        <v>0.0</v>
      </c>
      <c r="P42" s="145">
        <v>1.0</v>
      </c>
      <c r="Q42" s="145">
        <v>1.0</v>
      </c>
      <c r="R42" s="100"/>
      <c r="S42" s="100"/>
      <c r="T42" s="100"/>
      <c r="U42" s="156"/>
      <c r="V42" s="100"/>
    </row>
    <row r="43" outlineLevel="1">
      <c r="A43" s="133" t="s">
        <v>124</v>
      </c>
      <c r="B43" s="160"/>
      <c r="C43" s="450" t="s">
        <v>733</v>
      </c>
      <c r="D43" s="379" t="s">
        <v>413</v>
      </c>
      <c r="E43" s="216" t="s">
        <v>119</v>
      </c>
      <c r="F43" s="138">
        <v>16.8</v>
      </c>
      <c r="G43" s="139" t="s">
        <v>121</v>
      </c>
      <c r="H43" s="660" t="s">
        <v>734</v>
      </c>
      <c r="I43" s="164"/>
      <c r="J43" s="104"/>
      <c r="K43" s="282"/>
      <c r="L43" s="282"/>
      <c r="M43" s="363"/>
      <c r="N43" s="363"/>
      <c r="O43" s="145">
        <v>0.0</v>
      </c>
      <c r="P43" s="145">
        <v>1.0</v>
      </c>
      <c r="Q43" s="145">
        <v>1.0</v>
      </c>
      <c r="R43" s="100"/>
      <c r="S43" s="100"/>
      <c r="T43" s="100"/>
      <c r="U43" s="166" t="s">
        <v>62</v>
      </c>
      <c r="V43" s="100"/>
    </row>
    <row r="44" outlineLevel="1">
      <c r="A44" s="156"/>
      <c r="B44" s="147" t="s">
        <v>84</v>
      </c>
      <c r="C44" s="450" t="s">
        <v>735</v>
      </c>
      <c r="D44" s="107"/>
      <c r="E44" s="216" t="s">
        <v>128</v>
      </c>
      <c r="F44" s="138">
        <v>12.0</v>
      </c>
      <c r="G44" s="139" t="s">
        <v>95</v>
      </c>
      <c r="H44" s="106"/>
      <c r="I44" s="168"/>
      <c r="J44" s="107"/>
      <c r="K44" s="282"/>
      <c r="L44" s="282"/>
      <c r="M44" s="363"/>
      <c r="N44" s="363"/>
      <c r="O44" s="145">
        <v>0.0</v>
      </c>
      <c r="P44" s="145">
        <v>1.0</v>
      </c>
      <c r="Q44" s="145">
        <v>1.0</v>
      </c>
      <c r="R44" s="100"/>
      <c r="S44" s="100"/>
      <c r="T44" s="100"/>
      <c r="U44" s="156"/>
      <c r="V44" s="100"/>
    </row>
    <row r="45">
      <c r="A45" s="118"/>
      <c r="B45" s="176"/>
      <c r="C45" s="118"/>
      <c r="D45" s="118"/>
      <c r="E45" s="118"/>
      <c r="F45" s="177"/>
      <c r="G45" s="177"/>
      <c r="H45" s="118"/>
      <c r="I45" s="118"/>
      <c r="J45" s="118"/>
      <c r="K45" s="118"/>
      <c r="L45" s="118"/>
      <c r="M45" s="118"/>
      <c r="N45" s="118"/>
      <c r="O45" s="118"/>
      <c r="P45" s="118"/>
      <c r="Q45" s="118"/>
      <c r="R45" s="118"/>
      <c r="S45" s="118"/>
      <c r="T45" s="118"/>
      <c r="U45" s="118"/>
      <c r="V45" s="118"/>
    </row>
    <row r="46">
      <c r="A46" s="178" t="s">
        <v>133</v>
      </c>
      <c r="B46" s="104"/>
      <c r="C46" s="179"/>
      <c r="D46" s="179"/>
      <c r="E46" s="179"/>
      <c r="F46" s="180"/>
      <c r="G46" s="179"/>
      <c r="H46" s="180"/>
      <c r="I46" s="180"/>
      <c r="J46" s="181"/>
      <c r="K46" s="180"/>
      <c r="L46" s="180"/>
      <c r="M46" s="180"/>
      <c r="N46" s="180"/>
      <c r="O46" s="180"/>
      <c r="P46" s="180"/>
      <c r="Q46" s="180"/>
      <c r="R46" s="180"/>
      <c r="S46" s="180"/>
      <c r="T46" s="180"/>
      <c r="U46" s="180"/>
      <c r="V46" s="180"/>
    </row>
    <row r="47" outlineLevel="1">
      <c r="A47" s="106"/>
      <c r="B47" s="107"/>
      <c r="C47" s="182" t="s">
        <v>48</v>
      </c>
      <c r="D47" s="183" t="s">
        <v>49</v>
      </c>
      <c r="E47" s="182" t="s">
        <v>50</v>
      </c>
      <c r="F47" s="184" t="s">
        <v>51</v>
      </c>
      <c r="G47" s="184" t="s">
        <v>134</v>
      </c>
      <c r="H47" s="185" t="s">
        <v>52</v>
      </c>
      <c r="I47" s="184" t="str">
        <f>'テンプレート'!I56</f>
        <v>着地隙</v>
      </c>
      <c r="J47" s="184" t="s">
        <v>136</v>
      </c>
      <c r="K47" s="184" t="str">
        <f>'テンプレート'!K56</f>
        <v>ベクトル</v>
      </c>
      <c r="L47" s="184" t="str">
        <f>'テンプレート'!L56</f>
        <v>KBG (R.E.)</v>
      </c>
      <c r="M47" s="184" t="str">
        <f>'テンプレート'!M56</f>
        <v>BKB (R.A.)</v>
      </c>
      <c r="N47" s="184" t="str">
        <f>'テンプレート'!N56</f>
        <v>FKB (R.F.)</v>
      </c>
      <c r="O47" s="186" t="str">
        <f>'テンプレート'!O56</f>
        <v>盾削り値</v>
      </c>
      <c r="P47" s="184" t="str">
        <f>'テンプレート'!P56</f>
        <v>ﾋｯﾄｽﾄｯﾌﾟ</v>
      </c>
      <c r="Q47" s="186" t="str">
        <f>'テンプレート'!Q56</f>
        <v>ずらし</v>
      </c>
      <c r="R47" s="187" t="str">
        <f>'テンプレート'!R56</f>
        <v>備考</v>
      </c>
      <c r="S47" s="110"/>
      <c r="T47" s="110"/>
      <c r="U47" s="110"/>
      <c r="V47" s="110"/>
    </row>
    <row r="48" outlineLevel="1">
      <c r="A48" s="188" t="s">
        <v>144</v>
      </c>
      <c r="B48" s="373"/>
      <c r="C48" s="365" t="s">
        <v>518</v>
      </c>
      <c r="D48" s="379" t="s">
        <v>289</v>
      </c>
      <c r="E48" s="401" t="s">
        <v>128</v>
      </c>
      <c r="F48" s="193">
        <v>12.0</v>
      </c>
      <c r="G48" s="193">
        <v>10.2</v>
      </c>
      <c r="H48" s="138" t="s">
        <v>147</v>
      </c>
      <c r="I48" s="454" t="str">
        <f t="array" ref="I48">INDEX('空中攻撃'!$O$3:$AA$109, MATCH($A$1,'空中攻撃'!$A$3:$A$109,0), MATCH(A48,'空中攻撃'!$O$2:$S$2,0))</f>
        <v>6</v>
      </c>
      <c r="J48" s="379" t="s">
        <v>736</v>
      </c>
      <c r="K48" s="138"/>
      <c r="L48" s="282"/>
      <c r="M48" s="363"/>
      <c r="N48" s="363"/>
      <c r="O48" s="145">
        <v>0.0</v>
      </c>
      <c r="P48" s="145">
        <v>1.0</v>
      </c>
      <c r="Q48" s="145">
        <v>1.0</v>
      </c>
      <c r="R48" s="661"/>
      <c r="S48" s="164"/>
      <c r="T48" s="164"/>
      <c r="U48" s="164"/>
      <c r="V48" s="104"/>
    </row>
    <row r="49" outlineLevel="1">
      <c r="A49" s="146"/>
      <c r="B49" s="373" t="s">
        <v>187</v>
      </c>
      <c r="C49" s="365" t="s">
        <v>309</v>
      </c>
      <c r="D49" s="210"/>
      <c r="E49" s="401" t="s">
        <v>80</v>
      </c>
      <c r="F49" s="193">
        <v>9.6</v>
      </c>
      <c r="G49" s="193">
        <v>8.16</v>
      </c>
      <c r="H49" s="138" t="s">
        <v>147</v>
      </c>
      <c r="I49" s="146"/>
      <c r="J49" s="210"/>
      <c r="K49" s="138"/>
      <c r="L49" s="282"/>
      <c r="M49" s="363"/>
      <c r="N49" s="363"/>
      <c r="O49" s="145">
        <v>0.0</v>
      </c>
      <c r="P49" s="145">
        <v>1.0</v>
      </c>
      <c r="Q49" s="145">
        <v>1.0</v>
      </c>
      <c r="R49" s="212"/>
      <c r="V49" s="210"/>
    </row>
    <row r="50" outlineLevel="1">
      <c r="A50" s="146"/>
      <c r="B50" s="373" t="s">
        <v>189</v>
      </c>
      <c r="C50" s="365" t="s">
        <v>544</v>
      </c>
      <c r="D50" s="210"/>
      <c r="E50" s="401" t="s">
        <v>86</v>
      </c>
      <c r="F50" s="193">
        <v>7.199999999999999</v>
      </c>
      <c r="G50" s="193">
        <v>6.12</v>
      </c>
      <c r="H50" s="138" t="s">
        <v>60</v>
      </c>
      <c r="I50" s="146"/>
      <c r="J50" s="210"/>
      <c r="K50" s="138"/>
      <c r="L50" s="282"/>
      <c r="M50" s="363"/>
      <c r="N50" s="363"/>
      <c r="O50" s="145">
        <v>0.0</v>
      </c>
      <c r="P50" s="145">
        <v>1.0</v>
      </c>
      <c r="Q50" s="145">
        <v>1.0</v>
      </c>
      <c r="R50" s="212"/>
      <c r="V50" s="210"/>
    </row>
    <row r="51" outlineLevel="1">
      <c r="A51" s="156"/>
      <c r="B51" s="373" t="s">
        <v>513</v>
      </c>
      <c r="C51" s="365" t="s">
        <v>737</v>
      </c>
      <c r="D51" s="107"/>
      <c r="E51" s="239" t="s">
        <v>73</v>
      </c>
      <c r="F51" s="193">
        <v>4.8</v>
      </c>
      <c r="G51" s="193">
        <v>4.08</v>
      </c>
      <c r="H51" s="138" t="s">
        <v>60</v>
      </c>
      <c r="I51" s="156"/>
      <c r="J51" s="107"/>
      <c r="K51" s="138"/>
      <c r="L51" s="282"/>
      <c r="M51" s="363"/>
      <c r="N51" s="363"/>
      <c r="O51" s="145">
        <v>0.0</v>
      </c>
      <c r="P51" s="145">
        <v>1.0</v>
      </c>
      <c r="Q51" s="145">
        <v>1.0</v>
      </c>
      <c r="R51" s="106"/>
      <c r="S51" s="168"/>
      <c r="T51" s="168"/>
      <c r="U51" s="168"/>
      <c r="V51" s="107"/>
    </row>
    <row r="52" outlineLevel="1">
      <c r="A52" s="188" t="s">
        <v>151</v>
      </c>
      <c r="B52" s="373" t="s">
        <v>125</v>
      </c>
      <c r="C52" s="239" t="s">
        <v>223</v>
      </c>
      <c r="D52" s="452">
        <v>47.0</v>
      </c>
      <c r="E52" s="239" t="s">
        <v>73</v>
      </c>
      <c r="F52" s="193">
        <v>4.8</v>
      </c>
      <c r="G52" s="193">
        <v>4.08</v>
      </c>
      <c r="H52" s="138" t="s">
        <v>60</v>
      </c>
      <c r="I52" s="454" t="str">
        <f t="array" ref="I52">INDEX('空中攻撃'!$O$3:$AA$109, MATCH($A$1,'空中攻撃'!$A$3:$A$109,0), MATCH(A52,'空中攻撃'!$O$2:$S$2,0))</f>
        <v>8</v>
      </c>
      <c r="J52" s="455" t="s">
        <v>738</v>
      </c>
      <c r="K52" s="138"/>
      <c r="L52" s="282"/>
      <c r="M52" s="363"/>
      <c r="N52" s="363"/>
      <c r="O52" s="145">
        <v>0.0</v>
      </c>
      <c r="P52" s="145">
        <v>1.0</v>
      </c>
      <c r="Q52" s="145">
        <v>1.0</v>
      </c>
      <c r="R52" s="661"/>
      <c r="S52" s="164"/>
      <c r="T52" s="164"/>
      <c r="U52" s="164"/>
      <c r="V52" s="104"/>
    </row>
    <row r="53" outlineLevel="1">
      <c r="A53" s="146"/>
      <c r="B53" s="373" t="s">
        <v>131</v>
      </c>
      <c r="C53" s="239" t="s">
        <v>203</v>
      </c>
      <c r="D53" s="210"/>
      <c r="E53" s="365" t="s">
        <v>73</v>
      </c>
      <c r="F53" s="193">
        <v>4.8</v>
      </c>
      <c r="G53" s="193">
        <v>4.08</v>
      </c>
      <c r="H53" s="138" t="s">
        <v>60</v>
      </c>
      <c r="I53" s="146"/>
      <c r="J53" s="210"/>
      <c r="K53" s="138"/>
      <c r="L53" s="282"/>
      <c r="M53" s="363"/>
      <c r="N53" s="363"/>
      <c r="O53" s="145">
        <v>0.0</v>
      </c>
      <c r="P53" s="145">
        <v>1.0</v>
      </c>
      <c r="Q53" s="145">
        <v>1.0</v>
      </c>
      <c r="R53" s="212"/>
      <c r="V53" s="210"/>
    </row>
    <row r="54" outlineLevel="1">
      <c r="A54" s="156"/>
      <c r="B54" s="373" t="s">
        <v>434</v>
      </c>
      <c r="C54" s="239" t="s">
        <v>739</v>
      </c>
      <c r="D54" s="107"/>
      <c r="E54" s="365" t="s">
        <v>86</v>
      </c>
      <c r="F54" s="193">
        <v>7.199999999999999</v>
      </c>
      <c r="G54" s="193">
        <v>6.119999999999999</v>
      </c>
      <c r="H54" s="138" t="s">
        <v>60</v>
      </c>
      <c r="I54" s="156"/>
      <c r="J54" s="107"/>
      <c r="K54" s="138"/>
      <c r="L54" s="282"/>
      <c r="M54" s="363"/>
      <c r="N54" s="363"/>
      <c r="O54" s="145">
        <v>0.0</v>
      </c>
      <c r="P54" s="145">
        <v>1.0</v>
      </c>
      <c r="Q54" s="145">
        <v>1.0</v>
      </c>
      <c r="R54" s="106"/>
      <c r="S54" s="168"/>
      <c r="T54" s="168"/>
      <c r="U54" s="168"/>
      <c r="V54" s="107"/>
    </row>
    <row r="55" outlineLevel="1">
      <c r="A55" s="188" t="s">
        <v>157</v>
      </c>
      <c r="B55" s="373"/>
      <c r="C55" s="239" t="s">
        <v>549</v>
      </c>
      <c r="D55" s="452">
        <v>40.0</v>
      </c>
      <c r="E55" s="239" t="s">
        <v>228</v>
      </c>
      <c r="F55" s="193">
        <v>15.6</v>
      </c>
      <c r="G55" s="193">
        <v>13.26</v>
      </c>
      <c r="H55" s="138" t="s">
        <v>75</v>
      </c>
      <c r="I55" s="454">
        <f t="array" ref="I55">INDEX('空中攻撃'!$O$3:$AA$109, MATCH($A$1,'空中攻撃'!$A$3:$A$109,0), MATCH(A55,'空中攻撃'!$O$2:$S$2,0))</f>
        <v>10</v>
      </c>
      <c r="J55" s="455" t="s">
        <v>740</v>
      </c>
      <c r="K55" s="138"/>
      <c r="L55" s="282"/>
      <c r="M55" s="363"/>
      <c r="N55" s="363"/>
      <c r="O55" s="145">
        <v>0.0</v>
      </c>
      <c r="P55" s="145">
        <v>1.0</v>
      </c>
      <c r="Q55" s="145">
        <v>1.0</v>
      </c>
      <c r="R55" s="661"/>
      <c r="S55" s="164"/>
      <c r="T55" s="164"/>
      <c r="U55" s="164"/>
      <c r="V55" s="104"/>
    </row>
    <row r="56" outlineLevel="1">
      <c r="A56" s="156"/>
      <c r="B56" s="373" t="s">
        <v>84</v>
      </c>
      <c r="C56" s="239" t="s">
        <v>272</v>
      </c>
      <c r="D56" s="107"/>
      <c r="E56" s="239" t="s">
        <v>80</v>
      </c>
      <c r="F56" s="193">
        <v>9.6</v>
      </c>
      <c r="G56" s="193">
        <v>8.16</v>
      </c>
      <c r="H56" s="138" t="s">
        <v>147</v>
      </c>
      <c r="I56" s="156"/>
      <c r="J56" s="107"/>
      <c r="K56" s="138"/>
      <c r="L56" s="282"/>
      <c r="M56" s="363"/>
      <c r="N56" s="363"/>
      <c r="O56" s="145">
        <v>0.0</v>
      </c>
      <c r="P56" s="145">
        <v>1.0</v>
      </c>
      <c r="Q56" s="145">
        <v>1.0</v>
      </c>
      <c r="R56" s="106"/>
      <c r="S56" s="168"/>
      <c r="T56" s="168"/>
      <c r="U56" s="168"/>
      <c r="V56" s="107"/>
    </row>
    <row r="57" outlineLevel="1">
      <c r="A57" s="213" t="s">
        <v>162</v>
      </c>
      <c r="B57" s="373"/>
      <c r="C57" s="365" t="s">
        <v>741</v>
      </c>
      <c r="D57" s="450" t="s">
        <v>79</v>
      </c>
      <c r="E57" s="365" t="s">
        <v>128</v>
      </c>
      <c r="F57" s="193">
        <v>12.0</v>
      </c>
      <c r="G57" s="193">
        <v>10.2</v>
      </c>
      <c r="H57" s="138" t="s">
        <v>147</v>
      </c>
      <c r="I57" s="621" t="str">
        <f t="array" ref="I57">INDEX('空中攻撃'!$O$3:$AA$109, MATCH($A$1,'空中攻撃'!$A$3:$A$109,0), MATCH(A57,'空中攻撃'!$O$2:$S$2,0))</f>
        <v>7</v>
      </c>
      <c r="J57" s="450" t="s">
        <v>742</v>
      </c>
      <c r="K57" s="282"/>
      <c r="L57" s="282"/>
      <c r="M57" s="363"/>
      <c r="N57" s="363"/>
      <c r="O57" s="145">
        <v>0.0</v>
      </c>
      <c r="P57" s="145">
        <v>1.0</v>
      </c>
      <c r="Q57" s="145">
        <v>1.0</v>
      </c>
      <c r="R57" s="662"/>
      <c r="S57" s="110"/>
      <c r="T57" s="110"/>
      <c r="U57" s="110"/>
      <c r="V57" s="109"/>
    </row>
    <row r="58" outlineLevel="1">
      <c r="A58" s="188" t="s">
        <v>166</v>
      </c>
      <c r="B58" s="373" t="s">
        <v>167</v>
      </c>
      <c r="C58" s="239" t="s">
        <v>743</v>
      </c>
      <c r="D58" s="452">
        <v>54.0</v>
      </c>
      <c r="E58" s="239" t="s">
        <v>214</v>
      </c>
      <c r="F58" s="193">
        <v>1.56</v>
      </c>
      <c r="G58" s="193">
        <v>1.326</v>
      </c>
      <c r="H58" s="138" t="s">
        <v>170</v>
      </c>
      <c r="I58" s="454">
        <f t="array" ref="I58">INDEX('空中攻撃'!$O$3:$AA$109, MATCH($A$1,'空中攻撃'!$A$3:$A$109,0), MATCH(A58,'空中攻撃'!$O$2:$S$2,0))</f>
        <v>16</v>
      </c>
      <c r="J58" s="455" t="s">
        <v>744</v>
      </c>
      <c r="K58" s="282"/>
      <c r="L58" s="282"/>
      <c r="M58" s="363"/>
      <c r="N58" s="363"/>
      <c r="O58" s="145">
        <v>0.0</v>
      </c>
      <c r="P58" s="145">
        <v>1.5</v>
      </c>
      <c r="Q58" s="145">
        <v>1.2</v>
      </c>
      <c r="R58" s="240"/>
      <c r="S58" s="164"/>
      <c r="T58" s="164"/>
      <c r="U58" s="164"/>
      <c r="V58" s="104"/>
    </row>
    <row r="59" outlineLevel="1">
      <c r="A59" s="146"/>
      <c r="B59" s="373" t="s">
        <v>172</v>
      </c>
      <c r="C59" s="239" t="s">
        <v>218</v>
      </c>
      <c r="D59" s="210"/>
      <c r="E59" s="239" t="s">
        <v>176</v>
      </c>
      <c r="F59" s="193">
        <v>2.4</v>
      </c>
      <c r="G59" s="193">
        <v>2.04</v>
      </c>
      <c r="H59" s="138" t="s">
        <v>170</v>
      </c>
      <c r="I59" s="146"/>
      <c r="J59" s="210"/>
      <c r="K59" s="282"/>
      <c r="L59" s="282"/>
      <c r="M59" s="363"/>
      <c r="N59" s="363"/>
      <c r="O59" s="145">
        <v>0.0</v>
      </c>
      <c r="P59" s="145">
        <v>1.0</v>
      </c>
      <c r="Q59" s="145">
        <v>1.0</v>
      </c>
      <c r="R59" s="212"/>
      <c r="V59" s="210"/>
    </row>
    <row r="60" outlineLevel="1">
      <c r="A60" s="156"/>
      <c r="B60" s="373" t="s">
        <v>174</v>
      </c>
      <c r="C60" s="239" t="s">
        <v>175</v>
      </c>
      <c r="D60" s="107"/>
      <c r="E60" s="239" t="s">
        <v>176</v>
      </c>
      <c r="F60" s="193">
        <v>2.4</v>
      </c>
      <c r="G60" s="193">
        <v>2.4</v>
      </c>
      <c r="H60" s="138" t="s">
        <v>60</v>
      </c>
      <c r="I60" s="156"/>
      <c r="J60" s="107"/>
      <c r="K60" s="282"/>
      <c r="L60" s="282"/>
      <c r="M60" s="363"/>
      <c r="N60" s="363"/>
      <c r="O60" s="145">
        <v>0.0</v>
      </c>
      <c r="P60" s="145">
        <v>1.0</v>
      </c>
      <c r="Q60" s="145">
        <v>1.0</v>
      </c>
      <c r="R60" s="106"/>
      <c r="S60" s="168"/>
      <c r="T60" s="168"/>
      <c r="U60" s="168"/>
      <c r="V60" s="107"/>
    </row>
    <row r="61">
      <c r="A61" s="223"/>
      <c r="B61" s="224"/>
      <c r="C61" s="225"/>
      <c r="D61" s="225"/>
      <c r="E61" s="226"/>
      <c r="F61" s="226"/>
      <c r="G61" s="226"/>
      <c r="H61" s="227"/>
      <c r="I61" s="227"/>
      <c r="J61" s="228"/>
      <c r="K61" s="228"/>
      <c r="L61" s="228"/>
      <c r="M61" s="228"/>
      <c r="N61" s="228"/>
      <c r="O61" s="228"/>
      <c r="P61" s="228"/>
      <c r="Q61" s="118"/>
      <c r="R61" s="118"/>
      <c r="S61" s="118"/>
      <c r="T61" s="118"/>
      <c r="U61" s="118"/>
      <c r="V61" s="118"/>
    </row>
    <row r="62">
      <c r="A62" s="229" t="s">
        <v>177</v>
      </c>
      <c r="B62" s="109"/>
      <c r="C62" s="225"/>
      <c r="D62" s="225"/>
      <c r="E62" s="226"/>
      <c r="F62" s="226"/>
      <c r="G62" s="226"/>
      <c r="H62" s="227"/>
      <c r="I62" s="227"/>
      <c r="J62" s="228"/>
      <c r="K62" s="228"/>
      <c r="L62" s="228"/>
      <c r="M62" s="228"/>
      <c r="N62" s="228"/>
      <c r="O62" s="228"/>
      <c r="P62" s="228"/>
      <c r="Q62" s="118"/>
      <c r="R62" s="118"/>
      <c r="S62" s="118"/>
      <c r="T62" s="118"/>
      <c r="U62" s="118"/>
      <c r="V62" s="118"/>
    </row>
    <row r="63" outlineLevel="1">
      <c r="A63" s="230" t="s">
        <v>745</v>
      </c>
      <c r="B63" s="109"/>
      <c r="C63" s="231" t="s">
        <v>48</v>
      </c>
      <c r="D63" s="231" t="s">
        <v>49</v>
      </c>
      <c r="E63" s="232" t="s">
        <v>50</v>
      </c>
      <c r="F63" s="233" t="s">
        <v>51</v>
      </c>
      <c r="G63" s="232" t="s">
        <v>52</v>
      </c>
      <c r="H63" s="234"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237" t="s">
        <v>184</v>
      </c>
      <c r="B64" s="243" t="s">
        <v>746</v>
      </c>
      <c r="C64" s="365" t="s">
        <v>747</v>
      </c>
      <c r="D64" s="379" t="s">
        <v>748</v>
      </c>
      <c r="E64" s="239" t="s">
        <v>209</v>
      </c>
      <c r="F64" s="193">
        <v>0.0</v>
      </c>
      <c r="G64" s="409"/>
      <c r="H64" s="163" t="s">
        <v>749</v>
      </c>
      <c r="I64" s="164"/>
      <c r="J64" s="104"/>
      <c r="K64" s="409"/>
      <c r="L64" s="409"/>
      <c r="M64" s="409"/>
      <c r="N64" s="409"/>
      <c r="O64" s="409"/>
      <c r="P64" s="409"/>
      <c r="Q64" s="409"/>
      <c r="R64" s="409"/>
      <c r="S64" s="409"/>
      <c r="T64" s="409"/>
      <c r="U64" s="166" t="s">
        <v>186</v>
      </c>
      <c r="V64" s="166" t="b">
        <v>1</v>
      </c>
    </row>
    <row r="65" outlineLevel="1">
      <c r="A65" s="146"/>
      <c r="B65" s="243" t="s">
        <v>750</v>
      </c>
      <c r="C65" s="365" t="s">
        <v>751</v>
      </c>
      <c r="D65" s="107"/>
      <c r="E65" s="281"/>
      <c r="F65" s="281"/>
      <c r="G65" s="409"/>
      <c r="H65" s="212"/>
      <c r="J65" s="210"/>
      <c r="K65" s="409"/>
      <c r="L65" s="409"/>
      <c r="M65" s="409"/>
      <c r="N65" s="409"/>
      <c r="O65" s="409"/>
      <c r="P65" s="409"/>
      <c r="Q65" s="409"/>
      <c r="R65" s="409"/>
      <c r="S65" s="409"/>
      <c r="T65" s="409"/>
      <c r="U65" s="146"/>
      <c r="V65" s="146"/>
    </row>
    <row r="66" outlineLevel="1">
      <c r="A66" s="146"/>
      <c r="B66" s="243" t="s">
        <v>752</v>
      </c>
      <c r="C66" s="409"/>
      <c r="D66" s="216" t="s">
        <v>296</v>
      </c>
      <c r="E66" s="281"/>
      <c r="F66" s="281"/>
      <c r="G66" s="409"/>
      <c r="H66" s="212"/>
      <c r="J66" s="210"/>
      <c r="K66" s="409"/>
      <c r="L66" s="409"/>
      <c r="M66" s="409"/>
      <c r="N66" s="409"/>
      <c r="O66" s="409"/>
      <c r="P66" s="409"/>
      <c r="Q66" s="409"/>
      <c r="R66" s="409"/>
      <c r="S66" s="409"/>
      <c r="T66" s="409"/>
      <c r="U66" s="146"/>
      <c r="V66" s="146"/>
    </row>
    <row r="67" outlineLevel="1">
      <c r="A67" s="146"/>
      <c r="B67" s="663" t="s">
        <v>753</v>
      </c>
      <c r="C67" s="239" t="s">
        <v>80</v>
      </c>
      <c r="D67" s="367" t="s">
        <v>718</v>
      </c>
      <c r="E67" s="239" t="s">
        <v>128</v>
      </c>
      <c r="F67" s="193">
        <v>12.0</v>
      </c>
      <c r="G67" s="409"/>
      <c r="H67" s="212"/>
      <c r="J67" s="210"/>
      <c r="K67" s="409"/>
      <c r="L67" s="409"/>
      <c r="M67" s="409"/>
      <c r="N67" s="409"/>
      <c r="O67" s="409"/>
      <c r="P67" s="409"/>
      <c r="Q67" s="409"/>
      <c r="R67" s="409"/>
      <c r="S67" s="409"/>
      <c r="T67" s="409"/>
      <c r="U67" s="146"/>
      <c r="V67" s="146"/>
    </row>
    <row r="68" outlineLevel="1">
      <c r="A68" s="146"/>
      <c r="B68" s="663" t="s">
        <v>754</v>
      </c>
      <c r="C68" s="453" t="s">
        <v>755</v>
      </c>
      <c r="D68" s="156"/>
      <c r="E68" s="239" t="s">
        <v>494</v>
      </c>
      <c r="F68" s="193" t="s">
        <v>494</v>
      </c>
      <c r="G68" s="239" t="s">
        <v>494</v>
      </c>
      <c r="H68" s="212"/>
      <c r="J68" s="210"/>
      <c r="K68" s="239"/>
      <c r="L68" s="239"/>
      <c r="M68" s="239"/>
      <c r="N68" s="239"/>
      <c r="O68" s="138">
        <v>0.0</v>
      </c>
      <c r="P68" s="138">
        <v>1.0</v>
      </c>
      <c r="Q68" s="138">
        <v>1.0</v>
      </c>
      <c r="R68" s="145"/>
      <c r="S68" s="145"/>
      <c r="T68" s="145" t="b">
        <v>1</v>
      </c>
      <c r="U68" s="146"/>
      <c r="V68" s="146"/>
    </row>
    <row r="69" outlineLevel="1">
      <c r="A69" s="146"/>
      <c r="B69" s="663" t="s">
        <v>756</v>
      </c>
      <c r="C69" s="239" t="s">
        <v>80</v>
      </c>
      <c r="D69" s="239" t="s">
        <v>164</v>
      </c>
      <c r="E69" s="239" t="s">
        <v>86</v>
      </c>
      <c r="F69" s="193">
        <v>7.199999999999999</v>
      </c>
      <c r="G69" s="409"/>
      <c r="H69" s="212"/>
      <c r="J69" s="210"/>
      <c r="K69" s="409"/>
      <c r="L69" s="409"/>
      <c r="M69" s="409"/>
      <c r="N69" s="409"/>
      <c r="O69" s="409"/>
      <c r="P69" s="409"/>
      <c r="Q69" s="409"/>
      <c r="R69" s="409"/>
      <c r="S69" s="409"/>
      <c r="T69" s="409"/>
      <c r="U69" s="146"/>
      <c r="V69" s="146"/>
    </row>
    <row r="70" outlineLevel="1">
      <c r="A70" s="146"/>
      <c r="B70" s="663" t="s">
        <v>757</v>
      </c>
      <c r="C70" s="239" t="s">
        <v>80</v>
      </c>
      <c r="D70" s="239" t="s">
        <v>282</v>
      </c>
      <c r="E70" s="239" t="s">
        <v>86</v>
      </c>
      <c r="F70" s="193">
        <v>7.199999999999999</v>
      </c>
      <c r="G70" s="409"/>
      <c r="H70" s="212"/>
      <c r="J70" s="210"/>
      <c r="K70" s="239"/>
      <c r="L70" s="239"/>
      <c r="M70" s="239"/>
      <c r="N70" s="239"/>
      <c r="O70" s="138"/>
      <c r="P70" s="138"/>
      <c r="Q70" s="138"/>
      <c r="R70" s="145" t="b">
        <v>0</v>
      </c>
      <c r="S70" s="145" t="b">
        <v>0</v>
      </c>
      <c r="T70" s="145" t="b">
        <v>0</v>
      </c>
      <c r="U70" s="146"/>
      <c r="V70" s="146"/>
    </row>
    <row r="71" outlineLevel="1">
      <c r="A71" s="146"/>
      <c r="B71" s="663" t="s">
        <v>758</v>
      </c>
      <c r="C71" s="239" t="s">
        <v>755</v>
      </c>
      <c r="D71" s="409"/>
      <c r="E71" s="239" t="s">
        <v>673</v>
      </c>
      <c r="F71" s="239" t="s">
        <v>674</v>
      </c>
      <c r="G71" s="239" t="s">
        <v>759</v>
      </c>
      <c r="H71" s="212"/>
      <c r="J71" s="210"/>
      <c r="K71" s="239"/>
      <c r="L71" s="239"/>
      <c r="M71" s="239"/>
      <c r="N71" s="239"/>
      <c r="O71" s="138">
        <v>0.0</v>
      </c>
      <c r="P71" s="138">
        <v>1.0</v>
      </c>
      <c r="Q71" s="138">
        <v>1.0</v>
      </c>
      <c r="R71" s="145"/>
      <c r="S71" s="145"/>
      <c r="T71" s="145" t="b">
        <v>1</v>
      </c>
      <c r="U71" s="146"/>
      <c r="V71" s="146"/>
    </row>
    <row r="72" outlineLevel="1">
      <c r="A72" s="146"/>
      <c r="B72" s="663" t="s">
        <v>760</v>
      </c>
      <c r="C72" s="585" t="s">
        <v>761</v>
      </c>
      <c r="D72" s="239" t="s">
        <v>79</v>
      </c>
      <c r="E72" s="281"/>
      <c r="F72" s="281"/>
      <c r="G72" s="409"/>
      <c r="H72" s="212"/>
      <c r="J72" s="210"/>
      <c r="K72" s="409"/>
      <c r="L72" s="409"/>
      <c r="M72" s="409"/>
      <c r="N72" s="409"/>
      <c r="O72" s="409"/>
      <c r="P72" s="409"/>
      <c r="Q72" s="409"/>
      <c r="R72" s="409"/>
      <c r="S72" s="409"/>
      <c r="T72" s="409"/>
      <c r="U72" s="146"/>
      <c r="V72" s="146"/>
    </row>
    <row r="73" outlineLevel="1">
      <c r="A73" s="146"/>
      <c r="B73" s="663" t="s">
        <v>762</v>
      </c>
      <c r="C73" s="551" t="s">
        <v>761</v>
      </c>
      <c r="D73" s="239" t="s">
        <v>455</v>
      </c>
      <c r="E73" s="281"/>
      <c r="F73" s="281"/>
      <c r="G73" s="409"/>
      <c r="H73" s="212"/>
      <c r="J73" s="210"/>
      <c r="K73" s="409"/>
      <c r="L73" s="409"/>
      <c r="M73" s="409"/>
      <c r="N73" s="409"/>
      <c r="O73" s="409"/>
      <c r="P73" s="409"/>
      <c r="Q73" s="409"/>
      <c r="R73" s="409"/>
      <c r="S73" s="409"/>
      <c r="T73" s="409"/>
      <c r="U73" s="146"/>
      <c r="V73" s="146"/>
    </row>
    <row r="74" outlineLevel="1">
      <c r="A74" s="146"/>
      <c r="B74" s="663" t="s">
        <v>259</v>
      </c>
      <c r="C74" s="551" t="s">
        <v>761</v>
      </c>
      <c r="D74" s="239" t="s">
        <v>763</v>
      </c>
      <c r="E74" s="281"/>
      <c r="F74" s="281"/>
      <c r="G74" s="409"/>
      <c r="H74" s="212"/>
      <c r="J74" s="210"/>
      <c r="K74" s="409"/>
      <c r="L74" s="409"/>
      <c r="M74" s="409"/>
      <c r="N74" s="409"/>
      <c r="O74" s="409"/>
      <c r="P74" s="409"/>
      <c r="Q74" s="409"/>
      <c r="R74" s="409"/>
      <c r="S74" s="409"/>
      <c r="T74" s="409"/>
      <c r="U74" s="146"/>
      <c r="V74" s="146"/>
    </row>
    <row r="75" outlineLevel="1">
      <c r="A75" s="146"/>
      <c r="B75" s="663" t="s">
        <v>764</v>
      </c>
      <c r="C75" s="551" t="s">
        <v>761</v>
      </c>
      <c r="D75" s="239" t="s">
        <v>765</v>
      </c>
      <c r="E75" s="281"/>
      <c r="F75" s="281"/>
      <c r="G75" s="409"/>
      <c r="H75" s="106"/>
      <c r="I75" s="168"/>
      <c r="J75" s="107"/>
      <c r="K75" s="409"/>
      <c r="L75" s="409"/>
      <c r="M75" s="409"/>
      <c r="N75" s="409"/>
      <c r="O75" s="409"/>
      <c r="P75" s="409"/>
      <c r="Q75" s="409"/>
      <c r="R75" s="409"/>
      <c r="S75" s="409"/>
      <c r="T75" s="409"/>
      <c r="U75" s="156"/>
      <c r="V75" s="156"/>
    </row>
    <row r="76" outlineLevel="1">
      <c r="A76" s="237" t="s">
        <v>766</v>
      </c>
      <c r="B76" s="663" t="s">
        <v>332</v>
      </c>
      <c r="C76" s="458" t="s">
        <v>767</v>
      </c>
      <c r="D76" s="239" t="s">
        <v>224</v>
      </c>
      <c r="E76" s="139"/>
      <c r="F76" s="139"/>
      <c r="G76" s="664"/>
      <c r="H76" s="163" t="s">
        <v>768</v>
      </c>
      <c r="I76" s="164"/>
      <c r="J76" s="104"/>
      <c r="K76" s="409"/>
      <c r="L76" s="409"/>
      <c r="M76" s="409"/>
      <c r="N76" s="409"/>
      <c r="O76" s="409"/>
      <c r="P76" s="409"/>
      <c r="Q76" s="409"/>
      <c r="R76" s="409"/>
      <c r="S76" s="409"/>
      <c r="T76" s="409"/>
      <c r="U76" s="166" t="s">
        <v>186</v>
      </c>
      <c r="V76" s="166" t="b">
        <v>1</v>
      </c>
    </row>
    <row r="77" outlineLevel="1">
      <c r="A77" s="146"/>
      <c r="B77" s="663" t="s">
        <v>769</v>
      </c>
      <c r="C77" s="541"/>
      <c r="D77" s="239" t="s">
        <v>374</v>
      </c>
      <c r="E77" s="541"/>
      <c r="F77" s="541"/>
      <c r="G77" s="665"/>
      <c r="H77" s="106"/>
      <c r="I77" s="168"/>
      <c r="J77" s="107"/>
      <c r="K77" s="409"/>
      <c r="L77" s="409"/>
      <c r="M77" s="409"/>
      <c r="N77" s="409"/>
      <c r="O77" s="409"/>
      <c r="P77" s="409"/>
      <c r="Q77" s="409"/>
      <c r="R77" s="409"/>
      <c r="S77" s="409"/>
      <c r="T77" s="409"/>
      <c r="U77" s="156"/>
      <c r="V77" s="156"/>
    </row>
    <row r="78" outlineLevel="1">
      <c r="A78" s="237" t="s">
        <v>770</v>
      </c>
      <c r="B78" s="243" t="s">
        <v>473</v>
      </c>
      <c r="C78" s="244" t="s">
        <v>771</v>
      </c>
      <c r="D78" s="365" t="s">
        <v>218</v>
      </c>
      <c r="E78" s="239" t="s">
        <v>86</v>
      </c>
      <c r="F78" s="138">
        <f t="shared" ref="F78:F79" si="1">E78*1.2</f>
        <v>7.2</v>
      </c>
      <c r="G78" s="239" t="s">
        <v>60</v>
      </c>
      <c r="H78" s="163" t="s">
        <v>772</v>
      </c>
      <c r="I78" s="164"/>
      <c r="J78" s="104"/>
      <c r="K78" s="409"/>
      <c r="L78" s="409"/>
      <c r="M78" s="409"/>
      <c r="N78" s="409"/>
      <c r="O78" s="409"/>
      <c r="P78" s="409"/>
      <c r="Q78" s="409"/>
      <c r="R78" s="409"/>
      <c r="S78" s="409"/>
      <c r="T78" s="409"/>
      <c r="U78" s="166" t="s">
        <v>186</v>
      </c>
      <c r="V78" s="166" t="b">
        <v>1</v>
      </c>
    </row>
    <row r="79" outlineLevel="1">
      <c r="A79" s="146"/>
      <c r="B79" s="663" t="s">
        <v>340</v>
      </c>
      <c r="C79" s="244" t="s">
        <v>773</v>
      </c>
      <c r="D79" s="239" t="s">
        <v>593</v>
      </c>
      <c r="E79" s="239" t="s">
        <v>774</v>
      </c>
      <c r="F79" s="138">
        <f t="shared" si="1"/>
        <v>23.04</v>
      </c>
      <c r="G79" s="239" t="s">
        <v>102</v>
      </c>
      <c r="H79" s="106"/>
      <c r="I79" s="168"/>
      <c r="J79" s="107"/>
      <c r="K79" s="409"/>
      <c r="L79" s="409"/>
      <c r="M79" s="409"/>
      <c r="N79" s="409"/>
      <c r="O79" s="409"/>
      <c r="P79" s="409"/>
      <c r="Q79" s="409"/>
      <c r="R79" s="409"/>
      <c r="S79" s="409"/>
      <c r="T79" s="409"/>
      <c r="U79" s="156"/>
      <c r="V79" s="156"/>
    </row>
    <row r="80" outlineLevel="1">
      <c r="A80" s="230" t="s">
        <v>775</v>
      </c>
      <c r="B80" s="109"/>
      <c r="C80" s="231" t="s">
        <v>48</v>
      </c>
      <c r="D80" s="231" t="s">
        <v>49</v>
      </c>
      <c r="E80" s="232" t="s">
        <v>50</v>
      </c>
      <c r="F80" s="233" t="s">
        <v>51</v>
      </c>
      <c r="G80" s="232" t="s">
        <v>52</v>
      </c>
      <c r="H80" s="234" t="s">
        <v>53</v>
      </c>
      <c r="I80" s="110"/>
      <c r="J80" s="109"/>
      <c r="K80" s="235" t="s">
        <v>137</v>
      </c>
      <c r="L80" s="235" t="s">
        <v>138</v>
      </c>
      <c r="M80" s="235" t="s">
        <v>139</v>
      </c>
      <c r="N80" s="235" t="s">
        <v>140</v>
      </c>
      <c r="O80" s="236" t="s">
        <v>141</v>
      </c>
      <c r="P80" s="235" t="s">
        <v>142</v>
      </c>
      <c r="Q80" s="236" t="s">
        <v>143</v>
      </c>
      <c r="R80" s="235" t="s">
        <v>179</v>
      </c>
      <c r="S80" s="236" t="s">
        <v>180</v>
      </c>
      <c r="T80" s="236" t="s">
        <v>181</v>
      </c>
      <c r="U80" s="236" t="s">
        <v>182</v>
      </c>
      <c r="V80" s="236" t="s">
        <v>183</v>
      </c>
    </row>
    <row r="81" ht="21.75" customHeight="1" outlineLevel="1">
      <c r="A81" s="237" t="s">
        <v>332</v>
      </c>
      <c r="B81" s="243" t="s">
        <v>776</v>
      </c>
      <c r="C81" s="239" t="s">
        <v>522</v>
      </c>
      <c r="D81" s="113" t="s">
        <v>777</v>
      </c>
      <c r="E81" s="239" t="s">
        <v>778</v>
      </c>
      <c r="F81" s="138" t="s">
        <v>779</v>
      </c>
      <c r="G81" s="239" t="s">
        <v>780</v>
      </c>
      <c r="H81" s="666" t="s">
        <v>781</v>
      </c>
      <c r="I81" s="164"/>
      <c r="J81" s="104"/>
      <c r="K81" s="282"/>
      <c r="L81" s="282"/>
      <c r="M81" s="363"/>
      <c r="N81" s="363"/>
      <c r="O81" s="138">
        <v>0.0</v>
      </c>
      <c r="P81" s="138">
        <v>1.0</v>
      </c>
      <c r="Q81" s="138">
        <v>1.0</v>
      </c>
      <c r="R81" s="145" t="b">
        <v>1</v>
      </c>
      <c r="S81" s="145" t="b">
        <v>1</v>
      </c>
      <c r="T81" s="145"/>
      <c r="U81" s="166" t="b">
        <v>0</v>
      </c>
      <c r="V81" s="166" t="b">
        <v>1</v>
      </c>
    </row>
    <row r="82" ht="21.75" customHeight="1" outlineLevel="1">
      <c r="A82" s="146"/>
      <c r="B82" s="243" t="s">
        <v>340</v>
      </c>
      <c r="C82" s="239" t="s">
        <v>299</v>
      </c>
      <c r="D82" s="113" t="s">
        <v>462</v>
      </c>
      <c r="E82" s="239" t="s">
        <v>193</v>
      </c>
      <c r="F82" s="138">
        <v>42.0</v>
      </c>
      <c r="G82" s="239" t="s">
        <v>782</v>
      </c>
      <c r="H82" s="212"/>
      <c r="J82" s="210"/>
      <c r="K82" s="138"/>
      <c r="L82" s="138"/>
      <c r="M82" s="145"/>
      <c r="N82" s="145"/>
      <c r="O82" s="138">
        <v>0.0</v>
      </c>
      <c r="P82" s="138">
        <v>1.0</v>
      </c>
      <c r="Q82" s="138">
        <v>1.0</v>
      </c>
      <c r="R82" s="145" t="b">
        <v>1</v>
      </c>
      <c r="S82" s="145" t="b">
        <v>1</v>
      </c>
      <c r="T82" s="145"/>
      <c r="U82" s="146"/>
      <c r="V82" s="146"/>
    </row>
    <row r="83" outlineLevel="1">
      <c r="A83" s="146"/>
      <c r="B83" s="243" t="s">
        <v>242</v>
      </c>
      <c r="C83" s="409"/>
      <c r="D83" s="239" t="s">
        <v>86</v>
      </c>
      <c r="E83" s="409"/>
      <c r="F83" s="409"/>
      <c r="G83" s="409"/>
      <c r="H83" s="212"/>
      <c r="J83" s="210"/>
      <c r="K83" s="138"/>
      <c r="L83" s="138"/>
      <c r="M83" s="145"/>
      <c r="N83" s="145"/>
      <c r="O83" s="138"/>
      <c r="P83" s="138"/>
      <c r="Q83" s="138"/>
      <c r="R83" s="145" t="b">
        <v>0</v>
      </c>
      <c r="S83" s="145" t="b">
        <v>0</v>
      </c>
      <c r="T83" s="145" t="b">
        <v>0</v>
      </c>
      <c r="U83" s="146"/>
      <c r="V83" s="146"/>
    </row>
    <row r="84" outlineLevel="1">
      <c r="A84" s="237" t="s">
        <v>344</v>
      </c>
      <c r="B84" s="243" t="s">
        <v>783</v>
      </c>
      <c r="C84" s="239" t="s">
        <v>784</v>
      </c>
      <c r="D84" s="367" t="s">
        <v>765</v>
      </c>
      <c r="E84" s="239" t="s">
        <v>785</v>
      </c>
      <c r="F84" s="138" t="s">
        <v>786</v>
      </c>
      <c r="G84" s="239" t="s">
        <v>787</v>
      </c>
      <c r="H84" s="212"/>
      <c r="J84" s="210"/>
      <c r="K84" s="138"/>
      <c r="L84" s="138"/>
      <c r="M84" s="145"/>
      <c r="N84" s="145"/>
      <c r="O84" s="138">
        <v>0.0</v>
      </c>
      <c r="P84" s="138">
        <v>1.0</v>
      </c>
      <c r="Q84" s="138">
        <v>1.0</v>
      </c>
      <c r="R84" s="145" t="b">
        <v>1</v>
      </c>
      <c r="S84" s="145" t="b">
        <v>1</v>
      </c>
      <c r="T84" s="145"/>
      <c r="U84" s="146"/>
      <c r="V84" s="146"/>
    </row>
    <row r="85" outlineLevel="1">
      <c r="A85" s="146"/>
      <c r="B85" s="243" t="s">
        <v>788</v>
      </c>
      <c r="C85" s="239" t="s">
        <v>789</v>
      </c>
      <c r="D85" s="156"/>
      <c r="E85" s="239" t="s">
        <v>785</v>
      </c>
      <c r="F85" s="138" t="s">
        <v>786</v>
      </c>
      <c r="G85" s="239" t="s">
        <v>787</v>
      </c>
      <c r="H85" s="212"/>
      <c r="J85" s="210"/>
      <c r="K85" s="138"/>
      <c r="L85" s="138"/>
      <c r="M85" s="145"/>
      <c r="N85" s="145"/>
      <c r="O85" s="138"/>
      <c r="P85" s="138"/>
      <c r="Q85" s="138"/>
      <c r="R85" s="145" t="b">
        <v>0</v>
      </c>
      <c r="S85" s="145" t="b">
        <v>0</v>
      </c>
      <c r="T85" s="145" t="b">
        <v>0</v>
      </c>
      <c r="U85" s="146"/>
      <c r="V85" s="146"/>
    </row>
    <row r="86" outlineLevel="1">
      <c r="A86" s="146"/>
      <c r="B86" s="243" t="s">
        <v>340</v>
      </c>
      <c r="C86" s="239" t="s">
        <v>299</v>
      </c>
      <c r="D86" s="113" t="s">
        <v>462</v>
      </c>
      <c r="E86" s="239" t="s">
        <v>593</v>
      </c>
      <c r="F86" s="138">
        <v>33.6</v>
      </c>
      <c r="G86" s="239" t="s">
        <v>790</v>
      </c>
      <c r="H86" s="106"/>
      <c r="I86" s="168"/>
      <c r="J86" s="107"/>
      <c r="K86" s="138"/>
      <c r="L86" s="138"/>
      <c r="M86" s="145"/>
      <c r="N86" s="145"/>
      <c r="O86" s="138">
        <v>0.0</v>
      </c>
      <c r="P86" s="138">
        <v>1.0</v>
      </c>
      <c r="Q86" s="138">
        <v>1.0</v>
      </c>
      <c r="R86" s="145" t="b">
        <v>1</v>
      </c>
      <c r="S86" s="145" t="b">
        <v>1</v>
      </c>
      <c r="T86" s="145"/>
      <c r="U86" s="156"/>
      <c r="V86" s="156"/>
    </row>
    <row r="87" outlineLevel="1">
      <c r="A87" s="230" t="s">
        <v>791</v>
      </c>
      <c r="B87" s="109"/>
      <c r="C87" s="231" t="s">
        <v>48</v>
      </c>
      <c r="D87" s="231" t="s">
        <v>49</v>
      </c>
      <c r="E87" s="232" t="s">
        <v>50</v>
      </c>
      <c r="F87" s="233" t="s">
        <v>51</v>
      </c>
      <c r="G87" s="232" t="s">
        <v>52</v>
      </c>
      <c r="H87" s="234" t="s">
        <v>53</v>
      </c>
      <c r="I87" s="110"/>
      <c r="J87" s="109"/>
      <c r="K87" s="235" t="s">
        <v>137</v>
      </c>
      <c r="L87" s="235" t="s">
        <v>138</v>
      </c>
      <c r="M87" s="235" t="s">
        <v>139</v>
      </c>
      <c r="N87" s="235" t="s">
        <v>140</v>
      </c>
      <c r="O87" s="236" t="s">
        <v>141</v>
      </c>
      <c r="P87" s="235" t="s">
        <v>142</v>
      </c>
      <c r="Q87" s="236" t="s">
        <v>143</v>
      </c>
      <c r="R87" s="235" t="s">
        <v>179</v>
      </c>
      <c r="S87" s="236" t="s">
        <v>180</v>
      </c>
      <c r="T87" s="236" t="s">
        <v>181</v>
      </c>
      <c r="U87" s="236" t="s">
        <v>182</v>
      </c>
      <c r="V87" s="236" t="s">
        <v>183</v>
      </c>
    </row>
    <row r="88" outlineLevel="1">
      <c r="A88" s="546" t="s">
        <v>184</v>
      </c>
      <c r="B88" s="402" t="s">
        <v>125</v>
      </c>
      <c r="C88" s="239" t="s">
        <v>792</v>
      </c>
      <c r="D88" s="400"/>
      <c r="E88" s="239" t="s">
        <v>150</v>
      </c>
      <c r="F88" s="138">
        <v>6.0</v>
      </c>
      <c r="G88" s="239" t="s">
        <v>102</v>
      </c>
      <c r="H88" s="240" t="s">
        <v>793</v>
      </c>
      <c r="I88" s="164"/>
      <c r="J88" s="104"/>
      <c r="K88" s="138"/>
      <c r="L88" s="138"/>
      <c r="M88" s="145"/>
      <c r="N88" s="145"/>
      <c r="O88" s="138">
        <v>0.0</v>
      </c>
      <c r="P88" s="138">
        <v>1.0</v>
      </c>
      <c r="Q88" s="138">
        <v>1.0</v>
      </c>
      <c r="R88" s="145" t="b">
        <v>1</v>
      </c>
      <c r="S88" s="145" t="b">
        <v>1</v>
      </c>
      <c r="T88" s="145"/>
      <c r="U88" s="166" t="s">
        <v>186</v>
      </c>
      <c r="V88" s="166" t="b">
        <v>1</v>
      </c>
    </row>
    <row r="89" outlineLevel="1">
      <c r="A89" s="146"/>
      <c r="B89" s="402" t="s">
        <v>794</v>
      </c>
      <c r="C89" s="239" t="s">
        <v>795</v>
      </c>
      <c r="D89" s="146"/>
      <c r="E89" s="239" t="s">
        <v>176</v>
      </c>
      <c r="F89" s="138">
        <v>2.4</v>
      </c>
      <c r="G89" s="239" t="s">
        <v>60</v>
      </c>
      <c r="H89" s="212"/>
      <c r="J89" s="210"/>
      <c r="K89" s="138"/>
      <c r="L89" s="138"/>
      <c r="M89" s="145"/>
      <c r="N89" s="145"/>
      <c r="O89" s="138">
        <v>0.0</v>
      </c>
      <c r="P89" s="138">
        <v>1.0</v>
      </c>
      <c r="Q89" s="138">
        <v>1.0</v>
      </c>
      <c r="R89" s="145" t="b">
        <v>1</v>
      </c>
      <c r="S89" s="145" t="b">
        <v>1</v>
      </c>
      <c r="T89" s="145"/>
      <c r="U89" s="146"/>
      <c r="V89" s="146"/>
    </row>
    <row r="90" outlineLevel="1">
      <c r="A90" s="146"/>
      <c r="B90" s="402" t="s">
        <v>432</v>
      </c>
      <c r="C90" s="239" t="s">
        <v>796</v>
      </c>
      <c r="D90" s="146"/>
      <c r="E90" s="239" t="s">
        <v>176</v>
      </c>
      <c r="F90" s="138">
        <v>2.4</v>
      </c>
      <c r="G90" s="239" t="s">
        <v>60</v>
      </c>
      <c r="H90" s="212"/>
      <c r="J90" s="210"/>
      <c r="K90" s="138"/>
      <c r="L90" s="138"/>
      <c r="M90" s="145"/>
      <c r="N90" s="145"/>
      <c r="O90" s="138">
        <v>0.0</v>
      </c>
      <c r="P90" s="138">
        <v>1.0</v>
      </c>
      <c r="Q90" s="138">
        <v>1.0</v>
      </c>
      <c r="R90" s="145" t="b">
        <v>1</v>
      </c>
      <c r="S90" s="145" t="b">
        <v>1</v>
      </c>
      <c r="T90" s="145"/>
      <c r="U90" s="146"/>
      <c r="V90" s="146"/>
    </row>
    <row r="91" outlineLevel="1">
      <c r="A91" s="146"/>
      <c r="B91" s="402" t="s">
        <v>797</v>
      </c>
      <c r="C91" s="239" t="s">
        <v>175</v>
      </c>
      <c r="D91" s="667" t="s">
        <v>164</v>
      </c>
      <c r="E91" s="239" t="s">
        <v>150</v>
      </c>
      <c r="F91" s="138">
        <v>6.0</v>
      </c>
      <c r="G91" s="239" t="s">
        <v>60</v>
      </c>
      <c r="H91" s="212"/>
      <c r="J91" s="210"/>
      <c r="K91" s="138"/>
      <c r="L91" s="138"/>
      <c r="M91" s="145"/>
      <c r="N91" s="145"/>
      <c r="O91" s="138">
        <v>0.0</v>
      </c>
      <c r="P91" s="138">
        <v>1.0</v>
      </c>
      <c r="Q91" s="138">
        <v>1.0</v>
      </c>
      <c r="R91" s="145" t="b">
        <v>1</v>
      </c>
      <c r="S91" s="145" t="b">
        <v>0</v>
      </c>
      <c r="T91" s="145" t="b">
        <v>1</v>
      </c>
      <c r="U91" s="146"/>
      <c r="V91" s="146"/>
    </row>
    <row r="92" outlineLevel="1">
      <c r="A92" s="156"/>
      <c r="B92" s="402" t="s">
        <v>798</v>
      </c>
      <c r="C92" s="239" t="s">
        <v>799</v>
      </c>
      <c r="D92" s="146"/>
      <c r="E92" s="239" t="s">
        <v>86</v>
      </c>
      <c r="F92" s="138">
        <v>7.199999999999999</v>
      </c>
      <c r="G92" s="239" t="s">
        <v>60</v>
      </c>
      <c r="H92" s="106"/>
      <c r="I92" s="168"/>
      <c r="J92" s="107"/>
      <c r="K92" s="138"/>
      <c r="L92" s="138"/>
      <c r="M92" s="145"/>
      <c r="N92" s="145"/>
      <c r="O92" s="138">
        <v>0.0</v>
      </c>
      <c r="P92" s="138">
        <v>1.0</v>
      </c>
      <c r="Q92" s="138">
        <v>1.0</v>
      </c>
      <c r="R92" s="145" t="b">
        <v>1</v>
      </c>
      <c r="S92" s="145" t="b">
        <v>0</v>
      </c>
      <c r="T92" s="145" t="b">
        <v>1</v>
      </c>
      <c r="U92" s="156"/>
      <c r="V92" s="156"/>
    </row>
    <row r="93" outlineLevel="1">
      <c r="A93" s="230" t="s">
        <v>800</v>
      </c>
      <c r="B93" s="109"/>
      <c r="C93" s="231" t="s">
        <v>48</v>
      </c>
      <c r="D93" s="231" t="s">
        <v>49</v>
      </c>
      <c r="E93" s="232" t="s">
        <v>50</v>
      </c>
      <c r="F93" s="233" t="s">
        <v>51</v>
      </c>
      <c r="G93" s="232" t="s">
        <v>52</v>
      </c>
      <c r="H93" s="234" t="s">
        <v>53</v>
      </c>
      <c r="I93" s="110"/>
      <c r="J93" s="109"/>
      <c r="K93" s="235" t="s">
        <v>137</v>
      </c>
      <c r="L93" s="235" t="s">
        <v>138</v>
      </c>
      <c r="M93" s="235" t="s">
        <v>139</v>
      </c>
      <c r="N93" s="235" t="s">
        <v>140</v>
      </c>
      <c r="O93" s="236" t="s">
        <v>141</v>
      </c>
      <c r="P93" s="235" t="s">
        <v>142</v>
      </c>
      <c r="Q93" s="236" t="s">
        <v>143</v>
      </c>
      <c r="R93" s="235" t="s">
        <v>179</v>
      </c>
      <c r="S93" s="236" t="s">
        <v>180</v>
      </c>
      <c r="T93" s="236" t="s">
        <v>181</v>
      </c>
      <c r="U93" s="236" t="s">
        <v>182</v>
      </c>
      <c r="V93" s="236" t="s">
        <v>183</v>
      </c>
    </row>
    <row r="94" ht="21.75" customHeight="1" outlineLevel="1">
      <c r="A94" s="625" t="s">
        <v>344</v>
      </c>
      <c r="B94" s="626"/>
      <c r="C94" s="239" t="s">
        <v>801</v>
      </c>
      <c r="D94" s="467" t="s">
        <v>802</v>
      </c>
      <c r="E94" s="239" t="s">
        <v>466</v>
      </c>
      <c r="F94" s="138">
        <v>21.599999999999998</v>
      </c>
      <c r="G94" s="239" t="s">
        <v>294</v>
      </c>
      <c r="H94" s="668" t="s">
        <v>803</v>
      </c>
      <c r="I94" s="164"/>
      <c r="J94" s="104"/>
      <c r="K94" s="138"/>
      <c r="L94" s="138"/>
      <c r="M94" s="145"/>
      <c r="N94" s="145"/>
      <c r="O94" s="138">
        <v>0.0</v>
      </c>
      <c r="P94" s="138">
        <v>1.0</v>
      </c>
      <c r="Q94" s="138">
        <v>1.0</v>
      </c>
      <c r="R94" s="145" t="b">
        <v>1</v>
      </c>
      <c r="S94" s="145" t="b">
        <v>1</v>
      </c>
      <c r="T94" s="145"/>
      <c r="U94" s="166" t="b">
        <v>0</v>
      </c>
      <c r="V94" s="166" t="b">
        <v>0</v>
      </c>
    </row>
    <row r="95" ht="21.75" customHeight="1" outlineLevel="1">
      <c r="A95" s="237" t="s">
        <v>184</v>
      </c>
      <c r="B95" s="624" t="s">
        <v>174</v>
      </c>
      <c r="C95" s="239" t="s">
        <v>213</v>
      </c>
      <c r="D95" s="281"/>
      <c r="E95" s="239" t="s">
        <v>119</v>
      </c>
      <c r="F95" s="138">
        <v>16.8</v>
      </c>
      <c r="G95" s="239" t="s">
        <v>297</v>
      </c>
      <c r="H95" s="212"/>
      <c r="J95" s="210"/>
      <c r="K95" s="138"/>
      <c r="L95" s="282"/>
      <c r="M95" s="363"/>
      <c r="N95" s="363"/>
      <c r="O95" s="138">
        <v>0.0</v>
      </c>
      <c r="P95" s="138">
        <v>1.0</v>
      </c>
      <c r="Q95" s="138">
        <v>1.0</v>
      </c>
      <c r="R95" s="145" t="b">
        <v>1</v>
      </c>
      <c r="S95" s="145" t="b">
        <v>1</v>
      </c>
      <c r="T95" s="145"/>
      <c r="U95" s="146"/>
      <c r="V95" s="146"/>
    </row>
    <row r="96" ht="21.75" customHeight="1" outlineLevel="1">
      <c r="A96" s="156"/>
      <c r="B96" s="624" t="s">
        <v>677</v>
      </c>
      <c r="C96" s="281"/>
      <c r="D96" s="467" t="s">
        <v>271</v>
      </c>
      <c r="E96" s="281"/>
      <c r="F96" s="281"/>
      <c r="G96" s="409"/>
      <c r="H96" s="106"/>
      <c r="I96" s="168"/>
      <c r="J96" s="107"/>
      <c r="K96" s="138"/>
      <c r="L96" s="282"/>
      <c r="M96" s="363"/>
      <c r="N96" s="363"/>
      <c r="O96" s="138">
        <v>0.0</v>
      </c>
      <c r="P96" s="138">
        <v>1.0</v>
      </c>
      <c r="Q96" s="138">
        <v>1.0</v>
      </c>
      <c r="R96" s="145" t="b">
        <v>1</v>
      </c>
      <c r="S96" s="145" t="b">
        <v>1</v>
      </c>
      <c r="T96" s="145"/>
      <c r="U96" s="156"/>
      <c r="V96" s="156"/>
    </row>
    <row r="97">
      <c r="A97" s="223"/>
      <c r="B97" s="224"/>
      <c r="C97" s="225"/>
      <c r="D97" s="225"/>
      <c r="E97" s="226"/>
      <c r="F97" s="226"/>
      <c r="G97" s="226"/>
      <c r="H97" s="227"/>
      <c r="I97" s="227"/>
      <c r="J97" s="228"/>
      <c r="K97" s="228"/>
      <c r="L97" s="228"/>
      <c r="M97" s="228"/>
      <c r="N97" s="228"/>
      <c r="O97" s="228"/>
      <c r="P97" s="228"/>
      <c r="Q97" s="118"/>
      <c r="R97" s="118"/>
      <c r="S97" s="118"/>
      <c r="T97" s="118"/>
      <c r="U97" s="118"/>
      <c r="V97" s="118"/>
    </row>
    <row r="98">
      <c r="A98" s="264" t="str">
        <f>'テンプレート'!A91</f>
        <v>つかみ・投げ</v>
      </c>
      <c r="B98" s="104"/>
      <c r="C98" s="227"/>
      <c r="D98" s="227"/>
      <c r="E98" s="228"/>
      <c r="F98" s="265"/>
      <c r="G98" s="265"/>
      <c r="H98" s="228"/>
      <c r="I98" s="228"/>
      <c r="J98" s="228"/>
      <c r="K98" s="228"/>
      <c r="L98" s="228"/>
      <c r="M98" s="228"/>
      <c r="N98" s="118"/>
      <c r="O98" s="118"/>
      <c r="P98" s="118"/>
      <c r="Q98" s="228"/>
      <c r="R98" s="228"/>
      <c r="S98" s="228"/>
      <c r="T98" s="228"/>
      <c r="U98" s="228"/>
      <c r="V98" s="228"/>
    </row>
    <row r="99" outlineLevel="1">
      <c r="A99" s="106"/>
      <c r="B99" s="107"/>
      <c r="C99" s="266" t="str">
        <f>'テンプレート'!C92</f>
        <v>判定持続</v>
      </c>
      <c r="D99" s="266" t="str">
        <f>'テンプレート'!D92</f>
        <v>全体フレーム</v>
      </c>
      <c r="E99" s="266" t="str">
        <f>'テンプレート'!E92</f>
        <v>基礎ダメージ</v>
      </c>
      <c r="F99" s="267" t="str">
        <f>'テンプレート'!F92</f>
        <v>ダメージ (1v1)</v>
      </c>
      <c r="G99" s="227"/>
      <c r="H99" s="227"/>
      <c r="I99" s="227"/>
      <c r="J99" s="228"/>
      <c r="K99" s="228"/>
      <c r="L99" s="228"/>
      <c r="M99" s="228"/>
      <c r="N99" s="228"/>
      <c r="O99" s="228"/>
      <c r="P99" s="228"/>
      <c r="Q99" s="228"/>
      <c r="R99" s="228"/>
      <c r="S99" s="228"/>
      <c r="T99" s="228"/>
      <c r="U99" s="228"/>
      <c r="V99" s="228"/>
    </row>
    <row r="100" outlineLevel="1">
      <c r="A100" s="268" t="str">
        <f>'テンプレート'!A93</f>
        <v>つかみ攻撃</v>
      </c>
      <c r="B100" s="269" t="str">
        <f>'テンプレート'!B93</f>
        <v>つかみ攻撃</v>
      </c>
      <c r="C100" s="239" t="s">
        <v>213</v>
      </c>
      <c r="D100" s="239" t="s">
        <v>150</v>
      </c>
      <c r="E100" s="239" t="s">
        <v>213</v>
      </c>
      <c r="F100" s="138">
        <f>E100*1.2</f>
        <v>1.2</v>
      </c>
      <c r="G100" s="227"/>
      <c r="H100" s="227"/>
      <c r="I100" s="227"/>
      <c r="J100" s="228"/>
      <c r="K100" s="228"/>
      <c r="L100" s="228"/>
      <c r="M100" s="228"/>
      <c r="N100" s="228"/>
      <c r="O100" s="228"/>
      <c r="P100" s="228"/>
      <c r="Q100" s="228"/>
      <c r="R100" s="228"/>
      <c r="S100" s="228"/>
      <c r="T100" s="228"/>
      <c r="U100" s="228"/>
      <c r="V100" s="228"/>
    </row>
    <row r="101" outlineLevel="1">
      <c r="A101" s="270" t="str">
        <f>'テンプレート'!A94</f>
        <v>つかみ</v>
      </c>
      <c r="B101" s="269" t="str">
        <f>'テンプレート'!B94</f>
        <v>その場</v>
      </c>
      <c r="C101" s="239" t="s">
        <v>217</v>
      </c>
      <c r="D101" s="239" t="s">
        <v>72</v>
      </c>
      <c r="E101" s="271"/>
      <c r="F101" s="272"/>
      <c r="G101" s="272"/>
      <c r="H101" s="227"/>
      <c r="I101" s="227"/>
      <c r="J101" s="228"/>
      <c r="K101" s="228"/>
      <c r="L101" s="228"/>
      <c r="M101" s="228"/>
      <c r="N101" s="228"/>
      <c r="O101" s="228"/>
      <c r="P101" s="228"/>
      <c r="Q101" s="228"/>
      <c r="R101" s="228"/>
      <c r="S101" s="228"/>
      <c r="T101" s="228"/>
      <c r="U101" s="228"/>
      <c r="V101" s="228"/>
    </row>
    <row r="102" outlineLevel="1">
      <c r="A102" s="212"/>
      <c r="B102" s="269" t="str">
        <f>'テンプレート'!B95</f>
        <v>ダッシュ</v>
      </c>
      <c r="C102" s="239" t="s">
        <v>220</v>
      </c>
      <c r="D102" s="239" t="s">
        <v>384</v>
      </c>
      <c r="E102" s="271"/>
      <c r="F102" s="272"/>
      <c r="G102" s="272"/>
      <c r="H102" s="227"/>
      <c r="I102" s="227"/>
      <c r="J102" s="228"/>
      <c r="K102" s="228"/>
      <c r="L102" s="228"/>
      <c r="M102" s="228"/>
      <c r="N102" s="228"/>
      <c r="O102" s="228"/>
      <c r="P102" s="228"/>
      <c r="Q102" s="228"/>
      <c r="R102" s="228"/>
      <c r="S102" s="228"/>
      <c r="T102" s="228"/>
      <c r="U102" s="228"/>
      <c r="V102" s="228"/>
    </row>
    <row r="103" outlineLevel="1">
      <c r="A103" s="106"/>
      <c r="B103" s="269" t="str">
        <f>'テンプレート'!B96</f>
        <v>ふりむき</v>
      </c>
      <c r="C103" s="239" t="s">
        <v>223</v>
      </c>
      <c r="D103" s="239" t="s">
        <v>224</v>
      </c>
      <c r="E103" s="227"/>
      <c r="F103" s="272"/>
      <c r="G103" s="272"/>
      <c r="H103" s="227"/>
      <c r="I103" s="227"/>
      <c r="J103" s="228"/>
      <c r="K103" s="228"/>
      <c r="L103" s="228"/>
      <c r="M103" s="228"/>
      <c r="N103" s="228"/>
      <c r="O103" s="228"/>
      <c r="P103" s="228"/>
      <c r="Q103" s="228"/>
      <c r="R103" s="228"/>
      <c r="S103" s="228"/>
      <c r="T103" s="228"/>
      <c r="U103" s="228"/>
      <c r="V103" s="228"/>
    </row>
    <row r="104" outlineLevel="1">
      <c r="A104" s="273" t="str">
        <f>'テンプレート'!A97</f>
        <v>投げ</v>
      </c>
      <c r="B104" s="109"/>
      <c r="C104" s="266" t="str">
        <f>'テンプレート'!C97</f>
        <v>判定持続</v>
      </c>
      <c r="D104" s="266" t="str">
        <f>'テンプレート'!D97</f>
        <v>全体フレーム</v>
      </c>
      <c r="E104" s="266" t="str">
        <f>'テンプレート'!E97</f>
        <v>基礎ダメージ</v>
      </c>
      <c r="F104" s="266" t="str">
        <f>'テンプレート'!F97</f>
        <v>ダメージ (1v1)</v>
      </c>
      <c r="G104" s="669" t="str">
        <f>'テンプレート'!G97</f>
        <v>備考</v>
      </c>
      <c r="H104" s="110"/>
      <c r="I104" s="110"/>
      <c r="J104" s="109"/>
      <c r="K104" s="275" t="str">
        <f>'テンプレート'!K97</f>
        <v>ベクトル</v>
      </c>
      <c r="L104" s="275" t="str">
        <f>'テンプレート'!L97</f>
        <v>KBG (R.E.)</v>
      </c>
      <c r="M104" s="275" t="str">
        <f>'テンプレート'!M97</f>
        <v>BKB (R.A.)</v>
      </c>
      <c r="N104" s="275" t="str">
        <f>'テンプレート'!N97</f>
        <v>FKB (R.F.)</v>
      </c>
      <c r="O104" s="276" t="str">
        <f>'テンプレート'!O97</f>
        <v>盾削り値</v>
      </c>
      <c r="P104" s="275" t="str">
        <f>'テンプレート'!P97</f>
        <v>ﾋｯﾄｽﾄｯﾌﾟ</v>
      </c>
      <c r="Q104" s="276" t="str">
        <f>'テンプレート'!Q97</f>
        <v>ずらし</v>
      </c>
      <c r="R104" s="277"/>
      <c r="S104" s="277"/>
      <c r="T104" s="277"/>
      <c r="U104" s="277"/>
      <c r="V104" s="277"/>
    </row>
    <row r="105" outlineLevel="1">
      <c r="A105" s="278" t="str">
        <f>'テンプレート'!A98</f>
        <v>前投げ</v>
      </c>
      <c r="B105" s="269" t="str">
        <f>'テンプレート'!B98</f>
        <v>打撃</v>
      </c>
      <c r="C105" s="281"/>
      <c r="D105" s="279">
        <v>58.0</v>
      </c>
      <c r="E105" s="281"/>
      <c r="F105" s="281"/>
      <c r="G105" s="416"/>
      <c r="H105" s="164"/>
      <c r="I105" s="164"/>
      <c r="J105" s="104"/>
      <c r="K105" s="281"/>
      <c r="L105" s="281"/>
      <c r="M105" s="281"/>
      <c r="N105" s="281"/>
      <c r="O105" s="281"/>
      <c r="P105" s="281"/>
      <c r="Q105" s="281"/>
      <c r="R105" s="277"/>
      <c r="S105" s="228"/>
      <c r="T105" s="228"/>
      <c r="U105" s="228"/>
      <c r="V105" s="228"/>
    </row>
    <row r="106" outlineLevel="1">
      <c r="A106" s="156"/>
      <c r="B106" s="269" t="str">
        <f>'テンプレート'!B99</f>
        <v>投げ</v>
      </c>
      <c r="C106" s="113">
        <v>45.0</v>
      </c>
      <c r="D106" s="156"/>
      <c r="E106" s="239" t="s">
        <v>150</v>
      </c>
      <c r="F106" s="138">
        <f>IFERROR(E106*1.2, "-")</f>
        <v>6</v>
      </c>
      <c r="G106" s="106"/>
      <c r="H106" s="168"/>
      <c r="I106" s="168"/>
      <c r="J106" s="107"/>
      <c r="K106" s="282"/>
      <c r="L106" s="282"/>
      <c r="M106" s="363"/>
      <c r="N106" s="363"/>
      <c r="O106" s="261"/>
      <c r="P106" s="261"/>
      <c r="Q106" s="261"/>
      <c r="R106" s="277"/>
      <c r="S106" s="228"/>
      <c r="T106" s="228"/>
      <c r="U106" s="228"/>
      <c r="V106" s="228"/>
    </row>
    <row r="107" outlineLevel="1">
      <c r="A107" s="278" t="str">
        <f>'テンプレート'!A100</f>
        <v>後投げ</v>
      </c>
      <c r="B107" s="269" t="str">
        <f>'テンプレート'!B100</f>
        <v>打撃</v>
      </c>
      <c r="C107" s="281"/>
      <c r="D107" s="279">
        <v>49.0</v>
      </c>
      <c r="E107" s="281"/>
      <c r="F107" s="281"/>
      <c r="G107" s="416"/>
      <c r="H107" s="164"/>
      <c r="I107" s="164"/>
      <c r="J107" s="104"/>
      <c r="K107" s="281"/>
      <c r="L107" s="281"/>
      <c r="M107" s="281"/>
      <c r="N107" s="281"/>
      <c r="O107" s="281"/>
      <c r="P107" s="281"/>
      <c r="Q107" s="281"/>
      <c r="R107" s="277"/>
      <c r="S107" s="228"/>
      <c r="T107" s="228"/>
      <c r="U107" s="228"/>
      <c r="V107" s="228"/>
    </row>
    <row r="108" outlineLevel="1">
      <c r="A108" s="156"/>
      <c r="B108" s="269" t="str">
        <f>'テンプレート'!B101</f>
        <v>投げ</v>
      </c>
      <c r="C108" s="113">
        <v>41.0</v>
      </c>
      <c r="D108" s="156"/>
      <c r="E108" s="239" t="s">
        <v>80</v>
      </c>
      <c r="F108" s="138">
        <f>IFERROR(E108*1.2, "-")</f>
        <v>9.6</v>
      </c>
      <c r="G108" s="106"/>
      <c r="H108" s="168"/>
      <c r="I108" s="168"/>
      <c r="J108" s="107"/>
      <c r="K108" s="282"/>
      <c r="L108" s="282"/>
      <c r="M108" s="363"/>
      <c r="N108" s="363"/>
      <c r="O108" s="261"/>
      <c r="P108" s="261"/>
      <c r="Q108" s="261"/>
      <c r="R108" s="277"/>
      <c r="S108" s="228"/>
      <c r="T108" s="228"/>
      <c r="U108" s="228"/>
      <c r="V108" s="228"/>
    </row>
    <row r="109" outlineLevel="1">
      <c r="A109" s="278" t="str">
        <f>'テンプレート'!A102</f>
        <v>上投げ</v>
      </c>
      <c r="B109" s="269" t="str">
        <f>'テンプレート'!B102</f>
        <v>打撃</v>
      </c>
      <c r="C109" s="239" t="s">
        <v>804</v>
      </c>
      <c r="D109" s="279">
        <v>79.0</v>
      </c>
      <c r="E109" s="239" t="s">
        <v>93</v>
      </c>
      <c r="F109" s="239" t="s">
        <v>94</v>
      </c>
      <c r="G109" s="413" t="s">
        <v>805</v>
      </c>
      <c r="H109" s="164"/>
      <c r="I109" s="164"/>
      <c r="J109" s="104"/>
      <c r="K109" s="281"/>
      <c r="L109" s="281"/>
      <c r="M109" s="281"/>
      <c r="N109" s="281"/>
      <c r="O109" s="281"/>
      <c r="P109" s="281"/>
      <c r="Q109" s="281"/>
      <c r="R109" s="277"/>
      <c r="S109" s="228"/>
      <c r="T109" s="228"/>
      <c r="U109" s="228"/>
      <c r="V109" s="228"/>
    </row>
    <row r="110" outlineLevel="1">
      <c r="A110" s="156"/>
      <c r="B110" s="269" t="str">
        <f>'テンプレート'!B103</f>
        <v>投げ</v>
      </c>
      <c r="C110" s="113">
        <v>51.0</v>
      </c>
      <c r="D110" s="156"/>
      <c r="E110" s="239" t="s">
        <v>128</v>
      </c>
      <c r="F110" s="138">
        <f t="shared" ref="F110:F113" si="2">IFERROR(E110*1.2, "-")</f>
        <v>12</v>
      </c>
      <c r="G110" s="106"/>
      <c r="H110" s="168"/>
      <c r="I110" s="168"/>
      <c r="J110" s="107"/>
      <c r="K110" s="282"/>
      <c r="L110" s="282"/>
      <c r="M110" s="363"/>
      <c r="N110" s="363"/>
      <c r="O110" s="261"/>
      <c r="P110" s="261"/>
      <c r="Q110" s="261"/>
      <c r="R110" s="277"/>
      <c r="S110" s="117"/>
      <c r="T110" s="117"/>
      <c r="U110" s="117"/>
      <c r="V110" s="117"/>
    </row>
    <row r="111" outlineLevel="1">
      <c r="A111" s="278" t="str">
        <f>'テンプレート'!A104</f>
        <v>下投げ</v>
      </c>
      <c r="B111" s="269" t="s">
        <v>806</v>
      </c>
      <c r="C111" s="113" t="s">
        <v>807</v>
      </c>
      <c r="D111" s="279">
        <v>87.0</v>
      </c>
      <c r="E111" s="365" t="s">
        <v>213</v>
      </c>
      <c r="F111" s="138">
        <f t="shared" si="2"/>
        <v>1.2</v>
      </c>
      <c r="G111" s="670"/>
      <c r="H111" s="164"/>
      <c r="I111" s="164"/>
      <c r="J111" s="104"/>
      <c r="K111" s="282"/>
      <c r="L111" s="282"/>
      <c r="M111" s="363"/>
      <c r="N111" s="363"/>
      <c r="O111" s="145">
        <v>0.0</v>
      </c>
      <c r="P111" s="145">
        <v>1.0</v>
      </c>
      <c r="Q111" s="145">
        <v>1.0</v>
      </c>
      <c r="R111" s="277"/>
      <c r="S111" s="117"/>
      <c r="T111" s="117"/>
      <c r="U111" s="117"/>
      <c r="V111" s="117"/>
    </row>
    <row r="112" outlineLevel="1">
      <c r="A112" s="146"/>
      <c r="B112" s="269" t="s">
        <v>808</v>
      </c>
      <c r="C112" s="113" t="s">
        <v>809</v>
      </c>
      <c r="D112" s="146"/>
      <c r="E112" s="239" t="s">
        <v>213</v>
      </c>
      <c r="F112" s="138">
        <f t="shared" si="2"/>
        <v>1.2</v>
      </c>
      <c r="G112" s="212"/>
      <c r="J112" s="210"/>
      <c r="K112" s="282"/>
      <c r="L112" s="282"/>
      <c r="M112" s="363"/>
      <c r="N112" s="363"/>
      <c r="O112" s="145">
        <v>0.0</v>
      </c>
      <c r="P112" s="145">
        <v>1.0</v>
      </c>
      <c r="Q112" s="145">
        <v>1.0</v>
      </c>
      <c r="R112" s="277"/>
      <c r="S112" s="117"/>
      <c r="T112" s="117"/>
      <c r="U112" s="117"/>
      <c r="V112" s="117"/>
    </row>
    <row r="113" outlineLevel="1">
      <c r="A113" s="156"/>
      <c r="B113" s="269" t="str">
        <f>'テンプレート'!B105</f>
        <v>投げ</v>
      </c>
      <c r="C113" s="113" t="s">
        <v>810</v>
      </c>
      <c r="D113" s="156"/>
      <c r="E113" s="239" t="s">
        <v>176</v>
      </c>
      <c r="F113" s="138">
        <f t="shared" si="2"/>
        <v>2.4</v>
      </c>
      <c r="G113" s="106"/>
      <c r="H113" s="168"/>
      <c r="I113" s="168"/>
      <c r="J113" s="107"/>
      <c r="K113" s="282"/>
      <c r="L113" s="282"/>
      <c r="M113" s="363"/>
      <c r="N113" s="363"/>
      <c r="O113" s="281"/>
      <c r="P113" s="281"/>
      <c r="Q113" s="281"/>
      <c r="R113" s="277"/>
      <c r="S113" s="117"/>
      <c r="T113" s="117"/>
      <c r="U113" s="117"/>
      <c r="V113" s="117"/>
    </row>
    <row r="114">
      <c r="A114" s="223"/>
      <c r="B114" s="224"/>
      <c r="C114" s="225"/>
      <c r="D114" s="225"/>
      <c r="E114" s="227"/>
      <c r="F114" s="177"/>
      <c r="G114" s="177"/>
      <c r="H114" s="227"/>
      <c r="I114" s="227"/>
      <c r="J114" s="228"/>
      <c r="K114" s="228"/>
      <c r="L114" s="111"/>
      <c r="M114" s="111"/>
      <c r="N114" s="111"/>
      <c r="O114" s="117"/>
      <c r="P114" s="117"/>
      <c r="Q114" s="111"/>
      <c r="R114" s="111"/>
      <c r="S114" s="111"/>
      <c r="T114" s="111"/>
      <c r="U114" s="111"/>
      <c r="V114" s="111"/>
    </row>
    <row r="115">
      <c r="A115" s="284" t="str">
        <f>'テンプレート'!A107</f>
        <v>回避</v>
      </c>
      <c r="B115" s="104"/>
      <c r="C115" s="265"/>
      <c r="D115" s="111"/>
      <c r="E115" s="111"/>
      <c r="F115" s="111"/>
      <c r="G115" s="111"/>
      <c r="H115" s="111"/>
      <c r="I115" s="111"/>
      <c r="J115" s="118"/>
      <c r="K115" s="111"/>
      <c r="L115" s="111"/>
      <c r="M115" s="111"/>
      <c r="N115" s="111"/>
      <c r="O115" s="111"/>
      <c r="P115" s="111"/>
      <c r="Q115" s="118"/>
      <c r="R115" s="111"/>
      <c r="S115" s="111"/>
      <c r="T115" s="111"/>
      <c r="U115" s="111"/>
      <c r="V115" s="111"/>
    </row>
    <row r="116" outlineLevel="1">
      <c r="A116" s="106"/>
      <c r="B116" s="107"/>
      <c r="C116" s="285" t="s">
        <v>235</v>
      </c>
      <c r="D116" s="285" t="s">
        <v>236</v>
      </c>
      <c r="E116" s="285" t="s">
        <v>49</v>
      </c>
      <c r="F116" s="285" t="s">
        <v>237</v>
      </c>
      <c r="G116" s="286"/>
      <c r="H116" s="227"/>
      <c r="I116" s="227"/>
      <c r="J116" s="228"/>
      <c r="K116" s="228"/>
      <c r="L116" s="111"/>
      <c r="M116" s="111"/>
      <c r="N116" s="111"/>
      <c r="O116" s="111"/>
      <c r="P116" s="111"/>
      <c r="Q116" s="111"/>
      <c r="R116" s="111"/>
      <c r="S116" s="111"/>
      <c r="T116" s="111"/>
      <c r="U116" s="111"/>
      <c r="V116" s="111"/>
    </row>
    <row r="117" outlineLevel="1">
      <c r="A117" s="287" t="str">
        <f>'テンプレート'!A109</f>
        <v>地上回避</v>
      </c>
      <c r="B117" s="288" t="str">
        <f>'テンプレート'!B109</f>
        <v>その場</v>
      </c>
      <c r="C117" s="113" t="str">
        <f t="array" ref="C117">INDEX('回避'!$C$3:$U$84, MATCH($A$1,'回避'!$A$3:$A$91,0), MATCH(C116,'回避'!$C$2:$F$2,0))</f>
        <v>3-17</v>
      </c>
      <c r="D117" s="113" t="str">
        <f t="array" ref="D117">INDEX('回避'!$C$3:$U$84, MATCH($A$1,'回避'!$A$3:$A$91,0), MATCH(D116,'回避'!$C$2:$F$2,0))</f>
        <v>6-17</v>
      </c>
      <c r="E117" s="113" t="str">
        <f t="array" ref="E117">INDEX('回避'!$C$3:$U$84, MATCH($A$1,'回避'!$A$3:$A$91,0), MATCH(E116,'回避'!$C$2:$F$2,0))</f>
        <v>26 (21)</v>
      </c>
      <c r="F117" s="113" t="str">
        <f t="array" ref="F117">INDEX('回避'!$C$3:$U$84, MATCH($A$1,'回避'!$A$3:$A$91,0), MATCH(F116,'回避'!$C$2:$F$2,0))</f>
        <v>35 (28)</v>
      </c>
      <c r="G117" s="272"/>
      <c r="H117" s="227"/>
      <c r="I117" s="227"/>
      <c r="J117" s="228"/>
      <c r="K117" s="228"/>
      <c r="L117" s="228"/>
      <c r="M117" s="111"/>
      <c r="N117" s="111"/>
      <c r="O117" s="111"/>
      <c r="P117" s="111"/>
      <c r="Q117" s="111"/>
      <c r="R117" s="111"/>
      <c r="S117" s="111"/>
      <c r="T117" s="111"/>
      <c r="U117" s="111"/>
      <c r="V117" s="111"/>
    </row>
    <row r="118" outlineLevel="1">
      <c r="A118" s="212"/>
      <c r="B118" s="288" t="str">
        <f>'テンプレート'!B110</f>
        <v>前方</v>
      </c>
      <c r="C118" s="113" t="str">
        <f t="array" ref="C118">INDEX('回避'!$G$3:$U$84, MATCH($A$1,'回避'!$A$3:$A$91,0), MATCH(C116,'回避'!$G$2:$J$2,0))</f>
        <v>4-15</v>
      </c>
      <c r="D118" s="113" t="str">
        <f t="array" ref="D118">INDEX('回避'!$G$3:$U$84, MATCH($A$1,'回避'!$A$3:$A$91,0), MATCH(D116,'回避'!$G$2:$J$2,0))</f>
        <v>8-14</v>
      </c>
      <c r="E118" s="113" t="str">
        <f t="array" ref="E118">INDEX('回避'!$G$3:$U$84, MATCH($A$1,'回避'!$A$3:$A$91,0), MATCH(E116,'回避'!$G$2:$J$2,0))</f>
        <v>30</v>
      </c>
      <c r="F118" s="113">
        <f t="array" ref="F118">INDEX('回避'!$G$3:$U$84, MATCH($A$1,'回避'!$A$3:$A$91,0), MATCH(F116,'回避'!$G$2:$J$2,0))</f>
        <v>40</v>
      </c>
      <c r="G118" s="289"/>
      <c r="H118" s="227"/>
      <c r="I118" s="227"/>
      <c r="J118" s="228"/>
      <c r="K118" s="228"/>
      <c r="L118" s="228"/>
      <c r="M118" s="228"/>
      <c r="N118" s="228"/>
      <c r="O118" s="111"/>
      <c r="P118" s="111"/>
      <c r="Q118" s="111"/>
      <c r="R118" s="111"/>
      <c r="S118" s="111"/>
      <c r="T118" s="111"/>
      <c r="U118" s="111"/>
      <c r="V118" s="111"/>
    </row>
    <row r="119" outlineLevel="1">
      <c r="A119" s="106"/>
      <c r="B119" s="288" t="str">
        <f>'テンプレート'!B111</f>
        <v>後方</v>
      </c>
      <c r="C119" s="113" t="str">
        <f t="array" ref="C119">INDEX('回避'!$K$3:$U$84, MATCH($A$1,'回避'!$A$3:$A$91,0), MATCH(C116,'回避'!$K$2:$N$2,0))</f>
        <v>5-16</v>
      </c>
      <c r="D119" s="113" t="str">
        <f t="array" ref="D119">INDEX('回避'!$K$3:$U$84, MATCH($A$1,'回避'!$A$3:$A$91,0), MATCH(D116,'回避'!$K$2:$N$2,0))</f>
        <v>9-14</v>
      </c>
      <c r="E119" s="113" t="str">
        <f t="array" ref="E119">INDEX('回避'!$K$3:$U$84, MATCH($A$1,'回避'!$A$3:$A$91,0), MATCH(E116,'回避'!$K$2:$N$2,0))</f>
        <v>35</v>
      </c>
      <c r="F119" s="113" t="str">
        <f t="array" ref="F119">INDEX('回避'!$K$3:$U$84, MATCH($A$1,'回避'!$A$3:$A$91,0), MATCH(F116,'回避'!$K$2:$N$2,0))</f>
        <v>53</v>
      </c>
      <c r="G119" s="289"/>
      <c r="H119" s="290"/>
      <c r="I119" s="290"/>
      <c r="J119" s="117"/>
      <c r="K119" s="117"/>
      <c r="L119" s="117"/>
      <c r="M119" s="117"/>
      <c r="N119" s="117"/>
      <c r="O119" s="111"/>
      <c r="P119" s="111"/>
      <c r="Q119" s="111"/>
      <c r="R119" s="111"/>
      <c r="S119" s="111"/>
      <c r="T119" s="111"/>
      <c r="U119" s="111"/>
      <c r="V119" s="111"/>
    </row>
    <row r="120" outlineLevel="1">
      <c r="A120" s="287" t="str">
        <f>'テンプレート'!A112</f>
        <v>空中回避</v>
      </c>
      <c r="B120" s="288" t="str">
        <f>'テンプレート'!B112</f>
        <v>通常</v>
      </c>
      <c r="C120" s="113" t="str">
        <f t="array" ref="C120">INDEX('回避'!$O$3:$U$84, MATCH($A$1,'回避'!$A$3:$A$91,0), MATCH(C116,'回避'!$O$2:$R$2,0))</f>
        <v>3-29</v>
      </c>
      <c r="D120" s="113" t="str">
        <f t="array" ref="D120">INDEX('回避'!$O$3:$U$84, MATCH($A$1,'回避'!$A$3:$A$91,0), MATCH(D116,'回避'!$O$2:$R$2,0))</f>
        <v>6-27</v>
      </c>
      <c r="E120" s="113" t="str">
        <f t="array" ref="E120">INDEX('回避'!$O$3:$U$84, MATCH($A$1,'回避'!$A$3:$A$91,0), MATCH(E116,'回避'!$O$2:$R$2,0))</f>
        <v>62</v>
      </c>
      <c r="F120" s="177"/>
      <c r="G120" s="177"/>
      <c r="H120" s="118"/>
      <c r="I120" s="118"/>
      <c r="J120" s="111"/>
      <c r="K120" s="111"/>
      <c r="L120" s="111"/>
      <c r="M120" s="111"/>
      <c r="N120" s="111"/>
      <c r="O120" s="228"/>
      <c r="P120" s="228"/>
      <c r="Q120" s="228"/>
      <c r="R120" s="228"/>
      <c r="S120" s="228"/>
      <c r="T120" s="228"/>
      <c r="U120" s="228"/>
      <c r="V120" s="228"/>
    </row>
    <row r="121" outlineLevel="1">
      <c r="A121" s="106"/>
      <c r="B121" s="288" t="str">
        <f>'テンプレート'!B113</f>
        <v>移動</v>
      </c>
      <c r="C121" s="113" t="str">
        <f t="array" ref="C121">INDEX('回避'!$S$3:$U$84, MATCH($A$1,'回避'!$A$3:$A$91,0), MATCH(C116,'回避'!$S$2:$U$2,0))</f>
        <v>3-21</v>
      </c>
      <c r="D121" s="113" t="str">
        <f t="array" ref="D121">INDEX('回避'!$S$3:$U$84, MATCH($A$1,'回避'!$A$3:$A$91,0), MATCH(D116,'回避'!$S$2:$U$2,0))</f>
        <v>6-20</v>
      </c>
      <c r="E121" s="113" t="str">
        <f t="array" ref="E121">INDEX('回避'!$S$3:$U$84, MATCH($A$1,'回避'!$A$3:$A$91,0), MATCH(E116,'回避'!$S$2:$U$2,0))</f>
        <v>真横：102
真上：141
真下：82</v>
      </c>
      <c r="F121" s="289"/>
      <c r="G121" s="289"/>
      <c r="H121" s="118"/>
      <c r="I121" s="118"/>
      <c r="J121" s="117"/>
      <c r="K121" s="117"/>
      <c r="L121" s="117"/>
      <c r="M121" s="117"/>
      <c r="N121" s="111"/>
      <c r="O121" s="118"/>
      <c r="P121" s="118"/>
      <c r="Q121" s="118"/>
      <c r="R121" s="118"/>
      <c r="S121" s="118"/>
      <c r="T121" s="118"/>
      <c r="U121" s="118"/>
      <c r="V121" s="118"/>
    </row>
    <row r="122">
      <c r="A122" s="291"/>
      <c r="B122" s="292"/>
      <c r="C122" s="286"/>
      <c r="D122" s="286"/>
      <c r="E122" s="293"/>
      <c r="F122" s="286"/>
      <c r="G122" s="286"/>
      <c r="H122" s="286"/>
      <c r="I122" s="286"/>
      <c r="J122" s="111"/>
      <c r="K122" s="227"/>
      <c r="L122" s="227"/>
      <c r="M122" s="227"/>
      <c r="N122" s="227"/>
      <c r="O122" s="118"/>
      <c r="P122" s="118"/>
      <c r="Q122" s="118"/>
      <c r="R122" s="118"/>
      <c r="S122" s="118"/>
      <c r="T122" s="118"/>
      <c r="U122" s="118"/>
      <c r="V122" s="118"/>
    </row>
    <row r="123">
      <c r="A123" s="294" t="s">
        <v>238</v>
      </c>
      <c r="B123" s="104"/>
      <c r="C123" s="228"/>
      <c r="D123" s="117"/>
      <c r="E123" s="228"/>
      <c r="F123" s="114"/>
      <c r="G123" s="114"/>
      <c r="H123" s="117"/>
      <c r="I123" s="117"/>
      <c r="J123" s="118"/>
      <c r="K123" s="118"/>
      <c r="L123" s="118"/>
      <c r="M123" s="118"/>
      <c r="N123" s="118"/>
      <c r="O123" s="118"/>
      <c r="P123" s="118"/>
      <c r="Q123" s="118"/>
      <c r="R123" s="118"/>
      <c r="S123" s="118"/>
      <c r="T123" s="118"/>
      <c r="U123" s="118"/>
      <c r="V123" s="118"/>
    </row>
    <row r="124" outlineLevel="1">
      <c r="A124" s="106"/>
      <c r="B124" s="107"/>
      <c r="C124" s="295" t="s">
        <v>235</v>
      </c>
      <c r="D124" s="295" t="s">
        <v>49</v>
      </c>
      <c r="E124" s="295" t="s">
        <v>48</v>
      </c>
      <c r="F124" s="295" t="s">
        <v>50</v>
      </c>
      <c r="G124" s="296" t="s">
        <v>51</v>
      </c>
      <c r="H124" s="228"/>
      <c r="I124" s="228"/>
      <c r="J124" s="117"/>
      <c r="K124" s="297" t="str">
        <f>'テンプレート'!K116</f>
        <v>アイテム取得</v>
      </c>
      <c r="L124" s="109"/>
      <c r="M124" s="298" t="str">
        <f>'テンプレート'!M116</f>
        <v>取得フレーム</v>
      </c>
      <c r="N124" s="298" t="str">
        <f>'テンプレート'!N116</f>
        <v>全体フレーム</v>
      </c>
      <c r="O124" s="118"/>
      <c r="P124" s="118"/>
      <c r="Q124" s="118"/>
      <c r="R124" s="118"/>
      <c r="S124" s="118"/>
      <c r="T124" s="118"/>
      <c r="U124" s="118"/>
      <c r="V124" s="118"/>
    </row>
    <row r="125" outlineLevel="1">
      <c r="A125" s="299" t="s">
        <v>239</v>
      </c>
      <c r="B125" s="300" t="s">
        <v>240</v>
      </c>
      <c r="C125" s="301"/>
      <c r="D125" s="113">
        <f t="array" ref="D125">INDEX('崖行動・受け身'!$C$3:$C123, MATCH($A$1,'崖行動・受け身'!$A$3:$A$115,0), MATCH(D124,'崖行動・受け身'!$C$2,0))</f>
        <v>19</v>
      </c>
      <c r="E125" s="301"/>
      <c r="F125" s="301"/>
      <c r="G125" s="301"/>
      <c r="H125" s="228"/>
      <c r="I125" s="228"/>
      <c r="J125" s="111"/>
      <c r="K125" s="302" t="str">
        <f>'テンプレート'!K117</f>
        <v>小アイテム</v>
      </c>
      <c r="L125" s="303" t="str">
        <f>'テンプレート'!L117</f>
        <v>その場</v>
      </c>
      <c r="M125" s="113" t="s">
        <v>76</v>
      </c>
      <c r="N125" s="113">
        <v>7.0</v>
      </c>
      <c r="O125" s="118"/>
      <c r="P125" s="118"/>
      <c r="Q125" s="118"/>
      <c r="R125" s="118"/>
      <c r="S125" s="118"/>
      <c r="T125" s="118"/>
      <c r="U125" s="118"/>
      <c r="V125" s="118"/>
    </row>
    <row r="126" outlineLevel="1">
      <c r="A126" s="146"/>
      <c r="B126" s="300" t="s">
        <v>216</v>
      </c>
      <c r="C126" s="113" t="str">
        <f t="array" ref="C126">INDEX('崖行動・受け身'!$D$3:$E123, MATCH($A$1,'崖行動・受け身'!$A$3:$A$115,0), MATCH(C124,'崖行動・受け身'!$D$2:$E$2,0))</f>
        <v>1-32</v>
      </c>
      <c r="D126" s="113">
        <f t="array" ref="D126">INDEX('崖行動・受け身'!$D$3:$E123, MATCH($A$1,'崖行動・受け身'!$A$3:$A$115,0), MATCH(D124,'崖行動・受け身'!$D$2:$E$2,0))</f>
        <v>33</v>
      </c>
      <c r="E126" s="301"/>
      <c r="F126" s="301"/>
      <c r="G126" s="301"/>
      <c r="H126" s="228"/>
      <c r="I126" s="228"/>
      <c r="J126" s="117"/>
      <c r="K126" s="156"/>
      <c r="L126" s="303" t="str">
        <f>'テンプレート'!L118</f>
        <v>歩き</v>
      </c>
      <c r="M126" s="113" t="s">
        <v>76</v>
      </c>
      <c r="N126" s="113">
        <v>23.0</v>
      </c>
      <c r="O126" s="118"/>
      <c r="P126" s="118"/>
      <c r="Q126" s="118"/>
      <c r="R126" s="118"/>
      <c r="S126" s="118"/>
      <c r="T126" s="118"/>
      <c r="U126" s="118"/>
      <c r="V126" s="118"/>
    </row>
    <row r="127" outlineLevel="1">
      <c r="A127" s="146"/>
      <c r="B127" s="300" t="s">
        <v>241</v>
      </c>
      <c r="C127" s="113" t="str">
        <f t="array" ref="C127">INDEX('崖行動・受け身'!$F$3:$G$115, MATCH($A$1,'崖行動・受け身'!$A$3:$A$115,0), MATCH(C124,'崖行動・受け身'!$F$2:$G$2,0))</f>
        <v>1-22</v>
      </c>
      <c r="D127" s="113">
        <f t="array" ref="D127">INDEX('崖行動・受け身'!$F$3:$G$115, MATCH($A$1,'崖行動・受け身'!$A$3:$A$115,0), MATCH(D124,'崖行動・受け身'!$F$2:$G$2,0))</f>
        <v>45</v>
      </c>
      <c r="E127" s="301"/>
      <c r="F127" s="301"/>
      <c r="G127" s="301"/>
      <c r="H127" s="228"/>
      <c r="I127" s="228"/>
      <c r="J127" s="111"/>
      <c r="K127" s="304" t="str">
        <f>'テンプレート'!K119</f>
        <v>アイテム投擲</v>
      </c>
      <c r="L127" s="109"/>
      <c r="M127" s="298" t="str">
        <f>'テンプレート'!M119</f>
        <v>投擲フレーム</v>
      </c>
      <c r="N127" s="298" t="str">
        <f>'テンプレート'!N119</f>
        <v>全体フレーム</v>
      </c>
      <c r="O127" s="118"/>
      <c r="P127" s="118"/>
      <c r="Q127" s="118"/>
      <c r="R127" s="118"/>
      <c r="S127" s="118"/>
      <c r="T127" s="118"/>
      <c r="U127" s="118"/>
      <c r="V127" s="118"/>
    </row>
    <row r="128" outlineLevel="1">
      <c r="A128" s="146"/>
      <c r="B128" s="300" t="s">
        <v>242</v>
      </c>
      <c r="C128" s="113" t="str">
        <f t="array" ref="C128">INDEX('崖行動・受け身'!$H$3:$I$115, MATCH($A$1,'崖行動・受け身'!$A$3:$A$115,0), MATCH(C124,'崖行動・受け身'!$H$2:$I$2,0))</f>
        <v>1-12</v>
      </c>
      <c r="D128" s="113">
        <f t="array" ref="D128">INDEX('崖行動・受け身'!$H$3:$I$115, MATCH($A$1,'崖行動・受け身'!$A$3:$A$115,0), MATCH(D124,'崖行動・受け身'!$H$2:$I$2,0))</f>
        <v>14</v>
      </c>
      <c r="E128" s="301"/>
      <c r="F128" s="301"/>
      <c r="G128" s="301"/>
      <c r="H128" s="228"/>
      <c r="I128" s="228"/>
      <c r="J128" s="117"/>
      <c r="K128" s="305" t="str">
        <f>'テンプレート'!K120</f>
        <v>地上投擲</v>
      </c>
      <c r="L128" s="303" t="str">
        <f>'テンプレート'!L120</f>
        <v>前投げ</v>
      </c>
      <c r="M128" s="113" t="s">
        <v>80</v>
      </c>
      <c r="N128" s="113">
        <v>24.0</v>
      </c>
      <c r="O128" s="111"/>
      <c r="P128" s="111"/>
      <c r="Q128" s="111"/>
      <c r="R128" s="111"/>
      <c r="S128" s="111"/>
      <c r="T128" s="111"/>
      <c r="U128" s="111"/>
      <c r="V128" s="111"/>
    </row>
    <row r="129" outlineLevel="1">
      <c r="A129" s="156"/>
      <c r="B129" s="300" t="s">
        <v>243</v>
      </c>
      <c r="C129" s="113" t="str">
        <f t="array" ref="C129">INDEX('崖行動・受け身'!$J$3:$M$115, MATCH($A$1,'崖行動・受け身'!$A$3:$A$115,0), MATCH(C124,'崖行動・受け身'!$J$2:$M$2,0))</f>
        <v>1-22</v>
      </c>
      <c r="D129" s="113">
        <f t="array" ref="D129">INDEX('崖行動・受け身'!$J$3:$M$115, MATCH($A$1,'崖行動・受け身'!$A$3:$A$115,0), MATCH(D124,'崖行動・受け身'!$J$2:$M$2,0))</f>
        <v>55</v>
      </c>
      <c r="E129" s="113" t="str">
        <f t="array" ref="E129">INDEX('崖行動・受け身'!$J$3:$M$115, MATCH($A$1,'崖行動・受け身'!$A$3:$A$115,0), MATCH(E124,'崖行動・受け身'!$J$2:$M$2,0))</f>
        <v>20-22</v>
      </c>
      <c r="F129" s="113">
        <f t="array" ref="F129">INDEX('崖行動・受け身'!$J$3:$M$115, MATCH($A$1,'崖行動・受け身'!$A$3:$A$115,0), MATCH(F124,'崖行動・受け身'!$J$2:$M$2,0))</f>
        <v>9</v>
      </c>
      <c r="G129" s="113">
        <f>F129*1.2</f>
        <v>10.8</v>
      </c>
      <c r="H129" s="228"/>
      <c r="I129" s="228"/>
      <c r="J129" s="111"/>
      <c r="K129" s="146"/>
      <c r="L129" s="303" t="str">
        <f>'テンプレート'!L121</f>
        <v>後投げ</v>
      </c>
      <c r="M129" s="113" t="s">
        <v>232</v>
      </c>
      <c r="N129" s="113">
        <v>24.0</v>
      </c>
      <c r="O129" s="111"/>
      <c r="P129" s="111"/>
      <c r="Q129" s="111"/>
      <c r="R129" s="111"/>
      <c r="S129" s="111"/>
      <c r="T129" s="111"/>
      <c r="U129" s="111"/>
      <c r="V129" s="111"/>
    </row>
    <row r="130" outlineLevel="1">
      <c r="A130" s="299" t="s">
        <v>244</v>
      </c>
      <c r="B130" s="300" t="s">
        <v>216</v>
      </c>
      <c r="C130" s="113" t="str">
        <f t="array" ref="C130">INDEX('崖行動・受け身'!$N$3:$O$115, MATCH($A$1,'崖行動・受け身'!$A$3:$A$115,0), MATCH(C124,'崖行動・受け身'!$N$2:$O$2,0))</f>
        <v>1-20</v>
      </c>
      <c r="D130" s="113">
        <f t="array" ref="D130">INDEX('崖行動・受け身'!$N$3:$O$115, MATCH($A$1,'崖行動・受け身'!$A$3:$A$115,0), MATCH(D124,'崖行動・受け身'!$N$2:$O$2,0))</f>
        <v>26</v>
      </c>
      <c r="E130" s="301"/>
      <c r="F130" s="301"/>
      <c r="G130" s="301"/>
      <c r="H130" s="228"/>
      <c r="I130" s="228"/>
      <c r="J130" s="117"/>
      <c r="K130" s="146"/>
      <c r="L130" s="303" t="str">
        <f>'テンプレート'!L122</f>
        <v>上投げ</v>
      </c>
      <c r="M130" s="113" t="s">
        <v>129</v>
      </c>
      <c r="N130" s="113">
        <v>23.0</v>
      </c>
      <c r="O130" s="228"/>
      <c r="P130" s="228"/>
      <c r="Q130" s="228"/>
      <c r="R130" s="228"/>
      <c r="S130" s="228"/>
      <c r="T130" s="228"/>
      <c r="U130" s="228"/>
      <c r="V130" s="228"/>
    </row>
    <row r="131" outlineLevel="1">
      <c r="A131" s="146"/>
      <c r="B131" s="300" t="s">
        <v>245</v>
      </c>
      <c r="C131" s="113" t="str">
        <f t="array" ref="C131">INDEX('崖行動・受け身'!$P$3:$Q$115, MATCH($A$1,'崖行動・受け身'!$A$3:$A$115,0), MATCH(C124,'崖行動・受け身'!$P$2:$Q$2,0))</f>
        <v>1-20</v>
      </c>
      <c r="D131" s="113">
        <f t="array" ref="D131">INDEX('崖行動・受け身'!$P$3:$Q$115, MATCH($A$1,'崖行動・受け身'!$A$3:$A$115,0), MATCH(D124,'崖行動・受け身'!$P$2:$Q$2,0))</f>
        <v>40</v>
      </c>
      <c r="E131" s="301"/>
      <c r="F131" s="301"/>
      <c r="G131" s="301"/>
      <c r="H131" s="228"/>
      <c r="I131" s="228"/>
      <c r="J131" s="111"/>
      <c r="K131" s="146"/>
      <c r="L131" s="303" t="str">
        <f>'テンプレート'!L123</f>
        <v>下投げ</v>
      </c>
      <c r="M131" s="113" t="s">
        <v>93</v>
      </c>
      <c r="N131" s="113">
        <v>23.0</v>
      </c>
      <c r="O131" s="118"/>
      <c r="P131" s="118"/>
      <c r="Q131" s="118"/>
      <c r="R131" s="118"/>
      <c r="S131" s="118"/>
      <c r="T131" s="118"/>
      <c r="U131" s="118"/>
      <c r="V131" s="118"/>
    </row>
    <row r="132" outlineLevel="1">
      <c r="A132" s="156"/>
      <c r="B132" s="300" t="s">
        <v>246</v>
      </c>
      <c r="C132" s="113" t="str">
        <f t="array" ref="C132">INDEX('崖行動・受け身'!$R$3:$S$115, MATCH($A$1,'崖行動・受け身'!$A$3:$A$115,0), MATCH(C124,'崖行動・受け身'!$R$2:$S$2,0))</f>
        <v>1-20</v>
      </c>
      <c r="D132" s="113">
        <f t="array" ref="D132">INDEX('崖行動・受け身'!$R$3:$S$115, MATCH($A$1,'崖行動・受け身'!$A$3:$A$115,0), MATCH(D124,'崖行動・受け身'!$R$2:$S$2,0))</f>
        <v>40</v>
      </c>
      <c r="E132" s="301"/>
      <c r="F132" s="301"/>
      <c r="G132" s="301"/>
      <c r="H132" s="228"/>
      <c r="I132" s="228"/>
      <c r="J132" s="117"/>
      <c r="K132" s="146"/>
      <c r="L132" s="306" t="str">
        <f>'テンプレート'!L124</f>
        <v>ダッシュ</v>
      </c>
      <c r="M132" s="113" t="s">
        <v>150</v>
      </c>
      <c r="N132" s="113">
        <v>39.0</v>
      </c>
      <c r="O132" s="118"/>
      <c r="P132" s="118"/>
      <c r="Q132" s="118"/>
      <c r="R132" s="118"/>
      <c r="S132" s="118"/>
      <c r="T132" s="118"/>
      <c r="U132" s="118"/>
      <c r="V132" s="118"/>
    </row>
    <row r="133" outlineLevel="1">
      <c r="A133" s="299" t="s">
        <v>247</v>
      </c>
      <c r="B133" s="300" t="s">
        <v>248</v>
      </c>
      <c r="C133" s="301"/>
      <c r="D133" s="113" t="str">
        <f t="array" ref="D133">INDEX('起きあがり'!$C$3:$C123, MATCH($A$1,'起きあがり'!$A$3:$A$115,0), MATCH(D124,'起きあがり'!$C$2:$AD$2,0))</f>
        <v>25</v>
      </c>
      <c r="E133" s="301"/>
      <c r="F133" s="301"/>
      <c r="G133" s="301"/>
      <c r="H133" s="228"/>
      <c r="I133" s="228"/>
      <c r="J133" s="111"/>
      <c r="K133" s="156"/>
      <c r="L133" s="306" t="str">
        <f>'テンプレート'!L125</f>
        <v>その場捨て</v>
      </c>
      <c r="M133" s="113" t="s">
        <v>93</v>
      </c>
      <c r="N133" s="113">
        <v>23.0</v>
      </c>
      <c r="O133" s="118"/>
      <c r="P133" s="118"/>
      <c r="Q133" s="118"/>
      <c r="R133" s="118"/>
      <c r="S133" s="118"/>
      <c r="T133" s="118"/>
      <c r="U133" s="118"/>
      <c r="V133" s="118"/>
    </row>
    <row r="134" outlineLevel="1">
      <c r="A134" s="146"/>
      <c r="B134" s="300" t="s">
        <v>216</v>
      </c>
      <c r="C134" s="307" t="str">
        <f t="array" ref="C134">INDEX('起きあがり'!$D$3:$E123, MATCH($A$1,'起きあがり'!$A$3:$A$115,0), MATCH(C124,'起きあがり'!$D$2:$AD$2,0))</f>
        <v>1-22</v>
      </c>
      <c r="D134" s="308">
        <f t="array" ref="D134">INDEX('起きあがり'!$D$3:$E123, MATCH($A$1,'起きあがり'!$A$3:$A$115,0), MATCH(D124,'起きあがり'!$D$2:$AD$2,0))</f>
        <v>29</v>
      </c>
      <c r="E134" s="301"/>
      <c r="F134" s="301"/>
      <c r="G134" s="301"/>
      <c r="H134" s="228"/>
      <c r="I134" s="228"/>
      <c r="J134" s="117"/>
      <c r="K134" s="305" t="str">
        <f>'テンプレート'!K126</f>
        <v>空中投擲</v>
      </c>
      <c r="L134" s="303" t="str">
        <f>'テンプレート'!L126</f>
        <v>前投げ</v>
      </c>
      <c r="M134" s="113" t="s">
        <v>80</v>
      </c>
      <c r="N134" s="113">
        <v>25.0</v>
      </c>
      <c r="O134" s="118"/>
      <c r="P134" s="118"/>
      <c r="Q134" s="118"/>
      <c r="R134" s="118"/>
      <c r="S134" s="118"/>
      <c r="T134" s="118"/>
      <c r="U134" s="118"/>
      <c r="V134" s="118"/>
    </row>
    <row r="135" outlineLevel="1">
      <c r="A135" s="146"/>
      <c r="B135" s="300" t="s">
        <v>245</v>
      </c>
      <c r="C135" s="307" t="str">
        <f t="array" ref="C135">INDEX('起きあがり'!$F$3:$G$115, MATCH($A$1,'起きあがり'!$A$3:$A$115,0), MATCH(C124,'起きあがり'!$F$2:$AD$2,0))</f>
        <v>1-18</v>
      </c>
      <c r="D135" s="308">
        <f t="array" ref="D135">INDEX('起きあがり'!$F$3:$G$115, MATCH($A$1,'起きあがり'!$A$3:$A$115,0), MATCH(D124,'起きあがり'!$F$2:$AD$2,0))</f>
        <v>35</v>
      </c>
      <c r="E135" s="301"/>
      <c r="F135" s="301"/>
      <c r="G135" s="301"/>
      <c r="H135" s="228"/>
      <c r="I135" s="228"/>
      <c r="J135" s="111"/>
      <c r="K135" s="146"/>
      <c r="L135" s="303" t="str">
        <f>'テンプレート'!L127</f>
        <v>後投げ</v>
      </c>
      <c r="M135" s="113" t="s">
        <v>232</v>
      </c>
      <c r="N135" s="113">
        <v>29.0</v>
      </c>
      <c r="O135" s="118"/>
      <c r="P135" s="118"/>
      <c r="Q135" s="118"/>
      <c r="R135" s="118"/>
      <c r="S135" s="118"/>
      <c r="T135" s="118"/>
      <c r="U135" s="118"/>
      <c r="V135" s="118"/>
    </row>
    <row r="136" outlineLevel="1">
      <c r="A136" s="146"/>
      <c r="B136" s="300" t="s">
        <v>246</v>
      </c>
      <c r="C136" s="113" t="str">
        <f t="array" ref="C136">INDEX('起きあがり'!$H$3:$I$115, MATCH($A$1,'起きあがり'!$A$3:$A$115,0), MATCH(C124,'起きあがり'!$H$2:$AD$2,0))</f>
        <v>1-20</v>
      </c>
      <c r="D136" s="113">
        <f t="array" ref="D136">INDEX('起きあがり'!$H$3:$I$115, MATCH($A$1,'起きあがり'!$A$3:$A$115,0), MATCH(D124,'起きあがり'!$H$2:$AD$2,0))</f>
        <v>35</v>
      </c>
      <c r="E136" s="301"/>
      <c r="F136" s="301"/>
      <c r="G136" s="301"/>
      <c r="H136" s="228"/>
      <c r="I136" s="228"/>
      <c r="J136" s="117"/>
      <c r="K136" s="146"/>
      <c r="L136" s="303" t="str">
        <f>'テンプレート'!L128</f>
        <v>上投げ</v>
      </c>
      <c r="M136" s="113" t="s">
        <v>129</v>
      </c>
      <c r="N136" s="113">
        <v>29.0</v>
      </c>
      <c r="O136" s="118"/>
      <c r="P136" s="118"/>
      <c r="Q136" s="118"/>
      <c r="R136" s="118"/>
      <c r="S136" s="118"/>
      <c r="T136" s="118"/>
      <c r="U136" s="118"/>
      <c r="V136" s="118"/>
    </row>
    <row r="137" outlineLevel="1">
      <c r="A137" s="146"/>
      <c r="B137" s="300" t="s">
        <v>249</v>
      </c>
      <c r="C137" s="309" t="str">
        <f t="array" ref="C137">INDEX('起きあがり'!$J$3:$M$115, MATCH($A$1,'起きあがり'!$A$3:$A$115,0), MATCH(C124,'起きあがり'!$J$2:$AD$2,0))</f>
        <v>1-21</v>
      </c>
      <c r="D137" s="310">
        <f t="array" ref="D137">INDEX('起きあがり'!$J$3:$M$115, MATCH($A$1,'起きあがり'!$A$3:$A$115,0), MATCH(D124,'起きあがり'!$J$2:$AD$2,0))</f>
        <v>45</v>
      </c>
      <c r="E137" s="307" t="str">
        <f t="array" ref="E137">INDEX('起きあがり'!$J$3:$M$115, MATCH($A$1,'起きあがり'!$A$3:$A$115,0), MATCH(E124,'起きあがり'!$J$2:$AD$2,0))</f>
        <v>16-17</v>
      </c>
      <c r="F137" s="308">
        <f t="array" ref="F137">INDEX('起きあがり'!$J$3:$M$115, MATCH($A$1,'起きあがり'!$A$3:$A$115,0), MATCH(F124,'起きあがり'!$J$2:$AD$2,0))</f>
        <v>7</v>
      </c>
      <c r="G137" s="113">
        <f t="shared" ref="G137:G138" si="3">F137*1.2</f>
        <v>8.4</v>
      </c>
      <c r="H137" s="228"/>
      <c r="I137" s="228"/>
      <c r="J137" s="111"/>
      <c r="K137" s="156"/>
      <c r="L137" s="303" t="str">
        <f>'テンプレート'!L129</f>
        <v>下投げ</v>
      </c>
      <c r="M137" s="113" t="s">
        <v>93</v>
      </c>
      <c r="N137" s="113">
        <v>23.0</v>
      </c>
      <c r="O137" s="111"/>
      <c r="P137" s="111"/>
      <c r="Q137" s="111"/>
      <c r="R137" s="111"/>
      <c r="S137" s="111"/>
      <c r="T137" s="111"/>
      <c r="U137" s="111"/>
      <c r="V137" s="111"/>
    </row>
    <row r="138" outlineLevel="1">
      <c r="A138" s="156"/>
      <c r="B138" s="311" t="s">
        <v>250</v>
      </c>
      <c r="C138" s="156"/>
      <c r="D138" s="156"/>
      <c r="E138" s="307" t="str">
        <f t="array" ref="E138">INDEX('起きあがり'!$N$3:$O$115, MATCH($A$1,'起きあがり'!$A$3:$A$115,0), MATCH(E124,'起きあがり'!$N$2:$AD$2,0))</f>
        <v>20-21</v>
      </c>
      <c r="F138" s="308">
        <f t="array" ref="F138">INDEX('起きあがり'!$N$3:$O$115, MATCH($A$1,'起きあがり'!$A$3:$A$115,0), MATCH(F124,'起きあがり'!$N$2:$AD$2,0))</f>
        <v>7</v>
      </c>
      <c r="G138" s="113">
        <f t="shared" si="3"/>
        <v>8.4</v>
      </c>
      <c r="H138" s="228"/>
      <c r="I138" s="228"/>
      <c r="J138" s="111"/>
      <c r="K138" s="312" t="str">
        <f>'テンプレート'!K130</f>
        <v>踏み台ジャンプ</v>
      </c>
      <c r="L138" s="168"/>
      <c r="M138" s="298" t="str">
        <f>'テンプレート'!M130</f>
        <v>全体フレーム</v>
      </c>
      <c r="N138" s="114"/>
      <c r="O138" s="111"/>
      <c r="P138" s="111"/>
      <c r="Q138" s="111"/>
      <c r="R138" s="111"/>
      <c r="S138" s="111"/>
      <c r="T138" s="111"/>
      <c r="U138" s="111"/>
      <c r="V138" s="111"/>
    </row>
    <row r="139" outlineLevel="1">
      <c r="A139" s="299" t="s">
        <v>251</v>
      </c>
      <c r="B139" s="300" t="s">
        <v>248</v>
      </c>
      <c r="C139" s="301"/>
      <c r="D139" s="307" t="str">
        <f t="array" ref="D139">INDEX('起きあがり'!$C$3:$C123, MATCH($A$1,'起きあがり'!$A$3:$A$115,0), MATCH(D124,'起きあがり'!$C$2,0))</f>
        <v>25</v>
      </c>
      <c r="E139" s="301"/>
      <c r="F139" s="301"/>
      <c r="G139" s="301"/>
      <c r="H139" s="228"/>
      <c r="I139" s="228"/>
      <c r="J139" s="117"/>
      <c r="K139" s="313" t="str">
        <f>'テンプレート'!K131</f>
        <v>踏み</v>
      </c>
      <c r="L139" s="314" t="str">
        <f>'テンプレート'!L131</f>
        <v>踏み</v>
      </c>
      <c r="M139" s="113">
        <v>7.0</v>
      </c>
      <c r="N139" s="315"/>
      <c r="O139" s="111"/>
      <c r="P139" s="111"/>
      <c r="Q139" s="111"/>
      <c r="R139" s="111"/>
      <c r="S139" s="111"/>
      <c r="T139" s="111"/>
      <c r="U139" s="111"/>
      <c r="V139" s="111"/>
    </row>
    <row r="140" outlineLevel="1">
      <c r="A140" s="146"/>
      <c r="B140" s="300" t="s">
        <v>216</v>
      </c>
      <c r="C140" s="307" t="str">
        <f t="array" ref="C140">INDEX('起きあがり'!$P$3:$Q$115, MATCH($A$1,'起きあがり'!$A$3:$A$115,0), MATCH(C124,'起きあがり'!$P$2:$AD$2,0))</f>
        <v>1-22</v>
      </c>
      <c r="D140" s="308">
        <f t="array" ref="D140">INDEX('起きあがり'!$P$3:$Q$115, MATCH($A$1,'起きあがり'!$A$3:$A$115,0), MATCH(D124,'起きあがり'!$P$2:$AD$2,0))</f>
        <v>29</v>
      </c>
      <c r="E140" s="301"/>
      <c r="F140" s="301"/>
      <c r="G140" s="301"/>
      <c r="H140" s="228"/>
      <c r="I140" s="228"/>
      <c r="J140" s="111"/>
      <c r="K140" s="305" t="str">
        <f>'テンプレート'!K132</f>
        <v>踏まれ</v>
      </c>
      <c r="L140" s="314" t="str">
        <f>'テンプレート'!L132</f>
        <v>地上踏まれ</v>
      </c>
      <c r="M140" s="113" t="s">
        <v>76</v>
      </c>
      <c r="N140" s="315"/>
      <c r="O140" s="228"/>
      <c r="P140" s="228"/>
      <c r="Q140" s="228"/>
      <c r="R140" s="228"/>
      <c r="S140" s="228"/>
      <c r="T140" s="228"/>
      <c r="U140" s="228"/>
      <c r="V140" s="228"/>
    </row>
    <row r="141" outlineLevel="1">
      <c r="A141" s="146"/>
      <c r="B141" s="300" t="s">
        <v>245</v>
      </c>
      <c r="C141" s="307" t="str">
        <f t="array" ref="C141">INDEX('起きあがり'!$R$3:$S$115, MATCH($A$1,'起きあがり'!$A$3:$A$115,0), MATCH(C124,'起きあがり'!$R$2:$AD$2,0))</f>
        <v>1-23</v>
      </c>
      <c r="D141" s="308">
        <f t="array" ref="D141">INDEX('起きあがり'!$R$3:$S$115, MATCH($A$1,'起きあがり'!$A$3:$A$115,0), MATCH(D124,'起きあがり'!$R$2:$AD$2,0))</f>
        <v>35</v>
      </c>
      <c r="E141" s="301"/>
      <c r="F141" s="301"/>
      <c r="G141" s="301"/>
      <c r="H141" s="228"/>
      <c r="I141" s="228"/>
      <c r="J141" s="117"/>
      <c r="K141" s="146"/>
      <c r="L141" s="314" t="s">
        <v>693</v>
      </c>
      <c r="M141" s="113">
        <v>28.0</v>
      </c>
      <c r="N141" s="102"/>
      <c r="O141" s="118"/>
      <c r="P141" s="118"/>
      <c r="Q141" s="118"/>
      <c r="R141" s="118"/>
      <c r="S141" s="118"/>
      <c r="T141" s="118"/>
      <c r="U141" s="118"/>
      <c r="V141" s="118"/>
    </row>
    <row r="142" outlineLevel="1">
      <c r="A142" s="146"/>
      <c r="B142" s="300" t="s">
        <v>246</v>
      </c>
      <c r="C142" s="307" t="str">
        <f t="array" ref="C142">INDEX('起きあがり'!$T$3:$U$115, MATCH($A$1,'起きあがり'!$A$3:$A$115,0), MATCH(C124,'起きあがり'!$T$2:$AD$2,0))</f>
        <v>1-28</v>
      </c>
      <c r="D142" s="308">
        <f t="array" ref="D142">INDEX('起きあがり'!$T$3:$U$115, MATCH($A$1,'起きあがり'!$A$3:$A$115,0), MATCH(D124,'起きあがり'!$T$2:$AD$2,0))</f>
        <v>35</v>
      </c>
      <c r="E142" s="301"/>
      <c r="F142" s="301"/>
      <c r="G142" s="301"/>
      <c r="H142" s="228"/>
      <c r="I142" s="228"/>
      <c r="J142" s="111"/>
      <c r="K142" s="146"/>
      <c r="L142" s="314" t="str">
        <f>'テンプレート'!L134</f>
        <v>空中踏まれ</v>
      </c>
      <c r="M142" s="113">
        <v>8.0</v>
      </c>
      <c r="N142" s="102"/>
      <c r="O142" s="118"/>
      <c r="P142" s="118"/>
      <c r="Q142" s="118"/>
      <c r="R142" s="118"/>
      <c r="S142" s="118"/>
      <c r="T142" s="118"/>
      <c r="U142" s="118"/>
      <c r="V142" s="118"/>
    </row>
    <row r="143" outlineLevel="1">
      <c r="A143" s="146"/>
      <c r="B143" s="300" t="s">
        <v>249</v>
      </c>
      <c r="C143" s="309" t="str">
        <f t="array" ref="C143">INDEX('起きあがり'!$V$3:$Y$115, MATCH($A$1,'起きあがり'!$A$3:$A$115,0), MATCH(C124,'起きあがり'!$V$2:$AD$2,0))</f>
        <v>1-21</v>
      </c>
      <c r="D143" s="310">
        <f t="array" ref="D143">INDEX('起きあがり'!$V$3:$Y$115, MATCH($A$1,'起きあがり'!$A$3:$A$115,0), MATCH(D124,'起きあがり'!$V$2:$AD$2,0))</f>
        <v>45</v>
      </c>
      <c r="E143" s="307" t="str">
        <f t="array" ref="E143">INDEX('起きあがり'!$V$3:$Y$115, MATCH($A$1,'起きあがり'!$A$3:$A$115,0), MATCH(E124,'起きあがり'!$V$2:$AD$2,0))</f>
        <v>16-17</v>
      </c>
      <c r="F143" s="308">
        <f t="array" ref="F143">INDEX('起きあがり'!$V$3:$Y$115, MATCH($A$1,'起きあがり'!$A$3:$A$115,0), MATCH(F124,'起きあがり'!$V$2:$AD$2,0))</f>
        <v>7</v>
      </c>
      <c r="G143" s="113">
        <f t="shared" ref="G143:G144" si="4">F143*1.2</f>
        <v>8.4</v>
      </c>
      <c r="H143" s="228"/>
      <c r="I143" s="228"/>
      <c r="J143" s="117"/>
      <c r="K143" s="146"/>
      <c r="L143" s="314" t="str">
        <f>'テンプレート'!L135</f>
        <v>空中落下</v>
      </c>
      <c r="M143" s="113">
        <v>41.0</v>
      </c>
      <c r="N143" s="102"/>
      <c r="O143" s="118"/>
      <c r="P143" s="118"/>
      <c r="Q143" s="118"/>
      <c r="R143" s="118"/>
      <c r="S143" s="118"/>
      <c r="T143" s="118"/>
      <c r="U143" s="118"/>
      <c r="V143" s="118"/>
    </row>
    <row r="144" outlineLevel="1">
      <c r="A144" s="156"/>
      <c r="B144" s="311" t="s">
        <v>250</v>
      </c>
      <c r="C144" s="156"/>
      <c r="D144" s="156"/>
      <c r="E144" s="307" t="str">
        <f t="array" ref="E144">INDEX('起きあがり'!$Z$3:$AA$115, MATCH($A$1,'起きあがり'!$A$3:$A$115,0), MATCH(E124,'起きあがり'!$Z$2:$AD$2,0))</f>
        <v>20-21</v>
      </c>
      <c r="F144" s="308">
        <f t="array" ref="F144">INDEX('起きあがり'!$Z$3:$AA$115, MATCH($A$1,'起きあがり'!$A$3:$A$115,0), MATCH(F124,'起きあがり'!$Z$2:$AD$2,0))</f>
        <v>7</v>
      </c>
      <c r="G144" s="113">
        <f t="shared" si="4"/>
        <v>8.4</v>
      </c>
      <c r="H144" s="228"/>
      <c r="I144" s="228"/>
      <c r="J144" s="117"/>
      <c r="K144" s="304" t="str">
        <f>'テンプレート'!K136</f>
        <v>倒れダメージ</v>
      </c>
      <c r="L144" s="110"/>
      <c r="M144" s="298" t="str">
        <f>'テンプレート'!M136</f>
        <v>全体フレーム</v>
      </c>
      <c r="N144" s="102"/>
      <c r="O144" s="118"/>
      <c r="P144" s="118"/>
      <c r="Q144" s="118"/>
      <c r="R144" s="118"/>
      <c r="S144" s="118"/>
      <c r="T144" s="118"/>
      <c r="U144" s="118"/>
      <c r="V144" s="118"/>
    </row>
    <row r="145" outlineLevel="1">
      <c r="A145" s="299" t="s">
        <v>252</v>
      </c>
      <c r="B145" s="300" t="s">
        <v>253</v>
      </c>
      <c r="C145" s="307" t="str">
        <f t="array" ref="C145">INDEX('転倒'!$C$3:$D123, MATCH($A$1,'転倒'!$A$3:$A$115,0), MATCH(C124,'転倒'!$C$2:$AC$2,0))</f>
        <v>1-5</v>
      </c>
      <c r="D145" s="308">
        <f t="array" ref="D145">INDEX('転倒'!$C$3:$D123, MATCH($A$1,'転倒'!$A$3:$A$115,0), MATCH(D124,'転倒'!$C$2:$AC$2,0))</f>
        <v>29</v>
      </c>
      <c r="E145" s="301"/>
      <c r="F145" s="301"/>
      <c r="G145" s="301"/>
      <c r="H145" s="228"/>
      <c r="I145" s="228"/>
      <c r="J145" s="111"/>
      <c r="K145" s="313" t="str">
        <f>'テンプレート'!K137</f>
        <v>あお向け倒れ</v>
      </c>
      <c r="L145" s="306" t="str">
        <f>'テンプレート'!L137</f>
        <v>モーション大</v>
      </c>
      <c r="M145" s="113">
        <v>39.0</v>
      </c>
      <c r="N145" s="315"/>
      <c r="O145" s="118"/>
      <c r="P145" s="118"/>
      <c r="Q145" s="118"/>
      <c r="R145" s="118"/>
      <c r="S145" s="118"/>
      <c r="T145" s="118"/>
      <c r="U145" s="118"/>
      <c r="V145" s="118"/>
    </row>
    <row r="146" outlineLevel="1">
      <c r="A146" s="146"/>
      <c r="B146" s="300" t="s">
        <v>254</v>
      </c>
      <c r="C146" s="307" t="str">
        <f t="array" ref="C146">INDEX('転倒'!$E$3:$F123, MATCH($A$1,'転倒'!$A$3:$A$115,0), MATCH(C124,'転倒'!$E$2:$AC$2,0))</f>
        <v>1-5</v>
      </c>
      <c r="D146" s="308">
        <f t="array" ref="D146">INDEX('転倒'!$E$3:$F123, MATCH($A$1,'転倒'!$A$3:$A$115,0), MATCH(D124,'転倒'!$E$2:$AC$2,0))</f>
        <v>39</v>
      </c>
      <c r="E146" s="301"/>
      <c r="F146" s="301"/>
      <c r="G146" s="301"/>
      <c r="H146" s="228"/>
      <c r="I146" s="228"/>
      <c r="J146" s="117"/>
      <c r="K146" s="313" t="str">
        <f>'テンプレート'!K138</f>
        <v>うつ伏せ倒れ</v>
      </c>
      <c r="L146" s="306" t="str">
        <f>'テンプレート'!L138</f>
        <v>モーション大</v>
      </c>
      <c r="M146" s="113" t="s">
        <v>118</v>
      </c>
      <c r="N146" s="315"/>
      <c r="O146" s="118"/>
      <c r="P146" s="118"/>
      <c r="Q146" s="118"/>
      <c r="R146" s="118"/>
      <c r="S146" s="118"/>
      <c r="T146" s="118"/>
      <c r="U146" s="118"/>
      <c r="V146" s="118"/>
    </row>
    <row r="147" outlineLevel="1">
      <c r="A147" s="146"/>
      <c r="B147" s="300" t="s">
        <v>216</v>
      </c>
      <c r="C147" s="307" t="str">
        <f t="array" ref="C147">INDEX('転倒'!$G$3:$H$115, MATCH($A$1,'転倒'!$A$3:$A$115,0), MATCH(C124,'転倒'!$G$2:$AC$2,0))</f>
        <v>1-16</v>
      </c>
      <c r="D147" s="308">
        <f t="array" ref="D147">INDEX('転倒'!$G$3:$H$115, MATCH($A$1,'転倒'!$A$3:$A$115,0), MATCH(D124,'転倒'!$G$2:$AC$2,0))</f>
        <v>21</v>
      </c>
      <c r="E147" s="301"/>
      <c r="F147" s="301"/>
      <c r="G147" s="301"/>
      <c r="H147" s="228"/>
      <c r="I147" s="228"/>
      <c r="J147" s="111"/>
      <c r="K147" s="304" t="str">
        <f>'テンプレート'!K139</f>
        <v/>
      </c>
      <c r="L147" s="110"/>
      <c r="M147" s="298" t="str">
        <f>'テンプレート'!M139</f>
        <v/>
      </c>
      <c r="N147" s="102"/>
      <c r="O147" s="118"/>
      <c r="P147" s="118"/>
      <c r="Q147" s="118"/>
      <c r="R147" s="118"/>
      <c r="S147" s="118"/>
      <c r="T147" s="118"/>
      <c r="U147" s="118"/>
      <c r="V147" s="118"/>
    </row>
    <row r="148" outlineLevel="1">
      <c r="A148" s="146"/>
      <c r="B148" s="300" t="s">
        <v>245</v>
      </c>
      <c r="C148" s="307" t="str">
        <f t="array" ref="C148">INDEX('転倒'!$I$3:$J$115, MATCH($A$1,'転倒'!$A$3:$A$115,0), MATCH(C124,'転倒'!$I$2:$AC$2,0))</f>
        <v>1-9</v>
      </c>
      <c r="D148" s="308">
        <f t="array" ref="D148">INDEX('転倒'!$I$3:$J$115, MATCH($A$1,'転倒'!$A$3:$A$115,0), MATCH(D124,'転倒'!$I$2:$AC$2,0))</f>
        <v>28</v>
      </c>
      <c r="E148" s="301"/>
      <c r="F148" s="301"/>
      <c r="G148" s="301"/>
      <c r="H148" s="228"/>
      <c r="I148" s="228"/>
      <c r="J148" s="228"/>
      <c r="K148" s="316"/>
      <c r="L148" s="317" t="str">
        <f>'テンプレート'!L140</f>
        <v/>
      </c>
      <c r="M148" s="113" t="s">
        <v>76</v>
      </c>
      <c r="N148" s="102"/>
      <c r="O148" s="118"/>
      <c r="P148" s="118"/>
      <c r="Q148" s="118"/>
      <c r="R148" s="118"/>
      <c r="S148" s="118"/>
      <c r="T148" s="118"/>
      <c r="U148" s="118"/>
      <c r="V148" s="118"/>
    </row>
    <row r="149" outlineLevel="1">
      <c r="A149" s="146"/>
      <c r="B149" s="300" t="s">
        <v>246</v>
      </c>
      <c r="C149" s="307" t="str">
        <f t="array" ref="C149">INDEX('転倒'!$K$3:$L$115, MATCH($A$1,'転倒'!$A$3:$A$115,0), MATCH(C124,'転倒'!$K$2:$AC$2,0))</f>
        <v>1-9</v>
      </c>
      <c r="D149" s="308">
        <f t="array" ref="D149">INDEX('転倒'!$K$3:$L$115, MATCH($A$1,'転倒'!$A$3:$A$115,0), MATCH(D124,'転倒'!$K$2:$AC$2,0))</f>
        <v>28</v>
      </c>
      <c r="E149" s="301"/>
      <c r="F149" s="301"/>
      <c r="G149" s="301"/>
      <c r="H149" s="228"/>
      <c r="I149" s="228"/>
      <c r="J149" s="228"/>
      <c r="K149" s="318"/>
      <c r="L149" s="118"/>
      <c r="M149" s="118"/>
      <c r="N149" s="102"/>
      <c r="O149" s="118"/>
      <c r="P149" s="118"/>
      <c r="Q149" s="118"/>
      <c r="R149" s="118"/>
      <c r="S149" s="118"/>
      <c r="T149" s="118"/>
      <c r="U149" s="118"/>
      <c r="V149" s="118"/>
    </row>
    <row r="150" outlineLevel="1">
      <c r="A150" s="146"/>
      <c r="B150" s="300" t="s">
        <v>249</v>
      </c>
      <c r="C150" s="309" t="str">
        <f t="array" ref="C150">INDEX('転倒'!$M$3:$P$115, MATCH($A$1,'転倒'!$A$3:$A$115,0), MATCH(C124,'転倒'!$M$2:$AC$2,0))</f>
        <v>1-7</v>
      </c>
      <c r="D150" s="310">
        <f t="array" ref="D150">INDEX('転倒'!$M$3:$P$115, MATCH($A$1,'転倒'!$A$3:$A$115,0), MATCH(D124,'転倒'!$M$2:$AC$2,0))</f>
        <v>49</v>
      </c>
      <c r="E150" s="307" t="str">
        <f t="array" ref="E150">INDEX('転倒'!$M$3:$P$115, MATCH($A$1,'転倒'!$A$3:$A$115,0), MATCH(E124,'転倒'!$M$2:$AC$2,0))</f>
        <v>19-20</v>
      </c>
      <c r="F150" s="308">
        <f t="array" ref="F150">INDEX('転倒'!$M$3:$P$115, MATCH($A$1,'転倒'!$A$3:$A$115,0), MATCH(F124,'転倒'!$M$2:$AC$2,0))</f>
        <v>5</v>
      </c>
      <c r="G150" s="113">
        <f t="shared" ref="G150:G151" si="5">F150*1.2</f>
        <v>6</v>
      </c>
      <c r="H150" s="228"/>
      <c r="I150" s="228"/>
      <c r="J150" s="228"/>
      <c r="K150" s="118"/>
      <c r="L150" s="118"/>
      <c r="M150" s="118"/>
      <c r="N150" s="102"/>
      <c r="O150" s="102"/>
      <c r="P150" s="102"/>
      <c r="Q150" s="102"/>
      <c r="R150" s="118"/>
      <c r="S150" s="118"/>
      <c r="T150" s="118"/>
      <c r="U150" s="118"/>
      <c r="V150" s="118"/>
    </row>
    <row r="151" outlineLevel="1">
      <c r="A151" s="156"/>
      <c r="B151" s="311" t="s">
        <v>250</v>
      </c>
      <c r="C151" s="156"/>
      <c r="D151" s="156"/>
      <c r="E151" s="307" t="str">
        <f t="array" ref="E151">INDEX('転倒'!$Q$3:$R$115, MATCH($A$1,'転倒'!$A$3:$A$115,0), MATCH(E124,'転倒'!$Q$2:$AC$2,0))</f>
        <v>27-28</v>
      </c>
      <c r="F151" s="308">
        <f t="array" ref="F151">INDEX('転倒'!$Q$3:$R$115, MATCH($A$1,'転倒'!$A$3:$A$115,0), MATCH(F124,'転倒'!$Q$2:$AC$2,0))</f>
        <v>5</v>
      </c>
      <c r="G151" s="113">
        <f t="shared" si="5"/>
        <v>6</v>
      </c>
      <c r="H151" s="228"/>
      <c r="I151" s="228"/>
      <c r="J151" s="228"/>
      <c r="K151" s="118"/>
      <c r="L151" s="118"/>
      <c r="M151" s="118"/>
      <c r="N151" s="102"/>
      <c r="O151" s="102"/>
      <c r="P151" s="102"/>
      <c r="Q151" s="102"/>
      <c r="R151" s="118"/>
      <c r="S151" s="118"/>
      <c r="T151" s="118"/>
      <c r="U151" s="118"/>
      <c r="V151" s="118"/>
    </row>
    <row r="152" outlineLevel="1">
      <c r="A152" s="319"/>
      <c r="B152" s="320"/>
      <c r="C152" s="321"/>
      <c r="D152" s="321"/>
      <c r="E152" s="322"/>
      <c r="F152" s="322"/>
      <c r="G152" s="114"/>
      <c r="H152" s="228"/>
      <c r="I152" s="228"/>
      <c r="J152" s="228"/>
      <c r="K152" s="118"/>
      <c r="L152" s="118"/>
      <c r="M152" s="118"/>
      <c r="N152" s="102"/>
      <c r="O152" s="102"/>
      <c r="P152" s="102"/>
      <c r="Q152" s="102"/>
      <c r="R152" s="118"/>
      <c r="S152" s="118"/>
      <c r="T152" s="118"/>
      <c r="U152" s="118"/>
      <c r="V152" s="118"/>
    </row>
    <row r="153" outlineLevel="1">
      <c r="A153" s="323" t="s">
        <v>255</v>
      </c>
      <c r="B153" s="109"/>
      <c r="C153" s="321"/>
      <c r="D153" s="321"/>
      <c r="E153" s="322"/>
      <c r="F153" s="322"/>
      <c r="G153" s="114"/>
      <c r="H153" s="228"/>
      <c r="I153" s="228"/>
      <c r="J153" s="228"/>
      <c r="K153" s="118"/>
      <c r="L153" s="118"/>
      <c r="M153" s="118"/>
      <c r="N153" s="102"/>
      <c r="O153" s="102"/>
      <c r="P153" s="102"/>
      <c r="Q153" s="102"/>
      <c r="R153" s="118"/>
      <c r="S153" s="118"/>
      <c r="T153" s="118"/>
      <c r="U153" s="118"/>
      <c r="V153" s="118"/>
    </row>
    <row r="154" outlineLevel="1">
      <c r="A154" s="324" t="s">
        <v>256</v>
      </c>
      <c r="B154" s="109"/>
      <c r="C154" s="325" t="s">
        <v>257</v>
      </c>
      <c r="D154" s="325" t="s">
        <v>49</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258</v>
      </c>
      <c r="B155" s="327" t="s">
        <v>216</v>
      </c>
      <c r="C155" s="328" t="str">
        <f t="array" ref="C155">INDEX('アイテム'!$C$3:$D$114, MATCH($A$1,'アイテム'!$A$3:$A$114,0), MATCH(C154,'アイテム'!$C$2:$AQ$2,0))</f>
        <v>2</v>
      </c>
      <c r="D155" s="328">
        <f t="array" ref="D155">INDEX('アイテム'!$C$3:$D$114, MATCH($A$1,'アイテム'!$A$3:$A$114,0), MATCH(D154,'アイテム'!$C$2:$AQ$2,0))</f>
        <v>7</v>
      </c>
      <c r="E155" s="322"/>
      <c r="F155" s="322"/>
      <c r="G155" s="114"/>
      <c r="H155" s="228"/>
      <c r="I155" s="228"/>
      <c r="J155" s="228"/>
      <c r="K155" s="118"/>
      <c r="L155" s="118"/>
      <c r="M155" s="118"/>
      <c r="N155" s="102"/>
      <c r="O155" s="102"/>
      <c r="P155" s="102"/>
      <c r="Q155" s="102"/>
      <c r="R155" s="118"/>
      <c r="S155" s="118"/>
      <c r="T155" s="118"/>
      <c r="U155" s="118"/>
      <c r="V155" s="118"/>
    </row>
    <row r="156" outlineLevel="1">
      <c r="A156" s="156"/>
      <c r="B156" s="327" t="s">
        <v>219</v>
      </c>
      <c r="C156" s="328" t="str">
        <f t="array" ref="C156">INDEX('アイテム'!$E$3:$F$114, MATCH($A$1,'アイテム'!$A$3:$A$114,0), MATCH(C154,'アイテム'!$C$2:$AQ$2,0))</f>
        <v>2</v>
      </c>
      <c r="D156" s="328">
        <f t="array" ref="D156">INDEX('アイテム'!$E$3:$F$114, MATCH($A$1,'アイテム'!$A$3:$A$114,0), MATCH(D154,'アイテム'!$C$2:$AQ$2,0))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329" t="s">
        <v>259</v>
      </c>
      <c r="B157" s="327" t="s">
        <v>216</v>
      </c>
      <c r="C157" s="328">
        <f t="array" ref="C157">INDEX('アイテム'!$AA$3:$AB$114, MATCH($A$1,'アイテム'!$A$3:$A$114,0), MATCH(C154,'アイテム'!$C$2:$AQ$2,0))</f>
        <v>3</v>
      </c>
      <c r="D157" s="328" t="str">
        <f t="array" ref="D157">INDEX('アイテム'!$AA$3:$AB$114, MATCH($A$1,'アイテム'!$A$3:$A$114,0), MATCH(D154,'アイテム'!$C$2:$AQ$2,0))</f>
        <v>12</v>
      </c>
      <c r="E157" s="322"/>
      <c r="F157" s="322"/>
      <c r="G157" s="114"/>
      <c r="H157" s="228"/>
      <c r="I157" s="228"/>
      <c r="J157" s="228"/>
      <c r="K157" s="118"/>
      <c r="L157" s="118"/>
      <c r="M157" s="118"/>
      <c r="N157" s="102"/>
      <c r="O157" s="102"/>
      <c r="P157" s="102"/>
      <c r="Q157" s="102"/>
      <c r="R157" s="118"/>
      <c r="S157" s="118"/>
      <c r="T157" s="118"/>
      <c r="U157" s="118"/>
      <c r="V157" s="118"/>
    </row>
    <row r="158" outlineLevel="1">
      <c r="A158" s="324" t="s">
        <v>260</v>
      </c>
      <c r="B158" s="109"/>
      <c r="C158" s="325" t="s">
        <v>261</v>
      </c>
      <c r="D158" s="325" t="s">
        <v>49</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262</v>
      </c>
      <c r="B159" s="327" t="s">
        <v>226</v>
      </c>
      <c r="C159" s="328" t="str">
        <f t="array" ref="C159">INDEX('アイテム'!$G$3:$H$114, MATCH($A$1,'アイテム'!$A$3:$A$114,0), MATCH(C154,'アイテム'!$C$2:$AQ$2,0))</f>
        <v>8</v>
      </c>
      <c r="D159" s="328">
        <f t="array" ref="D159">INDEX('アイテム'!$G$3:$H$114, MATCH($A$1,'アイテム'!$A$3:$A$114,0), MATCH(D154,'アイテム'!$C$2:$AQ$2,0))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t="str">
        <f t="array" ref="C160">INDEX('アイテム'!$I$3:$J$114, MATCH($A$1,'アイテム'!$A$3:$A$114,0), MATCH(C154,'アイテム'!$C$2:$AQ$2,0))</f>
        <v>11</v>
      </c>
      <c r="D160" s="328">
        <f t="array" ref="D160">INDEX('アイテム'!$I$3:$J$114, MATCH($A$1,'アイテム'!$A$3:$A$114,0), MATCH(D154,'アイテム'!$C$2:$AQ$2,0))</f>
        <v>24</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t="str">
        <f t="array" ref="C161">INDEX('アイテム'!$K$3:$L$114, MATCH($A$1,'アイテム'!$A$3:$A$114,0), MATCH(C154,'アイテム'!$C$2:$AQ$2,0))</f>
        <v>12</v>
      </c>
      <c r="D161" s="328">
        <f t="array" ref="D161">INDEX('アイテム'!$K$3:$L$114, MATCH($A$1,'アイテム'!$A$3:$A$114,0), MATCH(D154,'アイテム'!$C$2:$AQ$2,0))</f>
        <v>23</v>
      </c>
      <c r="E161" s="322"/>
      <c r="F161" s="322"/>
      <c r="G161" s="114"/>
      <c r="H161" s="228"/>
      <c r="I161" s="228"/>
      <c r="J161" s="228"/>
      <c r="K161" s="118"/>
      <c r="L161" s="118"/>
      <c r="M161" s="118"/>
      <c r="N161" s="102"/>
      <c r="O161" s="102"/>
      <c r="P161" s="102"/>
      <c r="Q161" s="102"/>
      <c r="R161" s="118"/>
      <c r="S161" s="118"/>
      <c r="T161" s="118"/>
      <c r="U161" s="118"/>
      <c r="V161" s="118"/>
    </row>
    <row r="162" outlineLevel="1">
      <c r="A162" s="146"/>
      <c r="B162" s="327" t="s">
        <v>234</v>
      </c>
      <c r="C162" s="328" t="str">
        <f t="array" ref="C162">INDEX('アイテム'!$M$3:$N$114, MATCH($A$1,'アイテム'!$A$3:$A$114,0), MATCH(C154,'アイテム'!$C$2:$AQ$2,0))</f>
        <v>7</v>
      </c>
      <c r="D162" s="328">
        <f t="array" ref="D162">INDEX('アイテム'!$M$3:$N$114, MATCH($A$1,'アイテム'!$A$3:$A$114,0), MATCH(D154,'アイテム'!$C$2:$AQ$2,0))</f>
        <v>19</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219</v>
      </c>
      <c r="C163" s="328" t="str">
        <f t="array" ref="C163">INDEX('アイテム'!$O$3:$P$114, MATCH($A$1,'アイテム'!$A$3:$A$114,0), MATCH(C154,'アイテム'!$C$2:$AQ$2,0))</f>
        <v>5</v>
      </c>
      <c r="D163" s="328">
        <f t="array" ref="D163">INDEX('アイテム'!$O$3:$P$114, MATCH($A$1,'アイテム'!$A$3:$A$114,0), MATCH(D154,'アイテム'!$C$2:$AQ$2,0))</f>
        <v>29</v>
      </c>
      <c r="E163" s="322"/>
      <c r="F163" s="322"/>
      <c r="G163" s="114"/>
      <c r="H163" s="228"/>
      <c r="I163" s="228"/>
      <c r="J163" s="228"/>
      <c r="K163" s="118"/>
      <c r="L163" s="118"/>
      <c r="M163" s="118"/>
      <c r="N163" s="102"/>
      <c r="O163" s="102"/>
      <c r="P163" s="102"/>
      <c r="Q163" s="102"/>
      <c r="R163" s="118"/>
      <c r="S163" s="118"/>
      <c r="T163" s="118"/>
      <c r="U163" s="118"/>
      <c r="V163" s="118"/>
    </row>
    <row r="164" outlineLevel="1">
      <c r="A164" s="156"/>
      <c r="B164" s="327" t="s">
        <v>263</v>
      </c>
      <c r="C164" s="328" t="str">
        <f t="array" ref="C164">INDEX('アイテム'!$Q$3:$R$114, MATCH($A$1,'アイテム'!$A$3:$A$114,0), MATCH(C154,'アイテム'!$C$2:$AQ$2,0))</f>
        <v>7</v>
      </c>
      <c r="D164" s="328">
        <f t="array" ref="D164">INDEX('アイテム'!$Q$3:$R$114, MATCH($A$1,'アイテム'!$A$3:$A$114,0), MATCH(D154,'アイテム'!$C$2:$AQ$2,0))</f>
        <v>23</v>
      </c>
      <c r="E164" s="322"/>
      <c r="F164" s="322"/>
      <c r="G164" s="114"/>
      <c r="H164" s="228"/>
      <c r="I164" s="228"/>
      <c r="J164" s="228"/>
      <c r="K164" s="118"/>
      <c r="L164" s="118"/>
      <c r="M164" s="118"/>
      <c r="N164" s="102"/>
      <c r="O164" s="102"/>
      <c r="P164" s="102"/>
      <c r="Q164" s="102"/>
      <c r="R164" s="118"/>
      <c r="S164" s="118"/>
      <c r="T164" s="118"/>
      <c r="U164" s="118"/>
      <c r="V164" s="118"/>
    </row>
    <row r="165" outlineLevel="1">
      <c r="A165" s="326" t="s">
        <v>264</v>
      </c>
      <c r="B165" s="327" t="s">
        <v>226</v>
      </c>
      <c r="C165" s="328" t="str">
        <f t="array" ref="C165">INDEX('アイテム'!$S$3:$T$114, MATCH($A$1,'アイテム'!$A$3:$A$114,0), MATCH(C154,'アイテム'!$C$2:$AQ$2,0))</f>
        <v>8</v>
      </c>
      <c r="D165" s="328">
        <f t="array" ref="D165">INDEX('アイテム'!$S$3:$T$114, MATCH($A$1,'アイテム'!$A$3:$A$114,0), MATCH(D154,'アイテム'!$C$2:$AQ$2,0))</f>
        <v>24</v>
      </c>
      <c r="E165" s="322"/>
      <c r="F165" s="322"/>
      <c r="G165" s="114"/>
      <c r="H165" s="228"/>
      <c r="I165" s="228"/>
      <c r="J165" s="228"/>
      <c r="K165" s="118"/>
      <c r="L165" s="118"/>
      <c r="M165" s="118"/>
      <c r="N165" s="102"/>
      <c r="O165" s="102"/>
      <c r="P165" s="102"/>
      <c r="Q165" s="102"/>
      <c r="R165" s="118"/>
      <c r="S165" s="118"/>
      <c r="T165" s="118"/>
      <c r="U165" s="118"/>
      <c r="V165" s="118"/>
    </row>
    <row r="166" outlineLevel="1">
      <c r="A166" s="146"/>
      <c r="B166" s="327" t="s">
        <v>229</v>
      </c>
      <c r="C166" s="328" t="str">
        <f t="array" ref="C166">INDEX('アイテム'!$U$3:$V$114, MATCH($A$1,'アイテム'!$A$3:$A$114,0), MATCH(C154,'アイテム'!$C$2:$AQ$2,0))</f>
        <v>11</v>
      </c>
      <c r="D166" s="328">
        <f t="array" ref="D166">INDEX('アイテム'!$U$3:$V$114, MATCH($A$1,'アイテム'!$A$3:$A$114,0), MATCH(D154,'アイテム'!$C$2:$AQ$2,0))</f>
        <v>24</v>
      </c>
      <c r="E166" s="322"/>
      <c r="F166" s="322"/>
      <c r="G166" s="114"/>
      <c r="H166" s="228"/>
      <c r="I166" s="228"/>
      <c r="J166" s="228"/>
      <c r="K166" s="118"/>
      <c r="L166" s="118"/>
      <c r="M166" s="118"/>
      <c r="N166" s="102"/>
      <c r="O166" s="102"/>
      <c r="P166" s="102"/>
      <c r="Q166" s="102"/>
      <c r="R166" s="118"/>
      <c r="S166" s="118"/>
      <c r="T166" s="118"/>
      <c r="U166" s="118"/>
      <c r="V166" s="118"/>
    </row>
    <row r="167" outlineLevel="1">
      <c r="A167" s="146"/>
      <c r="B167" s="327" t="s">
        <v>233</v>
      </c>
      <c r="C167" s="328" t="str">
        <f t="array" ref="C167">INDEX('アイテム'!$W$3:$X$114, MATCH($A$1,'アイテム'!$A$3:$A$114,0), MATCH(C154,'アイテム'!$C$2:$AQ$2,0))</f>
        <v>12</v>
      </c>
      <c r="D167" s="328">
        <f t="array" ref="D167">INDEX('アイテム'!$W$3:$X$114, MATCH($A$1,'アイテム'!$A$3:$A$114,0), MATCH(D154,'アイテム'!$C$2:$AQ$2,0))</f>
        <v>23</v>
      </c>
      <c r="E167" s="322"/>
      <c r="F167" s="322"/>
      <c r="G167" s="114"/>
      <c r="H167" s="228"/>
      <c r="I167" s="228"/>
      <c r="J167" s="228"/>
      <c r="K167" s="118"/>
      <c r="L167" s="118"/>
      <c r="M167" s="118"/>
      <c r="N167" s="102"/>
      <c r="O167" s="102"/>
      <c r="P167" s="102"/>
      <c r="Q167" s="102"/>
      <c r="R167" s="118"/>
      <c r="S167" s="118"/>
      <c r="T167" s="118"/>
      <c r="U167" s="118"/>
      <c r="V167" s="118"/>
    </row>
    <row r="168" outlineLevel="1">
      <c r="A168" s="156"/>
      <c r="B168" s="327" t="s">
        <v>234</v>
      </c>
      <c r="C168" s="328" t="str">
        <f t="array" ref="C168">INDEX('アイテム'!$Y$3:$Z$114, MATCH($A$1,'アイテム'!$A$3:$A$114,0), MATCH(C154,'アイテム'!$C$2:$AQ$2,0))</f>
        <v>7</v>
      </c>
      <c r="D168" s="328">
        <f t="array" ref="D168">INDEX('アイテム'!$Y$3:$Z$114, MATCH($A$1,'アイテム'!$A$3:$A$114,0), MATCH(D154,'アイテム'!$C$2:$AQ$2,0))</f>
        <v>19</v>
      </c>
      <c r="E168" s="322"/>
      <c r="F168" s="322"/>
      <c r="G168" s="114"/>
      <c r="H168" s="228"/>
      <c r="I168" s="228"/>
      <c r="J168" s="228"/>
      <c r="K168" s="118"/>
      <c r="L168" s="118"/>
      <c r="M168" s="118"/>
      <c r="N168" s="102"/>
      <c r="O168" s="102"/>
      <c r="P168" s="102"/>
      <c r="Q168" s="102"/>
      <c r="R168" s="118"/>
      <c r="S168" s="118"/>
      <c r="T168" s="118"/>
      <c r="U168" s="118"/>
      <c r="V168" s="118"/>
    </row>
    <row r="169" outlineLevel="1">
      <c r="A169" s="326" t="s">
        <v>265</v>
      </c>
      <c r="B169" s="327" t="s">
        <v>226</v>
      </c>
      <c r="C169" s="328">
        <f t="array" ref="C169">INDEX('アイテム'!$AC$3:$AD$114, MATCH($A$1,'アイテム'!$A$3:$A$114,0), MATCH(C154,'アイテム'!$C$2:$AQ$2,0))</f>
        <v>15</v>
      </c>
      <c r="D169" s="328" t="str">
        <f t="array" ref="D169">INDEX('アイテム'!$AC$3:$AD$114, MATCH($A$1,'アイテム'!$A$3:$A$114,0), MATCH(D154,'アイテム'!$C$2:$AQ$2,0))</f>
        <v>30</v>
      </c>
      <c r="E169" s="322"/>
      <c r="F169" s="322"/>
      <c r="G169" s="114"/>
      <c r="H169" s="228"/>
      <c r="I169" s="228"/>
      <c r="J169" s="228"/>
      <c r="K169" s="118"/>
      <c r="L169" s="118"/>
      <c r="M169" s="118"/>
      <c r="N169" s="102"/>
      <c r="O169" s="102"/>
      <c r="P169" s="102"/>
      <c r="Q169" s="102"/>
      <c r="R169" s="118"/>
      <c r="S169" s="118"/>
      <c r="T169" s="118"/>
      <c r="U169" s="118"/>
      <c r="V169" s="118"/>
    </row>
    <row r="170" outlineLevel="1">
      <c r="A170" s="146"/>
      <c r="B170" s="327" t="s">
        <v>229</v>
      </c>
      <c r="C170" s="328">
        <f t="array" ref="C170">INDEX('アイテム'!$AE$3:$AF$114, MATCH($A$1,'アイテム'!$A$3:$A$114,0), MATCH(C154,'アイテム'!$C$2:$AQ$2,0))</f>
        <v>15</v>
      </c>
      <c r="D170" s="328" t="str">
        <f t="array" ref="D170">INDEX('アイテム'!$AE$3:$AF$114, MATCH($A$1,'アイテム'!$A$3:$A$114,0), MATCH(D154,'アイテム'!$C$2:$AQ$2,0))</f>
        <v>30</v>
      </c>
      <c r="E170" s="322"/>
      <c r="F170" s="322"/>
      <c r="G170" s="114"/>
      <c r="H170" s="228"/>
      <c r="I170" s="228"/>
      <c r="J170" s="228"/>
      <c r="K170" s="118"/>
      <c r="L170" s="118"/>
      <c r="M170" s="118"/>
      <c r="N170" s="102"/>
      <c r="O170" s="102"/>
      <c r="P170" s="102"/>
      <c r="Q170" s="102"/>
      <c r="R170" s="118"/>
      <c r="S170" s="118"/>
      <c r="T170" s="118"/>
      <c r="U170" s="118"/>
      <c r="V170" s="118"/>
    </row>
    <row r="171" outlineLevel="1">
      <c r="A171" s="146"/>
      <c r="B171" s="327" t="s">
        <v>233</v>
      </c>
      <c r="C171" s="328">
        <f t="array" ref="C171">INDEX('アイテム'!$AG$3:$AH$114, MATCH($A$1,'アイテム'!$A$3:$A$114,0), MATCH(C154,'アイテム'!$C$2:$AQ$2,0))</f>
        <v>11</v>
      </c>
      <c r="D171" s="328" t="str">
        <f t="array" ref="D171">INDEX('アイテム'!$AG$3:$AH$114, MATCH($A$1,'アイテム'!$A$3:$A$114,0), MATCH(D154,'アイテム'!$C$2:$AQ$2,0))</f>
        <v>22</v>
      </c>
      <c r="E171" s="322"/>
      <c r="F171" s="322"/>
      <c r="G171" s="114"/>
      <c r="H171" s="228"/>
      <c r="I171" s="228"/>
      <c r="J171" s="228"/>
      <c r="K171" s="118"/>
      <c r="L171" s="118"/>
      <c r="M171" s="118"/>
      <c r="N171" s="102"/>
      <c r="O171" s="102"/>
      <c r="P171" s="102"/>
      <c r="Q171" s="102"/>
      <c r="R171" s="118"/>
      <c r="S171" s="118"/>
      <c r="T171" s="118"/>
      <c r="U171" s="118"/>
      <c r="V171" s="118"/>
    </row>
    <row r="172" outlineLevel="1">
      <c r="A172" s="156"/>
      <c r="B172" s="327" t="s">
        <v>234</v>
      </c>
      <c r="C172" s="328">
        <f t="array" ref="C172">INDEX('アイテム'!$AI$3:$AJ$114, MATCH($A$1,'アイテム'!$A$3:$A$114,0), MATCH(C154,'アイテム'!$C$2:$AQ$2,0))</f>
        <v>11</v>
      </c>
      <c r="D172" s="328" t="str">
        <f t="array" ref="D172">INDEX('アイテム'!$AI$3:$AJ$114, MATCH($A$1,'アイテム'!$A$3:$A$114,0), MATCH(D154,'アイテム'!$C$2:$AQ$2,0))</f>
        <v>22</v>
      </c>
      <c r="E172" s="322"/>
      <c r="F172" s="322"/>
      <c r="G172" s="114"/>
      <c r="H172" s="228"/>
      <c r="I172" s="228"/>
      <c r="J172" s="228"/>
      <c r="K172" s="118"/>
      <c r="L172" s="118"/>
      <c r="M172" s="118"/>
      <c r="N172" s="102"/>
      <c r="O172" s="102"/>
      <c r="P172" s="102"/>
      <c r="Q172" s="102"/>
      <c r="R172" s="118"/>
      <c r="S172" s="118"/>
      <c r="T172" s="118"/>
      <c r="U172" s="118"/>
      <c r="V172" s="118"/>
    </row>
  </sheetData>
  <mergeCells count="155">
    <mergeCell ref="H26:J26"/>
    <mergeCell ref="H27:J27"/>
    <mergeCell ref="H28:J28"/>
    <mergeCell ref="H29:J29"/>
    <mergeCell ref="H30:J30"/>
    <mergeCell ref="H31:J33"/>
    <mergeCell ref="U31:U33"/>
    <mergeCell ref="H34:J34"/>
    <mergeCell ref="H35:J36"/>
    <mergeCell ref="U35:U36"/>
    <mergeCell ref="H37:J37"/>
    <mergeCell ref="H38:J39"/>
    <mergeCell ref="U38:U39"/>
    <mergeCell ref="U40:U42"/>
    <mergeCell ref="U43:U44"/>
    <mergeCell ref="R47:V47"/>
    <mergeCell ref="R48:V51"/>
    <mergeCell ref="R52:V54"/>
    <mergeCell ref="R55:V56"/>
    <mergeCell ref="R57:V57"/>
    <mergeCell ref="R58:V60"/>
    <mergeCell ref="U81:U86"/>
    <mergeCell ref="U88:U92"/>
    <mergeCell ref="U94:U96"/>
    <mergeCell ref="V88:V92"/>
    <mergeCell ref="V94:V96"/>
    <mergeCell ref="U64:U75"/>
    <mergeCell ref="V64:V75"/>
    <mergeCell ref="U76:U77"/>
    <mergeCell ref="V76:V77"/>
    <mergeCell ref="U78:U79"/>
    <mergeCell ref="V78:V79"/>
    <mergeCell ref="V81:V86"/>
    <mergeCell ref="A38:A39"/>
    <mergeCell ref="A40:A42"/>
    <mergeCell ref="A43:A44"/>
    <mergeCell ref="A46:B47"/>
    <mergeCell ref="A48:A51"/>
    <mergeCell ref="A52:A54"/>
    <mergeCell ref="A55:A56"/>
    <mergeCell ref="A58:A60"/>
    <mergeCell ref="A62:B62"/>
    <mergeCell ref="A63:B63"/>
    <mergeCell ref="A64:A75"/>
    <mergeCell ref="A76:A77"/>
    <mergeCell ref="A78:A79"/>
    <mergeCell ref="A80:B80"/>
    <mergeCell ref="A81:A83"/>
    <mergeCell ref="A87:B87"/>
    <mergeCell ref="A88:A92"/>
    <mergeCell ref="A93:B93"/>
    <mergeCell ref="A98:B99"/>
    <mergeCell ref="A101:A103"/>
    <mergeCell ref="A104:B104"/>
    <mergeCell ref="A105:A106"/>
    <mergeCell ref="A107:A108"/>
    <mergeCell ref="A109:A110"/>
    <mergeCell ref="A111:A113"/>
    <mergeCell ref="A115:B116"/>
    <mergeCell ref="A117:A119"/>
    <mergeCell ref="A123:B124"/>
    <mergeCell ref="C143:C144"/>
    <mergeCell ref="C150:C151"/>
    <mergeCell ref="A153:B153"/>
    <mergeCell ref="A154:B154"/>
    <mergeCell ref="A155:A156"/>
    <mergeCell ref="A158:B158"/>
    <mergeCell ref="A159:A164"/>
    <mergeCell ref="A165:A168"/>
    <mergeCell ref="A169:A172"/>
    <mergeCell ref="A120:A121"/>
    <mergeCell ref="A125:A129"/>
    <mergeCell ref="A130:A132"/>
    <mergeCell ref="A133:A138"/>
    <mergeCell ref="C137:C138"/>
    <mergeCell ref="A139:A144"/>
    <mergeCell ref="A145:A151"/>
    <mergeCell ref="D40:D42"/>
    <mergeCell ref="D43:D44"/>
    <mergeCell ref="D48:D51"/>
    <mergeCell ref="D52:D54"/>
    <mergeCell ref="D55:D56"/>
    <mergeCell ref="D58:D60"/>
    <mergeCell ref="D64:D65"/>
    <mergeCell ref="D143:D144"/>
    <mergeCell ref="D150:D151"/>
    <mergeCell ref="D67:D68"/>
    <mergeCell ref="D88:D90"/>
    <mergeCell ref="D105:D106"/>
    <mergeCell ref="D107:D108"/>
    <mergeCell ref="D109:D110"/>
    <mergeCell ref="D111:D113"/>
    <mergeCell ref="D137:D138"/>
    <mergeCell ref="H88:J92"/>
    <mergeCell ref="H93:J93"/>
    <mergeCell ref="H94:J96"/>
    <mergeCell ref="G104:J104"/>
    <mergeCell ref="G105:J106"/>
    <mergeCell ref="G107:J108"/>
    <mergeCell ref="G109:J110"/>
    <mergeCell ref="K140:K143"/>
    <mergeCell ref="K144:L144"/>
    <mergeCell ref="K147:L147"/>
    <mergeCell ref="G111:J113"/>
    <mergeCell ref="K124:L124"/>
    <mergeCell ref="K125:K126"/>
    <mergeCell ref="K127:L127"/>
    <mergeCell ref="K128:K133"/>
    <mergeCell ref="K134:K137"/>
    <mergeCell ref="K138:L138"/>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A24:B25"/>
    <mergeCell ref="A26:A30"/>
    <mergeCell ref="A31:A33"/>
    <mergeCell ref="D31:D33"/>
    <mergeCell ref="A35:A36"/>
    <mergeCell ref="D35:D36"/>
    <mergeCell ref="D38:D39"/>
    <mergeCell ref="H40:J42"/>
    <mergeCell ref="H43:J44"/>
    <mergeCell ref="I48:I51"/>
    <mergeCell ref="J48:J51"/>
    <mergeCell ref="I52:I54"/>
    <mergeCell ref="J52:J54"/>
    <mergeCell ref="J55:J56"/>
    <mergeCell ref="H80:J80"/>
    <mergeCell ref="H81:J86"/>
    <mergeCell ref="A84:A86"/>
    <mergeCell ref="D84:D85"/>
    <mergeCell ref="H87:J87"/>
    <mergeCell ref="D91:D92"/>
    <mergeCell ref="A95:A96"/>
    <mergeCell ref="I55:I56"/>
    <mergeCell ref="I58:I60"/>
    <mergeCell ref="J58:J60"/>
    <mergeCell ref="H63:J63"/>
    <mergeCell ref="H64:J75"/>
    <mergeCell ref="H76:J77"/>
    <mergeCell ref="H78:J79"/>
  </mergeCells>
  <conditionalFormatting sqref="K1:K15 K17:K63 K80:K104 K106 K108 K110:K148">
    <cfRule type="containsText" dxfId="0" priority="1" operator="containsText" text="361">
      <formula>NOT(ISERROR(SEARCH(("361"),(K1))))</formula>
    </cfRule>
  </conditionalFormatting>
  <conditionalFormatting sqref="K1:K15 K17:K63 K80:K104 K106 K108 K110:K148">
    <cfRule type="containsText" dxfId="1" priority="2" operator="containsText" text="363">
      <formula>NOT(ISERROR(SEARCH(("363"),(K1))))</formula>
    </cfRule>
  </conditionalFormatting>
  <conditionalFormatting sqref="K1:K15 K17:K63 K80:K104 K106 K108 K110:K148">
    <cfRule type="containsText" dxfId="1" priority="3" operator="containsText" text="365">
      <formula>NOT(ISERROR(SEARCH(("365"),(K1))))</formula>
    </cfRule>
  </conditionalFormatting>
  <conditionalFormatting sqref="K1:K15 K17:K63 K80:K104 K106 K108 K110:K148">
    <cfRule type="containsText" dxfId="1" priority="4" operator="containsText" text="366">
      <formula>NOT(ISERROR(SEARCH(("366"),(K1))))</formula>
    </cfRule>
  </conditionalFormatting>
  <conditionalFormatting sqref="K1:K15 K17:K63 K80:K104 K106 K108 K110:K148">
    <cfRule type="containsText" dxfId="1" priority="5" operator="containsText" text="367">
      <formula>NOT(ISERROR(SEARCH(("367"),(K1))))</formula>
    </cfRule>
  </conditionalFormatting>
  <conditionalFormatting sqref="P106 P108 P110:P112">
    <cfRule type="cellIs" dxfId="2" priority="6" operator="equal">
      <formula>"敵のみ"</formula>
    </cfRule>
  </conditionalFormatting>
  <conditionalFormatting sqref="C106 C108 C110:C113">
    <cfRule type="cellIs" dxfId="3" priority="7" operator="equal">
      <formula>"-"</formula>
    </cfRule>
  </conditionalFormatting>
  <conditionalFormatting sqref="O1:O63 O68 O70:O71 O80:O104 O106 O108 O110:O112 O114:O172">
    <cfRule type="cellIs" dxfId="4" priority="8" operator="greaterThan">
      <formula>0</formula>
    </cfRule>
  </conditionalFormatting>
  <conditionalFormatting sqref="P1:Q63 P68:Q68 P70:Q71 P80:Q104 P106:Q106 P108:Q108 P110:Q112 P114:Q172">
    <cfRule type="cellIs" dxfId="5" priority="9" operator="lessThan">
      <formula>1</formula>
    </cfRule>
  </conditionalFormatting>
  <conditionalFormatting sqref="P1:Q63 P68:Q68 P70:Q71 P80:Q104 P106:Q106 P108:Q108 P110:Q112 P114:Q172">
    <cfRule type="cellIs" dxfId="4" priority="10" operator="greaterThan">
      <formula>1</formula>
    </cfRule>
  </conditionalFormatting>
  <conditionalFormatting sqref="N25:N63 N80:N104 N106 N108 N110:N113">
    <cfRule type="cellIs" dxfId="6" priority="11" operator="greaterThan">
      <formula>0</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9D26"/>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671">
        <v>7.0</v>
      </c>
      <c r="B1" s="672"/>
      <c r="C1" s="673" t="str">
        <f>IMAGE(VLOOKUP($A$1,Fighters!A2:AI114,12,FALSE),1)</f>
        <v>#REF!</v>
      </c>
      <c r="D1" s="674"/>
      <c r="E1" s="674"/>
      <c r="F1" s="674"/>
      <c r="G1" s="675"/>
      <c r="H1" s="676"/>
      <c r="I1" s="674"/>
      <c r="J1" s="675"/>
      <c r="K1" s="677"/>
      <c r="L1" s="674"/>
      <c r="M1" s="675"/>
      <c r="N1" s="678"/>
      <c r="O1" s="678"/>
      <c r="P1" s="678"/>
      <c r="Q1" s="678"/>
      <c r="R1" s="679"/>
      <c r="S1" s="679"/>
      <c r="T1" s="679"/>
      <c r="U1" s="679"/>
      <c r="V1" s="679"/>
    </row>
    <row r="2">
      <c r="A2" s="680" t="str">
        <f>VLOOKUP($A$1,Fighters!$A$2:$AI$81,6,FALSE)</f>
        <v>#f59d26</v>
      </c>
      <c r="B2" s="672"/>
      <c r="C2" s="681"/>
      <c r="G2" s="682"/>
      <c r="H2" s="683"/>
      <c r="I2" s="684"/>
      <c r="J2" s="685"/>
      <c r="K2" s="683"/>
      <c r="L2" s="684"/>
      <c r="M2" s="685"/>
      <c r="N2" s="678"/>
      <c r="O2" s="678"/>
      <c r="P2" s="678"/>
      <c r="Q2" s="678"/>
      <c r="R2" s="679"/>
      <c r="S2" s="679"/>
      <c r="T2" s="679"/>
      <c r="U2" s="679"/>
      <c r="V2" s="679"/>
    </row>
    <row r="3">
      <c r="A3" s="680" t="str">
        <f>VLOOKUP($A$1,Fighters!$A$2:$AI$81,14,FALSE)</f>
        <v>7. フォックス</v>
      </c>
      <c r="B3" s="672"/>
      <c r="C3" s="681"/>
      <c r="G3" s="682"/>
      <c r="H3" s="686"/>
      <c r="I3" s="686"/>
      <c r="J3" s="686"/>
      <c r="K3" s="687"/>
      <c r="L3" s="687"/>
      <c r="M3" s="687"/>
      <c r="N3" s="678"/>
      <c r="O3" s="678"/>
      <c r="P3" s="678"/>
      <c r="Q3" s="678"/>
      <c r="R3" s="688"/>
      <c r="S3" s="679"/>
      <c r="T3" s="679"/>
      <c r="U3" s="679"/>
      <c r="V3" s="679"/>
    </row>
    <row r="4">
      <c r="A4" s="680" t="str">
        <f>VLOOKUP($A$1,Fighters!$A$2:$AI$81,13,FALSE)</f>
        <v>1</v>
      </c>
      <c r="B4" s="672"/>
      <c r="C4" s="681"/>
      <c r="G4" s="682"/>
      <c r="H4" s="689"/>
      <c r="I4" s="689"/>
      <c r="J4" s="686"/>
      <c r="K4" s="687"/>
      <c r="L4" s="687"/>
      <c r="M4" s="687"/>
      <c r="N4" s="678"/>
      <c r="O4" s="678"/>
      <c r="P4" s="678"/>
      <c r="Q4" s="678"/>
      <c r="R4" s="688"/>
      <c r="S4" s="679"/>
      <c r="T4" s="679"/>
      <c r="U4" s="679"/>
      <c r="V4" s="679"/>
    </row>
    <row r="5" ht="16.5" customHeight="1">
      <c r="A5" s="671"/>
      <c r="B5" s="672"/>
      <c r="C5" s="681"/>
      <c r="G5" s="682"/>
      <c r="H5" s="690"/>
      <c r="I5" s="690"/>
      <c r="J5" s="691"/>
      <c r="K5" s="692"/>
      <c r="L5" s="693"/>
      <c r="M5" s="693"/>
      <c r="N5" s="678"/>
      <c r="O5" s="678"/>
      <c r="P5" s="678"/>
      <c r="Q5" s="678"/>
      <c r="R5" s="688"/>
      <c r="S5" s="679"/>
      <c r="T5" s="679"/>
      <c r="U5" s="679"/>
      <c r="V5" s="679"/>
    </row>
    <row r="6">
      <c r="A6" s="672"/>
      <c r="B6" s="672"/>
      <c r="C6" s="681"/>
      <c r="G6" s="682"/>
      <c r="H6" s="689"/>
      <c r="I6" s="694" t="s">
        <v>39</v>
      </c>
      <c r="J6" s="692"/>
      <c r="K6" s="695"/>
      <c r="L6" s="693"/>
      <c r="M6" s="693"/>
      <c r="N6" s="678"/>
      <c r="O6" s="678"/>
      <c r="P6" s="678"/>
      <c r="Q6" s="678"/>
      <c r="R6" s="688"/>
      <c r="S6" s="679"/>
      <c r="T6" s="679"/>
      <c r="U6" s="679"/>
      <c r="V6" s="679"/>
    </row>
    <row r="7">
      <c r="A7" s="672"/>
      <c r="B7" s="672"/>
      <c r="C7" s="681"/>
      <c r="G7" s="682"/>
      <c r="H7" s="690"/>
      <c r="I7" s="690"/>
      <c r="J7" s="692"/>
      <c r="K7" s="695"/>
      <c r="L7" s="693"/>
      <c r="M7" s="693"/>
      <c r="N7" s="678"/>
      <c r="O7" s="678"/>
      <c r="P7" s="678"/>
      <c r="Q7" s="678"/>
      <c r="R7" s="688"/>
      <c r="S7" s="679"/>
      <c r="T7" s="679"/>
      <c r="U7" s="679"/>
      <c r="V7" s="679"/>
    </row>
    <row r="8">
      <c r="A8" s="672"/>
      <c r="B8" s="672"/>
      <c r="C8" s="681"/>
      <c r="G8" s="682"/>
      <c r="H8" s="696">
        <v>44379.84314643519</v>
      </c>
      <c r="I8" s="674"/>
      <c r="J8" s="675"/>
      <c r="K8" s="692"/>
      <c r="L8" s="693"/>
      <c r="M8" s="693"/>
      <c r="N8" s="678"/>
      <c r="O8" s="678"/>
      <c r="P8" s="678"/>
      <c r="Q8" s="678"/>
      <c r="R8" s="688"/>
      <c r="S8" s="679"/>
      <c r="T8" s="679"/>
      <c r="U8" s="679"/>
      <c r="V8" s="679"/>
    </row>
    <row r="9">
      <c r="A9" s="672"/>
      <c r="B9" s="672"/>
      <c r="C9" s="681"/>
      <c r="G9" s="682"/>
      <c r="H9" s="683"/>
      <c r="I9" s="684"/>
      <c r="J9" s="685"/>
      <c r="K9" s="679"/>
      <c r="L9" s="678"/>
      <c r="M9" s="678"/>
      <c r="N9" s="678"/>
      <c r="O9" s="678"/>
      <c r="P9" s="678"/>
      <c r="Q9" s="678"/>
      <c r="R9" s="688"/>
      <c r="S9" s="679"/>
      <c r="T9" s="679"/>
      <c r="U9" s="679"/>
      <c r="V9" s="679"/>
    </row>
    <row r="10">
      <c r="A10" s="697"/>
      <c r="B10" s="672"/>
      <c r="C10" s="681"/>
      <c r="G10" s="682"/>
      <c r="H10" s="698"/>
      <c r="I10" s="698"/>
      <c r="J10" s="679"/>
      <c r="K10" s="679"/>
      <c r="L10" s="678"/>
      <c r="M10" s="678"/>
      <c r="N10" s="678"/>
      <c r="O10" s="678"/>
      <c r="P10" s="678"/>
      <c r="Q10" s="678"/>
      <c r="R10" s="688"/>
      <c r="S10" s="679"/>
      <c r="T10" s="679"/>
      <c r="U10" s="679"/>
      <c r="V10" s="679"/>
    </row>
    <row r="11">
      <c r="A11" s="699"/>
      <c r="B11" s="672"/>
      <c r="C11" s="681"/>
      <c r="G11" s="682"/>
      <c r="H11" s="690"/>
      <c r="I11" s="690"/>
      <c r="J11" s="679"/>
      <c r="K11" s="679"/>
      <c r="L11" s="678"/>
      <c r="M11" s="678"/>
      <c r="N11" s="678"/>
      <c r="O11" s="678"/>
      <c r="P11" s="678"/>
      <c r="Q11" s="678"/>
      <c r="R11" s="688"/>
      <c r="S11" s="679"/>
      <c r="T11" s="679"/>
      <c r="U11" s="679"/>
      <c r="V11" s="679"/>
    </row>
    <row r="12">
      <c r="A12" s="690"/>
      <c r="B12" s="672"/>
      <c r="C12" s="683"/>
      <c r="D12" s="684"/>
      <c r="E12" s="684"/>
      <c r="F12" s="684"/>
      <c r="G12" s="685"/>
      <c r="H12" s="700"/>
      <c r="I12" s="700"/>
      <c r="J12" s="672"/>
      <c r="K12" s="672"/>
      <c r="L12" s="678"/>
      <c r="M12" s="678"/>
      <c r="N12" s="678"/>
      <c r="O12" s="678"/>
      <c r="P12" s="678"/>
      <c r="Q12" s="678"/>
      <c r="R12" s="688"/>
      <c r="S12" s="679"/>
      <c r="T12" s="679"/>
      <c r="U12" s="679"/>
      <c r="V12" s="67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
        <v>60</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77 [85th]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24F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2.09 [18th]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
        <v>170</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1.523 [3rd]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36F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0.16621 [23rd]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35 [22nd]</v>
      </c>
      <c r="O18" s="99"/>
      <c r="P18" s="99"/>
      <c r="Q18" s="99"/>
      <c r="R18" s="99"/>
      <c r="S18" s="111"/>
      <c r="T18" s="111"/>
      <c r="U18" s="111"/>
      <c r="V18" s="111"/>
    </row>
    <row r="19" outlineLevel="1">
      <c r="A19" s="112" t="str">
        <f>'テンプレート'!A19</f>
        <v>カベジャンプ</v>
      </c>
      <c r="B19" s="115" t="b">
        <v>1</v>
      </c>
      <c r="C19" s="112" t="str">
        <f>'テンプレート'!C19</f>
        <v>大着地</v>
      </c>
      <c r="D19" s="113" t="s">
        <v>147</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2.402 [6th]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17F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0.115 [29th]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16.4 [37th]</v>
      </c>
      <c r="O19" s="99"/>
      <c r="P19" s="99"/>
      <c r="Q19" s="99"/>
      <c r="R19" s="99"/>
      <c r="S19" s="111"/>
      <c r="T19" s="111"/>
      <c r="U19" s="111"/>
      <c r="V19" s="111"/>
    </row>
    <row r="20" outlineLevel="1">
      <c r="A20" s="112" t="str">
        <f>'テンプレート'!A20</f>
        <v>カベ張りつき</v>
      </c>
      <c r="B20" s="115" t="b">
        <v>0</v>
      </c>
      <c r="C20" s="116" t="s">
        <v>46</v>
      </c>
      <c r="D20" s="113" t="s">
        <v>121</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1.11 [33rd]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27F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37 [19th]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
        <v>811</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2.1 [1st]</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3.36 [1st]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0.23 [1st]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176</v>
      </c>
      <c r="D26" s="701" t="s">
        <v>812</v>
      </c>
      <c r="E26" s="139" t="s">
        <v>700</v>
      </c>
      <c r="F26" s="138">
        <v>2.16</v>
      </c>
      <c r="G26" s="139" t="s">
        <v>60</v>
      </c>
      <c r="H26" s="151" t="s">
        <v>813</v>
      </c>
      <c r="I26" s="110"/>
      <c r="J26" s="109"/>
      <c r="K26" s="138"/>
      <c r="L26" s="282"/>
      <c r="M26" s="363"/>
      <c r="N26" s="363"/>
      <c r="O26" s="145">
        <v>0.0</v>
      </c>
      <c r="P26" s="145">
        <v>1.0</v>
      </c>
      <c r="Q26" s="145">
        <v>1.0</v>
      </c>
      <c r="R26" s="100"/>
      <c r="S26" s="100"/>
      <c r="T26" s="100"/>
      <c r="U26" s="145" t="s">
        <v>69</v>
      </c>
      <c r="V26" s="100"/>
    </row>
    <row r="27" outlineLevel="1">
      <c r="A27" s="146"/>
      <c r="B27" s="147" t="s">
        <v>63</v>
      </c>
      <c r="C27" s="216" t="s">
        <v>176</v>
      </c>
      <c r="D27" s="467" t="s">
        <v>718</v>
      </c>
      <c r="E27" s="216" t="s">
        <v>213</v>
      </c>
      <c r="F27" s="138">
        <v>1.2</v>
      </c>
      <c r="G27" s="216" t="s">
        <v>170</v>
      </c>
      <c r="H27" s="362" t="s">
        <v>814</v>
      </c>
      <c r="I27" s="110"/>
      <c r="J27" s="109"/>
      <c r="K27" s="282"/>
      <c r="L27" s="282"/>
      <c r="M27" s="363"/>
      <c r="N27" s="363"/>
      <c r="O27" s="145">
        <v>0.0</v>
      </c>
      <c r="P27" s="145">
        <v>1.0</v>
      </c>
      <c r="Q27" s="145">
        <v>1.0</v>
      </c>
      <c r="R27" s="100"/>
      <c r="S27" s="100"/>
      <c r="T27" s="100"/>
      <c r="U27" s="145" t="s">
        <v>76</v>
      </c>
      <c r="V27" s="100"/>
    </row>
    <row r="28" outlineLevel="1">
      <c r="A28" s="146"/>
      <c r="B28" s="147" t="s">
        <v>703</v>
      </c>
      <c r="C28" s="702"/>
      <c r="D28" s="467" t="s">
        <v>176</v>
      </c>
      <c r="E28" s="702"/>
      <c r="F28" s="702"/>
      <c r="G28" s="702"/>
      <c r="H28" s="159"/>
      <c r="I28" s="110"/>
      <c r="J28" s="109"/>
      <c r="K28" s="282"/>
      <c r="L28" s="282"/>
      <c r="M28" s="363"/>
      <c r="N28" s="363"/>
      <c r="O28" s="145">
        <v>0.0</v>
      </c>
      <c r="P28" s="145">
        <v>0.0</v>
      </c>
      <c r="Q28" s="145">
        <v>0.0</v>
      </c>
      <c r="R28" s="100"/>
      <c r="S28" s="100"/>
      <c r="T28" s="100"/>
      <c r="U28" s="145" t="s">
        <v>76</v>
      </c>
      <c r="V28" s="100"/>
    </row>
    <row r="29" outlineLevel="1">
      <c r="A29" s="146"/>
      <c r="B29" s="147" t="s">
        <v>704</v>
      </c>
      <c r="C29" s="214" t="s">
        <v>815</v>
      </c>
      <c r="D29" s="214" t="s">
        <v>129</v>
      </c>
      <c r="E29" s="216" t="s">
        <v>201</v>
      </c>
      <c r="F29" s="138">
        <v>0.72</v>
      </c>
      <c r="G29" s="450" t="s">
        <v>147</v>
      </c>
      <c r="H29" s="151" t="s">
        <v>816</v>
      </c>
      <c r="I29" s="110"/>
      <c r="J29" s="109"/>
      <c r="K29" s="282"/>
      <c r="L29" s="282"/>
      <c r="M29" s="363"/>
      <c r="N29" s="363"/>
      <c r="O29" s="145">
        <v>0.0</v>
      </c>
      <c r="P29" s="145">
        <v>1.0</v>
      </c>
      <c r="Q29" s="145">
        <v>0.4</v>
      </c>
      <c r="R29" s="100"/>
      <c r="S29" s="100"/>
      <c r="T29" s="100"/>
      <c r="U29" s="145" t="s">
        <v>76</v>
      </c>
      <c r="V29" s="100"/>
    </row>
    <row r="30" outlineLevel="1">
      <c r="A30" s="156"/>
      <c r="B30" s="147" t="s">
        <v>708</v>
      </c>
      <c r="C30" s="216" t="s">
        <v>71</v>
      </c>
      <c r="D30" s="216" t="s">
        <v>282</v>
      </c>
      <c r="E30" s="216" t="s">
        <v>176</v>
      </c>
      <c r="F30" s="138">
        <v>2.4</v>
      </c>
      <c r="G30" s="467" t="s">
        <v>60</v>
      </c>
      <c r="H30" s="151" t="s">
        <v>411</v>
      </c>
      <c r="I30" s="110"/>
      <c r="J30" s="109"/>
      <c r="K30" s="282"/>
      <c r="L30" s="282"/>
      <c r="M30" s="363"/>
      <c r="N30" s="363"/>
      <c r="O30" s="145">
        <v>0.0</v>
      </c>
      <c r="P30" s="145">
        <v>1.0</v>
      </c>
      <c r="Q30" s="145">
        <v>1.0</v>
      </c>
      <c r="R30" s="100"/>
      <c r="S30" s="100"/>
      <c r="T30" s="100"/>
      <c r="U30" s="145" t="s">
        <v>76</v>
      </c>
      <c r="V30" s="100"/>
    </row>
    <row r="31" outlineLevel="1">
      <c r="A31" s="133" t="s">
        <v>77</v>
      </c>
      <c r="B31" s="160"/>
      <c r="C31" s="216" t="s">
        <v>163</v>
      </c>
      <c r="D31" s="195" t="s">
        <v>271</v>
      </c>
      <c r="E31" s="216" t="s">
        <v>86</v>
      </c>
      <c r="F31" s="138">
        <v>7.199999999999999</v>
      </c>
      <c r="G31" s="450" t="s">
        <v>121</v>
      </c>
      <c r="H31" s="163" t="s">
        <v>817</v>
      </c>
      <c r="I31" s="164"/>
      <c r="J31" s="104"/>
      <c r="K31" s="138"/>
      <c r="L31" s="282"/>
      <c r="M31" s="363"/>
      <c r="N31" s="363"/>
      <c r="O31" s="145">
        <v>1.0</v>
      </c>
      <c r="P31" s="145">
        <v>1.0</v>
      </c>
      <c r="Q31" s="145">
        <v>1.0</v>
      </c>
      <c r="R31" s="100"/>
      <c r="S31" s="100"/>
      <c r="T31" s="100"/>
      <c r="U31" s="166" t="s">
        <v>69</v>
      </c>
      <c r="V31" s="100"/>
    </row>
    <row r="32" outlineLevel="1">
      <c r="A32" s="156"/>
      <c r="B32" s="147" t="s">
        <v>84</v>
      </c>
      <c r="C32" s="216" t="s">
        <v>588</v>
      </c>
      <c r="D32" s="107"/>
      <c r="E32" s="216" t="s">
        <v>73</v>
      </c>
      <c r="F32" s="138">
        <v>4.8</v>
      </c>
      <c r="G32" s="450" t="s">
        <v>95</v>
      </c>
      <c r="H32" s="106"/>
      <c r="I32" s="168"/>
      <c r="J32" s="107"/>
      <c r="K32" s="282"/>
      <c r="L32" s="282"/>
      <c r="M32" s="363"/>
      <c r="N32" s="363"/>
      <c r="O32" s="145">
        <v>1.0</v>
      </c>
      <c r="P32" s="145">
        <v>1.0</v>
      </c>
      <c r="Q32" s="145">
        <v>1.0</v>
      </c>
      <c r="R32" s="100"/>
      <c r="S32" s="100"/>
      <c r="T32" s="100"/>
      <c r="U32" s="156"/>
      <c r="V32" s="100"/>
    </row>
    <row r="33" outlineLevel="1">
      <c r="A33" s="133" t="s">
        <v>89</v>
      </c>
      <c r="B33" s="147" t="s">
        <v>276</v>
      </c>
      <c r="C33" s="195" t="s">
        <v>549</v>
      </c>
      <c r="D33" s="195" t="s">
        <v>173</v>
      </c>
      <c r="E33" s="216" t="s">
        <v>93</v>
      </c>
      <c r="F33" s="138">
        <v>8.4</v>
      </c>
      <c r="G33" s="467" t="s">
        <v>95</v>
      </c>
      <c r="H33" s="163" t="s">
        <v>411</v>
      </c>
      <c r="I33" s="164"/>
      <c r="J33" s="104"/>
      <c r="K33" s="138"/>
      <c r="L33" s="282"/>
      <c r="M33" s="363"/>
      <c r="N33" s="363"/>
      <c r="O33" s="145">
        <v>0.0</v>
      </c>
      <c r="P33" s="145">
        <v>1.0</v>
      </c>
      <c r="Q33" s="145">
        <v>1.0</v>
      </c>
      <c r="R33" s="100"/>
      <c r="S33" s="100"/>
      <c r="T33" s="100"/>
      <c r="U33" s="166" t="s">
        <v>96</v>
      </c>
      <c r="V33" s="100"/>
    </row>
    <row r="34" outlineLevel="1">
      <c r="A34" s="146"/>
      <c r="B34" s="147" t="s">
        <v>279</v>
      </c>
      <c r="C34" s="210"/>
      <c r="D34" s="210"/>
      <c r="E34" s="216" t="s">
        <v>86</v>
      </c>
      <c r="F34" s="138">
        <v>7.199999999999999</v>
      </c>
      <c r="G34" s="467" t="s">
        <v>102</v>
      </c>
      <c r="H34" s="212"/>
      <c r="J34" s="210"/>
      <c r="K34" s="138"/>
      <c r="L34" s="282"/>
      <c r="M34" s="363"/>
      <c r="N34" s="363"/>
      <c r="O34" s="145">
        <v>0.0</v>
      </c>
      <c r="P34" s="145">
        <v>1.0</v>
      </c>
      <c r="Q34" s="145">
        <v>1.0</v>
      </c>
      <c r="R34" s="100"/>
      <c r="S34" s="100"/>
      <c r="T34" s="100"/>
      <c r="U34" s="146"/>
      <c r="V34" s="100"/>
    </row>
    <row r="35" outlineLevel="1">
      <c r="A35" s="156"/>
      <c r="B35" s="147" t="s">
        <v>280</v>
      </c>
      <c r="C35" s="107"/>
      <c r="D35" s="107"/>
      <c r="E35" s="216" t="s">
        <v>93</v>
      </c>
      <c r="F35" s="138">
        <v>8.4</v>
      </c>
      <c r="G35" s="467" t="s">
        <v>95</v>
      </c>
      <c r="H35" s="106"/>
      <c r="I35" s="168"/>
      <c r="J35" s="107"/>
      <c r="K35" s="282"/>
      <c r="L35" s="282"/>
      <c r="M35" s="363"/>
      <c r="N35" s="363"/>
      <c r="O35" s="145">
        <v>0.0</v>
      </c>
      <c r="P35" s="145">
        <v>1.0</v>
      </c>
      <c r="Q35" s="145">
        <v>1.0</v>
      </c>
      <c r="R35" s="100"/>
      <c r="S35" s="100"/>
      <c r="T35" s="100"/>
      <c r="U35" s="156"/>
      <c r="V35" s="100"/>
    </row>
    <row r="36" outlineLevel="1">
      <c r="A36" s="133" t="s">
        <v>97</v>
      </c>
      <c r="B36" s="147"/>
      <c r="C36" s="216" t="s">
        <v>818</v>
      </c>
      <c r="D36" s="195" t="s">
        <v>105</v>
      </c>
      <c r="E36" s="216" t="s">
        <v>819</v>
      </c>
      <c r="F36" s="138" t="s">
        <v>820</v>
      </c>
      <c r="G36" s="467" t="s">
        <v>821</v>
      </c>
      <c r="H36" s="456"/>
      <c r="I36" s="164"/>
      <c r="J36" s="104"/>
      <c r="K36" s="282"/>
      <c r="L36" s="282"/>
      <c r="M36" s="363"/>
      <c r="N36" s="363"/>
      <c r="O36" s="145">
        <v>0.0</v>
      </c>
      <c r="P36" s="145">
        <v>1.0</v>
      </c>
      <c r="Q36" s="145">
        <v>1.0</v>
      </c>
      <c r="R36" s="100"/>
      <c r="S36" s="100"/>
      <c r="T36" s="100"/>
      <c r="U36" s="166" t="s">
        <v>69</v>
      </c>
      <c r="V36" s="100"/>
    </row>
    <row r="37" outlineLevel="1">
      <c r="A37" s="156"/>
      <c r="B37" s="147" t="s">
        <v>84</v>
      </c>
      <c r="C37" s="216" t="s">
        <v>217</v>
      </c>
      <c r="D37" s="107"/>
      <c r="E37" s="216" t="s">
        <v>822</v>
      </c>
      <c r="F37" s="138" t="s">
        <v>823</v>
      </c>
      <c r="G37" s="467" t="s">
        <v>824</v>
      </c>
      <c r="H37" s="106"/>
      <c r="I37" s="168"/>
      <c r="J37" s="107"/>
      <c r="K37" s="145"/>
      <c r="L37" s="363"/>
      <c r="M37" s="363"/>
      <c r="N37" s="363"/>
      <c r="O37" s="145">
        <v>0.0</v>
      </c>
      <c r="P37" s="145">
        <v>1.0</v>
      </c>
      <c r="Q37" s="145">
        <v>1.0</v>
      </c>
      <c r="R37" s="100"/>
      <c r="S37" s="100"/>
      <c r="T37" s="100"/>
      <c r="U37" s="156"/>
      <c r="V37" s="100"/>
    </row>
    <row r="38" outlineLevel="1">
      <c r="A38" s="170" t="s">
        <v>103</v>
      </c>
      <c r="B38" s="160"/>
      <c r="C38" s="216" t="s">
        <v>319</v>
      </c>
      <c r="D38" s="216" t="s">
        <v>105</v>
      </c>
      <c r="E38" s="216" t="s">
        <v>714</v>
      </c>
      <c r="F38" s="138" t="s">
        <v>715</v>
      </c>
      <c r="G38" s="467" t="s">
        <v>716</v>
      </c>
      <c r="H38" s="159"/>
      <c r="I38" s="110"/>
      <c r="J38" s="109"/>
      <c r="K38" s="145"/>
      <c r="L38" s="363"/>
      <c r="M38" s="363"/>
      <c r="N38" s="363"/>
      <c r="O38" s="145">
        <v>0.0</v>
      </c>
      <c r="P38" s="145">
        <v>1.0</v>
      </c>
      <c r="Q38" s="145">
        <v>1.0</v>
      </c>
      <c r="R38" s="100"/>
      <c r="S38" s="100"/>
      <c r="T38" s="100"/>
      <c r="U38" s="145" t="s">
        <v>69</v>
      </c>
      <c r="V38" s="100"/>
    </row>
    <row r="39" outlineLevel="1">
      <c r="A39" s="133" t="s">
        <v>109</v>
      </c>
      <c r="B39" s="147"/>
      <c r="C39" s="216" t="s">
        <v>305</v>
      </c>
      <c r="D39" s="195" t="s">
        <v>146</v>
      </c>
      <c r="E39" s="216" t="s">
        <v>119</v>
      </c>
      <c r="F39" s="138">
        <v>16.8</v>
      </c>
      <c r="G39" s="467" t="s">
        <v>121</v>
      </c>
      <c r="H39" s="163" t="s">
        <v>825</v>
      </c>
      <c r="I39" s="164"/>
      <c r="J39" s="104"/>
      <c r="K39" s="282"/>
      <c r="L39" s="282"/>
      <c r="M39" s="363"/>
      <c r="N39" s="363"/>
      <c r="O39" s="145">
        <v>0.0</v>
      </c>
      <c r="P39" s="145">
        <v>1.0</v>
      </c>
      <c r="Q39" s="145">
        <v>1.0</v>
      </c>
      <c r="R39" s="100"/>
      <c r="S39" s="100"/>
      <c r="T39" s="100"/>
      <c r="U39" s="166" t="s">
        <v>62</v>
      </c>
      <c r="V39" s="100"/>
    </row>
    <row r="40" outlineLevel="1">
      <c r="A40" s="156"/>
      <c r="B40" s="147" t="s">
        <v>84</v>
      </c>
      <c r="C40" s="216" t="s">
        <v>561</v>
      </c>
      <c r="D40" s="107"/>
      <c r="E40" s="216" t="s">
        <v>232</v>
      </c>
      <c r="F40" s="138">
        <v>13.2</v>
      </c>
      <c r="G40" s="467" t="s">
        <v>123</v>
      </c>
      <c r="H40" s="106"/>
      <c r="I40" s="168"/>
      <c r="J40" s="107"/>
      <c r="K40" s="282"/>
      <c r="L40" s="282"/>
      <c r="M40" s="363"/>
      <c r="N40" s="363"/>
      <c r="O40" s="145">
        <v>0.0</v>
      </c>
      <c r="P40" s="145">
        <v>1.0</v>
      </c>
      <c r="Q40" s="145">
        <v>1.0</v>
      </c>
      <c r="R40" s="100"/>
      <c r="S40" s="100"/>
      <c r="T40" s="100"/>
      <c r="U40" s="156"/>
      <c r="V40" s="100"/>
    </row>
    <row r="41" outlineLevel="1">
      <c r="A41" s="133" t="s">
        <v>116</v>
      </c>
      <c r="B41" s="160"/>
      <c r="C41" s="216" t="s">
        <v>518</v>
      </c>
      <c r="D41" s="195" t="s">
        <v>300</v>
      </c>
      <c r="E41" s="216" t="s">
        <v>153</v>
      </c>
      <c r="F41" s="138">
        <v>19.2</v>
      </c>
      <c r="G41" s="467" t="s">
        <v>88</v>
      </c>
      <c r="H41" s="163" t="s">
        <v>130</v>
      </c>
      <c r="I41" s="164"/>
      <c r="J41" s="104"/>
      <c r="K41" s="363"/>
      <c r="L41" s="363"/>
      <c r="M41" s="363"/>
      <c r="N41" s="363"/>
      <c r="O41" s="145">
        <v>0.0</v>
      </c>
      <c r="P41" s="145">
        <v>1.0</v>
      </c>
      <c r="Q41" s="145">
        <v>1.0</v>
      </c>
      <c r="R41" s="100"/>
      <c r="S41" s="100"/>
      <c r="T41" s="100"/>
      <c r="U41" s="166" t="s">
        <v>102</v>
      </c>
      <c r="V41" s="100"/>
    </row>
    <row r="42" outlineLevel="1">
      <c r="A42" s="156"/>
      <c r="B42" s="147" t="s">
        <v>84</v>
      </c>
      <c r="C42" s="216" t="s">
        <v>223</v>
      </c>
      <c r="D42" s="107"/>
      <c r="E42" s="216" t="s">
        <v>232</v>
      </c>
      <c r="F42" s="138">
        <v>13.2</v>
      </c>
      <c r="G42" s="467" t="s">
        <v>123</v>
      </c>
      <c r="H42" s="106"/>
      <c r="I42" s="168"/>
      <c r="J42" s="107"/>
      <c r="K42" s="363"/>
      <c r="L42" s="363"/>
      <c r="M42" s="363"/>
      <c r="N42" s="363"/>
      <c r="O42" s="145">
        <v>0.0</v>
      </c>
      <c r="P42" s="145">
        <v>1.0</v>
      </c>
      <c r="Q42" s="145">
        <v>1.0</v>
      </c>
      <c r="R42" s="100"/>
      <c r="S42" s="100"/>
      <c r="T42" s="100"/>
      <c r="U42" s="156"/>
      <c r="V42" s="100"/>
    </row>
    <row r="43" outlineLevel="1">
      <c r="A43" s="170" t="s">
        <v>124</v>
      </c>
      <c r="B43" s="147"/>
      <c r="C43" s="216" t="s">
        <v>217</v>
      </c>
      <c r="D43" s="216" t="s">
        <v>634</v>
      </c>
      <c r="E43" s="216" t="s">
        <v>826</v>
      </c>
      <c r="F43" s="138" t="s">
        <v>827</v>
      </c>
      <c r="G43" s="467" t="s">
        <v>828</v>
      </c>
      <c r="H43" s="151" t="s">
        <v>829</v>
      </c>
      <c r="I43" s="110"/>
      <c r="J43" s="109"/>
      <c r="K43" s="282"/>
      <c r="L43" s="282"/>
      <c r="M43" s="363"/>
      <c r="N43" s="363"/>
      <c r="O43" s="145">
        <v>0.0</v>
      </c>
      <c r="P43" s="145">
        <v>1.0</v>
      </c>
      <c r="Q43" s="145">
        <v>1.0</v>
      </c>
      <c r="R43" s="100"/>
      <c r="S43" s="100"/>
      <c r="T43" s="100"/>
      <c r="U43" s="145" t="s">
        <v>62</v>
      </c>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
        <v>133</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
        <v>48</v>
      </c>
      <c r="D46" s="183" t="s">
        <v>49</v>
      </c>
      <c r="E46" s="182" t="s">
        <v>50</v>
      </c>
      <c r="F46" s="184" t="s">
        <v>51</v>
      </c>
      <c r="G46" s="184" t="s">
        <v>134</v>
      </c>
      <c r="H46" s="185" t="s">
        <v>52</v>
      </c>
      <c r="I46" s="184" t="str">
        <f>'テンプレート'!I56</f>
        <v>着地隙</v>
      </c>
      <c r="J46" s="184" t="s">
        <v>136</v>
      </c>
      <c r="K46" s="184" t="str">
        <f>'テンプレート'!K56</f>
        <v>ベクトル</v>
      </c>
      <c r="L46" s="184" t="str">
        <f>'テンプレート'!L56</f>
        <v>KBG (R.E.)</v>
      </c>
      <c r="M46" s="184" t="str">
        <f>'テンプレート'!M56</f>
        <v>BKB (R.A.)</v>
      </c>
      <c r="N46" s="184" t="str">
        <f>'テンプレート'!N56</f>
        <v>FKB (R.F.)</v>
      </c>
      <c r="O46" s="186" t="str">
        <f>'テンプレート'!O56</f>
        <v>盾削り値</v>
      </c>
      <c r="P46" s="184" t="str">
        <f>'テンプレート'!P56</f>
        <v>ﾋｯﾄｽﾄｯﾌﾟ</v>
      </c>
      <c r="Q46" s="186" t="str">
        <f>'テンプレート'!Q56</f>
        <v>ずらし</v>
      </c>
      <c r="R46" s="372" t="str">
        <f>'テンプレート'!R56</f>
        <v>備考</v>
      </c>
      <c r="S46" s="110"/>
      <c r="T46" s="110"/>
      <c r="U46" s="110"/>
      <c r="V46" s="109"/>
    </row>
    <row r="47" outlineLevel="1">
      <c r="A47" s="188" t="s">
        <v>144</v>
      </c>
      <c r="B47" s="373"/>
      <c r="C47" s="239" t="s">
        <v>270</v>
      </c>
      <c r="D47" s="195" t="s">
        <v>282</v>
      </c>
      <c r="E47" s="401" t="s">
        <v>274</v>
      </c>
      <c r="F47" s="193">
        <v>10.799999999999999</v>
      </c>
      <c r="G47" s="193">
        <v>9.18</v>
      </c>
      <c r="H47" s="138" t="s">
        <v>147</v>
      </c>
      <c r="I47" s="194" t="str">
        <f t="array" ref="I47">INDEX('空中攻撃'!$O$3:$AA$109, MATCH($A$1,'空中攻撃'!$A$3:$A$109,0), MATCH(A47,'空中攻撃'!$O$2:$S$2,0))</f>
        <v>7</v>
      </c>
      <c r="J47" s="195" t="s">
        <v>830</v>
      </c>
      <c r="K47" s="138"/>
      <c r="L47" s="282"/>
      <c r="M47" s="363"/>
      <c r="N47" s="363"/>
      <c r="O47" s="145">
        <v>0.0</v>
      </c>
      <c r="P47" s="145">
        <v>1.0</v>
      </c>
      <c r="Q47" s="145">
        <v>1.0</v>
      </c>
      <c r="R47" s="619"/>
      <c r="S47" s="164"/>
      <c r="T47" s="164"/>
      <c r="U47" s="164"/>
      <c r="V47" s="104"/>
    </row>
    <row r="48" outlineLevel="1">
      <c r="A48" s="156"/>
      <c r="B48" s="373" t="s">
        <v>84</v>
      </c>
      <c r="C48" s="239" t="s">
        <v>831</v>
      </c>
      <c r="D48" s="107"/>
      <c r="E48" s="239" t="s">
        <v>86</v>
      </c>
      <c r="F48" s="138">
        <v>7.199999999999999</v>
      </c>
      <c r="G48" s="138">
        <v>6.12</v>
      </c>
      <c r="H48" s="138" t="s">
        <v>60</v>
      </c>
      <c r="I48" s="156"/>
      <c r="J48" s="107"/>
      <c r="K48" s="138"/>
      <c r="L48" s="282"/>
      <c r="M48" s="363"/>
      <c r="N48" s="363"/>
      <c r="O48" s="145">
        <v>0.0</v>
      </c>
      <c r="P48" s="145">
        <v>1.0</v>
      </c>
      <c r="Q48" s="145">
        <v>1.0</v>
      </c>
      <c r="R48" s="106"/>
      <c r="S48" s="168"/>
      <c r="T48" s="168"/>
      <c r="U48" s="168"/>
      <c r="V48" s="107"/>
    </row>
    <row r="49" outlineLevel="1">
      <c r="A49" s="188" t="s">
        <v>151</v>
      </c>
      <c r="B49" s="373" t="s">
        <v>125</v>
      </c>
      <c r="C49" s="239" t="s">
        <v>319</v>
      </c>
      <c r="D49" s="195" t="s">
        <v>127</v>
      </c>
      <c r="E49" s="239" t="s">
        <v>700</v>
      </c>
      <c r="F49" s="193">
        <v>2.16</v>
      </c>
      <c r="G49" s="193">
        <v>1.836</v>
      </c>
      <c r="H49" s="138" t="s">
        <v>170</v>
      </c>
      <c r="I49" s="194" t="str">
        <f t="array" ref="I49">INDEX('空中攻撃'!$O$3:$AA$109, MATCH($A$1,'空中攻撃'!$A$3:$A$109,0), MATCH(A49,'空中攻撃'!$O$2:$S$2,0))</f>
        <v>18</v>
      </c>
      <c r="J49" s="195" t="s">
        <v>832</v>
      </c>
      <c r="K49" s="138"/>
      <c r="L49" s="282"/>
      <c r="M49" s="363"/>
      <c r="N49" s="363"/>
      <c r="O49" s="145">
        <v>0.0</v>
      </c>
      <c r="P49" s="145">
        <v>1.0</v>
      </c>
      <c r="Q49" s="145">
        <v>1.3</v>
      </c>
      <c r="R49" s="163" t="s">
        <v>833</v>
      </c>
      <c r="S49" s="164"/>
      <c r="T49" s="164"/>
      <c r="U49" s="164"/>
      <c r="V49" s="104"/>
    </row>
    <row r="50" outlineLevel="1">
      <c r="A50" s="146"/>
      <c r="B50" s="373" t="s">
        <v>131</v>
      </c>
      <c r="C50" s="239" t="s">
        <v>299</v>
      </c>
      <c r="D50" s="210"/>
      <c r="E50" s="239" t="s">
        <v>214</v>
      </c>
      <c r="F50" s="193">
        <v>1.56</v>
      </c>
      <c r="G50" s="193">
        <v>1.326</v>
      </c>
      <c r="H50" s="138" t="s">
        <v>170</v>
      </c>
      <c r="I50" s="146"/>
      <c r="J50" s="210"/>
      <c r="K50" s="138"/>
      <c r="L50" s="282"/>
      <c r="M50" s="363"/>
      <c r="N50" s="363"/>
      <c r="O50" s="145">
        <v>0.0</v>
      </c>
      <c r="P50" s="145">
        <v>1.0</v>
      </c>
      <c r="Q50" s="145">
        <v>1.3</v>
      </c>
      <c r="R50" s="212"/>
      <c r="V50" s="210"/>
    </row>
    <row r="51" outlineLevel="1">
      <c r="A51" s="146"/>
      <c r="B51" s="373" t="s">
        <v>434</v>
      </c>
      <c r="C51" s="239" t="s">
        <v>454</v>
      </c>
      <c r="D51" s="210"/>
      <c r="E51" s="239" t="s">
        <v>700</v>
      </c>
      <c r="F51" s="193">
        <v>2.16</v>
      </c>
      <c r="G51" s="193">
        <v>1.836</v>
      </c>
      <c r="H51" s="138" t="s">
        <v>170</v>
      </c>
      <c r="I51" s="146"/>
      <c r="J51" s="210"/>
      <c r="K51" s="138"/>
      <c r="L51" s="282"/>
      <c r="M51" s="363"/>
      <c r="N51" s="363"/>
      <c r="O51" s="145">
        <v>0.0</v>
      </c>
      <c r="P51" s="145">
        <v>1.0</v>
      </c>
      <c r="Q51" s="145">
        <v>1.3</v>
      </c>
      <c r="R51" s="212"/>
      <c r="V51" s="210"/>
    </row>
    <row r="52" outlineLevel="1">
      <c r="A52" s="146"/>
      <c r="B52" s="373" t="s">
        <v>520</v>
      </c>
      <c r="C52" s="239" t="s">
        <v>834</v>
      </c>
      <c r="D52" s="210"/>
      <c r="E52" s="239" t="s">
        <v>663</v>
      </c>
      <c r="F52" s="193">
        <v>3.36</v>
      </c>
      <c r="G52" s="193">
        <v>2.856</v>
      </c>
      <c r="H52" s="138" t="s">
        <v>170</v>
      </c>
      <c r="I52" s="146"/>
      <c r="J52" s="210"/>
      <c r="K52" s="138"/>
      <c r="L52" s="282"/>
      <c r="M52" s="363"/>
      <c r="N52" s="363"/>
      <c r="O52" s="145">
        <v>0.0</v>
      </c>
      <c r="P52" s="145">
        <v>1.0</v>
      </c>
      <c r="Q52" s="145">
        <v>1.3</v>
      </c>
      <c r="R52" s="212"/>
      <c r="V52" s="210"/>
    </row>
    <row r="53" outlineLevel="1">
      <c r="A53" s="146"/>
      <c r="B53" s="373" t="s">
        <v>521</v>
      </c>
      <c r="C53" s="239" t="s">
        <v>522</v>
      </c>
      <c r="D53" s="210"/>
      <c r="E53" s="239" t="s">
        <v>74</v>
      </c>
      <c r="F53" s="193">
        <v>5.76</v>
      </c>
      <c r="G53" s="193">
        <f>4.8*1.2*0.85</f>
        <v>4.896</v>
      </c>
      <c r="H53" s="138" t="s">
        <v>60</v>
      </c>
      <c r="I53" s="146"/>
      <c r="J53" s="210"/>
      <c r="K53" s="138"/>
      <c r="L53" s="282"/>
      <c r="M53" s="363"/>
      <c r="N53" s="363"/>
      <c r="O53" s="145">
        <v>0.0</v>
      </c>
      <c r="P53" s="145">
        <v>2.0</v>
      </c>
      <c r="Q53" s="145">
        <v>1.0</v>
      </c>
      <c r="R53" s="212"/>
      <c r="V53" s="210"/>
    </row>
    <row r="54" outlineLevel="1">
      <c r="A54" s="156"/>
      <c r="B54" s="373" t="s">
        <v>174</v>
      </c>
      <c r="C54" s="239" t="s">
        <v>213</v>
      </c>
      <c r="D54" s="107"/>
      <c r="E54" s="239" t="s">
        <v>176</v>
      </c>
      <c r="F54" s="193">
        <v>2.4</v>
      </c>
      <c r="G54" s="193">
        <v>2.4</v>
      </c>
      <c r="H54" s="138" t="s">
        <v>60</v>
      </c>
      <c r="I54" s="156"/>
      <c r="J54" s="107"/>
      <c r="K54" s="138"/>
      <c r="L54" s="282"/>
      <c r="M54" s="363"/>
      <c r="N54" s="363"/>
      <c r="O54" s="145"/>
      <c r="P54" s="145"/>
      <c r="Q54" s="145"/>
      <c r="R54" s="106"/>
      <c r="S54" s="168"/>
      <c r="T54" s="168"/>
      <c r="U54" s="168"/>
      <c r="V54" s="107"/>
    </row>
    <row r="55" outlineLevel="1">
      <c r="A55" s="213" t="s">
        <v>157</v>
      </c>
      <c r="B55" s="373"/>
      <c r="C55" s="239" t="s">
        <v>835</v>
      </c>
      <c r="D55" s="380">
        <v>48.0</v>
      </c>
      <c r="E55" s="239" t="s">
        <v>228</v>
      </c>
      <c r="F55" s="138">
        <v>15.6</v>
      </c>
      <c r="G55" s="138">
        <v>13.26</v>
      </c>
      <c r="H55" s="138" t="s">
        <v>75</v>
      </c>
      <c r="I55" s="215">
        <f t="array" ref="I55">INDEX('空中攻撃'!$O$3:$AA$109, MATCH($A$1,'空中攻撃'!$A$3:$A$109,0), MATCH(A55,'空中攻撃'!$O$2:$S$2,0))</f>
        <v>9</v>
      </c>
      <c r="J55" s="216" t="s">
        <v>836</v>
      </c>
      <c r="K55" s="138"/>
      <c r="L55" s="282"/>
      <c r="M55" s="363"/>
      <c r="N55" s="363"/>
      <c r="O55" s="145">
        <v>0.0</v>
      </c>
      <c r="P55" s="145">
        <v>1.0</v>
      </c>
      <c r="Q55" s="145">
        <v>1.0</v>
      </c>
      <c r="R55" s="622"/>
      <c r="S55" s="110"/>
      <c r="T55" s="110"/>
      <c r="U55" s="110"/>
      <c r="V55" s="109"/>
    </row>
    <row r="56" outlineLevel="1">
      <c r="A56" s="188" t="s">
        <v>162</v>
      </c>
      <c r="B56" s="373" t="s">
        <v>125</v>
      </c>
      <c r="C56" s="239" t="s">
        <v>220</v>
      </c>
      <c r="D56" s="374" t="s">
        <v>193</v>
      </c>
      <c r="E56" s="239" t="s">
        <v>150</v>
      </c>
      <c r="F56" s="193">
        <v>6.0</v>
      </c>
      <c r="G56" s="193">
        <v>5.1</v>
      </c>
      <c r="H56" s="138" t="s">
        <v>60</v>
      </c>
      <c r="I56" s="194" t="str">
        <f t="array" ref="I56">INDEX('空中攻撃'!$O$3:$AA$109, MATCH($A$1,'空中攻撃'!$A$3:$A$109,0), MATCH(A56,'空中攻撃'!$O$2:$S$2,0))</f>
        <v>13</v>
      </c>
      <c r="J56" s="195" t="s">
        <v>837</v>
      </c>
      <c r="K56" s="282"/>
      <c r="L56" s="282"/>
      <c r="M56" s="363"/>
      <c r="N56" s="363"/>
      <c r="O56" s="145">
        <v>0.0</v>
      </c>
      <c r="P56" s="145">
        <v>1.0</v>
      </c>
      <c r="Q56" s="145">
        <v>1.0</v>
      </c>
      <c r="R56" s="619"/>
      <c r="S56" s="164"/>
      <c r="T56" s="164"/>
      <c r="U56" s="164"/>
      <c r="V56" s="104"/>
    </row>
    <row r="57" outlineLevel="1">
      <c r="A57" s="156"/>
      <c r="B57" s="373" t="s">
        <v>131</v>
      </c>
      <c r="C57" s="239" t="s">
        <v>373</v>
      </c>
      <c r="D57" s="107"/>
      <c r="E57" s="239" t="s">
        <v>128</v>
      </c>
      <c r="F57" s="138">
        <v>12.0</v>
      </c>
      <c r="G57" s="138">
        <v>10.2</v>
      </c>
      <c r="H57" s="138" t="s">
        <v>147</v>
      </c>
      <c r="I57" s="156"/>
      <c r="J57" s="107"/>
      <c r="K57" s="282"/>
      <c r="L57" s="282"/>
      <c r="M57" s="363"/>
      <c r="N57" s="363"/>
      <c r="O57" s="145">
        <v>0.0</v>
      </c>
      <c r="P57" s="145">
        <v>1.0</v>
      </c>
      <c r="Q57" s="145">
        <v>1.0</v>
      </c>
      <c r="R57" s="106"/>
      <c r="S57" s="168"/>
      <c r="T57" s="168"/>
      <c r="U57" s="168"/>
      <c r="V57" s="107"/>
    </row>
    <row r="58" outlineLevel="1">
      <c r="A58" s="188" t="s">
        <v>166</v>
      </c>
      <c r="B58" s="373" t="s">
        <v>655</v>
      </c>
      <c r="C58" s="239" t="s">
        <v>838</v>
      </c>
      <c r="D58" s="374">
        <v>49.0</v>
      </c>
      <c r="E58" s="239" t="s">
        <v>169</v>
      </c>
      <c r="F58" s="193">
        <v>1.68</v>
      </c>
      <c r="G58" s="193">
        <v>1.428</v>
      </c>
      <c r="H58" s="138" t="s">
        <v>170</v>
      </c>
      <c r="I58" s="194">
        <f t="array" ref="I58">INDEX('空中攻撃'!$O$3:$AA$109, MATCH($A$1,'空中攻撃'!$A$3:$A$109,0), MATCH(A58,'空中攻撃'!$O$2:$S$2,0))</f>
        <v>17</v>
      </c>
      <c r="J58" s="195" t="s">
        <v>839</v>
      </c>
      <c r="K58" s="282"/>
      <c r="L58" s="282"/>
      <c r="M58" s="363"/>
      <c r="N58" s="363"/>
      <c r="O58" s="145">
        <v>0.0</v>
      </c>
      <c r="P58" s="145">
        <v>1.0</v>
      </c>
      <c r="Q58" s="145">
        <v>1.0</v>
      </c>
      <c r="R58" s="163"/>
      <c r="S58" s="164"/>
      <c r="T58" s="164"/>
      <c r="U58" s="164"/>
      <c r="V58" s="104"/>
    </row>
    <row r="59" outlineLevel="1">
      <c r="A59" s="146"/>
      <c r="B59" s="373" t="s">
        <v>365</v>
      </c>
      <c r="C59" s="244" t="s">
        <v>173</v>
      </c>
      <c r="D59" s="210"/>
      <c r="E59" s="239" t="s">
        <v>204</v>
      </c>
      <c r="F59" s="138">
        <v>3.5999999999999996</v>
      </c>
      <c r="G59" s="138">
        <v>3.06</v>
      </c>
      <c r="H59" s="138" t="s">
        <v>170</v>
      </c>
      <c r="I59" s="146"/>
      <c r="J59" s="210"/>
      <c r="K59" s="282"/>
      <c r="L59" s="282"/>
      <c r="M59" s="363"/>
      <c r="N59" s="363"/>
      <c r="O59" s="145">
        <v>0.0</v>
      </c>
      <c r="P59" s="145">
        <v>1.0</v>
      </c>
      <c r="Q59" s="145">
        <v>1.0</v>
      </c>
      <c r="R59" s="212"/>
      <c r="V59" s="210"/>
    </row>
    <row r="60" outlineLevel="1">
      <c r="A60" s="156"/>
      <c r="B60" s="373" t="s">
        <v>174</v>
      </c>
      <c r="C60" s="239" t="s">
        <v>175</v>
      </c>
      <c r="D60" s="107"/>
      <c r="E60" s="239" t="s">
        <v>213</v>
      </c>
      <c r="F60" s="138">
        <v>1.2</v>
      </c>
      <c r="G60" s="138">
        <v>1.2</v>
      </c>
      <c r="H60" s="138" t="s">
        <v>170</v>
      </c>
      <c r="I60" s="156"/>
      <c r="J60" s="107"/>
      <c r="K60" s="282"/>
      <c r="L60" s="282"/>
      <c r="M60" s="363"/>
      <c r="N60" s="363"/>
      <c r="O60" s="145">
        <v>0.0</v>
      </c>
      <c r="P60" s="145">
        <v>1.0</v>
      </c>
      <c r="Q60" s="145">
        <v>1.0</v>
      </c>
      <c r="R60" s="106"/>
      <c r="S60" s="168"/>
      <c r="T60" s="168"/>
      <c r="U60" s="168"/>
      <c r="V60" s="107"/>
    </row>
    <row r="61">
      <c r="A61" s="223"/>
      <c r="B61" s="224"/>
      <c r="C61" s="225"/>
      <c r="D61" s="225"/>
      <c r="E61" s="226"/>
      <c r="F61" s="226"/>
      <c r="G61" s="226"/>
      <c r="H61" s="227"/>
      <c r="I61" s="227"/>
      <c r="J61" s="228"/>
      <c r="K61" s="228"/>
      <c r="L61" s="228"/>
      <c r="M61" s="228"/>
      <c r="N61" s="228"/>
      <c r="O61" s="228"/>
      <c r="P61" s="228"/>
      <c r="Q61" s="118"/>
      <c r="R61" s="118"/>
      <c r="S61" s="118"/>
      <c r="T61" s="118"/>
      <c r="U61" s="118"/>
      <c r="V61" s="118"/>
    </row>
    <row r="62">
      <c r="A62" s="229" t="s">
        <v>177</v>
      </c>
      <c r="B62" s="109"/>
      <c r="C62" s="225"/>
      <c r="D62" s="225"/>
      <c r="E62" s="226"/>
      <c r="F62" s="226"/>
      <c r="G62" s="226"/>
      <c r="H62" s="227"/>
      <c r="I62" s="227"/>
      <c r="J62" s="228"/>
      <c r="K62" s="228"/>
      <c r="L62" s="228"/>
      <c r="M62" s="228"/>
      <c r="N62" s="228"/>
      <c r="O62" s="228"/>
      <c r="P62" s="228"/>
      <c r="Q62" s="118"/>
      <c r="R62" s="118"/>
      <c r="S62" s="118"/>
      <c r="T62" s="118"/>
      <c r="U62" s="118"/>
      <c r="V62" s="118"/>
    </row>
    <row r="63" outlineLevel="1">
      <c r="A63" s="230" t="s">
        <v>840</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237" t="s">
        <v>332</v>
      </c>
      <c r="B64" s="243"/>
      <c r="C64" s="239" t="s">
        <v>299</v>
      </c>
      <c r="D64" s="367" t="s">
        <v>224</v>
      </c>
      <c r="E64" s="239" t="s">
        <v>204</v>
      </c>
      <c r="F64" s="138">
        <v>3.5999999999999996</v>
      </c>
      <c r="G64" s="239" t="s">
        <v>170</v>
      </c>
      <c r="H64" s="175" t="s">
        <v>841</v>
      </c>
      <c r="I64" s="164"/>
      <c r="J64" s="104"/>
      <c r="K64" s="282"/>
      <c r="L64" s="282"/>
      <c r="M64" s="363"/>
      <c r="N64" s="363"/>
      <c r="O64" s="138">
        <v>0.0</v>
      </c>
      <c r="P64" s="138">
        <v>0.25</v>
      </c>
      <c r="Q64" s="138">
        <v>0.0</v>
      </c>
      <c r="R64" s="145" t="b">
        <v>0</v>
      </c>
      <c r="S64" s="145" t="b">
        <v>0</v>
      </c>
      <c r="T64" s="145" t="b">
        <v>1</v>
      </c>
      <c r="U64" s="166" t="s">
        <v>186</v>
      </c>
      <c r="V64" s="166" t="b">
        <v>1</v>
      </c>
    </row>
    <row r="65" outlineLevel="1">
      <c r="A65" s="146"/>
      <c r="B65" s="663" t="s">
        <v>187</v>
      </c>
      <c r="C65" s="239" t="s">
        <v>842</v>
      </c>
      <c r="D65" s="146"/>
      <c r="E65" s="239" t="s">
        <v>176</v>
      </c>
      <c r="F65" s="138">
        <v>2.4</v>
      </c>
      <c r="G65" s="239" t="s">
        <v>170</v>
      </c>
      <c r="H65" s="212"/>
      <c r="J65" s="210"/>
      <c r="K65" s="282"/>
      <c r="L65" s="282"/>
      <c r="M65" s="363"/>
      <c r="N65" s="363"/>
      <c r="O65" s="138">
        <v>0.0</v>
      </c>
      <c r="P65" s="138">
        <v>0.25</v>
      </c>
      <c r="Q65" s="138">
        <v>0.0</v>
      </c>
      <c r="R65" s="145" t="b">
        <v>0</v>
      </c>
      <c r="S65" s="145" t="b">
        <v>0</v>
      </c>
      <c r="T65" s="145" t="b">
        <v>1</v>
      </c>
      <c r="U65" s="146"/>
      <c r="V65" s="146"/>
    </row>
    <row r="66" outlineLevel="1">
      <c r="A66" s="146"/>
      <c r="B66" s="663" t="s">
        <v>189</v>
      </c>
      <c r="C66" s="239" t="s">
        <v>843</v>
      </c>
      <c r="D66" s="156"/>
      <c r="E66" s="239" t="s">
        <v>169</v>
      </c>
      <c r="F66" s="138">
        <v>1.68</v>
      </c>
      <c r="G66" s="239" t="s">
        <v>170</v>
      </c>
      <c r="H66" s="212"/>
      <c r="J66" s="210"/>
      <c r="K66" s="282"/>
      <c r="L66" s="282"/>
      <c r="M66" s="363"/>
      <c r="N66" s="363"/>
      <c r="O66" s="138">
        <v>0.0</v>
      </c>
      <c r="P66" s="138">
        <v>0.25</v>
      </c>
      <c r="Q66" s="138">
        <v>0.0</v>
      </c>
      <c r="R66" s="145" t="b">
        <v>0</v>
      </c>
      <c r="S66" s="145" t="b">
        <v>0</v>
      </c>
      <c r="T66" s="145" t="b">
        <v>1</v>
      </c>
      <c r="U66" s="146"/>
      <c r="V66" s="146"/>
    </row>
    <row r="67" outlineLevel="1">
      <c r="A67" s="237" t="s">
        <v>344</v>
      </c>
      <c r="B67" s="243"/>
      <c r="C67" s="239" t="s">
        <v>220</v>
      </c>
      <c r="D67" s="367" t="s">
        <v>218</v>
      </c>
      <c r="E67" s="239" t="s">
        <v>204</v>
      </c>
      <c r="F67" s="138">
        <v>3.5999999999999996</v>
      </c>
      <c r="G67" s="239" t="s">
        <v>170</v>
      </c>
      <c r="H67" s="212"/>
      <c r="J67" s="210"/>
      <c r="K67" s="282"/>
      <c r="L67" s="282"/>
      <c r="M67" s="363"/>
      <c r="N67" s="363"/>
      <c r="O67" s="138">
        <v>0.0</v>
      </c>
      <c r="P67" s="138">
        <v>0.25</v>
      </c>
      <c r="Q67" s="138">
        <v>0.0</v>
      </c>
      <c r="R67" s="145" t="b">
        <v>0</v>
      </c>
      <c r="S67" s="145" t="b">
        <v>0</v>
      </c>
      <c r="T67" s="145" t="b">
        <v>1</v>
      </c>
      <c r="U67" s="146"/>
      <c r="V67" s="146"/>
    </row>
    <row r="68" outlineLevel="1">
      <c r="A68" s="146"/>
      <c r="B68" s="663" t="s">
        <v>187</v>
      </c>
      <c r="C68" s="239" t="s">
        <v>844</v>
      </c>
      <c r="D68" s="146"/>
      <c r="E68" s="239" t="s">
        <v>176</v>
      </c>
      <c r="F68" s="138">
        <v>2.4</v>
      </c>
      <c r="G68" s="239" t="s">
        <v>170</v>
      </c>
      <c r="H68" s="212"/>
      <c r="J68" s="210"/>
      <c r="K68" s="282"/>
      <c r="L68" s="282"/>
      <c r="M68" s="363"/>
      <c r="N68" s="363"/>
      <c r="O68" s="138">
        <v>0.0</v>
      </c>
      <c r="P68" s="138">
        <v>0.25</v>
      </c>
      <c r="Q68" s="138">
        <v>0.0</v>
      </c>
      <c r="R68" s="145" t="b">
        <v>0</v>
      </c>
      <c r="S68" s="145" t="b">
        <v>0</v>
      </c>
      <c r="T68" s="145" t="b">
        <v>1</v>
      </c>
      <c r="U68" s="146"/>
      <c r="V68" s="146"/>
    </row>
    <row r="69" outlineLevel="1">
      <c r="A69" s="146"/>
      <c r="B69" s="663" t="s">
        <v>189</v>
      </c>
      <c r="C69" s="239" t="s">
        <v>845</v>
      </c>
      <c r="D69" s="156"/>
      <c r="E69" s="239" t="s">
        <v>169</v>
      </c>
      <c r="F69" s="138">
        <v>1.68</v>
      </c>
      <c r="G69" s="239" t="s">
        <v>170</v>
      </c>
      <c r="H69" s="106"/>
      <c r="I69" s="168"/>
      <c r="J69" s="107"/>
      <c r="K69" s="282"/>
      <c r="L69" s="282"/>
      <c r="M69" s="363"/>
      <c r="N69" s="363"/>
      <c r="O69" s="138">
        <v>0.0</v>
      </c>
      <c r="P69" s="138">
        <v>0.25</v>
      </c>
      <c r="Q69" s="138">
        <v>0.0</v>
      </c>
      <c r="R69" s="145" t="b">
        <v>0</v>
      </c>
      <c r="S69" s="145" t="b">
        <v>0</v>
      </c>
      <c r="T69" s="145" t="b">
        <v>1</v>
      </c>
      <c r="U69" s="156"/>
      <c r="V69" s="156"/>
    </row>
    <row r="70" outlineLevel="1">
      <c r="A70" s="230" t="s">
        <v>846</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236" t="s">
        <v>183</v>
      </c>
    </row>
    <row r="71" ht="36.75" customHeight="1" outlineLevel="1">
      <c r="A71" s="237" t="s">
        <v>332</v>
      </c>
      <c r="B71" s="243"/>
      <c r="C71" s="239" t="s">
        <v>847</v>
      </c>
      <c r="D71" s="216" t="s">
        <v>848</v>
      </c>
      <c r="E71" s="239" t="s">
        <v>80</v>
      </c>
      <c r="F71" s="138">
        <v>9.6</v>
      </c>
      <c r="G71" s="239" t="s">
        <v>60</v>
      </c>
      <c r="H71" s="163" t="s">
        <v>849</v>
      </c>
      <c r="I71" s="164"/>
      <c r="J71" s="104"/>
      <c r="K71" s="282"/>
      <c r="L71" s="282"/>
      <c r="M71" s="363"/>
      <c r="N71" s="363"/>
      <c r="O71" s="138">
        <v>0.0</v>
      </c>
      <c r="P71" s="138">
        <v>1.0</v>
      </c>
      <c r="Q71" s="138">
        <v>1.0</v>
      </c>
      <c r="R71" s="145" t="b">
        <v>1</v>
      </c>
      <c r="S71" s="145" t="b">
        <v>0</v>
      </c>
      <c r="T71" s="145" t="b">
        <v>1</v>
      </c>
      <c r="U71" s="166" t="s">
        <v>186</v>
      </c>
      <c r="V71" s="166" t="b">
        <v>1</v>
      </c>
    </row>
    <row r="72" ht="36.75" customHeight="1" outlineLevel="1">
      <c r="A72" s="237" t="s">
        <v>344</v>
      </c>
      <c r="B72" s="243"/>
      <c r="C72" s="239" t="s">
        <v>847</v>
      </c>
      <c r="D72" s="239" t="s">
        <v>850</v>
      </c>
      <c r="E72" s="239" t="s">
        <v>150</v>
      </c>
      <c r="F72" s="138">
        <v>6.0</v>
      </c>
      <c r="G72" s="239" t="s">
        <v>60</v>
      </c>
      <c r="H72" s="106"/>
      <c r="I72" s="168"/>
      <c r="J72" s="107"/>
      <c r="K72" s="138"/>
      <c r="L72" s="138"/>
      <c r="M72" s="145"/>
      <c r="N72" s="145"/>
      <c r="O72" s="138">
        <v>0.0</v>
      </c>
      <c r="P72" s="138">
        <v>1.0</v>
      </c>
      <c r="Q72" s="138">
        <v>1.0</v>
      </c>
      <c r="R72" s="145" t="b">
        <v>1</v>
      </c>
      <c r="S72" s="145" t="b">
        <v>0</v>
      </c>
      <c r="T72" s="145" t="b">
        <v>1</v>
      </c>
      <c r="U72" s="156"/>
      <c r="V72" s="156"/>
    </row>
    <row r="73" outlineLevel="1">
      <c r="A73" s="230" t="s">
        <v>851</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546" t="s">
        <v>184</v>
      </c>
      <c r="B74" s="402" t="s">
        <v>852</v>
      </c>
      <c r="C74" s="239" t="s">
        <v>853</v>
      </c>
      <c r="D74" s="367" t="s">
        <v>854</v>
      </c>
      <c r="E74" s="239" t="s">
        <v>700</v>
      </c>
      <c r="F74" s="138">
        <v>2.16</v>
      </c>
      <c r="G74" s="239" t="s">
        <v>60</v>
      </c>
      <c r="H74" s="163" t="s">
        <v>855</v>
      </c>
      <c r="I74" s="164"/>
      <c r="J74" s="104"/>
      <c r="K74" s="138"/>
      <c r="L74" s="138"/>
      <c r="M74" s="145"/>
      <c r="N74" s="145"/>
      <c r="O74" s="138">
        <v>0.0</v>
      </c>
      <c r="P74" s="138">
        <v>1.0</v>
      </c>
      <c r="Q74" s="138">
        <v>1.0</v>
      </c>
      <c r="R74" s="145" t="b">
        <v>1</v>
      </c>
      <c r="S74" s="145" t="b">
        <v>0</v>
      </c>
      <c r="T74" s="145"/>
      <c r="U74" s="166" t="s">
        <v>186</v>
      </c>
      <c r="V74" s="166" t="b">
        <v>1</v>
      </c>
    </row>
    <row r="75" outlineLevel="1">
      <c r="A75" s="146"/>
      <c r="B75" s="402" t="s">
        <v>524</v>
      </c>
      <c r="C75" s="239" t="s">
        <v>856</v>
      </c>
      <c r="D75" s="146"/>
      <c r="E75" s="239" t="s">
        <v>153</v>
      </c>
      <c r="F75" s="138">
        <v>19.2</v>
      </c>
      <c r="G75" s="239" t="s">
        <v>82</v>
      </c>
      <c r="H75" s="212"/>
      <c r="J75" s="210"/>
      <c r="K75" s="138"/>
      <c r="L75" s="138"/>
      <c r="M75" s="145"/>
      <c r="N75" s="145"/>
      <c r="O75" s="138">
        <v>5.0</v>
      </c>
      <c r="P75" s="138">
        <v>1.0</v>
      </c>
      <c r="Q75" s="138">
        <v>1.0</v>
      </c>
      <c r="R75" s="145" t="b">
        <v>1</v>
      </c>
      <c r="S75" s="145" t="b">
        <v>0</v>
      </c>
      <c r="T75" s="145"/>
      <c r="U75" s="146"/>
      <c r="V75" s="146"/>
    </row>
    <row r="76" outlineLevel="1">
      <c r="A76" s="156"/>
      <c r="B76" s="402" t="s">
        <v>857</v>
      </c>
      <c r="C76" s="239" t="s">
        <v>858</v>
      </c>
      <c r="D76" s="156"/>
      <c r="E76" s="239" t="s">
        <v>128</v>
      </c>
      <c r="F76" s="138">
        <v>12.0</v>
      </c>
      <c r="G76" s="239" t="s">
        <v>121</v>
      </c>
      <c r="H76" s="106"/>
      <c r="I76" s="168"/>
      <c r="J76" s="107"/>
      <c r="K76" s="138"/>
      <c r="L76" s="138"/>
      <c r="M76" s="145"/>
      <c r="N76" s="145"/>
      <c r="O76" s="138">
        <v>0.0</v>
      </c>
      <c r="P76" s="138">
        <v>1.0</v>
      </c>
      <c r="Q76" s="138">
        <v>1.0</v>
      </c>
      <c r="R76" s="145" t="b">
        <v>1</v>
      </c>
      <c r="S76" s="145" t="b">
        <v>0</v>
      </c>
      <c r="T76" s="145"/>
      <c r="U76" s="156"/>
      <c r="V76" s="156"/>
    </row>
    <row r="77" outlineLevel="1">
      <c r="A77" s="230" t="s">
        <v>859</v>
      </c>
      <c r="B77" s="109"/>
      <c r="C77" s="231" t="s">
        <v>48</v>
      </c>
      <c r="D77" s="231" t="s">
        <v>49</v>
      </c>
      <c r="E77" s="232" t="s">
        <v>50</v>
      </c>
      <c r="F77" s="233" t="s">
        <v>51</v>
      </c>
      <c r="G77" s="232" t="s">
        <v>52</v>
      </c>
      <c r="H77" s="382" t="s">
        <v>53</v>
      </c>
      <c r="I77" s="110"/>
      <c r="J77" s="109"/>
      <c r="K77" s="235" t="s">
        <v>137</v>
      </c>
      <c r="L77" s="235" t="s">
        <v>138</v>
      </c>
      <c r="M77" s="235" t="s">
        <v>139</v>
      </c>
      <c r="N77" s="235" t="s">
        <v>140</v>
      </c>
      <c r="O77" s="236" t="s">
        <v>141</v>
      </c>
      <c r="P77" s="235" t="s">
        <v>142</v>
      </c>
      <c r="Q77" s="236" t="s">
        <v>143</v>
      </c>
      <c r="R77" s="235" t="s">
        <v>179</v>
      </c>
      <c r="S77" s="236" t="s">
        <v>180</v>
      </c>
      <c r="T77" s="236" t="s">
        <v>181</v>
      </c>
      <c r="U77" s="236" t="s">
        <v>182</v>
      </c>
      <c r="V77" s="236" t="s">
        <v>183</v>
      </c>
    </row>
    <row r="78" outlineLevel="1">
      <c r="A78" s="237" t="s">
        <v>184</v>
      </c>
      <c r="B78" s="624" t="s">
        <v>860</v>
      </c>
      <c r="C78" s="239" t="s">
        <v>861</v>
      </c>
      <c r="D78" s="239" t="s">
        <v>224</v>
      </c>
      <c r="E78" s="239" t="s">
        <v>176</v>
      </c>
      <c r="F78" s="138">
        <v>2.4</v>
      </c>
      <c r="G78" s="239" t="s">
        <v>60</v>
      </c>
      <c r="H78" s="163" t="s">
        <v>862</v>
      </c>
      <c r="I78" s="164"/>
      <c r="J78" s="104"/>
      <c r="K78" s="138"/>
      <c r="L78" s="138"/>
      <c r="M78" s="145"/>
      <c r="N78" s="145"/>
      <c r="O78" s="138">
        <v>0.0</v>
      </c>
      <c r="P78" s="138">
        <v>1.0</v>
      </c>
      <c r="Q78" s="138">
        <v>1.0</v>
      </c>
      <c r="R78" s="145" t="b">
        <v>0</v>
      </c>
      <c r="S78" s="145" t="b">
        <v>0</v>
      </c>
      <c r="T78" s="145"/>
      <c r="U78" s="166" t="b">
        <v>0</v>
      </c>
      <c r="V78" s="166" t="b">
        <v>0</v>
      </c>
    </row>
    <row r="79" outlineLevel="1">
      <c r="A79" s="146"/>
      <c r="B79" s="624" t="s">
        <v>677</v>
      </c>
      <c r="C79" s="702"/>
      <c r="D79" s="239" t="s">
        <v>228</v>
      </c>
      <c r="E79" s="702"/>
      <c r="F79" s="702"/>
      <c r="G79" s="702"/>
      <c r="H79" s="106"/>
      <c r="I79" s="168"/>
      <c r="J79" s="107"/>
      <c r="K79" s="476"/>
      <c r="L79" s="476"/>
      <c r="M79" s="476"/>
      <c r="N79" s="476"/>
      <c r="O79" s="476"/>
      <c r="P79" s="476"/>
      <c r="Q79" s="476"/>
      <c r="R79" s="476"/>
      <c r="S79" s="476"/>
      <c r="T79" s="476"/>
      <c r="U79" s="146"/>
      <c r="V79" s="146"/>
    </row>
    <row r="80" outlineLevel="1">
      <c r="A80" s="156"/>
      <c r="B80" s="624" t="s">
        <v>863</v>
      </c>
      <c r="C80" s="702"/>
      <c r="D80" s="239" t="s">
        <v>864</v>
      </c>
      <c r="E80" s="702"/>
      <c r="F80" s="702"/>
      <c r="G80" s="702"/>
      <c r="H80" s="151" t="s">
        <v>865</v>
      </c>
      <c r="I80" s="110"/>
      <c r="J80" s="109"/>
      <c r="K80" s="476"/>
      <c r="L80" s="476"/>
      <c r="M80" s="476"/>
      <c r="N80" s="476"/>
      <c r="O80" s="476"/>
      <c r="P80" s="476"/>
      <c r="Q80" s="476"/>
      <c r="R80" s="476"/>
      <c r="S80" s="476"/>
      <c r="T80" s="476"/>
      <c r="U80" s="156"/>
      <c r="V80" s="156"/>
    </row>
    <row r="81">
      <c r="A81" s="223"/>
      <c r="B81" s="224"/>
      <c r="C81" s="225"/>
      <c r="D81" s="225"/>
      <c r="E81" s="226"/>
      <c r="F81" s="226"/>
      <c r="G81" s="226"/>
      <c r="H81" s="227"/>
      <c r="I81" s="227"/>
      <c r="J81" s="228"/>
      <c r="K81" s="228"/>
      <c r="L81" s="228"/>
      <c r="M81" s="228"/>
      <c r="N81" s="228"/>
      <c r="O81" s="228"/>
      <c r="P81" s="228"/>
      <c r="Q81" s="228"/>
      <c r="R81" s="228"/>
      <c r="S81" s="228"/>
      <c r="T81" s="228"/>
      <c r="U81" s="118"/>
      <c r="V81" s="118"/>
    </row>
    <row r="82">
      <c r="A82" s="264" t="s">
        <v>211</v>
      </c>
      <c r="B82" s="104"/>
      <c r="C82" s="227"/>
      <c r="D82" s="227"/>
      <c r="E82" s="228"/>
      <c r="F82" s="265"/>
      <c r="G82" s="265"/>
      <c r="H82" s="228"/>
      <c r="I82" s="228"/>
      <c r="J82" s="228"/>
      <c r="K82" s="228"/>
      <c r="L82" s="228"/>
      <c r="M82" s="228"/>
      <c r="N82" s="228"/>
      <c r="O82" s="228"/>
      <c r="P82" s="228"/>
      <c r="Q82" s="228"/>
      <c r="R82" s="228"/>
      <c r="S82" s="228"/>
      <c r="T82" s="228"/>
      <c r="U82" s="228"/>
      <c r="V82" s="228"/>
    </row>
    <row r="83" outlineLevel="1">
      <c r="A83" s="106"/>
      <c r="B83" s="107"/>
      <c r="C83" s="266" t="s">
        <v>48</v>
      </c>
      <c r="D83" s="266" t="s">
        <v>49</v>
      </c>
      <c r="E83" s="266" t="s">
        <v>50</v>
      </c>
      <c r="F83" s="267" t="s">
        <v>51</v>
      </c>
      <c r="G83" s="227"/>
      <c r="H83" s="227"/>
      <c r="I83" s="227"/>
      <c r="J83" s="228"/>
      <c r="K83" s="228"/>
      <c r="L83" s="228"/>
      <c r="M83" s="228"/>
      <c r="N83" s="228"/>
      <c r="O83" s="228"/>
      <c r="P83" s="228"/>
      <c r="Q83" s="228"/>
      <c r="R83" s="228"/>
      <c r="S83" s="228"/>
      <c r="T83" s="228"/>
      <c r="U83" s="228"/>
      <c r="V83" s="228"/>
    </row>
    <row r="84" outlineLevel="1">
      <c r="A84" s="268" t="s">
        <v>212</v>
      </c>
      <c r="B84" s="269" t="s">
        <v>212</v>
      </c>
      <c r="C84" s="239" t="s">
        <v>213</v>
      </c>
      <c r="D84" s="239" t="s">
        <v>150</v>
      </c>
      <c r="E84" s="239" t="s">
        <v>213</v>
      </c>
      <c r="F84" s="138">
        <v>1.2</v>
      </c>
      <c r="G84" s="227"/>
      <c r="H84" s="227"/>
      <c r="I84" s="227"/>
      <c r="J84" s="228"/>
      <c r="K84" s="228"/>
      <c r="L84" s="228"/>
      <c r="M84" s="228"/>
      <c r="N84" s="228"/>
      <c r="O84" s="228"/>
      <c r="P84" s="228"/>
      <c r="Q84" s="228"/>
      <c r="R84" s="228"/>
      <c r="S84" s="228"/>
      <c r="T84" s="228"/>
      <c r="U84" s="228"/>
      <c r="V84" s="228"/>
    </row>
    <row r="85" outlineLevel="1">
      <c r="A85" s="270" t="s">
        <v>215</v>
      </c>
      <c r="B85" s="269" t="s">
        <v>216</v>
      </c>
      <c r="C85" s="365" t="s">
        <v>549</v>
      </c>
      <c r="D85" s="239" t="s">
        <v>224</v>
      </c>
      <c r="E85" s="271"/>
      <c r="F85" s="272"/>
      <c r="G85" s="272"/>
      <c r="H85" s="227"/>
      <c r="I85" s="227"/>
      <c r="J85" s="228"/>
      <c r="K85" s="228"/>
      <c r="L85" s="228"/>
      <c r="M85" s="228"/>
      <c r="N85" s="228"/>
      <c r="O85" s="228"/>
      <c r="P85" s="228"/>
      <c r="Q85" s="228"/>
      <c r="R85" s="228"/>
      <c r="S85" s="228"/>
      <c r="T85" s="228"/>
      <c r="U85" s="228"/>
      <c r="V85" s="228"/>
    </row>
    <row r="86" outlineLevel="1">
      <c r="A86" s="212"/>
      <c r="B86" s="269" t="s">
        <v>219</v>
      </c>
      <c r="C86" s="239" t="s">
        <v>223</v>
      </c>
      <c r="D86" s="239" t="s">
        <v>393</v>
      </c>
      <c r="E86" s="271"/>
      <c r="F86" s="272"/>
      <c r="G86" s="272"/>
      <c r="H86" s="227"/>
      <c r="I86" s="227"/>
      <c r="J86" s="228"/>
      <c r="K86" s="228"/>
      <c r="L86" s="228"/>
      <c r="M86" s="228"/>
      <c r="N86" s="228"/>
      <c r="O86" s="228"/>
      <c r="P86" s="228"/>
      <c r="Q86" s="228"/>
      <c r="R86" s="228"/>
      <c r="S86" s="228"/>
      <c r="T86" s="228"/>
      <c r="U86" s="228"/>
      <c r="V86" s="228"/>
    </row>
    <row r="87" outlineLevel="1">
      <c r="A87" s="106"/>
      <c r="B87" s="269" t="s">
        <v>222</v>
      </c>
      <c r="C87" s="365" t="s">
        <v>382</v>
      </c>
      <c r="D87" s="239" t="s">
        <v>118</v>
      </c>
      <c r="E87" s="227"/>
      <c r="F87" s="272"/>
      <c r="G87" s="272"/>
      <c r="H87" s="227"/>
      <c r="I87" s="227"/>
      <c r="J87" s="228"/>
      <c r="K87" s="228"/>
      <c r="L87" s="228"/>
      <c r="M87" s="228"/>
      <c r="N87" s="228"/>
      <c r="O87" s="228"/>
      <c r="P87" s="228"/>
      <c r="Q87" s="228"/>
      <c r="R87" s="228"/>
      <c r="S87" s="228"/>
      <c r="T87" s="228"/>
      <c r="U87" s="228"/>
      <c r="V87" s="228"/>
    </row>
    <row r="88" outlineLevel="1">
      <c r="A88" s="273" t="s">
        <v>225</v>
      </c>
      <c r="B88" s="109"/>
      <c r="C88" s="266" t="s">
        <v>48</v>
      </c>
      <c r="D88" s="266" t="s">
        <v>49</v>
      </c>
      <c r="E88" s="266" t="s">
        <v>50</v>
      </c>
      <c r="F88" s="267" t="s">
        <v>51</v>
      </c>
      <c r="G88" s="274" t="s">
        <v>53</v>
      </c>
      <c r="H88" s="110"/>
      <c r="I88" s="110"/>
      <c r="J88" s="109"/>
      <c r="K88" s="275" t="str">
        <f>'テンプレート'!K97</f>
        <v>ベクトル</v>
      </c>
      <c r="L88" s="275" t="str">
        <f>'テンプレート'!L97</f>
        <v>KBG (R.E.)</v>
      </c>
      <c r="M88" s="275" t="str">
        <f>'テンプレート'!M97</f>
        <v>BKB (R.A.)</v>
      </c>
      <c r="N88" s="275" t="str">
        <f>'テンプレート'!N97</f>
        <v>FKB (R.F.)</v>
      </c>
      <c r="O88" s="276" t="str">
        <f>'テンプレート'!O97</f>
        <v>盾削り値</v>
      </c>
      <c r="P88" s="275" t="str">
        <f>'テンプレート'!P97</f>
        <v>ﾋｯﾄｽﾄｯﾌﾟ</v>
      </c>
      <c r="Q88" s="276" t="str">
        <f>'テンプレート'!Q97</f>
        <v>ずらし</v>
      </c>
      <c r="R88" s="277"/>
      <c r="S88" s="277"/>
      <c r="T88" s="277"/>
      <c r="U88" s="277"/>
      <c r="V88" s="277"/>
    </row>
    <row r="89" outlineLevel="1">
      <c r="A89" s="278" t="s">
        <v>226</v>
      </c>
      <c r="B89" s="269" t="s">
        <v>227</v>
      </c>
      <c r="C89" s="239" t="s">
        <v>223</v>
      </c>
      <c r="D89" s="367">
        <v>33.0</v>
      </c>
      <c r="E89" s="239" t="s">
        <v>73</v>
      </c>
      <c r="F89" s="138">
        <v>4.8</v>
      </c>
      <c r="G89" s="416"/>
      <c r="H89" s="164"/>
      <c r="I89" s="164"/>
      <c r="J89" s="104"/>
      <c r="K89" s="282"/>
      <c r="L89" s="282"/>
      <c r="M89" s="363"/>
      <c r="N89" s="363"/>
      <c r="O89" s="145">
        <v>1.0</v>
      </c>
      <c r="P89" s="145">
        <v>1.0</v>
      </c>
      <c r="Q89" s="145">
        <v>1.0</v>
      </c>
      <c r="R89" s="277"/>
      <c r="S89" s="228"/>
      <c r="T89" s="228"/>
      <c r="U89" s="228"/>
      <c r="V89" s="228"/>
    </row>
    <row r="90" outlineLevel="1">
      <c r="A90" s="156"/>
      <c r="B90" s="269" t="s">
        <v>225</v>
      </c>
      <c r="C90" s="239" t="s">
        <v>232</v>
      </c>
      <c r="D90" s="156"/>
      <c r="E90" s="239" t="s">
        <v>204</v>
      </c>
      <c r="F90" s="138">
        <v>3.5999999999999996</v>
      </c>
      <c r="G90" s="106"/>
      <c r="H90" s="168"/>
      <c r="I90" s="168"/>
      <c r="J90" s="107"/>
      <c r="K90" s="282"/>
      <c r="L90" s="282"/>
      <c r="M90" s="363"/>
      <c r="N90" s="363"/>
      <c r="O90" s="261"/>
      <c r="P90" s="261"/>
      <c r="Q90" s="261"/>
      <c r="R90" s="277"/>
      <c r="S90" s="228"/>
      <c r="T90" s="228"/>
      <c r="U90" s="228"/>
      <c r="V90" s="228"/>
    </row>
    <row r="91" outlineLevel="1">
      <c r="A91" s="278" t="s">
        <v>229</v>
      </c>
      <c r="B91" s="269" t="s">
        <v>866</v>
      </c>
      <c r="C91" s="239" t="s">
        <v>867</v>
      </c>
      <c r="D91" s="367">
        <v>49.0</v>
      </c>
      <c r="E91" s="239" t="s">
        <v>176</v>
      </c>
      <c r="F91" s="138">
        <v>2.4</v>
      </c>
      <c r="G91" s="413" t="s">
        <v>868</v>
      </c>
      <c r="H91" s="164"/>
      <c r="I91" s="164"/>
      <c r="J91" s="104"/>
      <c r="K91" s="282"/>
      <c r="L91" s="282"/>
      <c r="M91" s="363"/>
      <c r="N91" s="363"/>
      <c r="O91" s="145">
        <v>0.0</v>
      </c>
      <c r="P91" s="145">
        <v>1.0</v>
      </c>
      <c r="Q91" s="145">
        <v>1.0</v>
      </c>
      <c r="R91" s="277"/>
      <c r="S91" s="228"/>
      <c r="T91" s="228"/>
      <c r="U91" s="228"/>
      <c r="V91" s="228"/>
    </row>
    <row r="92" outlineLevel="1">
      <c r="A92" s="156"/>
      <c r="B92" s="269" t="s">
        <v>225</v>
      </c>
      <c r="C92" s="239">
        <v>10.0</v>
      </c>
      <c r="D92" s="156"/>
      <c r="E92" s="239" t="s">
        <v>176</v>
      </c>
      <c r="F92" s="138">
        <v>2.4</v>
      </c>
      <c r="G92" s="106"/>
      <c r="H92" s="168"/>
      <c r="I92" s="168"/>
      <c r="J92" s="107"/>
      <c r="K92" s="282"/>
      <c r="L92" s="282"/>
      <c r="M92" s="363"/>
      <c r="N92" s="363"/>
      <c r="O92" s="261"/>
      <c r="P92" s="261"/>
      <c r="Q92" s="261"/>
      <c r="R92" s="277"/>
      <c r="S92" s="228"/>
      <c r="T92" s="228"/>
      <c r="U92" s="228"/>
      <c r="V92" s="228"/>
    </row>
    <row r="93" outlineLevel="1">
      <c r="A93" s="278" t="s">
        <v>233</v>
      </c>
      <c r="B93" s="269" t="s">
        <v>866</v>
      </c>
      <c r="C93" s="239" t="s">
        <v>869</v>
      </c>
      <c r="D93" s="367">
        <v>49.0</v>
      </c>
      <c r="E93" s="239" t="s">
        <v>176</v>
      </c>
      <c r="F93" s="138">
        <v>2.4</v>
      </c>
      <c r="G93" s="413" t="s">
        <v>868</v>
      </c>
      <c r="H93" s="164"/>
      <c r="I93" s="164"/>
      <c r="J93" s="104"/>
      <c r="K93" s="282"/>
      <c r="L93" s="282"/>
      <c r="M93" s="363"/>
      <c r="N93" s="363"/>
      <c r="O93" s="145">
        <v>0.0</v>
      </c>
      <c r="P93" s="145">
        <v>1.0</v>
      </c>
      <c r="Q93" s="145">
        <v>1.0</v>
      </c>
      <c r="R93" s="277"/>
      <c r="S93" s="228"/>
      <c r="T93" s="228"/>
      <c r="U93" s="228"/>
      <c r="V93" s="228"/>
    </row>
    <row r="94" outlineLevel="1">
      <c r="A94" s="156"/>
      <c r="B94" s="269" t="s">
        <v>225</v>
      </c>
      <c r="C94" s="239">
        <v>7.0</v>
      </c>
      <c r="D94" s="156"/>
      <c r="E94" s="239" t="s">
        <v>176</v>
      </c>
      <c r="F94" s="138">
        <v>2.4</v>
      </c>
      <c r="G94" s="106"/>
      <c r="H94" s="168"/>
      <c r="I94" s="168"/>
      <c r="J94" s="107"/>
      <c r="K94" s="282"/>
      <c r="L94" s="282"/>
      <c r="M94" s="363"/>
      <c r="N94" s="363"/>
      <c r="O94" s="261"/>
      <c r="P94" s="261"/>
      <c r="Q94" s="261"/>
      <c r="R94" s="277"/>
      <c r="S94" s="117"/>
      <c r="T94" s="117"/>
      <c r="U94" s="117"/>
      <c r="V94" s="117"/>
    </row>
    <row r="95" outlineLevel="1">
      <c r="A95" s="278" t="s">
        <v>234</v>
      </c>
      <c r="B95" s="269" t="s">
        <v>866</v>
      </c>
      <c r="C95" s="239" t="s">
        <v>870</v>
      </c>
      <c r="D95" s="367">
        <v>54.0</v>
      </c>
      <c r="E95" s="239" t="s">
        <v>176</v>
      </c>
      <c r="F95" s="138">
        <v>2.4</v>
      </c>
      <c r="G95" s="413" t="s">
        <v>868</v>
      </c>
      <c r="H95" s="164"/>
      <c r="I95" s="164"/>
      <c r="J95" s="104"/>
      <c r="K95" s="282"/>
      <c r="L95" s="282"/>
      <c r="M95" s="363"/>
      <c r="N95" s="363"/>
      <c r="O95" s="145">
        <v>0.0</v>
      </c>
      <c r="P95" s="145">
        <v>1.0</v>
      </c>
      <c r="Q95" s="145">
        <v>1.0</v>
      </c>
      <c r="R95" s="277"/>
      <c r="S95" s="117"/>
      <c r="T95" s="117"/>
      <c r="U95" s="117"/>
      <c r="V95" s="117"/>
    </row>
    <row r="96" outlineLevel="1">
      <c r="A96" s="156"/>
      <c r="B96" s="269" t="s">
        <v>225</v>
      </c>
      <c r="C96" s="239">
        <v>34.0</v>
      </c>
      <c r="D96" s="156"/>
      <c r="E96" s="239" t="s">
        <v>213</v>
      </c>
      <c r="F96" s="138">
        <v>1.2</v>
      </c>
      <c r="G96" s="106"/>
      <c r="H96" s="168"/>
      <c r="I96" s="168"/>
      <c r="J96" s="107"/>
      <c r="K96" s="282"/>
      <c r="L96" s="282"/>
      <c r="M96" s="363"/>
      <c r="N96" s="363"/>
      <c r="O96" s="261"/>
      <c r="P96" s="261"/>
      <c r="Q96" s="261"/>
      <c r="R96" s="277"/>
      <c r="S96" s="117"/>
      <c r="T96" s="117"/>
      <c r="U96" s="117"/>
      <c r="V96" s="117"/>
    </row>
    <row r="97">
      <c r="A97" s="223"/>
      <c r="B97" s="224"/>
      <c r="C97" s="225"/>
      <c r="D97" s="225"/>
      <c r="E97" s="227"/>
      <c r="F97" s="177"/>
      <c r="G97" s="177"/>
      <c r="H97" s="227"/>
      <c r="I97" s="227"/>
      <c r="J97" s="228"/>
      <c r="K97" s="228"/>
      <c r="L97" s="111"/>
      <c r="M97" s="111"/>
      <c r="N97" s="111"/>
      <c r="O97" s="117"/>
      <c r="P97" s="117"/>
      <c r="Q97" s="111"/>
      <c r="R97" s="111"/>
      <c r="S97" s="111"/>
      <c r="T97" s="111"/>
      <c r="U97" s="111"/>
      <c r="V97" s="111"/>
    </row>
    <row r="98">
      <c r="A98" s="284" t="s">
        <v>241</v>
      </c>
      <c r="B98" s="104"/>
      <c r="C98" s="265"/>
      <c r="D98" s="111"/>
      <c r="E98" s="111"/>
      <c r="F98" s="111"/>
      <c r="G98" s="111"/>
      <c r="H98" s="111"/>
      <c r="I98" s="111"/>
      <c r="J98" s="118"/>
      <c r="K98" s="111"/>
      <c r="L98" s="111"/>
      <c r="M98" s="111"/>
      <c r="N98" s="111"/>
      <c r="O98" s="111"/>
      <c r="P98" s="111"/>
      <c r="Q98" s="118"/>
      <c r="R98" s="111"/>
      <c r="S98" s="111"/>
      <c r="T98" s="111"/>
      <c r="U98" s="111"/>
      <c r="V98" s="111"/>
    </row>
    <row r="99" outlineLevel="1">
      <c r="A99" s="106"/>
      <c r="B99" s="107"/>
      <c r="C99" s="285" t="s">
        <v>235</v>
      </c>
      <c r="D99" s="285" t="s">
        <v>236</v>
      </c>
      <c r="E99" s="285" t="s">
        <v>49</v>
      </c>
      <c r="F99" s="285" t="s">
        <v>237</v>
      </c>
      <c r="G99" s="286"/>
      <c r="H99" s="227"/>
      <c r="I99" s="227"/>
      <c r="J99" s="228"/>
      <c r="K99" s="228"/>
      <c r="L99" s="111"/>
      <c r="M99" s="111"/>
      <c r="N99" s="111"/>
      <c r="O99" s="111"/>
      <c r="P99" s="111"/>
      <c r="Q99" s="111"/>
      <c r="R99" s="111"/>
      <c r="S99" s="111"/>
      <c r="T99" s="111"/>
      <c r="U99" s="111"/>
      <c r="V99" s="111"/>
    </row>
    <row r="100" outlineLevel="1">
      <c r="A100" s="287" t="s">
        <v>395</v>
      </c>
      <c r="B100" s="288" t="s">
        <v>216</v>
      </c>
      <c r="C100" s="113" t="str">
        <f t="array" ref="C100">INDEX('回避'!$C$3:$U$84, MATCH($A$1,'回避'!$A$3:$A$91,0), MATCH(C99,'回避'!$C$2:$F$2,0))</f>
        <v>3-14</v>
      </c>
      <c r="D100" s="113" t="str">
        <f t="array" ref="D100">INDEX('回避'!$C$3:$U$84, MATCH($A$1,'回避'!$A$3:$A$91,0), MATCH(D99,'回避'!$C$2:$F$2,0))</f>
        <v>6-15</v>
      </c>
      <c r="E100" s="113" t="str">
        <f t="array" ref="E100">INDEX('回避'!$C$3:$U$84, MATCH($A$1,'回避'!$A$3:$A$91,0), MATCH(E99,'回避'!$C$2:$F$2,0))</f>
        <v>23 (18)</v>
      </c>
      <c r="F100" s="113" t="str">
        <f t="array" ref="F100">INDEX('回避'!$C$3:$U$84, MATCH($A$1,'回避'!$A$3:$A$91,0), MATCH(F99,'回避'!$C$2:$F$2,0))</f>
        <v>31 (24)</v>
      </c>
      <c r="G100" s="272"/>
      <c r="H100" s="227"/>
      <c r="I100" s="227"/>
      <c r="J100" s="228"/>
      <c r="K100" s="228"/>
      <c r="L100" s="228"/>
      <c r="M100" s="111"/>
      <c r="N100" s="111"/>
      <c r="O100" s="111"/>
      <c r="P100" s="111"/>
      <c r="Q100" s="111"/>
      <c r="R100" s="111"/>
      <c r="S100" s="111"/>
      <c r="T100" s="111"/>
      <c r="U100" s="111"/>
      <c r="V100" s="111"/>
    </row>
    <row r="101" outlineLevel="1">
      <c r="A101" s="212"/>
      <c r="B101" s="288" t="s">
        <v>245</v>
      </c>
      <c r="C101" s="113" t="str">
        <f t="array" ref="C101">INDEX('回避'!$G$3:$U$84, MATCH($A$1,'回避'!$A$3:$A$91,0), MATCH(C99,'回避'!$G$2:$J$2,0))</f>
        <v>4-12</v>
      </c>
      <c r="D101" s="113" t="str">
        <f t="array" ref="D101">INDEX('回避'!$G$3:$U$84, MATCH($A$1,'回避'!$A$3:$A$91,0), MATCH(D99,'回避'!$G$2:$J$2,0))</f>
        <v>8-12</v>
      </c>
      <c r="E101" s="113" t="str">
        <f t="array" ref="E101">INDEX('回避'!$G$3:$U$84, MATCH($A$1,'回避'!$A$3:$A$91,0), MATCH(E99,'回避'!$G$2:$J$2,0))</f>
        <v>26</v>
      </c>
      <c r="F101" s="113">
        <f t="array" ref="F101">INDEX('回避'!$G$3:$U$84, MATCH($A$1,'回避'!$A$3:$A$91,0), MATCH(F99,'回避'!$G$2:$J$2,0))</f>
        <v>35</v>
      </c>
      <c r="G101" s="289"/>
      <c r="H101" s="227"/>
      <c r="I101" s="227"/>
      <c r="J101" s="228"/>
      <c r="K101" s="228"/>
      <c r="L101" s="228"/>
      <c r="M101" s="228"/>
      <c r="N101" s="228"/>
      <c r="O101" s="111"/>
      <c r="P101" s="111"/>
      <c r="Q101" s="111"/>
      <c r="R101" s="111"/>
      <c r="S101" s="111"/>
      <c r="T101" s="111"/>
      <c r="U101" s="111"/>
      <c r="V101" s="111"/>
    </row>
    <row r="102" outlineLevel="1">
      <c r="A102" s="106"/>
      <c r="B102" s="288" t="s">
        <v>246</v>
      </c>
      <c r="C102" s="113" t="str">
        <f t="array" ref="C102">INDEX('回避'!$K$3:$U$84, MATCH($A$1,'回避'!$A$3:$A$91,0), MATCH(C99,'回避'!$K$2:$N$2,0))</f>
        <v>4-14</v>
      </c>
      <c r="D102" s="113" t="str">
        <f t="array" ref="D102">INDEX('回避'!$K$3:$U$84, MATCH($A$1,'回避'!$A$3:$A$91,0), MATCH(D99,'回避'!$K$2:$N$2,0))</f>
        <v>8-13</v>
      </c>
      <c r="E102" s="113" t="str">
        <f t="array" ref="E102">INDEX('回避'!$K$3:$U$84, MATCH($A$1,'回避'!$A$3:$A$91,0), MATCH(E99,'回避'!$K$2:$N$2,0))</f>
        <v>32</v>
      </c>
      <c r="F102" s="113" t="str">
        <f t="array" ref="F102">INDEX('回避'!$K$3:$U$84, MATCH($A$1,'回避'!$A$3:$A$91,0), MATCH(F99,'回避'!$K$2:$N$2,0))</f>
        <v>48</v>
      </c>
      <c r="G102" s="289"/>
      <c r="H102" s="290"/>
      <c r="I102" s="290"/>
      <c r="J102" s="117"/>
      <c r="K102" s="117"/>
      <c r="L102" s="117"/>
      <c r="M102" s="117"/>
      <c r="N102" s="117"/>
      <c r="O102" s="111"/>
      <c r="P102" s="111"/>
      <c r="Q102" s="111"/>
      <c r="R102" s="111"/>
      <c r="S102" s="111"/>
      <c r="T102" s="111"/>
      <c r="U102" s="111"/>
      <c r="V102" s="111"/>
    </row>
    <row r="103" outlineLevel="1">
      <c r="A103" s="287" t="s">
        <v>396</v>
      </c>
      <c r="B103" s="288" t="s">
        <v>397</v>
      </c>
      <c r="C103" s="113" t="str">
        <f t="array" ref="C103">INDEX('回避'!$O$3:$U$84, MATCH($A$1,'回避'!$A$3:$A$91,0), MATCH(C99,'回避'!$O$2:$R$2,0))</f>
        <v>2-26</v>
      </c>
      <c r="D103" s="113" t="str">
        <f t="array" ref="D103">INDEX('回避'!$O$3:$U$84, MATCH($A$1,'回避'!$A$3:$A$91,0), MATCH(D99,'回避'!$O$2:$R$2,0))</f>
        <v>5-24</v>
      </c>
      <c r="E103" s="113" t="str">
        <f t="array" ref="E103">INDEX('回避'!$O$3:$U$84, MATCH($A$1,'回避'!$A$3:$A$91,0), MATCH(E99,'回避'!$O$2:$R$2,0))</f>
        <v>38</v>
      </c>
      <c r="F103" s="177"/>
      <c r="G103" s="177"/>
      <c r="H103" s="118"/>
      <c r="I103" s="118"/>
      <c r="J103" s="111"/>
      <c r="K103" s="111"/>
      <c r="L103" s="111"/>
      <c r="M103" s="111"/>
      <c r="N103" s="111"/>
      <c r="O103" s="228"/>
      <c r="P103" s="228"/>
      <c r="Q103" s="228"/>
      <c r="R103" s="228"/>
      <c r="S103" s="228"/>
      <c r="T103" s="228"/>
      <c r="U103" s="228"/>
      <c r="V103" s="228"/>
    </row>
    <row r="104" outlineLevel="1">
      <c r="A104" s="106"/>
      <c r="B104" s="288" t="s">
        <v>398</v>
      </c>
      <c r="C104" s="113" t="str">
        <f t="array" ref="C104">INDEX('回避'!$S$3:$U$84, MATCH($A$1,'回避'!$A$3:$A$91,0), MATCH(C99,'回避'!$S$2:$U$2,0))</f>
        <v>2-19</v>
      </c>
      <c r="D104" s="113" t="str">
        <f t="array" ref="D104">INDEX('回避'!$S$3:$U$84, MATCH($A$1,'回避'!$A$3:$A$91,0), MATCH(D99,'回避'!$S$2:$U$2,0))</f>
        <v>5-18</v>
      </c>
      <c r="E104" s="113" t="str">
        <f t="array" ref="E104">INDEX('回避'!$S$3:$U$84, MATCH($A$1,'回避'!$A$3:$A$91,0), MATCH(E99,'回避'!$S$2:$U$2,0))</f>
        <v>真横：64
真上：75
真下：54</v>
      </c>
      <c r="F104" s="289"/>
      <c r="G104" s="289"/>
      <c r="H104" s="118"/>
      <c r="I104" s="118"/>
      <c r="J104" s="117"/>
      <c r="K104" s="117"/>
      <c r="L104" s="117"/>
      <c r="M104" s="117"/>
      <c r="N104" s="111"/>
      <c r="O104" s="118"/>
      <c r="P104" s="118"/>
      <c r="Q104" s="118"/>
      <c r="R104" s="118"/>
      <c r="S104" s="118"/>
      <c r="T104" s="118"/>
      <c r="U104" s="118"/>
      <c r="V104" s="118"/>
    </row>
    <row r="105">
      <c r="A105" s="291"/>
      <c r="B105" s="292"/>
      <c r="C105" s="286"/>
      <c r="D105" s="286"/>
      <c r="E105" s="293"/>
      <c r="F105" s="286"/>
      <c r="G105" s="286"/>
      <c r="H105" s="286"/>
      <c r="I105" s="286"/>
      <c r="J105" s="111"/>
      <c r="K105" s="227"/>
      <c r="L105" s="227"/>
      <c r="M105" s="227"/>
      <c r="N105" s="227"/>
      <c r="O105" s="118"/>
      <c r="P105" s="118"/>
      <c r="Q105" s="118"/>
      <c r="R105" s="118"/>
      <c r="S105" s="118"/>
      <c r="T105" s="118"/>
      <c r="U105" s="118"/>
      <c r="V105" s="118"/>
    </row>
    <row r="106">
      <c r="A106" s="294" t="str">
        <f>'テンプレート'!A115</f>
        <v>共通動作 (ガケ・受け身...)</v>
      </c>
      <c r="B106" s="104"/>
      <c r="C106" s="228"/>
      <c r="D106" s="117"/>
      <c r="E106" s="228"/>
      <c r="F106" s="114"/>
      <c r="G106" s="114"/>
      <c r="H106" s="117"/>
      <c r="I106" s="117"/>
      <c r="J106" s="118"/>
      <c r="K106" s="118"/>
      <c r="L106" s="118"/>
      <c r="M106" s="118"/>
      <c r="N106" s="118"/>
      <c r="O106" s="118"/>
      <c r="P106" s="118"/>
      <c r="Q106" s="118"/>
      <c r="R106" s="118"/>
      <c r="S106" s="118"/>
      <c r="T106" s="118"/>
      <c r="U106" s="118"/>
      <c r="V106" s="118"/>
    </row>
    <row r="107" outlineLevel="1">
      <c r="A107" s="106"/>
      <c r="B107" s="107"/>
      <c r="C107" s="295" t="str">
        <f>'テンプレート'!C116</f>
        <v>無敵フレーム</v>
      </c>
      <c r="D107" s="295" t="str">
        <f>'テンプレート'!D116</f>
        <v>全体フレーム</v>
      </c>
      <c r="E107" s="295" t="str">
        <f>'テンプレート'!E116</f>
        <v>判定持続</v>
      </c>
      <c r="F107" s="295" t="str">
        <f>'テンプレート'!F116</f>
        <v>基礎ダメージ</v>
      </c>
      <c r="G107" s="296" t="str">
        <f>'テンプレート'!G116</f>
        <v>ダメージ (1v1)</v>
      </c>
      <c r="H107" s="228"/>
      <c r="I107" s="228"/>
      <c r="J107" s="117"/>
      <c r="K107" s="297" t="str">
        <f>'テンプレート'!K116</f>
        <v>アイテム取得</v>
      </c>
      <c r="L107" s="109"/>
      <c r="M107" s="298" t="str">
        <f>'テンプレート'!M116</f>
        <v>取得フレーム</v>
      </c>
      <c r="N107" s="298" t="str">
        <f>'テンプレート'!N116</f>
        <v>全体フレーム</v>
      </c>
      <c r="O107" s="118"/>
      <c r="P107" s="118"/>
      <c r="Q107" s="118"/>
      <c r="R107" s="118"/>
      <c r="S107" s="118"/>
      <c r="T107" s="118"/>
      <c r="U107" s="118"/>
      <c r="V107" s="118"/>
    </row>
    <row r="108" outlineLevel="1">
      <c r="A108" s="299" t="str">
        <f>'テンプレート'!A117</f>
        <v>ガケ行動</v>
      </c>
      <c r="B108" s="300" t="str">
        <f>'テンプレート'!B117</f>
        <v>ガケつかまり</v>
      </c>
      <c r="C108" s="301"/>
      <c r="D108" s="113">
        <v>20.0</v>
      </c>
      <c r="E108" s="301"/>
      <c r="F108" s="301"/>
      <c r="G108" s="301"/>
      <c r="H108" s="228"/>
      <c r="I108" s="228"/>
      <c r="J108" s="111"/>
      <c r="K108" s="302" t="str">
        <f>'テンプレート'!K117</f>
        <v>小アイテム</v>
      </c>
      <c r="L108" s="303" t="str">
        <f>'テンプレート'!L117</f>
        <v>その場</v>
      </c>
      <c r="M108" s="113" t="s">
        <v>76</v>
      </c>
      <c r="N108" s="113">
        <v>7.0</v>
      </c>
      <c r="O108" s="118"/>
      <c r="P108" s="118"/>
      <c r="Q108" s="118"/>
      <c r="R108" s="118"/>
      <c r="S108" s="118"/>
      <c r="T108" s="118"/>
      <c r="U108" s="118"/>
      <c r="V108" s="118"/>
    </row>
    <row r="109" outlineLevel="1">
      <c r="A109" s="146"/>
      <c r="B109" s="300" t="str">
        <f>'テンプレート'!B118</f>
        <v>その場</v>
      </c>
      <c r="C109" s="113" t="s">
        <v>871</v>
      </c>
      <c r="D109" s="113">
        <v>34.0</v>
      </c>
      <c r="E109" s="301"/>
      <c r="F109" s="301"/>
      <c r="G109" s="301"/>
      <c r="H109" s="228"/>
      <c r="I109" s="228"/>
      <c r="J109" s="117"/>
      <c r="K109" s="156"/>
      <c r="L109" s="303" t="str">
        <f>'テンプレート'!L118</f>
        <v>歩き</v>
      </c>
      <c r="M109" s="113" t="s">
        <v>76</v>
      </c>
      <c r="N109" s="113">
        <v>19.0</v>
      </c>
      <c r="O109" s="118"/>
      <c r="P109" s="118"/>
      <c r="Q109" s="118"/>
      <c r="R109" s="118"/>
      <c r="S109" s="118"/>
      <c r="T109" s="118"/>
      <c r="U109" s="118"/>
      <c r="V109" s="118"/>
    </row>
    <row r="110" outlineLevel="1">
      <c r="A110" s="146"/>
      <c r="B110" s="300" t="str">
        <f>'テンプレート'!B119</f>
        <v>回避</v>
      </c>
      <c r="C110" s="113" t="s">
        <v>872</v>
      </c>
      <c r="D110" s="113" t="s">
        <v>146</v>
      </c>
      <c r="E110" s="301"/>
      <c r="F110" s="301"/>
      <c r="G110" s="301"/>
      <c r="H110" s="228"/>
      <c r="I110" s="228"/>
      <c r="J110" s="111"/>
      <c r="K110" s="304" t="str">
        <f>'テンプレート'!K119</f>
        <v>アイテム投擲</v>
      </c>
      <c r="L110" s="109"/>
      <c r="M110" s="298" t="str">
        <f>'テンプレート'!M119</f>
        <v>投擲フレーム</v>
      </c>
      <c r="N110" s="298" t="str">
        <f>'テンプレート'!N119</f>
        <v>全体フレーム</v>
      </c>
      <c r="O110" s="118"/>
      <c r="P110" s="118"/>
      <c r="Q110" s="118"/>
      <c r="R110" s="118"/>
      <c r="S110" s="118"/>
      <c r="T110" s="118"/>
      <c r="U110" s="118"/>
      <c r="V110" s="118"/>
    </row>
    <row r="111" outlineLevel="1">
      <c r="A111" s="146"/>
      <c r="B111" s="300" t="str">
        <f>'テンプレート'!B120</f>
        <v>ジャンプ</v>
      </c>
      <c r="C111" s="113" t="s">
        <v>873</v>
      </c>
      <c r="D111" s="113">
        <v>12.0</v>
      </c>
      <c r="E111" s="301"/>
      <c r="F111" s="301"/>
      <c r="G111" s="301"/>
      <c r="H111" s="228"/>
      <c r="I111" s="228"/>
      <c r="J111" s="117"/>
      <c r="K111" s="305" t="str">
        <f>'テンプレート'!K120</f>
        <v>地上投擲</v>
      </c>
      <c r="L111" s="303" t="str">
        <f>'テンプレート'!L120</f>
        <v>前投げ</v>
      </c>
      <c r="M111" s="113" t="s">
        <v>80</v>
      </c>
      <c r="N111" s="113">
        <v>24.0</v>
      </c>
      <c r="O111" s="111"/>
      <c r="P111" s="111"/>
      <c r="Q111" s="111"/>
      <c r="R111" s="111"/>
      <c r="S111" s="111"/>
      <c r="T111" s="111"/>
      <c r="U111" s="111"/>
      <c r="V111" s="111"/>
    </row>
    <row r="112" outlineLevel="1">
      <c r="A112" s="156"/>
      <c r="B112" s="300" t="str">
        <f>'テンプレート'!B121</f>
        <v>攻撃</v>
      </c>
      <c r="C112" s="113" t="s">
        <v>874</v>
      </c>
      <c r="D112" s="113" t="s">
        <v>300</v>
      </c>
      <c r="E112" s="113" t="s">
        <v>378</v>
      </c>
      <c r="F112" s="113" t="s">
        <v>274</v>
      </c>
      <c r="G112" s="113">
        <f>F112*1.2</f>
        <v>10.8</v>
      </c>
      <c r="H112" s="228"/>
      <c r="I112" s="228"/>
      <c r="J112" s="111"/>
      <c r="K112" s="146"/>
      <c r="L112" s="303" t="str">
        <f>'テンプレート'!L121</f>
        <v>後投げ</v>
      </c>
      <c r="M112" s="113" t="s">
        <v>232</v>
      </c>
      <c r="N112" s="113">
        <v>24.0</v>
      </c>
      <c r="O112" s="111"/>
      <c r="P112" s="111"/>
      <c r="Q112" s="111"/>
      <c r="R112" s="111"/>
      <c r="S112" s="111"/>
      <c r="T112" s="111"/>
      <c r="U112" s="111"/>
      <c r="V112" s="111"/>
    </row>
    <row r="113" outlineLevel="1">
      <c r="A113" s="299" t="str">
        <f>'テンプレート'!A122</f>
        <v>受け身</v>
      </c>
      <c r="B113" s="300" t="str">
        <f>'テンプレート'!B122</f>
        <v>その場</v>
      </c>
      <c r="C113" s="113" t="s">
        <v>875</v>
      </c>
      <c r="D113" s="113">
        <v>26.0</v>
      </c>
      <c r="E113" s="301"/>
      <c r="F113" s="301"/>
      <c r="G113" s="301"/>
      <c r="H113" s="228"/>
      <c r="I113" s="228"/>
      <c r="J113" s="117"/>
      <c r="K113" s="146"/>
      <c r="L113" s="303" t="str">
        <f>'テンプレート'!L122</f>
        <v>上投げ</v>
      </c>
      <c r="M113" s="113" t="s">
        <v>129</v>
      </c>
      <c r="N113" s="113">
        <v>23.0</v>
      </c>
      <c r="O113" s="228"/>
      <c r="P113" s="228"/>
      <c r="Q113" s="228"/>
      <c r="R113" s="228"/>
      <c r="S113" s="228"/>
      <c r="T113" s="228"/>
      <c r="U113" s="228"/>
      <c r="V113" s="228"/>
    </row>
    <row r="114" outlineLevel="1">
      <c r="A114" s="146"/>
      <c r="B114" s="300" t="str">
        <f>'テンプレート'!B123</f>
        <v>前方</v>
      </c>
      <c r="C114" s="113" t="s">
        <v>875</v>
      </c>
      <c r="D114" s="113">
        <v>40.0</v>
      </c>
      <c r="E114" s="301"/>
      <c r="F114" s="301"/>
      <c r="G114" s="301"/>
      <c r="H114" s="228"/>
      <c r="I114" s="228"/>
      <c r="J114" s="111"/>
      <c r="K114" s="146"/>
      <c r="L114" s="303" t="str">
        <f>'テンプレート'!L123</f>
        <v>下投げ</v>
      </c>
      <c r="M114" s="113" t="s">
        <v>93</v>
      </c>
      <c r="N114" s="113">
        <v>19.0</v>
      </c>
      <c r="O114" s="118"/>
      <c r="P114" s="118"/>
      <c r="Q114" s="118"/>
      <c r="R114" s="118"/>
      <c r="S114" s="118"/>
      <c r="T114" s="118"/>
      <c r="U114" s="118"/>
      <c r="V114" s="118"/>
    </row>
    <row r="115" outlineLevel="1">
      <c r="A115" s="156"/>
      <c r="B115" s="300" t="str">
        <f>'テンプレート'!B124</f>
        <v>後方</v>
      </c>
      <c r="C115" s="113" t="s">
        <v>875</v>
      </c>
      <c r="D115" s="113">
        <v>40.0</v>
      </c>
      <c r="E115" s="301"/>
      <c r="F115" s="301"/>
      <c r="G115" s="301"/>
      <c r="H115" s="228"/>
      <c r="I115" s="228"/>
      <c r="J115" s="117"/>
      <c r="K115" s="146"/>
      <c r="L115" s="306" t="str">
        <f>'テンプレート'!L124</f>
        <v>ダッシュ</v>
      </c>
      <c r="M115" s="113" t="s">
        <v>150</v>
      </c>
      <c r="N115" s="113">
        <v>37.0</v>
      </c>
      <c r="O115" s="118"/>
      <c r="P115" s="118"/>
      <c r="Q115" s="118"/>
      <c r="R115" s="118"/>
      <c r="S115" s="118"/>
      <c r="T115" s="118"/>
      <c r="U115" s="118"/>
      <c r="V115" s="118"/>
    </row>
    <row r="116" outlineLevel="1">
      <c r="A116" s="299" t="str">
        <f>'テンプレート'!A125</f>
        <v>あお向けダウン</v>
      </c>
      <c r="B116" s="300" t="str">
        <f>'テンプレート'!B125</f>
        <v>倒れ</v>
      </c>
      <c r="C116" s="301"/>
      <c r="D116" s="113" t="s">
        <v>876</v>
      </c>
      <c r="E116" s="301"/>
      <c r="F116" s="301"/>
      <c r="G116" s="301"/>
      <c r="H116" s="228"/>
      <c r="I116" s="228"/>
      <c r="J116" s="111"/>
      <c r="K116" s="156"/>
      <c r="L116" s="306" t="str">
        <f>'テンプレート'!L125</f>
        <v>その場捨て</v>
      </c>
      <c r="M116" s="113" t="s">
        <v>86</v>
      </c>
      <c r="N116" s="113">
        <v>23.0</v>
      </c>
      <c r="O116" s="118"/>
      <c r="P116" s="118"/>
      <c r="Q116" s="118"/>
      <c r="R116" s="118"/>
      <c r="S116" s="118"/>
      <c r="T116" s="118"/>
      <c r="U116" s="118"/>
      <c r="V116" s="118"/>
    </row>
    <row r="117" outlineLevel="1">
      <c r="A117" s="146"/>
      <c r="B117" s="300" t="str">
        <f>'テンプレート'!B126</f>
        <v>その場</v>
      </c>
      <c r="C117" s="308" t="s">
        <v>877</v>
      </c>
      <c r="D117" s="308" t="s">
        <v>99</v>
      </c>
      <c r="E117" s="301"/>
      <c r="F117" s="301"/>
      <c r="G117" s="301"/>
      <c r="H117" s="228"/>
      <c r="I117" s="228"/>
      <c r="J117" s="117"/>
      <c r="K117" s="305" t="str">
        <f>'テンプレート'!K126</f>
        <v>空中投擲</v>
      </c>
      <c r="L117" s="303" t="str">
        <f>'テンプレート'!L126</f>
        <v>前投げ</v>
      </c>
      <c r="M117" s="113" t="s">
        <v>80</v>
      </c>
      <c r="N117" s="113">
        <v>24.0</v>
      </c>
      <c r="O117" s="118"/>
      <c r="P117" s="118"/>
      <c r="Q117" s="118"/>
      <c r="R117" s="118"/>
      <c r="S117" s="118"/>
      <c r="T117" s="118"/>
      <c r="U117" s="118"/>
      <c r="V117" s="118"/>
    </row>
    <row r="118" outlineLevel="1">
      <c r="A118" s="146"/>
      <c r="B118" s="300" t="str">
        <f>'テンプレート'!B127</f>
        <v>前方</v>
      </c>
      <c r="C118" s="308" t="s">
        <v>878</v>
      </c>
      <c r="D118" s="308">
        <v>35.0</v>
      </c>
      <c r="E118" s="301"/>
      <c r="F118" s="301"/>
      <c r="G118" s="301"/>
      <c r="H118" s="228"/>
      <c r="I118" s="228"/>
      <c r="J118" s="111"/>
      <c r="K118" s="146"/>
      <c r="L118" s="303" t="str">
        <f>'テンプレート'!L127</f>
        <v>後投げ</v>
      </c>
      <c r="M118" s="113" t="s">
        <v>232</v>
      </c>
      <c r="N118" s="113">
        <v>24.0</v>
      </c>
      <c r="O118" s="118"/>
      <c r="P118" s="118"/>
      <c r="Q118" s="118"/>
      <c r="R118" s="118"/>
      <c r="S118" s="118"/>
      <c r="T118" s="118"/>
      <c r="U118" s="118"/>
      <c r="V118" s="118"/>
    </row>
    <row r="119" outlineLevel="1">
      <c r="A119" s="146"/>
      <c r="B119" s="300" t="str">
        <f>'テンプレート'!B128</f>
        <v>後方</v>
      </c>
      <c r="C119" s="113" t="s">
        <v>875</v>
      </c>
      <c r="D119" s="113">
        <v>35.0</v>
      </c>
      <c r="E119" s="301"/>
      <c r="F119" s="301"/>
      <c r="G119" s="301"/>
      <c r="H119" s="228"/>
      <c r="I119" s="228"/>
      <c r="J119" s="117"/>
      <c r="K119" s="146"/>
      <c r="L119" s="303" t="str">
        <f>'テンプレート'!L128</f>
        <v>上投げ</v>
      </c>
      <c r="M119" s="113" t="s">
        <v>129</v>
      </c>
      <c r="N119" s="113">
        <v>23.0</v>
      </c>
      <c r="O119" s="118"/>
      <c r="P119" s="118"/>
      <c r="Q119" s="118"/>
      <c r="R119" s="118"/>
      <c r="S119" s="118"/>
      <c r="T119" s="118"/>
      <c r="U119" s="118"/>
      <c r="V119" s="118"/>
    </row>
    <row r="120" outlineLevel="1">
      <c r="A120" s="146"/>
      <c r="B120" s="300" t="s">
        <v>249</v>
      </c>
      <c r="C120" s="310" t="s">
        <v>877</v>
      </c>
      <c r="D120" s="310">
        <v>45.0</v>
      </c>
      <c r="E120" s="308" t="s">
        <v>454</v>
      </c>
      <c r="F120" s="308">
        <v>7.0</v>
      </c>
      <c r="G120" s="113">
        <f t="shared" ref="G120:G121" si="1">F120*1.2</f>
        <v>8.4</v>
      </c>
      <c r="H120" s="228"/>
      <c r="I120" s="228"/>
      <c r="J120" s="111"/>
      <c r="K120" s="156"/>
      <c r="L120" s="303" t="str">
        <f>'テンプレート'!L129</f>
        <v>下投げ</v>
      </c>
      <c r="M120" s="113" t="s">
        <v>93</v>
      </c>
      <c r="N120" s="113">
        <v>19.0</v>
      </c>
      <c r="O120" s="111"/>
      <c r="P120" s="111"/>
      <c r="Q120" s="111"/>
      <c r="R120" s="111"/>
      <c r="S120" s="111"/>
      <c r="T120" s="111"/>
      <c r="U120" s="111"/>
      <c r="V120" s="111"/>
    </row>
    <row r="121" outlineLevel="1">
      <c r="A121" s="156"/>
      <c r="B121" s="311" t="s">
        <v>250</v>
      </c>
      <c r="C121" s="156"/>
      <c r="D121" s="156"/>
      <c r="E121" s="308" t="s">
        <v>834</v>
      </c>
      <c r="F121" s="308">
        <v>7.0</v>
      </c>
      <c r="G121" s="113">
        <f t="shared" si="1"/>
        <v>8.4</v>
      </c>
      <c r="H121" s="228"/>
      <c r="I121" s="228"/>
      <c r="J121" s="111"/>
      <c r="K121" s="312" t="str">
        <f>'テンプレート'!K130</f>
        <v>踏み台ジャンプ</v>
      </c>
      <c r="L121" s="168"/>
      <c r="M121" s="298" t="str">
        <f>'テンプレート'!M130</f>
        <v>全体フレーム</v>
      </c>
      <c r="N121" s="114"/>
      <c r="O121" s="111"/>
      <c r="P121" s="111"/>
      <c r="Q121" s="111"/>
      <c r="R121" s="111"/>
      <c r="S121" s="111"/>
      <c r="T121" s="111"/>
      <c r="U121" s="111"/>
      <c r="V121" s="111"/>
    </row>
    <row r="122" outlineLevel="1">
      <c r="A122" s="299" t="str">
        <f>'テンプレート'!A131</f>
        <v>うつ伏せダウン</v>
      </c>
      <c r="B122" s="300" t="str">
        <f>'テンプレート'!B131</f>
        <v>倒れ</v>
      </c>
      <c r="C122" s="301"/>
      <c r="D122" s="308" t="s">
        <v>876</v>
      </c>
      <c r="E122" s="301"/>
      <c r="F122" s="301"/>
      <c r="G122" s="301"/>
      <c r="H122" s="228"/>
      <c r="I122" s="228"/>
      <c r="J122" s="117"/>
      <c r="K122" s="313" t="str">
        <f>'テンプレート'!K131</f>
        <v>踏み</v>
      </c>
      <c r="L122" s="314" t="str">
        <f>'テンプレート'!L131</f>
        <v>踏み</v>
      </c>
      <c r="M122" s="113">
        <v>8.0</v>
      </c>
      <c r="N122" s="315"/>
      <c r="O122" s="111"/>
      <c r="P122" s="111"/>
      <c r="Q122" s="111"/>
      <c r="R122" s="111"/>
      <c r="S122" s="111"/>
      <c r="T122" s="111"/>
      <c r="U122" s="111"/>
      <c r="V122" s="111"/>
    </row>
    <row r="123" outlineLevel="1">
      <c r="A123" s="146"/>
      <c r="B123" s="300" t="str">
        <f>'テンプレート'!B132</f>
        <v>その場</v>
      </c>
      <c r="C123" s="308" t="s">
        <v>877</v>
      </c>
      <c r="D123" s="308">
        <v>29.0</v>
      </c>
      <c r="E123" s="301"/>
      <c r="F123" s="301"/>
      <c r="G123" s="301"/>
      <c r="H123" s="228"/>
      <c r="I123" s="228"/>
      <c r="J123" s="111"/>
      <c r="K123" s="305" t="str">
        <f>'テンプレート'!K132</f>
        <v>踏まれ</v>
      </c>
      <c r="L123" s="314" t="str">
        <f>'テンプレート'!L132</f>
        <v>地上踏まれ</v>
      </c>
      <c r="M123" s="113" t="s">
        <v>76</v>
      </c>
      <c r="N123" s="315"/>
      <c r="O123" s="228"/>
      <c r="P123" s="228"/>
      <c r="Q123" s="228"/>
      <c r="R123" s="228"/>
      <c r="S123" s="228"/>
      <c r="T123" s="228"/>
      <c r="U123" s="228"/>
      <c r="V123" s="228"/>
    </row>
    <row r="124" outlineLevel="1">
      <c r="A124" s="146"/>
      <c r="B124" s="300" t="str">
        <f>'テンプレート'!B133</f>
        <v>前方</v>
      </c>
      <c r="C124" s="308" t="s">
        <v>878</v>
      </c>
      <c r="D124" s="308">
        <v>35.0</v>
      </c>
      <c r="E124" s="301"/>
      <c r="F124" s="301"/>
      <c r="G124" s="301"/>
      <c r="H124" s="228"/>
      <c r="I124" s="228"/>
      <c r="J124" s="117"/>
      <c r="K124" s="146"/>
      <c r="L124" s="314" t="s">
        <v>693</v>
      </c>
      <c r="M124" s="113">
        <v>27.0</v>
      </c>
      <c r="N124" s="102"/>
      <c r="O124" s="118"/>
      <c r="P124" s="118"/>
      <c r="Q124" s="118"/>
      <c r="R124" s="118"/>
      <c r="S124" s="118"/>
      <c r="T124" s="118"/>
      <c r="U124" s="118"/>
      <c r="V124" s="118"/>
    </row>
    <row r="125" outlineLevel="1">
      <c r="A125" s="146"/>
      <c r="B125" s="300" t="str">
        <f>'テンプレート'!B134</f>
        <v>後方</v>
      </c>
      <c r="C125" s="308" t="s">
        <v>879</v>
      </c>
      <c r="D125" s="308">
        <v>35.0</v>
      </c>
      <c r="E125" s="301"/>
      <c r="F125" s="301"/>
      <c r="G125" s="301"/>
      <c r="H125" s="228"/>
      <c r="I125" s="228"/>
      <c r="J125" s="111"/>
      <c r="K125" s="146"/>
      <c r="L125" s="314" t="str">
        <f>'テンプレート'!L134</f>
        <v>空中踏まれ</v>
      </c>
      <c r="M125" s="113">
        <v>8.0</v>
      </c>
      <c r="N125" s="102"/>
      <c r="O125" s="118"/>
      <c r="P125" s="118"/>
      <c r="Q125" s="118"/>
      <c r="R125" s="118"/>
      <c r="S125" s="118"/>
      <c r="T125" s="118"/>
      <c r="U125" s="118"/>
      <c r="V125" s="118"/>
    </row>
    <row r="126" outlineLevel="1">
      <c r="A126" s="146"/>
      <c r="B126" s="300" t="s">
        <v>249</v>
      </c>
      <c r="C126" s="310" t="s">
        <v>877</v>
      </c>
      <c r="D126" s="310">
        <v>45.0</v>
      </c>
      <c r="E126" s="308" t="s">
        <v>454</v>
      </c>
      <c r="F126" s="308">
        <v>7.0</v>
      </c>
      <c r="G126" s="113">
        <f t="shared" ref="G126:G127" si="2">F126*1.2</f>
        <v>8.4</v>
      </c>
      <c r="H126" s="228"/>
      <c r="I126" s="228"/>
      <c r="J126" s="117"/>
      <c r="K126" s="146"/>
      <c r="L126" s="314" t="str">
        <f>'テンプレート'!L135</f>
        <v>空中落下</v>
      </c>
      <c r="M126" s="113">
        <v>29.0</v>
      </c>
      <c r="N126" s="102"/>
      <c r="O126" s="118"/>
      <c r="P126" s="118"/>
      <c r="Q126" s="118"/>
      <c r="R126" s="118"/>
      <c r="S126" s="118"/>
      <c r="T126" s="118"/>
      <c r="U126" s="118"/>
      <c r="V126" s="118"/>
    </row>
    <row r="127" outlineLevel="1">
      <c r="A127" s="156"/>
      <c r="B127" s="311" t="s">
        <v>250</v>
      </c>
      <c r="C127" s="156"/>
      <c r="D127" s="156"/>
      <c r="E127" s="308" t="s">
        <v>834</v>
      </c>
      <c r="F127" s="308">
        <v>7.0</v>
      </c>
      <c r="G127" s="113">
        <f t="shared" si="2"/>
        <v>8.4</v>
      </c>
      <c r="H127" s="228"/>
      <c r="I127" s="228"/>
      <c r="J127" s="117"/>
      <c r="K127" s="304" t="str">
        <f>'テンプレート'!K136</f>
        <v>倒れダメージ</v>
      </c>
      <c r="L127" s="110"/>
      <c r="M127" s="298" t="str">
        <f>'テンプレート'!M136</f>
        <v>全体フレーム</v>
      </c>
      <c r="N127" s="102"/>
      <c r="O127" s="118"/>
      <c r="P127" s="118"/>
      <c r="Q127" s="118"/>
      <c r="R127" s="118"/>
      <c r="S127" s="118"/>
      <c r="T127" s="118"/>
      <c r="U127" s="118"/>
      <c r="V127" s="118"/>
    </row>
    <row r="128" outlineLevel="1">
      <c r="A128" s="299" t="str">
        <f>'テンプレート'!A137</f>
        <v>転倒</v>
      </c>
      <c r="B128" s="300" t="str">
        <f>'テンプレート'!B137</f>
        <v>硬直(小)</v>
      </c>
      <c r="C128" s="308" t="s">
        <v>880</v>
      </c>
      <c r="D128" s="308">
        <v>29.0</v>
      </c>
      <c r="E128" s="301"/>
      <c r="F128" s="301"/>
      <c r="G128" s="301"/>
      <c r="H128" s="228"/>
      <c r="I128" s="228"/>
      <c r="J128" s="111"/>
      <c r="K128" s="313" t="str">
        <f>'テンプレート'!K137</f>
        <v>あお向け倒れ</v>
      </c>
      <c r="L128" s="306" t="str">
        <f>'テンプレート'!L137</f>
        <v>モーション大</v>
      </c>
      <c r="M128" s="113">
        <v>39.0</v>
      </c>
      <c r="N128" s="315"/>
      <c r="O128" s="118"/>
      <c r="P128" s="118"/>
      <c r="Q128" s="118"/>
      <c r="R128" s="118"/>
      <c r="S128" s="118"/>
      <c r="T128" s="118"/>
      <c r="U128" s="118"/>
      <c r="V128" s="118"/>
    </row>
    <row r="129" outlineLevel="1">
      <c r="A129" s="146"/>
      <c r="B129" s="300" t="str">
        <f>'テンプレート'!B138</f>
        <v>硬直(大)</v>
      </c>
      <c r="C129" s="308" t="s">
        <v>880</v>
      </c>
      <c r="D129" s="308">
        <v>39.0</v>
      </c>
      <c r="E129" s="301"/>
      <c r="F129" s="301"/>
      <c r="G129" s="301"/>
      <c r="H129" s="228"/>
      <c r="I129" s="228"/>
      <c r="J129" s="117"/>
      <c r="K129" s="313" t="str">
        <f>'テンプレート'!K138</f>
        <v>うつ伏せ倒れ</v>
      </c>
      <c r="L129" s="306" t="str">
        <f>'テンプレート'!L138</f>
        <v>モーション大</v>
      </c>
      <c r="M129" s="113" t="s">
        <v>118</v>
      </c>
      <c r="N129" s="315"/>
      <c r="O129" s="118"/>
      <c r="P129" s="118"/>
      <c r="Q129" s="118"/>
      <c r="R129" s="118"/>
      <c r="S129" s="118"/>
      <c r="T129" s="118"/>
      <c r="U129" s="118"/>
      <c r="V129" s="118"/>
    </row>
    <row r="130" outlineLevel="1">
      <c r="A130" s="146"/>
      <c r="B130" s="300" t="str">
        <f>'テンプレート'!B139</f>
        <v>その場</v>
      </c>
      <c r="C130" s="308" t="s">
        <v>881</v>
      </c>
      <c r="D130" s="308">
        <v>21.0</v>
      </c>
      <c r="E130" s="301"/>
      <c r="F130" s="301"/>
      <c r="G130" s="301"/>
      <c r="H130" s="228"/>
      <c r="I130" s="228"/>
      <c r="J130" s="111"/>
      <c r="K130" s="304" t="str">
        <f>'テンプレート'!K139</f>
        <v/>
      </c>
      <c r="L130" s="110"/>
      <c r="M130" s="298" t="str">
        <f>'テンプレート'!M139</f>
        <v/>
      </c>
      <c r="N130" s="102"/>
      <c r="O130" s="118"/>
      <c r="P130" s="118"/>
      <c r="Q130" s="118"/>
      <c r="R130" s="118"/>
      <c r="S130" s="118"/>
      <c r="T130" s="118"/>
      <c r="U130" s="118"/>
      <c r="V130" s="118"/>
    </row>
    <row r="131" outlineLevel="1">
      <c r="A131" s="146"/>
      <c r="B131" s="300" t="str">
        <f>'テンプレート'!B140</f>
        <v>前方</v>
      </c>
      <c r="C131" s="308" t="s">
        <v>882</v>
      </c>
      <c r="D131" s="308">
        <v>28.0</v>
      </c>
      <c r="E131" s="301"/>
      <c r="F131" s="301"/>
      <c r="G131" s="301"/>
      <c r="H131" s="228"/>
      <c r="I131" s="228"/>
      <c r="J131" s="228"/>
      <c r="K131" s="316"/>
      <c r="L131" s="317" t="str">
        <f>'テンプレート'!L140</f>
        <v/>
      </c>
      <c r="M131" s="113" t="s">
        <v>76</v>
      </c>
      <c r="N131" s="102"/>
      <c r="O131" s="118"/>
      <c r="P131" s="118"/>
      <c r="Q131" s="118"/>
      <c r="R131" s="118"/>
      <c r="S131" s="118"/>
      <c r="T131" s="118"/>
      <c r="U131" s="118"/>
      <c r="V131" s="118"/>
    </row>
    <row r="132" outlineLevel="1">
      <c r="A132" s="146"/>
      <c r="B132" s="300" t="str">
        <f>'テンプレート'!B141</f>
        <v>後方</v>
      </c>
      <c r="C132" s="308" t="s">
        <v>882</v>
      </c>
      <c r="D132" s="308">
        <v>28.0</v>
      </c>
      <c r="E132" s="301"/>
      <c r="F132" s="301"/>
      <c r="G132" s="301"/>
      <c r="H132" s="228"/>
      <c r="I132" s="228"/>
      <c r="J132" s="228"/>
      <c r="K132" s="318"/>
      <c r="L132" s="118"/>
      <c r="M132" s="118"/>
      <c r="N132" s="102"/>
      <c r="O132" s="118"/>
      <c r="P132" s="118"/>
      <c r="Q132" s="118"/>
      <c r="R132" s="118"/>
      <c r="S132" s="118"/>
      <c r="T132" s="118"/>
      <c r="U132" s="118"/>
      <c r="V132" s="118"/>
    </row>
    <row r="133" outlineLevel="1">
      <c r="A133" s="146"/>
      <c r="B133" s="300" t="s">
        <v>249</v>
      </c>
      <c r="C133" s="310" t="s">
        <v>883</v>
      </c>
      <c r="D133" s="310">
        <v>49.0</v>
      </c>
      <c r="E133" s="308" t="s">
        <v>334</v>
      </c>
      <c r="F133" s="308">
        <v>5.0</v>
      </c>
      <c r="G133" s="113">
        <f t="shared" ref="G133:G134" si="3">F133*1.2</f>
        <v>6</v>
      </c>
      <c r="H133" s="228"/>
      <c r="I133" s="228"/>
      <c r="J133" s="228"/>
      <c r="K133" s="118"/>
      <c r="L133" s="118"/>
      <c r="M133" s="118"/>
      <c r="N133" s="102"/>
      <c r="O133" s="102"/>
      <c r="P133" s="102"/>
      <c r="Q133" s="102"/>
      <c r="R133" s="118"/>
      <c r="S133" s="118"/>
      <c r="T133" s="118"/>
      <c r="U133" s="118"/>
      <c r="V133" s="118"/>
    </row>
    <row r="134" outlineLevel="1">
      <c r="A134" s="156"/>
      <c r="B134" s="311" t="s">
        <v>250</v>
      </c>
      <c r="C134" s="156"/>
      <c r="D134" s="156"/>
      <c r="E134" s="308" t="s">
        <v>610</v>
      </c>
      <c r="F134" s="308">
        <v>5.0</v>
      </c>
      <c r="G134" s="113">
        <f t="shared" si="3"/>
        <v>6</v>
      </c>
      <c r="H134" s="228"/>
      <c r="I134" s="228"/>
      <c r="J134" s="228"/>
      <c r="K134" s="118"/>
      <c r="L134" s="118"/>
      <c r="M134" s="118"/>
      <c r="N134" s="102"/>
      <c r="O134" s="102"/>
      <c r="P134" s="102"/>
      <c r="Q134" s="102"/>
      <c r="R134" s="118"/>
      <c r="S134" s="118"/>
      <c r="T134" s="118"/>
      <c r="U134" s="118"/>
      <c r="V134" s="118"/>
    </row>
    <row r="135" outlineLevel="1">
      <c r="A135" s="319"/>
      <c r="B135" s="320"/>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3" t="s">
        <v>255</v>
      </c>
      <c r="B136" s="109"/>
      <c r="C136" s="321"/>
      <c r="D136" s="321"/>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256</v>
      </c>
      <c r="B137" s="109"/>
      <c r="C137" s="325" t="s">
        <v>257</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258</v>
      </c>
      <c r="B138" s="327" t="s">
        <v>216</v>
      </c>
      <c r="C138" s="328" t="str">
        <f t="array" ref="C138">INDEX('アイテム'!$C$3:$D$114, MATCH($A$1,'アイテム'!$A$3:$A$114,0), MATCH(C137,'アイテム'!$C$2:$AQ$2,0))</f>
        <v>2</v>
      </c>
      <c r="D138" s="328">
        <f t="array" ref="D138">INDEX('アイテム'!$C$3:$D$114, MATCH($A$1,'アイテム'!$A$3:$A$114,0), MATCH(D137,'アイテム'!$C$2:$AQ$2,0))</f>
        <v>7</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219</v>
      </c>
      <c r="C139" s="328" t="str">
        <f t="array" ref="C139">INDEX('アイテム'!$E$3:$F$114, MATCH($A$1,'アイテム'!$A$3:$A$114,0), MATCH(C137,'アイテム'!$C$2:$AQ$2,0))</f>
        <v>2</v>
      </c>
      <c r="D139" s="328">
        <f t="array" ref="D139">INDEX('アイテム'!$E$3:$F$114, MATCH($A$1,'アイテム'!$A$3:$A$114,0), MATCH(D137,'アイテム'!$C$2:$AQ$2,0))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9" t="s">
        <v>259</v>
      </c>
      <c r="B140" s="327" t="s">
        <v>216</v>
      </c>
      <c r="C140" s="328">
        <f t="array" ref="C140">INDEX('アイテム'!$AA$3:$AB$114, MATCH($A$1,'アイテム'!$A$3:$A$114,0), MATCH(C137,'アイテム'!$C$2:$AQ$2,0))</f>
        <v>3</v>
      </c>
      <c r="D140" s="328" t="str">
        <f t="array" ref="D140">INDEX('アイテム'!$AA$3:$AB$114, MATCH($A$1,'アイテム'!$A$3:$A$114,0), MATCH(D137,'アイテム'!$C$2:$AQ$2,0))</f>
        <v>12</v>
      </c>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260</v>
      </c>
      <c r="B141" s="109"/>
      <c r="C141" s="325" t="s">
        <v>261</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262</v>
      </c>
      <c r="B142" s="327" t="s">
        <v>226</v>
      </c>
      <c r="C142" s="328" t="str">
        <f t="array" ref="C142">INDEX('アイテム'!$G$3:$H$114, MATCH($A$1,'アイテム'!$A$3:$A$114,0), MATCH(C137,'アイテム'!$C$2:$AQ$2,0))</f>
        <v>8</v>
      </c>
      <c r="D142" s="328">
        <f t="array" ref="D142">INDEX('アイテム'!$G$3:$H$114, MATCH($A$1,'アイテム'!$A$3:$A$114,0), MATCH(D137,'アイテム'!$C$2:$AQ$2,0))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229</v>
      </c>
      <c r="C143" s="328" t="str">
        <f t="array" ref="C143">INDEX('アイテム'!$I$3:$J$114, MATCH($A$1,'アイテム'!$A$3:$A$114,0), MATCH(C137,'アイテム'!$C$2:$AQ$2,0))</f>
        <v>11</v>
      </c>
      <c r="D143" s="328">
        <f t="array" ref="D143">INDEX('アイテム'!$I$3:$J$114, MATCH($A$1,'アイテム'!$A$3:$A$114,0), MATCH(D137,'アイテム'!$C$2:$AQ$2,0))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233</v>
      </c>
      <c r="C144" s="328" t="str">
        <f t="array" ref="C144">INDEX('アイテム'!$K$3:$L$114, MATCH($A$1,'アイテム'!$A$3:$A$114,0), MATCH(C137,'アイテム'!$C$2:$AQ$2,0))</f>
        <v>12</v>
      </c>
      <c r="D144" s="328">
        <f t="array" ref="D144">INDEX('アイテム'!$K$3:$L$114, MATCH($A$1,'アイテム'!$A$3:$A$114,0), MATCH(D137,'アイテム'!$C$2:$AQ$2,0))</f>
        <v>23</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234</v>
      </c>
      <c r="C145" s="328" t="str">
        <f t="array" ref="C145">INDEX('アイテム'!$M$3:$N$114, MATCH($A$1,'アイテム'!$A$3:$A$114,0), MATCH(C137,'アイテム'!$C$2:$AQ$2,0))</f>
        <v>7</v>
      </c>
      <c r="D145" s="328">
        <f t="array" ref="D145">INDEX('アイテム'!$M$3:$N$114, MATCH($A$1,'アイテム'!$A$3:$A$114,0), MATCH(D137,'アイテム'!$C$2:$AQ$2,0))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219</v>
      </c>
      <c r="C146" s="328" t="str">
        <f t="array" ref="C146">INDEX('アイテム'!$O$3:$P$114, MATCH($A$1,'アイテム'!$A$3:$A$114,0), MATCH(C137,'アイテム'!$C$2:$AQ$2,0))</f>
        <v>5</v>
      </c>
      <c r="D146" s="328">
        <f t="array" ref="D146">INDEX('アイテム'!$O$3:$P$114, MATCH($A$1,'アイテム'!$A$3:$A$114,0), MATCH(D137,'アイテム'!$C$2:$AQ$2,0))</f>
        <v>29</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263</v>
      </c>
      <c r="C147" s="328" t="str">
        <f t="array" ref="C147">INDEX('アイテム'!$Q$3:$R$114, MATCH($A$1,'アイテム'!$A$3:$A$114,0), MATCH(C137,'アイテム'!$C$2:$AQ$2,0))</f>
        <v>6</v>
      </c>
      <c r="D147" s="328">
        <f t="array" ref="D147">INDEX('アイテム'!$Q$3:$R$114, MATCH($A$1,'アイテム'!$A$3:$A$114,0), MATCH(D137,'アイテム'!$C$2:$AQ$2,0))</f>
        <v>23</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264</v>
      </c>
      <c r="B148" s="327" t="s">
        <v>226</v>
      </c>
      <c r="C148" s="328" t="str">
        <f t="array" ref="C148">INDEX('アイテム'!$S$3:$T$114, MATCH($A$1,'アイテム'!$A$3:$A$114,0), MATCH(C137,'アイテム'!$C$2:$AQ$2,0))</f>
        <v>8</v>
      </c>
      <c r="D148" s="328">
        <f t="array" ref="D148">INDEX('アイテム'!$S$3:$T$114, MATCH($A$1,'アイテム'!$A$3:$A$114,0), MATCH(D137,'アイテム'!$C$2:$AQ$2,0))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INDEX('アイテム'!$U$3:$V$114, MATCH($A$1,'アイテム'!$A$3:$A$114,0), MATCH(C137,'アイテム'!$C$2:$AQ$2,0))</f>
        <v>11</v>
      </c>
      <c r="D149" s="328">
        <f t="array" ref="D149">INDEX('アイテム'!$U$3:$V$114, MATCH($A$1,'アイテム'!$A$3:$A$114,0), MATCH(D137,'アイテム'!$C$2:$AQ$2,0))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INDEX('アイテム'!$W$3:$X$114, MATCH($A$1,'アイテム'!$A$3:$A$114,0), MATCH(C137,'アイテム'!$C$2:$AQ$2,0))</f>
        <v>12</v>
      </c>
      <c r="D150" s="328">
        <f t="array" ref="D150">INDEX('アイテム'!$W$3:$X$114, MATCH($A$1,'アイテム'!$A$3:$A$114,0), MATCH(D137,'アイテム'!$C$2:$AQ$2,0))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t="str">
        <f t="array" ref="C151">INDEX('アイテム'!$Y$3:$Z$114, MATCH($A$1,'アイテム'!$A$3:$A$114,0), MATCH(C137,'アイテム'!$C$2:$AQ$2,0))</f>
        <v>7</v>
      </c>
      <c r="D151" s="328">
        <f t="array" ref="D151">INDEX('アイテム'!$Y$3:$Z$114, MATCH($A$1,'アイテム'!$A$3:$A$114,0), MATCH(D137,'アイテム'!$C$2:$AQ$2,0))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265</v>
      </c>
      <c r="B152" s="327" t="s">
        <v>226</v>
      </c>
      <c r="C152" s="328">
        <f t="array" ref="C152">INDEX('アイテム'!$AC$3:$AD$114, MATCH($A$1,'アイテム'!$A$3:$A$114,0), MATCH(C137,'アイテム'!$C$2:$AQ$2,0))</f>
        <v>16</v>
      </c>
      <c r="D152" s="328" t="str">
        <f t="array" ref="D152">INDEX('アイテム'!$AC$3:$AD$114, MATCH($A$1,'アイテム'!$A$3:$A$114,0), MATCH(D137,'アイテム'!$C$2:$AQ$2,0))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f t="array" ref="C153">INDEX('アイテム'!$AE$3:$AF$114, MATCH($A$1,'アイテム'!$A$3:$A$114,0), MATCH(C137,'アイテム'!$C$2:$AQ$2,0))</f>
        <v>16</v>
      </c>
      <c r="D153" s="328" t="str">
        <f t="array" ref="D153">INDEX('アイテム'!$AE$3:$AF$114, MATCH($A$1,'アイテム'!$A$3:$A$114,0), MATCH(D137,'アイテム'!$C$2:$AQ$2,0))</f>
        <v>30</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f t="array" ref="C154">INDEX('アイテム'!$AG$3:$AH$114, MATCH($A$1,'アイテム'!$A$3:$A$114,0), MATCH(C137,'アイテム'!$C$2:$AQ$2,0))</f>
        <v>11</v>
      </c>
      <c r="D154" s="328" t="str">
        <f t="array" ref="D154">INDEX('アイテム'!$AG$3:$AH$114, MATCH($A$1,'アイテム'!$A$3:$A$114,0), MATCH(D137,'アイテム'!$C$2:$AQ$2,0))</f>
        <v>22</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f t="array" ref="C155">INDEX('アイテム'!$AI$3:$AJ$114, MATCH($A$1,'アイテム'!$A$3:$A$114,0), MATCH(C137,'アイテム'!$C$2:$AQ$2,0))</f>
        <v>8</v>
      </c>
      <c r="D155" s="328" t="str">
        <f t="array" ref="D155">INDEX('アイテム'!$AI$3:$AJ$114, MATCH($A$1,'アイテム'!$A$3:$A$114,0), MATCH(D137,'アイテム'!$C$2:$AQ$2,0))</f>
        <v>22</v>
      </c>
      <c r="E155" s="322"/>
      <c r="F155" s="322"/>
      <c r="G155" s="114"/>
      <c r="H155" s="228"/>
      <c r="I155" s="228"/>
      <c r="J155" s="228"/>
      <c r="K155" s="118"/>
      <c r="L155" s="118"/>
      <c r="M155" s="118"/>
      <c r="N155" s="102"/>
      <c r="O155" s="102"/>
      <c r="P155" s="102"/>
      <c r="Q155" s="102"/>
      <c r="R155" s="118"/>
      <c r="S155" s="118"/>
      <c r="T155" s="118"/>
      <c r="U155" s="118"/>
      <c r="V155" s="118"/>
    </row>
  </sheetData>
  <mergeCells count="146">
    <mergeCell ref="U31:U32"/>
    <mergeCell ref="U33:U35"/>
    <mergeCell ref="U36:U37"/>
    <mergeCell ref="U39:U40"/>
    <mergeCell ref="U41:U42"/>
    <mergeCell ref="R46:V46"/>
    <mergeCell ref="R47:V48"/>
    <mergeCell ref="U71:U72"/>
    <mergeCell ref="U74:U76"/>
    <mergeCell ref="V74:V76"/>
    <mergeCell ref="U78:U80"/>
    <mergeCell ref="V78:V80"/>
    <mergeCell ref="R49:V54"/>
    <mergeCell ref="R55:V55"/>
    <mergeCell ref="R56:V57"/>
    <mergeCell ref="R58:V60"/>
    <mergeCell ref="U64:U69"/>
    <mergeCell ref="V64:V69"/>
    <mergeCell ref="V71:V72"/>
    <mergeCell ref="I49:I54"/>
    <mergeCell ref="J49:J54"/>
    <mergeCell ref="I56:I57"/>
    <mergeCell ref="J56:J57"/>
    <mergeCell ref="I58:I60"/>
    <mergeCell ref="J58:J60"/>
    <mergeCell ref="H63:J63"/>
    <mergeCell ref="H64:J69"/>
    <mergeCell ref="H70:J70"/>
    <mergeCell ref="H71:J72"/>
    <mergeCell ref="H73:J73"/>
    <mergeCell ref="H74:J76"/>
    <mergeCell ref="H77:J77"/>
    <mergeCell ref="H78:J79"/>
    <mergeCell ref="K127:L127"/>
    <mergeCell ref="K130:L130"/>
    <mergeCell ref="K108:K109"/>
    <mergeCell ref="K110:L110"/>
    <mergeCell ref="K111:K116"/>
    <mergeCell ref="A113:A115"/>
    <mergeCell ref="K117:K120"/>
    <mergeCell ref="K121:L121"/>
    <mergeCell ref="K123:K126"/>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29"/>
    <mergeCell ref="H30:J30"/>
    <mergeCell ref="H31:J32"/>
    <mergeCell ref="H33:J35"/>
    <mergeCell ref="A39:A40"/>
    <mergeCell ref="D39:D40"/>
    <mergeCell ref="A67:A69"/>
    <mergeCell ref="D67:D69"/>
    <mergeCell ref="A70:B70"/>
    <mergeCell ref="A73:B73"/>
    <mergeCell ref="H36:J37"/>
    <mergeCell ref="H38:J38"/>
    <mergeCell ref="H39:J40"/>
    <mergeCell ref="H41:J42"/>
    <mergeCell ref="H43:J43"/>
    <mergeCell ref="I47:I48"/>
    <mergeCell ref="J47:J48"/>
    <mergeCell ref="H80:J80"/>
    <mergeCell ref="G88:J88"/>
    <mergeCell ref="G89:J90"/>
    <mergeCell ref="G91:J92"/>
    <mergeCell ref="G93:J94"/>
    <mergeCell ref="G95:J96"/>
    <mergeCell ref="K107:L107"/>
    <mergeCell ref="C126:C127"/>
    <mergeCell ref="C133:C134"/>
    <mergeCell ref="A128:A134"/>
    <mergeCell ref="A136:B136"/>
    <mergeCell ref="A137:B137"/>
    <mergeCell ref="A138:A139"/>
    <mergeCell ref="A141:B141"/>
    <mergeCell ref="A142:A147"/>
    <mergeCell ref="A148:A151"/>
    <mergeCell ref="A152:A155"/>
    <mergeCell ref="A108:A112"/>
    <mergeCell ref="A116:A121"/>
    <mergeCell ref="C120:C121"/>
    <mergeCell ref="D120:D121"/>
    <mergeCell ref="A122:A127"/>
    <mergeCell ref="D126:D127"/>
    <mergeCell ref="D133:D134"/>
    <mergeCell ref="D33:D35"/>
    <mergeCell ref="D36:D37"/>
    <mergeCell ref="A24:B25"/>
    <mergeCell ref="A26:A30"/>
    <mergeCell ref="A31:A32"/>
    <mergeCell ref="D31:D32"/>
    <mergeCell ref="A33:A35"/>
    <mergeCell ref="C33:C35"/>
    <mergeCell ref="A36:A37"/>
    <mergeCell ref="D49:D54"/>
    <mergeCell ref="D56:D57"/>
    <mergeCell ref="D89:D90"/>
    <mergeCell ref="D91:D92"/>
    <mergeCell ref="D93:D94"/>
    <mergeCell ref="D95:D96"/>
    <mergeCell ref="A41:A42"/>
    <mergeCell ref="D41:D42"/>
    <mergeCell ref="A45:B46"/>
    <mergeCell ref="A47:A48"/>
    <mergeCell ref="D47:D48"/>
    <mergeCell ref="A49:A54"/>
    <mergeCell ref="A56:A57"/>
    <mergeCell ref="A58:A60"/>
    <mergeCell ref="D58:D60"/>
    <mergeCell ref="A62:B62"/>
    <mergeCell ref="A63:B63"/>
    <mergeCell ref="A64:A66"/>
    <mergeCell ref="D64:D66"/>
    <mergeCell ref="D74:D76"/>
    <mergeCell ref="A74:A76"/>
    <mergeCell ref="A77:B77"/>
    <mergeCell ref="A78:A80"/>
    <mergeCell ref="A82:B83"/>
    <mergeCell ref="A85:A87"/>
    <mergeCell ref="A88:B88"/>
    <mergeCell ref="A89:A90"/>
    <mergeCell ref="A91:A92"/>
    <mergeCell ref="A93:A94"/>
    <mergeCell ref="A95:A96"/>
    <mergeCell ref="A98:B99"/>
    <mergeCell ref="A100:A102"/>
    <mergeCell ref="A103:A104"/>
    <mergeCell ref="A106:B107"/>
  </mergeCells>
  <conditionalFormatting sqref="K1:K15 K17:K80 K83:K131">
    <cfRule type="containsText" dxfId="0" priority="1" operator="containsText" text="361">
      <formula>NOT(ISERROR(SEARCH(("361"),(K1))))</formula>
    </cfRule>
  </conditionalFormatting>
  <conditionalFormatting sqref="K1:K15 K17:K80 K83:K131">
    <cfRule type="containsText" dxfId="1" priority="2" operator="containsText" text="363">
      <formula>NOT(ISERROR(SEARCH(("363"),(K1))))</formula>
    </cfRule>
  </conditionalFormatting>
  <conditionalFormatting sqref="K1:K15 K17:K80 K83:K131">
    <cfRule type="containsText" dxfId="1" priority="3" operator="containsText" text="365">
      <formula>NOT(ISERROR(SEARCH(("365"),(K1))))</formula>
    </cfRule>
  </conditionalFormatting>
  <conditionalFormatting sqref="K1:K15 K17:K80 K83:K131">
    <cfRule type="containsText" dxfId="1" priority="4" operator="containsText" text="366">
      <formula>NOT(ISERROR(SEARCH(("366"),(K1))))</formula>
    </cfRule>
  </conditionalFormatting>
  <conditionalFormatting sqref="K1:K15 K17:K80 K83:K131">
    <cfRule type="containsText" dxfId="1" priority="5" operator="containsText" text="367">
      <formula>NOT(ISERROR(SEARCH(("367"),(K1))))</formula>
    </cfRule>
  </conditionalFormatting>
  <conditionalFormatting sqref="P89:P96">
    <cfRule type="cellIs" dxfId="2" priority="6" operator="equal">
      <formula>"敵のみ"</formula>
    </cfRule>
  </conditionalFormatting>
  <conditionalFormatting sqref="C89:C96">
    <cfRule type="cellIs" dxfId="3" priority="7" operator="equal">
      <formula>"-"</formula>
    </cfRule>
  </conditionalFormatting>
  <conditionalFormatting sqref="O1:O80 O83:O155 P96">
    <cfRule type="cellIs" dxfId="4" priority="8" operator="greaterThan">
      <formula>0</formula>
    </cfRule>
  </conditionalFormatting>
  <conditionalFormatting sqref="P1:Q80 P83:Q155">
    <cfRule type="cellIs" dxfId="5" priority="9" operator="lessThan">
      <formula>1</formula>
    </cfRule>
  </conditionalFormatting>
  <conditionalFormatting sqref="P1:Q80 P83:Q155">
    <cfRule type="cellIs" dxfId="4" priority="10" operator="greaterThan">
      <formula>1</formula>
    </cfRule>
  </conditionalFormatting>
  <conditionalFormatting sqref="N25:N80 K79:M80 O79:T80 N83:N96">
    <cfRule type="cellIs" dxfId="6" priority="11" operator="greaterThan">
      <formula>0</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DD05"/>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703">
        <v>8.0</v>
      </c>
      <c r="B1" s="704"/>
      <c r="C1" s="705" t="str">
        <f>IMAGE(VLOOKUP($A$1,Fighters!A2:AI114,12,FALSE),1)</f>
        <v>#REF!</v>
      </c>
      <c r="D1" s="706"/>
      <c r="E1" s="706"/>
      <c r="F1" s="706"/>
      <c r="G1" s="707"/>
      <c r="H1" s="708"/>
      <c r="I1" s="706"/>
      <c r="J1" s="707"/>
      <c r="K1" s="709"/>
      <c r="L1" s="706"/>
      <c r="M1" s="707"/>
      <c r="N1" s="710"/>
      <c r="O1" s="710"/>
      <c r="P1" s="710"/>
      <c r="Q1" s="710"/>
      <c r="R1" s="711"/>
      <c r="S1" s="711"/>
      <c r="T1" s="711"/>
      <c r="U1" s="711"/>
      <c r="V1" s="711"/>
    </row>
    <row r="2">
      <c r="A2" s="712" t="str">
        <f>VLOOKUP($A$1,Fighters!$A$2:$AI$81,6,FALSE)</f>
        <v>#fddd05</v>
      </c>
      <c r="B2" s="704"/>
      <c r="C2" s="713"/>
      <c r="G2" s="714"/>
      <c r="H2" s="715"/>
      <c r="I2" s="716"/>
      <c r="J2" s="717"/>
      <c r="K2" s="715"/>
      <c r="L2" s="716"/>
      <c r="M2" s="717"/>
      <c r="N2" s="710"/>
      <c r="O2" s="710"/>
      <c r="P2" s="710"/>
      <c r="Q2" s="710"/>
      <c r="R2" s="711"/>
      <c r="S2" s="711"/>
      <c r="T2" s="711"/>
      <c r="U2" s="711"/>
      <c r="V2" s="711"/>
    </row>
    <row r="3">
      <c r="A3" s="712" t="str">
        <f>VLOOKUP($A$1,Fighters!$A$2:$AI$81,14,FALSE)</f>
        <v>8. ピカチュウ</v>
      </c>
      <c r="B3" s="704"/>
      <c r="C3" s="713"/>
      <c r="G3" s="714"/>
      <c r="H3" s="718"/>
      <c r="I3" s="718"/>
      <c r="J3" s="718"/>
      <c r="K3" s="719"/>
      <c r="L3" s="719"/>
      <c r="M3" s="719"/>
      <c r="N3" s="710"/>
      <c r="O3" s="710"/>
      <c r="P3" s="710"/>
      <c r="Q3" s="710"/>
      <c r="R3" s="720"/>
      <c r="S3" s="711"/>
      <c r="T3" s="711"/>
      <c r="U3" s="711"/>
      <c r="V3" s="711"/>
    </row>
    <row r="4">
      <c r="A4" s="712" t="str">
        <f>VLOOKUP($A$1,Fighters!$A$2:$AI$81,13,FALSE)</f>
        <v>0</v>
      </c>
      <c r="B4" s="704"/>
      <c r="C4" s="713"/>
      <c r="G4" s="714"/>
      <c r="H4" s="721"/>
      <c r="I4" s="721"/>
      <c r="J4" s="718"/>
      <c r="K4" s="719"/>
      <c r="L4" s="719"/>
      <c r="M4" s="719"/>
      <c r="N4" s="710"/>
      <c r="O4" s="710"/>
      <c r="P4" s="710"/>
      <c r="Q4" s="710"/>
      <c r="R4" s="720"/>
      <c r="S4" s="711"/>
      <c r="T4" s="711"/>
      <c r="U4" s="711"/>
      <c r="V4" s="711"/>
    </row>
    <row r="5" ht="16.5" customHeight="1">
      <c r="A5" s="703"/>
      <c r="B5" s="704"/>
      <c r="C5" s="713"/>
      <c r="G5" s="714"/>
      <c r="H5" s="722"/>
      <c r="I5" s="722"/>
      <c r="J5" s="723"/>
      <c r="K5" s="724"/>
      <c r="L5" s="725"/>
      <c r="M5" s="725"/>
      <c r="N5" s="710"/>
      <c r="O5" s="710"/>
      <c r="P5" s="710"/>
      <c r="Q5" s="710"/>
      <c r="R5" s="720"/>
      <c r="S5" s="711"/>
      <c r="T5" s="711"/>
      <c r="U5" s="711"/>
      <c r="V5" s="711"/>
    </row>
    <row r="6">
      <c r="A6" s="704"/>
      <c r="B6" s="704"/>
      <c r="C6" s="713"/>
      <c r="G6" s="714"/>
      <c r="H6" s="721"/>
      <c r="I6" s="726" t="s">
        <v>39</v>
      </c>
      <c r="J6" s="724"/>
      <c r="K6" s="727"/>
      <c r="L6" s="725"/>
      <c r="M6" s="725"/>
      <c r="N6" s="710"/>
      <c r="O6" s="710"/>
      <c r="P6" s="710"/>
      <c r="Q6" s="710"/>
      <c r="R6" s="720"/>
      <c r="S6" s="711"/>
      <c r="T6" s="711"/>
      <c r="U6" s="711"/>
      <c r="V6" s="711"/>
    </row>
    <row r="7">
      <c r="A7" s="704"/>
      <c r="B7" s="704"/>
      <c r="C7" s="713"/>
      <c r="G7" s="714"/>
      <c r="H7" s="722"/>
      <c r="I7" s="722"/>
      <c r="J7" s="724"/>
      <c r="K7" s="727"/>
      <c r="L7" s="725"/>
      <c r="M7" s="725"/>
      <c r="N7" s="710"/>
      <c r="O7" s="710"/>
      <c r="P7" s="710"/>
      <c r="Q7" s="710"/>
      <c r="R7" s="720"/>
      <c r="S7" s="711"/>
      <c r="T7" s="711"/>
      <c r="U7" s="711"/>
      <c r="V7" s="711"/>
    </row>
    <row r="8">
      <c r="A8" s="704"/>
      <c r="B8" s="704"/>
      <c r="C8" s="713"/>
      <c r="G8" s="714"/>
      <c r="H8" s="728">
        <v>44379.843217002315</v>
      </c>
      <c r="I8" s="706"/>
      <c r="J8" s="707"/>
      <c r="K8" s="724"/>
      <c r="L8" s="725"/>
      <c r="M8" s="725"/>
      <c r="N8" s="710"/>
      <c r="O8" s="710"/>
      <c r="P8" s="710"/>
      <c r="Q8" s="710"/>
      <c r="R8" s="720"/>
      <c r="S8" s="711"/>
      <c r="T8" s="711"/>
      <c r="U8" s="711"/>
      <c r="V8" s="711"/>
    </row>
    <row r="9">
      <c r="A9" s="704"/>
      <c r="B9" s="704"/>
      <c r="C9" s="713"/>
      <c r="G9" s="714"/>
      <c r="H9" s="715"/>
      <c r="I9" s="716"/>
      <c r="J9" s="717"/>
      <c r="K9" s="711"/>
      <c r="L9" s="710"/>
      <c r="M9" s="710"/>
      <c r="N9" s="710"/>
      <c r="O9" s="710"/>
      <c r="P9" s="710"/>
      <c r="Q9" s="710"/>
      <c r="R9" s="720"/>
      <c r="S9" s="711"/>
      <c r="T9" s="711"/>
      <c r="U9" s="711"/>
      <c r="V9" s="711"/>
    </row>
    <row r="10">
      <c r="A10" s="729"/>
      <c r="B10" s="704"/>
      <c r="C10" s="713"/>
      <c r="G10" s="714"/>
      <c r="H10" s="730"/>
      <c r="I10" s="730"/>
      <c r="J10" s="711"/>
      <c r="K10" s="711"/>
      <c r="L10" s="710"/>
      <c r="M10" s="710"/>
      <c r="N10" s="710"/>
      <c r="O10" s="710"/>
      <c r="P10" s="710"/>
      <c r="Q10" s="710"/>
      <c r="R10" s="720"/>
      <c r="S10" s="711"/>
      <c r="T10" s="711"/>
      <c r="U10" s="711"/>
      <c r="V10" s="711"/>
    </row>
    <row r="11">
      <c r="A11" s="731"/>
      <c r="B11" s="704"/>
      <c r="C11" s="713"/>
      <c r="G11" s="714"/>
      <c r="H11" s="722"/>
      <c r="I11" s="722"/>
      <c r="J11" s="711"/>
      <c r="K11" s="711"/>
      <c r="L11" s="710"/>
      <c r="M11" s="710"/>
      <c r="N11" s="710"/>
      <c r="O11" s="710"/>
      <c r="P11" s="710"/>
      <c r="Q11" s="710"/>
      <c r="R11" s="720"/>
      <c r="S11" s="711"/>
      <c r="T11" s="711"/>
      <c r="U11" s="711"/>
      <c r="V11" s="711"/>
    </row>
    <row r="12">
      <c r="A12" s="722"/>
      <c r="B12" s="704"/>
      <c r="C12" s="715"/>
      <c r="D12" s="716"/>
      <c r="E12" s="716"/>
      <c r="F12" s="716"/>
      <c r="G12" s="717"/>
      <c r="H12" s="732"/>
      <c r="I12" s="732"/>
      <c r="J12" s="704"/>
      <c r="K12" s="704"/>
      <c r="L12" s="710"/>
      <c r="M12" s="710"/>
      <c r="N12" s="710"/>
      <c r="O12" s="710"/>
      <c r="P12" s="710"/>
      <c r="Q12" s="710"/>
      <c r="R12" s="720"/>
      <c r="S12" s="711"/>
      <c r="T12" s="711"/>
      <c r="U12" s="711"/>
      <c r="V12" s="711"/>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79 [79th]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1.98 [30th]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1.302 [13th]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53F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0.176 [7th]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35.5 [20th]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2.039 [20th]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0.132 [4th]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17.12 [26th]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13F [73rd]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0.957 [66th]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 [10th]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35.5 [27th]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1.55 [53rd]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2.48 [51st]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0.095 [40th]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70" t="s">
        <v>266</v>
      </c>
      <c r="B26" s="134" t="s">
        <v>55</v>
      </c>
      <c r="C26" s="701" t="s">
        <v>64</v>
      </c>
      <c r="D26" s="701" t="s">
        <v>884</v>
      </c>
      <c r="E26" s="139" t="s">
        <v>885</v>
      </c>
      <c r="F26" s="138" t="s">
        <v>886</v>
      </c>
      <c r="G26" s="139" t="s">
        <v>887</v>
      </c>
      <c r="H26" s="151" t="s">
        <v>888</v>
      </c>
      <c r="I26" s="110"/>
      <c r="J26" s="109"/>
      <c r="K26" s="138"/>
      <c r="L26" s="282"/>
      <c r="M26" s="363"/>
      <c r="N26" s="363"/>
      <c r="O26" s="145">
        <v>0.0</v>
      </c>
      <c r="P26" s="145">
        <v>1.0</v>
      </c>
      <c r="Q26" s="145">
        <v>1.0</v>
      </c>
      <c r="R26" s="100"/>
      <c r="S26" s="100"/>
      <c r="T26" s="100"/>
      <c r="U26" s="145" t="s">
        <v>62</v>
      </c>
      <c r="V26" s="100"/>
    </row>
    <row r="27" outlineLevel="1">
      <c r="A27" s="133" t="s">
        <v>77</v>
      </c>
      <c r="B27" s="160"/>
      <c r="C27" s="216" t="s">
        <v>549</v>
      </c>
      <c r="D27" s="195" t="s">
        <v>193</v>
      </c>
      <c r="E27" s="216" t="s">
        <v>232</v>
      </c>
      <c r="F27" s="138">
        <v>13.2</v>
      </c>
      <c r="G27" s="450" t="s">
        <v>889</v>
      </c>
      <c r="H27" s="163" t="s">
        <v>817</v>
      </c>
      <c r="I27" s="164"/>
      <c r="J27" s="104"/>
      <c r="K27" s="138"/>
      <c r="L27" s="282"/>
      <c r="M27" s="363"/>
      <c r="N27" s="363"/>
      <c r="O27" s="145">
        <v>0.0</v>
      </c>
      <c r="P27" s="145">
        <v>1.0</v>
      </c>
      <c r="Q27" s="145">
        <v>1.0</v>
      </c>
      <c r="R27" s="100"/>
      <c r="S27" s="100"/>
      <c r="T27" s="100"/>
      <c r="U27" s="166" t="s">
        <v>69</v>
      </c>
      <c r="V27" s="100"/>
    </row>
    <row r="28" outlineLevel="1">
      <c r="A28" s="156"/>
      <c r="B28" s="147" t="s">
        <v>84</v>
      </c>
      <c r="C28" s="216" t="s">
        <v>272</v>
      </c>
      <c r="D28" s="107"/>
      <c r="E28" s="216" t="s">
        <v>86</v>
      </c>
      <c r="F28" s="138">
        <v>7.199999999999999</v>
      </c>
      <c r="G28" s="450" t="s">
        <v>121</v>
      </c>
      <c r="H28" s="106"/>
      <c r="I28" s="168"/>
      <c r="J28" s="107"/>
      <c r="K28" s="282"/>
      <c r="L28" s="282"/>
      <c r="M28" s="363"/>
      <c r="N28" s="363"/>
      <c r="O28" s="145">
        <v>0.0</v>
      </c>
      <c r="P28" s="145">
        <v>1.0</v>
      </c>
      <c r="Q28" s="145">
        <v>1.0</v>
      </c>
      <c r="R28" s="100"/>
      <c r="S28" s="100"/>
      <c r="T28" s="100"/>
      <c r="U28" s="156"/>
      <c r="V28" s="100"/>
    </row>
    <row r="29" outlineLevel="1">
      <c r="A29" s="133" t="s">
        <v>89</v>
      </c>
      <c r="B29" s="147" t="s">
        <v>276</v>
      </c>
      <c r="C29" s="195" t="s">
        <v>549</v>
      </c>
      <c r="D29" s="195" t="s">
        <v>99</v>
      </c>
      <c r="E29" s="216" t="s">
        <v>128</v>
      </c>
      <c r="F29" s="138">
        <v>12.0</v>
      </c>
      <c r="G29" s="467" t="s">
        <v>121</v>
      </c>
      <c r="H29" s="163"/>
      <c r="I29" s="164"/>
      <c r="J29" s="104"/>
      <c r="K29" s="138"/>
      <c r="L29" s="282"/>
      <c r="M29" s="363"/>
      <c r="N29" s="363"/>
      <c r="O29" s="145">
        <v>0.0</v>
      </c>
      <c r="P29" s="145">
        <v>1.0</v>
      </c>
      <c r="Q29" s="145">
        <v>1.0</v>
      </c>
      <c r="R29" s="100"/>
      <c r="S29" s="100"/>
      <c r="T29" s="100"/>
      <c r="U29" s="166" t="s">
        <v>96</v>
      </c>
      <c r="V29" s="100"/>
    </row>
    <row r="30" outlineLevel="1">
      <c r="A30" s="146"/>
      <c r="B30" s="147" t="s">
        <v>279</v>
      </c>
      <c r="C30" s="210"/>
      <c r="D30" s="210"/>
      <c r="E30" s="216" t="s">
        <v>274</v>
      </c>
      <c r="F30" s="138">
        <v>10.799999999999999</v>
      </c>
      <c r="G30" s="467" t="s">
        <v>275</v>
      </c>
      <c r="H30" s="212"/>
      <c r="J30" s="210"/>
      <c r="K30" s="138"/>
      <c r="L30" s="282"/>
      <c r="M30" s="363"/>
      <c r="N30" s="363"/>
      <c r="O30" s="145">
        <v>0.0</v>
      </c>
      <c r="P30" s="145">
        <v>1.0</v>
      </c>
      <c r="Q30" s="145">
        <v>1.0</v>
      </c>
      <c r="R30" s="100"/>
      <c r="S30" s="100"/>
      <c r="T30" s="100"/>
      <c r="U30" s="146"/>
      <c r="V30" s="100"/>
    </row>
    <row r="31" outlineLevel="1">
      <c r="A31" s="156"/>
      <c r="B31" s="147" t="s">
        <v>280</v>
      </c>
      <c r="C31" s="107"/>
      <c r="D31" s="107"/>
      <c r="E31" s="216" t="s">
        <v>80</v>
      </c>
      <c r="F31" s="138">
        <v>9.6</v>
      </c>
      <c r="G31" s="467" t="s">
        <v>123</v>
      </c>
      <c r="H31" s="106"/>
      <c r="I31" s="168"/>
      <c r="J31" s="107"/>
      <c r="K31" s="282"/>
      <c r="L31" s="282"/>
      <c r="M31" s="363"/>
      <c r="N31" s="363"/>
      <c r="O31" s="145">
        <v>0.0</v>
      </c>
      <c r="P31" s="145">
        <v>1.0</v>
      </c>
      <c r="Q31" s="145">
        <v>1.0</v>
      </c>
      <c r="R31" s="100"/>
      <c r="S31" s="100"/>
      <c r="T31" s="100"/>
      <c r="U31" s="156"/>
      <c r="V31" s="100"/>
    </row>
    <row r="32" outlineLevel="1">
      <c r="A32" s="170" t="s">
        <v>97</v>
      </c>
      <c r="B32" s="160"/>
      <c r="C32" s="216" t="s">
        <v>890</v>
      </c>
      <c r="D32" s="216" t="s">
        <v>876</v>
      </c>
      <c r="E32" s="216" t="s">
        <v>150</v>
      </c>
      <c r="F32" s="138">
        <v>6.0</v>
      </c>
      <c r="G32" s="467" t="s">
        <v>102</v>
      </c>
      <c r="H32" s="151"/>
      <c r="I32" s="110"/>
      <c r="J32" s="109"/>
      <c r="K32" s="282"/>
      <c r="L32" s="282"/>
      <c r="M32" s="363"/>
      <c r="N32" s="363"/>
      <c r="O32" s="145">
        <v>0.0</v>
      </c>
      <c r="P32" s="145">
        <v>1.0</v>
      </c>
      <c r="Q32" s="145">
        <v>1.0</v>
      </c>
      <c r="R32" s="100"/>
      <c r="S32" s="100"/>
      <c r="T32" s="100"/>
      <c r="U32" s="145" t="s">
        <v>69</v>
      </c>
      <c r="V32" s="100"/>
    </row>
    <row r="33" outlineLevel="1">
      <c r="A33" s="170" t="s">
        <v>103</v>
      </c>
      <c r="B33" s="160"/>
      <c r="C33" s="216" t="s">
        <v>319</v>
      </c>
      <c r="D33" s="216" t="s">
        <v>466</v>
      </c>
      <c r="E33" s="216" t="s">
        <v>86</v>
      </c>
      <c r="F33" s="138">
        <v>7.199999999999999</v>
      </c>
      <c r="G33" s="467" t="s">
        <v>102</v>
      </c>
      <c r="H33" s="151" t="s">
        <v>891</v>
      </c>
      <c r="I33" s="110"/>
      <c r="J33" s="109"/>
      <c r="K33" s="145"/>
      <c r="L33" s="363"/>
      <c r="M33" s="363"/>
      <c r="N33" s="363"/>
      <c r="O33" s="145">
        <v>0.0</v>
      </c>
      <c r="P33" s="145">
        <v>1.0</v>
      </c>
      <c r="Q33" s="145">
        <v>1.0</v>
      </c>
      <c r="R33" s="100"/>
      <c r="S33" s="100"/>
      <c r="T33" s="100"/>
      <c r="U33" s="145" t="s">
        <v>69</v>
      </c>
      <c r="V33" s="100"/>
    </row>
    <row r="34" outlineLevel="1">
      <c r="A34" s="133" t="s">
        <v>109</v>
      </c>
      <c r="B34" s="147" t="s">
        <v>152</v>
      </c>
      <c r="C34" s="216" t="s">
        <v>561</v>
      </c>
      <c r="D34" s="195" t="s">
        <v>892</v>
      </c>
      <c r="E34" s="216" t="s">
        <v>386</v>
      </c>
      <c r="F34" s="138">
        <v>18.0</v>
      </c>
      <c r="G34" s="467" t="s">
        <v>121</v>
      </c>
      <c r="H34" s="283" t="s">
        <v>893</v>
      </c>
      <c r="I34" s="164"/>
      <c r="J34" s="104"/>
      <c r="K34" s="282"/>
      <c r="L34" s="282"/>
      <c r="M34" s="363"/>
      <c r="N34" s="363"/>
      <c r="O34" s="145">
        <v>0.0</v>
      </c>
      <c r="P34" s="145">
        <v>1.0</v>
      </c>
      <c r="Q34" s="145">
        <v>1.0</v>
      </c>
      <c r="R34" s="100"/>
      <c r="S34" s="100"/>
      <c r="T34" s="100"/>
      <c r="U34" s="166" t="s">
        <v>62</v>
      </c>
      <c r="V34" s="100"/>
    </row>
    <row r="35" outlineLevel="1">
      <c r="A35" s="146"/>
      <c r="B35" s="147"/>
      <c r="C35" s="216" t="s">
        <v>894</v>
      </c>
      <c r="D35" s="210"/>
      <c r="E35" s="216" t="s">
        <v>466</v>
      </c>
      <c r="F35" s="138">
        <v>21.599999999999998</v>
      </c>
      <c r="G35" s="467" t="s">
        <v>407</v>
      </c>
      <c r="H35" s="212"/>
      <c r="J35" s="210"/>
      <c r="K35" s="282"/>
      <c r="L35" s="282"/>
      <c r="M35" s="363"/>
      <c r="N35" s="363"/>
      <c r="O35" s="145">
        <v>0.0</v>
      </c>
      <c r="P35" s="145">
        <v>1.0</v>
      </c>
      <c r="Q35" s="145">
        <v>1.0</v>
      </c>
      <c r="R35" s="100"/>
      <c r="S35" s="100"/>
      <c r="T35" s="100"/>
      <c r="U35" s="146"/>
      <c r="V35" s="100"/>
    </row>
    <row r="36" outlineLevel="1">
      <c r="A36" s="156"/>
      <c r="B36" s="147" t="s">
        <v>84</v>
      </c>
      <c r="C36" s="216" t="s">
        <v>895</v>
      </c>
      <c r="D36" s="107"/>
      <c r="E36" s="216" t="s">
        <v>129</v>
      </c>
      <c r="F36" s="138">
        <v>14.399999999999999</v>
      </c>
      <c r="G36" s="467" t="s">
        <v>123</v>
      </c>
      <c r="H36" s="106"/>
      <c r="I36" s="168"/>
      <c r="J36" s="107"/>
      <c r="K36" s="282"/>
      <c r="L36" s="282"/>
      <c r="M36" s="363"/>
      <c r="N36" s="363"/>
      <c r="O36" s="145">
        <v>0.0</v>
      </c>
      <c r="P36" s="145">
        <v>1.0</v>
      </c>
      <c r="Q36" s="145">
        <v>1.0</v>
      </c>
      <c r="R36" s="100"/>
      <c r="S36" s="100"/>
      <c r="T36" s="100"/>
      <c r="U36" s="156"/>
      <c r="V36" s="100"/>
    </row>
    <row r="37" outlineLevel="1">
      <c r="A37" s="133" t="s">
        <v>116</v>
      </c>
      <c r="B37" s="160"/>
      <c r="C37" s="216" t="s">
        <v>627</v>
      </c>
      <c r="D37" s="195" t="s">
        <v>393</v>
      </c>
      <c r="E37" s="216" t="s">
        <v>896</v>
      </c>
      <c r="F37" s="138" t="s">
        <v>897</v>
      </c>
      <c r="G37" s="467" t="s">
        <v>898</v>
      </c>
      <c r="H37" s="283" t="s">
        <v>899</v>
      </c>
      <c r="I37" s="164"/>
      <c r="J37" s="104"/>
      <c r="K37" s="363"/>
      <c r="L37" s="363"/>
      <c r="M37" s="363"/>
      <c r="N37" s="363"/>
      <c r="O37" s="145">
        <v>0.0</v>
      </c>
      <c r="P37" s="145">
        <v>1.0</v>
      </c>
      <c r="Q37" s="145">
        <v>1.0</v>
      </c>
      <c r="R37" s="100"/>
      <c r="S37" s="100"/>
      <c r="T37" s="100"/>
      <c r="U37" s="166" t="s">
        <v>62</v>
      </c>
      <c r="V37" s="100"/>
    </row>
    <row r="38" outlineLevel="1">
      <c r="A38" s="146"/>
      <c r="B38" s="147" t="s">
        <v>187</v>
      </c>
      <c r="C38" s="216" t="s">
        <v>305</v>
      </c>
      <c r="D38" s="210"/>
      <c r="E38" s="216" t="s">
        <v>232</v>
      </c>
      <c r="F38" s="138">
        <v>13.2</v>
      </c>
      <c r="G38" s="467" t="s">
        <v>123</v>
      </c>
      <c r="H38" s="212"/>
      <c r="J38" s="210"/>
      <c r="K38" s="363"/>
      <c r="L38" s="363"/>
      <c r="M38" s="363"/>
      <c r="N38" s="363"/>
      <c r="O38" s="145">
        <v>0.0</v>
      </c>
      <c r="P38" s="145">
        <v>1.0</v>
      </c>
      <c r="Q38" s="145">
        <v>1.0</v>
      </c>
      <c r="R38" s="100"/>
      <c r="S38" s="100"/>
      <c r="T38" s="100"/>
      <c r="U38" s="146"/>
      <c r="V38" s="100"/>
    </row>
    <row r="39" outlineLevel="1">
      <c r="A39" s="156"/>
      <c r="B39" s="147" t="s">
        <v>189</v>
      </c>
      <c r="C39" s="216" t="s">
        <v>460</v>
      </c>
      <c r="D39" s="107"/>
      <c r="E39" s="216" t="s">
        <v>93</v>
      </c>
      <c r="F39" s="138">
        <v>8.4</v>
      </c>
      <c r="G39" s="467" t="s">
        <v>102</v>
      </c>
      <c r="H39" s="106"/>
      <c r="I39" s="168"/>
      <c r="J39" s="107"/>
      <c r="K39" s="363"/>
      <c r="L39" s="363"/>
      <c r="M39" s="363"/>
      <c r="N39" s="363"/>
      <c r="O39" s="145">
        <v>0.0</v>
      </c>
      <c r="P39" s="145">
        <v>1.0</v>
      </c>
      <c r="Q39" s="145">
        <v>1.0</v>
      </c>
      <c r="R39" s="100"/>
      <c r="S39" s="100"/>
      <c r="T39" s="100"/>
      <c r="U39" s="156"/>
      <c r="V39" s="100"/>
    </row>
    <row r="40" outlineLevel="1">
      <c r="A40" s="133" t="s">
        <v>124</v>
      </c>
      <c r="B40" s="147" t="s">
        <v>167</v>
      </c>
      <c r="C40" s="216" t="s">
        <v>900</v>
      </c>
      <c r="D40" s="455" t="s">
        <v>901</v>
      </c>
      <c r="E40" s="467" t="s">
        <v>176</v>
      </c>
      <c r="F40" s="138">
        <v>2.4</v>
      </c>
      <c r="G40" s="467" t="s">
        <v>60</v>
      </c>
      <c r="H40" s="283" t="s">
        <v>902</v>
      </c>
      <c r="I40" s="164"/>
      <c r="J40" s="104"/>
      <c r="K40" s="282"/>
      <c r="L40" s="282"/>
      <c r="M40" s="363"/>
      <c r="N40" s="363"/>
      <c r="O40" s="145">
        <v>0.0</v>
      </c>
      <c r="P40" s="145">
        <v>1.0</v>
      </c>
      <c r="Q40" s="145">
        <v>1.0</v>
      </c>
      <c r="R40" s="100"/>
      <c r="S40" s="100"/>
      <c r="T40" s="100"/>
      <c r="U40" s="166" t="s">
        <v>62</v>
      </c>
      <c r="V40" s="100"/>
    </row>
    <row r="41" outlineLevel="1">
      <c r="A41" s="156"/>
      <c r="B41" s="147" t="s">
        <v>172</v>
      </c>
      <c r="C41" s="216" t="s">
        <v>173</v>
      </c>
      <c r="D41" s="107"/>
      <c r="E41" s="467" t="s">
        <v>204</v>
      </c>
      <c r="F41" s="138">
        <v>3.5999999999999996</v>
      </c>
      <c r="G41" s="467" t="s">
        <v>60</v>
      </c>
      <c r="H41" s="106"/>
      <c r="I41" s="168"/>
      <c r="J41" s="107"/>
      <c r="K41" s="282"/>
      <c r="L41" s="282"/>
      <c r="M41" s="363"/>
      <c r="N41" s="363"/>
      <c r="O41" s="145">
        <v>0.0</v>
      </c>
      <c r="P41" s="145">
        <v>1.0</v>
      </c>
      <c r="Q41" s="145">
        <v>1.0</v>
      </c>
      <c r="R41" s="100"/>
      <c r="S41" s="100"/>
      <c r="T41" s="100"/>
      <c r="U41" s="156"/>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372" t="str">
        <f>'テンプレート'!R56</f>
        <v>備考</v>
      </c>
      <c r="S44" s="110"/>
      <c r="T44" s="110"/>
      <c r="U44" s="110"/>
      <c r="V44" s="110"/>
    </row>
    <row r="45" outlineLevel="1">
      <c r="A45" s="188" t="s">
        <v>144</v>
      </c>
      <c r="B45" s="373" t="s">
        <v>903</v>
      </c>
      <c r="C45" s="239" t="s">
        <v>904</v>
      </c>
      <c r="D45" s="374" t="s">
        <v>282</v>
      </c>
      <c r="E45" s="401" t="s">
        <v>700</v>
      </c>
      <c r="F45" s="193">
        <v>2.16</v>
      </c>
      <c r="G45" s="193">
        <v>1.836</v>
      </c>
      <c r="H45" s="138" t="s">
        <v>170</v>
      </c>
      <c r="I45" s="194" t="str">
        <f t="array" ref="I45">INDEX('空中攻撃'!$O$3:$AA$109, MATCH($A$1,'空中攻撃'!$A$3:$A$109,0), MATCH(A45,'空中攻撃'!$O$2:$S$2,0))</f>
        <v>9</v>
      </c>
      <c r="J45" s="195" t="s">
        <v>905</v>
      </c>
      <c r="K45" s="138"/>
      <c r="L45" s="282"/>
      <c r="M45" s="363"/>
      <c r="N45" s="363"/>
      <c r="O45" s="145">
        <v>0.0</v>
      </c>
      <c r="P45" s="145">
        <v>1.0</v>
      </c>
      <c r="Q45" s="145">
        <v>1.0</v>
      </c>
      <c r="R45" s="619"/>
      <c r="S45" s="164"/>
      <c r="T45" s="164"/>
      <c r="U45" s="164"/>
      <c r="V45" s="104"/>
    </row>
    <row r="46" outlineLevel="1">
      <c r="A46" s="156"/>
      <c r="B46" s="373" t="s">
        <v>520</v>
      </c>
      <c r="C46" s="239" t="s">
        <v>834</v>
      </c>
      <c r="D46" s="107"/>
      <c r="E46" s="239" t="s">
        <v>651</v>
      </c>
      <c r="F46" s="138">
        <v>4.2</v>
      </c>
      <c r="G46" s="138">
        <v>3.57</v>
      </c>
      <c r="H46" s="138" t="s">
        <v>170</v>
      </c>
      <c r="I46" s="156"/>
      <c r="J46" s="107"/>
      <c r="K46" s="138"/>
      <c r="L46" s="282"/>
      <c r="M46" s="363"/>
      <c r="N46" s="363"/>
      <c r="O46" s="145">
        <v>0.0</v>
      </c>
      <c r="P46" s="145">
        <v>1.0</v>
      </c>
      <c r="Q46" s="145">
        <v>1.0</v>
      </c>
      <c r="R46" s="106"/>
      <c r="S46" s="168"/>
      <c r="T46" s="168"/>
      <c r="U46" s="168"/>
      <c r="V46" s="107"/>
    </row>
    <row r="47" outlineLevel="1">
      <c r="A47" s="188" t="s">
        <v>151</v>
      </c>
      <c r="B47" s="373" t="s">
        <v>199</v>
      </c>
      <c r="C47" s="239" t="s">
        <v>906</v>
      </c>
      <c r="D47" s="374">
        <v>41.0</v>
      </c>
      <c r="E47" s="239" t="s">
        <v>169</v>
      </c>
      <c r="F47" s="138">
        <v>1.68</v>
      </c>
      <c r="G47" s="138">
        <v>1.428</v>
      </c>
      <c r="H47" s="138" t="s">
        <v>170</v>
      </c>
      <c r="I47" s="194" t="str">
        <f t="array" ref="I47">INDEX('空中攻撃'!$O$3:$AA$109, MATCH($A$1,'空中攻撃'!$A$3:$A$109,0), MATCH(A47,'空中攻撃'!$O$2:$S$2,0))</f>
        <v>12</v>
      </c>
      <c r="J47" s="195" t="s">
        <v>907</v>
      </c>
      <c r="K47" s="138"/>
      <c r="L47" s="282"/>
      <c r="M47" s="363"/>
      <c r="N47" s="363"/>
      <c r="O47" s="145">
        <v>0.0</v>
      </c>
      <c r="P47" s="145">
        <v>1.0</v>
      </c>
      <c r="Q47" s="145">
        <v>1.0</v>
      </c>
      <c r="R47" s="619"/>
      <c r="S47" s="164"/>
      <c r="T47" s="164"/>
      <c r="U47" s="164"/>
      <c r="V47" s="104"/>
    </row>
    <row r="48" outlineLevel="1">
      <c r="A48" s="156"/>
      <c r="B48" s="373" t="s">
        <v>202</v>
      </c>
      <c r="C48" s="239" t="s">
        <v>105</v>
      </c>
      <c r="D48" s="107"/>
      <c r="E48" s="239" t="s">
        <v>74</v>
      </c>
      <c r="F48" s="138">
        <v>5.76</v>
      </c>
      <c r="G48" s="138">
        <v>4.896</v>
      </c>
      <c r="H48" s="138" t="s">
        <v>60</v>
      </c>
      <c r="I48" s="156"/>
      <c r="J48" s="107"/>
      <c r="K48" s="138"/>
      <c r="L48" s="282"/>
      <c r="M48" s="363"/>
      <c r="N48" s="363"/>
      <c r="O48" s="145">
        <v>0.0</v>
      </c>
      <c r="P48" s="145">
        <v>1.0</v>
      </c>
      <c r="Q48" s="145">
        <v>1.0</v>
      </c>
      <c r="R48" s="106"/>
      <c r="S48" s="168"/>
      <c r="T48" s="168"/>
      <c r="U48" s="168"/>
      <c r="V48" s="107"/>
    </row>
    <row r="49" outlineLevel="1">
      <c r="A49" s="188" t="s">
        <v>157</v>
      </c>
      <c r="B49" s="373" t="s">
        <v>167</v>
      </c>
      <c r="C49" s="239" t="s">
        <v>908</v>
      </c>
      <c r="D49" s="195" t="s">
        <v>127</v>
      </c>
      <c r="E49" s="239" t="s">
        <v>213</v>
      </c>
      <c r="F49" s="138">
        <v>1.2</v>
      </c>
      <c r="G49" s="138">
        <v>1.02</v>
      </c>
      <c r="H49" s="138" t="s">
        <v>170</v>
      </c>
      <c r="I49" s="194">
        <f t="array" ref="I49">INDEX('空中攻撃'!$O$3:$AA$109, MATCH($A$1,'空中攻撃'!$A$3:$A$109,0), MATCH(A49,'空中攻撃'!$O$2:$S$2,0))</f>
        <v>18</v>
      </c>
      <c r="J49" s="195" t="s">
        <v>909</v>
      </c>
      <c r="K49" s="138"/>
      <c r="L49" s="282"/>
      <c r="M49" s="363"/>
      <c r="N49" s="363"/>
      <c r="O49" s="145">
        <v>0.0</v>
      </c>
      <c r="P49" s="145">
        <v>1.0</v>
      </c>
      <c r="Q49" s="145">
        <v>1.0</v>
      </c>
      <c r="R49" s="163"/>
      <c r="S49" s="164"/>
      <c r="T49" s="164"/>
      <c r="U49" s="164"/>
      <c r="V49" s="104"/>
    </row>
    <row r="50" outlineLevel="1">
      <c r="A50" s="146"/>
      <c r="B50" s="373" t="s">
        <v>172</v>
      </c>
      <c r="C50" s="239" t="s">
        <v>443</v>
      </c>
      <c r="D50" s="210"/>
      <c r="E50" s="239" t="s">
        <v>910</v>
      </c>
      <c r="F50" s="138">
        <v>4.32</v>
      </c>
      <c r="G50" s="138">
        <v>3.672</v>
      </c>
      <c r="H50" s="138" t="s">
        <v>170</v>
      </c>
      <c r="I50" s="146"/>
      <c r="J50" s="210"/>
      <c r="K50" s="138"/>
      <c r="L50" s="282"/>
      <c r="M50" s="363"/>
      <c r="N50" s="363"/>
      <c r="O50" s="145">
        <v>0.0</v>
      </c>
      <c r="P50" s="145">
        <v>1.0</v>
      </c>
      <c r="Q50" s="145">
        <v>1.0</v>
      </c>
      <c r="R50" s="212"/>
      <c r="V50" s="210"/>
    </row>
    <row r="51" outlineLevel="1">
      <c r="A51" s="156"/>
      <c r="B51" s="373" t="s">
        <v>174</v>
      </c>
      <c r="C51" s="239" t="s">
        <v>175</v>
      </c>
      <c r="D51" s="107"/>
      <c r="E51" s="239" t="s">
        <v>73</v>
      </c>
      <c r="F51" s="138">
        <v>4.8</v>
      </c>
      <c r="G51" s="138">
        <v>4.8</v>
      </c>
      <c r="H51" s="138" t="s">
        <v>75</v>
      </c>
      <c r="I51" s="156"/>
      <c r="J51" s="107"/>
      <c r="K51" s="138"/>
      <c r="L51" s="282"/>
      <c r="M51" s="363"/>
      <c r="N51" s="363"/>
      <c r="O51" s="145">
        <v>0.0</v>
      </c>
      <c r="P51" s="145">
        <v>1.0</v>
      </c>
      <c r="Q51" s="145">
        <v>1.0</v>
      </c>
      <c r="R51" s="106"/>
      <c r="S51" s="168"/>
      <c r="T51" s="168"/>
      <c r="U51" s="168"/>
      <c r="V51" s="107"/>
    </row>
    <row r="52" outlineLevel="1">
      <c r="A52" s="188" t="s">
        <v>162</v>
      </c>
      <c r="B52" s="373"/>
      <c r="C52" s="239" t="s">
        <v>270</v>
      </c>
      <c r="D52" s="374" t="s">
        <v>876</v>
      </c>
      <c r="E52" s="239" t="s">
        <v>911</v>
      </c>
      <c r="F52" s="138" t="s">
        <v>912</v>
      </c>
      <c r="G52" s="138" t="s">
        <v>913</v>
      </c>
      <c r="H52" s="138" t="s">
        <v>914</v>
      </c>
      <c r="I52" s="194" t="str">
        <f t="array" ref="I52">INDEX('空中攻撃'!$O$3:$AA$109, MATCH($A$1,'空中攻撃'!$A$3:$A$109,0), MATCH(A52,'空中攻撃'!$O$2:$S$2,0))</f>
        <v>14</v>
      </c>
      <c r="J52" s="195" t="s">
        <v>915</v>
      </c>
      <c r="K52" s="282"/>
      <c r="L52" s="282"/>
      <c r="M52" s="363"/>
      <c r="N52" s="363"/>
      <c r="O52" s="145">
        <v>0.0</v>
      </c>
      <c r="P52" s="145">
        <v>1.0</v>
      </c>
      <c r="Q52" s="145">
        <v>1.0</v>
      </c>
      <c r="R52" s="619"/>
      <c r="S52" s="164"/>
      <c r="T52" s="164"/>
      <c r="U52" s="164"/>
      <c r="V52" s="104"/>
    </row>
    <row r="53" outlineLevel="1">
      <c r="A53" s="156"/>
      <c r="B53" s="373" t="s">
        <v>84</v>
      </c>
      <c r="C53" s="239" t="s">
        <v>319</v>
      </c>
      <c r="D53" s="107"/>
      <c r="E53" s="239" t="s">
        <v>73</v>
      </c>
      <c r="F53" s="138">
        <v>4.8</v>
      </c>
      <c r="G53" s="138">
        <v>4.08</v>
      </c>
      <c r="H53" s="138" t="s">
        <v>60</v>
      </c>
      <c r="I53" s="156"/>
      <c r="J53" s="107"/>
      <c r="K53" s="282"/>
      <c r="L53" s="282"/>
      <c r="M53" s="363"/>
      <c r="N53" s="363"/>
      <c r="O53" s="145">
        <v>0.0</v>
      </c>
      <c r="P53" s="145">
        <v>1.0</v>
      </c>
      <c r="Q53" s="145">
        <v>1.0</v>
      </c>
      <c r="R53" s="106"/>
      <c r="S53" s="168"/>
      <c r="T53" s="168"/>
      <c r="U53" s="168"/>
      <c r="V53" s="107"/>
    </row>
    <row r="54" outlineLevel="1">
      <c r="A54" s="188" t="s">
        <v>166</v>
      </c>
      <c r="B54" s="373" t="s">
        <v>155</v>
      </c>
      <c r="C54" s="239" t="s">
        <v>295</v>
      </c>
      <c r="D54" s="374">
        <v>47.0</v>
      </c>
      <c r="E54" s="239" t="s">
        <v>228</v>
      </c>
      <c r="F54" s="138">
        <v>15.6</v>
      </c>
      <c r="G54" s="138">
        <v>13.26</v>
      </c>
      <c r="H54" s="138" t="s">
        <v>147</v>
      </c>
      <c r="I54" s="194">
        <f t="array" ref="I54">INDEX('空中攻撃'!$O$3:$AA$109, MATCH($A$1,'空中攻撃'!$A$3:$A$109,0), MATCH(A54,'空中攻撃'!$O$2:$S$2,0))</f>
        <v>22</v>
      </c>
      <c r="J54" s="195" t="s">
        <v>916</v>
      </c>
      <c r="K54" s="282"/>
      <c r="L54" s="282"/>
      <c r="M54" s="363"/>
      <c r="N54" s="363"/>
      <c r="O54" s="145">
        <v>0.0</v>
      </c>
      <c r="P54" s="145">
        <v>1.0</v>
      </c>
      <c r="Q54" s="145">
        <v>1.0</v>
      </c>
      <c r="R54" s="163"/>
      <c r="S54" s="164"/>
      <c r="T54" s="164"/>
      <c r="U54" s="164"/>
      <c r="V54" s="104"/>
    </row>
    <row r="55" outlineLevel="1">
      <c r="A55" s="146"/>
      <c r="B55" s="373" t="s">
        <v>84</v>
      </c>
      <c r="C55" s="239" t="s">
        <v>917</v>
      </c>
      <c r="D55" s="210"/>
      <c r="E55" s="239" t="s">
        <v>129</v>
      </c>
      <c r="F55" s="138">
        <v>14.4</v>
      </c>
      <c r="G55" s="138">
        <v>12.24</v>
      </c>
      <c r="H55" s="138" t="s">
        <v>147</v>
      </c>
      <c r="I55" s="146"/>
      <c r="J55" s="210"/>
      <c r="K55" s="282"/>
      <c r="L55" s="282"/>
      <c r="M55" s="363"/>
      <c r="N55" s="363"/>
      <c r="O55" s="145"/>
      <c r="P55" s="145"/>
      <c r="Q55" s="145"/>
      <c r="R55" s="212"/>
      <c r="V55" s="210"/>
    </row>
    <row r="56" outlineLevel="1">
      <c r="A56" s="156"/>
      <c r="B56" s="373" t="s">
        <v>664</v>
      </c>
      <c r="C56" s="239" t="s">
        <v>175</v>
      </c>
      <c r="D56" s="107"/>
      <c r="E56" s="239" t="s">
        <v>73</v>
      </c>
      <c r="F56" s="138">
        <v>4.8</v>
      </c>
      <c r="G56" s="138">
        <v>4.8</v>
      </c>
      <c r="H56" s="138" t="s">
        <v>75</v>
      </c>
      <c r="I56" s="156"/>
      <c r="J56" s="107"/>
      <c r="K56" s="282"/>
      <c r="L56" s="282"/>
      <c r="M56" s="363"/>
      <c r="N56" s="363"/>
      <c r="O56" s="145">
        <v>0.0</v>
      </c>
      <c r="P56" s="145">
        <v>1.0</v>
      </c>
      <c r="Q56" s="145">
        <v>1.0</v>
      </c>
      <c r="R56" s="106"/>
      <c r="S56" s="168"/>
      <c r="T56" s="168"/>
      <c r="U56" s="168"/>
      <c r="V56" s="107"/>
    </row>
    <row r="57">
      <c r="A57" s="223"/>
      <c r="B57" s="224"/>
      <c r="C57" s="225"/>
      <c r="D57" s="225"/>
      <c r="E57" s="226"/>
      <c r="F57" s="226"/>
      <c r="G57" s="226"/>
      <c r="H57" s="227"/>
      <c r="I57" s="227"/>
      <c r="J57" s="228"/>
      <c r="K57" s="228"/>
      <c r="L57" s="228"/>
      <c r="M57" s="228"/>
      <c r="N57" s="228"/>
      <c r="O57" s="228"/>
      <c r="P57" s="228"/>
      <c r="Q57" s="118"/>
      <c r="R57" s="118"/>
      <c r="S57" s="118"/>
      <c r="T57" s="118"/>
      <c r="U57" s="118"/>
      <c r="V57" s="118"/>
    </row>
    <row r="58">
      <c r="A58" s="229" t="s">
        <v>177</v>
      </c>
      <c r="B58" s="109"/>
      <c r="C58" s="225"/>
      <c r="D58" s="225"/>
      <c r="E58" s="226"/>
      <c r="F58" s="226"/>
      <c r="G58" s="226"/>
      <c r="H58" s="227"/>
      <c r="I58" s="227"/>
      <c r="J58" s="228"/>
      <c r="K58" s="228"/>
      <c r="L58" s="228"/>
      <c r="M58" s="228"/>
      <c r="N58" s="228"/>
      <c r="O58" s="228"/>
      <c r="P58" s="228"/>
      <c r="Q58" s="118"/>
      <c r="R58" s="118"/>
      <c r="S58" s="118"/>
      <c r="T58" s="118"/>
      <c r="U58" s="118"/>
      <c r="V58" s="118"/>
    </row>
    <row r="59" outlineLevel="1">
      <c r="A59" s="230" t="s">
        <v>918</v>
      </c>
      <c r="B59" s="109"/>
      <c r="C59" s="231" t="s">
        <v>48</v>
      </c>
      <c r="D59" s="231" t="s">
        <v>49</v>
      </c>
      <c r="E59" s="232" t="s">
        <v>50</v>
      </c>
      <c r="F59" s="233" t="s">
        <v>51</v>
      </c>
      <c r="G59" s="232" t="s">
        <v>52</v>
      </c>
      <c r="H59" s="382" t="s">
        <v>53</v>
      </c>
      <c r="I59" s="110"/>
      <c r="J59" s="109"/>
      <c r="K59" s="235" t="s">
        <v>137</v>
      </c>
      <c r="L59" s="235" t="s">
        <v>138</v>
      </c>
      <c r="M59" s="235" t="s">
        <v>139</v>
      </c>
      <c r="N59" s="235" t="s">
        <v>140</v>
      </c>
      <c r="O59" s="236" t="s">
        <v>141</v>
      </c>
      <c r="P59" s="235" t="s">
        <v>142</v>
      </c>
      <c r="Q59" s="236" t="s">
        <v>143</v>
      </c>
      <c r="R59" s="235" t="s">
        <v>179</v>
      </c>
      <c r="S59" s="236" t="s">
        <v>180</v>
      </c>
      <c r="T59" s="236" t="s">
        <v>181</v>
      </c>
      <c r="U59" s="236" t="s">
        <v>182</v>
      </c>
      <c r="V59" s="236" t="s">
        <v>183</v>
      </c>
    </row>
    <row r="60" outlineLevel="1">
      <c r="A60" s="383" t="s">
        <v>332</v>
      </c>
      <c r="B60" s="733" t="s">
        <v>919</v>
      </c>
      <c r="C60" s="534" t="s">
        <v>920</v>
      </c>
      <c r="D60" s="734" t="s">
        <v>455</v>
      </c>
      <c r="E60" s="239" t="s">
        <v>921</v>
      </c>
      <c r="F60" s="138" t="s">
        <v>922</v>
      </c>
      <c r="G60" s="239" t="s">
        <v>923</v>
      </c>
      <c r="H60" s="550"/>
      <c r="I60" s="164"/>
      <c r="J60" s="104"/>
      <c r="K60" s="282"/>
      <c r="L60" s="282"/>
      <c r="M60" s="363"/>
      <c r="N60" s="363"/>
      <c r="O60" s="138">
        <v>1.0</v>
      </c>
      <c r="P60" s="138">
        <v>1.0</v>
      </c>
      <c r="Q60" s="138">
        <v>1.0</v>
      </c>
      <c r="R60" s="145" t="b">
        <v>1</v>
      </c>
      <c r="S60" s="145" t="b">
        <v>0</v>
      </c>
      <c r="T60" s="145" t="b">
        <v>1</v>
      </c>
      <c r="U60" s="166" t="s">
        <v>186</v>
      </c>
      <c r="V60" s="166" t="b">
        <v>1</v>
      </c>
    </row>
    <row r="61" outlineLevel="1">
      <c r="A61" s="146"/>
      <c r="B61" s="735" t="s">
        <v>924</v>
      </c>
      <c r="C61" s="534" t="s">
        <v>925</v>
      </c>
      <c r="D61" s="210"/>
      <c r="E61" s="239" t="s">
        <v>538</v>
      </c>
      <c r="F61" s="138" t="s">
        <v>539</v>
      </c>
      <c r="G61" s="239" t="s">
        <v>926</v>
      </c>
      <c r="H61" s="212"/>
      <c r="J61" s="210"/>
      <c r="K61" s="282"/>
      <c r="L61" s="282"/>
      <c r="M61" s="363"/>
      <c r="N61" s="363"/>
      <c r="O61" s="138">
        <v>1.0</v>
      </c>
      <c r="P61" s="138">
        <v>1.0</v>
      </c>
      <c r="Q61" s="138">
        <v>1.0</v>
      </c>
      <c r="R61" s="145" t="b">
        <v>1</v>
      </c>
      <c r="S61" s="145"/>
      <c r="T61" s="145" t="b">
        <v>1</v>
      </c>
      <c r="U61" s="146"/>
      <c r="V61" s="146"/>
    </row>
    <row r="62" outlineLevel="1">
      <c r="A62" s="156"/>
      <c r="B62" s="735" t="s">
        <v>927</v>
      </c>
      <c r="C62" s="736" t="s">
        <v>928</v>
      </c>
      <c r="D62" s="210"/>
      <c r="E62" s="239" t="s">
        <v>929</v>
      </c>
      <c r="F62" s="138" t="s">
        <v>930</v>
      </c>
      <c r="G62" s="239" t="s">
        <v>931</v>
      </c>
      <c r="H62" s="212"/>
      <c r="J62" s="210"/>
      <c r="K62" s="282"/>
      <c r="L62" s="282"/>
      <c r="M62" s="363"/>
      <c r="N62" s="363"/>
      <c r="O62" s="138">
        <v>1.0</v>
      </c>
      <c r="P62" s="138">
        <v>1.0</v>
      </c>
      <c r="Q62" s="138">
        <v>1.0</v>
      </c>
      <c r="R62" s="145" t="b">
        <v>1</v>
      </c>
      <c r="S62" s="145"/>
      <c r="T62" s="145" t="b">
        <v>1</v>
      </c>
      <c r="U62" s="146"/>
      <c r="V62" s="146"/>
    </row>
    <row r="63" outlineLevel="1">
      <c r="A63" s="737" t="s">
        <v>344</v>
      </c>
      <c r="B63" s="738" t="s">
        <v>932</v>
      </c>
      <c r="C63" s="534" t="s">
        <v>933</v>
      </c>
      <c r="D63" s="107"/>
      <c r="E63" s="239" t="s">
        <v>74</v>
      </c>
      <c r="F63" s="138">
        <v>5.76</v>
      </c>
      <c r="G63" s="239" t="s">
        <v>60</v>
      </c>
      <c r="H63" s="106"/>
      <c r="I63" s="168"/>
      <c r="J63" s="107"/>
      <c r="K63" s="282"/>
      <c r="L63" s="282"/>
      <c r="M63" s="363"/>
      <c r="N63" s="363"/>
      <c r="O63" s="138">
        <v>1.0</v>
      </c>
      <c r="P63" s="138">
        <v>1.0</v>
      </c>
      <c r="Q63" s="138">
        <v>1.0</v>
      </c>
      <c r="R63" s="145" t="b">
        <v>1</v>
      </c>
      <c r="S63" s="145"/>
      <c r="T63" s="145" t="b">
        <v>1</v>
      </c>
      <c r="U63" s="156"/>
      <c r="V63" s="156"/>
    </row>
    <row r="64" outlineLevel="1">
      <c r="A64" s="230" t="s">
        <v>934</v>
      </c>
      <c r="B64" s="109"/>
      <c r="C64" s="231" t="s">
        <v>48</v>
      </c>
      <c r="D64" s="231" t="s">
        <v>49</v>
      </c>
      <c r="E64" s="232" t="s">
        <v>50</v>
      </c>
      <c r="F64" s="233" t="s">
        <v>51</v>
      </c>
      <c r="G64" s="232" t="s">
        <v>52</v>
      </c>
      <c r="H64" s="382" t="s">
        <v>53</v>
      </c>
      <c r="I64" s="110"/>
      <c r="J64" s="109"/>
      <c r="K64" s="235" t="s">
        <v>137</v>
      </c>
      <c r="L64" s="235" t="s">
        <v>138</v>
      </c>
      <c r="M64" s="235" t="s">
        <v>139</v>
      </c>
      <c r="N64" s="235" t="s">
        <v>140</v>
      </c>
      <c r="O64" s="236" t="s">
        <v>141</v>
      </c>
      <c r="P64" s="235" t="s">
        <v>142</v>
      </c>
      <c r="Q64" s="236" t="s">
        <v>143</v>
      </c>
      <c r="R64" s="235" t="s">
        <v>179</v>
      </c>
      <c r="S64" s="236" t="s">
        <v>180</v>
      </c>
      <c r="T64" s="236" t="s">
        <v>181</v>
      </c>
      <c r="U64" s="236" t="s">
        <v>182</v>
      </c>
      <c r="V64" s="236" t="s">
        <v>183</v>
      </c>
    </row>
    <row r="65" ht="45.75" customHeight="1" outlineLevel="1">
      <c r="A65" s="237" t="s">
        <v>184</v>
      </c>
      <c r="B65" s="243" t="s">
        <v>860</v>
      </c>
      <c r="C65" s="239" t="s">
        <v>935</v>
      </c>
      <c r="D65" s="216" t="s">
        <v>936</v>
      </c>
      <c r="E65" s="239" t="s">
        <v>937</v>
      </c>
      <c r="F65" s="138" t="s">
        <v>938</v>
      </c>
      <c r="G65" s="239" t="s">
        <v>939</v>
      </c>
      <c r="H65" s="163" t="s">
        <v>940</v>
      </c>
      <c r="I65" s="164"/>
      <c r="J65" s="104"/>
      <c r="K65" s="282"/>
      <c r="L65" s="282"/>
      <c r="M65" s="363"/>
      <c r="N65" s="363"/>
      <c r="O65" s="138">
        <v>0.0</v>
      </c>
      <c r="P65" s="138">
        <v>1.0</v>
      </c>
      <c r="Q65" s="138">
        <v>1.0</v>
      </c>
      <c r="R65" s="145" t="b">
        <v>1</v>
      </c>
      <c r="S65" s="145" t="b">
        <v>0</v>
      </c>
      <c r="T65" s="145"/>
      <c r="U65" s="166" t="s">
        <v>186</v>
      </c>
      <c r="V65" s="166" t="b">
        <v>1</v>
      </c>
    </row>
    <row r="66" ht="45.75" customHeight="1" outlineLevel="1">
      <c r="A66" s="146"/>
      <c r="B66" s="243" t="s">
        <v>941</v>
      </c>
      <c r="C66" s="553"/>
      <c r="D66" s="216" t="s">
        <v>65</v>
      </c>
      <c r="E66" s="553"/>
      <c r="F66" s="553"/>
      <c r="G66" s="553"/>
      <c r="H66" s="106"/>
      <c r="I66" s="168"/>
      <c r="J66" s="107"/>
      <c r="K66" s="261"/>
      <c r="L66" s="261"/>
      <c r="M66" s="261"/>
      <c r="N66" s="261"/>
      <c r="O66" s="261"/>
      <c r="P66" s="261"/>
      <c r="Q66" s="261"/>
      <c r="R66" s="261"/>
      <c r="S66" s="261"/>
      <c r="T66" s="261"/>
      <c r="U66" s="156"/>
      <c r="V66" s="156"/>
    </row>
    <row r="67" outlineLevel="1">
      <c r="A67" s="230" t="s">
        <v>942</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ht="28.5" customHeight="1" outlineLevel="1">
      <c r="A68" s="237" t="s">
        <v>184</v>
      </c>
      <c r="B68" s="402" t="s">
        <v>125</v>
      </c>
      <c r="C68" s="239" t="s">
        <v>943</v>
      </c>
      <c r="D68" s="239" t="s">
        <v>944</v>
      </c>
      <c r="E68" s="239" t="s">
        <v>176</v>
      </c>
      <c r="F68" s="138">
        <v>2.4</v>
      </c>
      <c r="G68" s="239" t="s">
        <v>60</v>
      </c>
      <c r="H68" s="163" t="s">
        <v>945</v>
      </c>
      <c r="I68" s="164"/>
      <c r="J68" s="104"/>
      <c r="K68" s="138"/>
      <c r="L68" s="138"/>
      <c r="M68" s="145"/>
      <c r="N68" s="145"/>
      <c r="O68" s="138">
        <v>0.0</v>
      </c>
      <c r="P68" s="138">
        <v>1.0</v>
      </c>
      <c r="Q68" s="138">
        <v>1.0</v>
      </c>
      <c r="R68" s="145" t="b">
        <v>1</v>
      </c>
      <c r="S68" s="145" t="b">
        <v>0</v>
      </c>
      <c r="T68" s="145"/>
      <c r="U68" s="166" t="b">
        <v>0</v>
      </c>
      <c r="V68" s="166" t="b">
        <v>0</v>
      </c>
    </row>
    <row r="69" ht="28.5" customHeight="1" outlineLevel="1">
      <c r="A69" s="146"/>
      <c r="B69" s="402" t="s">
        <v>131</v>
      </c>
      <c r="C69" s="239" t="s">
        <v>946</v>
      </c>
      <c r="D69" s="239" t="s">
        <v>947</v>
      </c>
      <c r="E69" s="239" t="s">
        <v>204</v>
      </c>
      <c r="F69" s="138">
        <v>3.5999999999999996</v>
      </c>
      <c r="G69" s="239" t="s">
        <v>147</v>
      </c>
      <c r="H69" s="106"/>
      <c r="I69" s="168"/>
      <c r="J69" s="107"/>
      <c r="K69" s="138"/>
      <c r="L69" s="138"/>
      <c r="M69" s="145"/>
      <c r="N69" s="145"/>
      <c r="O69" s="138">
        <v>0.0</v>
      </c>
      <c r="P69" s="138">
        <v>1.0</v>
      </c>
      <c r="Q69" s="138">
        <v>1.0</v>
      </c>
      <c r="R69" s="145" t="b">
        <v>1</v>
      </c>
      <c r="S69" s="145" t="b">
        <v>0</v>
      </c>
      <c r="T69" s="145"/>
      <c r="U69" s="156"/>
      <c r="V69" s="156"/>
    </row>
    <row r="70" outlineLevel="1">
      <c r="A70" s="230" t="s">
        <v>948</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236" t="s">
        <v>183</v>
      </c>
    </row>
    <row r="71" ht="29.25" customHeight="1" outlineLevel="1">
      <c r="A71" s="237" t="s">
        <v>184</v>
      </c>
      <c r="B71" s="402" t="s">
        <v>949</v>
      </c>
      <c r="C71" s="239" t="s">
        <v>950</v>
      </c>
      <c r="D71" s="455" t="s">
        <v>951</v>
      </c>
      <c r="E71" s="239" t="s">
        <v>86</v>
      </c>
      <c r="F71" s="138">
        <v>7.199999999999999</v>
      </c>
      <c r="G71" s="239" t="s">
        <v>60</v>
      </c>
      <c r="H71" s="163" t="s">
        <v>952</v>
      </c>
      <c r="I71" s="164"/>
      <c r="J71" s="104"/>
      <c r="K71" s="138"/>
      <c r="L71" s="138"/>
      <c r="M71" s="145"/>
      <c r="N71" s="145"/>
      <c r="O71" s="138">
        <v>1.0</v>
      </c>
      <c r="P71" s="138">
        <v>1.0</v>
      </c>
      <c r="Q71" s="138">
        <v>1.0</v>
      </c>
      <c r="R71" s="145" t="b">
        <v>0</v>
      </c>
      <c r="S71" s="145" t="b">
        <v>0</v>
      </c>
      <c r="T71" s="145" t="b">
        <v>1</v>
      </c>
      <c r="U71" s="166" t="s">
        <v>186</v>
      </c>
      <c r="V71" s="166" t="b">
        <v>1</v>
      </c>
    </row>
    <row r="72" ht="29.25" customHeight="1" outlineLevel="1">
      <c r="A72" s="156"/>
      <c r="B72" s="402" t="s">
        <v>953</v>
      </c>
      <c r="C72" s="239" t="s">
        <v>954</v>
      </c>
      <c r="D72" s="107"/>
      <c r="E72" s="239" t="s">
        <v>80</v>
      </c>
      <c r="F72" s="138">
        <v>9.6</v>
      </c>
      <c r="G72" s="239" t="s">
        <v>60</v>
      </c>
      <c r="H72" s="212"/>
      <c r="J72" s="210"/>
      <c r="K72" s="138"/>
      <c r="L72" s="138"/>
      <c r="M72" s="145"/>
      <c r="N72" s="145"/>
      <c r="O72" s="138">
        <v>1.0</v>
      </c>
      <c r="P72" s="138">
        <v>1.0</v>
      </c>
      <c r="Q72" s="138">
        <v>1.0</v>
      </c>
      <c r="R72" s="145" t="b">
        <v>0</v>
      </c>
      <c r="S72" s="145" t="b">
        <v>0</v>
      </c>
      <c r="T72" s="145" t="b">
        <v>1</v>
      </c>
      <c r="U72" s="146"/>
      <c r="V72" s="146"/>
    </row>
    <row r="73" ht="29.25" customHeight="1" outlineLevel="1">
      <c r="A73" s="259" t="s">
        <v>332</v>
      </c>
      <c r="B73" s="402" t="s">
        <v>955</v>
      </c>
      <c r="C73" s="239" t="s">
        <v>175</v>
      </c>
      <c r="D73" s="239" t="s">
        <v>384</v>
      </c>
      <c r="E73" s="239" t="s">
        <v>386</v>
      </c>
      <c r="F73" s="138">
        <v>18.0</v>
      </c>
      <c r="G73" s="239" t="s">
        <v>82</v>
      </c>
      <c r="H73" s="212"/>
      <c r="J73" s="210"/>
      <c r="K73" s="138"/>
      <c r="L73" s="282"/>
      <c r="M73" s="363"/>
      <c r="N73" s="363"/>
      <c r="O73" s="138">
        <v>2.0</v>
      </c>
      <c r="P73" s="138">
        <v>1.0</v>
      </c>
      <c r="Q73" s="138">
        <v>1.0</v>
      </c>
      <c r="R73" s="145" t="b">
        <v>0</v>
      </c>
      <c r="S73" s="145" t="b">
        <v>0</v>
      </c>
      <c r="T73" s="145"/>
      <c r="U73" s="146"/>
      <c r="V73" s="146"/>
    </row>
    <row r="74" ht="29.25" customHeight="1" outlineLevel="1">
      <c r="A74" s="259" t="s">
        <v>344</v>
      </c>
      <c r="B74" s="402" t="s">
        <v>956</v>
      </c>
      <c r="C74" s="239" t="s">
        <v>175</v>
      </c>
      <c r="D74" s="467" t="s">
        <v>193</v>
      </c>
      <c r="E74" s="239" t="s">
        <v>386</v>
      </c>
      <c r="F74" s="138">
        <v>18.0</v>
      </c>
      <c r="G74" s="239" t="s">
        <v>82</v>
      </c>
      <c r="H74" s="106"/>
      <c r="I74" s="168"/>
      <c r="J74" s="107"/>
      <c r="K74" s="138"/>
      <c r="L74" s="282"/>
      <c r="M74" s="363"/>
      <c r="N74" s="363"/>
      <c r="O74" s="138">
        <v>2.0</v>
      </c>
      <c r="P74" s="138">
        <v>1.0</v>
      </c>
      <c r="Q74" s="138">
        <v>1.0</v>
      </c>
      <c r="R74" s="145" t="b">
        <v>0</v>
      </c>
      <c r="S74" s="145" t="b">
        <v>0</v>
      </c>
      <c r="T74" s="145"/>
      <c r="U74" s="156"/>
      <c r="V74" s="156"/>
    </row>
    <row r="75">
      <c r="A75" s="223"/>
      <c r="B75" s="224"/>
      <c r="C75" s="225"/>
      <c r="D75" s="225"/>
      <c r="E75" s="226"/>
      <c r="F75" s="226"/>
      <c r="G75" s="226"/>
      <c r="H75" s="227"/>
      <c r="I75" s="227"/>
      <c r="J75" s="228"/>
      <c r="K75" s="228"/>
      <c r="L75" s="228"/>
      <c r="M75" s="228"/>
      <c r="N75" s="228"/>
      <c r="O75" s="228"/>
      <c r="P75" s="228"/>
      <c r="Q75" s="118"/>
      <c r="R75" s="118"/>
      <c r="S75" s="118"/>
      <c r="T75" s="118"/>
      <c r="U75" s="118"/>
      <c r="V75" s="118"/>
    </row>
    <row r="76">
      <c r="A76" s="264" t="s">
        <v>211</v>
      </c>
      <c r="B76" s="104"/>
      <c r="C76" s="227"/>
      <c r="D76" s="227"/>
      <c r="E76" s="228"/>
      <c r="F76" s="265"/>
      <c r="G76" s="265"/>
      <c r="H76" s="228"/>
      <c r="I76" s="228"/>
      <c r="J76" s="228"/>
      <c r="K76" s="228"/>
      <c r="L76" s="228"/>
      <c r="M76" s="228"/>
      <c r="N76" s="118"/>
      <c r="O76" s="118"/>
      <c r="P76" s="118"/>
      <c r="Q76" s="228"/>
      <c r="R76" s="228"/>
      <c r="S76" s="228"/>
      <c r="T76" s="228"/>
      <c r="U76" s="228"/>
      <c r="V76" s="228"/>
    </row>
    <row r="77" outlineLevel="1">
      <c r="A77" s="106"/>
      <c r="B77" s="107"/>
      <c r="C77" s="266" t="s">
        <v>48</v>
      </c>
      <c r="D77" s="266" t="s">
        <v>49</v>
      </c>
      <c r="E77" s="266" t="s">
        <v>50</v>
      </c>
      <c r="F77" s="267" t="s">
        <v>51</v>
      </c>
      <c r="G77" s="227"/>
      <c r="H77" s="227"/>
      <c r="I77" s="227"/>
      <c r="J77" s="228"/>
      <c r="K77" s="228"/>
      <c r="L77" s="228"/>
      <c r="M77" s="228"/>
      <c r="N77" s="228"/>
      <c r="O77" s="228"/>
      <c r="P77" s="228"/>
      <c r="Q77" s="228"/>
      <c r="R77" s="228"/>
      <c r="S77" s="228"/>
      <c r="T77" s="228"/>
      <c r="U77" s="228"/>
      <c r="V77" s="228"/>
    </row>
    <row r="78" outlineLevel="1">
      <c r="A78" s="268" t="s">
        <v>212</v>
      </c>
      <c r="B78" s="269" t="s">
        <v>212</v>
      </c>
      <c r="C78" s="239" t="s">
        <v>213</v>
      </c>
      <c r="D78" s="239" t="s">
        <v>150</v>
      </c>
      <c r="E78" s="239" t="s">
        <v>213</v>
      </c>
      <c r="F78" s="138">
        <v>1.2</v>
      </c>
      <c r="G78" s="227"/>
      <c r="H78" s="227"/>
      <c r="I78" s="227"/>
      <c r="J78" s="228"/>
      <c r="K78" s="228"/>
      <c r="L78" s="228"/>
      <c r="M78" s="228"/>
      <c r="N78" s="228"/>
      <c r="O78" s="228"/>
      <c r="P78" s="228"/>
      <c r="Q78" s="228"/>
      <c r="R78" s="228"/>
      <c r="S78" s="228"/>
      <c r="T78" s="228"/>
      <c r="U78" s="228"/>
      <c r="V78" s="228"/>
    </row>
    <row r="79" outlineLevel="1">
      <c r="A79" s="270" t="s">
        <v>215</v>
      </c>
      <c r="B79" s="269" t="s">
        <v>216</v>
      </c>
      <c r="C79" s="239" t="s">
        <v>319</v>
      </c>
      <c r="D79" s="239" t="s">
        <v>224</v>
      </c>
      <c r="E79" s="271"/>
      <c r="F79" s="272"/>
      <c r="G79" s="272"/>
      <c r="H79" s="227"/>
      <c r="I79" s="227"/>
      <c r="J79" s="228"/>
      <c r="K79" s="228"/>
      <c r="L79" s="228"/>
      <c r="M79" s="228"/>
      <c r="N79" s="228"/>
      <c r="O79" s="228"/>
      <c r="P79" s="228"/>
      <c r="Q79" s="228"/>
      <c r="R79" s="228"/>
      <c r="S79" s="228"/>
      <c r="T79" s="228"/>
      <c r="U79" s="228"/>
      <c r="V79" s="228"/>
    </row>
    <row r="80" outlineLevel="1">
      <c r="A80" s="212"/>
      <c r="B80" s="269" t="s">
        <v>219</v>
      </c>
      <c r="C80" s="239" t="s">
        <v>299</v>
      </c>
      <c r="D80" s="239" t="s">
        <v>393</v>
      </c>
      <c r="E80" s="271"/>
      <c r="F80" s="272"/>
      <c r="G80" s="272"/>
      <c r="H80" s="227"/>
      <c r="I80" s="227"/>
      <c r="J80" s="228"/>
      <c r="K80" s="228"/>
      <c r="L80" s="228"/>
      <c r="M80" s="228"/>
      <c r="N80" s="228"/>
      <c r="O80" s="228"/>
      <c r="P80" s="228"/>
      <c r="Q80" s="228"/>
      <c r="R80" s="228"/>
      <c r="S80" s="228"/>
      <c r="T80" s="228"/>
      <c r="U80" s="228"/>
      <c r="V80" s="228"/>
    </row>
    <row r="81" outlineLevel="1">
      <c r="A81" s="106"/>
      <c r="B81" s="269" t="s">
        <v>222</v>
      </c>
      <c r="C81" s="239" t="s">
        <v>373</v>
      </c>
      <c r="D81" s="239" t="s">
        <v>118</v>
      </c>
      <c r="E81" s="227"/>
      <c r="F81" s="272"/>
      <c r="G81" s="272"/>
      <c r="H81" s="227"/>
      <c r="I81" s="227"/>
      <c r="J81" s="228"/>
      <c r="K81" s="228"/>
      <c r="L81" s="228"/>
      <c r="M81" s="228"/>
      <c r="N81" s="228"/>
      <c r="O81" s="228"/>
      <c r="P81" s="228"/>
      <c r="Q81" s="228"/>
      <c r="R81" s="228"/>
      <c r="S81" s="228"/>
      <c r="T81" s="228"/>
      <c r="U81" s="228"/>
      <c r="V81" s="228"/>
    </row>
    <row r="82" outlineLevel="1">
      <c r="A82" s="273" t="s">
        <v>225</v>
      </c>
      <c r="B82" s="109"/>
      <c r="C82" s="266" t="s">
        <v>48</v>
      </c>
      <c r="D82" s="266" t="s">
        <v>49</v>
      </c>
      <c r="E82" s="266" t="s">
        <v>50</v>
      </c>
      <c r="F82" s="267" t="s">
        <v>51</v>
      </c>
      <c r="G82" s="274" t="s">
        <v>53</v>
      </c>
      <c r="H82" s="110"/>
      <c r="I82" s="110"/>
      <c r="J82" s="109"/>
      <c r="K82" s="275" t="str">
        <f>'テンプレート'!K97</f>
        <v>ベクトル</v>
      </c>
      <c r="L82" s="275" t="str">
        <f>'テンプレート'!L97</f>
        <v>KBG (R.E.)</v>
      </c>
      <c r="M82" s="275" t="str">
        <f>'テンプレート'!M97</f>
        <v>BKB (R.A.)</v>
      </c>
      <c r="N82" s="275" t="str">
        <f>'テンプレート'!N97</f>
        <v>FKB (R.F.)</v>
      </c>
      <c r="O82" s="276" t="str">
        <f>'テンプレート'!O97</f>
        <v>盾削り値</v>
      </c>
      <c r="P82" s="275" t="str">
        <f>'テンプレート'!P97</f>
        <v>ﾋｯﾄｽﾄｯﾌﾟ</v>
      </c>
      <c r="Q82" s="276" t="str">
        <f>'テンプレート'!Q97</f>
        <v>ずらし</v>
      </c>
      <c r="R82" s="277"/>
      <c r="S82" s="277"/>
      <c r="T82" s="277"/>
      <c r="U82" s="277"/>
      <c r="V82" s="277"/>
    </row>
    <row r="83" outlineLevel="1">
      <c r="A83" s="278" t="s">
        <v>226</v>
      </c>
      <c r="B83" s="269" t="s">
        <v>227</v>
      </c>
      <c r="C83" s="113" t="s">
        <v>957</v>
      </c>
      <c r="D83" s="279">
        <v>43.0</v>
      </c>
      <c r="E83" s="239" t="s">
        <v>176</v>
      </c>
      <c r="F83" s="138">
        <v>2.4</v>
      </c>
      <c r="G83" s="416"/>
      <c r="H83" s="164"/>
      <c r="I83" s="164"/>
      <c r="J83" s="104"/>
      <c r="K83" s="282"/>
      <c r="L83" s="282"/>
      <c r="M83" s="363"/>
      <c r="N83" s="363"/>
      <c r="O83" s="145">
        <v>0.0</v>
      </c>
      <c r="P83" s="145">
        <v>1.0</v>
      </c>
      <c r="Q83" s="145">
        <v>1.0</v>
      </c>
      <c r="R83" s="277"/>
      <c r="S83" s="228"/>
      <c r="T83" s="228"/>
      <c r="U83" s="228"/>
      <c r="V83" s="228"/>
    </row>
    <row r="84" outlineLevel="1">
      <c r="A84" s="156"/>
      <c r="B84" s="269" t="s">
        <v>225</v>
      </c>
      <c r="C84" s="113">
        <v>30.0</v>
      </c>
      <c r="D84" s="156"/>
      <c r="E84" s="239" t="s">
        <v>176</v>
      </c>
      <c r="F84" s="138">
        <v>2.4</v>
      </c>
      <c r="G84" s="106"/>
      <c r="H84" s="168"/>
      <c r="I84" s="168"/>
      <c r="J84" s="107"/>
      <c r="K84" s="282"/>
      <c r="L84" s="282"/>
      <c r="M84" s="363"/>
      <c r="N84" s="363"/>
      <c r="O84" s="261"/>
      <c r="P84" s="261"/>
      <c r="Q84" s="261"/>
      <c r="R84" s="277"/>
      <c r="S84" s="228"/>
      <c r="T84" s="228"/>
      <c r="U84" s="228"/>
      <c r="V84" s="228"/>
    </row>
    <row r="85" outlineLevel="1">
      <c r="A85" s="278" t="s">
        <v>229</v>
      </c>
      <c r="B85" s="269" t="s">
        <v>227</v>
      </c>
      <c r="C85" s="409"/>
      <c r="D85" s="279">
        <v>49.0</v>
      </c>
      <c r="E85" s="281"/>
      <c r="F85" s="281"/>
      <c r="G85" s="416"/>
      <c r="H85" s="164"/>
      <c r="I85" s="164"/>
      <c r="J85" s="104"/>
      <c r="K85" s="281"/>
      <c r="L85" s="281"/>
      <c r="M85" s="281"/>
      <c r="N85" s="281"/>
      <c r="O85" s="281"/>
      <c r="P85" s="281"/>
      <c r="Q85" s="281"/>
      <c r="R85" s="277"/>
      <c r="S85" s="228"/>
      <c r="T85" s="228"/>
      <c r="U85" s="228"/>
      <c r="V85" s="228"/>
    </row>
    <row r="86" outlineLevel="1">
      <c r="A86" s="156"/>
      <c r="B86" s="269" t="s">
        <v>225</v>
      </c>
      <c r="C86" s="239" t="s">
        <v>876</v>
      </c>
      <c r="D86" s="156"/>
      <c r="E86" s="239" t="s">
        <v>274</v>
      </c>
      <c r="F86" s="138">
        <v>10.799999999999999</v>
      </c>
      <c r="G86" s="106"/>
      <c r="H86" s="168"/>
      <c r="I86" s="168"/>
      <c r="J86" s="107"/>
      <c r="K86" s="282"/>
      <c r="L86" s="282"/>
      <c r="M86" s="363"/>
      <c r="N86" s="363"/>
      <c r="O86" s="261"/>
      <c r="P86" s="261"/>
      <c r="Q86" s="261"/>
      <c r="R86" s="277"/>
      <c r="S86" s="228"/>
      <c r="T86" s="228"/>
      <c r="U86" s="228"/>
      <c r="V86" s="228"/>
    </row>
    <row r="87" outlineLevel="1">
      <c r="A87" s="278" t="s">
        <v>233</v>
      </c>
      <c r="B87" s="269" t="s">
        <v>227</v>
      </c>
      <c r="C87" s="113" t="s">
        <v>295</v>
      </c>
      <c r="D87" s="279">
        <v>35.0</v>
      </c>
      <c r="E87" s="239" t="s">
        <v>204</v>
      </c>
      <c r="F87" s="138">
        <v>3.5999999999999996</v>
      </c>
      <c r="G87" s="416"/>
      <c r="H87" s="164"/>
      <c r="I87" s="164"/>
      <c r="J87" s="104"/>
      <c r="K87" s="282"/>
      <c r="L87" s="282"/>
      <c r="M87" s="363"/>
      <c r="N87" s="363"/>
      <c r="O87" s="145">
        <v>1.0</v>
      </c>
      <c r="P87" s="145">
        <v>1.0</v>
      </c>
      <c r="Q87" s="145">
        <v>1.0</v>
      </c>
      <c r="R87" s="277"/>
      <c r="S87" s="228"/>
      <c r="T87" s="228"/>
      <c r="U87" s="228"/>
      <c r="V87" s="228"/>
    </row>
    <row r="88" outlineLevel="1">
      <c r="A88" s="156"/>
      <c r="B88" s="269" t="s">
        <v>225</v>
      </c>
      <c r="C88" s="113">
        <v>16.0</v>
      </c>
      <c r="D88" s="156"/>
      <c r="E88" s="239" t="s">
        <v>150</v>
      </c>
      <c r="F88" s="138">
        <v>6.0</v>
      </c>
      <c r="G88" s="106"/>
      <c r="H88" s="168"/>
      <c r="I88" s="168"/>
      <c r="J88" s="107"/>
      <c r="K88" s="282"/>
      <c r="L88" s="282"/>
      <c r="M88" s="363"/>
      <c r="N88" s="363"/>
      <c r="O88" s="261"/>
      <c r="P88" s="261"/>
      <c r="Q88" s="261"/>
      <c r="R88" s="277"/>
      <c r="S88" s="117"/>
      <c r="T88" s="117"/>
      <c r="U88" s="117"/>
      <c r="V88" s="117"/>
    </row>
    <row r="89" outlineLevel="1">
      <c r="A89" s="278" t="s">
        <v>234</v>
      </c>
      <c r="B89" s="269" t="s">
        <v>227</v>
      </c>
      <c r="C89" s="409"/>
      <c r="D89" s="279">
        <v>43.0</v>
      </c>
      <c r="E89" s="409"/>
      <c r="F89" s="409"/>
      <c r="G89" s="668" t="s">
        <v>958</v>
      </c>
      <c r="H89" s="164"/>
      <c r="I89" s="164"/>
      <c r="J89" s="104"/>
      <c r="K89" s="409"/>
      <c r="L89" s="409"/>
      <c r="M89" s="409"/>
      <c r="N89" s="409"/>
      <c r="O89" s="409"/>
      <c r="P89" s="409"/>
      <c r="Q89" s="409"/>
      <c r="R89" s="277"/>
      <c r="S89" s="117"/>
      <c r="T89" s="117"/>
      <c r="U89" s="117"/>
      <c r="V89" s="117"/>
    </row>
    <row r="90" outlineLevel="1">
      <c r="A90" s="156"/>
      <c r="B90" s="269" t="s">
        <v>225</v>
      </c>
      <c r="C90" s="113">
        <v>21.0</v>
      </c>
      <c r="D90" s="156"/>
      <c r="E90" s="239" t="s">
        <v>150</v>
      </c>
      <c r="F90" s="138">
        <v>6.0</v>
      </c>
      <c r="G90" s="106"/>
      <c r="H90" s="168"/>
      <c r="I90" s="168"/>
      <c r="J90" s="107"/>
      <c r="K90" s="282"/>
      <c r="L90" s="282"/>
      <c r="M90" s="363"/>
      <c r="N90" s="363"/>
      <c r="O90" s="261"/>
      <c r="P90" s="281"/>
      <c r="Q90" s="261"/>
      <c r="R90" s="277"/>
      <c r="S90" s="117"/>
      <c r="T90" s="117"/>
      <c r="U90" s="117"/>
      <c r="V90" s="117"/>
    </row>
    <row r="91">
      <c r="A91" s="223"/>
      <c r="B91" s="224"/>
      <c r="C91" s="225"/>
      <c r="D91" s="225"/>
      <c r="E91" s="227"/>
      <c r="F91" s="177"/>
      <c r="G91" s="177"/>
      <c r="H91" s="227"/>
      <c r="I91" s="227"/>
      <c r="J91" s="228"/>
      <c r="K91" s="228"/>
      <c r="L91" s="111"/>
      <c r="M91" s="111"/>
      <c r="N91" s="111"/>
      <c r="O91" s="117"/>
      <c r="P91" s="117"/>
      <c r="Q91" s="111"/>
      <c r="R91" s="111"/>
      <c r="S91" s="111"/>
      <c r="T91" s="111"/>
      <c r="U91" s="111"/>
      <c r="V91" s="111"/>
    </row>
    <row r="92">
      <c r="A92" s="284" t="s">
        <v>241</v>
      </c>
      <c r="B92" s="104"/>
      <c r="C92" s="265"/>
      <c r="D92" s="111"/>
      <c r="E92" s="111"/>
      <c r="F92" s="111"/>
      <c r="G92" s="111"/>
      <c r="H92" s="111"/>
      <c r="I92" s="111"/>
      <c r="J92" s="118"/>
      <c r="K92" s="111"/>
      <c r="L92" s="111"/>
      <c r="M92" s="111"/>
      <c r="N92" s="111"/>
      <c r="O92" s="111"/>
      <c r="P92" s="111"/>
      <c r="Q92" s="118"/>
      <c r="R92" s="111"/>
      <c r="S92" s="111"/>
      <c r="T92" s="111"/>
      <c r="U92" s="111"/>
      <c r="V92" s="111"/>
    </row>
    <row r="93" outlineLevel="1">
      <c r="A93" s="106"/>
      <c r="B93" s="107"/>
      <c r="C93" s="285" t="s">
        <v>235</v>
      </c>
      <c r="D93" s="285" t="s">
        <v>236</v>
      </c>
      <c r="E93" s="285" t="s">
        <v>49</v>
      </c>
      <c r="F93" s="285" t="s">
        <v>237</v>
      </c>
      <c r="G93" s="286"/>
      <c r="H93" s="227"/>
      <c r="I93" s="227"/>
      <c r="J93" s="228"/>
      <c r="K93" s="228"/>
      <c r="L93" s="111"/>
      <c r="M93" s="111"/>
      <c r="N93" s="111"/>
      <c r="O93" s="111"/>
      <c r="P93" s="111"/>
      <c r="Q93" s="111"/>
      <c r="R93" s="111"/>
      <c r="S93" s="111"/>
      <c r="T93" s="111"/>
      <c r="U93" s="111"/>
      <c r="V93" s="111"/>
    </row>
    <row r="94" outlineLevel="1">
      <c r="A94" s="287" t="s">
        <v>395</v>
      </c>
      <c r="B94" s="288" t="s">
        <v>216</v>
      </c>
      <c r="C94" s="113" t="str">
        <f t="array" ref="C94">INDEX('回避'!$C$3:$U$84, MATCH($A$1,'回避'!$A$3:$A$91,0), MATCH(C93,'回避'!$C$2:$F$2,0))</f>
        <v>3-16</v>
      </c>
      <c r="D94" s="113" t="str">
        <f t="array" ref="D94">INDEX('回避'!$C$3:$U$84, MATCH($A$1,'回避'!$A$3:$A$91,0), MATCH(D93,'回避'!$C$2:$F$2,0))</f>
        <v>6-16</v>
      </c>
      <c r="E94" s="113" t="str">
        <f t="array" ref="E94">INDEX('回避'!$C$3:$U$84, MATCH($A$1,'回避'!$A$3:$A$91,0), MATCH(E93,'回避'!$C$2:$F$2,0))</f>
        <v>24 (19)</v>
      </c>
      <c r="F94" s="113" t="str">
        <f t="array" ref="F94">INDEX('回避'!$C$3:$U$84, MATCH($A$1,'回避'!$A$3:$A$91,0), MATCH(F93,'回避'!$C$2:$F$2,0))</f>
        <v>32 (25)</v>
      </c>
      <c r="G94" s="272"/>
      <c r="H94" s="227"/>
      <c r="I94" s="227"/>
      <c r="J94" s="228"/>
      <c r="K94" s="228"/>
      <c r="L94" s="228"/>
      <c r="M94" s="111"/>
      <c r="N94" s="111"/>
      <c r="O94" s="111"/>
      <c r="P94" s="111"/>
      <c r="Q94" s="111"/>
      <c r="R94" s="111"/>
      <c r="S94" s="111"/>
      <c r="T94" s="111"/>
      <c r="U94" s="111"/>
      <c r="V94" s="111"/>
    </row>
    <row r="95" outlineLevel="1">
      <c r="A95" s="212"/>
      <c r="B95" s="288" t="s">
        <v>245</v>
      </c>
      <c r="C95" s="113" t="str">
        <f t="array" ref="C95">INDEX('回避'!$G$3:$U$84, MATCH($A$1,'回避'!$A$3:$A$91,0), MATCH(C93,'回避'!$G$2:$J$2,0))</f>
        <v>4-14</v>
      </c>
      <c r="D95" s="113" t="str">
        <f t="array" ref="D95">INDEX('回避'!$G$3:$U$84, MATCH($A$1,'回避'!$A$3:$A$91,0), MATCH(D93,'回避'!$G$2:$J$2,0))</f>
        <v>8-14</v>
      </c>
      <c r="E95" s="113" t="str">
        <f t="array" ref="E95">INDEX('回避'!$G$3:$U$84, MATCH($A$1,'回避'!$A$3:$A$91,0), MATCH(E93,'回避'!$G$2:$J$2,0))</f>
        <v>28</v>
      </c>
      <c r="F95" s="113">
        <f t="array" ref="F95">INDEX('回避'!$G$3:$U$84, MATCH($A$1,'回避'!$A$3:$A$91,0), MATCH(F93,'回避'!$G$2:$J$2,0))</f>
        <v>37</v>
      </c>
      <c r="G95" s="289"/>
      <c r="H95" s="227"/>
      <c r="I95" s="227"/>
      <c r="J95" s="228"/>
      <c r="K95" s="228"/>
      <c r="L95" s="228"/>
      <c r="M95" s="228"/>
      <c r="N95" s="228"/>
      <c r="O95" s="111"/>
      <c r="P95" s="111"/>
      <c r="Q95" s="111"/>
      <c r="R95" s="111"/>
      <c r="S95" s="111"/>
      <c r="T95" s="111"/>
      <c r="U95" s="111"/>
      <c r="V95" s="111"/>
    </row>
    <row r="96" outlineLevel="1">
      <c r="A96" s="106"/>
      <c r="B96" s="288" t="s">
        <v>246</v>
      </c>
      <c r="C96" s="113" t="str">
        <f t="array" ref="C96">INDEX('回避'!$K$3:$U$84, MATCH($A$1,'回避'!$A$3:$A$91,0), MATCH(C93,'回避'!$K$2:$N$2,0))</f>
        <v>4-15</v>
      </c>
      <c r="D96" s="113" t="str">
        <f t="array" ref="D96">INDEX('回避'!$K$3:$U$84, MATCH($A$1,'回避'!$A$3:$A$91,0), MATCH(D93,'回避'!$K$2:$N$2,0))</f>
        <v>8-13</v>
      </c>
      <c r="E96" s="113" t="str">
        <f t="array" ref="E96">INDEX('回避'!$K$3:$U$84, MATCH($A$1,'回避'!$A$3:$A$91,0), MATCH(E93,'回避'!$K$2:$N$2,0))</f>
        <v>33</v>
      </c>
      <c r="F96" s="113" t="str">
        <f t="array" ref="F96">INDEX('回避'!$K$3:$U$84, MATCH($A$1,'回避'!$A$3:$A$91,0), MATCH(F93,'回避'!$K$2:$N$2,0))</f>
        <v>50</v>
      </c>
      <c r="G96" s="289"/>
      <c r="H96" s="290"/>
      <c r="I96" s="290"/>
      <c r="J96" s="117"/>
      <c r="K96" s="117"/>
      <c r="L96" s="117"/>
      <c r="M96" s="117"/>
      <c r="N96" s="117"/>
      <c r="O96" s="111"/>
      <c r="P96" s="111"/>
      <c r="Q96" s="111"/>
      <c r="R96" s="111"/>
      <c r="S96" s="111"/>
      <c r="T96" s="111"/>
      <c r="U96" s="111"/>
      <c r="V96" s="111"/>
    </row>
    <row r="97" outlineLevel="1">
      <c r="A97" s="287" t="s">
        <v>396</v>
      </c>
      <c r="B97" s="288" t="s">
        <v>397</v>
      </c>
      <c r="C97" s="113" t="str">
        <f t="array" ref="C97">INDEX('回避'!$O$3:$U$84, MATCH($A$1,'回避'!$A$3:$A$91,0), MATCH(C93,'回避'!$O$2:$R$2,0))</f>
        <v>2-26</v>
      </c>
      <c r="D97" s="113" t="str">
        <f t="array" ref="D97">INDEX('回避'!$O$3:$U$84, MATCH($A$1,'回避'!$A$3:$A$91,0), MATCH(D93,'回避'!$O$2:$R$2,0))</f>
        <v>5-24</v>
      </c>
      <c r="E97" s="113" t="str">
        <f t="array" ref="E97">INDEX('回避'!$O$3:$U$84, MATCH($A$1,'回避'!$A$3:$A$91,0), MATCH(E93,'回避'!$O$2:$R$2,0))</f>
        <v>50</v>
      </c>
      <c r="F97" s="177"/>
      <c r="G97" s="177"/>
      <c r="H97" s="118"/>
      <c r="I97" s="118"/>
      <c r="J97" s="111"/>
      <c r="K97" s="111"/>
      <c r="L97" s="111"/>
      <c r="M97" s="111"/>
      <c r="N97" s="111"/>
      <c r="O97" s="228"/>
      <c r="P97" s="228"/>
      <c r="Q97" s="228"/>
      <c r="R97" s="228"/>
      <c r="S97" s="228"/>
      <c r="T97" s="228"/>
      <c r="U97" s="228"/>
      <c r="V97" s="228"/>
    </row>
    <row r="98" outlineLevel="1">
      <c r="A98" s="106"/>
      <c r="B98" s="288" t="s">
        <v>398</v>
      </c>
      <c r="C98" s="113" t="str">
        <f t="array" ref="C98">INDEX('回避'!$S$3:$U$84, MATCH($A$1,'回避'!$A$3:$A$91,0), MATCH(C93,'回避'!$S$2:$U$2,0))</f>
        <v>2-19</v>
      </c>
      <c r="D98" s="113" t="str">
        <f t="array" ref="D98">INDEX('回避'!$S$3:$U$84, MATCH($A$1,'回避'!$A$3:$A$91,0), MATCH(D93,'回避'!$S$2:$U$2,0))</f>
        <v>5-18</v>
      </c>
      <c r="E98" s="113" t="str">
        <f t="array" ref="E98">INDEX('回避'!$S$3:$U$84, MATCH($A$1,'回避'!$A$3:$A$91,0), MATCH(E93,'回避'!$S$2:$U$2,0))</f>
        <v>真横：85
真上：109
真下：69</v>
      </c>
      <c r="F98" s="289"/>
      <c r="G98" s="289"/>
      <c r="H98" s="118"/>
      <c r="I98" s="118"/>
      <c r="J98" s="117"/>
      <c r="K98" s="117"/>
      <c r="L98" s="117"/>
      <c r="M98" s="117"/>
      <c r="N98" s="111"/>
      <c r="O98" s="118"/>
      <c r="P98" s="118"/>
      <c r="Q98" s="118"/>
      <c r="R98" s="118"/>
      <c r="S98" s="118"/>
      <c r="T98" s="118"/>
      <c r="U98" s="118"/>
      <c r="V98" s="118"/>
    </row>
    <row r="99">
      <c r="A99" s="291"/>
      <c r="B99" s="292"/>
      <c r="C99" s="286"/>
      <c r="D99" s="286"/>
      <c r="E99" s="293"/>
      <c r="F99" s="286"/>
      <c r="G99" s="286"/>
      <c r="H99" s="286"/>
      <c r="I99" s="286"/>
      <c r="J99" s="111"/>
      <c r="K99" s="227"/>
      <c r="L99" s="227"/>
      <c r="M99" s="227"/>
      <c r="N99" s="227"/>
      <c r="O99" s="118"/>
      <c r="P99" s="118"/>
      <c r="Q99" s="118"/>
      <c r="R99" s="118"/>
      <c r="S99" s="118"/>
      <c r="T99" s="118"/>
      <c r="U99" s="118"/>
      <c r="V99" s="118"/>
    </row>
    <row r="100">
      <c r="A100" s="294" t="s">
        <v>238</v>
      </c>
      <c r="B100" s="104"/>
      <c r="C100" s="228"/>
      <c r="D100" s="117"/>
      <c r="E100" s="228"/>
      <c r="F100" s="114"/>
      <c r="G100" s="114"/>
      <c r="H100" s="117"/>
      <c r="I100" s="117"/>
      <c r="J100" s="118"/>
      <c r="K100" s="118"/>
      <c r="L100" s="118"/>
      <c r="M100" s="118"/>
      <c r="N100" s="118"/>
      <c r="O100" s="118"/>
      <c r="P100" s="118"/>
      <c r="Q100" s="118"/>
      <c r="R100" s="118"/>
      <c r="S100" s="118"/>
      <c r="T100" s="118"/>
      <c r="U100" s="118"/>
      <c r="V100" s="118"/>
    </row>
    <row r="101" outlineLevel="1">
      <c r="A101" s="106"/>
      <c r="B101" s="107"/>
      <c r="C101" s="295" t="s">
        <v>235</v>
      </c>
      <c r="D101" s="295" t="s">
        <v>49</v>
      </c>
      <c r="E101" s="295" t="s">
        <v>48</v>
      </c>
      <c r="F101" s="295" t="s">
        <v>50</v>
      </c>
      <c r="G101" s="296" t="s">
        <v>51</v>
      </c>
      <c r="H101" s="228"/>
      <c r="I101" s="228"/>
      <c r="J101" s="117"/>
      <c r="K101" s="297" t="str">
        <f>'テンプレート'!K116</f>
        <v>アイテム取得</v>
      </c>
      <c r="L101" s="109"/>
      <c r="M101" s="298" t="str">
        <f>'テンプレート'!M116</f>
        <v>取得フレーム</v>
      </c>
      <c r="N101" s="298" t="str">
        <f>'テンプレート'!N116</f>
        <v>全体フレーム</v>
      </c>
      <c r="O101" s="118"/>
      <c r="P101" s="118"/>
      <c r="Q101" s="118"/>
      <c r="R101" s="118"/>
      <c r="S101" s="118"/>
      <c r="T101" s="118"/>
      <c r="U101" s="118"/>
      <c r="V101" s="118"/>
    </row>
    <row r="102" outlineLevel="1">
      <c r="A102" s="299" t="s">
        <v>239</v>
      </c>
      <c r="B102" s="300" t="s">
        <v>240</v>
      </c>
      <c r="C102" s="301"/>
      <c r="D102" s="113">
        <f t="array" ref="D102">INDEX('崖行動・受け身'!$C$3:$C107, MATCH($A$1,'崖行動・受け身'!$A$3:$A$115,0), MATCH(D101,'崖行動・受け身'!$C$2,0))</f>
        <v>19</v>
      </c>
      <c r="E102" s="301"/>
      <c r="F102" s="301"/>
      <c r="G102" s="301"/>
      <c r="H102" s="228"/>
      <c r="I102" s="228"/>
      <c r="J102" s="111"/>
      <c r="K102" s="302" t="str">
        <f>'テンプレート'!K117</f>
        <v>小アイテム</v>
      </c>
      <c r="L102" s="303" t="str">
        <f>'テンプレート'!L117</f>
        <v>その場</v>
      </c>
      <c r="M102" s="113" t="s">
        <v>76</v>
      </c>
      <c r="N102" s="113">
        <v>7.0</v>
      </c>
      <c r="O102" s="118"/>
      <c r="P102" s="118"/>
      <c r="Q102" s="118"/>
      <c r="R102" s="118"/>
      <c r="S102" s="118"/>
      <c r="T102" s="118"/>
      <c r="U102" s="118"/>
      <c r="V102" s="118"/>
    </row>
    <row r="103" outlineLevel="1">
      <c r="A103" s="146"/>
      <c r="B103" s="300" t="s">
        <v>216</v>
      </c>
      <c r="C103" s="113" t="str">
        <f t="array" ref="C103">INDEX('崖行動・受け身'!$D$3:$E107, MATCH($A$1,'崖行動・受け身'!$A$3:$A$115,0), MATCH(C101,'崖行動・受け身'!$D$2:$E$2,0))</f>
        <v>1-31</v>
      </c>
      <c r="D103" s="113">
        <f t="array" ref="D103">INDEX('崖行動・受け身'!$D$3:$E107, MATCH($A$1,'崖行動・受け身'!$A$3:$A$115,0), MATCH(D101,'崖行動・受け身'!$D$2:$E$2,0))</f>
        <v>32</v>
      </c>
      <c r="E103" s="301"/>
      <c r="F103" s="301"/>
      <c r="G103" s="301"/>
      <c r="H103" s="228"/>
      <c r="I103" s="228"/>
      <c r="J103" s="117"/>
      <c r="K103" s="156"/>
      <c r="L103" s="303" t="str">
        <f>'テンプレート'!L118</f>
        <v>歩き</v>
      </c>
      <c r="M103" s="113" t="s">
        <v>76</v>
      </c>
      <c r="N103" s="113">
        <v>19.0</v>
      </c>
      <c r="O103" s="118"/>
      <c r="P103" s="118"/>
      <c r="Q103" s="118"/>
      <c r="R103" s="118"/>
      <c r="S103" s="118"/>
      <c r="T103" s="118"/>
      <c r="U103" s="118"/>
      <c r="V103" s="118"/>
    </row>
    <row r="104" outlineLevel="1">
      <c r="A104" s="146"/>
      <c r="B104" s="300" t="s">
        <v>241</v>
      </c>
      <c r="C104" s="113" t="str">
        <f t="array" ref="C104">INDEX('崖行動・受け身'!$F$3:$G$115, MATCH($A$1,'崖行動・受け身'!$A$3:$A$115,0), MATCH(C101,'崖行動・受け身'!$F$2:$G$2,0))</f>
        <v>1-24</v>
      </c>
      <c r="D104" s="113">
        <f t="array" ref="D104">INDEX('崖行動・受け身'!$F$3:$G$115, MATCH($A$1,'崖行動・受け身'!$A$3:$A$115,0), MATCH(D101,'崖行動・受け身'!$F$2:$G$2,0))</f>
        <v>45</v>
      </c>
      <c r="E104" s="301"/>
      <c r="F104" s="301"/>
      <c r="G104" s="301"/>
      <c r="H104" s="228"/>
      <c r="I104" s="228"/>
      <c r="J104" s="111"/>
      <c r="K104" s="304" t="str">
        <f>'テンプレート'!K119</f>
        <v>アイテム投擲</v>
      </c>
      <c r="L104" s="109"/>
      <c r="M104" s="298" t="str">
        <f>'テンプレート'!M119</f>
        <v>投擲フレーム</v>
      </c>
      <c r="N104" s="298" t="str">
        <f>'テンプレート'!N119</f>
        <v>全体フレーム</v>
      </c>
      <c r="O104" s="118"/>
      <c r="P104" s="118"/>
      <c r="Q104" s="118"/>
      <c r="R104" s="118"/>
      <c r="S104" s="118"/>
      <c r="T104" s="118"/>
      <c r="U104" s="118"/>
      <c r="V104" s="118"/>
    </row>
    <row r="105" outlineLevel="1">
      <c r="A105" s="146"/>
      <c r="B105" s="300" t="s">
        <v>242</v>
      </c>
      <c r="C105" s="113" t="str">
        <f t="array" ref="C105">INDEX('崖行動・受け身'!$H$3:$I$115, MATCH($A$1,'崖行動・受け身'!$A$3:$A$115,0), MATCH(C101,'崖行動・受け身'!$H$2:$I$2,0))</f>
        <v>1-11</v>
      </c>
      <c r="D105" s="113">
        <f t="array" ref="D105">INDEX('崖行動・受け身'!$H$3:$I$115, MATCH($A$1,'崖行動・受け身'!$A$3:$A$115,0), MATCH(D101,'崖行動・受け身'!$H$2:$I$2,0))</f>
        <v>13</v>
      </c>
      <c r="E105" s="301"/>
      <c r="F105" s="301"/>
      <c r="G105" s="301"/>
      <c r="H105" s="228"/>
      <c r="I105" s="228"/>
      <c r="J105" s="117"/>
      <c r="K105" s="305" t="str">
        <f>'テンプレート'!K120</f>
        <v>地上投擲</v>
      </c>
      <c r="L105" s="303" t="str">
        <f>'テンプレート'!L120</f>
        <v>前投げ</v>
      </c>
      <c r="M105" s="113" t="s">
        <v>129</v>
      </c>
      <c r="N105" s="113">
        <v>28.0</v>
      </c>
      <c r="O105" s="111"/>
      <c r="P105" s="111"/>
      <c r="Q105" s="111"/>
      <c r="R105" s="111"/>
      <c r="S105" s="111"/>
      <c r="T105" s="111"/>
      <c r="U105" s="111"/>
      <c r="V105" s="111"/>
    </row>
    <row r="106" outlineLevel="1">
      <c r="A106" s="156"/>
      <c r="B106" s="300" t="s">
        <v>243</v>
      </c>
      <c r="C106" s="113" t="str">
        <f t="array" ref="C106">INDEX('崖行動・受け身'!$J$3:$M$115, MATCH($A$1,'崖行動・受け身'!$A$3:$A$115,0), MATCH(C101,'崖行動・受け身'!$J$2:$M$2,0))</f>
        <v>1-25</v>
      </c>
      <c r="D106" s="113">
        <f t="array" ref="D106">INDEX('崖行動・受け身'!$J$3:$M$115, MATCH($A$1,'崖行動・受け身'!$A$3:$A$115,0), MATCH(D101,'崖行動・受け身'!$J$2:$M$2,0))</f>
        <v>55</v>
      </c>
      <c r="E106" s="113" t="str">
        <f t="array" ref="E106">INDEX('崖行動・受け身'!$J$3:$M$115, MATCH($A$1,'崖行動・受け身'!$A$3:$A$115,0), MATCH(E101,'崖行動・受け身'!$J$2:$M$2,0))</f>
        <v>23-25</v>
      </c>
      <c r="F106" s="113">
        <f t="array" ref="F106">INDEX('崖行動・受け身'!$J$3:$M$115, MATCH($A$1,'崖行動・受け身'!$A$3:$A$115,0), MATCH(F101,'崖行動・受け身'!$J$2:$M$2,0))</f>
        <v>9</v>
      </c>
      <c r="G106" s="113">
        <f>F106*1.2</f>
        <v>10.8</v>
      </c>
      <c r="H106" s="228"/>
      <c r="I106" s="228"/>
      <c r="J106" s="111"/>
      <c r="K106" s="146"/>
      <c r="L106" s="303" t="str">
        <f>'テンプレート'!L121</f>
        <v>後投げ</v>
      </c>
      <c r="M106" s="113" t="s">
        <v>119</v>
      </c>
      <c r="N106" s="113">
        <v>28.0</v>
      </c>
      <c r="O106" s="111"/>
      <c r="P106" s="111"/>
      <c r="Q106" s="111"/>
      <c r="R106" s="111"/>
      <c r="S106" s="111"/>
      <c r="T106" s="111"/>
      <c r="U106" s="111"/>
      <c r="V106" s="111"/>
    </row>
    <row r="107" outlineLevel="1">
      <c r="A107" s="299" t="s">
        <v>244</v>
      </c>
      <c r="B107" s="300" t="s">
        <v>216</v>
      </c>
      <c r="C107" s="113" t="str">
        <f t="array" ref="C107">INDEX('崖行動・受け身'!$N$3:$O$115, MATCH($A$1,'崖行動・受け身'!$A$3:$A$115,0), MATCH(C101,'崖行動・受け身'!$N$2:$O$2,0))</f>
        <v>1-20</v>
      </c>
      <c r="D107" s="113">
        <f t="array" ref="D107">INDEX('崖行動・受け身'!$N$3:$O$115, MATCH($A$1,'崖行動・受け身'!$A$3:$A$115,0), MATCH(D101,'崖行動・受け身'!$N$2:$O$2,0))</f>
        <v>26</v>
      </c>
      <c r="E107" s="301"/>
      <c r="F107" s="301"/>
      <c r="G107" s="301"/>
      <c r="H107" s="228"/>
      <c r="I107" s="228"/>
      <c r="J107" s="117"/>
      <c r="K107" s="146"/>
      <c r="L107" s="303" t="str">
        <f>'テンプレート'!L122</f>
        <v>上投げ</v>
      </c>
      <c r="M107" s="113" t="s">
        <v>386</v>
      </c>
      <c r="N107" s="113">
        <v>28.0</v>
      </c>
      <c r="O107" s="228"/>
      <c r="P107" s="228"/>
      <c r="Q107" s="228"/>
      <c r="R107" s="228"/>
      <c r="S107" s="228"/>
      <c r="T107" s="228"/>
      <c r="U107" s="228"/>
      <c r="V107" s="228"/>
    </row>
    <row r="108" outlineLevel="1">
      <c r="A108" s="146"/>
      <c r="B108" s="300" t="s">
        <v>245</v>
      </c>
      <c r="C108" s="113" t="str">
        <f t="array" ref="C108">INDEX('崖行動・受け身'!$P$3:$Q$115, MATCH($A$1,'崖行動・受け身'!$A$3:$A$115,0), MATCH(C101,'崖行動・受け身'!$P$2:$Q$2,0))</f>
        <v>1-20</v>
      </c>
      <c r="D108" s="113">
        <f t="array" ref="D108">INDEX('崖行動・受け身'!$P$3:$Q$115, MATCH($A$1,'崖行動・受け身'!$A$3:$A$115,0), MATCH(D101,'崖行動・受け身'!$P$2:$Q$2,0))</f>
        <v>40</v>
      </c>
      <c r="E108" s="301"/>
      <c r="F108" s="301"/>
      <c r="G108" s="301"/>
      <c r="H108" s="228"/>
      <c r="I108" s="228"/>
      <c r="J108" s="111"/>
      <c r="K108" s="146"/>
      <c r="L108" s="303" t="str">
        <f>'テンプレート'!L123</f>
        <v>下投げ</v>
      </c>
      <c r="M108" s="113" t="s">
        <v>80</v>
      </c>
      <c r="N108" s="113">
        <v>21.0</v>
      </c>
      <c r="O108" s="118"/>
      <c r="P108" s="118"/>
      <c r="Q108" s="118"/>
      <c r="R108" s="118"/>
      <c r="S108" s="118"/>
      <c r="T108" s="118"/>
      <c r="U108" s="118"/>
      <c r="V108" s="118"/>
    </row>
    <row r="109" outlineLevel="1">
      <c r="A109" s="156"/>
      <c r="B109" s="300" t="s">
        <v>246</v>
      </c>
      <c r="C109" s="113" t="str">
        <f t="array" ref="C109">INDEX('崖行動・受け身'!$R$3:$S$115, MATCH($A$1,'崖行動・受け身'!$A$3:$A$115,0), MATCH(C101,'崖行動・受け身'!$R$2:$S$2,0))</f>
        <v>1-20</v>
      </c>
      <c r="D109" s="113">
        <f t="array" ref="D109">INDEX('崖行動・受け身'!$R$3:$S$115, MATCH($A$1,'崖行動・受け身'!$A$3:$A$115,0), MATCH(D101,'崖行動・受け身'!$R$2:$S$2,0))</f>
        <v>40</v>
      </c>
      <c r="E109" s="301"/>
      <c r="F109" s="301"/>
      <c r="G109" s="301"/>
      <c r="H109" s="228"/>
      <c r="I109" s="228"/>
      <c r="J109" s="117"/>
      <c r="K109" s="146"/>
      <c r="L109" s="306" t="str">
        <f>'テンプレート'!L124</f>
        <v>ダッシュ</v>
      </c>
      <c r="M109" s="113" t="s">
        <v>150</v>
      </c>
      <c r="N109" s="113">
        <v>38.0</v>
      </c>
      <c r="O109" s="118"/>
      <c r="P109" s="118"/>
      <c r="Q109" s="118"/>
      <c r="R109" s="118"/>
      <c r="S109" s="118"/>
      <c r="T109" s="118"/>
      <c r="U109" s="118"/>
      <c r="V109" s="118"/>
    </row>
    <row r="110" outlineLevel="1">
      <c r="A110" s="299" t="s">
        <v>247</v>
      </c>
      <c r="B110" s="300" t="s">
        <v>248</v>
      </c>
      <c r="C110" s="301"/>
      <c r="D110" s="113" t="str">
        <f t="array" ref="D110">INDEX('起きあがり'!$C$3:$C107, MATCH($A$1,'起きあがり'!$A$3:$A$115,0), MATCH(D101,'起きあがり'!$C$2:$AD$2,0))</f>
        <v>25</v>
      </c>
      <c r="E110" s="301"/>
      <c r="F110" s="301"/>
      <c r="G110" s="301"/>
      <c r="H110" s="228"/>
      <c r="I110" s="228"/>
      <c r="J110" s="111"/>
      <c r="K110" s="156"/>
      <c r="L110" s="306" t="str">
        <f>'テンプレート'!L125</f>
        <v>その場捨て</v>
      </c>
      <c r="M110" s="113" t="s">
        <v>93</v>
      </c>
      <c r="N110" s="113">
        <v>23.0</v>
      </c>
      <c r="O110" s="118"/>
      <c r="P110" s="118"/>
      <c r="Q110" s="118"/>
      <c r="R110" s="118"/>
      <c r="S110" s="118"/>
      <c r="T110" s="118"/>
      <c r="U110" s="118"/>
      <c r="V110" s="118"/>
    </row>
    <row r="111" outlineLevel="1">
      <c r="A111" s="146"/>
      <c r="B111" s="300" t="s">
        <v>216</v>
      </c>
      <c r="C111" s="307" t="str">
        <f t="array" ref="C111">INDEX('起きあがり'!$D$3:$E107, MATCH($A$1,'起きあがり'!$A$3:$A$115,0), MATCH(C101,'起きあがり'!$D$2:$AD$2,0))</f>
        <v>1-22</v>
      </c>
      <c r="D111" s="308">
        <f t="array" ref="D111">INDEX('起きあがり'!$D$3:$E107, MATCH($A$1,'起きあがり'!$A$3:$A$115,0), MATCH(D101,'起きあがり'!$D$2:$AD$2,0))</f>
        <v>29</v>
      </c>
      <c r="E111" s="301"/>
      <c r="F111" s="301"/>
      <c r="G111" s="301"/>
      <c r="H111" s="228"/>
      <c r="I111" s="228"/>
      <c r="J111" s="117"/>
      <c r="K111" s="305" t="str">
        <f>'テンプレート'!K126</f>
        <v>空中投擲</v>
      </c>
      <c r="L111" s="303" t="str">
        <f>'テンプレート'!L126</f>
        <v>前投げ</v>
      </c>
      <c r="M111" s="113" t="s">
        <v>128</v>
      </c>
      <c r="N111" s="113">
        <v>29.0</v>
      </c>
      <c r="O111" s="118"/>
      <c r="P111" s="118"/>
      <c r="Q111" s="118"/>
      <c r="R111" s="118"/>
      <c r="S111" s="118"/>
      <c r="T111" s="118"/>
      <c r="U111" s="118"/>
      <c r="V111" s="118"/>
    </row>
    <row r="112" outlineLevel="1">
      <c r="A112" s="146"/>
      <c r="B112" s="300" t="s">
        <v>245</v>
      </c>
      <c r="C112" s="307" t="str">
        <f t="array" ref="C112">INDEX('起きあがり'!$F$3:$G$115, MATCH($A$1,'起きあがり'!$A$3:$A$115,0), MATCH(C101,'起きあがり'!$F$2:$AD$2,0))</f>
        <v>1-14</v>
      </c>
      <c r="D112" s="308">
        <f t="array" ref="D112">INDEX('起きあがり'!$F$3:$G$115, MATCH($A$1,'起きあがり'!$A$3:$A$115,0), MATCH(D101,'起きあがり'!$F$2:$AD$2,0))</f>
        <v>35</v>
      </c>
      <c r="E112" s="301"/>
      <c r="F112" s="301"/>
      <c r="G112" s="301"/>
      <c r="H112" s="228"/>
      <c r="I112" s="228"/>
      <c r="J112" s="111"/>
      <c r="K112" s="146"/>
      <c r="L112" s="303" t="str">
        <f>'テンプレート'!L127</f>
        <v>後投げ</v>
      </c>
      <c r="M112" s="113" t="s">
        <v>119</v>
      </c>
      <c r="N112" s="113">
        <v>29.0</v>
      </c>
      <c r="O112" s="118"/>
      <c r="P112" s="118"/>
      <c r="Q112" s="118"/>
      <c r="R112" s="118"/>
      <c r="S112" s="118"/>
      <c r="T112" s="118"/>
      <c r="U112" s="118"/>
      <c r="V112" s="118"/>
    </row>
    <row r="113" outlineLevel="1">
      <c r="A113" s="146"/>
      <c r="B113" s="300" t="s">
        <v>246</v>
      </c>
      <c r="C113" s="113" t="str">
        <f t="array" ref="C113">INDEX('起きあがり'!$H$3:$I$115, MATCH($A$1,'起きあがり'!$A$3:$A$115,0), MATCH(C101,'起きあがり'!$H$2:$AD$2,0))</f>
        <v>1-19</v>
      </c>
      <c r="D113" s="113">
        <f t="array" ref="D113">INDEX('起きあがり'!$H$3:$I$115, MATCH($A$1,'起きあがり'!$A$3:$A$115,0), MATCH(D101,'起きあがり'!$H$2:$AD$2,0))</f>
        <v>35</v>
      </c>
      <c r="E113" s="301"/>
      <c r="F113" s="301"/>
      <c r="G113" s="301"/>
      <c r="H113" s="228"/>
      <c r="I113" s="228"/>
      <c r="J113" s="117"/>
      <c r="K113" s="146"/>
      <c r="L113" s="303" t="str">
        <f>'テンプレート'!L128</f>
        <v>上投げ</v>
      </c>
      <c r="M113" s="113" t="s">
        <v>119</v>
      </c>
      <c r="N113" s="113">
        <v>29.0</v>
      </c>
      <c r="O113" s="118"/>
      <c r="P113" s="118"/>
      <c r="Q113" s="118"/>
      <c r="R113" s="118"/>
      <c r="S113" s="118"/>
      <c r="T113" s="118"/>
      <c r="U113" s="118"/>
      <c r="V113" s="118"/>
    </row>
    <row r="114" outlineLevel="1">
      <c r="A114" s="146"/>
      <c r="B114" s="300" t="s">
        <v>249</v>
      </c>
      <c r="C114" s="309" t="str">
        <f t="array" ref="C114">INDEX('起きあがり'!$J$3:$M$115, MATCH($A$1,'起きあがり'!$A$3:$A$115,0), MATCH(C101,'起きあがり'!$J$2:$AD$2,0))</f>
        <v>1-22</v>
      </c>
      <c r="D114" s="310">
        <f t="array" ref="D114">INDEX('起きあがり'!$J$3:$M$115, MATCH($A$1,'起きあがり'!$A$3:$A$115,0), MATCH(D101,'起きあがり'!$J$2:$AD$2,0))</f>
        <v>45</v>
      </c>
      <c r="E114" s="307" t="str">
        <f t="array" ref="E114">INDEX('起きあがり'!$J$3:$M$115, MATCH($A$1,'起きあがり'!$A$3:$A$115,0), MATCH(E101,'起きあがり'!$J$2:$AD$2,0))</f>
        <v>16-17</v>
      </c>
      <c r="F114" s="308">
        <f t="array" ref="F114">INDEX('起きあがり'!$J$3:$M$115, MATCH($A$1,'起きあがり'!$A$3:$A$115,0), MATCH(F101,'起きあがり'!$J$2:$AD$2,0))</f>
        <v>7</v>
      </c>
      <c r="G114" s="113">
        <f t="shared" ref="G114:G115" si="1">F114*1.2</f>
        <v>8.4</v>
      </c>
      <c r="H114" s="228"/>
      <c r="I114" s="228"/>
      <c r="J114" s="111"/>
      <c r="K114" s="156"/>
      <c r="L114" s="303" t="str">
        <f>'テンプレート'!L129</f>
        <v>下投げ</v>
      </c>
      <c r="M114" s="113" t="s">
        <v>80</v>
      </c>
      <c r="N114" s="113">
        <v>21.0</v>
      </c>
      <c r="O114" s="111"/>
      <c r="P114" s="111"/>
      <c r="Q114" s="111"/>
      <c r="R114" s="111"/>
      <c r="S114" s="111"/>
      <c r="T114" s="111"/>
      <c r="U114" s="111"/>
      <c r="V114" s="111"/>
    </row>
    <row r="115" outlineLevel="1">
      <c r="A115" s="156"/>
      <c r="B115" s="311" t="s">
        <v>250</v>
      </c>
      <c r="C115" s="156"/>
      <c r="D115" s="156"/>
      <c r="E115" s="307" t="str">
        <f t="array" ref="E115">INDEX('起きあがり'!$N$3:$O$115, MATCH($A$1,'起きあがり'!$A$3:$A$115,0), MATCH(E101,'起きあがり'!$N$2:$AD$2,0))</f>
        <v>21-22</v>
      </c>
      <c r="F115" s="308">
        <f t="array" ref="F115">INDEX('起きあがり'!$N$3:$O$115, MATCH($A$1,'起きあがり'!$A$3:$A$115,0), MATCH(F101,'起きあがり'!$N$2:$AD$2,0))</f>
        <v>7</v>
      </c>
      <c r="G115" s="113">
        <f t="shared" si="1"/>
        <v>8.4</v>
      </c>
      <c r="H115" s="228"/>
      <c r="I115" s="228"/>
      <c r="J115" s="111"/>
      <c r="K115" s="312" t="str">
        <f>'テンプレート'!K130</f>
        <v>踏み台ジャンプ</v>
      </c>
      <c r="L115" s="168"/>
      <c r="M115" s="298" t="str">
        <f>'テンプレート'!M130</f>
        <v>全体フレーム</v>
      </c>
      <c r="N115" s="114"/>
      <c r="O115" s="111"/>
      <c r="P115" s="111"/>
      <c r="Q115" s="111"/>
      <c r="R115" s="111"/>
      <c r="S115" s="111"/>
      <c r="T115" s="111"/>
      <c r="U115" s="111"/>
      <c r="V115" s="111"/>
    </row>
    <row r="116" outlineLevel="1">
      <c r="A116" s="299" t="s">
        <v>251</v>
      </c>
      <c r="B116" s="300" t="s">
        <v>248</v>
      </c>
      <c r="C116" s="301"/>
      <c r="D116" s="307" t="str">
        <f t="array" ref="D116">INDEX('起きあがり'!$C$3:$C107, MATCH($A$1,'起きあがり'!$A$3:$A$115,0), MATCH(D101,'起きあがり'!$C$2,0))</f>
        <v>25</v>
      </c>
      <c r="E116" s="301"/>
      <c r="F116" s="301"/>
      <c r="G116" s="301"/>
      <c r="H116" s="228"/>
      <c r="I116" s="228"/>
      <c r="J116" s="117"/>
      <c r="K116" s="313" t="str">
        <f>'テンプレート'!K131</f>
        <v>踏み</v>
      </c>
      <c r="L116" s="314" t="str">
        <f>'テンプレート'!L131</f>
        <v>踏み</v>
      </c>
      <c r="M116" s="113">
        <v>8.0</v>
      </c>
      <c r="N116" s="315"/>
      <c r="O116" s="111"/>
      <c r="P116" s="111"/>
      <c r="Q116" s="111"/>
      <c r="R116" s="111"/>
      <c r="S116" s="111"/>
      <c r="T116" s="111"/>
      <c r="U116" s="111"/>
      <c r="V116" s="111"/>
    </row>
    <row r="117" outlineLevel="1">
      <c r="A117" s="146"/>
      <c r="B117" s="300" t="s">
        <v>216</v>
      </c>
      <c r="C117" s="307" t="str">
        <f t="array" ref="C117">INDEX('起きあがり'!$P$3:$Q$115, MATCH($A$1,'起きあがり'!$A$3:$A$115,0), MATCH(C101,'起きあがり'!$P$2:$AD$2,0))</f>
        <v>1-22</v>
      </c>
      <c r="D117" s="308">
        <f t="array" ref="D117">INDEX('起きあがり'!$P$3:$Q$115, MATCH($A$1,'起きあがり'!$A$3:$A$115,0), MATCH(D101,'起きあがり'!$P$2:$AD$2,0))</f>
        <v>29</v>
      </c>
      <c r="E117" s="301"/>
      <c r="F117" s="301"/>
      <c r="G117" s="301"/>
      <c r="H117" s="228"/>
      <c r="I117" s="228"/>
      <c r="J117" s="111"/>
      <c r="K117" s="305" t="str">
        <f>'テンプレート'!K132</f>
        <v>踏まれ</v>
      </c>
      <c r="L117" s="314" t="str">
        <f>'テンプレート'!L132</f>
        <v>地上踏まれ</v>
      </c>
      <c r="M117" s="113" t="s">
        <v>76</v>
      </c>
      <c r="N117" s="315"/>
      <c r="O117" s="228"/>
      <c r="P117" s="228"/>
      <c r="Q117" s="228"/>
      <c r="R117" s="228"/>
      <c r="S117" s="228"/>
      <c r="T117" s="228"/>
      <c r="U117" s="228"/>
      <c r="V117" s="228"/>
    </row>
    <row r="118" outlineLevel="1">
      <c r="A118" s="146"/>
      <c r="B118" s="300" t="s">
        <v>245</v>
      </c>
      <c r="C118" s="307" t="str">
        <f t="array" ref="C118">INDEX('起きあがり'!$R$3:$S$115, MATCH($A$1,'起きあがり'!$A$3:$A$115,0), MATCH(C101,'起きあがり'!$R$2:$AD$2,0))</f>
        <v>1-19</v>
      </c>
      <c r="D118" s="308">
        <f t="array" ref="D118">INDEX('起きあがり'!$R$3:$S$115, MATCH($A$1,'起きあがり'!$A$3:$A$115,0), MATCH(D101,'起きあがり'!$R$2:$AD$2,0))</f>
        <v>35</v>
      </c>
      <c r="E118" s="301"/>
      <c r="F118" s="301"/>
      <c r="G118" s="301"/>
      <c r="H118" s="228"/>
      <c r="I118" s="228"/>
      <c r="J118" s="117"/>
      <c r="K118" s="146"/>
      <c r="L118" s="314" t="s">
        <v>693</v>
      </c>
      <c r="M118" s="113">
        <v>28.0</v>
      </c>
      <c r="N118" s="102"/>
      <c r="O118" s="118"/>
      <c r="P118" s="118"/>
      <c r="Q118" s="118"/>
      <c r="R118" s="118"/>
      <c r="S118" s="118"/>
      <c r="T118" s="118"/>
      <c r="U118" s="118"/>
      <c r="V118" s="118"/>
    </row>
    <row r="119" outlineLevel="1">
      <c r="A119" s="146"/>
      <c r="B119" s="300" t="s">
        <v>246</v>
      </c>
      <c r="C119" s="307" t="str">
        <f t="array" ref="C119">INDEX('起きあがり'!$T$3:$U$115, MATCH($A$1,'起きあがり'!$A$3:$A$115,0), MATCH(C101,'起きあがり'!$T$2:$AD$2,0))</f>
        <v>1-19</v>
      </c>
      <c r="D119" s="308">
        <f t="array" ref="D119">INDEX('起きあがり'!$T$3:$U$115, MATCH($A$1,'起きあがり'!$A$3:$A$115,0), MATCH(D101,'起きあがり'!$T$2:$AD$2,0))</f>
        <v>35</v>
      </c>
      <c r="E119" s="301"/>
      <c r="F119" s="301"/>
      <c r="G119" s="301"/>
      <c r="H119" s="228"/>
      <c r="I119" s="228"/>
      <c r="J119" s="111"/>
      <c r="K119" s="146"/>
      <c r="L119" s="314" t="str">
        <f>'テンプレート'!L134</f>
        <v>空中踏まれ</v>
      </c>
      <c r="M119" s="113">
        <v>8.0</v>
      </c>
      <c r="N119" s="102"/>
      <c r="O119" s="118"/>
      <c r="P119" s="118"/>
      <c r="Q119" s="118"/>
      <c r="R119" s="118"/>
      <c r="S119" s="118"/>
      <c r="T119" s="118"/>
      <c r="U119" s="118"/>
      <c r="V119" s="118"/>
    </row>
    <row r="120" outlineLevel="1">
      <c r="A120" s="146"/>
      <c r="B120" s="300" t="s">
        <v>249</v>
      </c>
      <c r="C120" s="309" t="str">
        <f t="array" ref="C120">INDEX('起きあがり'!$V$3:$Y$115, MATCH($A$1,'起きあがり'!$A$3:$A$115,0), MATCH(C101,'起きあがり'!$V$2:$AD$2,0))</f>
        <v>1-22</v>
      </c>
      <c r="D120" s="310">
        <f t="array" ref="D120">INDEX('起きあがり'!$V$3:$Y$115, MATCH($A$1,'起きあがり'!$A$3:$A$115,0), MATCH(D101,'起きあがり'!$V$2:$AD$2,0))</f>
        <v>45</v>
      </c>
      <c r="E120" s="307" t="str">
        <f t="array" ref="E120">INDEX('起きあがり'!$V$3:$Y$115, MATCH($A$1,'起きあがり'!$A$3:$A$115,0), MATCH(E101,'起きあがり'!$V$2:$AD$2,0))</f>
        <v>16-17</v>
      </c>
      <c r="F120" s="308">
        <f t="array" ref="F120">INDEX('起きあがり'!$V$3:$Y$115, MATCH($A$1,'起きあがり'!$A$3:$A$115,0), MATCH(F101,'起きあがり'!$V$2:$AD$2,0))</f>
        <v>7</v>
      </c>
      <c r="G120" s="113">
        <f t="shared" ref="G120:G121" si="2">F120*1.2</f>
        <v>8.4</v>
      </c>
      <c r="H120" s="228"/>
      <c r="I120" s="228"/>
      <c r="J120" s="117"/>
      <c r="K120" s="146"/>
      <c r="L120" s="314" t="str">
        <f>'テンプレート'!L135</f>
        <v>空中落下</v>
      </c>
      <c r="M120" s="113">
        <v>36.0</v>
      </c>
      <c r="N120" s="102"/>
      <c r="O120" s="118"/>
      <c r="P120" s="118"/>
      <c r="Q120" s="118"/>
      <c r="R120" s="118"/>
      <c r="S120" s="118"/>
      <c r="T120" s="118"/>
      <c r="U120" s="118"/>
      <c r="V120" s="118"/>
    </row>
    <row r="121" outlineLevel="1">
      <c r="A121" s="156"/>
      <c r="B121" s="311" t="s">
        <v>250</v>
      </c>
      <c r="C121" s="156"/>
      <c r="D121" s="156"/>
      <c r="E121" s="307" t="str">
        <f t="array" ref="E121">INDEX('起きあがり'!$Z$3:$AA$115, MATCH($A$1,'起きあがり'!$A$3:$A$115,0), MATCH(E101,'起きあがり'!$Z$2:$AD$2,0))</f>
        <v>21-22</v>
      </c>
      <c r="F121" s="308">
        <f t="array" ref="F121">INDEX('起きあがり'!$Z$3:$AA$115, MATCH($A$1,'起きあがり'!$A$3:$A$115,0), MATCH(F101,'起きあがり'!$Z$2:$AD$2,0))</f>
        <v>7</v>
      </c>
      <c r="G121" s="113">
        <f t="shared" si="2"/>
        <v>8.4</v>
      </c>
      <c r="H121" s="228"/>
      <c r="I121" s="228"/>
      <c r="J121" s="117"/>
      <c r="K121" s="304" t="str">
        <f>'テンプレート'!K136</f>
        <v>倒れダメージ</v>
      </c>
      <c r="L121" s="110"/>
      <c r="M121" s="298" t="str">
        <f>'テンプレート'!M136</f>
        <v>全体フレーム</v>
      </c>
      <c r="N121" s="102"/>
      <c r="O121" s="118"/>
      <c r="P121" s="118"/>
      <c r="Q121" s="118"/>
      <c r="R121" s="118"/>
      <c r="S121" s="118"/>
      <c r="T121" s="118"/>
      <c r="U121" s="118"/>
      <c r="V121" s="118"/>
    </row>
    <row r="122" outlineLevel="1">
      <c r="A122" s="299" t="s">
        <v>252</v>
      </c>
      <c r="B122" s="300" t="s">
        <v>253</v>
      </c>
      <c r="C122" s="307" t="str">
        <f t="array" ref="C122">INDEX('転倒'!$C$3:$D107, MATCH($A$1,'転倒'!$A$3:$A$115,0), MATCH(C101,'転倒'!$C$2:$AC$2,0))</f>
        <v>1-5</v>
      </c>
      <c r="D122" s="308">
        <f t="array" ref="D122">INDEX('転倒'!$C$3:$D107, MATCH($A$1,'転倒'!$A$3:$A$115,0), MATCH(D101,'転倒'!$C$2:$AC$2,0))</f>
        <v>29</v>
      </c>
      <c r="E122" s="301"/>
      <c r="F122" s="301"/>
      <c r="G122" s="301"/>
      <c r="H122" s="228"/>
      <c r="I122" s="228"/>
      <c r="J122" s="111"/>
      <c r="K122" s="313" t="str">
        <f>'テンプレート'!K137</f>
        <v>あお向け倒れ</v>
      </c>
      <c r="L122" s="306" t="str">
        <f>'テンプレート'!L137</f>
        <v>モーション大</v>
      </c>
      <c r="M122" s="113">
        <v>39.0</v>
      </c>
      <c r="N122" s="315"/>
      <c r="O122" s="118"/>
      <c r="P122" s="118"/>
      <c r="Q122" s="118"/>
      <c r="R122" s="118"/>
      <c r="S122" s="118"/>
      <c r="T122" s="118"/>
      <c r="U122" s="118"/>
      <c r="V122" s="118"/>
    </row>
    <row r="123" outlineLevel="1">
      <c r="A123" s="146"/>
      <c r="B123" s="300" t="s">
        <v>254</v>
      </c>
      <c r="C123" s="307" t="str">
        <f t="array" ref="C123">INDEX('転倒'!$E$3:$F107, MATCH($A$1,'転倒'!$A$3:$A$115,0), MATCH(C101,'転倒'!$E$2:$AC$2,0))</f>
        <v>1-5</v>
      </c>
      <c r="D123" s="308">
        <f t="array" ref="D123">INDEX('転倒'!$E$3:$F107, MATCH($A$1,'転倒'!$A$3:$A$115,0), MATCH(D101,'転倒'!$E$2:$AC$2,0))</f>
        <v>39</v>
      </c>
      <c r="E123" s="301"/>
      <c r="F123" s="301"/>
      <c r="G123" s="301"/>
      <c r="H123" s="228"/>
      <c r="I123" s="228"/>
      <c r="J123" s="117"/>
      <c r="K123" s="313" t="str">
        <f>'テンプレート'!K138</f>
        <v>うつ伏せ倒れ</v>
      </c>
      <c r="L123" s="306" t="str">
        <f>'テンプレート'!L138</f>
        <v>モーション大</v>
      </c>
      <c r="M123" s="113" t="s">
        <v>118</v>
      </c>
      <c r="N123" s="315"/>
      <c r="O123" s="118"/>
      <c r="P123" s="118"/>
      <c r="Q123" s="118"/>
      <c r="R123" s="118"/>
      <c r="S123" s="118"/>
      <c r="T123" s="118"/>
      <c r="U123" s="118"/>
      <c r="V123" s="118"/>
    </row>
    <row r="124" outlineLevel="1">
      <c r="A124" s="146"/>
      <c r="B124" s="300" t="s">
        <v>216</v>
      </c>
      <c r="C124" s="307" t="str">
        <f t="array" ref="C124">INDEX('転倒'!$G$3:$H$115, MATCH($A$1,'転倒'!$A$3:$A$115,0), MATCH(C101,'転倒'!$G$2:$AC$2,0))</f>
        <v>1-16</v>
      </c>
      <c r="D124" s="308">
        <f t="array" ref="D124">INDEX('転倒'!$G$3:$H$115, MATCH($A$1,'転倒'!$A$3:$A$115,0), MATCH(D101,'転倒'!$G$2:$AC$2,0))</f>
        <v>21</v>
      </c>
      <c r="E124" s="301"/>
      <c r="F124" s="301"/>
      <c r="G124" s="301"/>
      <c r="H124" s="228"/>
      <c r="I124" s="228"/>
      <c r="J124" s="111"/>
      <c r="K124" s="304" t="str">
        <f>'テンプレート'!K139</f>
        <v/>
      </c>
      <c r="L124" s="110"/>
      <c r="M124" s="298" t="str">
        <f>'テンプレート'!M139</f>
        <v/>
      </c>
      <c r="N124" s="102"/>
      <c r="O124" s="118"/>
      <c r="P124" s="118"/>
      <c r="Q124" s="118"/>
      <c r="R124" s="118"/>
      <c r="S124" s="118"/>
      <c r="T124" s="118"/>
      <c r="U124" s="118"/>
      <c r="V124" s="118"/>
    </row>
    <row r="125" outlineLevel="1">
      <c r="A125" s="146"/>
      <c r="B125" s="300" t="s">
        <v>245</v>
      </c>
      <c r="C125" s="307" t="str">
        <f t="array" ref="C125">INDEX('転倒'!$I$3:$J$115, MATCH($A$1,'転倒'!$A$3:$A$115,0), MATCH(C101,'転倒'!$I$2:$AC$2,0))</f>
        <v>1-9</v>
      </c>
      <c r="D125" s="308">
        <f t="array" ref="D125">INDEX('転倒'!$I$3:$J$115, MATCH($A$1,'転倒'!$A$3:$A$115,0), MATCH(D101,'転倒'!$I$2:$AC$2,0))</f>
        <v>28</v>
      </c>
      <c r="E125" s="301"/>
      <c r="F125" s="301"/>
      <c r="G125" s="301"/>
      <c r="H125" s="228"/>
      <c r="I125" s="228"/>
      <c r="J125" s="228"/>
      <c r="K125" s="316"/>
      <c r="L125" s="317" t="str">
        <f>'テンプレート'!L140</f>
        <v/>
      </c>
      <c r="M125" s="113" t="s">
        <v>76</v>
      </c>
      <c r="N125" s="102"/>
      <c r="O125" s="118"/>
      <c r="P125" s="118"/>
      <c r="Q125" s="118"/>
      <c r="R125" s="118"/>
      <c r="S125" s="118"/>
      <c r="T125" s="118"/>
      <c r="U125" s="118"/>
      <c r="V125" s="118"/>
    </row>
    <row r="126" outlineLevel="1">
      <c r="A126" s="146"/>
      <c r="B126" s="300" t="s">
        <v>246</v>
      </c>
      <c r="C126" s="307" t="str">
        <f t="array" ref="C126">INDEX('転倒'!$K$3:$L$115, MATCH($A$1,'転倒'!$A$3:$A$115,0), MATCH(C101,'転倒'!$K$2:$AC$2,0))</f>
        <v>1-9</v>
      </c>
      <c r="D126" s="308">
        <f t="array" ref="D126">INDEX('転倒'!$K$3:$L$115, MATCH($A$1,'転倒'!$A$3:$A$115,0), MATCH(D101,'転倒'!$K$2:$AC$2,0))</f>
        <v>28</v>
      </c>
      <c r="E126" s="301"/>
      <c r="F126" s="301"/>
      <c r="G126" s="301"/>
      <c r="H126" s="228"/>
      <c r="I126" s="228"/>
      <c r="J126" s="228"/>
      <c r="K126" s="318"/>
      <c r="L126" s="118"/>
      <c r="M126" s="118"/>
      <c r="N126" s="102"/>
      <c r="O126" s="118"/>
      <c r="P126" s="118"/>
      <c r="Q126" s="118"/>
      <c r="R126" s="118"/>
      <c r="S126" s="118"/>
      <c r="T126" s="118"/>
      <c r="U126" s="118"/>
      <c r="V126" s="118"/>
    </row>
    <row r="127" outlineLevel="1">
      <c r="A127" s="146"/>
      <c r="B127" s="300" t="s">
        <v>249</v>
      </c>
      <c r="C127" s="309" t="str">
        <f t="array" ref="C127">INDEX('転倒'!$M$3:$P$115, MATCH($A$1,'転倒'!$A$3:$A$115,0), MATCH(C101,'転倒'!$M$2:$AC$2,0))</f>
        <v>1-7</v>
      </c>
      <c r="D127" s="310">
        <f t="array" ref="D127">INDEX('転倒'!$M$3:$P$115, MATCH($A$1,'転倒'!$A$3:$A$115,0), MATCH(D101,'転倒'!$M$2:$AC$2,0))</f>
        <v>49</v>
      </c>
      <c r="E127" s="307" t="str">
        <f t="array" ref="E127">INDEX('転倒'!$M$3:$P$115, MATCH($A$1,'転倒'!$A$3:$A$115,0), MATCH(E101,'転倒'!$M$2:$AC$2,0))</f>
        <v>18-19</v>
      </c>
      <c r="F127" s="308">
        <f t="array" ref="F127">INDEX('転倒'!$M$3:$P$115, MATCH($A$1,'転倒'!$A$3:$A$115,0), MATCH(F101,'転倒'!$M$2:$AC$2,0))</f>
        <v>5</v>
      </c>
      <c r="G127" s="113">
        <f t="shared" ref="G127:G128" si="3">F127*1.2</f>
        <v>6</v>
      </c>
      <c r="H127" s="228"/>
      <c r="I127" s="228"/>
      <c r="J127" s="228"/>
      <c r="K127" s="118"/>
      <c r="L127" s="118"/>
      <c r="M127" s="118"/>
      <c r="N127" s="102"/>
      <c r="O127" s="102"/>
      <c r="P127" s="102"/>
      <c r="Q127" s="102"/>
      <c r="R127" s="118"/>
      <c r="S127" s="118"/>
      <c r="T127" s="118"/>
      <c r="U127" s="118"/>
      <c r="V127" s="118"/>
    </row>
    <row r="128" outlineLevel="1">
      <c r="A128" s="156"/>
      <c r="B128" s="311" t="s">
        <v>250</v>
      </c>
      <c r="C128" s="156"/>
      <c r="D128" s="156"/>
      <c r="E128" s="307" t="str">
        <f t="array" ref="E128">INDEX('転倒'!$Q$3:$R$115, MATCH($A$1,'転倒'!$A$3:$A$115,0), MATCH(E101,'転倒'!$Q$2:$AC$2,0))</f>
        <v>22-23</v>
      </c>
      <c r="F128" s="308">
        <f t="array" ref="F128">INDEX('転倒'!$Q$3:$R$115, MATCH($A$1,'転倒'!$A$3:$A$115,0), MATCH(F101,'転倒'!$Q$2:$AC$2,0))</f>
        <v>5</v>
      </c>
      <c r="G128" s="113">
        <f t="shared" si="3"/>
        <v>6</v>
      </c>
      <c r="H128" s="228"/>
      <c r="I128" s="228"/>
      <c r="J128" s="228"/>
      <c r="K128" s="118"/>
      <c r="L128" s="118"/>
      <c r="M128" s="118"/>
      <c r="N128" s="102"/>
      <c r="O128" s="102"/>
      <c r="P128" s="102"/>
      <c r="Q128" s="102"/>
      <c r="R128" s="118"/>
      <c r="S128" s="118"/>
      <c r="T128" s="118"/>
      <c r="U128" s="118"/>
      <c r="V128" s="118"/>
    </row>
    <row r="129" outlineLevel="1">
      <c r="A129" s="319"/>
      <c r="B129" s="320"/>
      <c r="C129" s="321"/>
      <c r="D129" s="321"/>
      <c r="E129" s="322"/>
      <c r="F129" s="322"/>
      <c r="G129" s="114"/>
      <c r="H129" s="228"/>
      <c r="I129" s="228"/>
      <c r="J129" s="228"/>
      <c r="K129" s="118"/>
      <c r="L129" s="118"/>
      <c r="M129" s="118"/>
      <c r="N129" s="102"/>
      <c r="O129" s="102"/>
      <c r="P129" s="102"/>
      <c r="Q129" s="102"/>
      <c r="R129" s="118"/>
      <c r="S129" s="118"/>
      <c r="T129" s="118"/>
      <c r="U129" s="118"/>
      <c r="V129" s="118"/>
    </row>
    <row r="130" outlineLevel="1">
      <c r="A130" s="323" t="s">
        <v>255</v>
      </c>
      <c r="B130" s="109"/>
      <c r="C130" s="321"/>
      <c r="D130" s="321"/>
      <c r="E130" s="322"/>
      <c r="F130" s="322"/>
      <c r="G130" s="114"/>
      <c r="H130" s="228"/>
      <c r="I130" s="228"/>
      <c r="J130" s="228"/>
      <c r="K130" s="118"/>
      <c r="L130" s="118"/>
      <c r="M130" s="118"/>
      <c r="N130" s="102"/>
      <c r="O130" s="102"/>
      <c r="P130" s="102"/>
      <c r="Q130" s="102"/>
      <c r="R130" s="118"/>
      <c r="S130" s="118"/>
      <c r="T130" s="118"/>
      <c r="U130" s="118"/>
      <c r="V130" s="118"/>
    </row>
    <row r="131" outlineLevel="1">
      <c r="A131" s="324" t="s">
        <v>256</v>
      </c>
      <c r="B131" s="109"/>
      <c r="C131" s="325" t="s">
        <v>257</v>
      </c>
      <c r="D131" s="325" t="s">
        <v>49</v>
      </c>
      <c r="E131" s="322"/>
      <c r="F131" s="322"/>
      <c r="G131" s="114"/>
      <c r="H131" s="228"/>
      <c r="I131" s="228"/>
      <c r="J131" s="228"/>
      <c r="K131" s="118"/>
      <c r="L131" s="118"/>
      <c r="M131" s="118"/>
      <c r="N131" s="102"/>
      <c r="O131" s="102"/>
      <c r="P131" s="102"/>
      <c r="Q131" s="102"/>
      <c r="R131" s="118"/>
      <c r="S131" s="118"/>
      <c r="T131" s="118"/>
      <c r="U131" s="118"/>
      <c r="V131" s="118"/>
    </row>
    <row r="132" outlineLevel="1">
      <c r="A132" s="326" t="s">
        <v>258</v>
      </c>
      <c r="B132" s="327" t="s">
        <v>216</v>
      </c>
      <c r="C132" s="328" t="str">
        <f t="array" ref="C132">INDEX('アイテム'!$C$3:$D$114, MATCH($A$1,'アイテム'!$A$3:$A$114,0), MATCH(C131,'アイテム'!$C$2:$AQ$2,0))</f>
        <v>2</v>
      </c>
      <c r="D132" s="328">
        <f t="array" ref="D132">INDEX('アイテム'!$C$3:$D$114, MATCH($A$1,'アイテム'!$A$3:$A$114,0), MATCH(D131,'アイテム'!$C$2:$AQ$2,0))</f>
        <v>7</v>
      </c>
      <c r="E132" s="322"/>
      <c r="F132" s="322"/>
      <c r="G132" s="114"/>
      <c r="H132" s="228"/>
      <c r="I132" s="228"/>
      <c r="J132" s="228"/>
      <c r="K132" s="118"/>
      <c r="L132" s="118"/>
      <c r="M132" s="118"/>
      <c r="N132" s="102"/>
      <c r="O132" s="102"/>
      <c r="P132" s="102"/>
      <c r="Q132" s="102"/>
      <c r="R132" s="118"/>
      <c r="S132" s="118"/>
      <c r="T132" s="118"/>
      <c r="U132" s="118"/>
      <c r="V132" s="118"/>
    </row>
    <row r="133" outlineLevel="1">
      <c r="A133" s="156"/>
      <c r="B133" s="327" t="s">
        <v>219</v>
      </c>
      <c r="C133" s="328" t="str">
        <f t="array" ref="C133">INDEX('アイテム'!$E$3:$F$114, MATCH($A$1,'アイテム'!$A$3:$A$114,0), MATCH(C131,'アイテム'!$C$2:$AQ$2,0))</f>
        <v>2</v>
      </c>
      <c r="D133" s="328">
        <f t="array" ref="D133">INDEX('アイテム'!$E$3:$F$114, MATCH($A$1,'アイテム'!$A$3:$A$114,0), MATCH(D131,'アイテム'!$C$2:$AQ$2,0))</f>
        <v>19</v>
      </c>
      <c r="E133" s="322"/>
      <c r="F133" s="322"/>
      <c r="G133" s="114"/>
      <c r="H133" s="228"/>
      <c r="I133" s="228"/>
      <c r="J133" s="228"/>
      <c r="K133" s="118"/>
      <c r="L133" s="118"/>
      <c r="M133" s="118"/>
      <c r="N133" s="102"/>
      <c r="O133" s="102"/>
      <c r="P133" s="102"/>
      <c r="Q133" s="102"/>
      <c r="R133" s="118"/>
      <c r="S133" s="118"/>
      <c r="T133" s="118"/>
      <c r="U133" s="118"/>
      <c r="V133" s="118"/>
    </row>
    <row r="134" outlineLevel="1">
      <c r="A134" s="329" t="s">
        <v>259</v>
      </c>
      <c r="B134" s="327" t="s">
        <v>216</v>
      </c>
      <c r="C134" s="328">
        <f t="array" ref="C134">INDEX('アイテム'!$AA$3:$AB$114, MATCH($A$1,'アイテム'!$A$3:$A$114,0), MATCH(C131,'アイテム'!$C$2:$AQ$2,0))</f>
        <v>3</v>
      </c>
      <c r="D134" s="328" t="str">
        <f t="array" ref="D134">INDEX('アイテム'!$AA$3:$AB$114, MATCH($A$1,'アイテム'!$A$3:$A$114,0), MATCH(D131,'アイテム'!$C$2:$AQ$2,0))</f>
        <v>12</v>
      </c>
      <c r="E134" s="322"/>
      <c r="F134" s="322"/>
      <c r="G134" s="114"/>
      <c r="H134" s="228"/>
      <c r="I134" s="228"/>
      <c r="J134" s="228"/>
      <c r="K134" s="118"/>
      <c r="L134" s="118"/>
      <c r="M134" s="118"/>
      <c r="N134" s="102"/>
      <c r="O134" s="102"/>
      <c r="P134" s="102"/>
      <c r="Q134" s="102"/>
      <c r="R134" s="118"/>
      <c r="S134" s="118"/>
      <c r="T134" s="118"/>
      <c r="U134" s="118"/>
      <c r="V134" s="118"/>
    </row>
    <row r="135" outlineLevel="1">
      <c r="A135" s="324" t="s">
        <v>260</v>
      </c>
      <c r="B135" s="109"/>
      <c r="C135" s="325" t="s">
        <v>261</v>
      </c>
      <c r="D135" s="325" t="s">
        <v>49</v>
      </c>
      <c r="E135" s="322"/>
      <c r="F135" s="322"/>
      <c r="G135" s="114"/>
      <c r="H135" s="228"/>
      <c r="I135" s="228"/>
      <c r="J135" s="228"/>
      <c r="K135" s="118"/>
      <c r="L135" s="118"/>
      <c r="M135" s="118"/>
      <c r="N135" s="102"/>
      <c r="O135" s="102"/>
      <c r="P135" s="102"/>
      <c r="Q135" s="102"/>
      <c r="R135" s="118"/>
      <c r="S135" s="118"/>
      <c r="T135" s="118"/>
      <c r="U135" s="118"/>
      <c r="V135" s="118"/>
    </row>
    <row r="136" outlineLevel="1">
      <c r="A136" s="326" t="s">
        <v>262</v>
      </c>
      <c r="B136" s="327" t="s">
        <v>226</v>
      </c>
      <c r="C136" s="328" t="str">
        <f t="array" ref="C136">INDEX('アイテム'!$G$3:$H$114, MATCH($A$1,'アイテム'!$A$3:$A$114,0), MATCH(C131,'アイテム'!$C$2:$AQ$2,0))</f>
        <v>12</v>
      </c>
      <c r="D136" s="328">
        <f t="array" ref="D136">INDEX('アイテム'!$G$3:$H$114, MATCH($A$1,'アイテム'!$A$3:$A$114,0), MATCH(D131,'アイテム'!$C$2:$AQ$2,0))</f>
        <v>24</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229</v>
      </c>
      <c r="C137" s="328" t="str">
        <f t="array" ref="C137">INDEX('アイテム'!$I$3:$J$114, MATCH($A$1,'アイテム'!$A$3:$A$114,0), MATCH(C131,'アイテム'!$C$2:$AQ$2,0))</f>
        <v>14</v>
      </c>
      <c r="D137" s="328">
        <f t="array" ref="D137">INDEX('アイテム'!$I$3:$J$114, MATCH($A$1,'アイテム'!$A$3:$A$114,0), MATCH(D131,'アイテム'!$C$2:$AQ$2,0))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233</v>
      </c>
      <c r="C138" s="328" t="str">
        <f t="array" ref="C138">INDEX('アイテム'!$K$3:$L$114, MATCH($A$1,'アイテム'!$A$3:$A$114,0), MATCH(C131,'アイテム'!$C$2:$AQ$2,0))</f>
        <v>15</v>
      </c>
      <c r="D138" s="328">
        <f t="array" ref="D138">INDEX('アイテム'!$K$3:$L$114, MATCH($A$1,'アイテム'!$A$3:$A$114,0), MATCH(D131,'アイテム'!$C$2:$AQ$2,0))</f>
        <v>23</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234</v>
      </c>
      <c r="C139" s="328" t="str">
        <f t="array" ref="C139">INDEX('アイテム'!$M$3:$N$114, MATCH($A$1,'アイテム'!$A$3:$A$114,0), MATCH(C131,'アイテム'!$C$2:$AQ$2,0))</f>
        <v>8</v>
      </c>
      <c r="D139" s="328">
        <f t="array" ref="D139">INDEX('アイテム'!$M$3:$N$114, MATCH($A$1,'アイテム'!$A$3:$A$114,0), MATCH(D131,'アイテム'!$C$2:$AQ$2,0))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219</v>
      </c>
      <c r="C140" s="328" t="str">
        <f t="array" ref="C140">INDEX('アイテム'!$O$3:$P$114, MATCH($A$1,'アイテム'!$A$3:$A$114,0), MATCH(C131,'アイテム'!$C$2:$AQ$2,0))</f>
        <v>5</v>
      </c>
      <c r="D140" s="328">
        <f t="array" ref="D140">INDEX('アイテム'!$O$3:$P$114, MATCH($A$1,'アイテム'!$A$3:$A$114,0), MATCH(D131,'アイテム'!$C$2:$AQ$2,0))</f>
        <v>29</v>
      </c>
      <c r="E140" s="322"/>
      <c r="F140" s="322"/>
      <c r="G140" s="114"/>
      <c r="H140" s="228"/>
      <c r="I140" s="228"/>
      <c r="J140" s="228"/>
      <c r="K140" s="118"/>
      <c r="L140" s="118"/>
      <c r="M140" s="118"/>
      <c r="N140" s="102"/>
      <c r="O140" s="102"/>
      <c r="P140" s="102"/>
      <c r="Q140" s="102"/>
      <c r="R140" s="118"/>
      <c r="S140" s="118"/>
      <c r="T140" s="118"/>
      <c r="U140" s="118"/>
      <c r="V140" s="118"/>
    </row>
    <row r="141" outlineLevel="1">
      <c r="A141" s="156"/>
      <c r="B141" s="327" t="s">
        <v>263</v>
      </c>
      <c r="C141" s="328" t="str">
        <f t="array" ref="C141">INDEX('アイテム'!$Q$3:$R$114, MATCH($A$1,'アイテム'!$A$3:$A$114,0), MATCH(C131,'アイテム'!$C$2:$AQ$2,0))</f>
        <v>7</v>
      </c>
      <c r="D141" s="328">
        <f t="array" ref="D141">INDEX('アイテム'!$Q$3:$R$114, MATCH($A$1,'アイテム'!$A$3:$A$114,0), MATCH(D131,'アイテム'!$C$2:$AQ$2,0))</f>
        <v>23</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264</v>
      </c>
      <c r="B142" s="327" t="s">
        <v>226</v>
      </c>
      <c r="C142" s="328" t="str">
        <f t="array" ref="C142">INDEX('アイテム'!$S$3:$T$114, MATCH($A$1,'アイテム'!$A$3:$A$114,0), MATCH(C131,'アイテム'!$C$2:$AQ$2,0))</f>
        <v>12</v>
      </c>
      <c r="D142" s="328">
        <f t="array" ref="D142">INDEX('アイテム'!$S$3:$T$114, MATCH($A$1,'アイテム'!$A$3:$A$114,0), MATCH(D131,'アイテム'!$C$2:$AQ$2,0))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229</v>
      </c>
      <c r="C143" s="328" t="str">
        <f t="array" ref="C143">INDEX('アイテム'!$U$3:$V$114, MATCH($A$1,'アイテム'!$A$3:$A$114,0), MATCH(C131,'アイテム'!$C$2:$AQ$2,0))</f>
        <v>14</v>
      </c>
      <c r="D143" s="328">
        <f t="array" ref="D143">INDEX('アイテム'!$U$3:$V$114, MATCH($A$1,'アイテム'!$A$3:$A$114,0), MATCH(D131,'アイテム'!$C$2:$AQ$2,0))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233</v>
      </c>
      <c r="C144" s="328" t="str">
        <f t="array" ref="C144">INDEX('アイテム'!$W$3:$X$114, MATCH($A$1,'アイテム'!$A$3:$A$114,0), MATCH(C131,'アイテム'!$C$2:$AQ$2,0))</f>
        <v>15</v>
      </c>
      <c r="D144" s="328">
        <f t="array" ref="D144">INDEX('アイテム'!$W$3:$X$114, MATCH($A$1,'アイテム'!$A$3:$A$114,0), MATCH(D131,'アイテム'!$C$2:$AQ$2,0))</f>
        <v>23</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234</v>
      </c>
      <c r="C145" s="328" t="str">
        <f t="array" ref="C145">INDEX('アイテム'!$Y$3:$Z$114, MATCH($A$1,'アイテム'!$A$3:$A$114,0), MATCH(C131,'アイテム'!$C$2:$AQ$2,0))</f>
        <v>8</v>
      </c>
      <c r="D145" s="328">
        <f t="array" ref="D145">INDEX('アイテム'!$Y$3:$Z$114, MATCH($A$1,'アイテム'!$A$3:$A$114,0), MATCH(D131,'アイテム'!$C$2:$AQ$2,0))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265</v>
      </c>
      <c r="B146" s="327" t="s">
        <v>226</v>
      </c>
      <c r="C146" s="328">
        <f t="array" ref="C146">INDEX('アイテム'!$AC$3:$AD$114, MATCH($A$1,'アイテム'!$A$3:$A$114,0), MATCH(C131,'アイテム'!$C$2:$AQ$2,0))</f>
        <v>17</v>
      </c>
      <c r="D146" s="328" t="str">
        <f t="array" ref="D146">INDEX('アイテム'!$AC$3:$AD$114, MATCH($A$1,'アイテム'!$A$3:$A$114,0), MATCH(D131,'アイテム'!$C$2:$AQ$2,0))</f>
        <v>30</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229</v>
      </c>
      <c r="C147" s="328">
        <f t="array" ref="C147">INDEX('アイテム'!$AE$3:$AF$114, MATCH($A$1,'アイテム'!$A$3:$A$114,0), MATCH(C131,'アイテム'!$C$2:$AQ$2,0))</f>
        <v>17</v>
      </c>
      <c r="D147" s="328" t="str">
        <f t="array" ref="D147">INDEX('アイテム'!$AE$3:$AF$114, MATCH($A$1,'アイテム'!$A$3:$A$114,0), MATCH(D131,'アイテム'!$C$2:$AQ$2,0))</f>
        <v>30</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233</v>
      </c>
      <c r="C148" s="328">
        <f t="array" ref="C148">INDEX('アイテム'!$AG$3:$AH$114, MATCH($A$1,'アイテム'!$A$3:$A$114,0), MATCH(C131,'アイテム'!$C$2:$AQ$2,0))</f>
        <v>12</v>
      </c>
      <c r="D148" s="328" t="str">
        <f t="array" ref="D148">INDEX('アイテム'!$AG$3:$AH$114, MATCH($A$1,'アイテム'!$A$3:$A$114,0), MATCH(D131,'アイテム'!$C$2:$AQ$2,0))</f>
        <v>22</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234</v>
      </c>
      <c r="C149" s="328">
        <f t="array" ref="C149">INDEX('アイテム'!$AI$3:$AJ$114, MATCH($A$1,'アイテム'!$A$3:$A$114,0), MATCH(C131,'アイテム'!$C$2:$AQ$2,0))</f>
        <v>11</v>
      </c>
      <c r="D149" s="328" t="str">
        <f t="array" ref="D149">INDEX('アイテム'!$AI$3:$AJ$114, MATCH($A$1,'アイテム'!$A$3:$A$114,0), MATCH(D131,'アイテム'!$C$2:$AQ$2,0))</f>
        <v>22</v>
      </c>
      <c r="E149" s="322"/>
      <c r="F149" s="322"/>
      <c r="G149" s="114"/>
      <c r="H149" s="228"/>
      <c r="I149" s="228"/>
      <c r="J149" s="228"/>
      <c r="K149" s="118"/>
      <c r="L149" s="118"/>
      <c r="M149" s="118"/>
      <c r="N149" s="102"/>
      <c r="O149" s="102"/>
      <c r="P149" s="102"/>
      <c r="Q149" s="102"/>
      <c r="R149" s="118"/>
      <c r="S149" s="118"/>
      <c r="T149" s="118"/>
      <c r="U149" s="118"/>
      <c r="V149" s="118"/>
    </row>
  </sheetData>
  <mergeCells count="143">
    <mergeCell ref="U37:U39"/>
    <mergeCell ref="U40:U41"/>
    <mergeCell ref="A34:A36"/>
    <mergeCell ref="D34:D36"/>
    <mergeCell ref="U34:U36"/>
    <mergeCell ref="A37:A39"/>
    <mergeCell ref="H37:J39"/>
    <mergeCell ref="A40:A41"/>
    <mergeCell ref="H40:J41"/>
    <mergeCell ref="H10:H11"/>
    <mergeCell ref="I10:I11"/>
    <mergeCell ref="K16:N16"/>
    <mergeCell ref="H1:J2"/>
    <mergeCell ref="K1:M2"/>
    <mergeCell ref="H4:H5"/>
    <mergeCell ref="I4:I5"/>
    <mergeCell ref="H6:H7"/>
    <mergeCell ref="I6:I7"/>
    <mergeCell ref="H8:J9"/>
    <mergeCell ref="H25:J25"/>
    <mergeCell ref="H26:J26"/>
    <mergeCell ref="H27:J28"/>
    <mergeCell ref="H29:J31"/>
    <mergeCell ref="H32:J32"/>
    <mergeCell ref="H33:J33"/>
    <mergeCell ref="H34:J36"/>
    <mergeCell ref="A27:A28"/>
    <mergeCell ref="D27:D28"/>
    <mergeCell ref="U27:U28"/>
    <mergeCell ref="A29:A31"/>
    <mergeCell ref="C29:C31"/>
    <mergeCell ref="D29:D31"/>
    <mergeCell ref="U29:U31"/>
    <mergeCell ref="C1:G12"/>
    <mergeCell ref="A10:A12"/>
    <mergeCell ref="A15:B16"/>
    <mergeCell ref="C16:D16"/>
    <mergeCell ref="E16:F16"/>
    <mergeCell ref="G16:H16"/>
    <mergeCell ref="A24:B25"/>
    <mergeCell ref="U60:U63"/>
    <mergeCell ref="U65:U66"/>
    <mergeCell ref="V65:V66"/>
    <mergeCell ref="U68:U69"/>
    <mergeCell ref="V68:V69"/>
    <mergeCell ref="U71:U74"/>
    <mergeCell ref="V71:V74"/>
    <mergeCell ref="R44:V44"/>
    <mergeCell ref="R45:V46"/>
    <mergeCell ref="R47:V48"/>
    <mergeCell ref="R49:V51"/>
    <mergeCell ref="R52:V53"/>
    <mergeCell ref="R54:V56"/>
    <mergeCell ref="V60:V63"/>
    <mergeCell ref="A54:A56"/>
    <mergeCell ref="A58:B58"/>
    <mergeCell ref="A59:B59"/>
    <mergeCell ref="A60:A62"/>
    <mergeCell ref="D60:D63"/>
    <mergeCell ref="A64:B64"/>
    <mergeCell ref="A67:B67"/>
    <mergeCell ref="A65:A66"/>
    <mergeCell ref="A68:A69"/>
    <mergeCell ref="A70:B70"/>
    <mergeCell ref="A71:A72"/>
    <mergeCell ref="D71:D72"/>
    <mergeCell ref="A76:B77"/>
    <mergeCell ref="A82:B82"/>
    <mergeCell ref="A79:A81"/>
    <mergeCell ref="A83:A84"/>
    <mergeCell ref="A85:A86"/>
    <mergeCell ref="A87:A88"/>
    <mergeCell ref="A89:A90"/>
    <mergeCell ref="A92:B93"/>
    <mergeCell ref="A94:A96"/>
    <mergeCell ref="A132:A133"/>
    <mergeCell ref="A136:A141"/>
    <mergeCell ref="A142:A145"/>
    <mergeCell ref="A146:A149"/>
    <mergeCell ref="A102:A106"/>
    <mergeCell ref="A110:A115"/>
    <mergeCell ref="A116:A121"/>
    <mergeCell ref="A122:A128"/>
    <mergeCell ref="A130:B130"/>
    <mergeCell ref="A131:B131"/>
    <mergeCell ref="A135:B135"/>
    <mergeCell ref="A107:A109"/>
    <mergeCell ref="C114:C115"/>
    <mergeCell ref="D114:D115"/>
    <mergeCell ref="C127:C128"/>
    <mergeCell ref="D127:D128"/>
    <mergeCell ref="K121:L121"/>
    <mergeCell ref="K124:L124"/>
    <mergeCell ref="A97:A98"/>
    <mergeCell ref="A100:B101"/>
    <mergeCell ref="K101:L101"/>
    <mergeCell ref="K102:K103"/>
    <mergeCell ref="K104:L104"/>
    <mergeCell ref="K105:K110"/>
    <mergeCell ref="K115:L115"/>
    <mergeCell ref="D37:D39"/>
    <mergeCell ref="D40:D41"/>
    <mergeCell ref="A43:B44"/>
    <mergeCell ref="A45:A46"/>
    <mergeCell ref="I45:I46"/>
    <mergeCell ref="J45:J46"/>
    <mergeCell ref="A47:A48"/>
    <mergeCell ref="D45:D46"/>
    <mergeCell ref="D47:D48"/>
    <mergeCell ref="A49:A51"/>
    <mergeCell ref="D49:D51"/>
    <mergeCell ref="A52:A53"/>
    <mergeCell ref="D52:D53"/>
    <mergeCell ref="D54:D56"/>
    <mergeCell ref="I47:I48"/>
    <mergeCell ref="J47:J48"/>
    <mergeCell ref="I49:I51"/>
    <mergeCell ref="J49:J51"/>
    <mergeCell ref="I52:I53"/>
    <mergeCell ref="J52:J53"/>
    <mergeCell ref="I54:I56"/>
    <mergeCell ref="H70:J70"/>
    <mergeCell ref="H71:J74"/>
    <mergeCell ref="G82:J82"/>
    <mergeCell ref="G83:J84"/>
    <mergeCell ref="G85:J86"/>
    <mergeCell ref="G87:J88"/>
    <mergeCell ref="G89:J90"/>
    <mergeCell ref="J54:J56"/>
    <mergeCell ref="H59:J59"/>
    <mergeCell ref="H60:J63"/>
    <mergeCell ref="H64:J64"/>
    <mergeCell ref="H65:J66"/>
    <mergeCell ref="H67:J67"/>
    <mergeCell ref="H68:J69"/>
    <mergeCell ref="D83:D84"/>
    <mergeCell ref="D85:D86"/>
    <mergeCell ref="D87:D88"/>
    <mergeCell ref="D89:D90"/>
    <mergeCell ref="C120:C121"/>
    <mergeCell ref="D120:D121"/>
    <mergeCell ref="K111:K114"/>
    <mergeCell ref="K117:K120"/>
  </mergeCells>
  <conditionalFormatting sqref="K1:K15 K17:K125">
    <cfRule type="containsText" dxfId="0" priority="1" operator="containsText" text="361">
      <formula>NOT(ISERROR(SEARCH(("361"),(K1))))</formula>
    </cfRule>
  </conditionalFormatting>
  <conditionalFormatting sqref="K1:K15 K17:K125">
    <cfRule type="containsText" dxfId="1" priority="2" operator="containsText" text="363">
      <formula>NOT(ISERROR(SEARCH(("363"),(K1))))</formula>
    </cfRule>
  </conditionalFormatting>
  <conditionalFormatting sqref="K1:K15 K17:K125">
    <cfRule type="containsText" dxfId="1" priority="3" operator="containsText" text="365">
      <formula>NOT(ISERROR(SEARCH(("365"),(K1))))</formula>
    </cfRule>
  </conditionalFormatting>
  <conditionalFormatting sqref="K1:K15 K17:K125">
    <cfRule type="containsText" dxfId="1" priority="4" operator="containsText" text="366">
      <formula>NOT(ISERROR(SEARCH(("366"),(K1))))</formula>
    </cfRule>
  </conditionalFormatting>
  <conditionalFormatting sqref="K1:K15 K17:K125">
    <cfRule type="containsText" dxfId="1" priority="5" operator="containsText" text="367">
      <formula>NOT(ISERROR(SEARCH(("367"),(K1))))</formula>
    </cfRule>
  </conditionalFormatting>
  <conditionalFormatting sqref="P83:P90">
    <cfRule type="cellIs" dxfId="2" priority="6" operator="equal">
      <formula>"敵のみ"</formula>
    </cfRule>
  </conditionalFormatting>
  <conditionalFormatting sqref="C83:C90 E85:F85 K85:Q85 E89:F89 K89:O89 P89:P90 Q89">
    <cfRule type="cellIs" dxfId="3" priority="7" operator="equal">
      <formula>"-"</formula>
    </cfRule>
  </conditionalFormatting>
  <conditionalFormatting sqref="O1:O149 C66 E66:G66 K66:N66 P66:T66">
    <cfRule type="cellIs" dxfId="4" priority="8" operator="greaterThan">
      <formula>0</formula>
    </cfRule>
  </conditionalFormatting>
  <conditionalFormatting sqref="P1:Q149">
    <cfRule type="cellIs" dxfId="5" priority="9" operator="lessThan">
      <formula>1</formula>
    </cfRule>
  </conditionalFormatting>
  <conditionalFormatting sqref="P1:Q149">
    <cfRule type="cellIs" dxfId="4" priority="10" operator="greaterThan">
      <formula>1</formula>
    </cfRule>
  </conditionalFormatting>
  <conditionalFormatting sqref="N25:N90">
    <cfRule type="cellIs" dxfId="6" priority="11" operator="greaterThan">
      <formula>0</formula>
    </cfRule>
  </conditionalFormatting>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BC56"/>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739">
        <v>9.0</v>
      </c>
      <c r="B1" s="740"/>
      <c r="C1" s="741" t="str">
        <f>IMAGE(VLOOKUP($A$1,Fighters!A2:AI114,12,FALSE),1)</f>
        <v>#REF!</v>
      </c>
      <c r="D1" s="742"/>
      <c r="E1" s="742"/>
      <c r="F1" s="742"/>
      <c r="G1" s="743"/>
      <c r="H1" s="744"/>
      <c r="I1" s="742"/>
      <c r="J1" s="743"/>
      <c r="K1" s="745"/>
      <c r="L1" s="742"/>
      <c r="M1" s="743"/>
      <c r="N1" s="746"/>
      <c r="O1" s="746"/>
      <c r="P1" s="746"/>
      <c r="Q1" s="746"/>
      <c r="R1" s="747"/>
      <c r="S1" s="747"/>
      <c r="T1" s="747"/>
      <c r="U1" s="747"/>
      <c r="V1" s="747"/>
    </row>
    <row r="2">
      <c r="A2" s="748" t="str">
        <f>VLOOKUP($A$1,Fighters!$A$2:$AI$81,6,FALSE)</f>
        <v>#4ebc56</v>
      </c>
      <c r="B2" s="740"/>
      <c r="C2" s="749"/>
      <c r="G2" s="750"/>
      <c r="H2" s="751"/>
      <c r="I2" s="752"/>
      <c r="J2" s="753"/>
      <c r="K2" s="751"/>
      <c r="L2" s="752"/>
      <c r="M2" s="753"/>
      <c r="N2" s="746"/>
      <c r="O2" s="746"/>
      <c r="P2" s="746"/>
      <c r="Q2" s="746"/>
      <c r="R2" s="747"/>
      <c r="S2" s="747"/>
      <c r="T2" s="747"/>
      <c r="U2" s="747"/>
      <c r="V2" s="747"/>
    </row>
    <row r="3">
      <c r="A3" s="748" t="str">
        <f>VLOOKUP($A$1,Fighters!$A$2:$AI$81,14,FALSE)</f>
        <v>9. ルイージ</v>
      </c>
      <c r="B3" s="740"/>
      <c r="C3" s="749"/>
      <c r="G3" s="750"/>
      <c r="H3" s="754"/>
      <c r="I3" s="754"/>
      <c r="J3" s="754"/>
      <c r="K3" s="755"/>
      <c r="L3" s="755"/>
      <c r="M3" s="755"/>
      <c r="N3" s="746"/>
      <c r="O3" s="746"/>
      <c r="P3" s="746"/>
      <c r="Q3" s="746"/>
      <c r="R3" s="756"/>
      <c r="S3" s="747"/>
      <c r="T3" s="747"/>
      <c r="U3" s="747"/>
      <c r="V3" s="747"/>
    </row>
    <row r="4">
      <c r="A4" s="748" t="str">
        <f>VLOOKUP($A$1,Fighters!$A$2:$AI$81,13,FALSE)</f>
        <v>0</v>
      </c>
      <c r="B4" s="740"/>
      <c r="C4" s="749"/>
      <c r="G4" s="750"/>
      <c r="H4" s="757"/>
      <c r="I4" s="757"/>
      <c r="J4" s="754"/>
      <c r="K4" s="755"/>
      <c r="L4" s="755"/>
      <c r="M4" s="755"/>
      <c r="N4" s="746"/>
      <c r="O4" s="746"/>
      <c r="P4" s="746"/>
      <c r="Q4" s="746"/>
      <c r="R4" s="756"/>
      <c r="S4" s="747"/>
      <c r="T4" s="747"/>
      <c r="U4" s="747"/>
      <c r="V4" s="747"/>
    </row>
    <row r="5" ht="16.5" customHeight="1">
      <c r="A5" s="739"/>
      <c r="B5" s="740"/>
      <c r="C5" s="749"/>
      <c r="G5" s="750"/>
      <c r="H5" s="758"/>
      <c r="I5" s="758"/>
      <c r="J5" s="759"/>
      <c r="K5" s="760"/>
      <c r="L5" s="761"/>
      <c r="M5" s="761"/>
      <c r="N5" s="746"/>
      <c r="O5" s="746"/>
      <c r="P5" s="746"/>
      <c r="Q5" s="746"/>
      <c r="R5" s="756"/>
      <c r="S5" s="747"/>
      <c r="T5" s="747"/>
      <c r="U5" s="747"/>
      <c r="V5" s="747"/>
    </row>
    <row r="6">
      <c r="A6" s="740"/>
      <c r="B6" s="740"/>
      <c r="C6" s="749"/>
      <c r="G6" s="750"/>
      <c r="H6" s="757"/>
      <c r="I6" s="762" t="s">
        <v>39</v>
      </c>
      <c r="J6" s="760"/>
      <c r="K6" s="763"/>
      <c r="L6" s="761"/>
      <c r="M6" s="761"/>
      <c r="N6" s="746"/>
      <c r="O6" s="746"/>
      <c r="P6" s="746"/>
      <c r="Q6" s="746"/>
      <c r="R6" s="756"/>
      <c r="S6" s="747"/>
      <c r="T6" s="747"/>
      <c r="U6" s="747"/>
      <c r="V6" s="747"/>
    </row>
    <row r="7">
      <c r="A7" s="740"/>
      <c r="B7" s="740"/>
      <c r="C7" s="749"/>
      <c r="G7" s="750"/>
      <c r="H7" s="758"/>
      <c r="I7" s="758"/>
      <c r="J7" s="760"/>
      <c r="K7" s="763"/>
      <c r="L7" s="761"/>
      <c r="M7" s="761"/>
      <c r="N7" s="746"/>
      <c r="O7" s="746"/>
      <c r="P7" s="746"/>
      <c r="Q7" s="746"/>
      <c r="R7" s="756"/>
      <c r="S7" s="747"/>
      <c r="T7" s="747"/>
      <c r="U7" s="747"/>
      <c r="V7" s="747"/>
    </row>
    <row r="8">
      <c r="A8" s="740"/>
      <c r="B8" s="740"/>
      <c r="C8" s="749"/>
      <c r="G8" s="750"/>
      <c r="H8" s="764">
        <v>44379.84324362269</v>
      </c>
      <c r="I8" s="742"/>
      <c r="J8" s="743"/>
      <c r="K8" s="760"/>
      <c r="L8" s="761"/>
      <c r="M8" s="761"/>
      <c r="N8" s="746"/>
      <c r="O8" s="746"/>
      <c r="P8" s="746"/>
      <c r="Q8" s="746"/>
      <c r="R8" s="756"/>
      <c r="S8" s="747"/>
      <c r="T8" s="747"/>
      <c r="U8" s="747"/>
      <c r="V8" s="747"/>
    </row>
    <row r="9">
      <c r="A9" s="740"/>
      <c r="B9" s="740"/>
      <c r="C9" s="749"/>
      <c r="G9" s="750"/>
      <c r="H9" s="751"/>
      <c r="I9" s="752"/>
      <c r="J9" s="753"/>
      <c r="K9" s="747"/>
      <c r="L9" s="746"/>
      <c r="M9" s="746"/>
      <c r="N9" s="746"/>
      <c r="O9" s="746"/>
      <c r="P9" s="746"/>
      <c r="Q9" s="746"/>
      <c r="R9" s="756"/>
      <c r="S9" s="747"/>
      <c r="T9" s="747"/>
      <c r="U9" s="747"/>
      <c r="V9" s="747"/>
    </row>
    <row r="10">
      <c r="A10" s="740"/>
      <c r="B10" s="740"/>
      <c r="C10" s="749"/>
      <c r="G10" s="750"/>
      <c r="H10" s="765"/>
      <c r="I10" s="765"/>
      <c r="J10" s="747"/>
      <c r="K10" s="747"/>
      <c r="L10" s="746"/>
      <c r="M10" s="746"/>
      <c r="N10" s="746"/>
      <c r="O10" s="746"/>
      <c r="P10" s="746"/>
      <c r="Q10" s="746"/>
      <c r="R10" s="756"/>
      <c r="S10" s="747"/>
      <c r="T10" s="747"/>
      <c r="U10" s="747"/>
      <c r="V10" s="747"/>
    </row>
    <row r="11">
      <c r="A11" s="766" t="s">
        <v>40</v>
      </c>
      <c r="B11" s="743"/>
      <c r="C11" s="749"/>
      <c r="G11" s="750"/>
      <c r="H11" s="758"/>
      <c r="I11" s="758"/>
      <c r="J11" s="747"/>
      <c r="K11" s="747"/>
      <c r="L11" s="746"/>
      <c r="M11" s="746"/>
      <c r="N11" s="746"/>
      <c r="O11" s="746"/>
      <c r="P11" s="746"/>
      <c r="Q11" s="746"/>
      <c r="R11" s="756"/>
      <c r="S11" s="747"/>
      <c r="T11" s="747"/>
      <c r="U11" s="747"/>
      <c r="V11" s="747"/>
    </row>
    <row r="12">
      <c r="A12" s="751"/>
      <c r="B12" s="753"/>
      <c r="C12" s="751"/>
      <c r="D12" s="752"/>
      <c r="E12" s="752"/>
      <c r="F12" s="752"/>
      <c r="G12" s="753"/>
      <c r="H12" s="767"/>
      <c r="I12" s="767"/>
      <c r="J12" s="740"/>
      <c r="K12" s="740"/>
      <c r="L12" s="746"/>
      <c r="M12" s="746"/>
      <c r="N12" s="746"/>
      <c r="O12" s="746"/>
      <c r="P12" s="746"/>
      <c r="Q12" s="746"/>
      <c r="R12" s="756"/>
      <c r="S12" s="747"/>
      <c r="T12" s="747"/>
      <c r="U12" s="747"/>
      <c r="V12" s="747"/>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97 [37th]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45F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1.815 [62nd]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1.134 [40th]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67F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0.13046 [67th]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44 [4th]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1.65 [52nd]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32F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0.096 [65th]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19.98 [4th]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0.77 [88th]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0.075 [43rd]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41.31 [10th]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1.32 [77th]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2.112 [77th]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0.083 [61st]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7" t="s">
        <v>64</v>
      </c>
      <c r="D26" s="136" t="s">
        <v>959</v>
      </c>
      <c r="E26" s="137" t="s">
        <v>176</v>
      </c>
      <c r="F26" s="138">
        <v>2.4</v>
      </c>
      <c r="G26" s="139" t="s">
        <v>60</v>
      </c>
      <c r="H26" s="140" t="s">
        <v>960</v>
      </c>
      <c r="I26" s="110"/>
      <c r="J26" s="109"/>
      <c r="K26" s="141"/>
      <c r="L26" s="142"/>
      <c r="M26" s="143"/>
      <c r="N26" s="154"/>
      <c r="O26" s="768">
        <v>0.0</v>
      </c>
      <c r="P26" s="769">
        <v>1.0</v>
      </c>
      <c r="Q26" s="769">
        <v>1.0</v>
      </c>
      <c r="R26" s="100"/>
      <c r="S26" s="100"/>
      <c r="T26" s="100"/>
      <c r="U26" s="145" t="s">
        <v>69</v>
      </c>
      <c r="V26" s="100"/>
    </row>
    <row r="27" outlineLevel="1">
      <c r="A27" s="146"/>
      <c r="B27" s="147" t="s">
        <v>63</v>
      </c>
      <c r="C27" s="150" t="s">
        <v>71</v>
      </c>
      <c r="D27" s="149" t="s">
        <v>466</v>
      </c>
      <c r="E27" s="150" t="s">
        <v>176</v>
      </c>
      <c r="F27" s="138">
        <v>2.4</v>
      </c>
      <c r="G27" s="216" t="s">
        <v>60</v>
      </c>
      <c r="H27" s="140" t="s">
        <v>961</v>
      </c>
      <c r="I27" s="110"/>
      <c r="J27" s="109"/>
      <c r="K27" s="152"/>
      <c r="L27" s="153"/>
      <c r="M27" s="154"/>
      <c r="N27" s="154"/>
      <c r="O27" s="145">
        <v>0.0</v>
      </c>
      <c r="P27" s="145">
        <v>1.0</v>
      </c>
      <c r="Q27" s="145">
        <v>1.0</v>
      </c>
      <c r="R27" s="100"/>
      <c r="S27" s="100"/>
      <c r="T27" s="100"/>
      <c r="U27" s="145" t="s">
        <v>76</v>
      </c>
      <c r="V27" s="100"/>
    </row>
    <row r="28" outlineLevel="1">
      <c r="A28" s="156"/>
      <c r="B28" s="147" t="s">
        <v>70</v>
      </c>
      <c r="C28" s="150" t="s">
        <v>217</v>
      </c>
      <c r="D28" s="149" t="s">
        <v>164</v>
      </c>
      <c r="E28" s="150" t="s">
        <v>73</v>
      </c>
      <c r="F28" s="138">
        <v>4.8</v>
      </c>
      <c r="G28" s="216" t="s">
        <v>75</v>
      </c>
      <c r="H28" s="366"/>
      <c r="I28" s="110"/>
      <c r="J28" s="109"/>
      <c r="K28" s="152"/>
      <c r="L28" s="153"/>
      <c r="M28" s="154"/>
      <c r="N28" s="154"/>
      <c r="O28" s="145">
        <v>0.0</v>
      </c>
      <c r="P28" s="145">
        <v>1.0</v>
      </c>
      <c r="Q28" s="145">
        <v>1.0</v>
      </c>
      <c r="R28" s="100"/>
      <c r="S28" s="100"/>
      <c r="T28" s="100"/>
      <c r="U28" s="145" t="s">
        <v>76</v>
      </c>
      <c r="V28" s="100"/>
    </row>
    <row r="29" outlineLevel="1">
      <c r="A29" s="133" t="s">
        <v>77</v>
      </c>
      <c r="B29" s="147" t="s">
        <v>962</v>
      </c>
      <c r="C29" s="150" t="s">
        <v>963</v>
      </c>
      <c r="D29" s="406" t="s">
        <v>111</v>
      </c>
      <c r="E29" s="150" t="s">
        <v>176</v>
      </c>
      <c r="F29" s="138">
        <v>2.4</v>
      </c>
      <c r="G29" s="216" t="s">
        <v>60</v>
      </c>
      <c r="H29" s="368"/>
      <c r="I29" s="164"/>
      <c r="J29" s="104"/>
      <c r="K29" s="165"/>
      <c r="L29" s="153"/>
      <c r="M29" s="154"/>
      <c r="N29" s="154"/>
      <c r="O29" s="145">
        <v>0.0</v>
      </c>
      <c r="P29" s="145">
        <v>1.0</v>
      </c>
      <c r="Q29" s="145">
        <v>1.0</v>
      </c>
      <c r="R29" s="100"/>
      <c r="S29" s="100"/>
      <c r="T29" s="100"/>
      <c r="U29" s="166" t="s">
        <v>69</v>
      </c>
      <c r="V29" s="100"/>
    </row>
    <row r="30" outlineLevel="1">
      <c r="A30" s="156"/>
      <c r="B30" s="147" t="s">
        <v>521</v>
      </c>
      <c r="C30" s="150" t="s">
        <v>92</v>
      </c>
      <c r="D30" s="107"/>
      <c r="E30" s="150" t="s">
        <v>73</v>
      </c>
      <c r="F30" s="138">
        <v>4.8</v>
      </c>
      <c r="G30" s="216" t="s">
        <v>75</v>
      </c>
      <c r="H30" s="106"/>
      <c r="I30" s="168"/>
      <c r="J30" s="107"/>
      <c r="K30" s="169"/>
      <c r="L30" s="153"/>
      <c r="M30" s="154"/>
      <c r="N30" s="154"/>
      <c r="O30" s="145">
        <v>0.0</v>
      </c>
      <c r="P30" s="145">
        <v>1.0</v>
      </c>
      <c r="Q30" s="145">
        <v>1.0</v>
      </c>
      <c r="R30" s="100"/>
      <c r="S30" s="100"/>
      <c r="T30" s="100"/>
      <c r="U30" s="156"/>
      <c r="V30" s="100"/>
    </row>
    <row r="31" outlineLevel="1">
      <c r="A31" s="170" t="s">
        <v>89</v>
      </c>
      <c r="B31" s="147" t="s">
        <v>90</v>
      </c>
      <c r="C31" s="150" t="s">
        <v>91</v>
      </c>
      <c r="D31" s="149" t="s">
        <v>964</v>
      </c>
      <c r="E31" s="150" t="s">
        <v>274</v>
      </c>
      <c r="F31" s="138">
        <v>10.799999999999999</v>
      </c>
      <c r="G31" s="216" t="s">
        <v>275</v>
      </c>
      <c r="H31" s="366"/>
      <c r="I31" s="110"/>
      <c r="J31" s="109"/>
      <c r="K31" s="171"/>
      <c r="L31" s="153"/>
      <c r="M31" s="154"/>
      <c r="N31" s="154"/>
      <c r="O31" s="145">
        <v>0.0</v>
      </c>
      <c r="P31" s="145">
        <v>1.0</v>
      </c>
      <c r="Q31" s="145">
        <v>1.0</v>
      </c>
      <c r="R31" s="100"/>
      <c r="S31" s="100"/>
      <c r="T31" s="100"/>
      <c r="U31" s="145" t="s">
        <v>96</v>
      </c>
      <c r="V31" s="100"/>
    </row>
    <row r="32" outlineLevel="1">
      <c r="A32" s="170" t="s">
        <v>97</v>
      </c>
      <c r="B32" s="160"/>
      <c r="C32" s="150" t="s">
        <v>965</v>
      </c>
      <c r="D32" s="149" t="s">
        <v>105</v>
      </c>
      <c r="E32" s="150" t="s">
        <v>86</v>
      </c>
      <c r="F32" s="138">
        <v>7.199999999999999</v>
      </c>
      <c r="G32" s="216" t="s">
        <v>102</v>
      </c>
      <c r="H32" s="366"/>
      <c r="I32" s="110"/>
      <c r="J32" s="109"/>
      <c r="K32" s="169"/>
      <c r="L32" s="153"/>
      <c r="M32" s="154"/>
      <c r="N32" s="154"/>
      <c r="O32" s="145">
        <v>0.0</v>
      </c>
      <c r="P32" s="145">
        <v>1.0</v>
      </c>
      <c r="Q32" s="145">
        <v>1.0</v>
      </c>
      <c r="R32" s="100"/>
      <c r="S32" s="100"/>
      <c r="T32" s="100"/>
      <c r="U32" s="145"/>
      <c r="V32" s="100"/>
    </row>
    <row r="33" outlineLevel="1">
      <c r="A33" s="170" t="s">
        <v>103</v>
      </c>
      <c r="B33" s="160"/>
      <c r="C33" s="150" t="s">
        <v>713</v>
      </c>
      <c r="D33" s="149" t="s">
        <v>228</v>
      </c>
      <c r="E33" s="150" t="s">
        <v>150</v>
      </c>
      <c r="F33" s="138">
        <v>6.0</v>
      </c>
      <c r="G33" s="216" t="s">
        <v>102</v>
      </c>
      <c r="H33" s="366"/>
      <c r="I33" s="110"/>
      <c r="J33" s="109"/>
      <c r="K33" s="172"/>
      <c r="L33" s="154"/>
      <c r="M33" s="154"/>
      <c r="N33" s="154"/>
      <c r="O33" s="145">
        <v>0.0</v>
      </c>
      <c r="P33" s="145">
        <v>1.0</v>
      </c>
      <c r="Q33" s="145">
        <v>1.0</v>
      </c>
      <c r="R33" s="100"/>
      <c r="S33" s="100"/>
      <c r="T33" s="100"/>
      <c r="U33" s="145" t="s">
        <v>69</v>
      </c>
      <c r="V33" s="100"/>
    </row>
    <row r="34" outlineLevel="1">
      <c r="A34" s="133" t="s">
        <v>109</v>
      </c>
      <c r="B34" s="147" t="s">
        <v>276</v>
      </c>
      <c r="C34" s="523" t="s">
        <v>373</v>
      </c>
      <c r="D34" s="770" t="s">
        <v>384</v>
      </c>
      <c r="E34" s="523" t="s">
        <v>386</v>
      </c>
      <c r="F34" s="394">
        <v>18.0</v>
      </c>
      <c r="G34" s="455" t="s">
        <v>121</v>
      </c>
      <c r="H34" s="163" t="s">
        <v>966</v>
      </c>
      <c r="I34" s="164"/>
      <c r="J34" s="104"/>
      <c r="K34" s="152"/>
      <c r="L34" s="153"/>
      <c r="M34" s="154"/>
      <c r="N34" s="154"/>
      <c r="O34" s="145">
        <v>5.0</v>
      </c>
      <c r="P34" s="145">
        <v>1.0</v>
      </c>
      <c r="Q34" s="145">
        <v>1.0</v>
      </c>
      <c r="R34" s="100"/>
      <c r="S34" s="100"/>
      <c r="T34" s="100"/>
      <c r="U34" s="166" t="s">
        <v>102</v>
      </c>
      <c r="V34" s="100"/>
    </row>
    <row r="35" outlineLevel="1">
      <c r="A35" s="146"/>
      <c r="B35" s="147" t="s">
        <v>279</v>
      </c>
      <c r="C35" s="146"/>
      <c r="D35" s="210"/>
      <c r="E35" s="146"/>
      <c r="F35" s="146"/>
      <c r="G35" s="210"/>
      <c r="H35" s="212"/>
      <c r="J35" s="210"/>
      <c r="K35" s="152"/>
      <c r="L35" s="153"/>
      <c r="M35" s="154"/>
      <c r="N35" s="154"/>
      <c r="O35" s="145">
        <v>5.0</v>
      </c>
      <c r="P35" s="145">
        <v>1.0</v>
      </c>
      <c r="Q35" s="145">
        <v>1.0</v>
      </c>
      <c r="R35" s="100"/>
      <c r="S35" s="100"/>
      <c r="T35" s="100"/>
      <c r="U35" s="146"/>
      <c r="V35" s="100"/>
    </row>
    <row r="36" outlineLevel="1">
      <c r="A36" s="156"/>
      <c r="B36" s="147" t="s">
        <v>280</v>
      </c>
      <c r="C36" s="156"/>
      <c r="D36" s="107"/>
      <c r="E36" s="156"/>
      <c r="F36" s="156"/>
      <c r="G36" s="107"/>
      <c r="H36" s="106"/>
      <c r="I36" s="168"/>
      <c r="J36" s="107"/>
      <c r="K36" s="152"/>
      <c r="L36" s="153"/>
      <c r="M36" s="154"/>
      <c r="N36" s="154"/>
      <c r="O36" s="145">
        <v>5.0</v>
      </c>
      <c r="P36" s="145">
        <v>1.0</v>
      </c>
      <c r="Q36" s="145">
        <v>1.0</v>
      </c>
      <c r="R36" s="100"/>
      <c r="S36" s="100"/>
      <c r="T36" s="100"/>
      <c r="U36" s="156"/>
      <c r="V36" s="100"/>
    </row>
    <row r="37" outlineLevel="1">
      <c r="A37" s="170" t="s">
        <v>116</v>
      </c>
      <c r="B37" s="160"/>
      <c r="C37" s="514" t="s">
        <v>505</v>
      </c>
      <c r="D37" s="520" t="s">
        <v>118</v>
      </c>
      <c r="E37" s="514" t="s">
        <v>967</v>
      </c>
      <c r="F37" s="138" t="s">
        <v>968</v>
      </c>
      <c r="G37" s="467" t="s">
        <v>969</v>
      </c>
      <c r="H37" s="151" t="s">
        <v>970</v>
      </c>
      <c r="I37" s="110"/>
      <c r="J37" s="109"/>
      <c r="K37" s="174"/>
      <c r="L37" s="154"/>
      <c r="M37" s="154"/>
      <c r="N37" s="154"/>
      <c r="O37" s="145">
        <v>0.0</v>
      </c>
      <c r="P37" s="145">
        <v>1.0</v>
      </c>
      <c r="Q37" s="145">
        <v>1.0</v>
      </c>
      <c r="R37" s="100"/>
      <c r="S37" s="100"/>
      <c r="T37" s="100"/>
      <c r="U37" s="145" t="s">
        <v>123</v>
      </c>
      <c r="V37" s="100"/>
    </row>
    <row r="38" outlineLevel="1">
      <c r="A38" s="133" t="s">
        <v>124</v>
      </c>
      <c r="B38" s="147" t="s">
        <v>125</v>
      </c>
      <c r="C38" s="150" t="s">
        <v>217</v>
      </c>
      <c r="D38" s="770" t="s">
        <v>79</v>
      </c>
      <c r="E38" s="514" t="s">
        <v>646</v>
      </c>
      <c r="F38" s="138" t="s">
        <v>647</v>
      </c>
      <c r="G38" s="467" t="s">
        <v>637</v>
      </c>
      <c r="H38" s="163" t="s">
        <v>130</v>
      </c>
      <c r="I38" s="164"/>
      <c r="J38" s="104"/>
      <c r="K38" s="169"/>
      <c r="L38" s="153"/>
      <c r="M38" s="154"/>
      <c r="N38" s="154"/>
      <c r="O38" s="145">
        <v>0.0</v>
      </c>
      <c r="P38" s="145">
        <v>1.0</v>
      </c>
      <c r="Q38" s="145">
        <v>1.0</v>
      </c>
      <c r="R38" s="100"/>
      <c r="S38" s="100"/>
      <c r="T38" s="100"/>
      <c r="U38" s="166" t="s">
        <v>62</v>
      </c>
      <c r="V38" s="100"/>
    </row>
    <row r="39" outlineLevel="1">
      <c r="A39" s="156"/>
      <c r="B39" s="147" t="s">
        <v>131</v>
      </c>
      <c r="C39" s="150" t="s">
        <v>295</v>
      </c>
      <c r="D39" s="107"/>
      <c r="E39" s="514" t="s">
        <v>646</v>
      </c>
      <c r="F39" s="138" t="s">
        <v>647</v>
      </c>
      <c r="G39" s="467" t="s">
        <v>637</v>
      </c>
      <c r="H39" s="106"/>
      <c r="I39" s="168"/>
      <c r="J39" s="107"/>
      <c r="K39" s="169"/>
      <c r="L39" s="153"/>
      <c r="M39" s="154"/>
      <c r="N39" s="154"/>
      <c r="O39" s="145">
        <v>0.0</v>
      </c>
      <c r="P39" s="145">
        <v>1.0</v>
      </c>
      <c r="Q39" s="145">
        <v>1.0</v>
      </c>
      <c r="R39" s="100"/>
      <c r="S39" s="100"/>
      <c r="T39" s="100"/>
      <c r="U39" s="156"/>
      <c r="V39" s="100"/>
    </row>
    <row r="40" outlineLevel="1">
      <c r="A40" s="771" t="s">
        <v>16</v>
      </c>
      <c r="B40" s="109"/>
      <c r="C40" s="127" t="s">
        <v>48</v>
      </c>
      <c r="D40" s="128" t="s">
        <v>49</v>
      </c>
      <c r="E40" s="128" t="s">
        <v>50</v>
      </c>
      <c r="F40" s="129" t="s">
        <v>51</v>
      </c>
      <c r="G40" s="128" t="s">
        <v>52</v>
      </c>
      <c r="H40" s="361" t="s">
        <v>53</v>
      </c>
      <c r="I40" s="110"/>
      <c r="J40" s="109"/>
      <c r="K40" s="131" t="s">
        <v>137</v>
      </c>
      <c r="L40" s="131" t="s">
        <v>138</v>
      </c>
      <c r="M40" s="131" t="s">
        <v>139</v>
      </c>
      <c r="N40" s="131" t="s">
        <v>140</v>
      </c>
      <c r="O40" s="132" t="s">
        <v>141</v>
      </c>
      <c r="P40" s="131" t="s">
        <v>142</v>
      </c>
      <c r="Q40" s="132" t="s">
        <v>143</v>
      </c>
      <c r="R40" s="100"/>
      <c r="S40" s="100"/>
      <c r="T40" s="100"/>
      <c r="U40" s="127" t="s">
        <v>54</v>
      </c>
      <c r="V40" s="100"/>
    </row>
    <row r="41" outlineLevel="1">
      <c r="A41" s="170" t="s">
        <v>971</v>
      </c>
      <c r="B41" s="134"/>
      <c r="C41" s="137" t="s">
        <v>146</v>
      </c>
      <c r="D41" s="511" t="s">
        <v>777</v>
      </c>
      <c r="E41" s="511" t="s">
        <v>176</v>
      </c>
      <c r="F41" s="138">
        <v>2.4</v>
      </c>
      <c r="G41" s="113" t="s">
        <v>60</v>
      </c>
      <c r="H41" s="140" t="s">
        <v>972</v>
      </c>
      <c r="I41" s="110"/>
      <c r="J41" s="109"/>
      <c r="K41" s="248"/>
      <c r="L41" s="248"/>
      <c r="M41" s="772"/>
      <c r="N41" s="772"/>
      <c r="O41" s="145">
        <v>0.0</v>
      </c>
      <c r="P41" s="145">
        <v>1.0</v>
      </c>
      <c r="Q41" s="145">
        <v>1.0</v>
      </c>
      <c r="R41" s="100"/>
      <c r="S41" s="100"/>
      <c r="T41" s="100"/>
      <c r="U41" s="145" t="s">
        <v>62</v>
      </c>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372" t="str">
        <f>'テンプレート'!R56</f>
        <v>備考</v>
      </c>
      <c r="S44" s="110"/>
      <c r="T44" s="110"/>
      <c r="U44" s="110"/>
      <c r="V44" s="110"/>
    </row>
    <row r="45" outlineLevel="1">
      <c r="A45" s="188" t="s">
        <v>144</v>
      </c>
      <c r="B45" s="773"/>
      <c r="C45" s="534" t="s">
        <v>818</v>
      </c>
      <c r="D45" s="195" t="s">
        <v>393</v>
      </c>
      <c r="E45" s="453" t="s">
        <v>129</v>
      </c>
      <c r="F45" s="193">
        <v>14.4</v>
      </c>
      <c r="G45" s="193">
        <v>12.24</v>
      </c>
      <c r="H45" s="138" t="s">
        <v>75</v>
      </c>
      <c r="I45" s="454" t="str">
        <f t="array" ref="I45">INDEX('空中攻撃'!$O$3:$AA$109, MATCH($A$1,'空中攻撃'!$A$3:$A$109,0), MATCH(A45,'空中攻撃'!$O$2:$S$2,0))</f>
        <v>8</v>
      </c>
      <c r="J45" s="455" t="s">
        <v>973</v>
      </c>
      <c r="K45" s="141"/>
      <c r="L45" s="142"/>
      <c r="M45" s="143"/>
      <c r="N45" s="143"/>
      <c r="O45" s="145">
        <v>0.0</v>
      </c>
      <c r="P45" s="145">
        <v>1.0</v>
      </c>
      <c r="Q45" s="145">
        <v>1.0</v>
      </c>
      <c r="R45" s="619"/>
      <c r="S45" s="164"/>
      <c r="T45" s="164"/>
      <c r="U45" s="164"/>
      <c r="V45" s="104"/>
    </row>
    <row r="46" outlineLevel="1">
      <c r="A46" s="156"/>
      <c r="B46" s="206" t="s">
        <v>84</v>
      </c>
      <c r="C46" s="536" t="s">
        <v>974</v>
      </c>
      <c r="D46" s="107"/>
      <c r="E46" s="458" t="s">
        <v>86</v>
      </c>
      <c r="F46" s="193">
        <v>7.2</v>
      </c>
      <c r="G46" s="193">
        <v>6.12</v>
      </c>
      <c r="H46" s="138" t="s">
        <v>60</v>
      </c>
      <c r="I46" s="156"/>
      <c r="J46" s="107"/>
      <c r="K46" s="171"/>
      <c r="L46" s="153"/>
      <c r="M46" s="154"/>
      <c r="N46" s="154"/>
      <c r="O46" s="145">
        <v>0.0</v>
      </c>
      <c r="P46" s="145">
        <v>1.0</v>
      </c>
      <c r="Q46" s="145">
        <v>1.0</v>
      </c>
      <c r="R46" s="106"/>
      <c r="S46" s="168"/>
      <c r="T46" s="168"/>
      <c r="U46" s="168"/>
      <c r="V46" s="107"/>
    </row>
    <row r="47" outlineLevel="1">
      <c r="A47" s="213" t="s">
        <v>151</v>
      </c>
      <c r="B47" s="206"/>
      <c r="C47" s="536" t="s">
        <v>975</v>
      </c>
      <c r="D47" s="774">
        <v>23.0</v>
      </c>
      <c r="E47" s="458" t="s">
        <v>80</v>
      </c>
      <c r="F47" s="193">
        <v>9.6</v>
      </c>
      <c r="G47" s="193">
        <v>8.16</v>
      </c>
      <c r="H47" s="138" t="s">
        <v>147</v>
      </c>
      <c r="I47" s="621" t="str">
        <f t="array" ref="I47">INDEX('空中攻撃'!$O$3:$AA$109, MATCH($A$1,'空中攻撃'!$A$3:$A$109,0), MATCH(A47,'空中攻撃'!$O$2:$S$2,0))</f>
        <v>13</v>
      </c>
      <c r="J47" s="467" t="s">
        <v>976</v>
      </c>
      <c r="K47" s="171"/>
      <c r="L47" s="153"/>
      <c r="M47" s="154"/>
      <c r="N47" s="154"/>
      <c r="O47" s="145">
        <v>0.0</v>
      </c>
      <c r="P47" s="145">
        <v>1.0</v>
      </c>
      <c r="Q47" s="145">
        <v>1.0</v>
      </c>
      <c r="R47" s="622"/>
      <c r="S47" s="110"/>
      <c r="T47" s="110"/>
      <c r="U47" s="110"/>
      <c r="V47" s="109"/>
    </row>
    <row r="48" outlineLevel="1">
      <c r="A48" s="188" t="s">
        <v>157</v>
      </c>
      <c r="B48" s="206"/>
      <c r="C48" s="536" t="s">
        <v>217</v>
      </c>
      <c r="D48" s="195" t="s">
        <v>393</v>
      </c>
      <c r="E48" s="458" t="s">
        <v>977</v>
      </c>
      <c r="F48" s="193" t="s">
        <v>978</v>
      </c>
      <c r="G48" s="193" t="s">
        <v>979</v>
      </c>
      <c r="H48" s="138" t="s">
        <v>980</v>
      </c>
      <c r="I48" s="454">
        <f t="array" ref="I48">INDEX('空中攻撃'!$O$3:$AA$109, MATCH($A$1,'空中攻撃'!$A$3:$A$109,0), MATCH(A48,'空中攻撃'!$O$2:$S$2,0))</f>
        <v>10</v>
      </c>
      <c r="J48" s="455" t="s">
        <v>981</v>
      </c>
      <c r="K48" s="171"/>
      <c r="L48" s="153"/>
      <c r="M48" s="154"/>
      <c r="N48" s="154"/>
      <c r="O48" s="145">
        <v>0.0</v>
      </c>
      <c r="P48" s="145">
        <v>1.0</v>
      </c>
      <c r="Q48" s="145">
        <v>1.0</v>
      </c>
      <c r="R48" s="619"/>
      <c r="S48" s="164"/>
      <c r="T48" s="164"/>
      <c r="U48" s="164"/>
      <c r="V48" s="104"/>
    </row>
    <row r="49" outlineLevel="1">
      <c r="A49" s="156"/>
      <c r="B49" s="206" t="s">
        <v>84</v>
      </c>
      <c r="C49" s="536" t="s">
        <v>741</v>
      </c>
      <c r="D49" s="107"/>
      <c r="E49" s="458" t="s">
        <v>80</v>
      </c>
      <c r="F49" s="193">
        <v>9.6</v>
      </c>
      <c r="G49" s="193">
        <v>8.16</v>
      </c>
      <c r="H49" s="138" t="s">
        <v>147</v>
      </c>
      <c r="I49" s="156"/>
      <c r="J49" s="107"/>
      <c r="K49" s="171"/>
      <c r="L49" s="153"/>
      <c r="M49" s="154"/>
      <c r="N49" s="154"/>
      <c r="O49" s="145">
        <v>0.0</v>
      </c>
      <c r="P49" s="145">
        <v>1.0</v>
      </c>
      <c r="Q49" s="145">
        <v>1.0</v>
      </c>
      <c r="R49" s="106"/>
      <c r="S49" s="168"/>
      <c r="T49" s="168"/>
      <c r="U49" s="168"/>
      <c r="V49" s="107"/>
    </row>
    <row r="50" outlineLevel="1">
      <c r="A50" s="188" t="s">
        <v>162</v>
      </c>
      <c r="B50" s="206"/>
      <c r="C50" s="536" t="s">
        <v>91</v>
      </c>
      <c r="D50" s="195" t="s">
        <v>876</v>
      </c>
      <c r="E50" s="458" t="s">
        <v>232</v>
      </c>
      <c r="F50" s="193">
        <v>13.2</v>
      </c>
      <c r="G50" s="193">
        <v>11.22</v>
      </c>
      <c r="H50" s="138" t="s">
        <v>147</v>
      </c>
      <c r="I50" s="454" t="str">
        <f t="array" ref="I50">INDEX('空中攻撃'!$O$3:$AA$109, MATCH($A$1,'空中攻撃'!$A$3:$A$109,0), MATCH(A50,'空中攻撃'!$O$2:$S$2,0))</f>
        <v>7</v>
      </c>
      <c r="J50" s="455" t="s">
        <v>982</v>
      </c>
      <c r="K50" s="169"/>
      <c r="L50" s="153"/>
      <c r="M50" s="154"/>
      <c r="N50" s="154"/>
      <c r="O50" s="145">
        <v>0.0</v>
      </c>
      <c r="P50" s="145">
        <v>1.0</v>
      </c>
      <c r="Q50" s="145">
        <v>1.0</v>
      </c>
      <c r="R50" s="619"/>
      <c r="S50" s="164"/>
      <c r="T50" s="164"/>
      <c r="U50" s="164"/>
      <c r="V50" s="104"/>
    </row>
    <row r="51" outlineLevel="1">
      <c r="A51" s="156"/>
      <c r="B51" s="206" t="s">
        <v>84</v>
      </c>
      <c r="C51" s="536" t="s">
        <v>563</v>
      </c>
      <c r="D51" s="107"/>
      <c r="E51" s="458" t="s">
        <v>93</v>
      </c>
      <c r="F51" s="193">
        <v>8.4</v>
      </c>
      <c r="G51" s="193">
        <v>7.14</v>
      </c>
      <c r="H51" s="138" t="s">
        <v>60</v>
      </c>
      <c r="I51" s="156"/>
      <c r="J51" s="107"/>
      <c r="K51" s="169"/>
      <c r="L51" s="153"/>
      <c r="M51" s="154"/>
      <c r="N51" s="154"/>
      <c r="O51" s="145">
        <v>0.0</v>
      </c>
      <c r="P51" s="145">
        <v>1.0</v>
      </c>
      <c r="Q51" s="145">
        <v>1.0</v>
      </c>
      <c r="R51" s="106"/>
      <c r="S51" s="168"/>
      <c r="T51" s="168"/>
      <c r="U51" s="168"/>
      <c r="V51" s="107"/>
    </row>
    <row r="52" outlineLevel="1">
      <c r="A52" s="188" t="s">
        <v>166</v>
      </c>
      <c r="B52" s="206"/>
      <c r="C52" s="536" t="s">
        <v>128</v>
      </c>
      <c r="D52" s="452">
        <v>28.0</v>
      </c>
      <c r="E52" s="458" t="s">
        <v>128</v>
      </c>
      <c r="F52" s="193">
        <v>12.0</v>
      </c>
      <c r="G52" s="193">
        <v>10.2</v>
      </c>
      <c r="H52" s="138" t="s">
        <v>147</v>
      </c>
      <c r="I52" s="454">
        <f t="array" ref="I52">INDEX('空中攻撃'!$O$3:$AA$109, MATCH($A$1,'空中攻撃'!$A$3:$A$109,0), MATCH(A52,'空中攻撃'!$O$2:$S$2,0))</f>
        <v>12</v>
      </c>
      <c r="J52" s="455" t="s">
        <v>983</v>
      </c>
      <c r="K52" s="169"/>
      <c r="L52" s="153"/>
      <c r="M52" s="154"/>
      <c r="N52" s="154"/>
      <c r="O52" s="145">
        <v>0.0</v>
      </c>
      <c r="P52" s="145">
        <v>1.0</v>
      </c>
      <c r="Q52" s="145">
        <v>1.0</v>
      </c>
      <c r="R52" s="163"/>
      <c r="S52" s="164"/>
      <c r="T52" s="164"/>
      <c r="U52" s="164"/>
      <c r="V52" s="104"/>
    </row>
    <row r="53" outlineLevel="1">
      <c r="A53" s="156"/>
      <c r="B53" s="206" t="s">
        <v>84</v>
      </c>
      <c r="C53" s="536" t="s">
        <v>580</v>
      </c>
      <c r="D53" s="107"/>
      <c r="E53" s="458" t="s">
        <v>80</v>
      </c>
      <c r="F53" s="193">
        <v>9.6</v>
      </c>
      <c r="G53" s="193">
        <v>8.16</v>
      </c>
      <c r="H53" s="138" t="s">
        <v>147</v>
      </c>
      <c r="I53" s="156"/>
      <c r="J53" s="107"/>
      <c r="K53" s="169"/>
      <c r="L53" s="153"/>
      <c r="M53" s="154"/>
      <c r="N53" s="154"/>
      <c r="O53" s="145">
        <v>0.0</v>
      </c>
      <c r="P53" s="145">
        <v>1.0</v>
      </c>
      <c r="Q53" s="145">
        <v>1.0</v>
      </c>
      <c r="R53" s="106"/>
      <c r="S53" s="168"/>
      <c r="T53" s="168"/>
      <c r="U53" s="168"/>
      <c r="V53" s="107"/>
    </row>
    <row r="54" ht="51.75" customHeight="1" outlineLevel="1">
      <c r="A54" s="188" t="s">
        <v>587</v>
      </c>
      <c r="B54" s="525"/>
      <c r="C54" s="137" t="s">
        <v>984</v>
      </c>
      <c r="D54" s="239" t="s">
        <v>634</v>
      </c>
      <c r="E54" s="137" t="s">
        <v>150</v>
      </c>
      <c r="F54" s="138">
        <v>6.0</v>
      </c>
      <c r="G54" s="138">
        <v>6.0</v>
      </c>
      <c r="H54" s="138" t="s">
        <v>102</v>
      </c>
      <c r="I54" s="166" t="s">
        <v>985</v>
      </c>
      <c r="J54" s="394" t="s">
        <v>986</v>
      </c>
      <c r="K54" s="282"/>
      <c r="L54" s="282"/>
      <c r="M54" s="363"/>
      <c r="N54" s="363"/>
      <c r="O54" s="527">
        <v>0.0</v>
      </c>
      <c r="P54" s="527">
        <v>1.0</v>
      </c>
      <c r="Q54" s="527">
        <v>1.0</v>
      </c>
      <c r="R54" s="163" t="s">
        <v>987</v>
      </c>
      <c r="S54" s="164"/>
      <c r="T54" s="164"/>
      <c r="U54" s="164"/>
      <c r="V54" s="104"/>
    </row>
    <row r="55" ht="51.75" customHeight="1" outlineLevel="1">
      <c r="A55" s="156"/>
      <c r="B55" s="775" t="s">
        <v>174</v>
      </c>
      <c r="C55" s="137" t="s">
        <v>988</v>
      </c>
      <c r="D55" s="239" t="s">
        <v>718</v>
      </c>
      <c r="E55" s="137" t="s">
        <v>150</v>
      </c>
      <c r="F55" s="138">
        <v>6.0</v>
      </c>
      <c r="G55" s="138">
        <v>6.0</v>
      </c>
      <c r="H55" s="138" t="s">
        <v>102</v>
      </c>
      <c r="I55" s="156"/>
      <c r="J55" s="156"/>
      <c r="K55" s="282"/>
      <c r="L55" s="282"/>
      <c r="M55" s="363"/>
      <c r="N55" s="363"/>
      <c r="O55" s="527"/>
      <c r="P55" s="527"/>
      <c r="Q55" s="527"/>
      <c r="R55" s="106"/>
      <c r="S55" s="168"/>
      <c r="T55" s="168"/>
      <c r="U55" s="168"/>
      <c r="V55" s="107"/>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tr">
        <f>'テンプレート'!A71</f>
        <v>必殺ワザ</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
        <v>178</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184</v>
      </c>
      <c r="B59" s="238"/>
      <c r="C59" s="776" t="s">
        <v>989</v>
      </c>
      <c r="D59" s="455" t="s">
        <v>127</v>
      </c>
      <c r="E59" s="239" t="s">
        <v>86</v>
      </c>
      <c r="F59" s="138">
        <v>7.199999999999999</v>
      </c>
      <c r="G59" s="239" t="s">
        <v>60</v>
      </c>
      <c r="H59" s="550"/>
      <c r="I59" s="164"/>
      <c r="J59" s="104"/>
      <c r="K59" s="241"/>
      <c r="L59" s="142"/>
      <c r="M59" s="143"/>
      <c r="N59" s="143"/>
      <c r="O59" s="138">
        <v>0.0</v>
      </c>
      <c r="P59" s="138">
        <v>1.0</v>
      </c>
      <c r="Q59" s="138">
        <v>1.0</v>
      </c>
      <c r="R59" s="145" t="b">
        <v>1</v>
      </c>
      <c r="S59" s="145" t="b">
        <v>0</v>
      </c>
      <c r="T59" s="145" t="b">
        <v>1</v>
      </c>
      <c r="U59" s="166" t="s">
        <v>186</v>
      </c>
      <c r="V59" s="166" t="b">
        <v>1</v>
      </c>
    </row>
    <row r="60" outlineLevel="1">
      <c r="A60" s="146"/>
      <c r="B60" s="777" t="s">
        <v>84</v>
      </c>
      <c r="C60" s="398" t="s">
        <v>990</v>
      </c>
      <c r="D60" s="107"/>
      <c r="E60" s="239" t="s">
        <v>150</v>
      </c>
      <c r="F60" s="138">
        <v>6.0</v>
      </c>
      <c r="G60" s="239" t="s">
        <v>60</v>
      </c>
      <c r="H60" s="106"/>
      <c r="I60" s="168"/>
      <c r="J60" s="107"/>
      <c r="K60" s="152"/>
      <c r="L60" s="153"/>
      <c r="M60" s="154"/>
      <c r="N60" s="154"/>
      <c r="O60" s="138">
        <v>0.0</v>
      </c>
      <c r="P60" s="138">
        <v>1.0</v>
      </c>
      <c r="Q60" s="138">
        <v>1.0</v>
      </c>
      <c r="R60" s="145" t="b">
        <v>1</v>
      </c>
      <c r="S60" s="145" t="b">
        <v>0</v>
      </c>
      <c r="T60" s="145" t="b">
        <v>1</v>
      </c>
      <c r="U60" s="156"/>
      <c r="V60" s="156"/>
    </row>
    <row r="61" outlineLevel="1">
      <c r="A61" s="230" t="s">
        <v>991</v>
      </c>
      <c r="B61" s="109"/>
      <c r="C61" s="231" t="s">
        <v>48</v>
      </c>
      <c r="D61" s="231" t="s">
        <v>49</v>
      </c>
      <c r="E61" s="232" t="s">
        <v>50</v>
      </c>
      <c r="F61" s="233" t="s">
        <v>51</v>
      </c>
      <c r="G61" s="232" t="s">
        <v>52</v>
      </c>
      <c r="H61" s="382" t="s">
        <v>53</v>
      </c>
      <c r="I61" s="110"/>
      <c r="J61" s="109"/>
      <c r="K61" s="235" t="s">
        <v>137</v>
      </c>
      <c r="L61" s="235" t="s">
        <v>138</v>
      </c>
      <c r="M61" s="235" t="s">
        <v>139</v>
      </c>
      <c r="N61" s="235" t="s">
        <v>140</v>
      </c>
      <c r="O61" s="236" t="s">
        <v>141</v>
      </c>
      <c r="P61" s="235" t="s">
        <v>142</v>
      </c>
      <c r="Q61" s="236" t="s">
        <v>143</v>
      </c>
      <c r="R61" s="235" t="s">
        <v>179</v>
      </c>
      <c r="S61" s="236" t="s">
        <v>180</v>
      </c>
      <c r="T61" s="236" t="s">
        <v>181</v>
      </c>
      <c r="U61" s="236" t="s">
        <v>182</v>
      </c>
      <c r="V61" s="236" t="s">
        <v>183</v>
      </c>
    </row>
    <row r="62" outlineLevel="1">
      <c r="A62" s="237" t="s">
        <v>184</v>
      </c>
      <c r="B62" s="243" t="s">
        <v>473</v>
      </c>
      <c r="C62" s="244" t="s">
        <v>992</v>
      </c>
      <c r="D62" s="365" t="s">
        <v>993</v>
      </c>
      <c r="E62" s="239" t="s">
        <v>994</v>
      </c>
      <c r="F62" s="138" t="s">
        <v>995</v>
      </c>
      <c r="G62" s="239" t="s">
        <v>996</v>
      </c>
      <c r="H62" s="163" t="s">
        <v>997</v>
      </c>
      <c r="I62" s="164"/>
      <c r="J62" s="104"/>
      <c r="K62" s="248"/>
      <c r="L62" s="142"/>
      <c r="M62" s="143"/>
      <c r="N62" s="143"/>
      <c r="O62" s="778">
        <v>4.0</v>
      </c>
      <c r="P62" s="779">
        <v>1.0</v>
      </c>
      <c r="Q62" s="779">
        <v>1.0</v>
      </c>
      <c r="R62" s="145" t="b">
        <v>1</v>
      </c>
      <c r="S62" s="145" t="b">
        <v>0</v>
      </c>
      <c r="T62" s="145"/>
      <c r="U62" s="166" t="s">
        <v>198</v>
      </c>
      <c r="V62" s="166" t="b">
        <v>1</v>
      </c>
    </row>
    <row r="63" outlineLevel="1">
      <c r="A63" s="146"/>
      <c r="B63" s="243" t="s">
        <v>998</v>
      </c>
      <c r="C63" s="244" t="s">
        <v>992</v>
      </c>
      <c r="D63" s="365" t="s">
        <v>993</v>
      </c>
      <c r="E63" s="139" t="s">
        <v>92</v>
      </c>
      <c r="F63" s="138">
        <v>30.0</v>
      </c>
      <c r="G63" s="139" t="s">
        <v>348</v>
      </c>
      <c r="H63" s="212"/>
      <c r="J63" s="210"/>
      <c r="K63" s="248"/>
      <c r="L63" s="142"/>
      <c r="M63" s="143"/>
      <c r="N63" s="143"/>
      <c r="O63" s="778">
        <v>4.0</v>
      </c>
      <c r="P63" s="779">
        <v>1.0</v>
      </c>
      <c r="Q63" s="779">
        <v>1.0</v>
      </c>
      <c r="R63" s="145" t="b">
        <v>1</v>
      </c>
      <c r="S63" s="145"/>
      <c r="T63" s="145"/>
      <c r="U63" s="146"/>
      <c r="V63" s="146"/>
    </row>
    <row r="64" outlineLevel="1">
      <c r="A64" s="146"/>
      <c r="B64" s="243" t="s">
        <v>999</v>
      </c>
      <c r="C64" s="702"/>
      <c r="D64" s="780" t="s">
        <v>335</v>
      </c>
      <c r="E64" s="781"/>
      <c r="F64" s="782"/>
      <c r="G64" s="782"/>
      <c r="H64" s="212"/>
      <c r="J64" s="210"/>
      <c r="K64" s="263"/>
      <c r="L64" s="783"/>
      <c r="M64" s="783"/>
      <c r="N64" s="783"/>
      <c r="O64" s="263"/>
      <c r="P64" s="783"/>
      <c r="Q64" s="783"/>
      <c r="R64" s="263"/>
      <c r="S64" s="263"/>
      <c r="T64" s="263"/>
      <c r="U64" s="146"/>
      <c r="V64" s="146"/>
    </row>
    <row r="65" outlineLevel="1">
      <c r="A65" s="146"/>
      <c r="B65" s="243" t="s">
        <v>1000</v>
      </c>
      <c r="C65" s="702"/>
      <c r="D65" s="214" t="s">
        <v>164</v>
      </c>
      <c r="E65" s="781"/>
      <c r="F65" s="782"/>
      <c r="G65" s="782"/>
      <c r="H65" s="212"/>
      <c r="J65" s="210"/>
      <c r="K65" s="263"/>
      <c r="L65" s="783"/>
      <c r="M65" s="783"/>
      <c r="N65" s="783"/>
      <c r="O65" s="263"/>
      <c r="P65" s="783"/>
      <c r="Q65" s="783"/>
      <c r="R65" s="263"/>
      <c r="S65" s="263"/>
      <c r="T65" s="263"/>
      <c r="U65" s="146"/>
      <c r="V65" s="146"/>
    </row>
    <row r="66" outlineLevel="1">
      <c r="A66" s="146"/>
      <c r="B66" s="243" t="s">
        <v>1001</v>
      </c>
      <c r="C66" s="702"/>
      <c r="D66" s="214" t="s">
        <v>718</v>
      </c>
      <c r="E66" s="781"/>
      <c r="F66" s="782"/>
      <c r="G66" s="782"/>
      <c r="H66" s="212"/>
      <c r="J66" s="210"/>
      <c r="K66" s="263"/>
      <c r="L66" s="783"/>
      <c r="M66" s="783"/>
      <c r="N66" s="783"/>
      <c r="O66" s="263"/>
      <c r="P66" s="783"/>
      <c r="Q66" s="783"/>
      <c r="R66" s="263"/>
      <c r="S66" s="263"/>
      <c r="T66" s="263"/>
      <c r="U66" s="146"/>
      <c r="V66" s="146"/>
    </row>
    <row r="67" outlineLevel="1">
      <c r="A67" s="146"/>
      <c r="B67" s="243" t="s">
        <v>1002</v>
      </c>
      <c r="C67" s="702"/>
      <c r="D67" s="214" t="s">
        <v>118</v>
      </c>
      <c r="E67" s="702"/>
      <c r="F67" s="784"/>
      <c r="G67" s="784"/>
      <c r="H67" s="212"/>
      <c r="J67" s="210"/>
      <c r="K67" s="263"/>
      <c r="L67" s="263"/>
      <c r="M67" s="263"/>
      <c r="N67" s="263"/>
      <c r="O67" s="263"/>
      <c r="P67" s="263"/>
      <c r="Q67" s="263"/>
      <c r="R67" s="263"/>
      <c r="S67" s="263"/>
      <c r="T67" s="263"/>
      <c r="U67" s="146"/>
      <c r="V67" s="146"/>
    </row>
    <row r="68" outlineLevel="1">
      <c r="A68" s="146"/>
      <c r="B68" s="243" t="s">
        <v>1003</v>
      </c>
      <c r="C68" s="702"/>
      <c r="D68" s="214" t="s">
        <v>1004</v>
      </c>
      <c r="E68" s="781"/>
      <c r="F68" s="782"/>
      <c r="G68" s="782"/>
      <c r="H68" s="106"/>
      <c r="I68" s="168"/>
      <c r="J68" s="107"/>
      <c r="K68" s="263"/>
      <c r="L68" s="263"/>
      <c r="M68" s="263"/>
      <c r="N68" s="263"/>
      <c r="O68" s="263"/>
      <c r="P68" s="263"/>
      <c r="Q68" s="263"/>
      <c r="R68" s="263"/>
      <c r="S68" s="263"/>
      <c r="T68" s="263"/>
      <c r="U68" s="156"/>
      <c r="V68" s="156"/>
    </row>
    <row r="69" outlineLevel="1">
      <c r="A69" s="230" t="s">
        <v>195</v>
      </c>
      <c r="B69" s="109"/>
      <c r="C69" s="231" t="s">
        <v>48</v>
      </c>
      <c r="D69" s="231" t="s">
        <v>49</v>
      </c>
      <c r="E69" s="232" t="s">
        <v>50</v>
      </c>
      <c r="F69" s="233" t="s">
        <v>51</v>
      </c>
      <c r="G69" s="232" t="s">
        <v>52</v>
      </c>
      <c r="H69" s="382" t="s">
        <v>53</v>
      </c>
      <c r="I69" s="110"/>
      <c r="J69" s="109"/>
      <c r="K69" s="235" t="s">
        <v>137</v>
      </c>
      <c r="L69" s="235" t="s">
        <v>138</v>
      </c>
      <c r="M69" s="235" t="s">
        <v>139</v>
      </c>
      <c r="N69" s="235" t="s">
        <v>140</v>
      </c>
      <c r="O69" s="236" t="s">
        <v>141</v>
      </c>
      <c r="P69" s="235" t="s">
        <v>142</v>
      </c>
      <c r="Q69" s="236" t="s">
        <v>143</v>
      </c>
      <c r="R69" s="235" t="s">
        <v>179</v>
      </c>
      <c r="S69" s="236" t="s">
        <v>180</v>
      </c>
      <c r="T69" s="236" t="s">
        <v>181</v>
      </c>
      <c r="U69" s="236" t="s">
        <v>182</v>
      </c>
      <c r="V69" s="236" t="s">
        <v>183</v>
      </c>
    </row>
    <row r="70" outlineLevel="1">
      <c r="A70" s="237" t="s">
        <v>332</v>
      </c>
      <c r="B70" s="405"/>
      <c r="C70" s="136" t="s">
        <v>80</v>
      </c>
      <c r="D70" s="400"/>
      <c r="E70" s="239" t="s">
        <v>92</v>
      </c>
      <c r="F70" s="138">
        <v>30.0</v>
      </c>
      <c r="G70" s="239" t="s">
        <v>348</v>
      </c>
      <c r="H70" s="283" t="s">
        <v>1005</v>
      </c>
      <c r="I70" s="164"/>
      <c r="J70" s="104"/>
      <c r="K70" s="251"/>
      <c r="L70" s="252"/>
      <c r="M70" s="253"/>
      <c r="N70" s="165"/>
      <c r="O70" s="138">
        <v>0.0</v>
      </c>
      <c r="P70" s="138">
        <v>1.0</v>
      </c>
      <c r="Q70" s="138">
        <v>1.0</v>
      </c>
      <c r="R70" s="145" t="b">
        <v>1</v>
      </c>
      <c r="S70" s="145" t="b">
        <v>0</v>
      </c>
      <c r="T70" s="145"/>
      <c r="U70" s="166" t="s">
        <v>1006</v>
      </c>
      <c r="V70" s="166" t="b">
        <v>0</v>
      </c>
    </row>
    <row r="71" outlineLevel="1">
      <c r="A71" s="146"/>
      <c r="B71" s="255" t="s">
        <v>84</v>
      </c>
      <c r="C71" s="149" t="s">
        <v>1007</v>
      </c>
      <c r="D71" s="146"/>
      <c r="E71" s="239" t="s">
        <v>213</v>
      </c>
      <c r="F71" s="138">
        <v>1.2</v>
      </c>
      <c r="G71" s="239" t="s">
        <v>170</v>
      </c>
      <c r="H71" s="212"/>
      <c r="J71" s="210"/>
      <c r="K71" s="165"/>
      <c r="L71" s="256"/>
      <c r="M71" s="257"/>
      <c r="N71" s="165"/>
      <c r="O71" s="138">
        <v>0.0</v>
      </c>
      <c r="P71" s="138">
        <v>1.0</v>
      </c>
      <c r="Q71" s="138">
        <v>1.0</v>
      </c>
      <c r="R71" s="145" t="b">
        <v>1</v>
      </c>
      <c r="S71" s="145" t="b">
        <v>0</v>
      </c>
      <c r="T71" s="145"/>
      <c r="U71" s="146"/>
      <c r="V71" s="146"/>
    </row>
    <row r="72" outlineLevel="1">
      <c r="A72" s="237" t="s">
        <v>344</v>
      </c>
      <c r="B72" s="407"/>
      <c r="C72" s="149" t="s">
        <v>86</v>
      </c>
      <c r="D72" s="146"/>
      <c r="E72" s="239" t="s">
        <v>718</v>
      </c>
      <c r="F72" s="138">
        <v>24.0</v>
      </c>
      <c r="G72" s="239" t="s">
        <v>1008</v>
      </c>
      <c r="H72" s="212"/>
      <c r="J72" s="210"/>
      <c r="K72" s="165"/>
      <c r="L72" s="256"/>
      <c r="M72" s="257"/>
      <c r="N72" s="165"/>
      <c r="O72" s="138">
        <v>0.0</v>
      </c>
      <c r="P72" s="138">
        <v>1.0</v>
      </c>
      <c r="Q72" s="138">
        <v>1.0</v>
      </c>
      <c r="R72" s="145" t="b">
        <v>1</v>
      </c>
      <c r="S72" s="145" t="b">
        <v>0</v>
      </c>
      <c r="T72" s="145"/>
      <c r="U72" s="166" t="s">
        <v>1009</v>
      </c>
      <c r="V72" s="166" t="b">
        <v>0</v>
      </c>
    </row>
    <row r="73" outlineLevel="1">
      <c r="A73" s="146"/>
      <c r="B73" s="255" t="s">
        <v>84</v>
      </c>
      <c r="C73" s="149" t="s">
        <v>831</v>
      </c>
      <c r="D73" s="156"/>
      <c r="E73" s="239" t="s">
        <v>213</v>
      </c>
      <c r="F73" s="138">
        <v>1.2</v>
      </c>
      <c r="G73" s="239" t="s">
        <v>170</v>
      </c>
      <c r="H73" s="106"/>
      <c r="I73" s="168"/>
      <c r="J73" s="107"/>
      <c r="K73" s="165"/>
      <c r="L73" s="256"/>
      <c r="M73" s="257"/>
      <c r="N73" s="257"/>
      <c r="O73" s="138">
        <v>0.0</v>
      </c>
      <c r="P73" s="138">
        <v>1.0</v>
      </c>
      <c r="Q73" s="138">
        <v>1.0</v>
      </c>
      <c r="R73" s="145" t="b">
        <v>1</v>
      </c>
      <c r="S73" s="145" t="b">
        <v>0</v>
      </c>
      <c r="T73" s="145"/>
      <c r="U73" s="146"/>
      <c r="V73" s="146"/>
    </row>
    <row r="74" outlineLevel="1">
      <c r="A74" s="230" t="s">
        <v>1010</v>
      </c>
      <c r="B74" s="109"/>
      <c r="C74" s="231" t="s">
        <v>48</v>
      </c>
      <c r="D74" s="231" t="s">
        <v>49</v>
      </c>
      <c r="E74" s="232" t="s">
        <v>50</v>
      </c>
      <c r="F74" s="233" t="s">
        <v>51</v>
      </c>
      <c r="G74" s="232" t="s">
        <v>52</v>
      </c>
      <c r="H74" s="382" t="s">
        <v>53</v>
      </c>
      <c r="I74" s="110"/>
      <c r="J74" s="109"/>
      <c r="K74" s="235" t="s">
        <v>137</v>
      </c>
      <c r="L74" s="235" t="s">
        <v>138</v>
      </c>
      <c r="M74" s="235" t="s">
        <v>139</v>
      </c>
      <c r="N74" s="235" t="s">
        <v>140</v>
      </c>
      <c r="O74" s="236" t="s">
        <v>141</v>
      </c>
      <c r="P74" s="235" t="s">
        <v>142</v>
      </c>
      <c r="Q74" s="236" t="s">
        <v>143</v>
      </c>
      <c r="R74" s="235" t="s">
        <v>179</v>
      </c>
      <c r="S74" s="236" t="s">
        <v>180</v>
      </c>
      <c r="T74" s="236" t="s">
        <v>181</v>
      </c>
      <c r="U74" s="236" t="s">
        <v>182</v>
      </c>
      <c r="V74" s="236" t="s">
        <v>183</v>
      </c>
    </row>
    <row r="75" outlineLevel="1">
      <c r="A75" s="237" t="s">
        <v>184</v>
      </c>
      <c r="B75" s="249" t="s">
        <v>199</v>
      </c>
      <c r="C75" s="260" t="s">
        <v>1011</v>
      </c>
      <c r="D75" s="367" t="s">
        <v>763</v>
      </c>
      <c r="E75" s="736" t="s">
        <v>1012</v>
      </c>
      <c r="F75" s="138">
        <v>0.0</v>
      </c>
      <c r="G75" s="782"/>
      <c r="H75" s="283" t="s">
        <v>1013</v>
      </c>
      <c r="I75" s="164"/>
      <c r="J75" s="104"/>
      <c r="K75" s="251"/>
      <c r="L75" s="252"/>
      <c r="M75" s="253"/>
      <c r="N75" s="253"/>
      <c r="O75" s="251"/>
      <c r="P75" s="252"/>
      <c r="Q75" s="252"/>
      <c r="R75" s="145" t="b">
        <v>0</v>
      </c>
      <c r="S75" s="145" t="b">
        <v>0</v>
      </c>
      <c r="T75" s="145" t="b">
        <v>0</v>
      </c>
      <c r="U75" s="166" t="s">
        <v>186</v>
      </c>
      <c r="V75" s="166" t="b">
        <v>1</v>
      </c>
    </row>
    <row r="76" outlineLevel="1">
      <c r="A76" s="156"/>
      <c r="B76" s="249" t="s">
        <v>202</v>
      </c>
      <c r="C76" s="260" t="s">
        <v>628</v>
      </c>
      <c r="D76" s="156"/>
      <c r="E76" s="260" t="s">
        <v>73</v>
      </c>
      <c r="F76" s="138">
        <v>4.8</v>
      </c>
      <c r="G76" s="239" t="s">
        <v>75</v>
      </c>
      <c r="H76" s="106"/>
      <c r="I76" s="168"/>
      <c r="J76" s="107"/>
      <c r="K76" s="251"/>
      <c r="L76" s="252"/>
      <c r="M76" s="253"/>
      <c r="N76" s="253"/>
      <c r="O76" s="251">
        <v>0.0</v>
      </c>
      <c r="P76" s="252">
        <v>1.0</v>
      </c>
      <c r="Q76" s="252">
        <v>1.0</v>
      </c>
      <c r="R76" s="145" t="b">
        <v>1</v>
      </c>
      <c r="S76" s="145" t="b">
        <v>0</v>
      </c>
      <c r="T76" s="145" t="b">
        <v>0</v>
      </c>
      <c r="U76" s="156"/>
      <c r="V76" s="156"/>
    </row>
    <row r="77">
      <c r="A77" s="223"/>
      <c r="B77" s="224"/>
      <c r="C77" s="225"/>
      <c r="D77" s="225"/>
      <c r="E77" s="226"/>
      <c r="F77" s="226"/>
      <c r="G77" s="226"/>
      <c r="H77" s="227"/>
      <c r="I77" s="227"/>
      <c r="J77" s="228"/>
      <c r="K77" s="228"/>
      <c r="L77" s="228"/>
      <c r="M77" s="228"/>
      <c r="N77" s="228"/>
      <c r="O77" s="228"/>
      <c r="P77" s="228"/>
      <c r="Q77" s="118"/>
      <c r="R77" s="118"/>
      <c r="S77" s="118"/>
      <c r="T77" s="118"/>
      <c r="U77" s="118"/>
      <c r="V77" s="118"/>
    </row>
    <row r="78">
      <c r="A78" s="264" t="s">
        <v>211</v>
      </c>
      <c r="B78" s="104"/>
      <c r="C78" s="227"/>
      <c r="D78" s="227"/>
      <c r="E78" s="228"/>
      <c r="F78" s="265"/>
      <c r="G78" s="265"/>
      <c r="H78" s="228"/>
      <c r="I78" s="228"/>
      <c r="J78" s="228"/>
      <c r="K78" s="228"/>
      <c r="L78" s="228"/>
      <c r="M78" s="228"/>
      <c r="N78" s="118"/>
      <c r="O78" s="118"/>
      <c r="P78" s="118"/>
      <c r="Q78" s="228"/>
      <c r="R78" s="228"/>
      <c r="S78" s="228"/>
      <c r="T78" s="228"/>
      <c r="U78" s="228"/>
      <c r="V78" s="228"/>
    </row>
    <row r="79" outlineLevel="1">
      <c r="A79" s="106"/>
      <c r="B79" s="107"/>
      <c r="C79" s="266" t="s">
        <v>48</v>
      </c>
      <c r="D79" s="266" t="s">
        <v>49</v>
      </c>
      <c r="E79" s="266" t="s">
        <v>50</v>
      </c>
      <c r="F79" s="275" t="s">
        <v>51</v>
      </c>
      <c r="G79" s="274" t="s">
        <v>53</v>
      </c>
      <c r="H79" s="110"/>
      <c r="I79" s="110"/>
      <c r="J79" s="109"/>
      <c r="K79" s="228"/>
      <c r="L79" s="228"/>
      <c r="M79" s="228"/>
      <c r="N79" s="228"/>
      <c r="O79" s="228"/>
      <c r="P79" s="228"/>
      <c r="Q79" s="228"/>
      <c r="R79" s="228"/>
      <c r="S79" s="228"/>
      <c r="T79" s="228"/>
      <c r="U79" s="228"/>
      <c r="V79" s="228"/>
    </row>
    <row r="80" outlineLevel="1">
      <c r="A80" s="268" t="s">
        <v>212</v>
      </c>
      <c r="B80" s="269" t="s">
        <v>212</v>
      </c>
      <c r="C80" s="239" t="s">
        <v>213</v>
      </c>
      <c r="D80" s="239" t="s">
        <v>86</v>
      </c>
      <c r="E80" s="239" t="s">
        <v>214</v>
      </c>
      <c r="F80" s="138">
        <v>1.56</v>
      </c>
      <c r="G80" s="785"/>
      <c r="H80" s="110"/>
      <c r="I80" s="110"/>
      <c r="J80" s="109"/>
      <c r="K80" s="228"/>
      <c r="L80" s="228"/>
      <c r="M80" s="228"/>
      <c r="N80" s="228"/>
      <c r="O80" s="228"/>
      <c r="P80" s="228"/>
      <c r="Q80" s="228"/>
      <c r="R80" s="228"/>
      <c r="S80" s="228"/>
      <c r="T80" s="228"/>
      <c r="U80" s="228"/>
      <c r="V80" s="228"/>
    </row>
    <row r="81" outlineLevel="1">
      <c r="A81" s="270" t="s">
        <v>215</v>
      </c>
      <c r="B81" s="269" t="s">
        <v>216</v>
      </c>
      <c r="C81" s="239" t="s">
        <v>1014</v>
      </c>
      <c r="D81" s="239" t="s">
        <v>111</v>
      </c>
      <c r="E81" s="301"/>
      <c r="F81" s="301"/>
      <c r="G81" s="786" t="s">
        <v>1015</v>
      </c>
      <c r="H81" s="110"/>
      <c r="I81" s="110"/>
      <c r="J81" s="109"/>
      <c r="K81" s="228"/>
      <c r="L81" s="228"/>
      <c r="M81" s="228"/>
      <c r="N81" s="228"/>
      <c r="O81" s="228"/>
      <c r="P81" s="228"/>
      <c r="Q81" s="228"/>
      <c r="R81" s="228"/>
      <c r="S81" s="228"/>
      <c r="T81" s="228"/>
      <c r="U81" s="228"/>
      <c r="V81" s="228"/>
    </row>
    <row r="82" outlineLevel="1">
      <c r="A82" s="212"/>
      <c r="B82" s="269" t="s">
        <v>219</v>
      </c>
      <c r="C82" s="239" t="s">
        <v>1016</v>
      </c>
      <c r="D82" s="239" t="s">
        <v>455</v>
      </c>
      <c r="E82" s="301"/>
      <c r="F82" s="301"/>
      <c r="G82" s="786" t="s">
        <v>1017</v>
      </c>
      <c r="H82" s="110"/>
      <c r="I82" s="110"/>
      <c r="J82" s="109"/>
      <c r="K82" s="228"/>
      <c r="L82" s="228"/>
      <c r="M82" s="228"/>
      <c r="N82" s="228"/>
      <c r="O82" s="228"/>
      <c r="P82" s="228"/>
      <c r="Q82" s="228"/>
      <c r="R82" s="228"/>
      <c r="S82" s="228"/>
      <c r="T82" s="228"/>
      <c r="U82" s="228"/>
      <c r="V82" s="228"/>
    </row>
    <row r="83" outlineLevel="1">
      <c r="A83" s="106"/>
      <c r="B83" s="269" t="s">
        <v>222</v>
      </c>
      <c r="C83" s="239" t="s">
        <v>1018</v>
      </c>
      <c r="D83" s="239" t="s">
        <v>185</v>
      </c>
      <c r="E83" s="261"/>
      <c r="F83" s="301"/>
      <c r="G83" s="786" t="s">
        <v>1019</v>
      </c>
      <c r="H83" s="110"/>
      <c r="I83" s="110"/>
      <c r="J83" s="109"/>
      <c r="K83" s="228"/>
      <c r="L83" s="228"/>
      <c r="M83" s="228"/>
      <c r="N83" s="228"/>
      <c r="O83" s="228"/>
      <c r="P83" s="228"/>
      <c r="Q83" s="228"/>
      <c r="R83" s="228"/>
      <c r="S83" s="228"/>
      <c r="T83" s="228"/>
      <c r="U83" s="228"/>
      <c r="V83" s="228"/>
    </row>
    <row r="84" outlineLevel="1">
      <c r="A84" s="273" t="s">
        <v>225</v>
      </c>
      <c r="B84" s="109"/>
      <c r="C84" s="266" t="s">
        <v>48</v>
      </c>
      <c r="D84" s="266" t="s">
        <v>49</v>
      </c>
      <c r="E84" s="266" t="s">
        <v>50</v>
      </c>
      <c r="F84" s="267" t="s">
        <v>51</v>
      </c>
      <c r="G84" s="274" t="s">
        <v>53</v>
      </c>
      <c r="H84" s="110"/>
      <c r="I84" s="110"/>
      <c r="J84" s="109"/>
      <c r="K84" s="275" t="str">
        <f>'テンプレート'!K97</f>
        <v>ベクトル</v>
      </c>
      <c r="L84" s="275" t="str">
        <f>'テンプレート'!L97</f>
        <v>KBG (R.E.)</v>
      </c>
      <c r="M84" s="275" t="str">
        <f>'テンプレート'!M97</f>
        <v>BKB (R.A.)</v>
      </c>
      <c r="N84" s="275" t="str">
        <f>'テンプレート'!N97</f>
        <v>FKB (R.F.)</v>
      </c>
      <c r="O84" s="276" t="str">
        <f>'テンプレート'!O97</f>
        <v>盾削り値</v>
      </c>
      <c r="P84" s="275" t="str">
        <f>'テンプレート'!P97</f>
        <v>ﾋｯﾄｽﾄｯﾌﾟ</v>
      </c>
      <c r="Q84" s="276" t="str">
        <f>'テンプレート'!Q97</f>
        <v>ずらし</v>
      </c>
      <c r="R84" s="277"/>
      <c r="S84" s="277"/>
      <c r="T84" s="277"/>
      <c r="U84" s="277"/>
      <c r="V84" s="277"/>
    </row>
    <row r="85" outlineLevel="1">
      <c r="A85" s="278" t="s">
        <v>226</v>
      </c>
      <c r="B85" s="269" t="s">
        <v>227</v>
      </c>
      <c r="C85" s="553"/>
      <c r="D85" s="367" t="s">
        <v>79</v>
      </c>
      <c r="E85" s="553"/>
      <c r="F85" s="261"/>
      <c r="G85" s="413" t="s">
        <v>1020</v>
      </c>
      <c r="H85" s="164"/>
      <c r="I85" s="164"/>
      <c r="J85" s="104"/>
      <c r="K85" s="261"/>
      <c r="L85" s="261"/>
      <c r="M85" s="261"/>
      <c r="N85" s="261"/>
      <c r="O85" s="261"/>
      <c r="P85" s="261"/>
      <c r="Q85" s="261"/>
      <c r="R85" s="277"/>
      <c r="S85" s="228"/>
      <c r="T85" s="228"/>
      <c r="U85" s="228"/>
    </row>
    <row r="86" outlineLevel="1">
      <c r="A86" s="156"/>
      <c r="B86" s="269" t="s">
        <v>225</v>
      </c>
      <c r="C86" s="239" t="s">
        <v>386</v>
      </c>
      <c r="D86" s="156"/>
      <c r="E86" s="239" t="s">
        <v>274</v>
      </c>
      <c r="F86" s="138">
        <v>10.799999999999999</v>
      </c>
      <c r="G86" s="106"/>
      <c r="H86" s="168"/>
      <c r="I86" s="168"/>
      <c r="J86" s="107"/>
      <c r="K86" s="787"/>
      <c r="L86" s="788"/>
      <c r="M86" s="789"/>
      <c r="N86" s="789"/>
      <c r="O86" s="261"/>
      <c r="P86" s="261"/>
      <c r="Q86" s="261"/>
      <c r="R86" s="277"/>
      <c r="S86" s="228"/>
      <c r="T86" s="228"/>
      <c r="U86" s="228"/>
      <c r="V86" s="228"/>
    </row>
    <row r="87" outlineLevel="1">
      <c r="A87" s="278" t="s">
        <v>229</v>
      </c>
      <c r="B87" s="269" t="s">
        <v>227</v>
      </c>
      <c r="C87" s="261"/>
      <c r="D87" s="367" t="s">
        <v>79</v>
      </c>
      <c r="E87" s="261"/>
      <c r="F87" s="261"/>
      <c r="G87" s="413" t="s">
        <v>1020</v>
      </c>
      <c r="H87" s="164"/>
      <c r="I87" s="164"/>
      <c r="J87" s="104"/>
      <c r="K87" s="261"/>
      <c r="L87" s="261"/>
      <c r="M87" s="261"/>
      <c r="N87" s="261"/>
      <c r="O87" s="261"/>
      <c r="P87" s="261"/>
      <c r="Q87" s="261"/>
      <c r="R87" s="277"/>
      <c r="S87" s="228"/>
      <c r="T87" s="228"/>
      <c r="U87" s="228"/>
    </row>
    <row r="88" outlineLevel="1">
      <c r="A88" s="156"/>
      <c r="B88" s="269" t="s">
        <v>225</v>
      </c>
      <c r="C88" s="239" t="s">
        <v>386</v>
      </c>
      <c r="D88" s="156"/>
      <c r="E88" s="239" t="s">
        <v>128</v>
      </c>
      <c r="F88" s="138">
        <v>12.0</v>
      </c>
      <c r="G88" s="106"/>
      <c r="H88" s="168"/>
      <c r="I88" s="168"/>
      <c r="J88" s="107"/>
      <c r="K88" s="787"/>
      <c r="L88" s="787"/>
      <c r="M88" s="787"/>
      <c r="N88" s="787"/>
      <c r="O88" s="261"/>
      <c r="P88" s="261"/>
      <c r="Q88" s="261"/>
      <c r="R88" s="277"/>
      <c r="S88" s="228"/>
      <c r="T88" s="228"/>
      <c r="U88" s="228"/>
      <c r="V88" s="228"/>
    </row>
    <row r="89" outlineLevel="1">
      <c r="A89" s="278" t="s">
        <v>233</v>
      </c>
      <c r="B89" s="269" t="s">
        <v>227</v>
      </c>
      <c r="C89" s="790">
        <v>15.0</v>
      </c>
      <c r="D89" s="279">
        <v>39.0</v>
      </c>
      <c r="E89" s="145">
        <v>6.0</v>
      </c>
      <c r="F89" s="145">
        <v>7.199999999999999</v>
      </c>
      <c r="G89" s="283" t="s">
        <v>231</v>
      </c>
      <c r="H89" s="164"/>
      <c r="I89" s="164"/>
      <c r="J89" s="104"/>
      <c r="K89" s="261"/>
      <c r="L89" s="261"/>
      <c r="M89" s="261"/>
      <c r="N89" s="261"/>
      <c r="O89" s="261"/>
      <c r="P89" s="261"/>
      <c r="Q89" s="261"/>
      <c r="R89" s="277"/>
      <c r="S89" s="228"/>
      <c r="T89" s="228"/>
      <c r="U89" s="228"/>
    </row>
    <row r="90" outlineLevel="1">
      <c r="A90" s="156"/>
      <c r="B90" s="269" t="s">
        <v>225</v>
      </c>
      <c r="C90" s="113">
        <v>18.0</v>
      </c>
      <c r="D90" s="156"/>
      <c r="E90" s="113" t="s">
        <v>80</v>
      </c>
      <c r="F90" s="145">
        <v>9.6</v>
      </c>
      <c r="G90" s="106"/>
      <c r="H90" s="168"/>
      <c r="I90" s="168"/>
      <c r="J90" s="107"/>
      <c r="K90" s="787"/>
      <c r="L90" s="788"/>
      <c r="M90" s="789"/>
      <c r="N90" s="789"/>
      <c r="O90" s="261"/>
      <c r="P90" s="261"/>
      <c r="Q90" s="261"/>
      <c r="R90" s="277"/>
      <c r="S90" s="117"/>
      <c r="T90" s="117"/>
      <c r="U90" s="117"/>
      <c r="V90" s="117"/>
    </row>
    <row r="91" outlineLevel="1">
      <c r="A91" s="278" t="s">
        <v>234</v>
      </c>
      <c r="B91" s="269" t="s">
        <v>227</v>
      </c>
      <c r="C91" s="239" t="s">
        <v>1021</v>
      </c>
      <c r="D91" s="279">
        <v>40.0</v>
      </c>
      <c r="E91" s="239" t="s">
        <v>204</v>
      </c>
      <c r="F91" s="138">
        <v>3.5999999999999996</v>
      </c>
      <c r="G91" s="416"/>
      <c r="H91" s="164"/>
      <c r="I91" s="164"/>
      <c r="J91" s="104"/>
      <c r="K91" s="787"/>
      <c r="L91" s="787"/>
      <c r="M91" s="787"/>
      <c r="N91" s="787"/>
      <c r="O91" s="778"/>
      <c r="P91" s="778"/>
      <c r="Q91" s="778"/>
      <c r="R91" s="277"/>
      <c r="S91" s="117"/>
      <c r="T91" s="117"/>
      <c r="U91" s="117"/>
    </row>
    <row r="92" outlineLevel="1">
      <c r="A92" s="156"/>
      <c r="B92" s="269" t="s">
        <v>225</v>
      </c>
      <c r="C92" s="239" t="s">
        <v>99</v>
      </c>
      <c r="D92" s="156"/>
      <c r="E92" s="239" t="s">
        <v>204</v>
      </c>
      <c r="F92" s="138">
        <v>3.5999999999999996</v>
      </c>
      <c r="G92" s="106"/>
      <c r="H92" s="168"/>
      <c r="I92" s="168"/>
      <c r="J92" s="107"/>
      <c r="K92" s="787"/>
      <c r="L92" s="788"/>
      <c r="M92" s="789"/>
      <c r="N92" s="789"/>
      <c r="O92" s="261"/>
      <c r="P92" s="261"/>
      <c r="Q92" s="261"/>
      <c r="R92" s="277"/>
      <c r="S92" s="117"/>
      <c r="T92" s="117"/>
      <c r="U92" s="117"/>
      <c r="V92" s="117"/>
    </row>
    <row r="93">
      <c r="A93" s="223"/>
      <c r="B93" s="224"/>
      <c r="C93" s="225"/>
      <c r="D93" s="225"/>
      <c r="E93" s="227"/>
      <c r="F93" s="177"/>
      <c r="G93" s="177"/>
      <c r="H93" s="227"/>
      <c r="I93" s="227"/>
      <c r="J93" s="228"/>
      <c r="K93" s="228"/>
      <c r="L93" s="111"/>
      <c r="M93" s="111"/>
      <c r="N93" s="111"/>
      <c r="O93" s="117"/>
      <c r="P93" s="117"/>
      <c r="Q93" s="111"/>
      <c r="R93" s="111"/>
      <c r="S93" s="111"/>
      <c r="T93" s="111"/>
      <c r="U93" s="111"/>
      <c r="V93" s="111"/>
    </row>
    <row r="94">
      <c r="A94" s="284" t="s">
        <v>241</v>
      </c>
      <c r="B94" s="104"/>
      <c r="C94" s="265"/>
      <c r="D94" s="111"/>
      <c r="E94" s="111"/>
      <c r="F94" s="111"/>
      <c r="G94" s="111"/>
      <c r="H94" s="111"/>
      <c r="I94" s="111"/>
      <c r="J94" s="118"/>
      <c r="K94" s="111"/>
      <c r="L94" s="111"/>
      <c r="M94" s="111"/>
      <c r="N94" s="111"/>
      <c r="O94" s="111"/>
      <c r="P94" s="111"/>
      <c r="Q94" s="118"/>
      <c r="R94" s="111"/>
      <c r="S94" s="111"/>
      <c r="T94" s="111"/>
      <c r="U94" s="111"/>
      <c r="V94" s="111"/>
    </row>
    <row r="95" outlineLevel="1">
      <c r="A95" s="106"/>
      <c r="B95" s="107"/>
      <c r="C95" s="285" t="s">
        <v>235</v>
      </c>
      <c r="D95" s="285" t="s">
        <v>236</v>
      </c>
      <c r="E95" s="285" t="s">
        <v>49</v>
      </c>
      <c r="F95" s="285" t="s">
        <v>237</v>
      </c>
      <c r="G95" s="286"/>
      <c r="H95" s="227"/>
      <c r="I95" s="227"/>
      <c r="J95" s="228"/>
      <c r="K95" s="228"/>
      <c r="L95" s="111"/>
      <c r="M95" s="111"/>
      <c r="N95" s="111"/>
      <c r="O95" s="111"/>
      <c r="P95" s="111"/>
      <c r="Q95" s="111"/>
      <c r="R95" s="111"/>
      <c r="S95" s="111"/>
      <c r="T95" s="111"/>
      <c r="U95" s="111"/>
      <c r="V95" s="111"/>
    </row>
    <row r="96" outlineLevel="1">
      <c r="A96" s="287" t="s">
        <v>395</v>
      </c>
      <c r="B96" s="288" t="s">
        <v>216</v>
      </c>
      <c r="C96" s="113" t="str">
        <f t="array" ref="C96">INDEX('回避'!$C$3:$U$84, MATCH($A$1,'回避'!$A$3:$A$91,0), MATCH(C95,'回避'!$C$2:$F$2,0))</f>
        <v>3-17</v>
      </c>
      <c r="D96" s="113" t="str">
        <f t="array" ref="D96">INDEX('回避'!$C$3:$U$84, MATCH($A$1,'回避'!$A$3:$A$91,0), MATCH(D95,'回避'!$C$2:$F$2,0))</f>
        <v>6-17</v>
      </c>
      <c r="E96" s="113" t="str">
        <f t="array" ref="E96">INDEX('回避'!$C$3:$U$84, MATCH($A$1,'回避'!$A$3:$A$91,0), MATCH(E95,'回避'!$C$2:$F$2,0))</f>
        <v>25 (20)</v>
      </c>
      <c r="F96" s="113" t="str">
        <f t="array" ref="F96">INDEX('回避'!$C$3:$U$84, MATCH($A$1,'回避'!$A$3:$A$91,0), MATCH(F95,'回避'!$C$2:$F$2,0))</f>
        <v>33 (27)</v>
      </c>
      <c r="G96" s="272"/>
      <c r="H96" s="227"/>
      <c r="I96" s="227"/>
      <c r="J96" s="228"/>
      <c r="K96" s="228"/>
      <c r="L96" s="228"/>
      <c r="M96" s="111"/>
      <c r="N96" s="111"/>
      <c r="O96" s="111"/>
      <c r="P96" s="111"/>
      <c r="Q96" s="111"/>
      <c r="R96" s="111"/>
      <c r="S96" s="111"/>
      <c r="T96" s="111"/>
      <c r="U96" s="111"/>
      <c r="V96" s="111"/>
    </row>
    <row r="97" outlineLevel="1">
      <c r="A97" s="212"/>
      <c r="B97" s="288" t="s">
        <v>245</v>
      </c>
      <c r="C97" s="113" t="str">
        <f t="array" ref="C97">INDEX('回避'!$G$3:$U$84, MATCH($A$1,'回避'!$A$3:$A$91,0), MATCH(C95,'回避'!$G$2:$J$2,0))</f>
        <v>4-15</v>
      </c>
      <c r="D97" s="113" t="str">
        <f t="array" ref="D97">INDEX('回避'!$G$3:$U$84, MATCH($A$1,'回避'!$A$3:$A$91,0), MATCH(D95,'回避'!$G$2:$J$2,0))</f>
        <v>8-14</v>
      </c>
      <c r="E97" s="113" t="str">
        <f t="array" ref="E97">INDEX('回避'!$G$3:$U$84, MATCH($A$1,'回避'!$A$3:$A$91,0), MATCH(E95,'回避'!$G$2:$J$2,0))</f>
        <v>29</v>
      </c>
      <c r="F97" s="113">
        <f t="array" ref="F97">INDEX('回避'!$G$3:$U$84, MATCH($A$1,'回避'!$A$3:$A$91,0), MATCH(F95,'回避'!$G$2:$J$2,0))</f>
        <v>38</v>
      </c>
      <c r="G97" s="289"/>
      <c r="H97" s="227"/>
      <c r="I97" s="227"/>
      <c r="J97" s="228"/>
      <c r="K97" s="228"/>
      <c r="L97" s="228"/>
      <c r="M97" s="228"/>
      <c r="N97" s="228"/>
      <c r="O97" s="111"/>
      <c r="P97" s="111"/>
      <c r="Q97" s="111"/>
      <c r="R97" s="111"/>
      <c r="S97" s="111"/>
      <c r="T97" s="111"/>
      <c r="U97" s="111"/>
      <c r="V97" s="111"/>
    </row>
    <row r="98" outlineLevel="1">
      <c r="A98" s="106"/>
      <c r="B98" s="288" t="s">
        <v>246</v>
      </c>
      <c r="C98" s="113" t="str">
        <f t="array" ref="C98">INDEX('回避'!$K$3:$U$84, MATCH($A$1,'回避'!$A$3:$A$91,0), MATCH(C95,'回避'!$K$2:$N$2,0))</f>
        <v>5-16</v>
      </c>
      <c r="D98" s="113" t="str">
        <f t="array" ref="D98">INDEX('回避'!$K$3:$U$84, MATCH($A$1,'回避'!$A$3:$A$91,0), MATCH(D95,'回避'!$K$2:$N$2,0))</f>
        <v>9-14</v>
      </c>
      <c r="E98" s="113" t="str">
        <f t="array" ref="E98">INDEX('回避'!$K$3:$U$84, MATCH($A$1,'回避'!$A$3:$A$91,0), MATCH(E95,'回避'!$K$2:$N$2,0))</f>
        <v>34</v>
      </c>
      <c r="F98" s="113" t="str">
        <f t="array" ref="F98">INDEX('回避'!$K$3:$U$84, MATCH($A$1,'回避'!$A$3:$A$91,0), MATCH(F95,'回避'!$K$2:$N$2,0))</f>
        <v>51</v>
      </c>
      <c r="G98" s="289"/>
      <c r="H98" s="290"/>
      <c r="I98" s="290"/>
      <c r="J98" s="117"/>
      <c r="K98" s="117"/>
      <c r="L98" s="117"/>
      <c r="M98" s="117"/>
      <c r="N98" s="117"/>
      <c r="O98" s="111"/>
      <c r="P98" s="111"/>
      <c r="Q98" s="111"/>
      <c r="R98" s="111"/>
      <c r="S98" s="111"/>
      <c r="T98" s="111"/>
      <c r="U98" s="111"/>
      <c r="V98" s="111"/>
    </row>
    <row r="99" outlineLevel="1">
      <c r="A99" s="287" t="s">
        <v>396</v>
      </c>
      <c r="B99" s="288" t="s">
        <v>397</v>
      </c>
      <c r="C99" s="113" t="str">
        <f t="array" ref="C99">INDEX('回避'!$O$3:$U$84, MATCH($A$1,'回避'!$A$3:$A$91,0), MATCH(C95,'回避'!$O$2:$R$2,0))</f>
        <v>3-29</v>
      </c>
      <c r="D99" s="113" t="str">
        <f t="array" ref="D99">INDEX('回避'!$O$3:$U$84, MATCH($A$1,'回避'!$A$3:$A$91,0), MATCH(D95,'回避'!$O$2:$R$2,0))</f>
        <v>6-27</v>
      </c>
      <c r="E99" s="113" t="str">
        <f t="array" ref="E99">INDEX('回避'!$O$3:$U$84, MATCH($A$1,'回避'!$A$3:$A$91,0), MATCH(E95,'回避'!$O$2:$R$2,0))</f>
        <v>57</v>
      </c>
      <c r="F99" s="177"/>
      <c r="G99" s="177"/>
      <c r="H99" s="118"/>
      <c r="I99" s="118"/>
      <c r="J99" s="111"/>
      <c r="K99" s="111"/>
      <c r="L99" s="111"/>
      <c r="M99" s="111"/>
      <c r="N99" s="111"/>
      <c r="O99" s="228"/>
      <c r="P99" s="228"/>
      <c r="Q99" s="228"/>
      <c r="R99" s="228"/>
      <c r="S99" s="228"/>
      <c r="T99" s="228"/>
      <c r="U99" s="228"/>
      <c r="V99" s="228"/>
    </row>
    <row r="100" outlineLevel="1">
      <c r="A100" s="106"/>
      <c r="B100" s="288" t="s">
        <v>398</v>
      </c>
      <c r="C100" s="113" t="str">
        <f t="array" ref="C100">INDEX('回避'!$S$3:$U$84, MATCH($A$1,'回避'!$A$3:$A$91,0), MATCH(C95,'回避'!$S$2:$U$2,0))</f>
        <v>3-21</v>
      </c>
      <c r="D100" s="113" t="str">
        <f t="array" ref="D100">INDEX('回避'!$S$3:$U$84, MATCH($A$1,'回避'!$A$3:$A$91,0), MATCH(D95,'回避'!$S$2:$U$2,0))</f>
        <v>6-20</v>
      </c>
      <c r="E100" s="113" t="str">
        <f t="array" ref="E100">INDEX('回避'!$S$3:$U$84, MATCH($A$1,'回避'!$A$3:$A$91,0), MATCH(E95,'回避'!$S$2:$U$2,0))</f>
        <v>真横：96
真上：127
真下：81</v>
      </c>
      <c r="F100" s="289"/>
      <c r="G100" s="289"/>
      <c r="H100" s="118"/>
      <c r="I100" s="118"/>
      <c r="J100" s="117"/>
      <c r="K100" s="117"/>
      <c r="L100" s="117"/>
      <c r="M100" s="117"/>
      <c r="N100" s="111"/>
      <c r="O100" s="118"/>
      <c r="P100" s="118"/>
      <c r="Q100" s="118"/>
      <c r="R100" s="118"/>
      <c r="S100" s="118"/>
      <c r="T100" s="118"/>
      <c r="U100" s="118"/>
      <c r="V100" s="118"/>
    </row>
    <row r="101">
      <c r="A101" s="291"/>
      <c r="B101" s="292"/>
      <c r="C101" s="286"/>
      <c r="D101" s="286"/>
      <c r="E101" s="293"/>
      <c r="F101" s="286"/>
      <c r="G101" s="286"/>
      <c r="H101" s="286"/>
      <c r="I101" s="286"/>
      <c r="J101" s="111"/>
      <c r="K101" s="227"/>
      <c r="L101" s="227"/>
      <c r="M101" s="227"/>
      <c r="N101" s="227"/>
      <c r="O101" s="118"/>
      <c r="P101" s="118"/>
      <c r="Q101" s="118"/>
      <c r="R101" s="118"/>
      <c r="S101" s="118"/>
      <c r="T101" s="118"/>
      <c r="U101" s="118"/>
      <c r="V101" s="118"/>
    </row>
    <row r="102">
      <c r="A102" s="294" t="s">
        <v>238</v>
      </c>
      <c r="B102" s="104"/>
      <c r="C102" s="228"/>
      <c r="D102" s="117"/>
      <c r="E102" s="228"/>
      <c r="F102" s="114"/>
      <c r="G102" s="114"/>
      <c r="H102" s="117"/>
      <c r="I102" s="117"/>
      <c r="J102" s="118"/>
      <c r="K102" s="118"/>
      <c r="L102" s="118"/>
      <c r="M102" s="118"/>
      <c r="N102" s="118"/>
      <c r="O102" s="118"/>
      <c r="P102" s="118"/>
      <c r="Q102" s="118"/>
      <c r="R102" s="118"/>
      <c r="S102" s="118"/>
      <c r="T102" s="118"/>
      <c r="U102" s="118"/>
      <c r="V102" s="118"/>
    </row>
    <row r="103" outlineLevel="1">
      <c r="A103" s="106"/>
      <c r="B103" s="107"/>
      <c r="C103" s="295" t="s">
        <v>235</v>
      </c>
      <c r="D103" s="295" t="s">
        <v>49</v>
      </c>
      <c r="E103" s="295" t="s">
        <v>48</v>
      </c>
      <c r="F103" s="295" t="s">
        <v>50</v>
      </c>
      <c r="G103" s="296" t="s">
        <v>51</v>
      </c>
      <c r="H103" s="228"/>
      <c r="I103" s="228"/>
      <c r="J103" s="117"/>
      <c r="K103" s="297" t="str">
        <f>'テンプレート'!K116</f>
        <v>アイテム取得</v>
      </c>
      <c r="L103" s="109"/>
      <c r="M103" s="298" t="str">
        <f>'テンプレート'!M116</f>
        <v>取得フレーム</v>
      </c>
      <c r="N103" s="298" t="str">
        <f>'テンプレート'!N116</f>
        <v>全体フレーム</v>
      </c>
      <c r="O103" s="118"/>
      <c r="P103" s="118"/>
      <c r="Q103" s="118"/>
      <c r="R103" s="118"/>
      <c r="S103" s="118"/>
      <c r="T103" s="118"/>
      <c r="U103" s="118"/>
      <c r="V103" s="118"/>
    </row>
    <row r="104" outlineLevel="1">
      <c r="A104" s="299" t="s">
        <v>239</v>
      </c>
      <c r="B104" s="300" t="s">
        <v>240</v>
      </c>
      <c r="C104" s="301"/>
      <c r="D104" s="113">
        <f t="array" ref="D104">INDEX('崖行動・受け身'!$C$3:$C106, MATCH($A$1,'崖行動・受け身'!$A$3:$A$115,0), MATCH(D103,'崖行動・受け身'!$C$2,0))</f>
        <v>19</v>
      </c>
      <c r="E104" s="301"/>
      <c r="F104" s="301"/>
      <c r="G104" s="301"/>
      <c r="H104" s="228"/>
      <c r="I104" s="228"/>
      <c r="J104" s="111"/>
      <c r="K104" s="302" t="str">
        <f>'テンプレート'!K117</f>
        <v>小アイテム</v>
      </c>
      <c r="L104" s="303" t="str">
        <f>'テンプレート'!L117</f>
        <v>その場</v>
      </c>
      <c r="M104" s="113" t="s">
        <v>76</v>
      </c>
      <c r="N104" s="113">
        <v>7.0</v>
      </c>
      <c r="O104" s="118"/>
      <c r="P104" s="118"/>
      <c r="Q104" s="118"/>
      <c r="R104" s="118"/>
      <c r="S104" s="118"/>
      <c r="T104" s="118"/>
      <c r="U104" s="118"/>
      <c r="V104" s="118"/>
    </row>
    <row r="105" outlineLevel="1">
      <c r="A105" s="146"/>
      <c r="B105" s="300" t="s">
        <v>216</v>
      </c>
      <c r="C105" s="113" t="str">
        <f t="array" ref="C105">INDEX('崖行動・受け身'!$D$3:$E106, MATCH($A$1,'崖行動・受け身'!$A$3:$A$115,0), MATCH(C103,'崖行動・受け身'!$D$2:$E$2,0))</f>
        <v>1-33</v>
      </c>
      <c r="D105" s="113">
        <f t="array" ref="D105">INDEX('崖行動・受け身'!$D$3:$E106, MATCH($A$1,'崖行動・受け身'!$A$3:$A$115,0), MATCH(D103,'崖行動・受け身'!$D$2:$E$2,0))</f>
        <v>34</v>
      </c>
      <c r="E105" s="301"/>
      <c r="F105" s="301"/>
      <c r="G105" s="301"/>
      <c r="H105" s="228"/>
      <c r="I105" s="228"/>
      <c r="J105" s="117"/>
      <c r="K105" s="156"/>
      <c r="L105" s="303" t="str">
        <f>'テンプレート'!L118</f>
        <v>歩き</v>
      </c>
      <c r="M105" s="113" t="s">
        <v>76</v>
      </c>
      <c r="N105" s="113">
        <v>23.0</v>
      </c>
      <c r="O105" s="118"/>
      <c r="P105" s="118"/>
      <c r="Q105" s="118"/>
      <c r="R105" s="118"/>
      <c r="S105" s="118"/>
      <c r="T105" s="118"/>
      <c r="U105" s="118"/>
      <c r="V105" s="118"/>
    </row>
    <row r="106" outlineLevel="1">
      <c r="A106" s="146"/>
      <c r="B106" s="300" t="s">
        <v>241</v>
      </c>
      <c r="C106" s="113" t="str">
        <f t="array" ref="C106">INDEX('崖行動・受け身'!$F$3:$G$115, MATCH($A$1,'崖行動・受け身'!$A$3:$A$115,0), MATCH(C103,'崖行動・受け身'!$F$2:$G$2,0))</f>
        <v>1-29</v>
      </c>
      <c r="D106" s="113">
        <f t="array" ref="D106">INDEX('崖行動・受け身'!$F$3:$G$115, MATCH($A$1,'崖行動・受け身'!$A$3:$A$115,0), MATCH(D103,'崖行動・受け身'!$F$2:$G$2,0))</f>
        <v>45</v>
      </c>
      <c r="E106" s="301"/>
      <c r="F106" s="301"/>
      <c r="G106" s="301"/>
      <c r="H106" s="228"/>
      <c r="I106" s="228"/>
      <c r="J106" s="111"/>
      <c r="K106" s="304" t="str">
        <f>'テンプレート'!K119</f>
        <v>アイテム投擲</v>
      </c>
      <c r="L106" s="109"/>
      <c r="M106" s="298" t="str">
        <f>'テンプレート'!M119</f>
        <v>投擲フレーム</v>
      </c>
      <c r="N106" s="298" t="str">
        <f>'テンプレート'!N119</f>
        <v>全体フレーム</v>
      </c>
      <c r="O106" s="118"/>
      <c r="P106" s="118"/>
      <c r="Q106" s="118"/>
      <c r="R106" s="118"/>
      <c r="S106" s="118"/>
      <c r="T106" s="118"/>
      <c r="U106" s="118"/>
      <c r="V106" s="118"/>
    </row>
    <row r="107" outlineLevel="1">
      <c r="A107" s="146"/>
      <c r="B107" s="300" t="s">
        <v>242</v>
      </c>
      <c r="C107" s="113" t="str">
        <f t="array" ref="C107">INDEX('崖行動・受け身'!$H$3:$I$115, MATCH($A$1,'崖行動・受け身'!$A$3:$A$115,0), MATCH(C103,'崖行動・受け身'!$H$2:$I$2,0))</f>
        <v>1-12</v>
      </c>
      <c r="D107" s="113">
        <f t="array" ref="D107">INDEX('崖行動・受け身'!$H$3:$I$115, MATCH($A$1,'崖行動・受け身'!$A$3:$A$115,0), MATCH(D103,'崖行動・受け身'!$H$2:$I$2,0))</f>
        <v>14</v>
      </c>
      <c r="E107" s="301"/>
      <c r="F107" s="301"/>
      <c r="G107" s="301"/>
      <c r="H107" s="228"/>
      <c r="I107" s="228"/>
      <c r="J107" s="117"/>
      <c r="K107" s="305" t="str">
        <f>'テンプレート'!K120</f>
        <v>地上投擲</v>
      </c>
      <c r="L107" s="303" t="str">
        <f>'テンプレート'!L120</f>
        <v>前投げ</v>
      </c>
      <c r="M107" s="113" t="s">
        <v>80</v>
      </c>
      <c r="N107" s="113">
        <v>24.0</v>
      </c>
      <c r="O107" s="111"/>
      <c r="P107" s="111"/>
      <c r="Q107" s="111"/>
      <c r="R107" s="111"/>
      <c r="S107" s="111"/>
      <c r="T107" s="111"/>
      <c r="U107" s="111"/>
      <c r="V107" s="111"/>
    </row>
    <row r="108" outlineLevel="1">
      <c r="A108" s="156"/>
      <c r="B108" s="300" t="s">
        <v>243</v>
      </c>
      <c r="C108" s="113" t="str">
        <f t="array" ref="C108">INDEX('崖行動・受け身'!$J$3:$M$115, MATCH($A$1,'崖行動・受け身'!$A$3:$A$115,0), MATCH(C103,'崖行動・受け身'!$J$2:$M$2,0))</f>
        <v>1-22</v>
      </c>
      <c r="D108" s="113">
        <f t="array" ref="D108">INDEX('崖行動・受け身'!$J$3:$M$115, MATCH($A$1,'崖行動・受け身'!$A$3:$A$115,0), MATCH(D103,'崖行動・受け身'!$J$2:$M$2,0))</f>
        <v>55</v>
      </c>
      <c r="E108" s="113" t="str">
        <f t="array" ref="E108">INDEX('崖行動・受け身'!$J$3:$M$115, MATCH($A$1,'崖行動・受け身'!$A$3:$A$115,0), MATCH(E103,'崖行動・受け身'!$J$2:$M$2,0))</f>
        <v>20-22</v>
      </c>
      <c r="F108" s="113">
        <f t="array" ref="F108">INDEX('崖行動・受け身'!$J$3:$M$115, MATCH($A$1,'崖行動・受け身'!$A$3:$A$115,0), MATCH(F103,'崖行動・受け身'!$J$2:$M$2,0))</f>
        <v>9</v>
      </c>
      <c r="G108" s="113">
        <f>F108*1.2</f>
        <v>10.8</v>
      </c>
      <c r="H108" s="228"/>
      <c r="I108" s="228"/>
      <c r="J108" s="111"/>
      <c r="K108" s="146"/>
      <c r="L108" s="303" t="str">
        <f>'テンプレート'!L121</f>
        <v>後投げ</v>
      </c>
      <c r="M108" s="113" t="s">
        <v>232</v>
      </c>
      <c r="N108" s="113">
        <v>24.0</v>
      </c>
      <c r="O108" s="111"/>
      <c r="P108" s="111"/>
      <c r="Q108" s="111"/>
      <c r="R108" s="111"/>
      <c r="S108" s="111"/>
      <c r="T108" s="111"/>
      <c r="U108" s="111"/>
      <c r="V108" s="111"/>
    </row>
    <row r="109" outlineLevel="1">
      <c r="A109" s="299" t="s">
        <v>244</v>
      </c>
      <c r="B109" s="300" t="s">
        <v>216</v>
      </c>
      <c r="C109" s="113" t="str">
        <f t="array" ref="C109">INDEX('崖行動・受け身'!$N$3:$O$115, MATCH($A$1,'崖行動・受け身'!$A$3:$A$115,0), MATCH(C103,'崖行動・受け身'!$N$2:$O$2,0))</f>
        <v>1-20</v>
      </c>
      <c r="D109" s="113">
        <f t="array" ref="D109">INDEX('崖行動・受け身'!$N$3:$O$115, MATCH($A$1,'崖行動・受け身'!$A$3:$A$115,0), MATCH(D103,'崖行動・受け身'!$N$2:$O$2,0))</f>
        <v>26</v>
      </c>
      <c r="E109" s="301"/>
      <c r="F109" s="301"/>
      <c r="G109" s="301"/>
      <c r="H109" s="228"/>
      <c r="I109" s="228"/>
      <c r="J109" s="117"/>
      <c r="K109" s="146"/>
      <c r="L109" s="303" t="str">
        <f>'テンプレート'!L122</f>
        <v>上投げ</v>
      </c>
      <c r="M109" s="113" t="s">
        <v>129</v>
      </c>
      <c r="N109" s="113">
        <v>23.0</v>
      </c>
      <c r="O109" s="228"/>
      <c r="P109" s="228"/>
      <c r="Q109" s="228"/>
      <c r="R109" s="228"/>
      <c r="S109" s="228"/>
      <c r="T109" s="228"/>
      <c r="U109" s="228"/>
      <c r="V109" s="228"/>
    </row>
    <row r="110" outlineLevel="1">
      <c r="A110" s="146"/>
      <c r="B110" s="300" t="s">
        <v>245</v>
      </c>
      <c r="C110" s="113" t="str">
        <f t="array" ref="C110">INDEX('崖行動・受け身'!$P$3:$Q$115, MATCH($A$1,'崖行動・受け身'!$A$3:$A$115,0), MATCH(C103,'崖行動・受け身'!$P$2:$Q$2,0))</f>
        <v>1-20</v>
      </c>
      <c r="D110" s="113">
        <f t="array" ref="D110">INDEX('崖行動・受け身'!$P$3:$Q$115, MATCH($A$1,'崖行動・受け身'!$A$3:$A$115,0), MATCH(D103,'崖行動・受け身'!$P$2:$Q$2,0))</f>
        <v>40</v>
      </c>
      <c r="E110" s="301"/>
      <c r="F110" s="301"/>
      <c r="G110" s="301"/>
      <c r="H110" s="228"/>
      <c r="I110" s="228"/>
      <c r="J110" s="111"/>
      <c r="K110" s="146"/>
      <c r="L110" s="303" t="str">
        <f>'テンプレート'!L123</f>
        <v>下投げ</v>
      </c>
      <c r="M110" s="113" t="s">
        <v>93</v>
      </c>
      <c r="N110" s="113">
        <v>19.0</v>
      </c>
      <c r="O110" s="118"/>
      <c r="P110" s="118"/>
      <c r="Q110" s="118"/>
      <c r="R110" s="118"/>
      <c r="S110" s="118"/>
      <c r="T110" s="118"/>
      <c r="U110" s="118"/>
      <c r="V110" s="118"/>
    </row>
    <row r="111" outlineLevel="1">
      <c r="A111" s="156"/>
      <c r="B111" s="300" t="s">
        <v>246</v>
      </c>
      <c r="C111" s="113" t="str">
        <f t="array" ref="C111">INDEX('崖行動・受け身'!$R$3:$S$115, MATCH($A$1,'崖行動・受け身'!$A$3:$A$115,0), MATCH(C103,'崖行動・受け身'!$R$2:$S$2,0))</f>
        <v>1-20</v>
      </c>
      <c r="D111" s="113">
        <f t="array" ref="D111">INDEX('崖行動・受け身'!$R$3:$S$115, MATCH($A$1,'崖行動・受け身'!$A$3:$A$115,0), MATCH(D103,'崖行動・受け身'!$R$2:$S$2,0))</f>
        <v>40</v>
      </c>
      <c r="E111" s="301"/>
      <c r="F111" s="301"/>
      <c r="G111" s="301"/>
      <c r="H111" s="228"/>
      <c r="I111" s="228"/>
      <c r="J111" s="117"/>
      <c r="K111" s="146"/>
      <c r="L111" s="306" t="str">
        <f>'テンプレート'!L124</f>
        <v>ダッシュ</v>
      </c>
      <c r="M111" s="113" t="s">
        <v>93</v>
      </c>
      <c r="N111" s="113">
        <v>37.0</v>
      </c>
      <c r="O111" s="118"/>
      <c r="P111" s="118"/>
      <c r="Q111" s="118"/>
      <c r="R111" s="118"/>
      <c r="S111" s="118"/>
      <c r="T111" s="118"/>
      <c r="U111" s="118"/>
      <c r="V111" s="118"/>
    </row>
    <row r="112" outlineLevel="1">
      <c r="A112" s="299" t="s">
        <v>247</v>
      </c>
      <c r="B112" s="300" t="s">
        <v>248</v>
      </c>
      <c r="C112" s="301"/>
      <c r="D112" s="113" t="str">
        <f t="array" ref="D112">INDEX('起きあがり'!$C$3:$C106, MATCH($A$1,'起きあがり'!$A$3:$A$115,0), MATCH(D103,'起きあがり'!$C$2:$AD$2,0))</f>
        <v>25</v>
      </c>
      <c r="E112" s="301"/>
      <c r="F112" s="301"/>
      <c r="G112" s="301"/>
      <c r="H112" s="228"/>
      <c r="I112" s="228"/>
      <c r="J112" s="111"/>
      <c r="K112" s="156"/>
      <c r="L112" s="306" t="str">
        <f>'テンプレート'!L125</f>
        <v>その場捨て</v>
      </c>
      <c r="M112" s="113" t="s">
        <v>86</v>
      </c>
      <c r="N112" s="113">
        <v>23.0</v>
      </c>
      <c r="O112" s="118"/>
      <c r="P112" s="118"/>
      <c r="Q112" s="118"/>
      <c r="R112" s="118"/>
      <c r="S112" s="118"/>
      <c r="T112" s="118"/>
      <c r="U112" s="118"/>
      <c r="V112" s="118"/>
    </row>
    <row r="113" outlineLevel="1">
      <c r="A113" s="146"/>
      <c r="B113" s="300" t="s">
        <v>216</v>
      </c>
      <c r="C113" s="307" t="str">
        <f t="array" ref="C113">INDEX('起きあがり'!$D$3:$E106, MATCH($A$1,'起きあがり'!$A$3:$A$115,0), MATCH(C103,'起きあがり'!$D$2:$AD$2,0))</f>
        <v>1-22</v>
      </c>
      <c r="D113" s="308">
        <f t="array" ref="D113">INDEX('起きあがり'!$D$3:$E106, MATCH($A$1,'起きあがり'!$A$3:$A$115,0), MATCH(D103,'起きあがり'!$D$2:$AD$2,0))</f>
        <v>29</v>
      </c>
      <c r="E113" s="301"/>
      <c r="F113" s="301"/>
      <c r="G113" s="301"/>
      <c r="H113" s="228"/>
      <c r="I113" s="228"/>
      <c r="J113" s="117"/>
      <c r="K113" s="305" t="str">
        <f>'テンプレート'!K126</f>
        <v>空中投擲</v>
      </c>
      <c r="L113" s="303" t="str">
        <f>'テンプレート'!L126</f>
        <v>前投げ</v>
      </c>
      <c r="M113" s="113" t="s">
        <v>80</v>
      </c>
      <c r="N113" s="113">
        <v>24.0</v>
      </c>
      <c r="O113" s="118"/>
      <c r="P113" s="118"/>
      <c r="Q113" s="118"/>
      <c r="R113" s="118"/>
      <c r="S113" s="118"/>
      <c r="T113" s="118"/>
      <c r="U113" s="118"/>
      <c r="V113" s="118"/>
    </row>
    <row r="114" outlineLevel="1">
      <c r="A114" s="146"/>
      <c r="B114" s="300" t="s">
        <v>245</v>
      </c>
      <c r="C114" s="307" t="str">
        <f t="array" ref="C114">INDEX('起きあがり'!$F$3:$G$115, MATCH($A$1,'起きあがり'!$A$3:$A$115,0), MATCH(C103,'起きあがり'!$F$2:$AD$2,0))</f>
        <v>1-21</v>
      </c>
      <c r="D114" s="308">
        <f t="array" ref="D114">INDEX('起きあがり'!$F$3:$G$115, MATCH($A$1,'起きあがり'!$A$3:$A$115,0), MATCH(D103,'起きあがり'!$F$2:$AD$2,0))</f>
        <v>35</v>
      </c>
      <c r="E114" s="301"/>
      <c r="F114" s="301"/>
      <c r="G114" s="301"/>
      <c r="H114" s="228"/>
      <c r="I114" s="228"/>
      <c r="J114" s="111"/>
      <c r="K114" s="146"/>
      <c r="L114" s="303" t="str">
        <f>'テンプレート'!L127</f>
        <v>後投げ</v>
      </c>
      <c r="M114" s="113" t="s">
        <v>232</v>
      </c>
      <c r="N114" s="113">
        <v>24.0</v>
      </c>
      <c r="O114" s="118"/>
      <c r="P114" s="118"/>
      <c r="Q114" s="118"/>
      <c r="R114" s="118"/>
      <c r="S114" s="118"/>
      <c r="T114" s="118"/>
      <c r="U114" s="118"/>
      <c r="V114" s="118"/>
    </row>
    <row r="115" outlineLevel="1">
      <c r="A115" s="146"/>
      <c r="B115" s="300" t="s">
        <v>246</v>
      </c>
      <c r="C115" s="113" t="str">
        <f t="array" ref="C115">INDEX('起きあがり'!$H$3:$I$115, MATCH($A$1,'起きあがり'!$A$3:$A$115,0), MATCH(C103,'起きあがり'!$H$2:$AD$2,0))</f>
        <v>1-22</v>
      </c>
      <c r="D115" s="113">
        <f t="array" ref="D115">INDEX('起きあがり'!$H$3:$I$115, MATCH($A$1,'起きあがり'!$A$3:$A$115,0), MATCH(D103,'起きあがり'!$H$2:$AD$2,0))</f>
        <v>35</v>
      </c>
      <c r="E115" s="301"/>
      <c r="F115" s="301"/>
      <c r="G115" s="301"/>
      <c r="H115" s="228"/>
      <c r="I115" s="228"/>
      <c r="J115" s="117"/>
      <c r="K115" s="146"/>
      <c r="L115" s="303" t="str">
        <f>'テンプレート'!L128</f>
        <v>上投げ</v>
      </c>
      <c r="M115" s="113" t="s">
        <v>129</v>
      </c>
      <c r="N115" s="113">
        <v>23.0</v>
      </c>
      <c r="O115" s="118"/>
      <c r="P115" s="118"/>
      <c r="Q115" s="118"/>
      <c r="R115" s="118"/>
      <c r="S115" s="118"/>
      <c r="T115" s="118"/>
      <c r="U115" s="118"/>
      <c r="V115" s="118"/>
    </row>
    <row r="116" outlineLevel="1">
      <c r="A116" s="146"/>
      <c r="B116" s="300" t="s">
        <v>249</v>
      </c>
      <c r="C116" s="309" t="str">
        <f t="array" ref="C116">INDEX('起きあがり'!$J$3:$M$115, MATCH($A$1,'起きあがり'!$A$3:$A$115,0), MATCH(C103,'起きあがり'!$J$2:$AD$2,0))</f>
        <v>1-25</v>
      </c>
      <c r="D116" s="310">
        <f t="array" ref="D116">INDEX('起きあがり'!$J$3:$M$115, MATCH($A$1,'起きあがり'!$A$3:$A$115,0), MATCH(D103,'起きあがり'!$J$2:$AD$2,0))</f>
        <v>45</v>
      </c>
      <c r="E116" s="307" t="str">
        <f t="array" ref="E116">INDEX('起きあがり'!$J$3:$M$115, MATCH($A$1,'起きあがり'!$A$3:$A$115,0), MATCH(E103,'起きあがり'!$J$2:$AD$2,0))</f>
        <v>19-20</v>
      </c>
      <c r="F116" s="308">
        <f t="array" ref="F116">INDEX('起きあがり'!$J$3:$M$115, MATCH($A$1,'起きあがり'!$A$3:$A$115,0), MATCH(F103,'起きあがり'!$J$2:$AD$2,0))</f>
        <v>7</v>
      </c>
      <c r="G116" s="113">
        <f t="shared" ref="G116:G117" si="1">F116*1.2</f>
        <v>8.4</v>
      </c>
      <c r="H116" s="228"/>
      <c r="I116" s="228"/>
      <c r="J116" s="111"/>
      <c r="K116" s="156"/>
      <c r="L116" s="303" t="str">
        <f>'テンプレート'!L129</f>
        <v>下投げ</v>
      </c>
      <c r="M116" s="113" t="s">
        <v>93</v>
      </c>
      <c r="N116" s="113">
        <v>19.0</v>
      </c>
      <c r="O116" s="111"/>
      <c r="P116" s="111"/>
      <c r="Q116" s="111"/>
      <c r="R116" s="111"/>
      <c r="S116" s="111"/>
      <c r="T116" s="111"/>
      <c r="U116" s="111"/>
      <c r="V116" s="111"/>
    </row>
    <row r="117" outlineLevel="1">
      <c r="A117" s="156"/>
      <c r="B117" s="311" t="s">
        <v>250</v>
      </c>
      <c r="C117" s="156"/>
      <c r="D117" s="156"/>
      <c r="E117" s="307" t="str">
        <f t="array" ref="E117">INDEX('起きあがり'!$N$3:$O$115, MATCH($A$1,'起きあがり'!$A$3:$A$115,0), MATCH(E103,'起きあがり'!$N$2:$AD$2,0))</f>
        <v>24-25</v>
      </c>
      <c r="F117" s="308">
        <f t="array" ref="F117">INDEX('起きあがり'!$N$3:$O$115, MATCH($A$1,'起きあがり'!$A$3:$A$115,0), MATCH(F103,'起きあがり'!$N$2:$AD$2,0))</f>
        <v>7</v>
      </c>
      <c r="G117" s="113">
        <f t="shared" si="1"/>
        <v>8.4</v>
      </c>
      <c r="H117" s="228"/>
      <c r="I117" s="228"/>
      <c r="J117" s="111"/>
      <c r="K117" s="312" t="str">
        <f>'テンプレート'!K130</f>
        <v>踏み台ジャンプ</v>
      </c>
      <c r="L117" s="168"/>
      <c r="M117" s="298" t="str">
        <f>'テンプレート'!M130</f>
        <v>全体フレーム</v>
      </c>
      <c r="N117" s="114"/>
      <c r="O117" s="111"/>
      <c r="P117" s="111"/>
      <c r="Q117" s="111"/>
      <c r="R117" s="111"/>
      <c r="S117" s="111"/>
      <c r="T117" s="111"/>
      <c r="U117" s="111"/>
      <c r="V117" s="111"/>
    </row>
    <row r="118" outlineLevel="1">
      <c r="A118" s="299" t="s">
        <v>251</v>
      </c>
      <c r="B118" s="300" t="s">
        <v>248</v>
      </c>
      <c r="C118" s="301"/>
      <c r="D118" s="307" t="str">
        <f t="array" ref="D118">INDEX('起きあがり'!$C$3:$C106, MATCH($A$1,'起きあがり'!$A$3:$A$115,0), MATCH(D103,'起きあがり'!$C$2,0))</f>
        <v>25</v>
      </c>
      <c r="E118" s="301"/>
      <c r="F118" s="301"/>
      <c r="G118" s="301"/>
      <c r="H118" s="228"/>
      <c r="I118" s="228"/>
      <c r="J118" s="117"/>
      <c r="K118" s="313" t="str">
        <f>'テンプレート'!K131</f>
        <v>踏み</v>
      </c>
      <c r="L118" s="314" t="str">
        <f>'テンプレート'!L131</f>
        <v>踏み</v>
      </c>
      <c r="M118" s="113">
        <v>8.0</v>
      </c>
      <c r="N118" s="315"/>
      <c r="O118" s="111"/>
      <c r="P118" s="111"/>
      <c r="Q118" s="111"/>
      <c r="R118" s="111"/>
      <c r="S118" s="111"/>
      <c r="T118" s="111"/>
      <c r="U118" s="111"/>
      <c r="V118" s="111"/>
    </row>
    <row r="119" outlineLevel="1">
      <c r="A119" s="146"/>
      <c r="B119" s="300" t="s">
        <v>216</v>
      </c>
      <c r="C119" s="307" t="str">
        <f t="array" ref="C119">INDEX('起きあがり'!$P$3:$Q$115, MATCH($A$1,'起きあがり'!$A$3:$A$115,0), MATCH(C103,'起きあがり'!$P$2:$AD$2,0))</f>
        <v>1-22</v>
      </c>
      <c r="D119" s="308">
        <f t="array" ref="D119">INDEX('起きあがり'!$P$3:$Q$115, MATCH($A$1,'起きあがり'!$A$3:$A$115,0), MATCH(D103,'起きあがり'!$P$2:$AD$2,0))</f>
        <v>29</v>
      </c>
      <c r="E119" s="301"/>
      <c r="F119" s="301"/>
      <c r="G119" s="301"/>
      <c r="H119" s="228"/>
      <c r="I119" s="228"/>
      <c r="J119" s="111"/>
      <c r="K119" s="305" t="str">
        <f>'テンプレート'!K132</f>
        <v>踏まれ</v>
      </c>
      <c r="L119" s="314" t="str">
        <f>'テンプレート'!L132</f>
        <v>地上踏まれ</v>
      </c>
      <c r="M119" s="113" t="s">
        <v>76</v>
      </c>
      <c r="N119" s="315"/>
      <c r="O119" s="228"/>
      <c r="P119" s="228"/>
      <c r="Q119" s="228"/>
      <c r="R119" s="228"/>
      <c r="S119" s="228"/>
      <c r="T119" s="228"/>
      <c r="U119" s="228"/>
      <c r="V119" s="228"/>
    </row>
    <row r="120" outlineLevel="1">
      <c r="A120" s="146"/>
      <c r="B120" s="300" t="s">
        <v>245</v>
      </c>
      <c r="C120" s="307" t="str">
        <f t="array" ref="C120">INDEX('起きあがり'!$R$3:$S$115, MATCH($A$1,'起きあがり'!$A$3:$A$115,0), MATCH(C103,'起きあがり'!$R$2:$AD$2,0))</f>
        <v>1-19</v>
      </c>
      <c r="D120" s="308">
        <f t="array" ref="D120">INDEX('起きあがり'!$R$3:$S$115, MATCH($A$1,'起きあがり'!$A$3:$A$115,0), MATCH(D103,'起きあがり'!$R$2:$AD$2,0))</f>
        <v>35</v>
      </c>
      <c r="E120" s="301"/>
      <c r="F120" s="301"/>
      <c r="G120" s="301"/>
      <c r="H120" s="228"/>
      <c r="I120" s="228"/>
      <c r="J120" s="117"/>
      <c r="K120" s="146"/>
      <c r="L120" s="314" t="s">
        <v>693</v>
      </c>
      <c r="M120" s="113">
        <v>28.0</v>
      </c>
      <c r="N120" s="102"/>
      <c r="O120" s="118"/>
      <c r="P120" s="118"/>
      <c r="Q120" s="118"/>
      <c r="R120" s="118"/>
      <c r="S120" s="118"/>
      <c r="T120" s="118"/>
      <c r="U120" s="118"/>
      <c r="V120" s="118"/>
    </row>
    <row r="121" outlineLevel="1">
      <c r="A121" s="146"/>
      <c r="B121" s="300" t="s">
        <v>246</v>
      </c>
      <c r="C121" s="307" t="str">
        <f t="array" ref="C121">INDEX('起きあがり'!$T$3:$U$115, MATCH($A$1,'起きあがり'!$A$3:$A$115,0), MATCH(C103,'起きあがり'!$T$2:$AD$2,0))</f>
        <v>1-24</v>
      </c>
      <c r="D121" s="308">
        <f t="array" ref="D121">INDEX('起きあがり'!$T$3:$U$115, MATCH($A$1,'起きあがり'!$A$3:$A$115,0), MATCH(D103,'起きあがり'!$T$2:$AD$2,0))</f>
        <v>35</v>
      </c>
      <c r="E121" s="301"/>
      <c r="F121" s="301"/>
      <c r="G121" s="301"/>
      <c r="H121" s="228"/>
      <c r="I121" s="228"/>
      <c r="J121" s="111"/>
      <c r="K121" s="146"/>
      <c r="L121" s="314" t="str">
        <f>'テンプレート'!L134</f>
        <v>空中踏まれ</v>
      </c>
      <c r="M121" s="113">
        <v>8.0</v>
      </c>
      <c r="N121" s="102"/>
      <c r="O121" s="118"/>
      <c r="P121" s="118"/>
      <c r="Q121" s="118"/>
      <c r="R121" s="118"/>
      <c r="S121" s="118"/>
      <c r="T121" s="118"/>
      <c r="U121" s="118"/>
      <c r="V121" s="118"/>
    </row>
    <row r="122" outlineLevel="1">
      <c r="A122" s="146"/>
      <c r="B122" s="300" t="s">
        <v>249</v>
      </c>
      <c r="C122" s="309" t="str">
        <f t="array" ref="C122">INDEX('起きあがり'!$V$3:$Y$115, MATCH($A$1,'起きあがり'!$A$3:$A$115,0), MATCH(C103,'起きあがり'!$V$2:$AD$2,0))</f>
        <v>1-25</v>
      </c>
      <c r="D122" s="310">
        <f t="array" ref="D122">INDEX('起きあがり'!$V$3:$Y$115, MATCH($A$1,'起きあがり'!$A$3:$A$115,0), MATCH(D103,'起きあがり'!$V$2:$AD$2,0))</f>
        <v>45</v>
      </c>
      <c r="E122" s="307" t="str">
        <f t="array" ref="E122">INDEX('起きあがり'!$V$3:$Y$115, MATCH($A$1,'起きあがり'!$A$3:$A$115,0), MATCH(E103,'起きあがり'!$V$2:$AD$2,0))</f>
        <v>20-21</v>
      </c>
      <c r="F122" s="308">
        <f t="array" ref="F122">INDEX('起きあがり'!$V$3:$Y$115, MATCH($A$1,'起きあがり'!$A$3:$A$115,0), MATCH(F103,'起きあがり'!$V$2:$AD$2,0))</f>
        <v>7</v>
      </c>
      <c r="G122" s="113">
        <f t="shared" ref="G122:G123" si="2">F122*1.2</f>
        <v>8.4</v>
      </c>
      <c r="H122" s="228"/>
      <c r="I122" s="228"/>
      <c r="J122" s="117"/>
      <c r="K122" s="146"/>
      <c r="L122" s="314" t="str">
        <f>'テンプレート'!L135</f>
        <v>空中落下</v>
      </c>
      <c r="M122" s="113">
        <v>41.0</v>
      </c>
      <c r="N122" s="102"/>
      <c r="O122" s="118"/>
      <c r="P122" s="118"/>
      <c r="Q122" s="118"/>
      <c r="R122" s="118"/>
      <c r="S122" s="118"/>
      <c r="T122" s="118"/>
      <c r="U122" s="118"/>
      <c r="V122" s="118"/>
    </row>
    <row r="123" outlineLevel="1">
      <c r="A123" s="156"/>
      <c r="B123" s="311" t="s">
        <v>250</v>
      </c>
      <c r="C123" s="156"/>
      <c r="D123" s="156"/>
      <c r="E123" s="307" t="str">
        <f t="array" ref="E123">INDEX('起きあがり'!$Z$3:$AA$115, MATCH($A$1,'起きあがり'!$A$3:$A$115,0), MATCH(E103,'起きあがり'!$Z$2:$AD$2,0))</f>
        <v>24-25</v>
      </c>
      <c r="F123" s="308">
        <f t="array" ref="F123">INDEX('起きあがり'!$Z$3:$AA$115, MATCH($A$1,'起きあがり'!$A$3:$A$115,0), MATCH(F103,'起きあがり'!$Z$2:$AD$2,0))</f>
        <v>7</v>
      </c>
      <c r="G123" s="113">
        <f t="shared" si="2"/>
        <v>8.4</v>
      </c>
      <c r="H123" s="228"/>
      <c r="I123" s="228"/>
      <c r="J123" s="117"/>
      <c r="K123" s="304" t="str">
        <f>'テンプレート'!K136</f>
        <v>倒れダメージ</v>
      </c>
      <c r="L123" s="110"/>
      <c r="M123" s="298" t="str">
        <f>'テンプレート'!M136</f>
        <v>全体フレーム</v>
      </c>
      <c r="N123" s="102"/>
      <c r="O123" s="118"/>
      <c r="P123" s="118"/>
      <c r="Q123" s="118"/>
      <c r="R123" s="118"/>
      <c r="S123" s="118"/>
      <c r="T123" s="118"/>
      <c r="U123" s="118"/>
      <c r="V123" s="118"/>
    </row>
    <row r="124" outlineLevel="1">
      <c r="A124" s="299" t="s">
        <v>252</v>
      </c>
      <c r="B124" s="300" t="s">
        <v>253</v>
      </c>
      <c r="C124" s="307" t="str">
        <f t="array" ref="C124">INDEX('転倒'!$C$3:$D106, MATCH($A$1,'転倒'!$A$3:$A$115,0), MATCH(C103,'転倒'!$C$2:$AC$2,0))</f>
        <v>1-5</v>
      </c>
      <c r="D124" s="308">
        <f t="array" ref="D124">INDEX('転倒'!$C$3:$D106, MATCH($A$1,'転倒'!$A$3:$A$115,0), MATCH(D103,'転倒'!$C$2:$AC$2,0))</f>
        <v>29</v>
      </c>
      <c r="E124" s="301"/>
      <c r="F124" s="301"/>
      <c r="G124" s="301"/>
      <c r="H124" s="228"/>
      <c r="I124" s="228"/>
      <c r="J124" s="111"/>
      <c r="K124" s="313" t="str">
        <f>'テンプレート'!K137</f>
        <v>あお向け倒れ</v>
      </c>
      <c r="L124" s="306" t="str">
        <f>'テンプレート'!L137</f>
        <v>モーション大</v>
      </c>
      <c r="M124" s="113">
        <v>39.0</v>
      </c>
      <c r="N124" s="315"/>
      <c r="O124" s="118"/>
      <c r="P124" s="118"/>
      <c r="Q124" s="118"/>
      <c r="R124" s="118"/>
      <c r="S124" s="118"/>
      <c r="T124" s="118"/>
      <c r="U124" s="118"/>
      <c r="V124" s="118"/>
    </row>
    <row r="125" outlineLevel="1">
      <c r="A125" s="146"/>
      <c r="B125" s="300" t="s">
        <v>254</v>
      </c>
      <c r="C125" s="307" t="str">
        <f t="array" ref="C125">INDEX('転倒'!$E$3:$F106, MATCH($A$1,'転倒'!$A$3:$A$115,0), MATCH(C103,'転倒'!$E$2:$AC$2,0))</f>
        <v>1-5</v>
      </c>
      <c r="D125" s="308">
        <f t="array" ref="D125">INDEX('転倒'!$E$3:$F106, MATCH($A$1,'転倒'!$A$3:$A$115,0), MATCH(D103,'転倒'!$E$2:$AC$2,0))</f>
        <v>39</v>
      </c>
      <c r="E125" s="301"/>
      <c r="F125" s="301"/>
      <c r="G125" s="301"/>
      <c r="H125" s="228"/>
      <c r="I125" s="228"/>
      <c r="J125" s="117"/>
      <c r="K125" s="313" t="str">
        <f>'テンプレート'!K138</f>
        <v>うつ伏せ倒れ</v>
      </c>
      <c r="L125" s="306" t="str">
        <f>'テンプレート'!L138</f>
        <v>モーション大</v>
      </c>
      <c r="M125" s="113" t="s">
        <v>118</v>
      </c>
      <c r="N125" s="315"/>
      <c r="O125" s="118"/>
      <c r="P125" s="118"/>
      <c r="Q125" s="118"/>
      <c r="R125" s="118"/>
      <c r="S125" s="118"/>
      <c r="T125" s="118"/>
      <c r="U125" s="118"/>
      <c r="V125" s="118"/>
    </row>
    <row r="126" outlineLevel="1">
      <c r="A126" s="146"/>
      <c r="B126" s="300" t="s">
        <v>216</v>
      </c>
      <c r="C126" s="307" t="str">
        <f t="array" ref="C126">INDEX('転倒'!$G$3:$H$115, MATCH($A$1,'転倒'!$A$3:$A$115,0), MATCH(C103,'転倒'!$G$2:$AC$2,0))</f>
        <v>1-16</v>
      </c>
      <c r="D126" s="308">
        <f t="array" ref="D126">INDEX('転倒'!$G$3:$H$115, MATCH($A$1,'転倒'!$A$3:$A$115,0), MATCH(D103,'転倒'!$G$2:$AC$2,0))</f>
        <v>21</v>
      </c>
      <c r="E126" s="301"/>
      <c r="F126" s="301"/>
      <c r="G126" s="301"/>
      <c r="H126" s="228"/>
      <c r="I126" s="228"/>
      <c r="J126" s="111"/>
      <c r="K126" s="304" t="str">
        <f>'テンプレート'!K139</f>
        <v/>
      </c>
      <c r="L126" s="110"/>
      <c r="M126" s="298" t="str">
        <f>'テンプレート'!M139</f>
        <v/>
      </c>
      <c r="N126" s="102"/>
      <c r="O126" s="118"/>
      <c r="P126" s="118"/>
      <c r="Q126" s="118"/>
      <c r="R126" s="118"/>
      <c r="S126" s="118"/>
      <c r="T126" s="118"/>
      <c r="U126" s="118"/>
      <c r="V126" s="118"/>
    </row>
    <row r="127" outlineLevel="1">
      <c r="A127" s="146"/>
      <c r="B127" s="300" t="s">
        <v>245</v>
      </c>
      <c r="C127" s="307" t="str">
        <f t="array" ref="C127">INDEX('転倒'!$I$3:$J$115, MATCH($A$1,'転倒'!$A$3:$A$115,0), MATCH(C103,'転倒'!$I$2:$AC$2,0))</f>
        <v>1-9</v>
      </c>
      <c r="D127" s="308">
        <f t="array" ref="D127">INDEX('転倒'!$I$3:$J$115, MATCH($A$1,'転倒'!$A$3:$A$115,0), MATCH(D103,'転倒'!$I$2:$AC$2,0))</f>
        <v>28</v>
      </c>
      <c r="E127" s="301"/>
      <c r="F127" s="301"/>
      <c r="G127" s="301"/>
      <c r="H127" s="228"/>
      <c r="I127" s="228"/>
      <c r="J127" s="228"/>
      <c r="K127" s="316"/>
      <c r="L127" s="317" t="str">
        <f>'テンプレート'!L140</f>
        <v/>
      </c>
      <c r="M127" s="113" t="s">
        <v>76</v>
      </c>
      <c r="N127" s="102"/>
      <c r="O127" s="118"/>
      <c r="P127" s="118"/>
      <c r="Q127" s="118"/>
      <c r="R127" s="118"/>
      <c r="S127" s="118"/>
      <c r="T127" s="118"/>
      <c r="U127" s="118"/>
      <c r="V127" s="118"/>
    </row>
    <row r="128" outlineLevel="1">
      <c r="A128" s="146"/>
      <c r="B128" s="300" t="s">
        <v>246</v>
      </c>
      <c r="C128" s="307" t="str">
        <f t="array" ref="C128">INDEX('転倒'!$K$3:$L$115, MATCH($A$1,'転倒'!$A$3:$A$115,0), MATCH(C103,'転倒'!$K$2:$AC$2,0))</f>
        <v>1-9</v>
      </c>
      <c r="D128" s="308">
        <f t="array" ref="D128">INDEX('転倒'!$K$3:$L$115, MATCH($A$1,'転倒'!$A$3:$A$115,0), MATCH(D103,'転倒'!$K$2:$AC$2,0))</f>
        <v>28</v>
      </c>
      <c r="E128" s="301"/>
      <c r="F128" s="301"/>
      <c r="G128" s="301"/>
      <c r="H128" s="228"/>
      <c r="I128" s="228"/>
      <c r="J128" s="228"/>
      <c r="K128" s="318"/>
      <c r="L128" s="118"/>
      <c r="M128" s="118"/>
      <c r="N128" s="102"/>
      <c r="O128" s="118"/>
      <c r="P128" s="118"/>
      <c r="Q128" s="118"/>
      <c r="R128" s="118"/>
      <c r="S128" s="118"/>
      <c r="T128" s="118"/>
      <c r="U128" s="118"/>
      <c r="V128" s="118"/>
    </row>
    <row r="129" outlineLevel="1">
      <c r="A129" s="146"/>
      <c r="B129" s="300" t="s">
        <v>249</v>
      </c>
      <c r="C129" s="309" t="str">
        <f t="array" ref="C129">INDEX('転倒'!$M$3:$P$115, MATCH($A$1,'転倒'!$A$3:$A$115,0), MATCH(C103,'転倒'!$M$2:$AC$2,0))</f>
        <v>1-7</v>
      </c>
      <c r="D129" s="310">
        <f t="array" ref="D129">INDEX('転倒'!$M$3:$P$115, MATCH($A$1,'転倒'!$A$3:$A$115,0), MATCH(D103,'転倒'!$M$2:$AC$2,0))</f>
        <v>49</v>
      </c>
      <c r="E129" s="307" t="str">
        <f t="array" ref="E129">INDEX('転倒'!$M$3:$P$115, MATCH($A$1,'転倒'!$A$3:$A$115,0), MATCH(E103,'転倒'!$M$2:$AC$2,0))</f>
        <v>20-21</v>
      </c>
      <c r="F129" s="308">
        <f t="array" ref="F129">INDEX('転倒'!$M$3:$P$115, MATCH($A$1,'転倒'!$A$3:$A$115,0), MATCH(F103,'転倒'!$M$2:$AC$2,0))</f>
        <v>5</v>
      </c>
      <c r="G129" s="113">
        <f t="shared" ref="G129:G130" si="3">F129*1.2</f>
        <v>6</v>
      </c>
      <c r="H129" s="228"/>
      <c r="I129" s="228"/>
      <c r="J129" s="228"/>
      <c r="K129" s="118"/>
      <c r="L129" s="118"/>
      <c r="M129" s="118"/>
      <c r="N129" s="102"/>
      <c r="O129" s="102"/>
      <c r="P129" s="102"/>
      <c r="Q129" s="102"/>
      <c r="R129" s="118"/>
      <c r="S129" s="118"/>
      <c r="T129" s="118"/>
      <c r="U129" s="118"/>
      <c r="V129" s="118"/>
    </row>
    <row r="130" outlineLevel="1">
      <c r="A130" s="156"/>
      <c r="B130" s="311" t="s">
        <v>250</v>
      </c>
      <c r="C130" s="156"/>
      <c r="D130" s="156"/>
      <c r="E130" s="307" t="str">
        <f t="array" ref="E130">INDEX('転倒'!$Q$3:$R$115, MATCH($A$1,'転倒'!$A$3:$A$115,0), MATCH(E103,'転倒'!$Q$2:$AC$2,0))</f>
        <v>31-32</v>
      </c>
      <c r="F130" s="308">
        <f t="array" ref="F130">INDEX('転倒'!$Q$3:$R$115, MATCH($A$1,'転倒'!$A$3:$A$115,0), MATCH(F103,'転倒'!$Q$2:$AC$2,0))</f>
        <v>5</v>
      </c>
      <c r="G130" s="113">
        <f t="shared" si="3"/>
        <v>6</v>
      </c>
      <c r="H130" s="228"/>
      <c r="I130" s="228"/>
      <c r="J130" s="228"/>
      <c r="K130" s="118"/>
      <c r="L130" s="118"/>
      <c r="M130" s="118"/>
      <c r="N130" s="102"/>
      <c r="O130" s="102"/>
      <c r="P130" s="102"/>
      <c r="Q130" s="102"/>
      <c r="R130" s="118"/>
      <c r="S130" s="118"/>
      <c r="T130" s="118"/>
      <c r="U130" s="118"/>
      <c r="V130" s="118"/>
    </row>
    <row r="131" outlineLevel="1">
      <c r="A131" s="319"/>
      <c r="B131" s="320"/>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3" t="s">
        <v>255</v>
      </c>
      <c r="B132" s="109"/>
      <c r="C132" s="321"/>
      <c r="D132" s="321"/>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256</v>
      </c>
      <c r="B133" s="109"/>
      <c r="C133" s="325" t="s">
        <v>257</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258</v>
      </c>
      <c r="B134" s="327" t="s">
        <v>216</v>
      </c>
      <c r="C134" s="328" t="str">
        <f t="array" ref="C134">INDEX('アイテム'!$C$3:$D$114, MATCH($A$1,'アイテム'!$A$3:$A$114,0), MATCH(C133,'アイテム'!$C$2:$AQ$2,0))</f>
        <v>2</v>
      </c>
      <c r="D134" s="328">
        <f t="array" ref="D134">INDEX('アイテム'!$C$3:$D$114, MATCH($A$1,'アイテム'!$A$3:$A$114,0), MATCH(D133,'アイテム'!$C$2:$AQ$2,0))</f>
        <v>7</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219</v>
      </c>
      <c r="C135" s="328" t="str">
        <f t="array" ref="C135">INDEX('アイテム'!$E$3:$F$114, MATCH($A$1,'アイテム'!$A$3:$A$114,0), MATCH(C133,'アイテム'!$C$2:$AQ$2,0))</f>
        <v>2</v>
      </c>
      <c r="D135" s="328">
        <f t="array" ref="D135">INDEX('アイテム'!$E$3:$F$114, MATCH($A$1,'アイテム'!$A$3:$A$114,0), MATCH(D133,'アイテム'!$C$2:$AQ$2,0))</f>
        <v>19</v>
      </c>
      <c r="E135" s="322"/>
      <c r="F135" s="322"/>
      <c r="G135" s="114"/>
      <c r="H135" s="228"/>
      <c r="I135" s="228"/>
      <c r="J135" s="228"/>
      <c r="K135" s="118"/>
      <c r="L135" s="118"/>
      <c r="M135" s="118"/>
      <c r="N135" s="102"/>
      <c r="O135" s="102"/>
      <c r="P135" s="102"/>
      <c r="Q135" s="102"/>
      <c r="R135" s="118"/>
      <c r="S135" s="118"/>
      <c r="T135" s="118"/>
      <c r="U135" s="118"/>
      <c r="V135" s="118"/>
    </row>
    <row r="136" outlineLevel="1">
      <c r="A136" s="329" t="s">
        <v>259</v>
      </c>
      <c r="B136" s="327" t="s">
        <v>216</v>
      </c>
      <c r="C136" s="328">
        <f t="array" ref="C136">INDEX('アイテム'!$AA$3:$AB$114, MATCH($A$1,'アイテム'!$A$3:$A$114,0), MATCH(C133,'アイテム'!$C$2:$AQ$2,0))</f>
        <v>3</v>
      </c>
      <c r="D136" s="328" t="str">
        <f t="array" ref="D136">INDEX('アイテム'!$AA$3:$AB$114, MATCH($A$1,'アイテム'!$A$3:$A$114,0), MATCH(D133,'アイテム'!$C$2:$AQ$2,0))</f>
        <v>12</v>
      </c>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260</v>
      </c>
      <c r="B137" s="109"/>
      <c r="C137" s="325" t="s">
        <v>261</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262</v>
      </c>
      <c r="B138" s="327" t="s">
        <v>226</v>
      </c>
      <c r="C138" s="328" t="str">
        <f t="array" ref="C138">INDEX('アイテム'!$G$3:$H$114, MATCH($A$1,'アイテム'!$A$3:$A$114,0), MATCH(C133,'アイテム'!$C$2:$AQ$2,0))</f>
        <v>8</v>
      </c>
      <c r="D138" s="328">
        <f t="array" ref="D138">INDEX('アイテム'!$G$3:$H$114, MATCH($A$1,'アイテム'!$A$3:$A$114,0), MATCH(D133,'アイテム'!$C$2:$AQ$2,0))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t="str">
        <f t="array" ref="C139">INDEX('アイテム'!$I$3:$J$114, MATCH($A$1,'アイテム'!$A$3:$A$114,0), MATCH(C133,'アイテム'!$C$2:$AQ$2,0))</f>
        <v>11</v>
      </c>
      <c r="D139" s="328">
        <f t="array" ref="D139">INDEX('アイテム'!$I$3:$J$114, MATCH($A$1,'アイテム'!$A$3:$A$114,0), MATCH(D133,'アイテム'!$C$2:$AQ$2,0))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t="str">
        <f t="array" ref="C140">INDEX('アイテム'!$K$3:$L$114, MATCH($A$1,'アイテム'!$A$3:$A$114,0), MATCH(C133,'アイテム'!$C$2:$AQ$2,0))</f>
        <v>12</v>
      </c>
      <c r="D140" s="328">
        <f t="array" ref="D140">INDEX('アイテム'!$K$3:$L$114, MATCH($A$1,'アイテム'!$A$3:$A$114,0), MATCH(D133,'アイテム'!$C$2:$AQ$2,0))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234</v>
      </c>
      <c r="C141" s="328" t="str">
        <f t="array" ref="C141">INDEX('アイテム'!$M$3:$N$114, MATCH($A$1,'アイテム'!$A$3:$A$114,0), MATCH(C133,'アイテム'!$C$2:$AQ$2,0))</f>
        <v>7</v>
      </c>
      <c r="D141" s="328">
        <f t="array" ref="D141">INDEX('アイテム'!$M$3:$N$114, MATCH($A$1,'アイテム'!$A$3:$A$114,0), MATCH(D133,'アイテム'!$C$2:$AQ$2,0))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219</v>
      </c>
      <c r="C142" s="328" t="str">
        <f t="array" ref="C142">INDEX('アイテム'!$O$3:$P$114, MATCH($A$1,'アイテム'!$A$3:$A$114,0), MATCH(C133,'アイテム'!$C$2:$AQ$2,0))</f>
        <v>6</v>
      </c>
      <c r="D142" s="328">
        <f t="array" ref="D142">INDEX('アイテム'!$O$3:$P$114, MATCH($A$1,'アイテム'!$A$3:$A$114,0), MATCH(D133,'アイテム'!$C$2:$AQ$2,0))</f>
        <v>29</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263</v>
      </c>
      <c r="C143" s="328" t="str">
        <f t="array" ref="C143">INDEX('アイテム'!$Q$3:$R$114, MATCH($A$1,'アイテム'!$A$3:$A$114,0), MATCH(C133,'アイテム'!$C$2:$AQ$2,0))</f>
        <v>6</v>
      </c>
      <c r="D143" s="328">
        <f t="array" ref="D143">INDEX('アイテム'!$Q$3:$R$114, MATCH($A$1,'アイテム'!$A$3:$A$114,0), MATCH(D133,'アイテム'!$C$2:$AQ$2,0))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264</v>
      </c>
      <c r="B144" s="327" t="s">
        <v>226</v>
      </c>
      <c r="C144" s="328" t="str">
        <f t="array" ref="C144">INDEX('アイテム'!$S$3:$T$114, MATCH($A$1,'アイテム'!$A$3:$A$114,0), MATCH(C133,'アイテム'!$C$2:$AQ$2,0))</f>
        <v>8</v>
      </c>
      <c r="D144" s="328">
        <f t="array" ref="D144">INDEX('アイテム'!$S$3:$T$114, MATCH($A$1,'アイテム'!$A$3:$A$114,0), MATCH(D133,'アイテム'!$C$2:$AQ$2,0))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INDEX('アイテム'!$U$3:$V$114, MATCH($A$1,'アイテム'!$A$3:$A$114,0), MATCH(C133,'アイテム'!$C$2:$AQ$2,0))</f>
        <v>11</v>
      </c>
      <c r="D145" s="328">
        <f t="array" ref="D145">INDEX('アイテム'!$U$3:$V$114, MATCH($A$1,'アイテム'!$A$3:$A$114,0), MATCH(D133,'アイテム'!$C$2:$AQ$2,0))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INDEX('アイテム'!$W$3:$X$114, MATCH($A$1,'アイテム'!$A$3:$A$114,0), MATCH(C133,'アイテム'!$C$2:$AQ$2,0))</f>
        <v>12</v>
      </c>
      <c r="D146" s="328">
        <f t="array" ref="D146">INDEX('アイテム'!$W$3:$X$114, MATCH($A$1,'アイテム'!$A$3:$A$114,0), MATCH(D133,'アイテム'!$C$2:$AQ$2,0))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t="str">
        <f t="array" ref="C147">INDEX('アイテム'!$Y$3:$Z$114, MATCH($A$1,'アイテム'!$A$3:$A$114,0), MATCH(C133,'アイテム'!$C$2:$AQ$2,0))</f>
        <v>7</v>
      </c>
      <c r="D147" s="328">
        <f t="array" ref="D147">INDEX('アイテム'!$Y$3:$Z$114, MATCH($A$1,'アイテム'!$A$3:$A$114,0), MATCH(D133,'アイテム'!$C$2:$AQ$2,0))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265</v>
      </c>
      <c r="B148" s="327" t="s">
        <v>226</v>
      </c>
      <c r="C148" s="328">
        <f t="array" ref="C148">INDEX('アイテム'!$AC$3:$AD$114, MATCH($A$1,'アイテム'!$A$3:$A$114,0), MATCH(C133,'アイテム'!$C$2:$AQ$2,0))</f>
        <v>14</v>
      </c>
      <c r="D148" s="328" t="str">
        <f t="array" ref="D148">INDEX('アイテム'!$AC$3:$AD$114, MATCH($A$1,'アイテム'!$A$3:$A$114,0), MATCH(D133,'アイテム'!$C$2:$AQ$2,0))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f t="array" ref="C149">INDEX('アイテム'!$AE$3:$AF$114, MATCH($A$1,'アイテム'!$A$3:$A$114,0), MATCH(C133,'アイテム'!$C$2:$AQ$2,0))</f>
        <v>15</v>
      </c>
      <c r="D149" s="328" t="str">
        <f t="array" ref="D149">INDEX('アイテム'!$AE$3:$AF$114, MATCH($A$1,'アイテム'!$A$3:$A$114,0), MATCH(D133,'アイテム'!$C$2:$AQ$2,0))</f>
        <v>30</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f t="array" ref="C150">INDEX('アイテム'!$AG$3:$AH$114, MATCH($A$1,'アイテム'!$A$3:$A$114,0), MATCH(C133,'アイテム'!$C$2:$AQ$2,0))</f>
        <v>11</v>
      </c>
      <c r="D150" s="328" t="str">
        <f t="array" ref="D150">INDEX('アイテム'!$AG$3:$AH$114, MATCH($A$1,'アイテム'!$A$3:$A$114,0), MATCH(D133,'アイテム'!$C$2:$AQ$2,0))</f>
        <v>22</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f t="array" ref="C151">INDEX('アイテム'!$AI$3:$AJ$114, MATCH($A$1,'アイテム'!$A$3:$A$114,0), MATCH(C133,'アイテム'!$C$2:$AQ$2,0))</f>
        <v>9</v>
      </c>
      <c r="D151" s="328" t="str">
        <f t="array" ref="D151">INDEX('アイテム'!$AI$3:$AJ$114, MATCH($A$1,'アイテム'!$A$3:$A$114,0), MATCH(D133,'アイテム'!$C$2:$AQ$2,0))</f>
        <v>22</v>
      </c>
      <c r="E151" s="322"/>
      <c r="F151" s="322"/>
      <c r="G151" s="114"/>
      <c r="H151" s="228"/>
      <c r="I151" s="228"/>
      <c r="J151" s="228"/>
      <c r="K151" s="118"/>
      <c r="L151" s="118"/>
      <c r="M151" s="118"/>
      <c r="N151" s="102"/>
      <c r="O151" s="102"/>
      <c r="P151" s="102"/>
      <c r="Q151" s="102"/>
      <c r="R151" s="118"/>
      <c r="S151" s="118"/>
      <c r="T151" s="118"/>
      <c r="U151" s="118"/>
      <c r="V151" s="118"/>
    </row>
  </sheetData>
  <mergeCells count="155">
    <mergeCell ref="E34:E36"/>
    <mergeCell ref="F34:F36"/>
    <mergeCell ref="G34:G36"/>
    <mergeCell ref="H34:J36"/>
    <mergeCell ref="U34:U36"/>
    <mergeCell ref="H37:J37"/>
    <mergeCell ref="U38:U39"/>
    <mergeCell ref="H38:J39"/>
    <mergeCell ref="H40:J40"/>
    <mergeCell ref="H41:J41"/>
    <mergeCell ref="R44:V44"/>
    <mergeCell ref="J45:J46"/>
    <mergeCell ref="R45:V46"/>
    <mergeCell ref="R47:V47"/>
    <mergeCell ref="U62:U68"/>
    <mergeCell ref="U70:U71"/>
    <mergeCell ref="V70:V71"/>
    <mergeCell ref="V72:V73"/>
    <mergeCell ref="V75:V76"/>
    <mergeCell ref="R48:V49"/>
    <mergeCell ref="R50:V51"/>
    <mergeCell ref="R52:V53"/>
    <mergeCell ref="R54:V55"/>
    <mergeCell ref="U59:U60"/>
    <mergeCell ref="V59:V60"/>
    <mergeCell ref="V62:V68"/>
    <mergeCell ref="I45:I46"/>
    <mergeCell ref="I48:I49"/>
    <mergeCell ref="J48:J49"/>
    <mergeCell ref="I50:I51"/>
    <mergeCell ref="J50:J51"/>
    <mergeCell ref="I52:I53"/>
    <mergeCell ref="J52:J53"/>
    <mergeCell ref="I54:I55"/>
    <mergeCell ref="J54:J55"/>
    <mergeCell ref="H58:J58"/>
    <mergeCell ref="H59:J60"/>
    <mergeCell ref="H61:J61"/>
    <mergeCell ref="H62:J68"/>
    <mergeCell ref="H69:J69"/>
    <mergeCell ref="K123:L123"/>
    <mergeCell ref="K126:L126"/>
    <mergeCell ref="K103:L103"/>
    <mergeCell ref="K104:K105"/>
    <mergeCell ref="K106:L106"/>
    <mergeCell ref="K107:K112"/>
    <mergeCell ref="K113:K116"/>
    <mergeCell ref="K117:L117"/>
    <mergeCell ref="K119:K122"/>
    <mergeCell ref="H6:H7"/>
    <mergeCell ref="H10:H11"/>
    <mergeCell ref="H1:J2"/>
    <mergeCell ref="K1:M2"/>
    <mergeCell ref="H4:H5"/>
    <mergeCell ref="I4:I5"/>
    <mergeCell ref="I6:I7"/>
    <mergeCell ref="H8:J9"/>
    <mergeCell ref="I10:I11"/>
    <mergeCell ref="K16:N16"/>
    <mergeCell ref="H26:J26"/>
    <mergeCell ref="H27:J27"/>
    <mergeCell ref="H28:J28"/>
    <mergeCell ref="H29:J30"/>
    <mergeCell ref="U29:U30"/>
    <mergeCell ref="H31:J31"/>
    <mergeCell ref="H32:J32"/>
    <mergeCell ref="H33:J33"/>
    <mergeCell ref="C1:G12"/>
    <mergeCell ref="A11:B12"/>
    <mergeCell ref="A15:B16"/>
    <mergeCell ref="C16:D16"/>
    <mergeCell ref="E16:F16"/>
    <mergeCell ref="G16:H16"/>
    <mergeCell ref="H25:J25"/>
    <mergeCell ref="A40:B40"/>
    <mergeCell ref="A43:B44"/>
    <mergeCell ref="H70:J73"/>
    <mergeCell ref="U72:U73"/>
    <mergeCell ref="H74:J74"/>
    <mergeCell ref="U75:U76"/>
    <mergeCell ref="G85:J86"/>
    <mergeCell ref="G87:J88"/>
    <mergeCell ref="G89:J90"/>
    <mergeCell ref="G91:J92"/>
    <mergeCell ref="H75:J76"/>
    <mergeCell ref="G79:J79"/>
    <mergeCell ref="G80:J80"/>
    <mergeCell ref="G81:J81"/>
    <mergeCell ref="G82:J82"/>
    <mergeCell ref="G83:J83"/>
    <mergeCell ref="G84:J84"/>
    <mergeCell ref="A87:A88"/>
    <mergeCell ref="A89:A90"/>
    <mergeCell ref="A91:A92"/>
    <mergeCell ref="A94:B95"/>
    <mergeCell ref="A96:A98"/>
    <mergeCell ref="A99:A100"/>
    <mergeCell ref="A102:B103"/>
    <mergeCell ref="A104:A108"/>
    <mergeCell ref="A109:A111"/>
    <mergeCell ref="A112:A117"/>
    <mergeCell ref="C116:C117"/>
    <mergeCell ref="D116:D117"/>
    <mergeCell ref="C122:C123"/>
    <mergeCell ref="D122:D123"/>
    <mergeCell ref="A134:A135"/>
    <mergeCell ref="A138:A143"/>
    <mergeCell ref="A144:A147"/>
    <mergeCell ref="A148:A151"/>
    <mergeCell ref="A118:A123"/>
    <mergeCell ref="A124:A130"/>
    <mergeCell ref="C129:C130"/>
    <mergeCell ref="D129:D130"/>
    <mergeCell ref="A132:B132"/>
    <mergeCell ref="A133:B133"/>
    <mergeCell ref="A137:B137"/>
    <mergeCell ref="D34:D36"/>
    <mergeCell ref="D38:D39"/>
    <mergeCell ref="A24:B25"/>
    <mergeCell ref="A26:A28"/>
    <mergeCell ref="A29:A30"/>
    <mergeCell ref="D29:D30"/>
    <mergeCell ref="A34:A36"/>
    <mergeCell ref="C34:C36"/>
    <mergeCell ref="A38:A39"/>
    <mergeCell ref="A45:A46"/>
    <mergeCell ref="D45:D46"/>
    <mergeCell ref="A48:A49"/>
    <mergeCell ref="D48:D49"/>
    <mergeCell ref="A50:A51"/>
    <mergeCell ref="D50:D51"/>
    <mergeCell ref="D52:D53"/>
    <mergeCell ref="A52:A53"/>
    <mergeCell ref="A54:A55"/>
    <mergeCell ref="A57:B57"/>
    <mergeCell ref="A58:B58"/>
    <mergeCell ref="A59:A60"/>
    <mergeCell ref="D59:D60"/>
    <mergeCell ref="A61:B61"/>
    <mergeCell ref="A62:A68"/>
    <mergeCell ref="A69:B69"/>
    <mergeCell ref="A70:A71"/>
    <mergeCell ref="D70:D73"/>
    <mergeCell ref="A72:A73"/>
    <mergeCell ref="A74:B74"/>
    <mergeCell ref="D75:D76"/>
    <mergeCell ref="D89:D90"/>
    <mergeCell ref="D91:D92"/>
    <mergeCell ref="A75:A76"/>
    <mergeCell ref="A78:B79"/>
    <mergeCell ref="A81:A83"/>
    <mergeCell ref="A84:B84"/>
    <mergeCell ref="A85:A86"/>
    <mergeCell ref="D85:D86"/>
    <mergeCell ref="D87:D88"/>
  </mergeCells>
  <conditionalFormatting sqref="N40">
    <cfRule type="containsText" dxfId="6" priority="1" operator="containsText" text="/">
      <formula>NOT(ISERROR(SEARCH(("/"),(N40))))</formula>
    </cfRule>
  </conditionalFormatting>
  <conditionalFormatting sqref="K1:K15 K17:K63 K69:K127 N70:N72 C85 E85:F85 C87 E87:F87 L87:N88 O87:Q87 C89 E89 C91 L91:Q91">
    <cfRule type="containsText" dxfId="0" priority="2" operator="containsText" text="361">
      <formula>NOT(ISERROR(SEARCH(("361"),(K1))))</formula>
    </cfRule>
  </conditionalFormatting>
  <conditionalFormatting sqref="K1:K15 K17:K63 K69:K127 N70:N72 C85 E85:F85 C87 E87:F87 L87:N88 O87:Q87 C89 E89 C91 L91:Q91">
    <cfRule type="containsText" dxfId="1" priority="3" operator="containsText" text="363">
      <formula>NOT(ISERROR(SEARCH(("363"),(K1))))</formula>
    </cfRule>
  </conditionalFormatting>
  <conditionalFormatting sqref="K1:K15 K17:K63 K69:K127 N70:N72 C85 E85:F85 C87 E87:F87 L87:N88 O87:Q87 C89 E89 C91 L91:Q91">
    <cfRule type="containsText" dxfId="1" priority="4" operator="containsText" text="365">
      <formula>NOT(ISERROR(SEARCH(("365"),(K1))))</formula>
    </cfRule>
  </conditionalFormatting>
  <conditionalFormatting sqref="K1:K15 K17:K63 K69:K127 N70:N72 C85 E85:F85 C87 E87:F87 L87:N88 O87:Q87 C89 E89 C91 L91:Q91">
    <cfRule type="containsText" dxfId="1" priority="5" operator="containsText" text="366">
      <formula>NOT(ISERROR(SEARCH(("366"),(K1))))</formula>
    </cfRule>
  </conditionalFormatting>
  <conditionalFormatting sqref="K1:K15 K17:K63 K69:K127 N70:N72 C85 E85:F85 C87 E87:F87 L87:N88 O87:Q87 C89 E89 C91 L91:Q91">
    <cfRule type="containsText" dxfId="1" priority="6" operator="containsText" text="367">
      <formula>NOT(ISERROR(SEARCH(("367"),(K1))))</formula>
    </cfRule>
  </conditionalFormatting>
  <conditionalFormatting sqref="P85:P92">
    <cfRule type="cellIs" dxfId="2" priority="7" operator="equal">
      <formula>"敵のみ"</formula>
    </cfRule>
  </conditionalFormatting>
  <conditionalFormatting sqref="C85:C92">
    <cfRule type="cellIs" dxfId="3" priority="8" operator="equal">
      <formula>"-"</formula>
    </cfRule>
  </conditionalFormatting>
  <conditionalFormatting sqref="O1:O63 K40 N40 O69:O151 C85 E85:F85 K85:N85 P85:Q92 C87 E87:F87 K87:N87 K89:N89 C91 K91:N91">
    <cfRule type="cellIs" dxfId="4" priority="9" operator="greaterThan">
      <formula>0</formula>
    </cfRule>
  </conditionalFormatting>
  <conditionalFormatting sqref="P1:Q63 L40:M40 O40 P69:Q151">
    <cfRule type="cellIs" dxfId="5" priority="10" operator="lessThan">
      <formula>1</formula>
    </cfRule>
  </conditionalFormatting>
  <conditionalFormatting sqref="P1:Q63 L40:M40 O40 P69:Q151">
    <cfRule type="cellIs" dxfId="4" priority="11" operator="greaterThan">
      <formula>1</formula>
    </cfRule>
  </conditionalFormatting>
  <conditionalFormatting sqref="N25:N63 N69:N92 O87:Q87 O91:Q91">
    <cfRule type="cellIs" dxfId="6" priority="12" operator="greaterThan">
      <formula>0</formula>
    </cfRule>
  </conditionalFormatting>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E413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791">
        <v>10.0</v>
      </c>
      <c r="B1" s="792"/>
      <c r="C1" s="793" t="str">
        <f>IMAGE(VLOOKUP($A$1,Fighters!A2:AI114,12,FALSE),1)</f>
        <v>#REF!</v>
      </c>
      <c r="D1" s="794"/>
      <c r="E1" s="794"/>
      <c r="F1" s="794"/>
      <c r="G1" s="795"/>
      <c r="H1" s="796"/>
      <c r="I1" s="794"/>
      <c r="J1" s="795"/>
      <c r="K1" s="797"/>
      <c r="L1" s="794"/>
      <c r="M1" s="795"/>
      <c r="N1" s="798"/>
      <c r="O1" s="798"/>
      <c r="P1" s="798"/>
      <c r="Q1" s="798"/>
      <c r="R1" s="799"/>
      <c r="S1" s="799"/>
      <c r="T1" s="799"/>
      <c r="U1" s="799"/>
      <c r="V1" s="799"/>
    </row>
    <row r="2">
      <c r="A2" s="800" t="str">
        <f>VLOOKUP($A$1,Fighters!$A$2:$AI$81,6,FALSE)</f>
        <v>#de413d</v>
      </c>
      <c r="B2" s="792"/>
      <c r="C2" s="801"/>
      <c r="G2" s="802"/>
      <c r="H2" s="803"/>
      <c r="I2" s="804"/>
      <c r="J2" s="805"/>
      <c r="K2" s="803"/>
      <c r="L2" s="804"/>
      <c r="M2" s="805"/>
      <c r="N2" s="798"/>
      <c r="O2" s="798"/>
      <c r="P2" s="798"/>
      <c r="Q2" s="798"/>
      <c r="R2" s="799"/>
      <c r="S2" s="799"/>
      <c r="T2" s="799"/>
      <c r="U2" s="799"/>
      <c r="V2" s="799"/>
    </row>
    <row r="3">
      <c r="A3" s="800" t="str">
        <f>VLOOKUP($A$1,Fighters!$A$2:$AI$81,14,FALSE)</f>
        <v>10. ネス</v>
      </c>
      <c r="B3" s="792"/>
      <c r="C3" s="801"/>
      <c r="G3" s="802"/>
      <c r="H3" s="806"/>
      <c r="I3" s="806"/>
      <c r="J3" s="806"/>
      <c r="K3" s="807"/>
      <c r="L3" s="807"/>
      <c r="M3" s="807"/>
      <c r="N3" s="798"/>
      <c r="O3" s="798"/>
      <c r="P3" s="798"/>
      <c r="Q3" s="798"/>
      <c r="R3" s="808"/>
      <c r="S3" s="799"/>
      <c r="T3" s="799"/>
      <c r="U3" s="799"/>
      <c r="V3" s="799"/>
    </row>
    <row r="4">
      <c r="A4" s="800" t="str">
        <f>VLOOKUP($A$1,Fighters!$A$2:$AI$81,13,FALSE)</f>
        <v>0</v>
      </c>
      <c r="B4" s="792"/>
      <c r="C4" s="801"/>
      <c r="G4" s="802"/>
      <c r="H4" s="809"/>
      <c r="I4" s="809"/>
      <c r="J4" s="806"/>
      <c r="K4" s="807"/>
      <c r="L4" s="807"/>
      <c r="M4" s="807"/>
      <c r="N4" s="798"/>
      <c r="O4" s="798"/>
      <c r="P4" s="798"/>
      <c r="Q4" s="798"/>
      <c r="R4" s="808"/>
      <c r="S4" s="799"/>
      <c r="T4" s="799"/>
      <c r="U4" s="799"/>
      <c r="V4" s="799"/>
    </row>
    <row r="5" ht="16.5" customHeight="1">
      <c r="A5" s="791"/>
      <c r="B5" s="792"/>
      <c r="C5" s="801"/>
      <c r="G5" s="802"/>
      <c r="H5" s="810"/>
      <c r="I5" s="810"/>
      <c r="J5" s="811"/>
      <c r="K5" s="812"/>
      <c r="L5" s="813"/>
      <c r="M5" s="813"/>
      <c r="N5" s="798"/>
      <c r="O5" s="798"/>
      <c r="P5" s="798"/>
      <c r="Q5" s="798"/>
      <c r="R5" s="808"/>
      <c r="S5" s="799"/>
      <c r="T5" s="799"/>
      <c r="U5" s="799"/>
      <c r="V5" s="799"/>
    </row>
    <row r="6">
      <c r="A6" s="792"/>
      <c r="B6" s="792"/>
      <c r="C6" s="801"/>
      <c r="G6" s="802"/>
      <c r="H6" s="809"/>
      <c r="I6" s="814" t="s">
        <v>39</v>
      </c>
      <c r="J6" s="812"/>
      <c r="K6" s="815"/>
      <c r="L6" s="813"/>
      <c r="M6" s="813"/>
      <c r="N6" s="798"/>
      <c r="O6" s="798"/>
      <c r="P6" s="798"/>
      <c r="Q6" s="798"/>
      <c r="R6" s="808"/>
      <c r="S6" s="799"/>
      <c r="T6" s="799"/>
      <c r="U6" s="799"/>
      <c r="V6" s="799"/>
    </row>
    <row r="7">
      <c r="A7" s="792"/>
      <c r="B7" s="792"/>
      <c r="C7" s="801"/>
      <c r="G7" s="802"/>
      <c r="H7" s="810"/>
      <c r="I7" s="810"/>
      <c r="J7" s="812"/>
      <c r="K7" s="815"/>
      <c r="L7" s="813"/>
      <c r="M7" s="813"/>
      <c r="N7" s="798"/>
      <c r="O7" s="798"/>
      <c r="P7" s="798"/>
      <c r="Q7" s="798"/>
      <c r="R7" s="808"/>
      <c r="S7" s="799"/>
      <c r="T7" s="799"/>
      <c r="U7" s="799"/>
      <c r="V7" s="799"/>
    </row>
    <row r="8">
      <c r="A8" s="792"/>
      <c r="B8" s="792"/>
      <c r="C8" s="801"/>
      <c r="G8" s="802"/>
      <c r="H8" s="816">
        <v>44379.84324613426</v>
      </c>
      <c r="I8" s="794"/>
      <c r="J8" s="795"/>
      <c r="K8" s="812"/>
      <c r="L8" s="813"/>
      <c r="M8" s="813"/>
      <c r="N8" s="798"/>
      <c r="O8" s="798"/>
      <c r="P8" s="798"/>
      <c r="Q8" s="798"/>
      <c r="R8" s="808"/>
      <c r="S8" s="799"/>
      <c r="T8" s="799"/>
      <c r="U8" s="799"/>
      <c r="V8" s="799"/>
    </row>
    <row r="9">
      <c r="A9" s="792"/>
      <c r="B9" s="792"/>
      <c r="C9" s="801"/>
      <c r="G9" s="802"/>
      <c r="H9" s="803"/>
      <c r="I9" s="804"/>
      <c r="J9" s="805"/>
      <c r="K9" s="799"/>
      <c r="L9" s="798"/>
      <c r="M9" s="798"/>
      <c r="N9" s="798"/>
      <c r="O9" s="798"/>
      <c r="P9" s="798"/>
      <c r="Q9" s="798"/>
      <c r="R9" s="808"/>
      <c r="S9" s="799"/>
      <c r="T9" s="799"/>
      <c r="U9" s="799"/>
      <c r="V9" s="799"/>
    </row>
    <row r="10">
      <c r="A10" s="792"/>
      <c r="B10" s="792"/>
      <c r="C10" s="801"/>
      <c r="G10" s="802"/>
      <c r="H10" s="817"/>
      <c r="I10" s="817"/>
      <c r="J10" s="799"/>
      <c r="K10" s="799"/>
      <c r="L10" s="798"/>
      <c r="M10" s="798"/>
      <c r="N10" s="798"/>
      <c r="O10" s="798"/>
      <c r="P10" s="798"/>
      <c r="Q10" s="798"/>
      <c r="R10" s="808"/>
      <c r="S10" s="799"/>
      <c r="T10" s="799"/>
      <c r="U10" s="799"/>
      <c r="V10" s="799"/>
    </row>
    <row r="11">
      <c r="A11" s="818" t="s">
        <v>40</v>
      </c>
      <c r="B11" s="795"/>
      <c r="C11" s="801"/>
      <c r="G11" s="802"/>
      <c r="H11" s="810"/>
      <c r="I11" s="810"/>
      <c r="J11" s="799"/>
      <c r="K11" s="799"/>
      <c r="L11" s="798"/>
      <c r="M11" s="798"/>
      <c r="N11" s="798"/>
      <c r="O11" s="798"/>
      <c r="P11" s="798"/>
      <c r="Q11" s="798"/>
      <c r="R11" s="808"/>
      <c r="S11" s="799"/>
      <c r="T11" s="799"/>
      <c r="U11" s="799"/>
      <c r="V11" s="799"/>
    </row>
    <row r="12">
      <c r="A12" s="803"/>
      <c r="B12" s="805"/>
      <c r="C12" s="803"/>
      <c r="D12" s="804"/>
      <c r="E12" s="804"/>
      <c r="F12" s="804"/>
      <c r="G12" s="805"/>
      <c r="H12" s="819"/>
      <c r="I12" s="819"/>
      <c r="J12" s="792"/>
      <c r="K12" s="792"/>
      <c r="L12" s="798"/>
      <c r="M12" s="798"/>
      <c r="N12" s="798"/>
      <c r="O12" s="798"/>
      <c r="P12" s="798"/>
      <c r="Q12" s="798"/>
      <c r="R12" s="808"/>
      <c r="S12" s="799"/>
      <c r="T12" s="799"/>
      <c r="U12" s="799"/>
      <c r="V12" s="79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94 [48th]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42F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1.826 [58th]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0.907 [70th]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58F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0.11561 [74th]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34.48 [26th]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1.609 [57th]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0.131 [5th]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16.65 [33rd]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13F [73rd]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1.007 [57th]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 [10th]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45.65 [6th]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1.31 [79th]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0.0225 [4th]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2.096 [79th]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0.077 [73rd]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616" t="s">
        <v>204</v>
      </c>
      <c r="D26" s="616" t="s">
        <v>1022</v>
      </c>
      <c r="E26" s="616" t="s">
        <v>176</v>
      </c>
      <c r="F26" s="246">
        <v>2.4</v>
      </c>
      <c r="G26" s="616" t="s">
        <v>60</v>
      </c>
      <c r="H26" s="362" t="s">
        <v>1023</v>
      </c>
      <c r="I26" s="110"/>
      <c r="J26" s="109"/>
      <c r="K26" s="138"/>
      <c r="L26" s="282"/>
      <c r="M26" s="363"/>
      <c r="N26" s="363"/>
      <c r="O26" s="145">
        <v>0.0</v>
      </c>
      <c r="P26" s="145">
        <v>1.0</v>
      </c>
      <c r="Q26" s="145">
        <v>1.0</v>
      </c>
      <c r="R26" s="100"/>
      <c r="S26" s="100"/>
      <c r="T26" s="100"/>
      <c r="U26" s="145" t="s">
        <v>69</v>
      </c>
      <c r="V26" s="100"/>
    </row>
    <row r="27" outlineLevel="1">
      <c r="A27" s="146"/>
      <c r="B27" s="147" t="s">
        <v>63</v>
      </c>
      <c r="C27" s="214" t="s">
        <v>204</v>
      </c>
      <c r="D27" s="616" t="s">
        <v>296</v>
      </c>
      <c r="E27" s="214" t="s">
        <v>1024</v>
      </c>
      <c r="F27" s="246">
        <v>1.7999999999999998</v>
      </c>
      <c r="G27" s="214" t="s">
        <v>60</v>
      </c>
      <c r="H27" s="173" t="s">
        <v>1025</v>
      </c>
      <c r="I27" s="110"/>
      <c r="J27" s="109"/>
      <c r="K27" s="282"/>
      <c r="L27" s="282"/>
      <c r="M27" s="363"/>
      <c r="N27" s="363"/>
      <c r="O27" s="145">
        <v>0.0</v>
      </c>
      <c r="P27" s="145">
        <v>1.0</v>
      </c>
      <c r="Q27" s="145">
        <v>1.0</v>
      </c>
      <c r="R27" s="100"/>
      <c r="S27" s="100"/>
      <c r="T27" s="100"/>
      <c r="U27" s="145" t="s">
        <v>76</v>
      </c>
      <c r="V27" s="100"/>
    </row>
    <row r="28" outlineLevel="1">
      <c r="A28" s="156"/>
      <c r="B28" s="147" t="s">
        <v>70</v>
      </c>
      <c r="C28" s="214" t="s">
        <v>217</v>
      </c>
      <c r="D28" s="214" t="s">
        <v>99</v>
      </c>
      <c r="E28" s="214" t="s">
        <v>73</v>
      </c>
      <c r="F28" s="246">
        <v>4.8</v>
      </c>
      <c r="G28" s="214" t="s">
        <v>75</v>
      </c>
      <c r="H28" s="173"/>
      <c r="I28" s="110"/>
      <c r="J28" s="109"/>
      <c r="K28" s="282"/>
      <c r="L28" s="282"/>
      <c r="M28" s="363"/>
      <c r="N28" s="363"/>
      <c r="O28" s="145">
        <v>0.0</v>
      </c>
      <c r="P28" s="145">
        <v>1.0</v>
      </c>
      <c r="Q28" s="145">
        <v>1.0</v>
      </c>
      <c r="R28" s="100"/>
      <c r="S28" s="100"/>
      <c r="T28" s="100"/>
      <c r="U28" s="145" t="s">
        <v>76</v>
      </c>
      <c r="V28" s="100"/>
    </row>
    <row r="29" outlineLevel="1">
      <c r="A29" s="133" t="s">
        <v>77</v>
      </c>
      <c r="B29" s="147" t="s">
        <v>1026</v>
      </c>
      <c r="C29" s="191" t="s">
        <v>80</v>
      </c>
      <c r="D29" s="191" t="s">
        <v>118</v>
      </c>
      <c r="E29" s="216" t="s">
        <v>929</v>
      </c>
      <c r="F29" s="246" t="s">
        <v>930</v>
      </c>
      <c r="G29" s="245" t="s">
        <v>980</v>
      </c>
      <c r="H29" s="175" t="s">
        <v>411</v>
      </c>
      <c r="I29" s="164"/>
      <c r="J29" s="104"/>
      <c r="K29" s="138"/>
      <c r="L29" s="282"/>
      <c r="M29" s="363"/>
      <c r="N29" s="363"/>
      <c r="O29" s="820" t="s">
        <v>1027</v>
      </c>
      <c r="P29" s="145">
        <v>1.0</v>
      </c>
      <c r="Q29" s="145">
        <v>1.0</v>
      </c>
      <c r="R29" s="100"/>
      <c r="S29" s="100"/>
      <c r="T29" s="100"/>
      <c r="U29" s="166" t="s">
        <v>69</v>
      </c>
      <c r="V29" s="100"/>
    </row>
    <row r="30" outlineLevel="1">
      <c r="A30" s="146"/>
      <c r="B30" s="147" t="s">
        <v>1028</v>
      </c>
      <c r="C30" s="107"/>
      <c r="D30" s="210"/>
      <c r="E30" s="216" t="s">
        <v>1029</v>
      </c>
      <c r="F30" s="246" t="s">
        <v>1030</v>
      </c>
      <c r="G30" s="821"/>
      <c r="H30" s="212"/>
      <c r="J30" s="210"/>
      <c r="K30" s="282"/>
      <c r="L30" s="282"/>
      <c r="M30" s="363"/>
      <c r="N30" s="363"/>
      <c r="O30" s="820" t="s">
        <v>1027</v>
      </c>
      <c r="P30" s="145">
        <v>1.0</v>
      </c>
      <c r="Q30" s="145">
        <v>1.0</v>
      </c>
      <c r="R30" s="100"/>
      <c r="S30" s="100"/>
      <c r="T30" s="100"/>
      <c r="U30" s="146"/>
      <c r="V30" s="100"/>
    </row>
    <row r="31" outlineLevel="1">
      <c r="A31" s="146"/>
      <c r="B31" s="147" t="s">
        <v>131</v>
      </c>
      <c r="C31" s="214" t="s">
        <v>561</v>
      </c>
      <c r="D31" s="210"/>
      <c r="E31" s="214" t="s">
        <v>176</v>
      </c>
      <c r="F31" s="246">
        <v>2.4</v>
      </c>
      <c r="G31" s="245" t="s">
        <v>60</v>
      </c>
      <c r="H31" s="212"/>
      <c r="J31" s="210"/>
      <c r="K31" s="282"/>
      <c r="L31" s="282"/>
      <c r="M31" s="363"/>
      <c r="N31" s="363"/>
      <c r="O31" s="820">
        <v>1.0</v>
      </c>
      <c r="P31" s="145">
        <v>1.0</v>
      </c>
      <c r="Q31" s="145">
        <v>1.0</v>
      </c>
      <c r="R31" s="100"/>
      <c r="S31" s="100"/>
      <c r="T31" s="100"/>
      <c r="U31" s="146"/>
      <c r="V31" s="100"/>
    </row>
    <row r="32" outlineLevel="1">
      <c r="A32" s="156"/>
      <c r="B32" s="147" t="s">
        <v>434</v>
      </c>
      <c r="C32" s="214" t="s">
        <v>377</v>
      </c>
      <c r="D32" s="107"/>
      <c r="E32" s="780" t="s">
        <v>86</v>
      </c>
      <c r="F32" s="246">
        <v>4.8</v>
      </c>
      <c r="G32" s="245" t="s">
        <v>102</v>
      </c>
      <c r="H32" s="106"/>
      <c r="I32" s="168"/>
      <c r="J32" s="107"/>
      <c r="K32" s="282"/>
      <c r="L32" s="282"/>
      <c r="M32" s="363"/>
      <c r="N32" s="363"/>
      <c r="O32" s="820">
        <v>1.0</v>
      </c>
      <c r="P32" s="145">
        <v>1.0</v>
      </c>
      <c r="Q32" s="145">
        <v>1.0</v>
      </c>
      <c r="R32" s="100"/>
      <c r="S32" s="100"/>
      <c r="T32" s="100"/>
      <c r="U32" s="156"/>
      <c r="V32" s="100"/>
    </row>
    <row r="33" outlineLevel="1">
      <c r="A33" s="170" t="s">
        <v>89</v>
      </c>
      <c r="B33" s="147" t="s">
        <v>90</v>
      </c>
      <c r="C33" s="216" t="s">
        <v>975</v>
      </c>
      <c r="D33" s="214" t="s">
        <v>218</v>
      </c>
      <c r="E33" s="214" t="s">
        <v>128</v>
      </c>
      <c r="F33" s="138">
        <v>12.0</v>
      </c>
      <c r="G33" s="467" t="s">
        <v>121</v>
      </c>
      <c r="H33" s="159"/>
      <c r="I33" s="110"/>
      <c r="J33" s="109"/>
      <c r="K33" s="138"/>
      <c r="L33" s="282"/>
      <c r="M33" s="363"/>
      <c r="N33" s="363"/>
      <c r="O33" s="145">
        <v>0.0</v>
      </c>
      <c r="P33" s="145">
        <v>1.0</v>
      </c>
      <c r="Q33" s="145">
        <v>1.0</v>
      </c>
      <c r="R33" s="100"/>
      <c r="S33" s="100"/>
      <c r="T33" s="100"/>
      <c r="U33" s="145" t="s">
        <v>96</v>
      </c>
      <c r="V33" s="100"/>
    </row>
    <row r="34" outlineLevel="1">
      <c r="A34" s="133" t="s">
        <v>97</v>
      </c>
      <c r="B34" s="147" t="s">
        <v>152</v>
      </c>
      <c r="C34" s="214" t="s">
        <v>267</v>
      </c>
      <c r="D34" s="191" t="s">
        <v>593</v>
      </c>
      <c r="E34" s="780" t="s">
        <v>1031</v>
      </c>
      <c r="F34" s="138" t="s">
        <v>1032</v>
      </c>
      <c r="G34" s="467" t="s">
        <v>1033</v>
      </c>
      <c r="H34" s="456"/>
      <c r="I34" s="164"/>
      <c r="J34" s="104"/>
      <c r="K34" s="282"/>
      <c r="L34" s="282"/>
      <c r="M34" s="363"/>
      <c r="N34" s="363"/>
      <c r="O34" s="145">
        <v>0.0</v>
      </c>
      <c r="P34" s="145">
        <v>1.0</v>
      </c>
      <c r="Q34" s="145">
        <v>1.0</v>
      </c>
      <c r="R34" s="100"/>
      <c r="S34" s="100"/>
      <c r="T34" s="100"/>
      <c r="U34" s="166" t="s">
        <v>62</v>
      </c>
      <c r="V34" s="100"/>
    </row>
    <row r="35" outlineLevel="1">
      <c r="A35" s="156"/>
      <c r="B35" s="160"/>
      <c r="C35" s="214" t="s">
        <v>319</v>
      </c>
      <c r="D35" s="107"/>
      <c r="E35" s="780" t="s">
        <v>274</v>
      </c>
      <c r="F35" s="138">
        <v>10.8</v>
      </c>
      <c r="G35" s="467" t="s">
        <v>275</v>
      </c>
      <c r="H35" s="106"/>
      <c r="I35" s="168"/>
      <c r="J35" s="107"/>
      <c r="K35" s="282"/>
      <c r="L35" s="282"/>
      <c r="M35" s="363"/>
      <c r="N35" s="363"/>
      <c r="O35" s="145"/>
      <c r="P35" s="145"/>
      <c r="Q35" s="145"/>
      <c r="R35" s="100"/>
      <c r="S35" s="100"/>
      <c r="T35" s="100"/>
      <c r="U35" s="156"/>
      <c r="V35" s="100"/>
    </row>
    <row r="36" outlineLevel="1">
      <c r="A36" s="170" t="s">
        <v>103</v>
      </c>
      <c r="B36" s="160"/>
      <c r="C36" s="216" t="s">
        <v>71</v>
      </c>
      <c r="D36" s="214" t="s">
        <v>1034</v>
      </c>
      <c r="E36" s="214" t="s">
        <v>1035</v>
      </c>
      <c r="F36" s="246" t="s">
        <v>1036</v>
      </c>
      <c r="G36" s="245" t="s">
        <v>980</v>
      </c>
      <c r="H36" s="173" t="s">
        <v>1037</v>
      </c>
      <c r="I36" s="110"/>
      <c r="J36" s="109"/>
      <c r="K36" s="145"/>
      <c r="L36" s="363"/>
      <c r="M36" s="363"/>
      <c r="N36" s="363"/>
      <c r="O36" s="145">
        <v>0.0</v>
      </c>
      <c r="P36" s="145">
        <v>1.0</v>
      </c>
      <c r="Q36" s="145">
        <v>1.0</v>
      </c>
      <c r="R36" s="100"/>
      <c r="S36" s="100"/>
      <c r="T36" s="100"/>
      <c r="U36" s="145" t="s">
        <v>62</v>
      </c>
      <c r="V36" s="100"/>
    </row>
    <row r="37" outlineLevel="1">
      <c r="A37" s="170" t="s">
        <v>109</v>
      </c>
      <c r="B37" s="147"/>
      <c r="C37" s="245" t="s">
        <v>1038</v>
      </c>
      <c r="D37" s="245" t="s">
        <v>289</v>
      </c>
      <c r="E37" s="245" t="s">
        <v>1039</v>
      </c>
      <c r="F37" s="246" t="s">
        <v>1040</v>
      </c>
      <c r="G37" s="245" t="s">
        <v>1041</v>
      </c>
      <c r="H37" s="362" t="s">
        <v>1042</v>
      </c>
      <c r="I37" s="110"/>
      <c r="J37" s="109"/>
      <c r="K37" s="282"/>
      <c r="L37" s="282"/>
      <c r="M37" s="363"/>
      <c r="N37" s="363"/>
      <c r="O37" s="145">
        <v>0.0</v>
      </c>
      <c r="P37" s="145">
        <v>1.0</v>
      </c>
      <c r="Q37" s="145">
        <v>1.0</v>
      </c>
      <c r="R37" s="100"/>
      <c r="S37" s="100"/>
      <c r="T37" s="100"/>
      <c r="U37" s="145" t="s">
        <v>407</v>
      </c>
      <c r="V37" s="100"/>
    </row>
    <row r="38" ht="39.75" customHeight="1" outlineLevel="1">
      <c r="A38" s="133" t="s">
        <v>116</v>
      </c>
      <c r="B38" s="147" t="s">
        <v>1043</v>
      </c>
      <c r="C38" s="214" t="s">
        <v>1044</v>
      </c>
      <c r="D38" s="822"/>
      <c r="E38" s="244" t="s">
        <v>213</v>
      </c>
      <c r="F38" s="246">
        <v>1.2</v>
      </c>
      <c r="G38" s="245" t="s">
        <v>170</v>
      </c>
      <c r="H38" s="175" t="s">
        <v>1045</v>
      </c>
      <c r="I38" s="164"/>
      <c r="J38" s="104"/>
      <c r="K38" s="363"/>
      <c r="L38" s="363"/>
      <c r="M38" s="363"/>
      <c r="N38" s="363"/>
      <c r="O38" s="145">
        <v>0.0</v>
      </c>
      <c r="P38" s="145">
        <v>1.0</v>
      </c>
      <c r="Q38" s="145">
        <v>1.0</v>
      </c>
      <c r="R38" s="100"/>
      <c r="S38" s="100"/>
      <c r="T38" s="100"/>
      <c r="U38" s="166" t="s">
        <v>62</v>
      </c>
      <c r="V38" s="100"/>
    </row>
    <row r="39" ht="39.75" customHeight="1" outlineLevel="1">
      <c r="A39" s="156"/>
      <c r="B39" s="147"/>
      <c r="C39" s="214" t="s">
        <v>1046</v>
      </c>
      <c r="D39" s="244" t="s">
        <v>634</v>
      </c>
      <c r="E39" s="244" t="s">
        <v>228</v>
      </c>
      <c r="F39" s="246">
        <v>15.6</v>
      </c>
      <c r="G39" s="245" t="s">
        <v>275</v>
      </c>
      <c r="H39" s="106"/>
      <c r="I39" s="168"/>
      <c r="J39" s="107"/>
      <c r="K39" s="363"/>
      <c r="L39" s="363"/>
      <c r="M39" s="363"/>
      <c r="N39" s="363"/>
      <c r="O39" s="145">
        <v>0.0</v>
      </c>
      <c r="P39" s="145">
        <v>1.0</v>
      </c>
      <c r="Q39" s="145">
        <v>1.0</v>
      </c>
      <c r="R39" s="100"/>
      <c r="S39" s="100"/>
      <c r="T39" s="100"/>
      <c r="U39" s="156"/>
      <c r="V39" s="100"/>
    </row>
    <row r="40" outlineLevel="1">
      <c r="A40" s="133" t="s">
        <v>124</v>
      </c>
      <c r="B40" s="147" t="s">
        <v>1043</v>
      </c>
      <c r="C40" s="214" t="s">
        <v>1047</v>
      </c>
      <c r="D40" s="822"/>
      <c r="E40" s="244" t="s">
        <v>213</v>
      </c>
      <c r="F40" s="246">
        <v>1.2</v>
      </c>
      <c r="G40" s="245" t="s">
        <v>170</v>
      </c>
      <c r="H40" s="175" t="s">
        <v>1048</v>
      </c>
      <c r="I40" s="164"/>
      <c r="J40" s="104"/>
      <c r="K40" s="282"/>
      <c r="L40" s="282"/>
      <c r="M40" s="363"/>
      <c r="N40" s="363"/>
      <c r="O40" s="145">
        <v>0.0</v>
      </c>
      <c r="P40" s="145">
        <v>1.0</v>
      </c>
      <c r="Q40" s="145">
        <v>1.0</v>
      </c>
      <c r="R40" s="100"/>
      <c r="S40" s="100"/>
      <c r="T40" s="100"/>
      <c r="U40" s="166" t="s">
        <v>69</v>
      </c>
      <c r="V40" s="100"/>
    </row>
    <row r="41" outlineLevel="1">
      <c r="A41" s="146"/>
      <c r="B41" s="147" t="s">
        <v>1049</v>
      </c>
      <c r="C41" s="214" t="s">
        <v>1050</v>
      </c>
      <c r="D41" s="823" t="s">
        <v>146</v>
      </c>
      <c r="E41" s="245" t="s">
        <v>213</v>
      </c>
      <c r="F41" s="246">
        <v>1.2</v>
      </c>
      <c r="G41" s="245" t="s">
        <v>170</v>
      </c>
      <c r="H41" s="212"/>
      <c r="J41" s="210"/>
      <c r="K41" s="282"/>
      <c r="L41" s="282"/>
      <c r="M41" s="363"/>
      <c r="N41" s="363"/>
      <c r="O41" s="145">
        <v>0.0</v>
      </c>
      <c r="P41" s="145">
        <v>1.0</v>
      </c>
      <c r="Q41" s="145">
        <v>1.0</v>
      </c>
      <c r="R41" s="100"/>
      <c r="S41" s="100"/>
      <c r="T41" s="100"/>
      <c r="U41" s="146"/>
      <c r="V41" s="100"/>
    </row>
    <row r="42" outlineLevel="1">
      <c r="A42" s="146"/>
      <c r="B42" s="147" t="s">
        <v>1051</v>
      </c>
      <c r="C42" s="214" t="s">
        <v>203</v>
      </c>
      <c r="D42" s="210"/>
      <c r="E42" s="245" t="s">
        <v>128</v>
      </c>
      <c r="F42" s="246">
        <v>12.0</v>
      </c>
      <c r="G42" s="245" t="s">
        <v>95</v>
      </c>
      <c r="H42" s="212"/>
      <c r="J42" s="210"/>
      <c r="K42" s="282"/>
      <c r="L42" s="282"/>
      <c r="M42" s="363"/>
      <c r="N42" s="363"/>
      <c r="O42" s="145">
        <v>0.0</v>
      </c>
      <c r="P42" s="145">
        <v>1.0</v>
      </c>
      <c r="Q42" s="145">
        <v>1.0</v>
      </c>
      <c r="R42" s="100"/>
      <c r="S42" s="100"/>
      <c r="T42" s="100"/>
      <c r="U42" s="146"/>
      <c r="V42" s="100"/>
    </row>
    <row r="43" outlineLevel="1">
      <c r="A43" s="146"/>
      <c r="B43" s="147" t="s">
        <v>1052</v>
      </c>
      <c r="C43" s="216" t="s">
        <v>1053</v>
      </c>
      <c r="D43" s="210"/>
      <c r="E43" s="245" t="s">
        <v>213</v>
      </c>
      <c r="F43" s="246">
        <v>1.2</v>
      </c>
      <c r="G43" s="245" t="s">
        <v>170</v>
      </c>
      <c r="H43" s="212"/>
      <c r="J43" s="210"/>
      <c r="K43" s="282"/>
      <c r="L43" s="282"/>
      <c r="M43" s="363"/>
      <c r="N43" s="363"/>
      <c r="O43" s="145">
        <v>0.0</v>
      </c>
      <c r="P43" s="145">
        <v>1.0</v>
      </c>
      <c r="Q43" s="145">
        <v>1.0</v>
      </c>
      <c r="R43" s="100"/>
      <c r="S43" s="100"/>
      <c r="T43" s="100"/>
      <c r="U43" s="146"/>
      <c r="V43" s="100"/>
    </row>
    <row r="44" outlineLevel="1">
      <c r="A44" s="156"/>
      <c r="B44" s="147" t="s">
        <v>1054</v>
      </c>
      <c r="C44" s="214" t="s">
        <v>523</v>
      </c>
      <c r="D44" s="107"/>
      <c r="E44" s="245" t="s">
        <v>128</v>
      </c>
      <c r="F44" s="246">
        <v>12.0</v>
      </c>
      <c r="G44" s="245" t="s">
        <v>95</v>
      </c>
      <c r="H44" s="106"/>
      <c r="I44" s="168"/>
      <c r="J44" s="107"/>
      <c r="K44" s="282"/>
      <c r="L44" s="282"/>
      <c r="M44" s="363"/>
      <c r="N44" s="363"/>
      <c r="O44" s="145">
        <v>0.0</v>
      </c>
      <c r="P44" s="145">
        <v>1.0</v>
      </c>
      <c r="Q44" s="145">
        <v>1.0</v>
      </c>
      <c r="R44" s="100"/>
      <c r="S44" s="100"/>
      <c r="T44" s="100"/>
      <c r="U44" s="156"/>
      <c r="V44" s="100"/>
    </row>
    <row r="45">
      <c r="A45" s="118"/>
      <c r="B45" s="176"/>
      <c r="C45" s="118"/>
      <c r="D45" s="118"/>
      <c r="E45" s="118"/>
      <c r="F45" s="177"/>
      <c r="G45" s="177"/>
      <c r="H45" s="118"/>
      <c r="I45" s="118"/>
      <c r="J45" s="118"/>
      <c r="K45" s="118"/>
      <c r="L45" s="118"/>
      <c r="M45" s="118"/>
      <c r="N45" s="118"/>
      <c r="O45" s="118"/>
      <c r="P45" s="118"/>
      <c r="Q45" s="118"/>
      <c r="R45" s="118"/>
      <c r="S45" s="118"/>
      <c r="T45" s="118"/>
      <c r="U45" s="118"/>
      <c r="V45" s="118"/>
    </row>
    <row r="46">
      <c r="A46" s="178" t="s">
        <v>133</v>
      </c>
      <c r="B46" s="104"/>
      <c r="C46" s="179"/>
      <c r="D46" s="179"/>
      <c r="E46" s="179"/>
      <c r="F46" s="180"/>
      <c r="G46" s="179"/>
      <c r="H46" s="180"/>
      <c r="I46" s="180"/>
      <c r="J46" s="181"/>
      <c r="K46" s="180"/>
      <c r="L46" s="180"/>
      <c r="M46" s="180"/>
      <c r="N46" s="180"/>
      <c r="O46" s="180"/>
      <c r="P46" s="180"/>
      <c r="Q46" s="180"/>
      <c r="R46" s="180"/>
      <c r="S46" s="180"/>
      <c r="T46" s="180"/>
      <c r="U46" s="180"/>
      <c r="V46" s="180"/>
    </row>
    <row r="47" outlineLevel="1">
      <c r="A47" s="106"/>
      <c r="B47" s="107"/>
      <c r="C47" s="182" t="s">
        <v>48</v>
      </c>
      <c r="D47" s="183" t="s">
        <v>49</v>
      </c>
      <c r="E47" s="182" t="s">
        <v>50</v>
      </c>
      <c r="F47" s="184" t="s">
        <v>51</v>
      </c>
      <c r="G47" s="184" t="s">
        <v>134</v>
      </c>
      <c r="H47" s="185" t="s">
        <v>52</v>
      </c>
      <c r="I47" s="184" t="str">
        <f>'テンプレート'!I56</f>
        <v>着地隙</v>
      </c>
      <c r="J47" s="184" t="s">
        <v>136</v>
      </c>
      <c r="K47" s="184" t="str">
        <f>'テンプレート'!K56</f>
        <v>ベクトル</v>
      </c>
      <c r="L47" s="184" t="str">
        <f>'テンプレート'!L56</f>
        <v>KBG (R.E.)</v>
      </c>
      <c r="M47" s="184" t="str">
        <f>'テンプレート'!M56</f>
        <v>BKB (R.A.)</v>
      </c>
      <c r="N47" s="184" t="str">
        <f>'テンプレート'!N56</f>
        <v>FKB (R.F.)</v>
      </c>
      <c r="O47" s="186" t="str">
        <f>'テンプレート'!O56</f>
        <v>盾削り値</v>
      </c>
      <c r="P47" s="184" t="str">
        <f>'テンプレート'!P56</f>
        <v>ﾋｯﾄｽﾄｯﾌﾟ</v>
      </c>
      <c r="Q47" s="186" t="str">
        <f>'テンプレート'!Q56</f>
        <v>ずらし</v>
      </c>
      <c r="R47" s="372" t="str">
        <f>'テンプレート'!R56</f>
        <v>備考</v>
      </c>
      <c r="S47" s="110"/>
      <c r="T47" s="110"/>
      <c r="U47" s="110"/>
      <c r="V47" s="110"/>
    </row>
    <row r="48" outlineLevel="1">
      <c r="A48" s="188" t="s">
        <v>144</v>
      </c>
      <c r="B48" s="373"/>
      <c r="C48" s="244" t="s">
        <v>1055</v>
      </c>
      <c r="D48" s="824" t="s">
        <v>193</v>
      </c>
      <c r="E48" s="617" t="s">
        <v>232</v>
      </c>
      <c r="F48" s="618">
        <v>13.2</v>
      </c>
      <c r="G48" s="618">
        <v>11.22</v>
      </c>
      <c r="H48" s="138" t="s">
        <v>147</v>
      </c>
      <c r="I48" s="454" t="str">
        <f t="array" ref="I48">INDEX('空中攻撃'!$O$3:$AA$109, MATCH($A$1,'空中攻撃'!$A$3:$A$109,0), MATCH(A48,'空中攻撃'!$O$2:$S$2,0))</f>
        <v>8</v>
      </c>
      <c r="J48" s="455" t="s">
        <v>1056</v>
      </c>
      <c r="K48" s="376"/>
      <c r="L48" s="377"/>
      <c r="M48" s="825"/>
      <c r="N48" s="825"/>
      <c r="O48" s="199">
        <v>1.0</v>
      </c>
      <c r="P48" s="199">
        <v>1.0</v>
      </c>
      <c r="Q48" s="199">
        <v>1.0</v>
      </c>
      <c r="R48" s="456"/>
      <c r="S48" s="164"/>
      <c r="T48" s="164"/>
      <c r="U48" s="164"/>
      <c r="V48" s="104"/>
    </row>
    <row r="49" outlineLevel="1">
      <c r="A49" s="156"/>
      <c r="B49" s="373" t="s">
        <v>84</v>
      </c>
      <c r="C49" s="244" t="s">
        <v>721</v>
      </c>
      <c r="D49" s="107"/>
      <c r="E49" s="244" t="s">
        <v>93</v>
      </c>
      <c r="F49" s="246">
        <v>8.4</v>
      </c>
      <c r="G49" s="246">
        <v>7.140000000000001</v>
      </c>
      <c r="H49" s="138" t="s">
        <v>60</v>
      </c>
      <c r="I49" s="156"/>
      <c r="J49" s="107"/>
      <c r="K49" s="376"/>
      <c r="L49" s="377"/>
      <c r="M49" s="825"/>
      <c r="N49" s="825"/>
      <c r="O49" s="199">
        <v>1.0</v>
      </c>
      <c r="P49" s="199">
        <v>1.0</v>
      </c>
      <c r="Q49" s="199">
        <v>1.0</v>
      </c>
      <c r="R49" s="106"/>
      <c r="S49" s="168"/>
      <c r="T49" s="168"/>
      <c r="U49" s="168"/>
      <c r="V49" s="107"/>
    </row>
    <row r="50" outlineLevel="1">
      <c r="A50" s="188" t="s">
        <v>151</v>
      </c>
      <c r="B50" s="373" t="s">
        <v>199</v>
      </c>
      <c r="C50" s="244" t="s">
        <v>1057</v>
      </c>
      <c r="D50" s="207">
        <v>39.0</v>
      </c>
      <c r="E50" s="244" t="s">
        <v>1024</v>
      </c>
      <c r="F50" s="138">
        <v>1.7999999999999998</v>
      </c>
      <c r="G50" s="138">
        <v>1.53</v>
      </c>
      <c r="H50" s="138" t="s">
        <v>170</v>
      </c>
      <c r="I50" s="454" t="str">
        <f t="array" ref="I50">INDEX('空中攻撃'!$O$3:$AA$109, MATCH($A$1,'空中攻撃'!$A$3:$A$109,0), MATCH(A50,'空中攻撃'!$O$2:$S$2,0))</f>
        <v>12</v>
      </c>
      <c r="J50" s="455" t="s">
        <v>1058</v>
      </c>
      <c r="K50" s="376"/>
      <c r="L50" s="377"/>
      <c r="M50" s="825"/>
      <c r="N50" s="825"/>
      <c r="O50" s="199">
        <v>0.0</v>
      </c>
      <c r="P50" s="199">
        <v>1.0</v>
      </c>
      <c r="Q50" s="199">
        <v>0.8</v>
      </c>
      <c r="R50" s="163" t="s">
        <v>1059</v>
      </c>
      <c r="S50" s="164"/>
      <c r="T50" s="164"/>
      <c r="U50" s="164"/>
      <c r="V50" s="104"/>
    </row>
    <row r="51" outlineLevel="1">
      <c r="A51" s="156"/>
      <c r="B51" s="373" t="s">
        <v>202</v>
      </c>
      <c r="C51" s="244" t="s">
        <v>351</v>
      </c>
      <c r="D51" s="107"/>
      <c r="E51" s="244" t="s">
        <v>100</v>
      </c>
      <c r="F51" s="138">
        <v>6.6</v>
      </c>
      <c r="G51" s="138">
        <v>5.61</v>
      </c>
      <c r="H51" s="138" t="s">
        <v>60</v>
      </c>
      <c r="I51" s="156"/>
      <c r="J51" s="107"/>
      <c r="K51" s="376"/>
      <c r="L51" s="377"/>
      <c r="M51" s="825"/>
      <c r="N51" s="825"/>
      <c r="O51" s="199">
        <v>0.0</v>
      </c>
      <c r="P51" s="199">
        <v>1.5</v>
      </c>
      <c r="Q51" s="199">
        <v>1.0</v>
      </c>
      <c r="R51" s="106"/>
      <c r="S51" s="168"/>
      <c r="T51" s="168"/>
      <c r="U51" s="168"/>
      <c r="V51" s="107"/>
    </row>
    <row r="52" outlineLevel="1">
      <c r="A52" s="188" t="s">
        <v>157</v>
      </c>
      <c r="B52" s="373"/>
      <c r="C52" s="244" t="s">
        <v>223</v>
      </c>
      <c r="D52" s="207">
        <v>35.0</v>
      </c>
      <c r="E52" s="244" t="s">
        <v>386</v>
      </c>
      <c r="F52" s="138">
        <v>18.0</v>
      </c>
      <c r="G52" s="138">
        <v>15.3</v>
      </c>
      <c r="H52" s="138" t="s">
        <v>75</v>
      </c>
      <c r="I52" s="454">
        <f t="array" ref="I52">INDEX('空中攻撃'!$O$3:$AA$109, MATCH($A$1,'空中攻撃'!$A$3:$A$109,0), MATCH(A52,'空中攻撃'!$O$2:$S$2,0))</f>
        <v>10</v>
      </c>
      <c r="J52" s="455" t="s">
        <v>1060</v>
      </c>
      <c r="K52" s="376"/>
      <c r="L52" s="377"/>
      <c r="M52" s="825"/>
      <c r="N52" s="825"/>
      <c r="O52" s="199">
        <v>0.0</v>
      </c>
      <c r="P52" s="199">
        <v>1.0</v>
      </c>
      <c r="Q52" s="199">
        <v>1.0</v>
      </c>
      <c r="R52" s="456"/>
      <c r="S52" s="164"/>
      <c r="T52" s="164"/>
      <c r="U52" s="164"/>
      <c r="V52" s="104"/>
    </row>
    <row r="53" outlineLevel="1">
      <c r="A53" s="156"/>
      <c r="B53" s="373" t="s">
        <v>84</v>
      </c>
      <c r="C53" s="239" t="s">
        <v>1061</v>
      </c>
      <c r="D53" s="107"/>
      <c r="E53" s="244" t="s">
        <v>80</v>
      </c>
      <c r="F53" s="138">
        <v>9.6</v>
      </c>
      <c r="G53" s="138">
        <v>8.16</v>
      </c>
      <c r="H53" s="138" t="s">
        <v>147</v>
      </c>
      <c r="I53" s="156"/>
      <c r="J53" s="107"/>
      <c r="K53" s="376"/>
      <c r="L53" s="377"/>
      <c r="M53" s="825"/>
      <c r="N53" s="825"/>
      <c r="O53" s="199">
        <v>0.0</v>
      </c>
      <c r="P53" s="199">
        <v>1.0</v>
      </c>
      <c r="Q53" s="199">
        <v>1.0</v>
      </c>
      <c r="R53" s="106"/>
      <c r="S53" s="168"/>
      <c r="T53" s="168"/>
      <c r="U53" s="168"/>
      <c r="V53" s="107"/>
    </row>
    <row r="54" outlineLevel="1">
      <c r="A54" s="188" t="s">
        <v>162</v>
      </c>
      <c r="B54" s="373" t="s">
        <v>199</v>
      </c>
      <c r="C54" s="244" t="s">
        <v>1062</v>
      </c>
      <c r="D54" s="191" t="s">
        <v>72</v>
      </c>
      <c r="E54" s="244" t="s">
        <v>535</v>
      </c>
      <c r="F54" s="246">
        <v>3.0</v>
      </c>
      <c r="G54" s="246">
        <v>2.55</v>
      </c>
      <c r="H54" s="138" t="s">
        <v>170</v>
      </c>
      <c r="I54" s="454" t="str">
        <f t="array" ref="I54">INDEX('空中攻撃'!$O$3:$AA$109, MATCH($A$1,'空中攻撃'!$A$3:$A$109,0), MATCH(A54,'空中攻撃'!$O$2:$S$2,0))</f>
        <v>8</v>
      </c>
      <c r="J54" s="379" t="s">
        <v>1063</v>
      </c>
      <c r="K54" s="377"/>
      <c r="L54" s="377"/>
      <c r="M54" s="825"/>
      <c r="N54" s="825"/>
      <c r="O54" s="199">
        <v>0.0</v>
      </c>
      <c r="P54" s="199">
        <v>1.0</v>
      </c>
      <c r="Q54" s="199">
        <v>1.0</v>
      </c>
      <c r="R54" s="456"/>
      <c r="S54" s="164"/>
      <c r="T54" s="164"/>
      <c r="U54" s="164"/>
      <c r="V54" s="104"/>
    </row>
    <row r="55" outlineLevel="1">
      <c r="A55" s="156"/>
      <c r="B55" s="373" t="s">
        <v>202</v>
      </c>
      <c r="C55" s="244" t="s">
        <v>561</v>
      </c>
      <c r="D55" s="107"/>
      <c r="E55" s="244" t="s">
        <v>150</v>
      </c>
      <c r="F55" s="246">
        <v>6.0</v>
      </c>
      <c r="G55" s="246">
        <v>5.1</v>
      </c>
      <c r="H55" s="138" t="s">
        <v>60</v>
      </c>
      <c r="I55" s="156"/>
      <c r="J55" s="107"/>
      <c r="K55" s="377"/>
      <c r="L55" s="377"/>
      <c r="M55" s="825"/>
      <c r="N55" s="825"/>
      <c r="O55" s="199"/>
      <c r="P55" s="199"/>
      <c r="Q55" s="199"/>
      <c r="R55" s="106"/>
      <c r="S55" s="168"/>
      <c r="T55" s="168"/>
      <c r="U55" s="168"/>
      <c r="V55" s="107"/>
    </row>
    <row r="56" outlineLevel="1">
      <c r="A56" s="188" t="s">
        <v>166</v>
      </c>
      <c r="B56" s="373"/>
      <c r="C56" s="364" t="s">
        <v>312</v>
      </c>
      <c r="D56" s="826" t="s">
        <v>634</v>
      </c>
      <c r="E56" s="364" t="s">
        <v>119</v>
      </c>
      <c r="F56" s="246">
        <v>16.8</v>
      </c>
      <c r="G56" s="246">
        <v>14.280000000000001</v>
      </c>
      <c r="H56" s="138" t="s">
        <v>75</v>
      </c>
      <c r="I56" s="454">
        <f t="array" ref="I56">INDEX('空中攻撃'!$O$3:$AA$109, MATCH($A$1,'空中攻撃'!$A$3:$A$109,0), MATCH(A56,'空中攻撃'!$O$2:$S$2,0))</f>
        <v>12</v>
      </c>
      <c r="J56" s="379" t="s">
        <v>1064</v>
      </c>
      <c r="K56" s="377"/>
      <c r="L56" s="377"/>
      <c r="M56" s="825"/>
      <c r="N56" s="825"/>
      <c r="O56" s="199">
        <v>0.0</v>
      </c>
      <c r="P56" s="199">
        <v>1.0</v>
      </c>
      <c r="Q56" s="199">
        <v>1.0</v>
      </c>
      <c r="R56" s="456"/>
      <c r="S56" s="164"/>
      <c r="T56" s="164"/>
      <c r="U56" s="164"/>
      <c r="V56" s="104"/>
    </row>
    <row r="57" outlineLevel="1">
      <c r="A57" s="156"/>
      <c r="B57" s="373" t="s">
        <v>84</v>
      </c>
      <c r="C57" s="364" t="s">
        <v>1065</v>
      </c>
      <c r="D57" s="107"/>
      <c r="E57" s="364" t="s">
        <v>129</v>
      </c>
      <c r="F57" s="246">
        <v>14.399999999999999</v>
      </c>
      <c r="G57" s="246">
        <v>12.24</v>
      </c>
      <c r="H57" s="138" t="s">
        <v>75</v>
      </c>
      <c r="I57" s="156"/>
      <c r="J57" s="107"/>
      <c r="K57" s="377"/>
      <c r="L57" s="377"/>
      <c r="M57" s="825"/>
      <c r="N57" s="825"/>
      <c r="O57" s="199">
        <v>0.0</v>
      </c>
      <c r="P57" s="199">
        <v>1.0</v>
      </c>
      <c r="Q57" s="199">
        <v>1.0</v>
      </c>
      <c r="R57" s="106"/>
      <c r="S57" s="168"/>
      <c r="T57" s="168"/>
      <c r="U57" s="168"/>
      <c r="V57" s="107"/>
    </row>
    <row r="58">
      <c r="A58" s="223"/>
      <c r="B58" s="224"/>
      <c r="C58" s="225"/>
      <c r="D58" s="225"/>
      <c r="E58" s="226"/>
      <c r="F58" s="226"/>
      <c r="G58" s="226"/>
      <c r="H58" s="227"/>
      <c r="I58" s="227"/>
      <c r="J58" s="228"/>
      <c r="K58" s="228"/>
      <c r="L58" s="228"/>
      <c r="M58" s="228"/>
      <c r="N58" s="228"/>
      <c r="O58" s="228"/>
      <c r="P58" s="228"/>
      <c r="Q58" s="118"/>
      <c r="R58" s="118"/>
      <c r="S58" s="118"/>
      <c r="T58" s="118"/>
      <c r="U58" s="118"/>
      <c r="V58" s="118"/>
    </row>
    <row r="59">
      <c r="A59" s="229" t="s">
        <v>177</v>
      </c>
      <c r="B59" s="109"/>
      <c r="C59" s="225"/>
      <c r="D59" s="225"/>
      <c r="E59" s="226"/>
      <c r="F59" s="226"/>
      <c r="G59" s="226"/>
      <c r="H59" s="227"/>
      <c r="I59" s="227"/>
      <c r="J59" s="228"/>
      <c r="K59" s="228"/>
      <c r="L59" s="228"/>
      <c r="M59" s="228"/>
      <c r="N59" s="228"/>
      <c r="O59" s="228"/>
      <c r="P59" s="228"/>
      <c r="Q59" s="118"/>
      <c r="R59" s="118"/>
      <c r="S59" s="118"/>
      <c r="T59" s="118"/>
      <c r="U59" s="118"/>
      <c r="V59" s="118"/>
    </row>
    <row r="60" outlineLevel="1">
      <c r="A60" s="230" t="s">
        <v>1066</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ht="21.0" customHeight="1" outlineLevel="1">
      <c r="A61" s="237" t="s">
        <v>184</v>
      </c>
      <c r="B61" s="243" t="s">
        <v>473</v>
      </c>
      <c r="C61" s="364" t="s">
        <v>1067</v>
      </c>
      <c r="D61" s="364" t="s">
        <v>601</v>
      </c>
      <c r="E61" s="244" t="s">
        <v>232</v>
      </c>
      <c r="F61" s="246">
        <v>13.2</v>
      </c>
      <c r="G61" s="244" t="s">
        <v>147</v>
      </c>
      <c r="H61" s="175" t="s">
        <v>1068</v>
      </c>
      <c r="I61" s="164"/>
      <c r="J61" s="104"/>
      <c r="K61" s="282"/>
      <c r="L61" s="282"/>
      <c r="M61" s="363"/>
      <c r="N61" s="363"/>
      <c r="O61" s="138">
        <v>0.0</v>
      </c>
      <c r="P61" s="138">
        <v>1.0</v>
      </c>
      <c r="Q61" s="138">
        <v>1.0</v>
      </c>
      <c r="R61" s="145" t="b">
        <v>0</v>
      </c>
      <c r="S61" s="145" t="b">
        <v>0</v>
      </c>
      <c r="T61" s="145" t="b">
        <v>1</v>
      </c>
      <c r="U61" s="166" t="s">
        <v>186</v>
      </c>
      <c r="V61" s="166" t="b">
        <v>1</v>
      </c>
    </row>
    <row r="62" ht="21.0" customHeight="1" outlineLevel="1">
      <c r="A62" s="146"/>
      <c r="B62" s="663" t="s">
        <v>677</v>
      </c>
      <c r="C62" s="553"/>
      <c r="D62" s="244" t="s">
        <v>193</v>
      </c>
      <c r="E62" s="553"/>
      <c r="F62" s="553"/>
      <c r="G62" s="553"/>
      <c r="H62" s="212"/>
      <c r="J62" s="210"/>
      <c r="K62" s="282"/>
      <c r="L62" s="282"/>
      <c r="M62" s="363"/>
      <c r="N62" s="363"/>
      <c r="O62" s="138"/>
      <c r="P62" s="138"/>
      <c r="Q62" s="138"/>
      <c r="R62" s="145" t="b">
        <v>0</v>
      </c>
      <c r="S62" s="145" t="b">
        <v>0</v>
      </c>
      <c r="T62" s="145" t="b">
        <v>0</v>
      </c>
      <c r="U62" s="146"/>
      <c r="V62" s="146"/>
    </row>
    <row r="63" ht="21.0" customHeight="1" outlineLevel="1">
      <c r="A63" s="146"/>
      <c r="B63" s="663" t="s">
        <v>340</v>
      </c>
      <c r="C63" s="364" t="s">
        <v>1069</v>
      </c>
      <c r="D63" s="364" t="s">
        <v>1070</v>
      </c>
      <c r="E63" s="244" t="s">
        <v>105</v>
      </c>
      <c r="F63" s="246">
        <v>32.4</v>
      </c>
      <c r="G63" s="244" t="s">
        <v>123</v>
      </c>
      <c r="H63" s="106"/>
      <c r="I63" s="168"/>
      <c r="J63" s="107"/>
      <c r="K63" s="282"/>
      <c r="L63" s="282"/>
      <c r="M63" s="363"/>
      <c r="N63" s="363"/>
      <c r="O63" s="138">
        <v>0.0</v>
      </c>
      <c r="P63" s="138">
        <v>1.0</v>
      </c>
      <c r="Q63" s="138">
        <v>1.0</v>
      </c>
      <c r="R63" s="145" t="b">
        <v>0</v>
      </c>
      <c r="S63" s="145" t="b">
        <v>0</v>
      </c>
      <c r="T63" s="145" t="b">
        <v>1</v>
      </c>
      <c r="U63" s="156"/>
      <c r="V63" s="156"/>
    </row>
    <row r="64" outlineLevel="1">
      <c r="A64" s="230" t="s">
        <v>1071</v>
      </c>
      <c r="B64" s="109"/>
      <c r="C64" s="231" t="s">
        <v>48</v>
      </c>
      <c r="D64" s="231" t="s">
        <v>49</v>
      </c>
      <c r="E64" s="232" t="s">
        <v>50</v>
      </c>
      <c r="F64" s="233" t="s">
        <v>51</v>
      </c>
      <c r="G64" s="232" t="s">
        <v>52</v>
      </c>
      <c r="H64" s="382" t="s">
        <v>53</v>
      </c>
      <c r="I64" s="110"/>
      <c r="J64" s="109"/>
      <c r="K64" s="235" t="s">
        <v>137</v>
      </c>
      <c r="L64" s="235" t="s">
        <v>138</v>
      </c>
      <c r="M64" s="235" t="s">
        <v>139</v>
      </c>
      <c r="N64" s="235" t="s">
        <v>140</v>
      </c>
      <c r="O64" s="236" t="s">
        <v>141</v>
      </c>
      <c r="P64" s="235" t="s">
        <v>142</v>
      </c>
      <c r="Q64" s="236" t="s">
        <v>143</v>
      </c>
      <c r="R64" s="235" t="s">
        <v>179</v>
      </c>
      <c r="S64" s="236" t="s">
        <v>180</v>
      </c>
      <c r="T64" s="236" t="s">
        <v>181</v>
      </c>
      <c r="U64" s="236" t="s">
        <v>182</v>
      </c>
      <c r="V64" s="236" t="s">
        <v>183</v>
      </c>
    </row>
    <row r="65" ht="22.5" customHeight="1" outlineLevel="1">
      <c r="A65" s="237" t="s">
        <v>184</v>
      </c>
      <c r="B65" s="243" t="s">
        <v>1072</v>
      </c>
      <c r="C65" s="239" t="s">
        <v>1073</v>
      </c>
      <c r="D65" s="195" t="s">
        <v>300</v>
      </c>
      <c r="E65" s="239" t="s">
        <v>86</v>
      </c>
      <c r="F65" s="138">
        <v>7.199999999999999</v>
      </c>
      <c r="G65" s="239" t="s">
        <v>60</v>
      </c>
      <c r="H65" s="283" t="s">
        <v>1074</v>
      </c>
      <c r="I65" s="164"/>
      <c r="J65" s="104"/>
      <c r="K65" s="282"/>
      <c r="L65" s="282"/>
      <c r="M65" s="363"/>
      <c r="N65" s="363"/>
      <c r="O65" s="138">
        <v>0.0</v>
      </c>
      <c r="P65" s="138">
        <v>1.0</v>
      </c>
      <c r="Q65" s="138">
        <v>1.0</v>
      </c>
      <c r="R65" s="145" t="b">
        <v>1</v>
      </c>
      <c r="S65" s="145" t="b">
        <v>0</v>
      </c>
      <c r="T65" s="145" t="b">
        <v>1</v>
      </c>
      <c r="U65" s="166" t="s">
        <v>186</v>
      </c>
      <c r="V65" s="166" t="b">
        <v>1</v>
      </c>
    </row>
    <row r="66" ht="32.25" customHeight="1" outlineLevel="1">
      <c r="A66" s="146"/>
      <c r="B66" s="243" t="s">
        <v>1075</v>
      </c>
      <c r="C66" s="239" t="s">
        <v>1076</v>
      </c>
      <c r="D66" s="107"/>
      <c r="E66" s="239" t="s">
        <v>213</v>
      </c>
      <c r="F66" s="138">
        <v>1.2</v>
      </c>
      <c r="G66" s="239" t="s">
        <v>170</v>
      </c>
      <c r="H66" s="106"/>
      <c r="I66" s="168"/>
      <c r="J66" s="107"/>
      <c r="K66" s="138"/>
      <c r="L66" s="138"/>
      <c r="M66" s="145"/>
      <c r="N66" s="145"/>
      <c r="O66" s="138">
        <v>0.0</v>
      </c>
      <c r="P66" s="138">
        <v>1.0</v>
      </c>
      <c r="Q66" s="138">
        <v>1.0</v>
      </c>
      <c r="R66" s="145" t="b">
        <v>1</v>
      </c>
      <c r="S66" s="145" t="b">
        <v>0</v>
      </c>
      <c r="T66" s="145" t="b">
        <v>1</v>
      </c>
      <c r="U66" s="156"/>
      <c r="V66" s="156"/>
    </row>
    <row r="67" outlineLevel="1">
      <c r="A67" s="230" t="s">
        <v>1077</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ht="24.75" customHeight="1" outlineLevel="1">
      <c r="A68" s="237" t="s">
        <v>184</v>
      </c>
      <c r="B68" s="402" t="s">
        <v>1078</v>
      </c>
      <c r="C68" s="239" t="s">
        <v>1079</v>
      </c>
      <c r="D68" s="827"/>
      <c r="E68" s="244" t="s">
        <v>232</v>
      </c>
      <c r="F68" s="246">
        <v>13.2</v>
      </c>
      <c r="G68" s="244" t="s">
        <v>147</v>
      </c>
      <c r="H68" s="175" t="s">
        <v>1080</v>
      </c>
      <c r="I68" s="164"/>
      <c r="J68" s="104"/>
      <c r="K68" s="138"/>
      <c r="L68" s="138"/>
      <c r="M68" s="145"/>
      <c r="N68" s="145"/>
      <c r="O68" s="138">
        <v>0.0</v>
      </c>
      <c r="P68" s="138">
        <v>1.0</v>
      </c>
      <c r="Q68" s="138">
        <v>1.0</v>
      </c>
      <c r="R68" s="145" t="b">
        <v>1</v>
      </c>
      <c r="S68" s="145" t="b">
        <v>0</v>
      </c>
      <c r="T68" s="145" t="b">
        <v>1</v>
      </c>
      <c r="U68" s="166" t="b">
        <v>0</v>
      </c>
      <c r="V68" s="166" t="b">
        <v>0</v>
      </c>
    </row>
    <row r="69" ht="24.75" customHeight="1" outlineLevel="1">
      <c r="A69" s="146"/>
      <c r="B69" s="402" t="s">
        <v>1081</v>
      </c>
      <c r="C69" s="239" t="s">
        <v>1079</v>
      </c>
      <c r="D69" s="146"/>
      <c r="E69" s="244" t="s">
        <v>213</v>
      </c>
      <c r="F69" s="246">
        <v>1.2</v>
      </c>
      <c r="G69" s="244" t="s">
        <v>170</v>
      </c>
      <c r="H69" s="212"/>
      <c r="J69" s="210"/>
      <c r="K69" s="138"/>
      <c r="L69" s="138"/>
      <c r="M69" s="145"/>
      <c r="N69" s="145"/>
      <c r="O69" s="138">
        <v>0.0</v>
      </c>
      <c r="P69" s="138">
        <v>1.0</v>
      </c>
      <c r="Q69" s="138">
        <v>1.0</v>
      </c>
      <c r="R69" s="145" t="b">
        <v>1</v>
      </c>
      <c r="S69" s="145" t="b">
        <v>0</v>
      </c>
      <c r="T69" s="145" t="b">
        <v>1</v>
      </c>
      <c r="U69" s="146"/>
      <c r="V69" s="146"/>
    </row>
    <row r="70" ht="24.75" customHeight="1" outlineLevel="1">
      <c r="A70" s="146"/>
      <c r="B70" s="402" t="s">
        <v>1082</v>
      </c>
      <c r="C70" s="553"/>
      <c r="D70" s="616" t="s">
        <v>99</v>
      </c>
      <c r="E70" s="822"/>
      <c r="F70" s="822"/>
      <c r="G70" s="822"/>
      <c r="H70" s="212"/>
      <c r="J70" s="210"/>
      <c r="K70" s="261"/>
      <c r="L70" s="261"/>
      <c r="M70" s="261"/>
      <c r="N70" s="261"/>
      <c r="O70" s="261"/>
      <c r="P70" s="261"/>
      <c r="Q70" s="261"/>
      <c r="R70" s="261"/>
      <c r="S70" s="261"/>
      <c r="T70" s="261"/>
      <c r="U70" s="146"/>
      <c r="V70" s="146"/>
    </row>
    <row r="71" ht="24.75" customHeight="1" outlineLevel="1">
      <c r="A71" s="146"/>
      <c r="B71" s="402" t="s">
        <v>1083</v>
      </c>
      <c r="C71" s="244" t="s">
        <v>1084</v>
      </c>
      <c r="D71" s="827"/>
      <c r="E71" s="244" t="s">
        <v>92</v>
      </c>
      <c r="F71" s="246">
        <v>30.0</v>
      </c>
      <c r="G71" s="244" t="s">
        <v>348</v>
      </c>
      <c r="H71" s="212"/>
      <c r="J71" s="210"/>
      <c r="K71" s="138"/>
      <c r="L71" s="138"/>
      <c r="M71" s="145"/>
      <c r="N71" s="145"/>
      <c r="O71" s="138">
        <v>0.0</v>
      </c>
      <c r="P71" s="138">
        <v>1.0</v>
      </c>
      <c r="Q71" s="138">
        <v>1.0</v>
      </c>
      <c r="R71" s="145" t="b">
        <v>1</v>
      </c>
      <c r="S71" s="145" t="b">
        <v>0</v>
      </c>
      <c r="T71" s="145"/>
      <c r="U71" s="146"/>
      <c r="V71" s="146"/>
    </row>
    <row r="72" ht="24.75" customHeight="1" outlineLevel="1">
      <c r="A72" s="146"/>
      <c r="B72" s="402" t="s">
        <v>1085</v>
      </c>
      <c r="C72" s="244" t="s">
        <v>1086</v>
      </c>
      <c r="D72" s="146"/>
      <c r="E72" s="244" t="s">
        <v>65</v>
      </c>
      <c r="F72" s="246">
        <v>25.2</v>
      </c>
      <c r="G72" s="616" t="s">
        <v>1008</v>
      </c>
      <c r="H72" s="212"/>
      <c r="J72" s="210"/>
      <c r="K72" s="138"/>
      <c r="L72" s="138"/>
      <c r="M72" s="145"/>
      <c r="N72" s="145"/>
      <c r="O72" s="138">
        <v>0.0</v>
      </c>
      <c r="P72" s="138">
        <v>1.0</v>
      </c>
      <c r="Q72" s="138">
        <v>1.0</v>
      </c>
      <c r="R72" s="145" t="b">
        <v>1</v>
      </c>
      <c r="S72" s="145"/>
      <c r="T72" s="145"/>
      <c r="U72" s="146"/>
      <c r="V72" s="146"/>
    </row>
    <row r="73" ht="24.75" customHeight="1" outlineLevel="1">
      <c r="A73" s="146"/>
      <c r="B73" s="402" t="s">
        <v>1087</v>
      </c>
      <c r="C73" s="553"/>
      <c r="D73" s="616" t="s">
        <v>964</v>
      </c>
      <c r="E73" s="822"/>
      <c r="F73" s="822"/>
      <c r="G73" s="822"/>
      <c r="H73" s="106"/>
      <c r="I73" s="168"/>
      <c r="J73" s="107"/>
      <c r="K73" s="261"/>
      <c r="L73" s="261"/>
      <c r="M73" s="261"/>
      <c r="N73" s="261"/>
      <c r="O73" s="261"/>
      <c r="P73" s="261"/>
      <c r="Q73" s="261"/>
      <c r="R73" s="261"/>
      <c r="S73" s="261"/>
      <c r="T73" s="261"/>
      <c r="U73" s="156"/>
      <c r="V73" s="156"/>
    </row>
    <row r="74" outlineLevel="1">
      <c r="A74" s="230" t="s">
        <v>1088</v>
      </c>
      <c r="B74" s="109"/>
      <c r="C74" s="231" t="s">
        <v>48</v>
      </c>
      <c r="D74" s="231" t="s">
        <v>49</v>
      </c>
      <c r="E74" s="232" t="s">
        <v>50</v>
      </c>
      <c r="F74" s="233" t="s">
        <v>51</v>
      </c>
      <c r="G74" s="232" t="s">
        <v>52</v>
      </c>
      <c r="H74" s="382" t="s">
        <v>53</v>
      </c>
      <c r="I74" s="110"/>
      <c r="J74" s="109"/>
      <c r="K74" s="235" t="s">
        <v>137</v>
      </c>
      <c r="L74" s="235" t="s">
        <v>138</v>
      </c>
      <c r="M74" s="235" t="s">
        <v>139</v>
      </c>
      <c r="N74" s="235" t="s">
        <v>140</v>
      </c>
      <c r="O74" s="236" t="s">
        <v>141</v>
      </c>
      <c r="P74" s="235" t="s">
        <v>142</v>
      </c>
      <c r="Q74" s="236" t="s">
        <v>143</v>
      </c>
      <c r="R74" s="235" t="s">
        <v>179</v>
      </c>
      <c r="S74" s="236" t="s">
        <v>180</v>
      </c>
      <c r="T74" s="236" t="s">
        <v>181</v>
      </c>
      <c r="U74" s="236" t="s">
        <v>182</v>
      </c>
      <c r="V74" s="236" t="s">
        <v>183</v>
      </c>
    </row>
    <row r="75" outlineLevel="1">
      <c r="A75" s="237" t="s">
        <v>184</v>
      </c>
      <c r="B75" s="624" t="s">
        <v>1089</v>
      </c>
      <c r="C75" s="244" t="s">
        <v>1090</v>
      </c>
      <c r="D75" s="244" t="s">
        <v>268</v>
      </c>
      <c r="E75" s="244" t="s">
        <v>73</v>
      </c>
      <c r="F75" s="246">
        <v>4.8</v>
      </c>
      <c r="G75" s="244" t="s">
        <v>75</v>
      </c>
      <c r="H75" s="395" t="s">
        <v>1091</v>
      </c>
      <c r="I75" s="164"/>
      <c r="J75" s="104"/>
      <c r="K75" s="138"/>
      <c r="L75" s="138"/>
      <c r="M75" s="145"/>
      <c r="N75" s="145"/>
      <c r="O75" s="138">
        <v>0.0</v>
      </c>
      <c r="P75" s="138">
        <v>1.0</v>
      </c>
      <c r="Q75" s="138">
        <v>1.0</v>
      </c>
      <c r="R75" s="145" t="b">
        <v>0</v>
      </c>
      <c r="S75" s="145" t="b">
        <v>0</v>
      </c>
      <c r="T75" s="145"/>
      <c r="U75" s="166" t="s">
        <v>186</v>
      </c>
      <c r="V75" s="166" t="b">
        <v>1</v>
      </c>
    </row>
    <row r="76" outlineLevel="1">
      <c r="A76" s="146"/>
      <c r="B76" s="624" t="s">
        <v>1092</v>
      </c>
      <c r="C76" s="244" t="s">
        <v>882</v>
      </c>
      <c r="D76" s="616" t="s">
        <v>274</v>
      </c>
      <c r="E76" s="244" t="s">
        <v>209</v>
      </c>
      <c r="F76" s="244" t="s">
        <v>209</v>
      </c>
      <c r="G76" s="822"/>
      <c r="H76" s="106"/>
      <c r="I76" s="168"/>
      <c r="J76" s="107"/>
      <c r="K76" s="138"/>
      <c r="L76" s="138"/>
      <c r="M76" s="145"/>
      <c r="N76" s="145"/>
      <c r="O76" s="138"/>
      <c r="P76" s="138"/>
      <c r="Q76" s="138"/>
      <c r="R76" s="145" t="b">
        <v>0</v>
      </c>
      <c r="S76" s="145" t="b">
        <v>0</v>
      </c>
      <c r="T76" s="145" t="b">
        <v>0</v>
      </c>
      <c r="U76" s="146"/>
      <c r="V76" s="146"/>
    </row>
    <row r="77" outlineLevel="1">
      <c r="A77" s="156"/>
      <c r="B77" s="624" t="s">
        <v>1093</v>
      </c>
      <c r="C77" s="822"/>
      <c r="D77" s="616" t="s">
        <v>1094</v>
      </c>
      <c r="E77" s="822"/>
      <c r="F77" s="822"/>
      <c r="G77" s="822"/>
      <c r="H77" s="362" t="s">
        <v>1095</v>
      </c>
      <c r="I77" s="110"/>
      <c r="J77" s="109"/>
      <c r="K77" s="138"/>
      <c r="L77" s="138"/>
      <c r="M77" s="145"/>
      <c r="N77" s="145"/>
      <c r="O77" s="138"/>
      <c r="P77" s="138"/>
      <c r="Q77" s="138"/>
      <c r="R77" s="145" t="b">
        <v>0</v>
      </c>
      <c r="S77" s="145" t="b">
        <v>0</v>
      </c>
      <c r="T77" s="145" t="b">
        <v>0</v>
      </c>
      <c r="U77" s="156"/>
      <c r="V77" s="156"/>
    </row>
    <row r="78">
      <c r="A78" s="223"/>
      <c r="B78" s="224"/>
      <c r="C78" s="225"/>
      <c r="D78" s="225"/>
      <c r="E78" s="226"/>
      <c r="F78" s="226"/>
      <c r="G78" s="226"/>
      <c r="H78" s="227"/>
      <c r="I78" s="227"/>
      <c r="J78" s="228"/>
      <c r="K78" s="228"/>
      <c r="L78" s="228"/>
      <c r="M78" s="228"/>
      <c r="N78" s="228"/>
      <c r="O78" s="228"/>
      <c r="P78" s="228"/>
      <c r="Q78" s="118"/>
      <c r="R78" s="118"/>
      <c r="S78" s="118"/>
      <c r="T78" s="118"/>
      <c r="U78" s="118"/>
      <c r="V78" s="118"/>
    </row>
    <row r="79">
      <c r="A79" s="264" t="s">
        <v>211</v>
      </c>
      <c r="B79" s="104"/>
      <c r="C79" s="227"/>
      <c r="D79" s="227"/>
      <c r="E79" s="228"/>
      <c r="F79" s="265"/>
      <c r="G79" s="265"/>
      <c r="H79" s="228"/>
      <c r="I79" s="228"/>
      <c r="J79" s="228"/>
      <c r="K79" s="228"/>
      <c r="L79" s="228"/>
      <c r="M79" s="228"/>
      <c r="N79" s="118"/>
      <c r="O79" s="118"/>
      <c r="P79" s="118"/>
      <c r="Q79" s="228"/>
      <c r="R79" s="228"/>
      <c r="S79" s="228"/>
      <c r="T79" s="228"/>
      <c r="U79" s="228"/>
      <c r="V79" s="228"/>
    </row>
    <row r="80" outlineLevel="1">
      <c r="A80" s="106"/>
      <c r="B80" s="107"/>
      <c r="C80" s="266" t="s">
        <v>48</v>
      </c>
      <c r="D80" s="266" t="s">
        <v>49</v>
      </c>
      <c r="E80" s="266" t="s">
        <v>50</v>
      </c>
      <c r="F80" s="267" t="s">
        <v>51</v>
      </c>
      <c r="G80" s="227"/>
      <c r="H80" s="227"/>
      <c r="I80" s="227"/>
      <c r="J80" s="228"/>
      <c r="K80" s="228"/>
      <c r="L80" s="228"/>
      <c r="M80" s="228"/>
      <c r="N80" s="228"/>
      <c r="O80" s="228"/>
      <c r="P80" s="228"/>
      <c r="Q80" s="228"/>
      <c r="R80" s="228"/>
      <c r="S80" s="228"/>
      <c r="T80" s="228"/>
      <c r="U80" s="228"/>
      <c r="V80" s="228"/>
    </row>
    <row r="81" outlineLevel="1">
      <c r="A81" s="268" t="s">
        <v>212</v>
      </c>
      <c r="B81" s="269" t="s">
        <v>212</v>
      </c>
      <c r="C81" s="239" t="s">
        <v>213</v>
      </c>
      <c r="D81" s="239" t="s">
        <v>86</v>
      </c>
      <c r="E81" s="239" t="s">
        <v>214</v>
      </c>
      <c r="F81" s="138">
        <v>1.56</v>
      </c>
      <c r="G81" s="227"/>
      <c r="H81" s="227"/>
      <c r="I81" s="227"/>
      <c r="J81" s="228"/>
      <c r="K81" s="228"/>
      <c r="L81" s="228"/>
      <c r="M81" s="228"/>
      <c r="N81" s="228"/>
      <c r="O81" s="228"/>
      <c r="P81" s="228"/>
      <c r="Q81" s="228"/>
      <c r="R81" s="228"/>
      <c r="S81" s="228"/>
      <c r="T81" s="228"/>
      <c r="U81" s="228"/>
      <c r="V81" s="228"/>
    </row>
    <row r="82" outlineLevel="1">
      <c r="A82" s="270" t="s">
        <v>215</v>
      </c>
      <c r="B82" s="269" t="s">
        <v>216</v>
      </c>
      <c r="C82" s="244" t="s">
        <v>217</v>
      </c>
      <c r="D82" s="239" t="s">
        <v>79</v>
      </c>
      <c r="E82" s="271"/>
      <c r="F82" s="272"/>
      <c r="G82" s="272"/>
      <c r="H82" s="227"/>
      <c r="I82" s="227"/>
      <c r="J82" s="228"/>
      <c r="K82" s="228"/>
      <c r="L82" s="228"/>
      <c r="M82" s="228"/>
      <c r="N82" s="228"/>
      <c r="O82" s="228"/>
      <c r="P82" s="228"/>
      <c r="Q82" s="228"/>
      <c r="R82" s="228"/>
      <c r="S82" s="228"/>
      <c r="T82" s="228"/>
      <c r="U82" s="228"/>
      <c r="V82" s="228"/>
    </row>
    <row r="83" outlineLevel="1">
      <c r="A83" s="212"/>
      <c r="B83" s="269" t="s">
        <v>219</v>
      </c>
      <c r="C83" s="244" t="s">
        <v>220</v>
      </c>
      <c r="D83" s="239" t="s">
        <v>146</v>
      </c>
      <c r="E83" s="271"/>
      <c r="F83" s="272"/>
      <c r="G83" s="272"/>
      <c r="H83" s="227"/>
      <c r="I83" s="227"/>
      <c r="J83" s="228"/>
      <c r="K83" s="228"/>
      <c r="L83" s="228"/>
      <c r="M83" s="228"/>
      <c r="N83" s="228"/>
      <c r="O83" s="228"/>
      <c r="P83" s="228"/>
      <c r="Q83" s="228"/>
      <c r="R83" s="228"/>
      <c r="S83" s="228"/>
      <c r="T83" s="228"/>
      <c r="U83" s="228"/>
      <c r="V83" s="228"/>
    </row>
    <row r="84" outlineLevel="1">
      <c r="A84" s="106"/>
      <c r="B84" s="269" t="s">
        <v>222</v>
      </c>
      <c r="C84" s="244" t="s">
        <v>223</v>
      </c>
      <c r="D84" s="239" t="s">
        <v>628</v>
      </c>
      <c r="E84" s="227"/>
      <c r="F84" s="272"/>
      <c r="G84" s="272"/>
      <c r="H84" s="227"/>
      <c r="I84" s="227"/>
      <c r="J84" s="228"/>
      <c r="K84" s="228"/>
      <c r="L84" s="228"/>
      <c r="M84" s="228"/>
      <c r="N84" s="228"/>
      <c r="O84" s="228"/>
      <c r="P84" s="228"/>
      <c r="Q84" s="228"/>
      <c r="R84" s="228"/>
      <c r="S84" s="228"/>
      <c r="T84" s="228"/>
      <c r="U84" s="228"/>
      <c r="V84" s="228"/>
    </row>
    <row r="85" outlineLevel="1">
      <c r="A85" s="273" t="s">
        <v>225</v>
      </c>
      <c r="B85" s="109"/>
      <c r="C85" s="266" t="s">
        <v>48</v>
      </c>
      <c r="D85" s="266" t="s">
        <v>49</v>
      </c>
      <c r="E85" s="266" t="s">
        <v>50</v>
      </c>
      <c r="F85" s="267" t="s">
        <v>51</v>
      </c>
      <c r="G85" s="274" t="s">
        <v>53</v>
      </c>
      <c r="H85" s="110"/>
      <c r="I85" s="110"/>
      <c r="J85" s="109"/>
      <c r="K85" s="275" t="str">
        <f>'テンプレート'!K97</f>
        <v>ベクトル</v>
      </c>
      <c r="L85" s="275" t="str">
        <f>'テンプレート'!L97</f>
        <v>KBG (R.E.)</v>
      </c>
      <c r="M85" s="275" t="str">
        <f>'テンプレート'!M97</f>
        <v>BKB (R.A.)</v>
      </c>
      <c r="N85" s="275" t="str">
        <f>'テンプレート'!N97</f>
        <v>FKB (R.F.)</v>
      </c>
      <c r="O85" s="276" t="str">
        <f>'テンプレート'!O97</f>
        <v>盾削り値</v>
      </c>
      <c r="P85" s="275" t="str">
        <f>'テンプレート'!P97</f>
        <v>ﾋｯﾄｽﾄｯﾌﾟ</v>
      </c>
      <c r="Q85" s="276" t="str">
        <f>'テンプレート'!Q97</f>
        <v>ずらし</v>
      </c>
      <c r="R85" s="277"/>
      <c r="S85" s="277"/>
      <c r="T85" s="277"/>
      <c r="U85" s="277"/>
      <c r="V85" s="277"/>
    </row>
    <row r="86" outlineLevel="1">
      <c r="A86" s="278" t="s">
        <v>226</v>
      </c>
      <c r="B86" s="269" t="s">
        <v>227</v>
      </c>
      <c r="C86" s="261"/>
      <c r="D86" s="279">
        <v>52.0</v>
      </c>
      <c r="E86" s="261"/>
      <c r="F86" s="261"/>
      <c r="G86" s="416"/>
      <c r="H86" s="164"/>
      <c r="I86" s="164"/>
      <c r="J86" s="104"/>
      <c r="K86" s="261"/>
      <c r="L86" s="261"/>
      <c r="M86" s="261"/>
      <c r="N86" s="261"/>
      <c r="O86" s="261"/>
      <c r="P86" s="261"/>
      <c r="Q86" s="261"/>
      <c r="R86" s="277"/>
      <c r="S86" s="228"/>
      <c r="T86" s="228"/>
      <c r="U86" s="228"/>
      <c r="V86" s="228"/>
    </row>
    <row r="87" outlineLevel="1">
      <c r="A87" s="156"/>
      <c r="B87" s="269" t="s">
        <v>225</v>
      </c>
      <c r="C87" s="113">
        <v>27.0</v>
      </c>
      <c r="D87" s="156"/>
      <c r="E87" s="239" t="s">
        <v>232</v>
      </c>
      <c r="F87" s="138">
        <v>13.2</v>
      </c>
      <c r="G87" s="106"/>
      <c r="H87" s="168"/>
      <c r="I87" s="168"/>
      <c r="J87" s="107"/>
      <c r="K87" s="282"/>
      <c r="L87" s="282"/>
      <c r="M87" s="363"/>
      <c r="N87" s="363"/>
      <c r="O87" s="261"/>
      <c r="P87" s="261"/>
      <c r="Q87" s="261"/>
      <c r="R87" s="277"/>
      <c r="S87" s="228"/>
      <c r="T87" s="228"/>
      <c r="U87" s="228"/>
      <c r="V87" s="228"/>
    </row>
    <row r="88" outlineLevel="1">
      <c r="A88" s="278" t="s">
        <v>229</v>
      </c>
      <c r="B88" s="269" t="s">
        <v>227</v>
      </c>
      <c r="C88" s="261"/>
      <c r="D88" s="279">
        <v>52.0</v>
      </c>
      <c r="E88" s="261"/>
      <c r="F88" s="261"/>
      <c r="G88" s="416"/>
      <c r="H88" s="164"/>
      <c r="I88" s="164"/>
      <c r="J88" s="104"/>
      <c r="K88" s="261"/>
      <c r="L88" s="261"/>
      <c r="M88" s="261"/>
      <c r="N88" s="261"/>
      <c r="O88" s="261"/>
      <c r="P88" s="261"/>
      <c r="Q88" s="261"/>
      <c r="R88" s="277"/>
      <c r="S88" s="228"/>
      <c r="T88" s="228"/>
      <c r="U88" s="228"/>
      <c r="V88" s="228"/>
    </row>
    <row r="89" outlineLevel="1">
      <c r="A89" s="156"/>
      <c r="B89" s="269" t="s">
        <v>225</v>
      </c>
      <c r="C89" s="113">
        <v>27.0</v>
      </c>
      <c r="D89" s="156"/>
      <c r="E89" s="239" t="s">
        <v>232</v>
      </c>
      <c r="F89" s="138">
        <v>13.2</v>
      </c>
      <c r="G89" s="106"/>
      <c r="H89" s="168"/>
      <c r="I89" s="168"/>
      <c r="J89" s="107"/>
      <c r="K89" s="282"/>
      <c r="L89" s="282"/>
      <c r="M89" s="363"/>
      <c r="N89" s="363"/>
      <c r="O89" s="261"/>
      <c r="P89" s="261"/>
      <c r="Q89" s="261"/>
      <c r="R89" s="277"/>
      <c r="S89" s="228"/>
      <c r="T89" s="228"/>
      <c r="U89" s="228"/>
      <c r="V89" s="228"/>
    </row>
    <row r="90" outlineLevel="1">
      <c r="A90" s="278" t="s">
        <v>233</v>
      </c>
      <c r="B90" s="269" t="s">
        <v>227</v>
      </c>
      <c r="C90" s="261"/>
      <c r="D90" s="279">
        <v>55.0</v>
      </c>
      <c r="E90" s="261"/>
      <c r="F90" s="261"/>
      <c r="G90" s="416"/>
      <c r="H90" s="164"/>
      <c r="I90" s="164"/>
      <c r="J90" s="104"/>
      <c r="K90" s="261"/>
      <c r="L90" s="261"/>
      <c r="M90" s="261"/>
      <c r="N90" s="261"/>
      <c r="O90" s="261"/>
      <c r="P90" s="261"/>
      <c r="Q90" s="261"/>
      <c r="R90" s="277"/>
      <c r="S90" s="228"/>
      <c r="T90" s="228"/>
      <c r="U90" s="228"/>
      <c r="V90" s="228"/>
    </row>
    <row r="91" outlineLevel="1">
      <c r="A91" s="156"/>
      <c r="B91" s="269" t="s">
        <v>225</v>
      </c>
      <c r="C91" s="113">
        <v>36.0</v>
      </c>
      <c r="D91" s="156"/>
      <c r="E91" s="365" t="s">
        <v>129</v>
      </c>
      <c r="F91" s="138">
        <v>14.4</v>
      </c>
      <c r="G91" s="106"/>
      <c r="H91" s="168"/>
      <c r="I91" s="168"/>
      <c r="J91" s="107"/>
      <c r="K91" s="282"/>
      <c r="L91" s="282"/>
      <c r="M91" s="363"/>
      <c r="N91" s="363"/>
      <c r="O91" s="261"/>
      <c r="P91" s="261"/>
      <c r="Q91" s="261"/>
      <c r="R91" s="277"/>
      <c r="S91" s="117"/>
      <c r="T91" s="117"/>
      <c r="U91" s="117"/>
      <c r="V91" s="117"/>
    </row>
    <row r="92" outlineLevel="1">
      <c r="A92" s="278" t="s">
        <v>234</v>
      </c>
      <c r="B92" s="269" t="s">
        <v>1096</v>
      </c>
      <c r="C92" s="239" t="s">
        <v>1097</v>
      </c>
      <c r="D92" s="367">
        <v>49.0</v>
      </c>
      <c r="E92" s="239" t="s">
        <v>1098</v>
      </c>
      <c r="F92" s="138">
        <v>0.6</v>
      </c>
      <c r="G92" s="416"/>
      <c r="H92" s="164"/>
      <c r="I92" s="164"/>
      <c r="J92" s="104"/>
      <c r="K92" s="282"/>
      <c r="L92" s="282"/>
      <c r="M92" s="363"/>
      <c r="N92" s="363"/>
      <c r="O92" s="145">
        <v>0.0</v>
      </c>
      <c r="P92" s="145">
        <v>1.0</v>
      </c>
      <c r="Q92" s="145">
        <v>1.0</v>
      </c>
      <c r="R92" s="277"/>
      <c r="S92" s="117"/>
      <c r="T92" s="117"/>
      <c r="U92" s="117"/>
      <c r="V92" s="117"/>
    </row>
    <row r="93" outlineLevel="1">
      <c r="A93" s="146"/>
      <c r="B93" s="269" t="s">
        <v>1099</v>
      </c>
      <c r="C93" s="239" t="s">
        <v>1100</v>
      </c>
      <c r="D93" s="146"/>
      <c r="E93" s="239" t="s">
        <v>1024</v>
      </c>
      <c r="F93" s="138">
        <v>1.7999999999999998</v>
      </c>
      <c r="G93" s="212"/>
      <c r="J93" s="210"/>
      <c r="K93" s="282"/>
      <c r="L93" s="282"/>
      <c r="M93" s="363"/>
      <c r="N93" s="363"/>
      <c r="O93" s="261"/>
      <c r="P93" s="261"/>
      <c r="Q93" s="261"/>
      <c r="R93" s="277"/>
      <c r="S93" s="117"/>
      <c r="T93" s="117"/>
      <c r="U93" s="117"/>
      <c r="V93" s="117"/>
    </row>
    <row r="94" outlineLevel="1">
      <c r="A94" s="156"/>
      <c r="B94" s="269" t="s">
        <v>225</v>
      </c>
      <c r="C94" s="239" t="s">
        <v>105</v>
      </c>
      <c r="D94" s="156"/>
      <c r="E94" s="239" t="s">
        <v>73</v>
      </c>
      <c r="F94" s="138">
        <v>4.8</v>
      </c>
      <c r="G94" s="106"/>
      <c r="H94" s="168"/>
      <c r="I94" s="168"/>
      <c r="J94" s="107"/>
      <c r="K94" s="282"/>
      <c r="L94" s="282"/>
      <c r="M94" s="363"/>
      <c r="N94" s="363"/>
      <c r="O94" s="261"/>
      <c r="P94" s="261"/>
      <c r="Q94" s="261"/>
      <c r="R94" s="277"/>
      <c r="S94" s="117"/>
      <c r="T94" s="117"/>
      <c r="U94" s="117"/>
      <c r="V94" s="117"/>
    </row>
    <row r="95">
      <c r="A95" s="223"/>
      <c r="B95" s="224"/>
      <c r="C95" s="225"/>
      <c r="D95" s="225"/>
      <c r="E95" s="227"/>
      <c r="F95" s="177"/>
      <c r="G95" s="177"/>
      <c r="H95" s="227"/>
      <c r="I95" s="227"/>
      <c r="J95" s="228"/>
      <c r="K95" s="228"/>
      <c r="L95" s="111"/>
      <c r="M95" s="111"/>
      <c r="N95" s="111"/>
      <c r="O95" s="117"/>
      <c r="P95" s="117"/>
      <c r="Q95" s="111"/>
      <c r="R95" s="111"/>
      <c r="S95" s="111"/>
      <c r="T95" s="111"/>
      <c r="U95" s="111"/>
      <c r="V95" s="111"/>
    </row>
    <row r="96">
      <c r="A96" s="284" t="s">
        <v>241</v>
      </c>
      <c r="B96" s="104"/>
      <c r="C96" s="265"/>
      <c r="D96" s="111"/>
      <c r="E96" s="111"/>
      <c r="F96" s="111"/>
      <c r="G96" s="111"/>
      <c r="H96" s="111"/>
      <c r="I96" s="111"/>
      <c r="J96" s="118"/>
      <c r="K96" s="111"/>
      <c r="L96" s="111"/>
      <c r="M96" s="111"/>
      <c r="N96" s="111"/>
      <c r="O96" s="111"/>
      <c r="P96" s="111"/>
      <c r="Q96" s="118"/>
      <c r="R96" s="111"/>
      <c r="S96" s="111"/>
      <c r="T96" s="111"/>
      <c r="U96" s="111"/>
      <c r="V96" s="111"/>
    </row>
    <row r="97" outlineLevel="1">
      <c r="A97" s="106"/>
      <c r="B97" s="107"/>
      <c r="C97" s="285" t="s">
        <v>235</v>
      </c>
      <c r="D97" s="285" t="s">
        <v>236</v>
      </c>
      <c r="E97" s="285" t="s">
        <v>49</v>
      </c>
      <c r="F97" s="285" t="s">
        <v>237</v>
      </c>
      <c r="G97" s="286"/>
      <c r="H97" s="227"/>
      <c r="I97" s="227"/>
      <c r="J97" s="228"/>
      <c r="K97" s="228"/>
      <c r="L97" s="111"/>
      <c r="M97" s="111"/>
      <c r="N97" s="111"/>
      <c r="O97" s="111"/>
      <c r="P97" s="111"/>
      <c r="Q97" s="111"/>
      <c r="R97" s="111"/>
      <c r="S97" s="111"/>
      <c r="T97" s="111"/>
      <c r="U97" s="111"/>
      <c r="V97" s="111"/>
    </row>
    <row r="98" outlineLevel="1">
      <c r="A98" s="287" t="s">
        <v>395</v>
      </c>
      <c r="B98" s="288" t="s">
        <v>216</v>
      </c>
      <c r="C98" s="113" t="str">
        <f t="array" ref="C98">INDEX('回避'!$C$3:$U$84, MATCH($A$1,'回避'!$A$3:$A$91,0), MATCH(C97,'回避'!$C$2:$F$2,0))</f>
        <v>3-17</v>
      </c>
      <c r="D98" s="113" t="str">
        <f t="array" ref="D98">INDEX('回避'!$C$3:$U$84, MATCH($A$1,'回避'!$A$3:$A$91,0), MATCH(D97,'回避'!$C$2:$F$2,0))</f>
        <v>6-17</v>
      </c>
      <c r="E98" s="113" t="str">
        <f t="array" ref="E98">INDEX('回避'!$C$3:$U$84, MATCH($A$1,'回避'!$A$3:$A$91,0), MATCH(E97,'回避'!$C$2:$F$2,0))</f>
        <v>25 (20)</v>
      </c>
      <c r="F98" s="113" t="str">
        <f t="array" ref="F98">INDEX('回避'!$C$3:$U$84, MATCH($A$1,'回避'!$A$3:$A$91,0), MATCH(F97,'回避'!$C$2:$F$2,0))</f>
        <v>33 (27)</v>
      </c>
      <c r="G98" s="272"/>
      <c r="H98" s="227"/>
      <c r="I98" s="227"/>
      <c r="J98" s="228"/>
      <c r="K98" s="228"/>
      <c r="L98" s="228"/>
      <c r="M98" s="111"/>
      <c r="N98" s="111"/>
      <c r="O98" s="111"/>
      <c r="P98" s="111"/>
      <c r="Q98" s="111"/>
      <c r="R98" s="111"/>
      <c r="S98" s="111"/>
      <c r="T98" s="111"/>
      <c r="U98" s="111"/>
      <c r="V98" s="111"/>
    </row>
    <row r="99" outlineLevel="1">
      <c r="A99" s="212"/>
      <c r="B99" s="288" t="s">
        <v>245</v>
      </c>
      <c r="C99" s="113" t="str">
        <f t="array" ref="C99">INDEX('回避'!$G$3:$U$84, MATCH($A$1,'回避'!$A$3:$A$91,0), MATCH(C97,'回避'!$G$2:$J$2,0))</f>
        <v>4-15</v>
      </c>
      <c r="D99" s="113" t="str">
        <f t="array" ref="D99">INDEX('回避'!$G$3:$U$84, MATCH($A$1,'回避'!$A$3:$A$91,0), MATCH(D97,'回避'!$G$2:$J$2,0))</f>
        <v>8-14</v>
      </c>
      <c r="E99" s="113" t="str">
        <f t="array" ref="E99">INDEX('回避'!$G$3:$U$84, MATCH($A$1,'回避'!$A$3:$A$91,0), MATCH(E97,'回避'!$G$2:$J$2,0))</f>
        <v>29</v>
      </c>
      <c r="F99" s="113">
        <f t="array" ref="F99">INDEX('回避'!$G$3:$U$84, MATCH($A$1,'回避'!$A$3:$A$91,0), MATCH(F97,'回避'!$G$2:$J$2,0))</f>
        <v>38</v>
      </c>
      <c r="G99" s="289"/>
      <c r="H99" s="227"/>
      <c r="I99" s="227"/>
      <c r="J99" s="228"/>
      <c r="K99" s="228"/>
      <c r="L99" s="228"/>
      <c r="M99" s="228"/>
      <c r="N99" s="228"/>
      <c r="O99" s="111"/>
      <c r="P99" s="111"/>
      <c r="Q99" s="111"/>
      <c r="R99" s="111"/>
      <c r="S99" s="111"/>
      <c r="T99" s="111"/>
      <c r="U99" s="111"/>
      <c r="V99" s="111"/>
    </row>
    <row r="100" outlineLevel="1">
      <c r="A100" s="106"/>
      <c r="B100" s="288" t="s">
        <v>246</v>
      </c>
      <c r="C100" s="113" t="str">
        <f t="array" ref="C100">INDEX('回避'!$K$3:$U$84, MATCH($A$1,'回避'!$A$3:$A$91,0), MATCH(C97,'回避'!$K$2:$N$2,0))</f>
        <v>5-16</v>
      </c>
      <c r="D100" s="113" t="str">
        <f t="array" ref="D100">INDEX('回避'!$K$3:$U$84, MATCH($A$1,'回避'!$A$3:$A$91,0), MATCH(D97,'回避'!$K$2:$N$2,0))</f>
        <v>9-14</v>
      </c>
      <c r="E100" s="113" t="str">
        <f t="array" ref="E100">INDEX('回避'!$K$3:$U$84, MATCH($A$1,'回避'!$A$3:$A$91,0), MATCH(E97,'回避'!$K$2:$N$2,0))</f>
        <v>34</v>
      </c>
      <c r="F100" s="113" t="str">
        <f t="array" ref="F100">INDEX('回避'!$K$3:$U$84, MATCH($A$1,'回避'!$A$3:$A$91,0), MATCH(F97,'回避'!$K$2:$N$2,0))</f>
        <v>51</v>
      </c>
      <c r="G100" s="289"/>
      <c r="H100" s="290"/>
      <c r="I100" s="290"/>
      <c r="J100" s="117"/>
      <c r="K100" s="117"/>
      <c r="L100" s="117"/>
      <c r="M100" s="117"/>
      <c r="N100" s="117"/>
      <c r="O100" s="111"/>
      <c r="P100" s="111"/>
      <c r="Q100" s="111"/>
      <c r="R100" s="111"/>
      <c r="S100" s="111"/>
      <c r="T100" s="111"/>
      <c r="U100" s="111"/>
      <c r="V100" s="111"/>
    </row>
    <row r="101" outlineLevel="1">
      <c r="A101" s="287" t="s">
        <v>396</v>
      </c>
      <c r="B101" s="288" t="s">
        <v>397</v>
      </c>
      <c r="C101" s="113" t="str">
        <f t="array" ref="C101">INDEX('回避'!$O$3:$U$84, MATCH($A$1,'回避'!$A$3:$A$91,0), MATCH(C97,'回避'!$O$2:$R$2,0))</f>
        <v>3-30</v>
      </c>
      <c r="D101" s="113" t="str">
        <f t="array" ref="D101">INDEX('回避'!$O$3:$U$84, MATCH($A$1,'回避'!$A$3:$A$91,0), MATCH(D97,'回避'!$O$2:$R$2,0))</f>
        <v>6-27</v>
      </c>
      <c r="E101" s="113" t="str">
        <f t="array" ref="E101">INDEX('回避'!$O$3:$U$84, MATCH($A$1,'回避'!$A$3:$A$91,0), MATCH(E97,'回避'!$O$2:$R$2,0))</f>
        <v>59</v>
      </c>
      <c r="F101" s="177"/>
      <c r="G101" s="177"/>
      <c r="H101" s="118"/>
      <c r="I101" s="118"/>
      <c r="J101" s="111"/>
      <c r="K101" s="111"/>
      <c r="L101" s="111"/>
      <c r="M101" s="111"/>
      <c r="N101" s="111"/>
      <c r="O101" s="228"/>
      <c r="P101" s="228"/>
      <c r="Q101" s="228"/>
      <c r="R101" s="228"/>
      <c r="S101" s="228"/>
      <c r="T101" s="228"/>
      <c r="U101" s="228"/>
      <c r="V101" s="228"/>
    </row>
    <row r="102" outlineLevel="1">
      <c r="A102" s="106"/>
      <c r="B102" s="288" t="s">
        <v>398</v>
      </c>
      <c r="C102" s="113" t="str">
        <f t="array" ref="C102">INDEX('回避'!$S$3:$U$84, MATCH($A$1,'回避'!$A$3:$A$91,0), MATCH(C97,'回避'!$S$2:$U$2,0))</f>
        <v>3-21</v>
      </c>
      <c r="D102" s="113" t="str">
        <f t="array" ref="D102">INDEX('回避'!$S$3:$U$84, MATCH($A$1,'回避'!$A$3:$A$91,0), MATCH(D97,'回避'!$S$2:$U$2,0))</f>
        <v>6-20</v>
      </c>
      <c r="E102" s="113" t="str">
        <f t="array" ref="E102">INDEX('回避'!$S$3:$U$84, MATCH($A$1,'回避'!$A$3:$A$91,0), MATCH(E97,'回避'!$S$2:$U$2,0))</f>
        <v>真横：99
真上：134
真下：77</v>
      </c>
      <c r="F102" s="289"/>
      <c r="G102" s="289"/>
      <c r="H102" s="118"/>
      <c r="I102" s="118"/>
      <c r="J102" s="117"/>
      <c r="K102" s="117"/>
      <c r="L102" s="117"/>
      <c r="M102" s="117"/>
      <c r="N102" s="111"/>
      <c r="O102" s="118"/>
      <c r="P102" s="118"/>
      <c r="Q102" s="118"/>
      <c r="R102" s="118"/>
      <c r="S102" s="118"/>
      <c r="T102" s="118"/>
      <c r="U102" s="118"/>
      <c r="V102" s="118"/>
    </row>
    <row r="103">
      <c r="A103" s="291"/>
      <c r="B103" s="292"/>
      <c r="C103" s="286"/>
      <c r="D103" s="286"/>
      <c r="E103" s="293"/>
      <c r="F103" s="286"/>
      <c r="G103" s="286"/>
      <c r="H103" s="286"/>
      <c r="I103" s="286"/>
      <c r="J103" s="111"/>
      <c r="K103" s="227"/>
      <c r="L103" s="227"/>
      <c r="M103" s="227"/>
      <c r="N103" s="227"/>
      <c r="O103" s="118"/>
      <c r="P103" s="118"/>
      <c r="Q103" s="118"/>
      <c r="R103" s="118"/>
      <c r="S103" s="118"/>
      <c r="T103" s="118"/>
      <c r="U103" s="118"/>
      <c r="V103" s="118"/>
    </row>
    <row r="104">
      <c r="A104" s="294" t="s">
        <v>238</v>
      </c>
      <c r="B104" s="104"/>
      <c r="C104" s="228"/>
      <c r="D104" s="117"/>
      <c r="E104" s="228"/>
      <c r="F104" s="114"/>
      <c r="G104" s="114"/>
      <c r="H104" s="117"/>
      <c r="I104" s="117"/>
      <c r="J104" s="118"/>
      <c r="K104" s="118"/>
      <c r="L104" s="118"/>
      <c r="M104" s="118"/>
      <c r="N104" s="118"/>
      <c r="O104" s="118"/>
      <c r="P104" s="118"/>
      <c r="Q104" s="118"/>
      <c r="R104" s="118"/>
      <c r="S104" s="118"/>
      <c r="T104" s="118"/>
      <c r="U104" s="118"/>
      <c r="V104" s="118"/>
    </row>
    <row r="105" outlineLevel="1">
      <c r="A105" s="106"/>
      <c r="B105" s="107"/>
      <c r="C105" s="295" t="s">
        <v>235</v>
      </c>
      <c r="D105" s="295" t="s">
        <v>49</v>
      </c>
      <c r="E105" s="295" t="s">
        <v>48</v>
      </c>
      <c r="F105" s="295" t="s">
        <v>50</v>
      </c>
      <c r="G105" s="296" t="s">
        <v>51</v>
      </c>
      <c r="H105" s="228"/>
      <c r="I105" s="228"/>
      <c r="J105" s="117"/>
      <c r="K105" s="297" t="str">
        <f>'テンプレート'!K116</f>
        <v>アイテム取得</v>
      </c>
      <c r="L105" s="109"/>
      <c r="M105" s="298" t="str">
        <f>'テンプレート'!M116</f>
        <v>取得フレーム</v>
      </c>
      <c r="N105" s="298" t="str">
        <f>'テンプレート'!N116</f>
        <v>全体フレーム</v>
      </c>
      <c r="O105" s="118"/>
      <c r="P105" s="118"/>
      <c r="Q105" s="118"/>
      <c r="R105" s="118"/>
      <c r="S105" s="118"/>
      <c r="T105" s="118"/>
      <c r="U105" s="118"/>
      <c r="V105" s="118"/>
    </row>
    <row r="106" outlineLevel="1">
      <c r="A106" s="299" t="s">
        <v>239</v>
      </c>
      <c r="B106" s="300" t="s">
        <v>240</v>
      </c>
      <c r="C106" s="301"/>
      <c r="D106" s="113">
        <f t="array" ref="D106">INDEX('崖行動・受け身'!$C$3:$C109, MATCH($A$1,'崖行動・受け身'!$A$3:$A$115,0), MATCH(D105,'崖行動・受け身'!$C$2,0))</f>
        <v>19</v>
      </c>
      <c r="E106" s="301"/>
      <c r="F106" s="301"/>
      <c r="G106" s="301"/>
      <c r="H106" s="228"/>
      <c r="I106" s="228"/>
      <c r="J106" s="111"/>
      <c r="K106" s="302" t="str">
        <f>'テンプレート'!K117</f>
        <v>小アイテム</v>
      </c>
      <c r="L106" s="303" t="str">
        <f>'テンプレート'!L117</f>
        <v>その場</v>
      </c>
      <c r="M106" s="113" t="s">
        <v>76</v>
      </c>
      <c r="N106" s="113">
        <v>7.0</v>
      </c>
      <c r="O106" s="118"/>
      <c r="P106" s="118"/>
      <c r="Q106" s="118"/>
      <c r="R106" s="118"/>
      <c r="S106" s="118"/>
      <c r="T106" s="118"/>
      <c r="U106" s="118"/>
      <c r="V106" s="118"/>
    </row>
    <row r="107" outlineLevel="1">
      <c r="A107" s="146"/>
      <c r="B107" s="300" t="s">
        <v>216</v>
      </c>
      <c r="C107" s="113" t="str">
        <f t="array" ref="C107">INDEX('崖行動・受け身'!$D$3:$E109, MATCH($A$1,'崖行動・受け身'!$A$3:$A$115,0), MATCH(C105,'崖行動・受け身'!$D$2:$E$2,0))</f>
        <v>1-33</v>
      </c>
      <c r="D107" s="113">
        <f t="array" ref="D107">INDEX('崖行動・受け身'!$D$3:$E109, MATCH($A$1,'崖行動・受け身'!$A$3:$A$115,0), MATCH(D105,'崖行動・受け身'!$D$2:$E$2,0))</f>
        <v>34</v>
      </c>
      <c r="E107" s="301"/>
      <c r="F107" s="301"/>
      <c r="G107" s="301"/>
      <c r="H107" s="228"/>
      <c r="I107" s="228"/>
      <c r="J107" s="117"/>
      <c r="K107" s="156"/>
      <c r="L107" s="303" t="str">
        <f>'テンプレート'!L118</f>
        <v>歩き</v>
      </c>
      <c r="M107" s="113" t="s">
        <v>76</v>
      </c>
      <c r="N107" s="113">
        <v>23.0</v>
      </c>
      <c r="O107" s="118"/>
      <c r="P107" s="118"/>
      <c r="Q107" s="118"/>
      <c r="R107" s="118"/>
      <c r="S107" s="118"/>
      <c r="T107" s="118"/>
      <c r="U107" s="118"/>
      <c r="V107" s="118"/>
    </row>
    <row r="108" outlineLevel="1">
      <c r="A108" s="146"/>
      <c r="B108" s="300" t="s">
        <v>241</v>
      </c>
      <c r="C108" s="113" t="str">
        <f t="array" ref="C108">INDEX('崖行動・受け身'!$F$3:$G$115, MATCH($A$1,'崖行動・受け身'!$A$3:$A$115,0), MATCH(C105,'崖行動・受け身'!$F$2:$G$2,0))</f>
        <v>1-20</v>
      </c>
      <c r="D108" s="113">
        <f t="array" ref="D108">INDEX('崖行動・受け身'!$F$3:$G$115, MATCH($A$1,'崖行動・受け身'!$A$3:$A$115,0), MATCH(D105,'崖行動・受け身'!$F$2:$G$2,0))</f>
        <v>45</v>
      </c>
      <c r="E108" s="301"/>
      <c r="F108" s="301"/>
      <c r="G108" s="301"/>
      <c r="H108" s="228"/>
      <c r="I108" s="228"/>
      <c r="J108" s="111"/>
      <c r="K108" s="304" t="str">
        <f>'テンプレート'!K119</f>
        <v>アイテム投擲</v>
      </c>
      <c r="L108" s="109"/>
      <c r="M108" s="298" t="str">
        <f>'テンプレート'!M119</f>
        <v>投擲フレーム</v>
      </c>
      <c r="N108" s="298" t="str">
        <f>'テンプレート'!N119</f>
        <v>全体フレーム</v>
      </c>
      <c r="O108" s="118"/>
      <c r="P108" s="118"/>
      <c r="Q108" s="118"/>
      <c r="R108" s="118"/>
      <c r="S108" s="118"/>
      <c r="T108" s="118"/>
      <c r="U108" s="118"/>
      <c r="V108" s="118"/>
    </row>
    <row r="109" outlineLevel="1">
      <c r="A109" s="146"/>
      <c r="B109" s="300" t="s">
        <v>242</v>
      </c>
      <c r="C109" s="113" t="str">
        <f t="array" ref="C109">INDEX('崖行動・受け身'!$H$3:$I$115, MATCH($A$1,'崖行動・受け身'!$A$3:$A$115,0), MATCH(C105,'崖行動・受け身'!$H$2:$I$2,0))</f>
        <v>1-12</v>
      </c>
      <c r="D109" s="113">
        <f t="array" ref="D109">INDEX('崖行動・受け身'!$H$3:$I$115, MATCH($A$1,'崖行動・受け身'!$A$3:$A$115,0), MATCH(D105,'崖行動・受け身'!$H$2:$I$2,0))</f>
        <v>14</v>
      </c>
      <c r="E109" s="301"/>
      <c r="F109" s="301"/>
      <c r="G109" s="301"/>
      <c r="H109" s="228"/>
      <c r="I109" s="228"/>
      <c r="J109" s="117"/>
      <c r="K109" s="305" t="str">
        <f>'テンプレート'!K120</f>
        <v>地上投擲</v>
      </c>
      <c r="L109" s="303" t="str">
        <f>'テンプレート'!L120</f>
        <v>前投げ</v>
      </c>
      <c r="M109" s="113" t="s">
        <v>93</v>
      </c>
      <c r="N109" s="113">
        <v>24.0</v>
      </c>
      <c r="O109" s="111"/>
      <c r="P109" s="111"/>
      <c r="Q109" s="111"/>
      <c r="R109" s="111"/>
      <c r="S109" s="111"/>
      <c r="T109" s="111"/>
      <c r="U109" s="111"/>
      <c r="V109" s="111"/>
    </row>
    <row r="110" outlineLevel="1">
      <c r="A110" s="156"/>
      <c r="B110" s="300" t="s">
        <v>243</v>
      </c>
      <c r="C110" s="113" t="str">
        <f t="array" ref="C110">INDEX('崖行動・受け身'!$J$3:$M$115, MATCH($A$1,'崖行動・受け身'!$A$3:$A$115,0), MATCH(C105,'崖行動・受け身'!$J$2:$M$2,0))</f>
        <v>1-24</v>
      </c>
      <c r="D110" s="113">
        <f t="array" ref="D110">INDEX('崖行動・受け身'!$J$3:$M$115, MATCH($A$1,'崖行動・受け身'!$A$3:$A$115,0), MATCH(D105,'崖行動・受け身'!$J$2:$M$2,0))</f>
        <v>55</v>
      </c>
      <c r="E110" s="113" t="str">
        <f t="array" ref="E110">INDEX('崖行動・受け身'!$J$3:$M$115, MATCH($A$1,'崖行動・受け身'!$A$3:$A$115,0), MATCH(E105,'崖行動・受け身'!$J$2:$M$2,0))</f>
        <v>22-24</v>
      </c>
      <c r="F110" s="113">
        <f t="array" ref="F110">INDEX('崖行動・受け身'!$J$3:$M$115, MATCH($A$1,'崖行動・受け身'!$A$3:$A$115,0), MATCH(F105,'崖行動・受け身'!$J$2:$M$2,0))</f>
        <v>9</v>
      </c>
      <c r="G110" s="113">
        <f>F110*1.2</f>
        <v>10.8</v>
      </c>
      <c r="H110" s="228"/>
      <c r="I110" s="228"/>
      <c r="J110" s="111"/>
      <c r="K110" s="146"/>
      <c r="L110" s="303" t="str">
        <f>'テンプレート'!L121</f>
        <v>後投げ</v>
      </c>
      <c r="M110" s="113" t="s">
        <v>232</v>
      </c>
      <c r="N110" s="113">
        <v>24.0</v>
      </c>
      <c r="O110" s="111"/>
      <c r="P110" s="111"/>
      <c r="Q110" s="111"/>
      <c r="R110" s="111"/>
      <c r="S110" s="111"/>
      <c r="T110" s="111"/>
      <c r="U110" s="111"/>
      <c r="V110" s="111"/>
    </row>
    <row r="111" outlineLevel="1">
      <c r="A111" s="299" t="s">
        <v>244</v>
      </c>
      <c r="B111" s="300" t="s">
        <v>216</v>
      </c>
      <c r="C111" s="113" t="str">
        <f t="array" ref="C111">INDEX('崖行動・受け身'!$N$3:$O$115, MATCH($A$1,'崖行動・受け身'!$A$3:$A$115,0), MATCH(C105,'崖行動・受け身'!$N$2:$O$2,0))</f>
        <v>1-20</v>
      </c>
      <c r="D111" s="113">
        <f t="array" ref="D111">INDEX('崖行動・受け身'!$N$3:$O$115, MATCH($A$1,'崖行動・受け身'!$A$3:$A$115,0), MATCH(D105,'崖行動・受け身'!$N$2:$O$2,0))</f>
        <v>26</v>
      </c>
      <c r="E111" s="301"/>
      <c r="F111" s="301"/>
      <c r="G111" s="301"/>
      <c r="H111" s="228"/>
      <c r="I111" s="228"/>
      <c r="J111" s="117"/>
      <c r="K111" s="146"/>
      <c r="L111" s="303" t="str">
        <f>'テンプレート'!L122</f>
        <v>上投げ</v>
      </c>
      <c r="M111" s="113" t="s">
        <v>129</v>
      </c>
      <c r="N111" s="113">
        <v>23.0</v>
      </c>
      <c r="O111" s="228"/>
      <c r="P111" s="228"/>
      <c r="Q111" s="228"/>
      <c r="R111" s="228"/>
      <c r="S111" s="228"/>
      <c r="T111" s="228"/>
      <c r="U111" s="228"/>
      <c r="V111" s="228"/>
    </row>
    <row r="112" outlineLevel="1">
      <c r="A112" s="146"/>
      <c r="B112" s="300" t="s">
        <v>245</v>
      </c>
      <c r="C112" s="113" t="str">
        <f t="array" ref="C112">INDEX('崖行動・受け身'!$P$3:$Q$115, MATCH($A$1,'崖行動・受け身'!$A$3:$A$115,0), MATCH(C105,'崖行動・受け身'!$P$2:$Q$2,0))</f>
        <v>1-20</v>
      </c>
      <c r="D112" s="113">
        <f t="array" ref="D112">INDEX('崖行動・受け身'!$P$3:$Q$115, MATCH($A$1,'崖行動・受け身'!$A$3:$A$115,0), MATCH(D105,'崖行動・受け身'!$P$2:$Q$2,0))</f>
        <v>40</v>
      </c>
      <c r="E112" s="301"/>
      <c r="F112" s="301"/>
      <c r="G112" s="301"/>
      <c r="H112" s="228"/>
      <c r="I112" s="228"/>
      <c r="J112" s="111"/>
      <c r="K112" s="146"/>
      <c r="L112" s="303" t="str">
        <f>'テンプレート'!L123</f>
        <v>下投げ</v>
      </c>
      <c r="M112" s="113" t="s">
        <v>93</v>
      </c>
      <c r="N112" s="113">
        <v>19.0</v>
      </c>
      <c r="O112" s="118"/>
      <c r="P112" s="118"/>
      <c r="Q112" s="118"/>
      <c r="R112" s="118"/>
      <c r="S112" s="118"/>
      <c r="T112" s="118"/>
      <c r="U112" s="118"/>
      <c r="V112" s="118"/>
    </row>
    <row r="113" outlineLevel="1">
      <c r="A113" s="156"/>
      <c r="B113" s="300" t="s">
        <v>246</v>
      </c>
      <c r="C113" s="113" t="str">
        <f t="array" ref="C113">INDEX('崖行動・受け身'!$R$3:$S$115, MATCH($A$1,'崖行動・受け身'!$A$3:$A$115,0), MATCH(C105,'崖行動・受け身'!$R$2:$S$2,0))</f>
        <v>1-20</v>
      </c>
      <c r="D113" s="113">
        <f t="array" ref="D113">INDEX('崖行動・受け身'!$R$3:$S$115, MATCH($A$1,'崖行動・受け身'!$A$3:$A$115,0), MATCH(D105,'崖行動・受け身'!$R$2:$S$2,0))</f>
        <v>40</v>
      </c>
      <c r="E113" s="301"/>
      <c r="F113" s="301"/>
      <c r="G113" s="301"/>
      <c r="H113" s="228"/>
      <c r="I113" s="228"/>
      <c r="J113" s="117"/>
      <c r="K113" s="146"/>
      <c r="L113" s="306" t="str">
        <f>'テンプレート'!L124</f>
        <v>ダッシュ</v>
      </c>
      <c r="M113" s="113" t="s">
        <v>150</v>
      </c>
      <c r="N113" s="113">
        <v>37.0</v>
      </c>
      <c r="O113" s="118"/>
      <c r="P113" s="118"/>
      <c r="Q113" s="118"/>
      <c r="R113" s="118"/>
      <c r="S113" s="118"/>
      <c r="T113" s="118"/>
      <c r="U113" s="118"/>
      <c r="V113" s="118"/>
    </row>
    <row r="114" outlineLevel="1">
      <c r="A114" s="299" t="s">
        <v>247</v>
      </c>
      <c r="B114" s="300" t="s">
        <v>248</v>
      </c>
      <c r="C114" s="301"/>
      <c r="D114" s="113" t="str">
        <f t="array" ref="D114">INDEX('起きあがり'!$C$3:$C109, MATCH($A$1,'起きあがり'!$A$3:$A$115,0), MATCH(D105,'起きあがり'!$C$2:$AD$2,0))</f>
        <v>25</v>
      </c>
      <c r="E114" s="301"/>
      <c r="F114" s="301"/>
      <c r="G114" s="301"/>
      <c r="H114" s="228"/>
      <c r="I114" s="228"/>
      <c r="J114" s="111"/>
      <c r="K114" s="156"/>
      <c r="L114" s="306" t="str">
        <f>'テンプレート'!L125</f>
        <v>その場捨て</v>
      </c>
      <c r="M114" s="113" t="s">
        <v>86</v>
      </c>
      <c r="N114" s="113">
        <v>23.0</v>
      </c>
      <c r="O114" s="118"/>
      <c r="P114" s="118"/>
      <c r="Q114" s="118"/>
      <c r="R114" s="118"/>
      <c r="S114" s="118"/>
      <c r="T114" s="118"/>
      <c r="U114" s="118"/>
      <c r="V114" s="118"/>
    </row>
    <row r="115" outlineLevel="1">
      <c r="A115" s="146"/>
      <c r="B115" s="300" t="s">
        <v>216</v>
      </c>
      <c r="C115" s="307" t="str">
        <f t="array" ref="C115">INDEX('起きあがり'!$D$3:$E109, MATCH($A$1,'起きあがり'!$A$3:$A$115,0), MATCH(C105,'起きあがり'!$D$2:$AD$2,0))</f>
        <v>1-22</v>
      </c>
      <c r="D115" s="308">
        <f t="array" ref="D115">INDEX('起きあがり'!$D$3:$E109, MATCH($A$1,'起きあがり'!$A$3:$A$115,0), MATCH(D105,'起きあがり'!$D$2:$AD$2,0))</f>
        <v>29</v>
      </c>
      <c r="E115" s="301"/>
      <c r="F115" s="301"/>
      <c r="G115" s="301"/>
      <c r="H115" s="228"/>
      <c r="I115" s="228"/>
      <c r="J115" s="117"/>
      <c r="K115" s="305" t="str">
        <f>'テンプレート'!K126</f>
        <v>空中投擲</v>
      </c>
      <c r="L115" s="303" t="str">
        <f>'テンプレート'!L126</f>
        <v>前投げ</v>
      </c>
      <c r="M115" s="113" t="s">
        <v>80</v>
      </c>
      <c r="N115" s="113">
        <v>24.0</v>
      </c>
      <c r="O115" s="118"/>
      <c r="P115" s="118"/>
      <c r="Q115" s="118"/>
      <c r="R115" s="118"/>
      <c r="S115" s="118"/>
      <c r="T115" s="118"/>
      <c r="U115" s="118"/>
      <c r="V115" s="118"/>
    </row>
    <row r="116" outlineLevel="1">
      <c r="A116" s="146"/>
      <c r="B116" s="300" t="s">
        <v>245</v>
      </c>
      <c r="C116" s="307" t="str">
        <f t="array" ref="C116">INDEX('起きあがり'!$F$3:$G$115, MATCH($A$1,'起きあがり'!$A$3:$A$115,0), MATCH(C105,'起きあがり'!$F$2:$AD$2,0))</f>
        <v>1-22</v>
      </c>
      <c r="D116" s="308">
        <f t="array" ref="D116">INDEX('起きあがり'!$F$3:$G$115, MATCH($A$1,'起きあがり'!$A$3:$A$115,0), MATCH(D105,'起きあがり'!$F$2:$AD$2,0))</f>
        <v>35</v>
      </c>
      <c r="E116" s="301"/>
      <c r="F116" s="301"/>
      <c r="G116" s="301"/>
      <c r="H116" s="228"/>
      <c r="I116" s="228"/>
      <c r="J116" s="111"/>
      <c r="K116" s="146"/>
      <c r="L116" s="303" t="str">
        <f>'テンプレート'!L127</f>
        <v>後投げ</v>
      </c>
      <c r="M116" s="113" t="s">
        <v>232</v>
      </c>
      <c r="N116" s="113">
        <v>24.0</v>
      </c>
      <c r="O116" s="118"/>
      <c r="P116" s="118"/>
      <c r="Q116" s="118"/>
      <c r="R116" s="118"/>
      <c r="S116" s="118"/>
      <c r="T116" s="118"/>
      <c r="U116" s="118"/>
      <c r="V116" s="118"/>
    </row>
    <row r="117" outlineLevel="1">
      <c r="A117" s="146"/>
      <c r="B117" s="300" t="s">
        <v>246</v>
      </c>
      <c r="C117" s="113" t="str">
        <f t="array" ref="C117">INDEX('起きあがり'!$H$3:$I$115, MATCH($A$1,'起きあがり'!$A$3:$A$115,0), MATCH(C105,'起きあがり'!$H$2:$AD$2,0))</f>
        <v>1-22</v>
      </c>
      <c r="D117" s="113">
        <f t="array" ref="D117">INDEX('起きあがり'!$H$3:$I$115, MATCH($A$1,'起きあがり'!$A$3:$A$115,0), MATCH(D105,'起きあがり'!$H$2:$AD$2,0))</f>
        <v>35</v>
      </c>
      <c r="E117" s="301"/>
      <c r="F117" s="301"/>
      <c r="G117" s="301"/>
      <c r="H117" s="228"/>
      <c r="I117" s="228"/>
      <c r="J117" s="117"/>
      <c r="K117" s="146"/>
      <c r="L117" s="303" t="str">
        <f>'テンプレート'!L128</f>
        <v>上投げ</v>
      </c>
      <c r="M117" s="113" t="s">
        <v>228</v>
      </c>
      <c r="N117" s="113">
        <v>23.0</v>
      </c>
      <c r="O117" s="118"/>
      <c r="P117" s="118"/>
      <c r="Q117" s="118"/>
      <c r="R117" s="118"/>
      <c r="S117" s="118"/>
      <c r="T117" s="118"/>
      <c r="U117" s="118"/>
      <c r="V117" s="118"/>
    </row>
    <row r="118" outlineLevel="1">
      <c r="A118" s="146"/>
      <c r="B118" s="300" t="s">
        <v>249</v>
      </c>
      <c r="C118" s="309" t="str">
        <f t="array" ref="C118">INDEX('起きあがり'!$J$3:$M$115, MATCH($A$1,'起きあがり'!$A$3:$A$115,0), MATCH(C105,'起きあがり'!$J$2:$AD$2,0))</f>
        <v>1-22</v>
      </c>
      <c r="D118" s="310">
        <f t="array" ref="D118">INDEX('起きあがり'!$J$3:$M$115, MATCH($A$1,'起きあがり'!$A$3:$A$115,0), MATCH(D105,'起きあがり'!$J$2:$AD$2,0))</f>
        <v>45</v>
      </c>
      <c r="E118" s="307" t="str">
        <f t="array" ref="E118">INDEX('起きあがり'!$J$3:$M$115, MATCH($A$1,'起きあがり'!$A$3:$A$115,0), MATCH(E105,'起きあがり'!$J$2:$AD$2,0))</f>
        <v>17-18</v>
      </c>
      <c r="F118" s="308">
        <f t="array" ref="F118">INDEX('起きあがり'!$J$3:$M$115, MATCH($A$1,'起きあがり'!$A$3:$A$115,0), MATCH(F105,'起きあがり'!$J$2:$AD$2,0))</f>
        <v>7</v>
      </c>
      <c r="G118" s="113">
        <f t="shared" ref="G118:G119" si="1">F118*1.2</f>
        <v>8.4</v>
      </c>
      <c r="H118" s="228"/>
      <c r="I118" s="228"/>
      <c r="J118" s="111"/>
      <c r="K118" s="156"/>
      <c r="L118" s="303" t="str">
        <f>'テンプレート'!L129</f>
        <v>下投げ</v>
      </c>
      <c r="M118" s="113" t="s">
        <v>93</v>
      </c>
      <c r="N118" s="113">
        <v>19.0</v>
      </c>
      <c r="O118" s="111"/>
      <c r="P118" s="111"/>
      <c r="Q118" s="111"/>
      <c r="R118" s="111"/>
      <c r="S118" s="111"/>
      <c r="T118" s="111"/>
      <c r="U118" s="111"/>
      <c r="V118" s="111"/>
    </row>
    <row r="119" outlineLevel="1">
      <c r="A119" s="156"/>
      <c r="B119" s="311" t="s">
        <v>250</v>
      </c>
      <c r="C119" s="156"/>
      <c r="D119" s="156"/>
      <c r="E119" s="307" t="str">
        <f t="array" ref="E119">INDEX('起きあがり'!$N$3:$O$115, MATCH($A$1,'起きあがり'!$A$3:$A$115,0), MATCH(E105,'起きあがり'!$N$2:$AD$2,0))</f>
        <v>21-22</v>
      </c>
      <c r="F119" s="308">
        <f t="array" ref="F119">INDEX('起きあがり'!$N$3:$O$115, MATCH($A$1,'起きあがり'!$A$3:$A$115,0), MATCH(F105,'起きあがり'!$N$2:$AD$2,0))</f>
        <v>7</v>
      </c>
      <c r="G119" s="113">
        <f t="shared" si="1"/>
        <v>8.4</v>
      </c>
      <c r="H119" s="228"/>
      <c r="I119" s="228"/>
      <c r="J119" s="111"/>
      <c r="K119" s="312" t="str">
        <f>'テンプレート'!K130</f>
        <v>踏み台ジャンプ</v>
      </c>
      <c r="L119" s="168"/>
      <c r="M119" s="298" t="str">
        <f>'テンプレート'!M130</f>
        <v>全体フレーム</v>
      </c>
      <c r="N119" s="114"/>
      <c r="O119" s="111"/>
      <c r="P119" s="111"/>
      <c r="Q119" s="111"/>
      <c r="R119" s="111"/>
      <c r="S119" s="111"/>
      <c r="T119" s="111"/>
      <c r="U119" s="111"/>
      <c r="V119" s="111"/>
    </row>
    <row r="120" outlineLevel="1">
      <c r="A120" s="299" t="s">
        <v>251</v>
      </c>
      <c r="B120" s="300" t="s">
        <v>248</v>
      </c>
      <c r="C120" s="301"/>
      <c r="D120" s="307" t="str">
        <f t="array" ref="D120">INDEX('起きあがり'!$C$3:$C109, MATCH($A$1,'起きあがり'!$A$3:$A$115,0), MATCH(D105,'起きあがり'!$C$2,0))</f>
        <v>25</v>
      </c>
      <c r="E120" s="301"/>
      <c r="F120" s="301"/>
      <c r="G120" s="301"/>
      <c r="H120" s="228"/>
      <c r="I120" s="228"/>
      <c r="J120" s="117"/>
      <c r="K120" s="313" t="str">
        <f>'テンプレート'!K131</f>
        <v>踏み</v>
      </c>
      <c r="L120" s="314" t="str">
        <f>'テンプレート'!L131</f>
        <v>踏み</v>
      </c>
      <c r="M120" s="113">
        <v>8.0</v>
      </c>
      <c r="N120" s="315"/>
      <c r="O120" s="111"/>
      <c r="P120" s="111"/>
      <c r="Q120" s="111"/>
      <c r="R120" s="111"/>
      <c r="S120" s="111"/>
      <c r="T120" s="111"/>
      <c r="U120" s="111"/>
      <c r="V120" s="111"/>
    </row>
    <row r="121" outlineLevel="1">
      <c r="A121" s="146"/>
      <c r="B121" s="300" t="s">
        <v>216</v>
      </c>
      <c r="C121" s="307" t="str">
        <f t="array" ref="C121">INDEX('起きあがり'!$P$3:$Q$115, MATCH($A$1,'起きあがり'!$A$3:$A$115,0), MATCH(C105,'起きあがり'!$P$2:$AD$2,0))</f>
        <v>1-22</v>
      </c>
      <c r="D121" s="308">
        <f t="array" ref="D121">INDEX('起きあがり'!$P$3:$Q$115, MATCH($A$1,'起きあがり'!$A$3:$A$115,0), MATCH(D105,'起きあがり'!$P$2:$AD$2,0))</f>
        <v>29</v>
      </c>
      <c r="E121" s="301"/>
      <c r="F121" s="301"/>
      <c r="G121" s="301"/>
      <c r="H121" s="228"/>
      <c r="I121" s="228"/>
      <c r="J121" s="111"/>
      <c r="K121" s="305" t="str">
        <f>'テンプレート'!K132</f>
        <v>踏まれ</v>
      </c>
      <c r="L121" s="314" t="str">
        <f>'テンプレート'!L132</f>
        <v>地上踏まれ</v>
      </c>
      <c r="M121" s="113" t="s">
        <v>76</v>
      </c>
      <c r="N121" s="315"/>
      <c r="O121" s="228"/>
      <c r="P121" s="228"/>
      <c r="Q121" s="228"/>
      <c r="R121" s="228"/>
      <c r="S121" s="228"/>
      <c r="T121" s="228"/>
      <c r="U121" s="228"/>
      <c r="V121" s="228"/>
    </row>
    <row r="122" outlineLevel="1">
      <c r="A122" s="146"/>
      <c r="B122" s="300" t="s">
        <v>245</v>
      </c>
      <c r="C122" s="307" t="str">
        <f t="array" ref="C122">INDEX('起きあがり'!$R$3:$S$115, MATCH($A$1,'起きあがり'!$A$3:$A$115,0), MATCH(C105,'起きあがり'!$R$2:$AD$2,0))</f>
        <v>1-22</v>
      </c>
      <c r="D122" s="308">
        <f t="array" ref="D122">INDEX('起きあがり'!$R$3:$S$115, MATCH($A$1,'起きあがり'!$A$3:$A$115,0), MATCH(D105,'起きあがり'!$R$2:$AD$2,0))</f>
        <v>35</v>
      </c>
      <c r="E122" s="301"/>
      <c r="F122" s="301"/>
      <c r="G122" s="301"/>
      <c r="H122" s="228"/>
      <c r="I122" s="228"/>
      <c r="J122" s="117"/>
      <c r="K122" s="146"/>
      <c r="L122" s="314" t="s">
        <v>693</v>
      </c>
      <c r="M122" s="113">
        <v>27.0</v>
      </c>
      <c r="N122" s="102"/>
      <c r="O122" s="118"/>
      <c r="P122" s="118"/>
      <c r="Q122" s="118"/>
      <c r="R122" s="118"/>
      <c r="S122" s="118"/>
      <c r="T122" s="118"/>
      <c r="U122" s="118"/>
      <c r="V122" s="118"/>
    </row>
    <row r="123" outlineLevel="1">
      <c r="A123" s="146"/>
      <c r="B123" s="300" t="s">
        <v>246</v>
      </c>
      <c r="C123" s="307" t="str">
        <f t="array" ref="C123">INDEX('起きあがり'!$T$3:$U$115, MATCH($A$1,'起きあがり'!$A$3:$A$115,0), MATCH(C105,'起きあがり'!$T$2:$AD$2,0))</f>
        <v>1-22</v>
      </c>
      <c r="D123" s="308">
        <f t="array" ref="D123">INDEX('起きあがり'!$T$3:$U$115, MATCH($A$1,'起きあがり'!$A$3:$A$115,0), MATCH(D105,'起きあがり'!$T$2:$AD$2,0))</f>
        <v>35</v>
      </c>
      <c r="E123" s="301"/>
      <c r="F123" s="301"/>
      <c r="G123" s="301"/>
      <c r="H123" s="228"/>
      <c r="I123" s="228"/>
      <c r="J123" s="111"/>
      <c r="K123" s="146"/>
      <c r="L123" s="314" t="str">
        <f>'テンプレート'!L134</f>
        <v>空中踏まれ</v>
      </c>
      <c r="M123" s="113">
        <v>8.0</v>
      </c>
      <c r="N123" s="102"/>
      <c r="O123" s="118"/>
      <c r="P123" s="118"/>
      <c r="Q123" s="118"/>
      <c r="R123" s="118"/>
      <c r="S123" s="118"/>
      <c r="T123" s="118"/>
      <c r="U123" s="118"/>
      <c r="V123" s="118"/>
    </row>
    <row r="124" outlineLevel="1">
      <c r="A124" s="146"/>
      <c r="B124" s="300" t="s">
        <v>249</v>
      </c>
      <c r="C124" s="309" t="str">
        <f t="array" ref="C124">INDEX('起きあがり'!$V$3:$Y$115, MATCH($A$1,'起きあがり'!$A$3:$A$115,0), MATCH(C105,'起きあがり'!$V$2:$AD$2,0))</f>
        <v>1-22</v>
      </c>
      <c r="D124" s="310">
        <f t="array" ref="D124">INDEX('起きあがり'!$V$3:$Y$115, MATCH($A$1,'起きあがり'!$A$3:$A$115,0), MATCH(D105,'起きあがり'!$V$2:$AD$2,0))</f>
        <v>45</v>
      </c>
      <c r="E124" s="307" t="str">
        <f t="array" ref="E124">INDEX('起きあがり'!$V$3:$Y$115, MATCH($A$1,'起きあがり'!$A$3:$A$115,0), MATCH(E105,'起きあがり'!$V$2:$AD$2,0))</f>
        <v>17-18</v>
      </c>
      <c r="F124" s="308">
        <f t="array" ref="F124">INDEX('起きあがり'!$V$3:$Y$115, MATCH($A$1,'起きあがり'!$A$3:$A$115,0), MATCH(F105,'起きあがり'!$V$2:$AD$2,0))</f>
        <v>7</v>
      </c>
      <c r="G124" s="113">
        <f t="shared" ref="G124:G125" si="2">F124*1.2</f>
        <v>8.4</v>
      </c>
      <c r="H124" s="228"/>
      <c r="I124" s="228"/>
      <c r="J124" s="117"/>
      <c r="K124" s="146"/>
      <c r="L124" s="314" t="str">
        <f>'テンプレート'!L135</f>
        <v>空中落下</v>
      </c>
      <c r="M124" s="113">
        <v>40.0</v>
      </c>
      <c r="N124" s="102"/>
      <c r="O124" s="118"/>
      <c r="P124" s="118"/>
      <c r="Q124" s="118"/>
      <c r="R124" s="118"/>
      <c r="S124" s="118"/>
      <c r="T124" s="118"/>
      <c r="U124" s="118"/>
      <c r="V124" s="118"/>
    </row>
    <row r="125" outlineLevel="1">
      <c r="A125" s="156"/>
      <c r="B125" s="311" t="s">
        <v>250</v>
      </c>
      <c r="C125" s="156"/>
      <c r="D125" s="156"/>
      <c r="E125" s="307" t="str">
        <f t="array" ref="E125">INDEX('起きあがり'!$Z$3:$AA$115, MATCH($A$1,'起きあがり'!$A$3:$A$115,0), MATCH(E105,'起きあがり'!$Z$2:$AD$2,0))</f>
        <v>21-22</v>
      </c>
      <c r="F125" s="308">
        <f t="array" ref="F125">INDEX('起きあがり'!$Z$3:$AA$115, MATCH($A$1,'起きあがり'!$A$3:$A$115,0), MATCH(F105,'起きあがり'!$Z$2:$AD$2,0))</f>
        <v>7</v>
      </c>
      <c r="G125" s="113">
        <f t="shared" si="2"/>
        <v>8.4</v>
      </c>
      <c r="H125" s="228"/>
      <c r="I125" s="228"/>
      <c r="J125" s="117"/>
      <c r="K125" s="304" t="str">
        <f>'テンプレート'!K136</f>
        <v>倒れダメージ</v>
      </c>
      <c r="L125" s="110"/>
      <c r="M125" s="298" t="str">
        <f>'テンプレート'!M136</f>
        <v>全体フレーム</v>
      </c>
      <c r="N125" s="102"/>
      <c r="O125" s="118"/>
      <c r="P125" s="118"/>
      <c r="Q125" s="118"/>
      <c r="R125" s="118"/>
      <c r="S125" s="118"/>
      <c r="T125" s="118"/>
      <c r="U125" s="118"/>
      <c r="V125" s="118"/>
    </row>
    <row r="126" outlineLevel="1">
      <c r="A126" s="299" t="s">
        <v>252</v>
      </c>
      <c r="B126" s="300" t="s">
        <v>253</v>
      </c>
      <c r="C126" s="307" t="str">
        <f t="array" ref="C126">INDEX('転倒'!$C$3:$D109, MATCH($A$1,'転倒'!$A$3:$A$115,0), MATCH(C105,'転倒'!$C$2:$AC$2,0))</f>
        <v>1-5</v>
      </c>
      <c r="D126" s="308">
        <f t="array" ref="D126">INDEX('転倒'!$C$3:$D109, MATCH($A$1,'転倒'!$A$3:$A$115,0), MATCH(D105,'転倒'!$C$2:$AC$2,0))</f>
        <v>29</v>
      </c>
      <c r="E126" s="301"/>
      <c r="F126" s="301"/>
      <c r="G126" s="301"/>
      <c r="H126" s="228"/>
      <c r="I126" s="228"/>
      <c r="J126" s="111"/>
      <c r="K126" s="313" t="str">
        <f>'テンプレート'!K137</f>
        <v>あお向け倒れ</v>
      </c>
      <c r="L126" s="306" t="str">
        <f>'テンプレート'!L137</f>
        <v>モーション大</v>
      </c>
      <c r="M126" s="113">
        <v>39.0</v>
      </c>
      <c r="N126" s="315"/>
      <c r="O126" s="118"/>
      <c r="P126" s="118"/>
      <c r="Q126" s="118"/>
      <c r="R126" s="118"/>
      <c r="S126" s="118"/>
      <c r="T126" s="118"/>
      <c r="U126" s="118"/>
      <c r="V126" s="118"/>
    </row>
    <row r="127" outlineLevel="1">
      <c r="A127" s="146"/>
      <c r="B127" s="300" t="s">
        <v>254</v>
      </c>
      <c r="C127" s="307" t="str">
        <f t="array" ref="C127">INDEX('転倒'!$E$3:$F109, MATCH($A$1,'転倒'!$A$3:$A$115,0), MATCH(C105,'転倒'!$E$2:$AC$2,0))</f>
        <v>1-5</v>
      </c>
      <c r="D127" s="308">
        <f t="array" ref="D127">INDEX('転倒'!$E$3:$F109, MATCH($A$1,'転倒'!$A$3:$A$115,0), MATCH(D105,'転倒'!$E$2:$AC$2,0))</f>
        <v>39</v>
      </c>
      <c r="E127" s="301"/>
      <c r="F127" s="301"/>
      <c r="G127" s="301"/>
      <c r="H127" s="228"/>
      <c r="I127" s="228"/>
      <c r="J127" s="117"/>
      <c r="K127" s="313" t="str">
        <f>'テンプレート'!K138</f>
        <v>うつ伏せ倒れ</v>
      </c>
      <c r="L127" s="306" t="str">
        <f>'テンプレート'!L138</f>
        <v>モーション大</v>
      </c>
      <c r="M127" s="113" t="s">
        <v>118</v>
      </c>
      <c r="N127" s="315"/>
      <c r="O127" s="118"/>
      <c r="P127" s="118"/>
      <c r="Q127" s="118"/>
      <c r="R127" s="118"/>
      <c r="S127" s="118"/>
      <c r="T127" s="118"/>
      <c r="U127" s="118"/>
      <c r="V127" s="118"/>
    </row>
    <row r="128" outlineLevel="1">
      <c r="A128" s="146"/>
      <c r="B128" s="300" t="s">
        <v>216</v>
      </c>
      <c r="C128" s="307" t="str">
        <f t="array" ref="C128">INDEX('転倒'!$G$3:$H$115, MATCH($A$1,'転倒'!$A$3:$A$115,0), MATCH(C105,'転倒'!$G$2:$AC$2,0))</f>
        <v>1-16</v>
      </c>
      <c r="D128" s="308">
        <f t="array" ref="D128">INDEX('転倒'!$G$3:$H$115, MATCH($A$1,'転倒'!$A$3:$A$115,0), MATCH(D105,'転倒'!$G$2:$AC$2,0))</f>
        <v>21</v>
      </c>
      <c r="E128" s="301"/>
      <c r="F128" s="301"/>
      <c r="G128" s="301"/>
      <c r="H128" s="228"/>
      <c r="I128" s="228"/>
      <c r="J128" s="111"/>
      <c r="K128" s="304" t="str">
        <f>'テンプレート'!K139</f>
        <v/>
      </c>
      <c r="L128" s="110"/>
      <c r="M128" s="298" t="str">
        <f>'テンプレート'!M139</f>
        <v/>
      </c>
      <c r="N128" s="102"/>
      <c r="O128" s="118"/>
      <c r="P128" s="118"/>
      <c r="Q128" s="118"/>
      <c r="R128" s="118"/>
      <c r="S128" s="118"/>
      <c r="T128" s="118"/>
      <c r="U128" s="118"/>
      <c r="V128" s="118"/>
    </row>
    <row r="129" outlineLevel="1">
      <c r="A129" s="146"/>
      <c r="B129" s="300" t="s">
        <v>245</v>
      </c>
      <c r="C129" s="307" t="str">
        <f t="array" ref="C129">INDEX('転倒'!$I$3:$J$115, MATCH($A$1,'転倒'!$A$3:$A$115,0), MATCH(C105,'転倒'!$I$2:$AC$2,0))</f>
        <v>1-9</v>
      </c>
      <c r="D129" s="308">
        <f t="array" ref="D129">INDEX('転倒'!$I$3:$J$115, MATCH($A$1,'転倒'!$A$3:$A$115,0), MATCH(D105,'転倒'!$I$2:$AC$2,0))</f>
        <v>28</v>
      </c>
      <c r="E129" s="301"/>
      <c r="F129" s="301"/>
      <c r="G129" s="301"/>
      <c r="H129" s="228"/>
      <c r="I129" s="228"/>
      <c r="J129" s="228"/>
      <c r="K129" s="316"/>
      <c r="L129" s="317" t="str">
        <f>'テンプレート'!L140</f>
        <v/>
      </c>
      <c r="M129" s="113" t="s">
        <v>76</v>
      </c>
      <c r="N129" s="102"/>
      <c r="O129" s="118"/>
      <c r="P129" s="118"/>
      <c r="Q129" s="118"/>
      <c r="R129" s="118"/>
      <c r="S129" s="118"/>
      <c r="T129" s="118"/>
      <c r="U129" s="118"/>
      <c r="V129" s="118"/>
    </row>
    <row r="130" outlineLevel="1">
      <c r="A130" s="146"/>
      <c r="B130" s="300" t="s">
        <v>246</v>
      </c>
      <c r="C130" s="307" t="str">
        <f t="array" ref="C130">INDEX('転倒'!$K$3:$L$115, MATCH($A$1,'転倒'!$A$3:$A$115,0), MATCH(C105,'転倒'!$K$2:$AC$2,0))</f>
        <v>1-9</v>
      </c>
      <c r="D130" s="308">
        <f t="array" ref="D130">INDEX('転倒'!$K$3:$L$115, MATCH($A$1,'転倒'!$A$3:$A$115,0), MATCH(D105,'転倒'!$K$2:$AC$2,0))</f>
        <v>28</v>
      </c>
      <c r="E130" s="301"/>
      <c r="F130" s="301"/>
      <c r="G130" s="301"/>
      <c r="H130" s="228"/>
      <c r="I130" s="228"/>
      <c r="J130" s="228"/>
      <c r="K130" s="318"/>
      <c r="L130" s="118"/>
      <c r="M130" s="118"/>
      <c r="N130" s="102"/>
      <c r="O130" s="118"/>
      <c r="P130" s="118"/>
      <c r="Q130" s="118"/>
      <c r="R130" s="118"/>
      <c r="S130" s="118"/>
      <c r="T130" s="118"/>
      <c r="U130" s="118"/>
      <c r="V130" s="118"/>
    </row>
    <row r="131" outlineLevel="1">
      <c r="A131" s="146"/>
      <c r="B131" s="300" t="s">
        <v>249</v>
      </c>
      <c r="C131" s="309" t="str">
        <f t="array" ref="C131">INDEX('転倒'!$M$3:$P$115, MATCH($A$1,'転倒'!$A$3:$A$115,0), MATCH(C105,'転倒'!$M$2:$AC$2,0))</f>
        <v>1-7</v>
      </c>
      <c r="D131" s="310">
        <f t="array" ref="D131">INDEX('転倒'!$M$3:$P$115, MATCH($A$1,'転倒'!$A$3:$A$115,0), MATCH(D105,'転倒'!$M$2:$AC$2,0))</f>
        <v>49</v>
      </c>
      <c r="E131" s="307" t="str">
        <f t="array" ref="E131">INDEX('転倒'!$M$3:$P$115, MATCH($A$1,'転倒'!$A$3:$A$115,0), MATCH(E105,'転倒'!$M$2:$AC$2,0))</f>
        <v>19-20</v>
      </c>
      <c r="F131" s="308">
        <f t="array" ref="F131">INDEX('転倒'!$M$3:$P$115, MATCH($A$1,'転倒'!$A$3:$A$115,0), MATCH(F105,'転倒'!$M$2:$AC$2,0))</f>
        <v>5</v>
      </c>
      <c r="G131" s="113">
        <f t="shared" ref="G131:G132" si="3">F131*1.2</f>
        <v>6</v>
      </c>
      <c r="H131" s="228"/>
      <c r="I131" s="228"/>
      <c r="J131" s="228"/>
      <c r="K131" s="118"/>
      <c r="L131" s="118"/>
      <c r="M131" s="118"/>
      <c r="N131" s="102"/>
      <c r="O131" s="102"/>
      <c r="P131" s="102"/>
      <c r="Q131" s="102"/>
      <c r="R131" s="118"/>
      <c r="S131" s="118"/>
      <c r="T131" s="118"/>
      <c r="U131" s="118"/>
      <c r="V131" s="118"/>
    </row>
    <row r="132" outlineLevel="1">
      <c r="A132" s="156"/>
      <c r="B132" s="311" t="s">
        <v>250</v>
      </c>
      <c r="C132" s="156"/>
      <c r="D132" s="156"/>
      <c r="E132" s="307" t="str">
        <f t="array" ref="E132">INDEX('転倒'!$Q$3:$R$115, MATCH($A$1,'転倒'!$A$3:$A$115,0), MATCH(E105,'転倒'!$Q$2:$AC$2,0))</f>
        <v>29-30</v>
      </c>
      <c r="F132" s="308">
        <f t="array" ref="F132">INDEX('転倒'!$Q$3:$R$115, MATCH($A$1,'転倒'!$A$3:$A$115,0), MATCH(F105,'転倒'!$Q$2:$AC$2,0))</f>
        <v>5</v>
      </c>
      <c r="G132" s="113">
        <f t="shared" si="3"/>
        <v>6</v>
      </c>
      <c r="H132" s="228"/>
      <c r="I132" s="228"/>
      <c r="J132" s="228"/>
      <c r="K132" s="118"/>
      <c r="L132" s="118"/>
      <c r="M132" s="118"/>
      <c r="N132" s="102"/>
      <c r="O132" s="102"/>
      <c r="P132" s="102"/>
      <c r="Q132" s="102"/>
      <c r="R132" s="118"/>
      <c r="S132" s="118"/>
      <c r="T132" s="118"/>
      <c r="U132" s="118"/>
      <c r="V132" s="118"/>
    </row>
    <row r="133" outlineLevel="1">
      <c r="A133" s="319"/>
      <c r="B133" s="320"/>
      <c r="C133" s="321"/>
      <c r="D133" s="321"/>
      <c r="E133" s="322"/>
      <c r="F133" s="322"/>
      <c r="G133" s="114"/>
      <c r="H133" s="228"/>
      <c r="I133" s="228"/>
      <c r="J133" s="228"/>
      <c r="K133" s="118"/>
      <c r="L133" s="118"/>
      <c r="M133" s="118"/>
      <c r="N133" s="102"/>
      <c r="O133" s="102"/>
      <c r="P133" s="102"/>
      <c r="Q133" s="102"/>
      <c r="R133" s="118"/>
      <c r="S133" s="118"/>
      <c r="T133" s="118"/>
      <c r="U133" s="118"/>
      <c r="V133" s="118"/>
    </row>
    <row r="134" outlineLevel="1">
      <c r="A134" s="323" t="s">
        <v>255</v>
      </c>
      <c r="B134" s="109"/>
      <c r="C134" s="321"/>
      <c r="D134" s="321"/>
      <c r="E134" s="322"/>
      <c r="F134" s="322"/>
      <c r="G134" s="114"/>
      <c r="H134" s="228"/>
      <c r="I134" s="228"/>
      <c r="J134" s="228"/>
      <c r="K134" s="118"/>
      <c r="L134" s="118"/>
      <c r="M134" s="118"/>
      <c r="N134" s="102"/>
      <c r="O134" s="102"/>
      <c r="P134" s="102"/>
      <c r="Q134" s="102"/>
      <c r="R134" s="118"/>
      <c r="S134" s="118"/>
      <c r="T134" s="118"/>
      <c r="U134" s="118"/>
      <c r="V134" s="118"/>
    </row>
    <row r="135" outlineLevel="1">
      <c r="A135" s="324" t="s">
        <v>256</v>
      </c>
      <c r="B135" s="109"/>
      <c r="C135" s="325" t="s">
        <v>257</v>
      </c>
      <c r="D135" s="325" t="s">
        <v>49</v>
      </c>
      <c r="E135" s="322"/>
      <c r="F135" s="322"/>
      <c r="G135" s="114"/>
      <c r="H135" s="228"/>
      <c r="I135" s="228"/>
      <c r="J135" s="228"/>
      <c r="K135" s="118"/>
      <c r="L135" s="118"/>
      <c r="M135" s="118"/>
      <c r="N135" s="102"/>
      <c r="O135" s="102"/>
      <c r="P135" s="102"/>
      <c r="Q135" s="102"/>
      <c r="R135" s="118"/>
      <c r="S135" s="118"/>
      <c r="T135" s="118"/>
      <c r="U135" s="118"/>
      <c r="V135" s="118"/>
    </row>
    <row r="136" outlineLevel="1">
      <c r="A136" s="326" t="s">
        <v>258</v>
      </c>
      <c r="B136" s="327" t="s">
        <v>216</v>
      </c>
      <c r="C136" s="328" t="str">
        <f t="array" ref="C136">INDEX('アイテム'!$C$3:$D$114, MATCH($A$1,'アイテム'!$A$3:$A$114,0), MATCH(C135,'アイテム'!$C$2:$AQ$2,0))</f>
        <v>2</v>
      </c>
      <c r="D136" s="328">
        <f t="array" ref="D136">INDEX('アイテム'!$C$3:$D$114, MATCH($A$1,'アイテム'!$A$3:$A$114,0), MATCH(D135,'アイテム'!$C$2:$AQ$2,0))</f>
        <v>7</v>
      </c>
      <c r="E136" s="322"/>
      <c r="F136" s="322"/>
      <c r="G136" s="114"/>
      <c r="H136" s="228"/>
      <c r="I136" s="228"/>
      <c r="J136" s="228"/>
      <c r="K136" s="118"/>
      <c r="L136" s="118"/>
      <c r="M136" s="118"/>
      <c r="N136" s="102"/>
      <c r="O136" s="102"/>
      <c r="P136" s="102"/>
      <c r="Q136" s="102"/>
      <c r="R136" s="118"/>
      <c r="S136" s="118"/>
      <c r="T136" s="118"/>
      <c r="U136" s="118"/>
      <c r="V136" s="118"/>
    </row>
    <row r="137" outlineLevel="1">
      <c r="A137" s="156"/>
      <c r="B137" s="327" t="s">
        <v>219</v>
      </c>
      <c r="C137" s="328" t="str">
        <f t="array" ref="C137">INDEX('アイテム'!$E$3:$F$114, MATCH($A$1,'アイテム'!$A$3:$A$114,0), MATCH(C135,'アイテム'!$C$2:$AQ$2,0))</f>
        <v>2</v>
      </c>
      <c r="D137" s="328">
        <f t="array" ref="D137">INDEX('アイテム'!$E$3:$F$114, MATCH($A$1,'アイテム'!$A$3:$A$114,0), MATCH(D135,'アイテム'!$C$2:$AQ$2,0))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329" t="s">
        <v>259</v>
      </c>
      <c r="B138" s="327" t="s">
        <v>216</v>
      </c>
      <c r="C138" s="328">
        <f t="array" ref="C138">INDEX('アイテム'!$AA$3:$AB$114, MATCH($A$1,'アイテム'!$A$3:$A$114,0), MATCH(C135,'アイテム'!$C$2:$AQ$2,0))</f>
        <v>2</v>
      </c>
      <c r="D138" s="328" t="str">
        <f t="array" ref="D138">INDEX('アイテム'!$AA$3:$AB$114, MATCH($A$1,'アイテム'!$A$3:$A$114,0), MATCH(D135,'アイテム'!$C$2:$AQ$2,0))</f>
        <v>12</v>
      </c>
      <c r="E138" s="322"/>
      <c r="F138" s="322"/>
      <c r="G138" s="114"/>
      <c r="H138" s="228"/>
      <c r="I138" s="228"/>
      <c r="J138" s="228"/>
      <c r="K138" s="118"/>
      <c r="L138" s="118"/>
      <c r="M138" s="118"/>
      <c r="N138" s="102"/>
      <c r="O138" s="102"/>
      <c r="P138" s="102"/>
      <c r="Q138" s="102"/>
      <c r="R138" s="118"/>
      <c r="S138" s="118"/>
      <c r="T138" s="118"/>
      <c r="U138" s="118"/>
      <c r="V138" s="118"/>
    </row>
    <row r="139" outlineLevel="1">
      <c r="A139" s="324" t="s">
        <v>260</v>
      </c>
      <c r="B139" s="109"/>
      <c r="C139" s="325" t="s">
        <v>261</v>
      </c>
      <c r="D139" s="325" t="s">
        <v>49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262</v>
      </c>
      <c r="B140" s="327" t="s">
        <v>226</v>
      </c>
      <c r="C140" s="328" t="str">
        <f t="array" ref="C140">INDEX('アイテム'!$G$3:$H$114, MATCH($A$1,'アイテム'!$A$3:$A$114,0), MATCH(C135,'アイテム'!$C$2:$AQ$2,0))</f>
        <v>7</v>
      </c>
      <c r="D140" s="328">
        <f t="array" ref="D140">INDEX('アイテム'!$G$3:$H$114, MATCH($A$1,'アイテム'!$A$3:$A$114,0), MATCH(D135,'アイテム'!$C$2:$AQ$2,0))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INDEX('アイテム'!$I$3:$J$114, MATCH($A$1,'アイテム'!$A$3:$A$114,0), MATCH(C135,'アイテム'!$C$2:$AQ$2,0))</f>
        <v>11</v>
      </c>
      <c r="D141" s="328">
        <f t="array" ref="D141">INDEX('アイテム'!$I$3:$J$114, MATCH($A$1,'アイテム'!$A$3:$A$114,0), MATCH(D135,'アイテム'!$C$2:$AQ$2,0))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INDEX('アイテム'!$K$3:$L$114, MATCH($A$1,'アイテム'!$A$3:$A$114,0), MATCH(C135,'アイテム'!$C$2:$AQ$2,0))</f>
        <v>12</v>
      </c>
      <c r="D142" s="328">
        <f t="array" ref="D142">INDEX('アイテム'!$K$3:$L$114, MATCH($A$1,'アイテム'!$A$3:$A$114,0), MATCH(D135,'アイテム'!$C$2:$AQ$2,0))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234</v>
      </c>
      <c r="C143" s="328" t="str">
        <f t="array" ref="C143">INDEX('アイテム'!$M$3:$N$114, MATCH($A$1,'アイテム'!$A$3:$A$114,0), MATCH(C135,'アイテム'!$C$2:$AQ$2,0))</f>
        <v>7</v>
      </c>
      <c r="D143" s="328">
        <f t="array" ref="D143">INDEX('アイテム'!$M$3:$N$114, MATCH($A$1,'アイテム'!$A$3:$A$114,0), MATCH(D135,'アイテム'!$C$2:$AQ$2,0))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219</v>
      </c>
      <c r="C144" s="328" t="str">
        <f t="array" ref="C144">INDEX('アイテム'!$O$3:$P$114, MATCH($A$1,'アイテム'!$A$3:$A$114,0), MATCH(C135,'アイテム'!$C$2:$AQ$2,0))</f>
        <v>5</v>
      </c>
      <c r="D144" s="328">
        <f t="array" ref="D144">INDEX('アイテム'!$O$3:$P$114, MATCH($A$1,'アイテム'!$A$3:$A$114,0), MATCH(D135,'アイテム'!$C$2:$AQ$2,0))</f>
        <v>29</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263</v>
      </c>
      <c r="C145" s="328" t="str">
        <f t="array" ref="C145">INDEX('アイテム'!$Q$3:$R$114, MATCH($A$1,'アイテム'!$A$3:$A$114,0), MATCH(C135,'アイテム'!$C$2:$AQ$2,0))</f>
        <v>6</v>
      </c>
      <c r="D145" s="328">
        <f t="array" ref="D145">INDEX('アイテム'!$Q$3:$R$114, MATCH($A$1,'アイテム'!$A$3:$A$114,0), MATCH(D135,'アイテム'!$C$2:$AQ$2,0))</f>
        <v>23</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264</v>
      </c>
      <c r="B146" s="327" t="s">
        <v>226</v>
      </c>
      <c r="C146" s="328" t="str">
        <f t="array" ref="C146">INDEX('アイテム'!$S$3:$T$114, MATCH($A$1,'アイテム'!$A$3:$A$114,0), MATCH(C135,'アイテム'!$C$2:$AQ$2,0))</f>
        <v>7</v>
      </c>
      <c r="D146" s="328">
        <f t="array" ref="D146">INDEX('アイテム'!$S$3:$T$114, MATCH($A$1,'アイテム'!$A$3:$A$114,0), MATCH(D135,'アイテム'!$C$2:$AQ$2,0))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229</v>
      </c>
      <c r="C147" s="328" t="str">
        <f t="array" ref="C147">INDEX('アイテム'!$U$3:$V$114, MATCH($A$1,'アイテム'!$A$3:$A$114,0), MATCH(C135,'アイテム'!$C$2:$AQ$2,0))</f>
        <v>11</v>
      </c>
      <c r="D147" s="328">
        <f t="array" ref="D147">INDEX('アイテム'!$U$3:$V$114, MATCH($A$1,'アイテム'!$A$3:$A$114,0), MATCH(D135,'アイテム'!$C$2:$AQ$2,0))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233</v>
      </c>
      <c r="C148" s="328" t="str">
        <f t="array" ref="C148">INDEX('アイテム'!$W$3:$X$114, MATCH($A$1,'アイテム'!$A$3:$A$114,0), MATCH(C135,'アイテム'!$C$2:$AQ$2,0))</f>
        <v>12</v>
      </c>
      <c r="D148" s="328">
        <f t="array" ref="D148">INDEX('アイテム'!$W$3:$X$114, MATCH($A$1,'アイテム'!$A$3:$A$114,0), MATCH(D135,'アイテム'!$C$2:$AQ$2,0))</f>
        <v>23</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234</v>
      </c>
      <c r="C149" s="328" t="str">
        <f t="array" ref="C149">INDEX('アイテム'!$Y$3:$Z$114, MATCH($A$1,'アイテム'!$A$3:$A$114,0), MATCH(C135,'アイテム'!$C$2:$AQ$2,0))</f>
        <v>7</v>
      </c>
      <c r="D149" s="328">
        <f t="array" ref="D149">INDEX('アイテム'!$Y$3:$Z$114, MATCH($A$1,'アイテム'!$A$3:$A$114,0), MATCH(D135,'アイテム'!$C$2:$AQ$2,0))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326" t="s">
        <v>265</v>
      </c>
      <c r="B150" s="327" t="s">
        <v>226</v>
      </c>
      <c r="C150" s="328">
        <f t="array" ref="C150">INDEX('アイテム'!$AC$3:$AD$114, MATCH($A$1,'アイテム'!$A$3:$A$114,0), MATCH(C135,'アイテム'!$C$2:$AQ$2,0))</f>
        <v>14</v>
      </c>
      <c r="D150" s="328" t="str">
        <f t="array" ref="D150">INDEX('アイテム'!$AC$3:$AD$114, MATCH($A$1,'アイテム'!$A$3:$A$114,0), MATCH(D135,'アイテム'!$C$2:$AQ$2,0))</f>
        <v>30</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229</v>
      </c>
      <c r="C151" s="328">
        <f t="array" ref="C151">INDEX('アイテム'!$AE$3:$AF$114, MATCH($A$1,'アイテム'!$A$3:$A$114,0), MATCH(C135,'アイテム'!$C$2:$AQ$2,0))</f>
        <v>14</v>
      </c>
      <c r="D151" s="328" t="str">
        <f t="array" ref="D151">INDEX('アイテム'!$AE$3:$AF$114, MATCH($A$1,'アイテム'!$A$3:$A$114,0), MATCH(D135,'アイテム'!$C$2:$AQ$2,0))</f>
        <v>30</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233</v>
      </c>
      <c r="C152" s="328">
        <f t="array" ref="C152">INDEX('アイテム'!$AG$3:$AH$114, MATCH($A$1,'アイテム'!$A$3:$A$114,0), MATCH(C135,'アイテム'!$C$2:$AQ$2,0))</f>
        <v>11</v>
      </c>
      <c r="D152" s="328" t="str">
        <f t="array" ref="D152">INDEX('アイテム'!$AG$3:$AH$114, MATCH($A$1,'アイテム'!$A$3:$A$114,0), MATCH(D135,'アイテム'!$C$2:$AQ$2,0))</f>
        <v>22</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234</v>
      </c>
      <c r="C153" s="328">
        <f t="array" ref="C153">INDEX('アイテム'!$AI$3:$AJ$114, MATCH($A$1,'アイテム'!$A$3:$A$114,0), MATCH(C135,'アイテム'!$C$2:$AQ$2,0))</f>
        <v>9</v>
      </c>
      <c r="D153" s="328" t="str">
        <f t="array" ref="D153">INDEX('アイテム'!$AI$3:$AJ$114, MATCH($A$1,'アイテム'!$A$3:$A$114,0), MATCH(D135,'アイテム'!$C$2:$AQ$2,0))</f>
        <v>22</v>
      </c>
      <c r="E153" s="322"/>
      <c r="F153" s="322"/>
      <c r="G153" s="114"/>
      <c r="H153" s="228"/>
      <c r="I153" s="228"/>
      <c r="J153" s="228"/>
      <c r="K153" s="118"/>
      <c r="L153" s="118"/>
      <c r="M153" s="118"/>
      <c r="N153" s="102"/>
      <c r="O153" s="102"/>
      <c r="P153" s="102"/>
      <c r="Q153" s="102"/>
      <c r="R153" s="118"/>
      <c r="S153" s="118"/>
      <c r="T153" s="118"/>
      <c r="U153" s="118"/>
      <c r="V153" s="118"/>
    </row>
  </sheetData>
  <mergeCells count="144">
    <mergeCell ref="H34:J35"/>
    <mergeCell ref="H36:J36"/>
    <mergeCell ref="H37:J37"/>
    <mergeCell ref="H38:J39"/>
    <mergeCell ref="H40:J44"/>
    <mergeCell ref="I48:I49"/>
    <mergeCell ref="J48:J49"/>
    <mergeCell ref="I50:I51"/>
    <mergeCell ref="J50:J51"/>
    <mergeCell ref="I54:I55"/>
    <mergeCell ref="J54:J55"/>
    <mergeCell ref="I56:I57"/>
    <mergeCell ref="J56:J57"/>
    <mergeCell ref="H60:J60"/>
    <mergeCell ref="H61:J63"/>
    <mergeCell ref="H64:J64"/>
    <mergeCell ref="H65:J66"/>
    <mergeCell ref="H67:J67"/>
    <mergeCell ref="H68:J73"/>
    <mergeCell ref="H74:J74"/>
    <mergeCell ref="H75:J76"/>
    <mergeCell ref="K106:K107"/>
    <mergeCell ref="K108:L108"/>
    <mergeCell ref="K109:K114"/>
    <mergeCell ref="K115:K118"/>
    <mergeCell ref="K119:L119"/>
    <mergeCell ref="K121:K124"/>
    <mergeCell ref="K125:L125"/>
    <mergeCell ref="K128:L128"/>
    <mergeCell ref="H77:J77"/>
    <mergeCell ref="G85:J85"/>
    <mergeCell ref="G86:J87"/>
    <mergeCell ref="G88:J89"/>
    <mergeCell ref="G90:J91"/>
    <mergeCell ref="G92:J94"/>
    <mergeCell ref="K105:L105"/>
    <mergeCell ref="U75:U77"/>
    <mergeCell ref="V75:V77"/>
    <mergeCell ref="U40:U44"/>
    <mergeCell ref="U61:U63"/>
    <mergeCell ref="V61:V63"/>
    <mergeCell ref="U65:U66"/>
    <mergeCell ref="V65:V66"/>
    <mergeCell ref="U68:U73"/>
    <mergeCell ref="V68:V73"/>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A24:B25"/>
    <mergeCell ref="A26:A28"/>
    <mergeCell ref="A29:A32"/>
    <mergeCell ref="C29:C30"/>
    <mergeCell ref="D29:D32"/>
    <mergeCell ref="A34:A35"/>
    <mergeCell ref="D34:D35"/>
    <mergeCell ref="H26:J26"/>
    <mergeCell ref="H27:J27"/>
    <mergeCell ref="H28:J28"/>
    <mergeCell ref="H29:J32"/>
    <mergeCell ref="U29:U32"/>
    <mergeCell ref="H33:J33"/>
    <mergeCell ref="U34:U35"/>
    <mergeCell ref="A50:A51"/>
    <mergeCell ref="A52:A53"/>
    <mergeCell ref="I52:I53"/>
    <mergeCell ref="J52:J53"/>
    <mergeCell ref="U38:U39"/>
    <mergeCell ref="R47:V47"/>
    <mergeCell ref="R48:V49"/>
    <mergeCell ref="R50:V51"/>
    <mergeCell ref="R52:V53"/>
    <mergeCell ref="R54:V55"/>
    <mergeCell ref="R56:V57"/>
    <mergeCell ref="C118:C119"/>
    <mergeCell ref="C124:C125"/>
    <mergeCell ref="A101:A102"/>
    <mergeCell ref="A104:B105"/>
    <mergeCell ref="A106:A110"/>
    <mergeCell ref="A111:A113"/>
    <mergeCell ref="A114:A119"/>
    <mergeCell ref="D118:D119"/>
    <mergeCell ref="D124:D125"/>
    <mergeCell ref="A38:A39"/>
    <mergeCell ref="A40:A44"/>
    <mergeCell ref="D41:D44"/>
    <mergeCell ref="A46:B47"/>
    <mergeCell ref="D48:D49"/>
    <mergeCell ref="D50:D51"/>
    <mergeCell ref="D52:D53"/>
    <mergeCell ref="A48:A49"/>
    <mergeCell ref="A54:A55"/>
    <mergeCell ref="A56:A57"/>
    <mergeCell ref="A59:B59"/>
    <mergeCell ref="A60:B60"/>
    <mergeCell ref="A61:A63"/>
    <mergeCell ref="A64:B64"/>
    <mergeCell ref="A65:A66"/>
    <mergeCell ref="A67:B67"/>
    <mergeCell ref="A68:A73"/>
    <mergeCell ref="A74:B74"/>
    <mergeCell ref="A75:A77"/>
    <mergeCell ref="A79:B80"/>
    <mergeCell ref="A85:B85"/>
    <mergeCell ref="D90:D91"/>
    <mergeCell ref="D92:D94"/>
    <mergeCell ref="D54:D55"/>
    <mergeCell ref="D56:D57"/>
    <mergeCell ref="D65:D66"/>
    <mergeCell ref="D68:D69"/>
    <mergeCell ref="D71:D72"/>
    <mergeCell ref="D86:D87"/>
    <mergeCell ref="D88:D89"/>
    <mergeCell ref="A82:A84"/>
    <mergeCell ref="A86:A87"/>
    <mergeCell ref="A88:A89"/>
    <mergeCell ref="A90:A91"/>
    <mergeCell ref="A92:A94"/>
    <mergeCell ref="A96:B97"/>
    <mergeCell ref="A98:A100"/>
    <mergeCell ref="A136:A137"/>
    <mergeCell ref="A140:A145"/>
    <mergeCell ref="A146:A149"/>
    <mergeCell ref="A150:A153"/>
    <mergeCell ref="A120:A125"/>
    <mergeCell ref="A126:A132"/>
    <mergeCell ref="C131:C132"/>
    <mergeCell ref="D131:D132"/>
    <mergeCell ref="A134:B134"/>
    <mergeCell ref="A135:B135"/>
    <mergeCell ref="A139:B139"/>
  </mergeCells>
  <conditionalFormatting sqref="K1:K15 K17:K129">
    <cfRule type="containsText" dxfId="0" priority="1" operator="containsText" text="361">
      <formula>NOT(ISERROR(SEARCH(("361"),(K1))))</formula>
    </cfRule>
  </conditionalFormatting>
  <conditionalFormatting sqref="K1:K15 K17:K129">
    <cfRule type="containsText" dxfId="1" priority="2" operator="containsText" text="363">
      <formula>NOT(ISERROR(SEARCH(("363"),(K1))))</formula>
    </cfRule>
  </conditionalFormatting>
  <conditionalFormatting sqref="K1:K15 K17:K129">
    <cfRule type="containsText" dxfId="1" priority="3" operator="containsText" text="365">
      <formula>NOT(ISERROR(SEARCH(("365"),(K1))))</formula>
    </cfRule>
  </conditionalFormatting>
  <conditionalFormatting sqref="K1:K15 K17:K129">
    <cfRule type="containsText" dxfId="1" priority="4" operator="containsText" text="366">
      <formula>NOT(ISERROR(SEARCH(("366"),(K1))))</formula>
    </cfRule>
  </conditionalFormatting>
  <conditionalFormatting sqref="K1:K15 K17:K129">
    <cfRule type="containsText" dxfId="1" priority="5" operator="containsText" text="367">
      <formula>NOT(ISERROR(SEARCH(("367"),(K1))))</formula>
    </cfRule>
  </conditionalFormatting>
  <conditionalFormatting sqref="C86:C94">
    <cfRule type="cellIs" dxfId="3" priority="6" operator="equal">
      <formula>"-"</formula>
    </cfRule>
  </conditionalFormatting>
  <conditionalFormatting sqref="P1:Q153 D38 D40 C62 E62:G62 C70 E70:G70 K70:O70 R70:T70 C73 E73:G73 K73:O73 R73:T73 G76:G77 C77 E77:F77">
    <cfRule type="cellIs" dxfId="5" priority="7" operator="lessThan">
      <formula>1</formula>
    </cfRule>
  </conditionalFormatting>
  <conditionalFormatting sqref="P1:Q153 D38 D40 C62 E62:G62 C70 E70:G70 K70:O70 R70:T70 C73 E73:G73 K73:O73 R73:T73 G76:G77 C77 E77:F77">
    <cfRule type="cellIs" dxfId="4" priority="8" operator="greaterThan">
      <formula>1</formula>
    </cfRule>
  </conditionalFormatting>
  <conditionalFormatting sqref="N25:N94">
    <cfRule type="cellIs" dxfId="6" priority="9" operator="greaterThan">
      <formula>0</formula>
    </cfRule>
  </conditionalFormatting>
  <conditionalFormatting sqref="N1:N15 N17:N153">
    <cfRule type="containsText" dxfId="6" priority="10" operator="containsText" text="/">
      <formula>NOT(ISERROR(SEARCH(("/"),(N1))))</formula>
    </cfRule>
  </conditionalFormatting>
  <conditionalFormatting sqref="O1:O153">
    <cfRule type="cellIs" dxfId="7" priority="11" operator="greaterThan">
      <formula>0</formula>
    </cfRule>
  </conditionalFormatting>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B56B1"/>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828">
        <v>11.0</v>
      </c>
      <c r="B1" s="829"/>
      <c r="C1" s="830" t="str">
        <f>IMAGE(VLOOKUP($A$1,Fighters!A2:AI114,12,FALSE),1)</f>
        <v>#REF!</v>
      </c>
      <c r="D1" s="831"/>
      <c r="E1" s="831"/>
      <c r="F1" s="831"/>
      <c r="G1" s="832"/>
      <c r="H1" s="833"/>
      <c r="I1" s="831"/>
      <c r="J1" s="832"/>
      <c r="K1" s="834"/>
      <c r="L1" s="831"/>
      <c r="M1" s="832"/>
      <c r="N1" s="835"/>
      <c r="O1" s="835"/>
      <c r="P1" s="835"/>
      <c r="Q1" s="835"/>
      <c r="R1" s="836"/>
      <c r="S1" s="836"/>
      <c r="T1" s="836"/>
      <c r="U1" s="836"/>
      <c r="V1" s="836"/>
    </row>
    <row r="2">
      <c r="A2" s="837" t="str">
        <f>VLOOKUP($A$1,Fighters!$A$2:$AI$81,6,FALSE)</f>
        <v>#6b56b1</v>
      </c>
      <c r="B2" s="829"/>
      <c r="C2" s="838"/>
      <c r="G2" s="839"/>
      <c r="H2" s="840"/>
      <c r="I2" s="841"/>
      <c r="J2" s="842"/>
      <c r="K2" s="840"/>
      <c r="L2" s="841"/>
      <c r="M2" s="842"/>
      <c r="N2" s="835"/>
      <c r="O2" s="835"/>
      <c r="P2" s="835"/>
      <c r="Q2" s="835"/>
      <c r="R2" s="836"/>
      <c r="S2" s="836"/>
      <c r="T2" s="836"/>
      <c r="U2" s="836"/>
      <c r="V2" s="836"/>
    </row>
    <row r="3">
      <c r="A3" s="837" t="str">
        <f>VLOOKUP($A$1,Fighters!$A$2:$AI$81,14,FALSE)</f>
        <v>11. キャプテン・ファルコン</v>
      </c>
      <c r="B3" s="829"/>
      <c r="C3" s="838"/>
      <c r="G3" s="839"/>
      <c r="H3" s="843"/>
      <c r="I3" s="843"/>
      <c r="J3" s="843"/>
      <c r="K3" s="844"/>
      <c r="L3" s="844"/>
      <c r="M3" s="844"/>
      <c r="N3" s="835"/>
      <c r="O3" s="835"/>
      <c r="P3" s="835"/>
      <c r="Q3" s="835"/>
      <c r="R3" s="845"/>
      <c r="S3" s="836"/>
      <c r="T3" s="836"/>
      <c r="U3" s="836"/>
      <c r="V3" s="836"/>
    </row>
    <row r="4">
      <c r="A4" s="837" t="str">
        <f>VLOOKUP($A$1,Fighters!$A$2:$AI$81,13,FALSE)</f>
        <v>1</v>
      </c>
      <c r="B4" s="829"/>
      <c r="C4" s="838"/>
      <c r="G4" s="839"/>
      <c r="H4" s="846"/>
      <c r="I4" s="846"/>
      <c r="J4" s="843"/>
      <c r="K4" s="844"/>
      <c r="L4" s="844"/>
      <c r="M4" s="844"/>
      <c r="N4" s="835"/>
      <c r="O4" s="835"/>
      <c r="P4" s="835"/>
      <c r="Q4" s="835"/>
      <c r="R4" s="845"/>
      <c r="S4" s="836"/>
      <c r="T4" s="836"/>
      <c r="U4" s="836"/>
      <c r="V4" s="836"/>
    </row>
    <row r="5" ht="16.5" customHeight="1">
      <c r="A5" s="828"/>
      <c r="B5" s="829"/>
      <c r="C5" s="838"/>
      <c r="G5" s="839"/>
      <c r="H5" s="847"/>
      <c r="I5" s="847"/>
      <c r="J5" s="848"/>
      <c r="K5" s="849"/>
      <c r="L5" s="850"/>
      <c r="M5" s="850"/>
      <c r="N5" s="835"/>
      <c r="O5" s="835"/>
      <c r="P5" s="835"/>
      <c r="Q5" s="835"/>
      <c r="R5" s="845"/>
      <c r="S5" s="836"/>
      <c r="T5" s="836"/>
      <c r="U5" s="836"/>
      <c r="V5" s="836"/>
    </row>
    <row r="6">
      <c r="A6" s="829"/>
      <c r="B6" s="829"/>
      <c r="C6" s="838"/>
      <c r="G6" s="839"/>
      <c r="H6" s="846"/>
      <c r="I6" s="851" t="s">
        <v>39</v>
      </c>
      <c r="J6" s="849"/>
      <c r="K6" s="852"/>
      <c r="L6" s="850"/>
      <c r="M6" s="850"/>
      <c r="N6" s="835"/>
      <c r="O6" s="835"/>
      <c r="P6" s="835"/>
      <c r="Q6" s="835"/>
      <c r="R6" s="845"/>
      <c r="S6" s="836"/>
      <c r="T6" s="836"/>
      <c r="U6" s="836"/>
      <c r="V6" s="836"/>
    </row>
    <row r="7">
      <c r="A7" s="829"/>
      <c r="B7" s="829"/>
      <c r="C7" s="838"/>
      <c r="G7" s="839"/>
      <c r="H7" s="847"/>
      <c r="I7" s="847"/>
      <c r="J7" s="849"/>
      <c r="K7" s="852"/>
      <c r="L7" s="850"/>
      <c r="M7" s="850"/>
      <c r="N7" s="835"/>
      <c r="O7" s="835"/>
      <c r="P7" s="835"/>
      <c r="Q7" s="835"/>
      <c r="R7" s="845"/>
      <c r="S7" s="836"/>
      <c r="T7" s="836"/>
      <c r="U7" s="836"/>
      <c r="V7" s="836"/>
    </row>
    <row r="8">
      <c r="A8" s="829"/>
      <c r="B8" s="829"/>
      <c r="C8" s="838"/>
      <c r="G8" s="839"/>
      <c r="H8" s="853">
        <v>44379.84357791667</v>
      </c>
      <c r="I8" s="831"/>
      <c r="J8" s="832"/>
      <c r="K8" s="849"/>
      <c r="L8" s="850"/>
      <c r="M8" s="850"/>
      <c r="N8" s="835"/>
      <c r="O8" s="835"/>
      <c r="P8" s="835"/>
      <c r="Q8" s="835"/>
      <c r="R8" s="845"/>
      <c r="S8" s="836"/>
      <c r="T8" s="836"/>
      <c r="U8" s="836"/>
      <c r="V8" s="836"/>
    </row>
    <row r="9">
      <c r="A9" s="829"/>
      <c r="B9" s="829"/>
      <c r="C9" s="838"/>
      <c r="G9" s="839"/>
      <c r="H9" s="840"/>
      <c r="I9" s="841"/>
      <c r="J9" s="842"/>
      <c r="K9" s="836"/>
      <c r="L9" s="835"/>
      <c r="M9" s="835"/>
      <c r="N9" s="835"/>
      <c r="O9" s="835"/>
      <c r="P9" s="835"/>
      <c r="Q9" s="835"/>
      <c r="R9" s="845"/>
      <c r="S9" s="836"/>
      <c r="T9" s="836"/>
      <c r="U9" s="836"/>
      <c r="V9" s="836"/>
    </row>
    <row r="10">
      <c r="A10" s="829"/>
      <c r="B10" s="829"/>
      <c r="C10" s="838"/>
      <c r="G10" s="839"/>
      <c r="H10" s="854"/>
      <c r="I10" s="854"/>
      <c r="J10" s="836"/>
      <c r="K10" s="836"/>
      <c r="L10" s="835"/>
      <c r="M10" s="835"/>
      <c r="N10" s="835"/>
      <c r="O10" s="835"/>
      <c r="P10" s="835"/>
      <c r="Q10" s="835"/>
      <c r="R10" s="845"/>
      <c r="S10" s="836"/>
      <c r="T10" s="836"/>
      <c r="U10" s="836"/>
      <c r="V10" s="836"/>
    </row>
    <row r="11">
      <c r="A11" s="855" t="s">
        <v>40</v>
      </c>
      <c r="B11" s="832"/>
      <c r="C11" s="838"/>
      <c r="G11" s="839"/>
      <c r="H11" s="847"/>
      <c r="I11" s="847"/>
      <c r="J11" s="836"/>
      <c r="K11" s="836"/>
      <c r="L11" s="835"/>
      <c r="M11" s="835"/>
      <c r="N11" s="835"/>
      <c r="O11" s="835"/>
      <c r="P11" s="835"/>
      <c r="Q11" s="835"/>
      <c r="R11" s="845"/>
      <c r="S11" s="836"/>
      <c r="T11" s="836"/>
      <c r="U11" s="836"/>
      <c r="V11" s="836"/>
    </row>
    <row r="12">
      <c r="A12" s="840"/>
      <c r="B12" s="842"/>
      <c r="C12" s="840"/>
      <c r="D12" s="841"/>
      <c r="E12" s="841"/>
      <c r="F12" s="841"/>
      <c r="G12" s="842"/>
      <c r="H12" s="856"/>
      <c r="I12" s="856"/>
      <c r="J12" s="829"/>
      <c r="K12" s="829"/>
      <c r="L12" s="835"/>
      <c r="M12" s="835"/>
      <c r="N12" s="835"/>
      <c r="O12" s="835"/>
      <c r="P12" s="835"/>
      <c r="Q12" s="835"/>
      <c r="R12" s="845"/>
      <c r="S12" s="836"/>
      <c r="T12" s="836"/>
      <c r="U12" s="836"/>
      <c r="V12" s="836"/>
    </row>
    <row r="13">
      <c r="A13" s="857"/>
      <c r="B13" s="858"/>
      <c r="C13" s="858"/>
      <c r="D13" s="859"/>
      <c r="E13" s="859"/>
      <c r="F13" s="859"/>
      <c r="G13" s="860"/>
      <c r="H13" s="860"/>
      <c r="I13" s="861"/>
      <c r="J13" s="857"/>
      <c r="K13" s="859"/>
      <c r="L13" s="93"/>
      <c r="M13" s="93"/>
      <c r="N13" s="93"/>
      <c r="O13" s="93"/>
      <c r="P13" s="93"/>
      <c r="Q13" s="93"/>
      <c r="R13" s="91"/>
      <c r="S13" s="88"/>
      <c r="T13" s="88"/>
      <c r="U13" s="88"/>
      <c r="V13" s="88"/>
    </row>
    <row r="14">
      <c r="A14" s="180"/>
      <c r="B14" s="120"/>
      <c r="C14" s="120"/>
      <c r="D14" s="121"/>
      <c r="E14" s="121"/>
      <c r="F14" s="121"/>
      <c r="G14" s="862"/>
      <c r="H14" s="862"/>
      <c r="I14" s="863"/>
      <c r="J14" s="124"/>
      <c r="K14" s="12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21"/>
      <c r="J15" s="121"/>
      <c r="K15" s="12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104 [22nd]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1.98 [30th]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0.987 [57th]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48F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0.176 [7th]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37.31 [12th]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2.552 [2nd]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0.105 [55th]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17.98 [14th]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1.218 [12th]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0.075 [43rd]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37.31 [18th]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1.865 [8th]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2.984 [8th]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 [15th]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616" t="s">
        <v>204</v>
      </c>
      <c r="D26" s="616" t="s">
        <v>884</v>
      </c>
      <c r="E26" s="616" t="s">
        <v>1024</v>
      </c>
      <c r="F26" s="246">
        <v>1.7999999999999998</v>
      </c>
      <c r="G26" s="139" t="s">
        <v>60</v>
      </c>
      <c r="H26" s="362" t="s">
        <v>1101</v>
      </c>
      <c r="I26" s="110"/>
      <c r="J26" s="109"/>
      <c r="K26" s="138"/>
      <c r="L26" s="282"/>
      <c r="M26" s="363"/>
      <c r="N26" s="363"/>
      <c r="O26" s="145">
        <v>0.0</v>
      </c>
      <c r="P26" s="145">
        <v>1.0</v>
      </c>
      <c r="Q26" s="145">
        <v>1.0</v>
      </c>
      <c r="R26" s="100"/>
      <c r="S26" s="100"/>
      <c r="T26" s="100"/>
      <c r="U26" s="145" t="s">
        <v>62</v>
      </c>
      <c r="V26" s="100"/>
    </row>
    <row r="27" outlineLevel="1">
      <c r="A27" s="146"/>
      <c r="B27" s="147" t="s">
        <v>63</v>
      </c>
      <c r="C27" s="214" t="s">
        <v>150</v>
      </c>
      <c r="D27" s="214" t="s">
        <v>466</v>
      </c>
      <c r="E27" s="214" t="s">
        <v>1024</v>
      </c>
      <c r="F27" s="246">
        <v>1.7999999999999998</v>
      </c>
      <c r="G27" s="216" t="s">
        <v>60</v>
      </c>
      <c r="H27" s="362" t="s">
        <v>1102</v>
      </c>
      <c r="I27" s="110"/>
      <c r="J27" s="109"/>
      <c r="K27" s="282"/>
      <c r="L27" s="282"/>
      <c r="M27" s="363"/>
      <c r="N27" s="363"/>
      <c r="O27" s="145">
        <v>0.0</v>
      </c>
      <c r="P27" s="145">
        <v>1.0</v>
      </c>
      <c r="Q27" s="145">
        <v>1.0</v>
      </c>
      <c r="R27" s="100"/>
      <c r="S27" s="100"/>
      <c r="T27" s="100"/>
      <c r="U27" s="145" t="s">
        <v>69</v>
      </c>
      <c r="V27" s="100"/>
    </row>
    <row r="28" outlineLevel="1">
      <c r="A28" s="146"/>
      <c r="B28" s="147" t="s">
        <v>70</v>
      </c>
      <c r="C28" s="214" t="s">
        <v>217</v>
      </c>
      <c r="D28" s="245" t="s">
        <v>964</v>
      </c>
      <c r="E28" s="214" t="s">
        <v>150</v>
      </c>
      <c r="F28" s="246">
        <v>6.0</v>
      </c>
      <c r="G28" s="216" t="s">
        <v>102</v>
      </c>
      <c r="H28" s="362"/>
      <c r="I28" s="110"/>
      <c r="J28" s="109"/>
      <c r="K28" s="282"/>
      <c r="L28" s="282"/>
      <c r="M28" s="363"/>
      <c r="N28" s="363"/>
      <c r="O28" s="145">
        <v>0.0</v>
      </c>
      <c r="P28" s="145">
        <v>1.0</v>
      </c>
      <c r="Q28" s="145">
        <v>1.0</v>
      </c>
      <c r="R28" s="100"/>
      <c r="S28" s="100"/>
      <c r="T28" s="100"/>
      <c r="U28" s="145" t="s">
        <v>76</v>
      </c>
      <c r="V28" s="100"/>
    </row>
    <row r="29" outlineLevel="1">
      <c r="A29" s="146"/>
      <c r="B29" s="147" t="s">
        <v>703</v>
      </c>
      <c r="C29" s="864"/>
      <c r="D29" s="245" t="s">
        <v>150</v>
      </c>
      <c r="E29" s="864"/>
      <c r="F29" s="865"/>
      <c r="G29" s="659"/>
      <c r="H29" s="366"/>
      <c r="I29" s="110"/>
      <c r="J29" s="109"/>
      <c r="K29" s="261"/>
      <c r="L29" s="261"/>
      <c r="M29" s="261"/>
      <c r="N29" s="261"/>
      <c r="O29" s="261"/>
      <c r="P29" s="261"/>
      <c r="Q29" s="261"/>
      <c r="R29" s="100"/>
      <c r="S29" s="100"/>
      <c r="T29" s="100"/>
      <c r="U29" s="145" t="s">
        <v>76</v>
      </c>
      <c r="V29" s="100"/>
    </row>
    <row r="30" outlineLevel="1">
      <c r="A30" s="146"/>
      <c r="B30" s="147" t="s">
        <v>704</v>
      </c>
      <c r="C30" s="214" t="s">
        <v>1103</v>
      </c>
      <c r="D30" s="214" t="s">
        <v>296</v>
      </c>
      <c r="E30" s="214" t="s">
        <v>201</v>
      </c>
      <c r="F30" s="246">
        <v>0.72</v>
      </c>
      <c r="G30" s="450" t="s">
        <v>102</v>
      </c>
      <c r="H30" s="140" t="s">
        <v>1104</v>
      </c>
      <c r="I30" s="110"/>
      <c r="J30" s="109"/>
      <c r="K30" s="282"/>
      <c r="L30" s="282"/>
      <c r="M30" s="363"/>
      <c r="N30" s="363"/>
      <c r="O30" s="145">
        <v>0.0</v>
      </c>
      <c r="P30" s="145">
        <v>0.3</v>
      </c>
      <c r="Q30" s="145">
        <v>0.7</v>
      </c>
      <c r="R30" s="100"/>
      <c r="S30" s="100"/>
      <c r="T30" s="100"/>
      <c r="U30" s="145" t="s">
        <v>62</v>
      </c>
      <c r="V30" s="100"/>
    </row>
    <row r="31" outlineLevel="1">
      <c r="A31" s="156"/>
      <c r="B31" s="147" t="s">
        <v>708</v>
      </c>
      <c r="C31" s="214" t="s">
        <v>217</v>
      </c>
      <c r="D31" s="214" t="s">
        <v>185</v>
      </c>
      <c r="E31" s="214" t="s">
        <v>204</v>
      </c>
      <c r="F31" s="246">
        <v>3.5999999999999996</v>
      </c>
      <c r="G31" s="467" t="s">
        <v>147</v>
      </c>
      <c r="H31" s="140" t="s">
        <v>411</v>
      </c>
      <c r="I31" s="110"/>
      <c r="J31" s="109"/>
      <c r="K31" s="282"/>
      <c r="L31" s="282"/>
      <c r="M31" s="363"/>
      <c r="N31" s="363"/>
      <c r="O31" s="145">
        <v>0.0</v>
      </c>
      <c r="P31" s="145">
        <v>1.0</v>
      </c>
      <c r="Q31" s="145">
        <v>1.0</v>
      </c>
      <c r="R31" s="100"/>
      <c r="S31" s="100"/>
      <c r="T31" s="100"/>
      <c r="U31" s="145" t="s">
        <v>62</v>
      </c>
      <c r="V31" s="100"/>
    </row>
    <row r="32" outlineLevel="1">
      <c r="A32" s="133" t="s">
        <v>77</v>
      </c>
      <c r="B32" s="160"/>
      <c r="C32" s="245" t="s">
        <v>277</v>
      </c>
      <c r="D32" s="826" t="s">
        <v>218</v>
      </c>
      <c r="E32" s="245" t="s">
        <v>128</v>
      </c>
      <c r="F32" s="138">
        <v>12.0</v>
      </c>
      <c r="G32" s="450" t="s">
        <v>82</v>
      </c>
      <c r="H32" s="386" t="s">
        <v>1105</v>
      </c>
      <c r="I32" s="164"/>
      <c r="J32" s="104"/>
      <c r="K32" s="138"/>
      <c r="L32" s="282"/>
      <c r="M32" s="363"/>
      <c r="N32" s="363"/>
      <c r="O32" s="145">
        <v>1.0</v>
      </c>
      <c r="P32" s="145">
        <v>1.0</v>
      </c>
      <c r="Q32" s="145">
        <v>1.0</v>
      </c>
      <c r="R32" s="100"/>
      <c r="S32" s="100"/>
      <c r="T32" s="100"/>
      <c r="U32" s="166" t="s">
        <v>69</v>
      </c>
      <c r="V32" s="100"/>
    </row>
    <row r="33" outlineLevel="1">
      <c r="A33" s="156"/>
      <c r="B33" s="147" t="s">
        <v>84</v>
      </c>
      <c r="C33" s="245" t="s">
        <v>1106</v>
      </c>
      <c r="D33" s="107"/>
      <c r="E33" s="245" t="s">
        <v>86</v>
      </c>
      <c r="F33" s="138">
        <v>7.199999999999999</v>
      </c>
      <c r="G33" s="450" t="s">
        <v>275</v>
      </c>
      <c r="H33" s="106"/>
      <c r="I33" s="168"/>
      <c r="J33" s="107"/>
      <c r="K33" s="282"/>
      <c r="L33" s="282"/>
      <c r="M33" s="363"/>
      <c r="N33" s="363"/>
      <c r="O33" s="145">
        <v>1.0</v>
      </c>
      <c r="P33" s="145">
        <v>1.0</v>
      </c>
      <c r="Q33" s="145">
        <v>1.0</v>
      </c>
      <c r="R33" s="100"/>
      <c r="S33" s="100"/>
      <c r="T33" s="100"/>
      <c r="U33" s="156"/>
      <c r="V33" s="100"/>
    </row>
    <row r="34" outlineLevel="1">
      <c r="A34" s="133" t="s">
        <v>89</v>
      </c>
      <c r="B34" s="147" t="s">
        <v>276</v>
      </c>
      <c r="C34" s="191" t="s">
        <v>975</v>
      </c>
      <c r="D34" s="191" t="s">
        <v>99</v>
      </c>
      <c r="E34" s="214" t="s">
        <v>1107</v>
      </c>
      <c r="F34" s="138" t="s">
        <v>1108</v>
      </c>
      <c r="G34" s="216" t="s">
        <v>552</v>
      </c>
      <c r="H34" s="368"/>
      <c r="I34" s="164"/>
      <c r="J34" s="104"/>
      <c r="K34" s="138"/>
      <c r="L34" s="282"/>
      <c r="M34" s="363"/>
      <c r="N34" s="363"/>
      <c r="O34" s="145">
        <v>0.0</v>
      </c>
      <c r="P34" s="145">
        <v>1.0</v>
      </c>
      <c r="Q34" s="145">
        <v>1.0</v>
      </c>
      <c r="R34" s="100"/>
      <c r="S34" s="100"/>
      <c r="T34" s="100"/>
      <c r="U34" s="166" t="s">
        <v>96</v>
      </c>
      <c r="V34" s="100"/>
    </row>
    <row r="35" outlineLevel="1">
      <c r="A35" s="146"/>
      <c r="B35" s="147" t="s">
        <v>279</v>
      </c>
      <c r="C35" s="210"/>
      <c r="D35" s="210"/>
      <c r="E35" s="214" t="s">
        <v>1109</v>
      </c>
      <c r="F35" s="138" t="s">
        <v>1110</v>
      </c>
      <c r="G35" s="216" t="s">
        <v>559</v>
      </c>
      <c r="H35" s="212"/>
      <c r="J35" s="210"/>
      <c r="K35" s="138"/>
      <c r="L35" s="282"/>
      <c r="M35" s="363"/>
      <c r="N35" s="363"/>
      <c r="O35" s="145">
        <v>0.0</v>
      </c>
      <c r="P35" s="145">
        <v>1.0</v>
      </c>
      <c r="Q35" s="145">
        <v>1.0</v>
      </c>
      <c r="R35" s="100"/>
      <c r="S35" s="100"/>
      <c r="T35" s="100"/>
      <c r="U35" s="146"/>
      <c r="V35" s="100"/>
    </row>
    <row r="36" outlineLevel="1">
      <c r="A36" s="156"/>
      <c r="B36" s="147" t="s">
        <v>280</v>
      </c>
      <c r="C36" s="107"/>
      <c r="D36" s="107"/>
      <c r="E36" s="214" t="s">
        <v>1107</v>
      </c>
      <c r="F36" s="138" t="s">
        <v>1108</v>
      </c>
      <c r="G36" s="216" t="s">
        <v>552</v>
      </c>
      <c r="H36" s="106"/>
      <c r="I36" s="168"/>
      <c r="J36" s="107"/>
      <c r="K36" s="282"/>
      <c r="L36" s="282"/>
      <c r="M36" s="363"/>
      <c r="N36" s="363"/>
      <c r="O36" s="145">
        <v>0.0</v>
      </c>
      <c r="P36" s="145">
        <v>1.0</v>
      </c>
      <c r="Q36" s="145">
        <v>1.0</v>
      </c>
      <c r="R36" s="100"/>
      <c r="S36" s="100"/>
      <c r="T36" s="100"/>
      <c r="U36" s="156"/>
      <c r="V36" s="100"/>
    </row>
    <row r="37" outlineLevel="1">
      <c r="A37" s="133" t="s">
        <v>97</v>
      </c>
      <c r="B37" s="147" t="s">
        <v>350</v>
      </c>
      <c r="C37" s="826" t="s">
        <v>1111</v>
      </c>
      <c r="D37" s="826" t="s">
        <v>224</v>
      </c>
      <c r="E37" s="191" t="s">
        <v>232</v>
      </c>
      <c r="F37" s="866">
        <v>13.2</v>
      </c>
      <c r="G37" s="195" t="s">
        <v>121</v>
      </c>
      <c r="H37" s="386" t="s">
        <v>1112</v>
      </c>
      <c r="I37" s="164"/>
      <c r="J37" s="104"/>
      <c r="K37" s="282"/>
      <c r="L37" s="282"/>
      <c r="M37" s="363"/>
      <c r="N37" s="363"/>
      <c r="O37" s="145">
        <v>0.0</v>
      </c>
      <c r="P37" s="145">
        <v>1.0</v>
      </c>
      <c r="Q37" s="145">
        <v>1.0</v>
      </c>
      <c r="R37" s="100"/>
      <c r="S37" s="100"/>
      <c r="T37" s="100"/>
      <c r="U37" s="166" t="s">
        <v>69</v>
      </c>
      <c r="V37" s="100"/>
    </row>
    <row r="38" outlineLevel="1">
      <c r="A38" s="156"/>
      <c r="B38" s="147" t="s">
        <v>356</v>
      </c>
      <c r="C38" s="107"/>
      <c r="D38" s="107"/>
      <c r="E38" s="107"/>
      <c r="F38" s="156"/>
      <c r="G38" s="107"/>
      <c r="H38" s="106"/>
      <c r="I38" s="168"/>
      <c r="J38" s="107"/>
      <c r="K38" s="282"/>
      <c r="L38" s="282"/>
      <c r="M38" s="363"/>
      <c r="N38" s="363"/>
      <c r="O38" s="768">
        <v>0.0</v>
      </c>
      <c r="P38" s="769">
        <v>1.0</v>
      </c>
      <c r="Q38" s="769">
        <v>1.0</v>
      </c>
      <c r="R38" s="100"/>
      <c r="S38" s="100"/>
      <c r="T38" s="100"/>
      <c r="U38" s="156"/>
      <c r="V38" s="100"/>
    </row>
    <row r="39" outlineLevel="1">
      <c r="A39" s="170" t="s">
        <v>103</v>
      </c>
      <c r="B39" s="160"/>
      <c r="C39" s="214" t="s">
        <v>299</v>
      </c>
      <c r="D39" s="214" t="s">
        <v>218</v>
      </c>
      <c r="E39" s="214" t="s">
        <v>128</v>
      </c>
      <c r="F39" s="246">
        <v>12.0</v>
      </c>
      <c r="G39" s="216" t="s">
        <v>121</v>
      </c>
      <c r="H39" s="366"/>
      <c r="I39" s="110"/>
      <c r="J39" s="109"/>
      <c r="K39" s="145"/>
      <c r="L39" s="363"/>
      <c r="M39" s="363"/>
      <c r="N39" s="363"/>
      <c r="O39" s="867">
        <v>0.0</v>
      </c>
      <c r="P39" s="868">
        <v>1.0</v>
      </c>
      <c r="Q39" s="868">
        <v>1.0</v>
      </c>
      <c r="R39" s="100"/>
      <c r="S39" s="100"/>
      <c r="T39" s="100"/>
      <c r="U39" s="145" t="s">
        <v>69</v>
      </c>
      <c r="V39" s="100"/>
    </row>
    <row r="40" outlineLevel="1">
      <c r="A40" s="133" t="s">
        <v>109</v>
      </c>
      <c r="B40" s="510" t="s">
        <v>276</v>
      </c>
      <c r="C40" s="191" t="s">
        <v>667</v>
      </c>
      <c r="D40" s="191" t="s">
        <v>462</v>
      </c>
      <c r="E40" s="214" t="s">
        <v>718</v>
      </c>
      <c r="F40" s="246">
        <v>24.0</v>
      </c>
      <c r="G40" s="214" t="s">
        <v>297</v>
      </c>
      <c r="H40" s="395" t="s">
        <v>1113</v>
      </c>
      <c r="I40" s="164"/>
      <c r="J40" s="104"/>
      <c r="K40" s="282"/>
      <c r="L40" s="282"/>
      <c r="M40" s="363"/>
      <c r="N40" s="363"/>
      <c r="O40" s="145">
        <v>0.0</v>
      </c>
      <c r="P40" s="145">
        <v>1.0</v>
      </c>
      <c r="Q40" s="145">
        <v>1.0</v>
      </c>
      <c r="R40" s="100"/>
      <c r="S40" s="100"/>
      <c r="T40" s="100"/>
      <c r="U40" s="166" t="s">
        <v>69</v>
      </c>
      <c r="V40" s="100"/>
    </row>
    <row r="41" outlineLevel="1">
      <c r="A41" s="146"/>
      <c r="B41" s="147" t="s">
        <v>279</v>
      </c>
      <c r="C41" s="210"/>
      <c r="D41" s="210"/>
      <c r="E41" s="214" t="s">
        <v>296</v>
      </c>
      <c r="F41" s="246">
        <v>22.8</v>
      </c>
      <c r="G41" s="214" t="s">
        <v>297</v>
      </c>
      <c r="H41" s="212"/>
      <c r="J41" s="210"/>
      <c r="K41" s="282"/>
      <c r="L41" s="282"/>
      <c r="M41" s="363"/>
      <c r="N41" s="363"/>
      <c r="O41" s="145">
        <v>0.0</v>
      </c>
      <c r="P41" s="145">
        <v>1.0</v>
      </c>
      <c r="Q41" s="145">
        <v>1.0</v>
      </c>
      <c r="R41" s="100"/>
      <c r="S41" s="100"/>
      <c r="T41" s="100"/>
      <c r="U41" s="146"/>
      <c r="V41" s="100"/>
    </row>
    <row r="42" outlineLevel="1">
      <c r="A42" s="156"/>
      <c r="B42" s="147" t="s">
        <v>280</v>
      </c>
      <c r="C42" s="107"/>
      <c r="D42" s="107"/>
      <c r="E42" s="214" t="s">
        <v>718</v>
      </c>
      <c r="F42" s="246">
        <v>24.0</v>
      </c>
      <c r="G42" s="214" t="s">
        <v>297</v>
      </c>
      <c r="H42" s="106"/>
      <c r="I42" s="168"/>
      <c r="J42" s="107"/>
      <c r="K42" s="282"/>
      <c r="L42" s="282"/>
      <c r="M42" s="363"/>
      <c r="N42" s="363"/>
      <c r="O42" s="145">
        <v>0.0</v>
      </c>
      <c r="P42" s="145">
        <v>1.0</v>
      </c>
      <c r="Q42" s="145">
        <v>1.0</v>
      </c>
      <c r="R42" s="100"/>
      <c r="S42" s="100"/>
      <c r="T42" s="100"/>
      <c r="U42" s="156"/>
      <c r="V42" s="100"/>
    </row>
    <row r="43" outlineLevel="1">
      <c r="A43" s="133" t="s">
        <v>116</v>
      </c>
      <c r="B43" s="147" t="s">
        <v>125</v>
      </c>
      <c r="C43" s="214" t="s">
        <v>1114</v>
      </c>
      <c r="D43" s="191" t="s">
        <v>146</v>
      </c>
      <c r="E43" s="214" t="s">
        <v>1115</v>
      </c>
      <c r="F43" s="246" t="s">
        <v>1116</v>
      </c>
      <c r="G43" s="214" t="s">
        <v>1117</v>
      </c>
      <c r="H43" s="395" t="s">
        <v>1118</v>
      </c>
      <c r="I43" s="164"/>
      <c r="J43" s="104"/>
      <c r="K43" s="363"/>
      <c r="L43" s="363"/>
      <c r="M43" s="363"/>
      <c r="N43" s="363"/>
      <c r="O43" s="145">
        <v>0.0</v>
      </c>
      <c r="P43" s="145">
        <v>1.0</v>
      </c>
      <c r="Q43" s="145">
        <v>1.0</v>
      </c>
      <c r="R43" s="100"/>
      <c r="S43" s="100"/>
      <c r="T43" s="100"/>
      <c r="U43" s="166" t="s">
        <v>62</v>
      </c>
      <c r="V43" s="100"/>
    </row>
    <row r="44" outlineLevel="1">
      <c r="A44" s="146"/>
      <c r="B44" s="147" t="s">
        <v>430</v>
      </c>
      <c r="C44" s="214" t="s">
        <v>173</v>
      </c>
      <c r="D44" s="210"/>
      <c r="E44" s="214" t="s">
        <v>1115</v>
      </c>
      <c r="F44" s="246" t="s">
        <v>1116</v>
      </c>
      <c r="G44" s="214" t="s">
        <v>1117</v>
      </c>
      <c r="H44" s="212"/>
      <c r="J44" s="210"/>
      <c r="K44" s="363"/>
      <c r="L44" s="363"/>
      <c r="M44" s="363"/>
      <c r="N44" s="363"/>
      <c r="O44" s="145"/>
      <c r="P44" s="145"/>
      <c r="Q44" s="145"/>
      <c r="R44" s="100"/>
      <c r="S44" s="100"/>
      <c r="T44" s="100"/>
      <c r="U44" s="146"/>
      <c r="V44" s="100"/>
    </row>
    <row r="45" outlineLevel="1">
      <c r="A45" s="156"/>
      <c r="B45" s="147" t="s">
        <v>131</v>
      </c>
      <c r="C45" s="214" t="s">
        <v>784</v>
      </c>
      <c r="D45" s="107"/>
      <c r="E45" s="214" t="s">
        <v>119</v>
      </c>
      <c r="F45" s="246">
        <v>16.8</v>
      </c>
      <c r="G45" s="214" t="s">
        <v>121</v>
      </c>
      <c r="H45" s="106"/>
      <c r="I45" s="168"/>
      <c r="J45" s="107"/>
      <c r="K45" s="363"/>
      <c r="L45" s="363"/>
      <c r="M45" s="363"/>
      <c r="N45" s="363"/>
      <c r="O45" s="145">
        <v>0.0</v>
      </c>
      <c r="P45" s="145">
        <v>1.0</v>
      </c>
      <c r="Q45" s="145">
        <v>1.0</v>
      </c>
      <c r="R45" s="100"/>
      <c r="S45" s="100"/>
      <c r="T45" s="100"/>
      <c r="U45" s="156"/>
      <c r="V45" s="100"/>
    </row>
    <row r="46" outlineLevel="1">
      <c r="A46" s="133" t="s">
        <v>124</v>
      </c>
      <c r="B46" s="147" t="s">
        <v>125</v>
      </c>
      <c r="C46" s="214" t="s">
        <v>334</v>
      </c>
      <c r="D46" s="191" t="s">
        <v>541</v>
      </c>
      <c r="E46" s="214" t="s">
        <v>119</v>
      </c>
      <c r="F46" s="246">
        <v>16.8</v>
      </c>
      <c r="G46" s="214" t="s">
        <v>121</v>
      </c>
      <c r="H46" s="395" t="s">
        <v>1119</v>
      </c>
      <c r="I46" s="164"/>
      <c r="J46" s="104"/>
      <c r="K46" s="282"/>
      <c r="L46" s="282"/>
      <c r="M46" s="363"/>
      <c r="N46" s="363"/>
      <c r="O46" s="145">
        <v>0.0</v>
      </c>
      <c r="P46" s="145">
        <v>1.0</v>
      </c>
      <c r="Q46" s="145">
        <v>1.0</v>
      </c>
      <c r="R46" s="100"/>
      <c r="S46" s="100"/>
      <c r="T46" s="100"/>
      <c r="U46" s="166" t="s">
        <v>69</v>
      </c>
      <c r="V46" s="100"/>
    </row>
    <row r="47" outlineLevel="1">
      <c r="A47" s="156"/>
      <c r="B47" s="147" t="s">
        <v>131</v>
      </c>
      <c r="C47" s="214" t="s">
        <v>433</v>
      </c>
      <c r="D47" s="107"/>
      <c r="E47" s="214" t="s">
        <v>466</v>
      </c>
      <c r="F47" s="246">
        <v>21.599999999999998</v>
      </c>
      <c r="G47" s="214" t="s">
        <v>407</v>
      </c>
      <c r="H47" s="106"/>
      <c r="I47" s="168"/>
      <c r="J47" s="107"/>
      <c r="K47" s="282"/>
      <c r="L47" s="282"/>
      <c r="M47" s="363"/>
      <c r="N47" s="363"/>
      <c r="O47" s="145">
        <v>0.0</v>
      </c>
      <c r="P47" s="145">
        <v>1.0</v>
      </c>
      <c r="Q47" s="145">
        <v>1.0</v>
      </c>
      <c r="R47" s="100"/>
      <c r="S47" s="100"/>
      <c r="T47" s="100"/>
      <c r="U47" s="156"/>
      <c r="V47" s="100"/>
    </row>
    <row r="48">
      <c r="A48" s="118"/>
      <c r="B48" s="176"/>
      <c r="C48" s="118"/>
      <c r="D48" s="118"/>
      <c r="E48" s="118"/>
      <c r="F48" s="177"/>
      <c r="G48" s="177"/>
      <c r="H48" s="118"/>
      <c r="I48" s="118"/>
      <c r="J48" s="118"/>
      <c r="K48" s="118"/>
      <c r="L48" s="118"/>
      <c r="M48" s="118"/>
      <c r="N48" s="118"/>
      <c r="O48" s="118"/>
      <c r="P48" s="118"/>
      <c r="Q48" s="118"/>
      <c r="R48" s="118"/>
      <c r="S48" s="118"/>
      <c r="T48" s="118"/>
      <c r="U48" s="118"/>
      <c r="V48" s="118"/>
    </row>
    <row r="49">
      <c r="A49" s="178" t="s">
        <v>133</v>
      </c>
      <c r="B49" s="104"/>
      <c r="C49" s="179"/>
      <c r="D49" s="179"/>
      <c r="E49" s="179"/>
      <c r="F49" s="180"/>
      <c r="G49" s="179"/>
      <c r="H49" s="180"/>
      <c r="I49" s="180"/>
      <c r="J49" s="181"/>
      <c r="K49" s="180"/>
      <c r="L49" s="180"/>
      <c r="M49" s="180"/>
      <c r="N49" s="180"/>
      <c r="O49" s="180"/>
      <c r="P49" s="180"/>
      <c r="Q49" s="180"/>
      <c r="R49" s="180"/>
      <c r="S49" s="180"/>
      <c r="T49" s="180"/>
      <c r="U49" s="180"/>
      <c r="V49" s="180"/>
    </row>
    <row r="50" outlineLevel="1">
      <c r="A50" s="106"/>
      <c r="B50" s="107"/>
      <c r="C50" s="182" t="s">
        <v>48</v>
      </c>
      <c r="D50" s="183" t="s">
        <v>49</v>
      </c>
      <c r="E50" s="182" t="s">
        <v>50</v>
      </c>
      <c r="F50" s="184" t="s">
        <v>51</v>
      </c>
      <c r="G50" s="184" t="s">
        <v>134</v>
      </c>
      <c r="H50" s="185" t="s">
        <v>52</v>
      </c>
      <c r="I50" s="184" t="str">
        <f>'テンプレート'!I56</f>
        <v>着地隙</v>
      </c>
      <c r="J50" s="184" t="s">
        <v>136</v>
      </c>
      <c r="K50" s="184" t="str">
        <f>'テンプレート'!K56</f>
        <v>ベクトル</v>
      </c>
      <c r="L50" s="184" t="str">
        <f>'テンプレート'!L56</f>
        <v>KBG (R.E.)</v>
      </c>
      <c r="M50" s="184" t="str">
        <f>'テンプレート'!M56</f>
        <v>BKB (R.A.)</v>
      </c>
      <c r="N50" s="184" t="str">
        <f>'テンプレート'!N56</f>
        <v>FKB (R.F.)</v>
      </c>
      <c r="O50" s="186" t="str">
        <f>'テンプレート'!O56</f>
        <v>盾削り値</v>
      </c>
      <c r="P50" s="184" t="str">
        <f>'テンプレート'!P56</f>
        <v>ﾋｯﾄｽﾄｯﾌﾟ</v>
      </c>
      <c r="Q50" s="186" t="str">
        <f>'テンプレート'!Q56</f>
        <v>ずらし</v>
      </c>
      <c r="R50" s="372" t="str">
        <f>'テンプレート'!R56</f>
        <v>備考</v>
      </c>
      <c r="S50" s="110"/>
      <c r="T50" s="110"/>
      <c r="U50" s="110"/>
      <c r="V50" s="110"/>
    </row>
    <row r="51" outlineLevel="1">
      <c r="A51" s="188" t="s">
        <v>144</v>
      </c>
      <c r="B51" s="373" t="s">
        <v>125</v>
      </c>
      <c r="C51" s="244" t="s">
        <v>319</v>
      </c>
      <c r="D51" s="191" t="s">
        <v>118</v>
      </c>
      <c r="E51" s="617" t="s">
        <v>73</v>
      </c>
      <c r="F51" s="618">
        <v>4.8</v>
      </c>
      <c r="G51" s="618">
        <v>4.08</v>
      </c>
      <c r="H51" s="138" t="s">
        <v>60</v>
      </c>
      <c r="I51" s="454" t="str">
        <f t="array" ref="I51">INDEX('空中攻撃'!$O$3:$AA$109, MATCH($A$1,'空中攻撃'!$A$3:$A$109,0), MATCH(A51,'空中攻撃'!$O$2:$S$2,0))</f>
        <v>7</v>
      </c>
      <c r="J51" s="455" t="s">
        <v>830</v>
      </c>
      <c r="K51" s="138"/>
      <c r="L51" s="282"/>
      <c r="M51" s="363"/>
      <c r="N51" s="363"/>
      <c r="O51" s="145">
        <v>0.0</v>
      </c>
      <c r="P51" s="145">
        <v>1.0</v>
      </c>
      <c r="Q51" s="145">
        <v>1.0</v>
      </c>
      <c r="R51" s="163"/>
      <c r="S51" s="164"/>
      <c r="T51" s="164"/>
      <c r="U51" s="164"/>
      <c r="V51" s="104"/>
    </row>
    <row r="52" outlineLevel="1">
      <c r="A52" s="156"/>
      <c r="B52" s="373" t="s">
        <v>131</v>
      </c>
      <c r="C52" s="244" t="s">
        <v>721</v>
      </c>
      <c r="D52" s="107"/>
      <c r="E52" s="244" t="s">
        <v>86</v>
      </c>
      <c r="F52" s="246">
        <v>7.199999999999999</v>
      </c>
      <c r="G52" s="246">
        <v>6.12</v>
      </c>
      <c r="H52" s="138" t="s">
        <v>60</v>
      </c>
      <c r="I52" s="156"/>
      <c r="J52" s="107"/>
      <c r="K52" s="138"/>
      <c r="L52" s="282"/>
      <c r="M52" s="363"/>
      <c r="N52" s="363"/>
      <c r="O52" s="145">
        <v>0.0</v>
      </c>
      <c r="P52" s="145">
        <v>1.0</v>
      </c>
      <c r="Q52" s="145">
        <v>1.0</v>
      </c>
      <c r="R52" s="106"/>
      <c r="S52" s="168"/>
      <c r="T52" s="168"/>
      <c r="U52" s="168"/>
      <c r="V52" s="107"/>
    </row>
    <row r="53" outlineLevel="1">
      <c r="A53" s="188" t="s">
        <v>151</v>
      </c>
      <c r="B53" s="373"/>
      <c r="C53" s="244" t="s">
        <v>119</v>
      </c>
      <c r="D53" s="207">
        <v>45.0</v>
      </c>
      <c r="E53" s="244" t="s">
        <v>1120</v>
      </c>
      <c r="F53" s="246" t="s">
        <v>1121</v>
      </c>
      <c r="G53" s="246" t="s">
        <v>1122</v>
      </c>
      <c r="H53" s="138" t="s">
        <v>1123</v>
      </c>
      <c r="I53" s="454" t="str">
        <f t="array" ref="I53">INDEX('空中攻撃'!$O$3:$AA$109, MATCH($A$1,'空中攻撃'!$A$3:$A$109,0), MATCH(A53,'空中攻撃'!$O$2:$S$2,0))</f>
        <v>18</v>
      </c>
      <c r="J53" s="455" t="s">
        <v>1124</v>
      </c>
      <c r="K53" s="138"/>
      <c r="L53" s="282"/>
      <c r="M53" s="363"/>
      <c r="N53" s="363"/>
      <c r="O53" s="145">
        <v>0.0</v>
      </c>
      <c r="P53" s="145">
        <v>1.0</v>
      </c>
      <c r="Q53" s="145">
        <v>1.0</v>
      </c>
      <c r="R53" s="163" t="s">
        <v>1125</v>
      </c>
      <c r="S53" s="164"/>
      <c r="T53" s="164"/>
      <c r="U53" s="164"/>
      <c r="V53" s="104"/>
    </row>
    <row r="54" outlineLevel="1">
      <c r="A54" s="156"/>
      <c r="B54" s="373" t="s">
        <v>84</v>
      </c>
      <c r="C54" s="244" t="s">
        <v>1126</v>
      </c>
      <c r="D54" s="107"/>
      <c r="E54" s="244" t="s">
        <v>204</v>
      </c>
      <c r="F54" s="246">
        <v>3.5999999999999996</v>
      </c>
      <c r="G54" s="246">
        <v>3.06</v>
      </c>
      <c r="H54" s="138" t="s">
        <v>170</v>
      </c>
      <c r="I54" s="156"/>
      <c r="J54" s="107"/>
      <c r="K54" s="138"/>
      <c r="L54" s="282"/>
      <c r="M54" s="363"/>
      <c r="N54" s="363"/>
      <c r="O54" s="145">
        <v>0.0</v>
      </c>
      <c r="P54" s="145">
        <v>1.0</v>
      </c>
      <c r="Q54" s="145">
        <v>1.0</v>
      </c>
      <c r="R54" s="106"/>
      <c r="S54" s="168"/>
      <c r="T54" s="168"/>
      <c r="U54" s="168"/>
      <c r="V54" s="107"/>
    </row>
    <row r="55" outlineLevel="1">
      <c r="A55" s="188" t="s">
        <v>157</v>
      </c>
      <c r="B55" s="373"/>
      <c r="C55" s="244" t="s">
        <v>223</v>
      </c>
      <c r="D55" s="207">
        <v>35.0</v>
      </c>
      <c r="E55" s="244" t="s">
        <v>228</v>
      </c>
      <c r="F55" s="246">
        <v>15.6</v>
      </c>
      <c r="G55" s="246">
        <v>13.26</v>
      </c>
      <c r="H55" s="138" t="s">
        <v>75</v>
      </c>
      <c r="I55" s="454">
        <f t="array" ref="I55">INDEX('空中攻撃'!$O$3:$AA$109, MATCH($A$1,'空中攻撃'!$A$3:$A$109,0), MATCH(A55,'空中攻撃'!$O$2:$S$2,0))</f>
        <v>10</v>
      </c>
      <c r="J55" s="455" t="s">
        <v>1127</v>
      </c>
      <c r="K55" s="138"/>
      <c r="L55" s="282"/>
      <c r="M55" s="363"/>
      <c r="N55" s="363"/>
      <c r="O55" s="145">
        <v>0.0</v>
      </c>
      <c r="P55" s="145">
        <v>1.0</v>
      </c>
      <c r="Q55" s="145">
        <v>1.0</v>
      </c>
      <c r="R55" s="163"/>
      <c r="S55" s="164"/>
      <c r="T55" s="164"/>
      <c r="U55" s="164"/>
      <c r="V55" s="104"/>
    </row>
    <row r="56" outlineLevel="1">
      <c r="A56" s="156"/>
      <c r="B56" s="373" t="s">
        <v>84</v>
      </c>
      <c r="C56" s="244" t="s">
        <v>1128</v>
      </c>
      <c r="D56" s="107"/>
      <c r="E56" s="244" t="s">
        <v>80</v>
      </c>
      <c r="F56" s="246">
        <v>9.6</v>
      </c>
      <c r="G56" s="246">
        <v>8.16</v>
      </c>
      <c r="H56" s="138" t="s">
        <v>147</v>
      </c>
      <c r="I56" s="156"/>
      <c r="J56" s="107"/>
      <c r="K56" s="138"/>
      <c r="L56" s="282"/>
      <c r="M56" s="363"/>
      <c r="N56" s="363"/>
      <c r="O56" s="145">
        <v>0.0</v>
      </c>
      <c r="P56" s="145">
        <v>1.0</v>
      </c>
      <c r="Q56" s="145">
        <v>1.0</v>
      </c>
      <c r="R56" s="106"/>
      <c r="S56" s="168"/>
      <c r="T56" s="168"/>
      <c r="U56" s="168"/>
      <c r="V56" s="107"/>
    </row>
    <row r="57" outlineLevel="1">
      <c r="A57" s="188" t="s">
        <v>162</v>
      </c>
      <c r="B57" s="373"/>
      <c r="C57" s="244" t="s">
        <v>975</v>
      </c>
      <c r="D57" s="191" t="s">
        <v>271</v>
      </c>
      <c r="E57" s="244" t="s">
        <v>1129</v>
      </c>
      <c r="F57" s="246" t="s">
        <v>1130</v>
      </c>
      <c r="G57" s="246" t="s">
        <v>1131</v>
      </c>
      <c r="H57" s="138" t="s">
        <v>1132</v>
      </c>
      <c r="I57" s="454" t="str">
        <f t="array" ref="I57">INDEX('空中攻撃'!$O$3:$AA$109, MATCH($A$1,'空中攻撃'!$A$3:$A$109,0), MATCH(A57,'空中攻撃'!$O$2:$S$2,0))</f>
        <v>10</v>
      </c>
      <c r="J57" s="455" t="s">
        <v>1133</v>
      </c>
      <c r="K57" s="282"/>
      <c r="L57" s="282"/>
      <c r="M57" s="363"/>
      <c r="N57" s="363"/>
      <c r="O57" s="145">
        <v>0.0</v>
      </c>
      <c r="P57" s="145">
        <v>1.0</v>
      </c>
      <c r="Q57" s="145">
        <v>1.0</v>
      </c>
      <c r="R57" s="163"/>
      <c r="S57" s="164"/>
      <c r="T57" s="164"/>
      <c r="U57" s="164"/>
      <c r="V57" s="104"/>
    </row>
    <row r="58" outlineLevel="1">
      <c r="A58" s="156"/>
      <c r="B58" s="373" t="s">
        <v>84</v>
      </c>
      <c r="C58" s="244" t="s">
        <v>299</v>
      </c>
      <c r="D58" s="107"/>
      <c r="E58" s="244" t="s">
        <v>1134</v>
      </c>
      <c r="F58" s="246" t="s">
        <v>1135</v>
      </c>
      <c r="G58" s="246" t="s">
        <v>1136</v>
      </c>
      <c r="H58" s="138" t="s">
        <v>1132</v>
      </c>
      <c r="I58" s="156"/>
      <c r="J58" s="107"/>
      <c r="K58" s="282"/>
      <c r="L58" s="282"/>
      <c r="M58" s="363"/>
      <c r="N58" s="363"/>
      <c r="O58" s="145">
        <v>0.0</v>
      </c>
      <c r="P58" s="145">
        <v>1.0</v>
      </c>
      <c r="Q58" s="145">
        <v>1.0</v>
      </c>
      <c r="R58" s="106"/>
      <c r="S58" s="168"/>
      <c r="T58" s="168"/>
      <c r="U58" s="168"/>
      <c r="V58" s="107"/>
    </row>
    <row r="59" outlineLevel="1">
      <c r="A59" s="213" t="s">
        <v>166</v>
      </c>
      <c r="B59" s="373"/>
      <c r="C59" s="244" t="s">
        <v>1137</v>
      </c>
      <c r="D59" s="620">
        <v>44.0</v>
      </c>
      <c r="E59" s="244" t="s">
        <v>119</v>
      </c>
      <c r="F59" s="138">
        <v>16.8</v>
      </c>
      <c r="G59" s="138">
        <v>14.280000000000001</v>
      </c>
      <c r="H59" s="138" t="s">
        <v>75</v>
      </c>
      <c r="I59" s="621">
        <f t="array" ref="I59">INDEX('空中攻撃'!$O$3:$AA$109, MATCH($A$1,'空中攻撃'!$A$3:$A$109,0), MATCH(A59,'空中攻撃'!$O$2:$S$2,0))</f>
        <v>12</v>
      </c>
      <c r="J59" s="467" t="s">
        <v>1138</v>
      </c>
      <c r="K59" s="282"/>
      <c r="L59" s="282"/>
      <c r="M59" s="363"/>
      <c r="N59" s="363"/>
      <c r="O59" s="145">
        <v>0.0</v>
      </c>
      <c r="P59" s="145">
        <v>1.0</v>
      </c>
      <c r="Q59" s="145">
        <v>1.0</v>
      </c>
      <c r="R59" s="151"/>
      <c r="S59" s="110"/>
      <c r="T59" s="110"/>
      <c r="U59" s="110"/>
      <c r="V59" s="109"/>
    </row>
    <row r="60">
      <c r="A60" s="223"/>
      <c r="B60" s="224"/>
      <c r="C60" s="225"/>
      <c r="D60" s="225"/>
      <c r="E60" s="226"/>
      <c r="F60" s="226"/>
      <c r="G60" s="226"/>
      <c r="H60" s="227"/>
      <c r="I60" s="227"/>
      <c r="J60" s="228"/>
      <c r="K60" s="228"/>
      <c r="L60" s="228"/>
      <c r="M60" s="228"/>
      <c r="N60" s="228"/>
      <c r="O60" s="228"/>
      <c r="P60" s="228"/>
      <c r="Q60" s="118"/>
      <c r="R60" s="118"/>
      <c r="S60" s="118"/>
      <c r="T60" s="118"/>
      <c r="U60" s="118"/>
      <c r="V60" s="118"/>
    </row>
    <row r="61">
      <c r="A61" s="229" t="str">
        <f>'テンプレート'!A71</f>
        <v>必殺ワザ</v>
      </c>
      <c r="B61" s="109"/>
      <c r="C61" s="225"/>
      <c r="D61" s="225"/>
      <c r="E61" s="226"/>
      <c r="F61" s="226"/>
      <c r="G61" s="226"/>
      <c r="H61" s="227"/>
      <c r="I61" s="227"/>
      <c r="J61" s="228"/>
      <c r="K61" s="228"/>
      <c r="L61" s="228"/>
      <c r="M61" s="228"/>
      <c r="N61" s="228"/>
      <c r="O61" s="228"/>
      <c r="P61" s="228"/>
      <c r="Q61" s="118"/>
      <c r="R61" s="118"/>
      <c r="S61" s="118"/>
      <c r="T61" s="118"/>
      <c r="U61" s="118"/>
      <c r="V61" s="118"/>
    </row>
    <row r="62" outlineLevel="1">
      <c r="A62" s="230" t="s">
        <v>1139</v>
      </c>
      <c r="B62" s="109"/>
      <c r="C62" s="231" t="s">
        <v>48</v>
      </c>
      <c r="D62" s="231" t="s">
        <v>49</v>
      </c>
      <c r="E62" s="232" t="s">
        <v>50</v>
      </c>
      <c r="F62" s="233" t="s">
        <v>51</v>
      </c>
      <c r="G62" s="232" t="s">
        <v>52</v>
      </c>
      <c r="H62" s="382"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236" t="s">
        <v>183</v>
      </c>
    </row>
    <row r="63" outlineLevel="1">
      <c r="A63" s="237" t="s">
        <v>332</v>
      </c>
      <c r="B63" s="243"/>
      <c r="C63" s="244" t="s">
        <v>1140</v>
      </c>
      <c r="D63" s="244" t="s">
        <v>1141</v>
      </c>
      <c r="E63" s="239" t="s">
        <v>92</v>
      </c>
      <c r="F63" s="138">
        <v>30.0</v>
      </c>
      <c r="G63" s="239" t="s">
        <v>348</v>
      </c>
      <c r="H63" s="163" t="s">
        <v>1142</v>
      </c>
      <c r="I63" s="164"/>
      <c r="J63" s="104"/>
      <c r="K63" s="282"/>
      <c r="L63" s="282"/>
      <c r="M63" s="363"/>
      <c r="N63" s="363"/>
      <c r="O63" s="138">
        <v>0.0</v>
      </c>
      <c r="P63" s="138">
        <v>1.5</v>
      </c>
      <c r="Q63" s="138">
        <v>0.0</v>
      </c>
      <c r="R63" s="145" t="b">
        <v>1</v>
      </c>
      <c r="S63" s="145" t="b">
        <v>1</v>
      </c>
      <c r="T63" s="145"/>
      <c r="U63" s="166" t="b">
        <v>0</v>
      </c>
      <c r="V63" s="166" t="b">
        <v>1</v>
      </c>
    </row>
    <row r="64" outlineLevel="1">
      <c r="A64" s="146"/>
      <c r="B64" s="243" t="s">
        <v>1143</v>
      </c>
      <c r="C64" s="244" t="s">
        <v>1144</v>
      </c>
      <c r="D64" s="244" t="s">
        <v>1145</v>
      </c>
      <c r="E64" s="239" t="s">
        <v>593</v>
      </c>
      <c r="F64" s="138">
        <v>33.6</v>
      </c>
      <c r="G64" s="239" t="s">
        <v>790</v>
      </c>
      <c r="H64" s="212"/>
      <c r="J64" s="210"/>
      <c r="K64" s="282"/>
      <c r="L64" s="282"/>
      <c r="M64" s="363"/>
      <c r="N64" s="363"/>
      <c r="O64" s="138">
        <v>0.0</v>
      </c>
      <c r="P64" s="138">
        <v>1.5</v>
      </c>
      <c r="Q64" s="138">
        <v>0.0</v>
      </c>
      <c r="R64" s="145" t="b">
        <v>1</v>
      </c>
      <c r="S64" s="145" t="b">
        <v>1</v>
      </c>
      <c r="T64" s="145"/>
      <c r="U64" s="146"/>
      <c r="V64" s="146"/>
    </row>
    <row r="65" outlineLevel="1">
      <c r="A65" s="237" t="s">
        <v>344</v>
      </c>
      <c r="B65" s="243"/>
      <c r="C65" s="244" t="s">
        <v>1140</v>
      </c>
      <c r="D65" s="244" t="s">
        <v>1141</v>
      </c>
      <c r="E65" s="239" t="s">
        <v>1114</v>
      </c>
      <c r="F65" s="138">
        <v>26.4</v>
      </c>
      <c r="G65" s="239" t="s">
        <v>811</v>
      </c>
      <c r="H65" s="212"/>
      <c r="J65" s="210"/>
      <c r="K65" s="282"/>
      <c r="L65" s="282"/>
      <c r="M65" s="363"/>
      <c r="N65" s="363"/>
      <c r="O65" s="138">
        <v>0.0</v>
      </c>
      <c r="P65" s="138">
        <v>1.5</v>
      </c>
      <c r="Q65" s="138">
        <v>0.0</v>
      </c>
      <c r="R65" s="145" t="b">
        <v>1</v>
      </c>
      <c r="S65" s="145" t="b">
        <v>0</v>
      </c>
      <c r="T65" s="145"/>
      <c r="U65" s="146"/>
      <c r="V65" s="146"/>
    </row>
    <row r="66" outlineLevel="1">
      <c r="A66" s="146"/>
      <c r="B66" s="243" t="s">
        <v>1143</v>
      </c>
      <c r="C66" s="244" t="s">
        <v>1144</v>
      </c>
      <c r="D66" s="244" t="s">
        <v>1145</v>
      </c>
      <c r="E66" s="239" t="s">
        <v>92</v>
      </c>
      <c r="F66" s="138">
        <v>30.0</v>
      </c>
      <c r="G66" s="239" t="s">
        <v>348</v>
      </c>
      <c r="H66" s="106"/>
      <c r="I66" s="168"/>
      <c r="J66" s="107"/>
      <c r="K66" s="282"/>
      <c r="L66" s="282"/>
      <c r="M66" s="363"/>
      <c r="N66" s="363"/>
      <c r="O66" s="138">
        <v>0.0</v>
      </c>
      <c r="P66" s="138">
        <v>1.5</v>
      </c>
      <c r="Q66" s="138">
        <v>0.0</v>
      </c>
      <c r="R66" s="145" t="b">
        <v>1</v>
      </c>
      <c r="S66" s="145" t="b">
        <v>0</v>
      </c>
      <c r="T66" s="145"/>
      <c r="U66" s="156"/>
      <c r="V66" s="156"/>
    </row>
    <row r="67" outlineLevel="1">
      <c r="A67" s="230" t="s">
        <v>1146</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outlineLevel="1">
      <c r="A68" s="237" t="s">
        <v>332</v>
      </c>
      <c r="B68" s="243" t="s">
        <v>1147</v>
      </c>
      <c r="C68" s="244" t="s">
        <v>85</v>
      </c>
      <c r="D68" s="244" t="s">
        <v>765</v>
      </c>
      <c r="E68" s="244" t="s">
        <v>209</v>
      </c>
      <c r="F68" s="246">
        <v>0.0</v>
      </c>
      <c r="G68" s="822"/>
      <c r="H68" s="660" t="s">
        <v>1148</v>
      </c>
      <c r="I68" s="164"/>
      <c r="J68" s="164"/>
      <c r="K68" s="282"/>
      <c r="L68" s="282"/>
      <c r="M68" s="363"/>
      <c r="N68" s="363"/>
      <c r="O68" s="138">
        <v>0.0</v>
      </c>
      <c r="P68" s="138">
        <v>1.0</v>
      </c>
      <c r="Q68" s="138">
        <v>1.0</v>
      </c>
      <c r="R68" s="145" t="b">
        <v>1</v>
      </c>
      <c r="S68" s="145" t="b">
        <v>1</v>
      </c>
      <c r="T68" s="145"/>
      <c r="U68" s="166" t="s">
        <v>186</v>
      </c>
      <c r="V68" s="166" t="b">
        <v>1</v>
      </c>
    </row>
    <row r="69" outlineLevel="1">
      <c r="A69" s="146"/>
      <c r="B69" s="243" t="s">
        <v>243</v>
      </c>
      <c r="C69" s="364" t="s">
        <v>91</v>
      </c>
      <c r="D69" s="364" t="s">
        <v>105</v>
      </c>
      <c r="E69" s="244" t="s">
        <v>128</v>
      </c>
      <c r="F69" s="246">
        <v>12.0</v>
      </c>
      <c r="G69" s="244" t="s">
        <v>121</v>
      </c>
      <c r="H69" s="212"/>
      <c r="K69" s="138"/>
      <c r="L69" s="138"/>
      <c r="M69" s="145"/>
      <c r="N69" s="145"/>
      <c r="O69" s="138">
        <v>4.0</v>
      </c>
      <c r="P69" s="138">
        <v>1.0</v>
      </c>
      <c r="Q69" s="138">
        <v>1.0</v>
      </c>
      <c r="R69" s="145" t="b">
        <v>1</v>
      </c>
      <c r="S69" s="145" t="b">
        <v>1</v>
      </c>
      <c r="T69" s="145"/>
      <c r="U69" s="146"/>
      <c r="V69" s="146"/>
    </row>
    <row r="70" ht="32.25" customHeight="1" outlineLevel="1">
      <c r="A70" s="237" t="s">
        <v>344</v>
      </c>
      <c r="B70" s="243" t="s">
        <v>1147</v>
      </c>
      <c r="C70" s="244" t="s">
        <v>1149</v>
      </c>
      <c r="D70" s="822"/>
      <c r="E70" s="244" t="s">
        <v>209</v>
      </c>
      <c r="F70" s="246">
        <v>0.0</v>
      </c>
      <c r="G70" s="822"/>
      <c r="H70" s="395" t="s">
        <v>1150</v>
      </c>
      <c r="I70" s="164"/>
      <c r="J70" s="164"/>
      <c r="K70" s="138"/>
      <c r="L70" s="138"/>
      <c r="M70" s="145"/>
      <c r="N70" s="145"/>
      <c r="O70" s="138">
        <v>0.0</v>
      </c>
      <c r="P70" s="138">
        <v>1.0</v>
      </c>
      <c r="Q70" s="138">
        <v>1.0</v>
      </c>
      <c r="R70" s="145" t="b">
        <v>0</v>
      </c>
      <c r="S70" s="145" t="b">
        <v>0</v>
      </c>
      <c r="T70" s="145"/>
      <c r="U70" s="146"/>
      <c r="V70" s="146"/>
    </row>
    <row r="71" ht="32.25" customHeight="1" outlineLevel="1">
      <c r="A71" s="146"/>
      <c r="B71" s="243" t="s">
        <v>243</v>
      </c>
      <c r="C71" s="244" t="s">
        <v>267</v>
      </c>
      <c r="D71" s="822"/>
      <c r="E71" s="244" t="s">
        <v>128</v>
      </c>
      <c r="F71" s="246">
        <v>12.0</v>
      </c>
      <c r="G71" s="244" t="s">
        <v>121</v>
      </c>
      <c r="H71" s="212"/>
      <c r="K71" s="138"/>
      <c r="L71" s="138"/>
      <c r="M71" s="145"/>
      <c r="N71" s="145"/>
      <c r="O71" s="138">
        <v>2.0</v>
      </c>
      <c r="P71" s="138">
        <v>1.0</v>
      </c>
      <c r="Q71" s="138">
        <v>1.0</v>
      </c>
      <c r="R71" s="145" t="b">
        <v>1</v>
      </c>
      <c r="S71" s="145" t="b">
        <v>0</v>
      </c>
      <c r="T71" s="145"/>
      <c r="U71" s="156"/>
      <c r="V71" s="156"/>
    </row>
    <row r="72" outlineLevel="1">
      <c r="A72" s="230" t="s">
        <v>1151</v>
      </c>
      <c r="B72" s="109"/>
      <c r="C72" s="231" t="s">
        <v>48</v>
      </c>
      <c r="D72" s="231" t="s">
        <v>49</v>
      </c>
      <c r="E72" s="232" t="s">
        <v>50</v>
      </c>
      <c r="F72" s="233" t="s">
        <v>51</v>
      </c>
      <c r="G72" s="232" t="s">
        <v>52</v>
      </c>
      <c r="H72" s="382"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236" t="s">
        <v>183</v>
      </c>
    </row>
    <row r="73" ht="17.25" customHeight="1" outlineLevel="1">
      <c r="A73" s="546" t="s">
        <v>184</v>
      </c>
      <c r="B73" s="402" t="s">
        <v>1152</v>
      </c>
      <c r="C73" s="239" t="s">
        <v>1153</v>
      </c>
      <c r="D73" s="553"/>
      <c r="E73" s="553"/>
      <c r="F73" s="553"/>
      <c r="G73" s="553"/>
      <c r="H73" s="395" t="s">
        <v>1154</v>
      </c>
      <c r="I73" s="164"/>
      <c r="J73" s="104"/>
      <c r="K73" s="261"/>
      <c r="L73" s="261"/>
      <c r="M73" s="261"/>
      <c r="N73" s="261"/>
      <c r="O73" s="261"/>
      <c r="P73" s="261"/>
      <c r="Q73" s="261"/>
      <c r="R73" s="261"/>
      <c r="S73" s="261"/>
      <c r="T73" s="261"/>
      <c r="U73" s="166" t="s">
        <v>1155</v>
      </c>
      <c r="V73" s="166" t="b">
        <v>1</v>
      </c>
    </row>
    <row r="74" ht="17.25" customHeight="1" outlineLevel="1">
      <c r="A74" s="146"/>
      <c r="B74" s="402" t="s">
        <v>1156</v>
      </c>
      <c r="C74" s="244" t="s">
        <v>204</v>
      </c>
      <c r="D74" s="869" t="s">
        <v>628</v>
      </c>
      <c r="E74" s="244" t="s">
        <v>150</v>
      </c>
      <c r="F74" s="246">
        <v>6.0</v>
      </c>
      <c r="G74" s="553"/>
      <c r="H74" s="212"/>
      <c r="J74" s="210"/>
      <c r="K74" s="138"/>
      <c r="L74" s="138"/>
      <c r="M74" s="145"/>
      <c r="N74" s="145"/>
      <c r="O74" s="138">
        <v>0.0</v>
      </c>
      <c r="P74" s="138">
        <v>1.0</v>
      </c>
      <c r="Q74" s="138">
        <v>1.0</v>
      </c>
      <c r="R74" s="145" t="b">
        <v>0</v>
      </c>
      <c r="S74" s="145" t="b">
        <v>0</v>
      </c>
      <c r="T74" s="145"/>
      <c r="U74" s="146"/>
      <c r="V74" s="146"/>
    </row>
    <row r="75" ht="17.25" customHeight="1" outlineLevel="1">
      <c r="A75" s="156"/>
      <c r="B75" s="402" t="s">
        <v>1157</v>
      </c>
      <c r="C75" s="244" t="s">
        <v>466</v>
      </c>
      <c r="D75" s="156"/>
      <c r="E75" s="244" t="s">
        <v>228</v>
      </c>
      <c r="F75" s="246">
        <v>15.6</v>
      </c>
      <c r="G75" s="553"/>
      <c r="H75" s="106"/>
      <c r="I75" s="168"/>
      <c r="J75" s="107"/>
      <c r="K75" s="138"/>
      <c r="L75" s="138"/>
      <c r="M75" s="145"/>
      <c r="N75" s="145"/>
      <c r="O75" s="138">
        <v>0.0</v>
      </c>
      <c r="P75" s="138">
        <v>1.0</v>
      </c>
      <c r="Q75" s="138">
        <v>1.0</v>
      </c>
      <c r="R75" s="145" t="b">
        <v>0</v>
      </c>
      <c r="S75" s="145" t="b">
        <v>0</v>
      </c>
      <c r="T75" s="145"/>
      <c r="U75" s="156"/>
      <c r="V75" s="156"/>
    </row>
    <row r="76" outlineLevel="1">
      <c r="A76" s="230" t="s">
        <v>1158</v>
      </c>
      <c r="B76" s="109"/>
      <c r="C76" s="231" t="s">
        <v>48</v>
      </c>
      <c r="D76" s="231" t="s">
        <v>49</v>
      </c>
      <c r="E76" s="232" t="s">
        <v>50</v>
      </c>
      <c r="F76" s="233" t="s">
        <v>51</v>
      </c>
      <c r="G76" s="232"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236" t="s">
        <v>183</v>
      </c>
    </row>
    <row r="77" outlineLevel="1">
      <c r="A77" s="396" t="s">
        <v>332</v>
      </c>
      <c r="B77" s="870"/>
      <c r="C77" s="364" t="s">
        <v>1159</v>
      </c>
      <c r="D77" s="826" t="s">
        <v>1160</v>
      </c>
      <c r="E77" s="244" t="s">
        <v>386</v>
      </c>
      <c r="F77" s="246">
        <v>18.0</v>
      </c>
      <c r="G77" s="244" t="s">
        <v>82</v>
      </c>
      <c r="H77" s="871"/>
      <c r="I77" s="164"/>
      <c r="J77" s="104"/>
      <c r="K77" s="138"/>
      <c r="L77" s="138"/>
      <c r="M77" s="145"/>
      <c r="N77" s="145"/>
      <c r="O77" s="138">
        <v>0.0</v>
      </c>
      <c r="P77" s="138">
        <v>1.0</v>
      </c>
      <c r="Q77" s="138">
        <v>1.0</v>
      </c>
      <c r="R77" s="145" t="b">
        <v>1</v>
      </c>
      <c r="S77" s="145" t="b">
        <v>1</v>
      </c>
      <c r="T77" s="145"/>
      <c r="U77" s="166" t="b">
        <v>0</v>
      </c>
      <c r="V77" s="166" t="b">
        <v>0</v>
      </c>
    </row>
    <row r="78" outlineLevel="1">
      <c r="A78" s="146"/>
      <c r="B78" s="402" t="s">
        <v>187</v>
      </c>
      <c r="C78" s="364" t="s">
        <v>1161</v>
      </c>
      <c r="D78" s="210"/>
      <c r="E78" s="244" t="s">
        <v>232</v>
      </c>
      <c r="F78" s="246">
        <v>13.2</v>
      </c>
      <c r="G78" s="244" t="s">
        <v>121</v>
      </c>
      <c r="H78" s="212"/>
      <c r="J78" s="210"/>
      <c r="K78" s="138"/>
      <c r="L78" s="138"/>
      <c r="M78" s="145"/>
      <c r="N78" s="145"/>
      <c r="O78" s="138">
        <v>0.0</v>
      </c>
      <c r="P78" s="138">
        <v>1.0</v>
      </c>
      <c r="Q78" s="138">
        <v>1.0</v>
      </c>
      <c r="R78" s="145" t="b">
        <v>1</v>
      </c>
      <c r="S78" s="145" t="b">
        <v>1</v>
      </c>
      <c r="T78" s="145"/>
      <c r="U78" s="146"/>
      <c r="V78" s="146"/>
    </row>
    <row r="79" outlineLevel="1">
      <c r="A79" s="156"/>
      <c r="B79" s="402" t="s">
        <v>189</v>
      </c>
      <c r="C79" s="364" t="s">
        <v>1162</v>
      </c>
      <c r="D79" s="107"/>
      <c r="E79" s="244" t="s">
        <v>93</v>
      </c>
      <c r="F79" s="246">
        <v>8.4</v>
      </c>
      <c r="G79" s="244" t="s">
        <v>95</v>
      </c>
      <c r="H79" s="106"/>
      <c r="I79" s="168"/>
      <c r="J79" s="107"/>
      <c r="K79" s="138"/>
      <c r="L79" s="138"/>
      <c r="M79" s="145"/>
      <c r="N79" s="145"/>
      <c r="O79" s="138">
        <v>0.0</v>
      </c>
      <c r="P79" s="138">
        <v>1.0</v>
      </c>
      <c r="Q79" s="138">
        <v>1.0</v>
      </c>
      <c r="R79" s="145" t="b">
        <v>1</v>
      </c>
      <c r="S79" s="145" t="b">
        <v>1</v>
      </c>
      <c r="T79" s="145"/>
      <c r="U79" s="146"/>
      <c r="V79" s="146"/>
    </row>
    <row r="80" outlineLevel="1">
      <c r="A80" s="396" t="s">
        <v>344</v>
      </c>
      <c r="B80" s="870"/>
      <c r="C80" s="364" t="s">
        <v>544</v>
      </c>
      <c r="D80" s="869" t="s">
        <v>402</v>
      </c>
      <c r="E80" s="244" t="s">
        <v>386</v>
      </c>
      <c r="F80" s="246">
        <v>18.0</v>
      </c>
      <c r="G80" s="244" t="s">
        <v>82</v>
      </c>
      <c r="H80" s="395" t="s">
        <v>1163</v>
      </c>
      <c r="I80" s="164"/>
      <c r="J80" s="104"/>
      <c r="K80" s="138"/>
      <c r="L80" s="138"/>
      <c r="M80" s="145"/>
      <c r="N80" s="145"/>
      <c r="O80" s="138">
        <v>0.0</v>
      </c>
      <c r="P80" s="138">
        <v>1.0</v>
      </c>
      <c r="Q80" s="138">
        <v>1.0</v>
      </c>
      <c r="R80" s="145" t="b">
        <v>1</v>
      </c>
      <c r="S80" s="145" t="b">
        <v>0</v>
      </c>
      <c r="T80" s="145"/>
      <c r="U80" s="146"/>
      <c r="V80" s="146"/>
    </row>
    <row r="81" outlineLevel="1">
      <c r="A81" s="146"/>
      <c r="B81" s="402" t="s">
        <v>187</v>
      </c>
      <c r="C81" s="364" t="s">
        <v>1164</v>
      </c>
      <c r="D81" s="146"/>
      <c r="E81" s="244" t="s">
        <v>129</v>
      </c>
      <c r="F81" s="246">
        <v>14.399999999999999</v>
      </c>
      <c r="G81" s="244" t="s">
        <v>88</v>
      </c>
      <c r="H81" s="212"/>
      <c r="J81" s="210"/>
      <c r="K81" s="138"/>
      <c r="L81" s="282"/>
      <c r="M81" s="363"/>
      <c r="N81" s="363"/>
      <c r="O81" s="138">
        <v>0.0</v>
      </c>
      <c r="P81" s="138">
        <v>1.0</v>
      </c>
      <c r="Q81" s="138">
        <v>1.0</v>
      </c>
      <c r="R81" s="145" t="b">
        <v>1</v>
      </c>
      <c r="S81" s="145" t="b">
        <v>0</v>
      </c>
      <c r="T81" s="145"/>
      <c r="U81" s="146"/>
      <c r="V81" s="146"/>
    </row>
    <row r="82" outlineLevel="1">
      <c r="A82" s="146"/>
      <c r="B82" s="402" t="s">
        <v>189</v>
      </c>
      <c r="C82" s="364" t="s">
        <v>739</v>
      </c>
      <c r="D82" s="156"/>
      <c r="E82" s="244" t="s">
        <v>274</v>
      </c>
      <c r="F82" s="246">
        <v>10.799999999999999</v>
      </c>
      <c r="G82" s="244" t="s">
        <v>275</v>
      </c>
      <c r="H82" s="212"/>
      <c r="J82" s="210"/>
      <c r="K82" s="138"/>
      <c r="L82" s="282"/>
      <c r="M82" s="363"/>
      <c r="N82" s="363"/>
      <c r="O82" s="138">
        <v>0.0</v>
      </c>
      <c r="P82" s="138">
        <v>1.0</v>
      </c>
      <c r="Q82" s="138">
        <v>1.0</v>
      </c>
      <c r="R82" s="145" t="b">
        <v>1</v>
      </c>
      <c r="S82" s="145" t="b">
        <v>0</v>
      </c>
      <c r="T82" s="145"/>
      <c r="U82" s="146"/>
      <c r="V82" s="146"/>
    </row>
    <row r="83" outlineLevel="1">
      <c r="A83" s="156"/>
      <c r="B83" s="402" t="s">
        <v>174</v>
      </c>
      <c r="C83" s="244" t="s">
        <v>175</v>
      </c>
      <c r="D83" s="244" t="s">
        <v>193</v>
      </c>
      <c r="E83" s="244" t="s">
        <v>274</v>
      </c>
      <c r="F83" s="246">
        <v>10.799999999999999</v>
      </c>
      <c r="G83" s="244" t="s">
        <v>275</v>
      </c>
      <c r="H83" s="106"/>
      <c r="I83" s="168"/>
      <c r="J83" s="107"/>
      <c r="K83" s="138"/>
      <c r="L83" s="282"/>
      <c r="M83" s="363"/>
      <c r="N83" s="363"/>
      <c r="O83" s="138">
        <v>0.0</v>
      </c>
      <c r="P83" s="138">
        <v>1.0</v>
      </c>
      <c r="Q83" s="138">
        <v>1.0</v>
      </c>
      <c r="R83" s="145" t="b">
        <v>1</v>
      </c>
      <c r="S83" s="145" t="b">
        <v>1</v>
      </c>
      <c r="T83" s="145"/>
      <c r="U83" s="156"/>
      <c r="V83" s="156"/>
    </row>
    <row r="84">
      <c r="A84" s="223"/>
      <c r="B84" s="224"/>
      <c r="C84" s="225"/>
      <c r="D84" s="225"/>
      <c r="E84" s="226"/>
      <c r="F84" s="226"/>
      <c r="G84" s="226"/>
      <c r="H84" s="227"/>
      <c r="I84" s="227"/>
      <c r="J84" s="228"/>
      <c r="K84" s="228"/>
      <c r="L84" s="228"/>
      <c r="M84" s="228"/>
      <c r="N84" s="228"/>
      <c r="O84" s="228"/>
      <c r="P84" s="228"/>
      <c r="Q84" s="118"/>
      <c r="R84" s="118"/>
      <c r="S84" s="118"/>
      <c r="T84" s="118"/>
      <c r="U84" s="118"/>
      <c r="V84" s="118"/>
    </row>
    <row r="85">
      <c r="A85" s="264" t="s">
        <v>211</v>
      </c>
      <c r="B85" s="104"/>
      <c r="C85" s="227"/>
      <c r="D85" s="227"/>
      <c r="E85" s="228"/>
      <c r="F85" s="265"/>
      <c r="G85" s="265"/>
      <c r="H85" s="228"/>
      <c r="I85" s="228"/>
      <c r="J85" s="228"/>
      <c r="K85" s="228"/>
      <c r="L85" s="228"/>
      <c r="M85" s="228"/>
      <c r="N85" s="118"/>
      <c r="O85" s="118"/>
      <c r="P85" s="118"/>
      <c r="Q85" s="228"/>
      <c r="R85" s="228"/>
      <c r="S85" s="228"/>
      <c r="T85" s="228"/>
      <c r="U85" s="228"/>
      <c r="V85" s="228"/>
    </row>
    <row r="86" outlineLevel="1">
      <c r="A86" s="106"/>
      <c r="B86" s="107"/>
      <c r="C86" s="266" t="s">
        <v>48</v>
      </c>
      <c r="D86" s="266" t="s">
        <v>49</v>
      </c>
      <c r="E86" s="266" t="s">
        <v>50</v>
      </c>
      <c r="F86" s="267" t="s">
        <v>51</v>
      </c>
      <c r="G86" s="227"/>
      <c r="H86" s="227"/>
      <c r="I86" s="227"/>
      <c r="J86" s="228"/>
      <c r="K86" s="228"/>
      <c r="L86" s="228"/>
      <c r="M86" s="228"/>
      <c r="N86" s="228"/>
      <c r="O86" s="228"/>
      <c r="P86" s="228"/>
      <c r="Q86" s="228"/>
      <c r="R86" s="228"/>
      <c r="S86" s="228"/>
      <c r="T86" s="228"/>
      <c r="U86" s="228"/>
      <c r="V86" s="228"/>
    </row>
    <row r="87" outlineLevel="1">
      <c r="A87" s="268" t="s">
        <v>212</v>
      </c>
      <c r="B87" s="269" t="s">
        <v>212</v>
      </c>
      <c r="C87" s="239" t="s">
        <v>213</v>
      </c>
      <c r="D87" s="239" t="s">
        <v>86</v>
      </c>
      <c r="E87" s="239" t="s">
        <v>214</v>
      </c>
      <c r="F87" s="138">
        <v>1.56</v>
      </c>
      <c r="G87" s="227"/>
      <c r="H87" s="227"/>
      <c r="I87" s="227"/>
      <c r="J87" s="228"/>
      <c r="K87" s="228"/>
      <c r="L87" s="228"/>
      <c r="M87" s="228"/>
      <c r="N87" s="228"/>
      <c r="O87" s="228"/>
      <c r="P87" s="228"/>
      <c r="Q87" s="228"/>
      <c r="R87" s="228"/>
      <c r="S87" s="228"/>
      <c r="T87" s="228"/>
      <c r="U87" s="228"/>
      <c r="V87" s="228"/>
    </row>
    <row r="88" outlineLevel="1">
      <c r="A88" s="270" t="s">
        <v>215</v>
      </c>
      <c r="B88" s="269" t="s">
        <v>216</v>
      </c>
      <c r="C88" s="239" t="s">
        <v>217</v>
      </c>
      <c r="D88" s="239" t="s">
        <v>193</v>
      </c>
      <c r="E88" s="271"/>
      <c r="F88" s="272"/>
      <c r="G88" s="272"/>
      <c r="H88" s="227"/>
      <c r="I88" s="227"/>
      <c r="J88" s="228"/>
      <c r="K88" s="228"/>
      <c r="L88" s="228"/>
      <c r="M88" s="228"/>
      <c r="N88" s="228"/>
      <c r="O88" s="228"/>
      <c r="P88" s="228"/>
      <c r="Q88" s="228"/>
      <c r="R88" s="228"/>
      <c r="S88" s="228"/>
      <c r="T88" s="228"/>
      <c r="U88" s="228"/>
      <c r="V88" s="228"/>
    </row>
    <row r="89" outlineLevel="1">
      <c r="A89" s="212"/>
      <c r="B89" s="269" t="s">
        <v>219</v>
      </c>
      <c r="C89" s="244" t="s">
        <v>220</v>
      </c>
      <c r="D89" s="239" t="s">
        <v>127</v>
      </c>
      <c r="E89" s="271"/>
      <c r="F89" s="272"/>
      <c r="G89" s="272"/>
      <c r="H89" s="227"/>
      <c r="I89" s="227"/>
      <c r="J89" s="228"/>
      <c r="K89" s="228"/>
      <c r="L89" s="228"/>
      <c r="M89" s="228"/>
      <c r="N89" s="228"/>
      <c r="O89" s="228"/>
      <c r="P89" s="228"/>
      <c r="Q89" s="228"/>
      <c r="R89" s="228"/>
      <c r="S89" s="228"/>
      <c r="T89" s="228"/>
      <c r="U89" s="228"/>
      <c r="V89" s="228"/>
    </row>
    <row r="90" outlineLevel="1">
      <c r="A90" s="106"/>
      <c r="B90" s="269" t="s">
        <v>222</v>
      </c>
      <c r="C90" s="239" t="s">
        <v>223</v>
      </c>
      <c r="D90" s="239" t="s">
        <v>282</v>
      </c>
      <c r="E90" s="227"/>
      <c r="F90" s="272"/>
      <c r="G90" s="272"/>
      <c r="H90" s="227"/>
      <c r="I90" s="227"/>
      <c r="J90" s="228"/>
      <c r="K90" s="228"/>
      <c r="L90" s="228"/>
      <c r="M90" s="228"/>
      <c r="N90" s="228"/>
      <c r="O90" s="228"/>
      <c r="P90" s="228"/>
      <c r="Q90" s="228"/>
      <c r="R90" s="228"/>
      <c r="S90" s="228"/>
      <c r="T90" s="228"/>
      <c r="U90" s="228"/>
      <c r="V90" s="228"/>
    </row>
    <row r="91" outlineLevel="1">
      <c r="A91" s="273" t="s">
        <v>225</v>
      </c>
      <c r="B91" s="109"/>
      <c r="C91" s="266" t="s">
        <v>48</v>
      </c>
      <c r="D91" s="266" t="s">
        <v>49</v>
      </c>
      <c r="E91" s="266" t="s">
        <v>50</v>
      </c>
      <c r="F91" s="267" t="s">
        <v>51</v>
      </c>
      <c r="G91" s="274" t="s">
        <v>53</v>
      </c>
      <c r="H91" s="110"/>
      <c r="I91" s="110"/>
      <c r="J91" s="109"/>
      <c r="K91" s="275" t="str">
        <f>'テンプレート'!K97</f>
        <v>ベクトル</v>
      </c>
      <c r="L91" s="275" t="str">
        <f>'テンプレート'!L97</f>
        <v>KBG (R.E.)</v>
      </c>
      <c r="M91" s="275" t="str">
        <f>'テンプレート'!M97</f>
        <v>BKB (R.A.)</v>
      </c>
      <c r="N91" s="275" t="str">
        <f>'テンプレート'!N97</f>
        <v>FKB (R.F.)</v>
      </c>
      <c r="O91" s="276" t="str">
        <f>'テンプレート'!O97</f>
        <v>盾削り値</v>
      </c>
      <c r="P91" s="275" t="str">
        <f>'テンプレート'!P97</f>
        <v>ﾋｯﾄｽﾄｯﾌﾟ</v>
      </c>
      <c r="Q91" s="276" t="str">
        <f>'テンプレート'!Q97</f>
        <v>ずらし</v>
      </c>
      <c r="R91" s="277"/>
      <c r="S91" s="277"/>
      <c r="T91" s="277"/>
      <c r="U91" s="277"/>
      <c r="V91" s="277"/>
    </row>
    <row r="92" outlineLevel="1">
      <c r="A92" s="278" t="s">
        <v>226</v>
      </c>
      <c r="B92" s="269" t="s">
        <v>227</v>
      </c>
      <c r="C92" s="244" t="s">
        <v>299</v>
      </c>
      <c r="D92" s="367">
        <v>32.0</v>
      </c>
      <c r="E92" s="239" t="s">
        <v>651</v>
      </c>
      <c r="F92" s="138">
        <v>4.2</v>
      </c>
      <c r="G92" s="416"/>
      <c r="H92" s="164"/>
      <c r="I92" s="164"/>
      <c r="J92" s="104"/>
      <c r="K92" s="282"/>
      <c r="L92" s="282"/>
      <c r="M92" s="363"/>
      <c r="N92" s="363"/>
      <c r="O92" s="145">
        <v>0.0</v>
      </c>
      <c r="P92" s="145">
        <v>1.0</v>
      </c>
      <c r="Q92" s="145">
        <v>1.0</v>
      </c>
      <c r="R92" s="277"/>
      <c r="S92" s="228"/>
      <c r="T92" s="228"/>
      <c r="U92" s="228"/>
      <c r="V92" s="228"/>
    </row>
    <row r="93" outlineLevel="1">
      <c r="A93" s="156"/>
      <c r="B93" s="269" t="s">
        <v>225</v>
      </c>
      <c r="C93" s="244">
        <v>13.0</v>
      </c>
      <c r="D93" s="156"/>
      <c r="E93" s="239" t="s">
        <v>73</v>
      </c>
      <c r="F93" s="138">
        <v>4.8</v>
      </c>
      <c r="G93" s="106"/>
      <c r="H93" s="168"/>
      <c r="I93" s="168"/>
      <c r="J93" s="107"/>
      <c r="K93" s="282"/>
      <c r="L93" s="282"/>
      <c r="M93" s="363"/>
      <c r="N93" s="363"/>
      <c r="O93" s="261"/>
      <c r="P93" s="261"/>
      <c r="Q93" s="261"/>
      <c r="R93" s="277"/>
      <c r="S93" s="228"/>
      <c r="T93" s="228"/>
      <c r="U93" s="228"/>
      <c r="V93" s="228"/>
    </row>
    <row r="94" outlineLevel="1">
      <c r="A94" s="278" t="s">
        <v>229</v>
      </c>
      <c r="B94" s="269" t="s">
        <v>227</v>
      </c>
      <c r="C94" s="244" t="s">
        <v>129</v>
      </c>
      <c r="D94" s="367">
        <v>45.0</v>
      </c>
      <c r="E94" s="239" t="s">
        <v>651</v>
      </c>
      <c r="F94" s="138">
        <v>4.2</v>
      </c>
      <c r="G94" s="416"/>
      <c r="H94" s="164"/>
      <c r="I94" s="164"/>
      <c r="J94" s="104"/>
      <c r="K94" s="282"/>
      <c r="L94" s="282"/>
      <c r="M94" s="363"/>
      <c r="N94" s="363"/>
      <c r="O94" s="145">
        <v>0.0</v>
      </c>
      <c r="P94" s="145">
        <v>1.0</v>
      </c>
      <c r="Q94" s="145">
        <v>1.0</v>
      </c>
      <c r="R94" s="277"/>
      <c r="S94" s="228"/>
      <c r="T94" s="228"/>
      <c r="U94" s="228"/>
      <c r="V94" s="228"/>
    </row>
    <row r="95" outlineLevel="1">
      <c r="A95" s="156"/>
      <c r="B95" s="269" t="s">
        <v>225</v>
      </c>
      <c r="C95" s="244">
        <v>13.0</v>
      </c>
      <c r="D95" s="156"/>
      <c r="E95" s="239" t="s">
        <v>73</v>
      </c>
      <c r="F95" s="138">
        <v>4.8</v>
      </c>
      <c r="G95" s="106"/>
      <c r="H95" s="168"/>
      <c r="I95" s="168"/>
      <c r="J95" s="107"/>
      <c r="K95" s="282"/>
      <c r="L95" s="282"/>
      <c r="M95" s="363"/>
      <c r="N95" s="363"/>
      <c r="O95" s="261"/>
      <c r="P95" s="261"/>
      <c r="Q95" s="261"/>
      <c r="R95" s="277"/>
      <c r="S95" s="228"/>
      <c r="T95" s="228"/>
      <c r="U95" s="228"/>
      <c r="V95" s="228"/>
    </row>
    <row r="96" outlineLevel="1">
      <c r="A96" s="278" t="s">
        <v>233</v>
      </c>
      <c r="B96" s="269" t="s">
        <v>227</v>
      </c>
      <c r="C96" s="244" t="s">
        <v>373</v>
      </c>
      <c r="D96" s="367" t="s">
        <v>79</v>
      </c>
      <c r="E96" s="239" t="s">
        <v>73</v>
      </c>
      <c r="F96" s="138">
        <v>4.8</v>
      </c>
      <c r="G96" s="416"/>
      <c r="H96" s="164"/>
      <c r="I96" s="164"/>
      <c r="J96" s="104"/>
      <c r="K96" s="282"/>
      <c r="L96" s="282"/>
      <c r="M96" s="363"/>
      <c r="N96" s="363"/>
      <c r="O96" s="145">
        <v>0.0</v>
      </c>
      <c r="P96" s="145">
        <v>1.0</v>
      </c>
      <c r="Q96" s="145">
        <v>1.0</v>
      </c>
      <c r="R96" s="277"/>
      <c r="S96" s="228"/>
      <c r="T96" s="228"/>
      <c r="U96" s="228"/>
      <c r="V96" s="228"/>
    </row>
    <row r="97" outlineLevel="1">
      <c r="A97" s="156"/>
      <c r="B97" s="269" t="s">
        <v>225</v>
      </c>
      <c r="C97" s="239">
        <v>14.0</v>
      </c>
      <c r="D97" s="156"/>
      <c r="E97" s="239" t="s">
        <v>150</v>
      </c>
      <c r="F97" s="138">
        <v>6.0</v>
      </c>
      <c r="G97" s="106"/>
      <c r="H97" s="168"/>
      <c r="I97" s="168"/>
      <c r="J97" s="107"/>
      <c r="K97" s="282"/>
      <c r="L97" s="282"/>
      <c r="M97" s="363"/>
      <c r="N97" s="363"/>
      <c r="O97" s="261"/>
      <c r="P97" s="261"/>
      <c r="Q97" s="261"/>
      <c r="R97" s="277"/>
      <c r="S97" s="117"/>
      <c r="T97" s="117"/>
      <c r="U97" s="117"/>
      <c r="V97" s="117"/>
    </row>
    <row r="98" outlineLevel="1">
      <c r="A98" s="278" t="s">
        <v>234</v>
      </c>
      <c r="B98" s="269" t="s">
        <v>227</v>
      </c>
      <c r="C98" s="261"/>
      <c r="D98" s="279">
        <v>39.0</v>
      </c>
      <c r="E98" s="261"/>
      <c r="F98" s="261"/>
      <c r="G98" s="416"/>
      <c r="H98" s="164"/>
      <c r="I98" s="164"/>
      <c r="J98" s="104"/>
      <c r="K98" s="261"/>
      <c r="L98" s="261"/>
      <c r="M98" s="261"/>
      <c r="N98" s="261"/>
      <c r="O98" s="261"/>
      <c r="P98" s="261"/>
      <c r="Q98" s="261"/>
      <c r="R98" s="277"/>
      <c r="S98" s="117"/>
      <c r="T98" s="117"/>
      <c r="U98" s="117"/>
      <c r="V98" s="117"/>
    </row>
    <row r="99" outlineLevel="1">
      <c r="A99" s="156"/>
      <c r="B99" s="269" t="s">
        <v>225</v>
      </c>
      <c r="C99" s="113">
        <v>21.0</v>
      </c>
      <c r="D99" s="156"/>
      <c r="E99" s="239" t="s">
        <v>86</v>
      </c>
      <c r="F99" s="138">
        <v>7.199999999999999</v>
      </c>
      <c r="G99" s="106"/>
      <c r="H99" s="168"/>
      <c r="I99" s="168"/>
      <c r="J99" s="107"/>
      <c r="K99" s="282"/>
      <c r="L99" s="282"/>
      <c r="M99" s="363"/>
      <c r="N99" s="363"/>
      <c r="O99" s="261"/>
      <c r="P99" s="261"/>
      <c r="Q99" s="261"/>
      <c r="R99" s="277"/>
      <c r="S99" s="117"/>
      <c r="T99" s="117"/>
      <c r="U99" s="117"/>
      <c r="V99" s="117"/>
    </row>
    <row r="100">
      <c r="A100" s="223"/>
      <c r="B100" s="224"/>
      <c r="C100" s="225"/>
      <c r="D100" s="225"/>
      <c r="E100" s="227"/>
      <c r="F100" s="177"/>
      <c r="G100" s="177"/>
      <c r="H100" s="227"/>
      <c r="I100" s="227"/>
      <c r="J100" s="228"/>
      <c r="K100" s="228"/>
      <c r="L100" s="111"/>
      <c r="M100" s="111"/>
      <c r="N100" s="111"/>
      <c r="O100" s="117"/>
      <c r="P100" s="117"/>
      <c r="Q100" s="111"/>
      <c r="R100" s="111"/>
      <c r="S100" s="111"/>
      <c r="T100" s="111"/>
      <c r="U100" s="111"/>
      <c r="V100" s="111"/>
    </row>
    <row r="101">
      <c r="A101" s="284" t="str">
        <f>'テンプレート'!A107</f>
        <v>回避</v>
      </c>
      <c r="B101" s="104"/>
      <c r="C101" s="265"/>
      <c r="D101" s="111"/>
      <c r="E101" s="111"/>
      <c r="F101" s="111"/>
      <c r="G101" s="111"/>
      <c r="H101" s="111"/>
      <c r="I101" s="111"/>
      <c r="J101" s="118"/>
      <c r="K101" s="111"/>
      <c r="L101" s="111"/>
      <c r="M101" s="111"/>
      <c r="N101" s="111"/>
      <c r="O101" s="111"/>
      <c r="P101" s="111"/>
      <c r="Q101" s="118"/>
      <c r="R101" s="111"/>
      <c r="S101" s="111"/>
      <c r="T101" s="111"/>
      <c r="U101" s="111"/>
      <c r="V101" s="111"/>
    </row>
    <row r="102" outlineLevel="1">
      <c r="A102" s="106"/>
      <c r="B102" s="107"/>
      <c r="C102" s="285" t="s">
        <v>235</v>
      </c>
      <c r="D102" s="285" t="s">
        <v>236</v>
      </c>
      <c r="E102" s="285" t="s">
        <v>49</v>
      </c>
      <c r="F102" s="285" t="s">
        <v>237</v>
      </c>
      <c r="G102" s="286"/>
      <c r="H102" s="227"/>
      <c r="I102" s="227"/>
      <c r="J102" s="228"/>
      <c r="K102" s="228"/>
      <c r="L102" s="111"/>
      <c r="M102" s="111"/>
      <c r="N102" s="111"/>
      <c r="O102" s="111"/>
      <c r="P102" s="111"/>
      <c r="Q102" s="111"/>
      <c r="R102" s="111"/>
      <c r="S102" s="111"/>
      <c r="T102" s="111"/>
      <c r="U102" s="111"/>
      <c r="V102" s="111"/>
    </row>
    <row r="103" outlineLevel="1">
      <c r="A103" s="287" t="str">
        <f>'テンプレート'!A109</f>
        <v>地上回避</v>
      </c>
      <c r="B103" s="288" t="str">
        <f>'テンプレート'!B109</f>
        <v>その場</v>
      </c>
      <c r="C103" s="113" t="str">
        <f t="array" ref="C103">INDEX('回避'!$C$3:$U$84, MATCH($A$1,'回避'!$A$3:$A$91,0), MATCH(C102,'回避'!$C$2:$F$2,0))</f>
        <v>3-17</v>
      </c>
      <c r="D103" s="113" t="str">
        <f t="array" ref="D103">INDEX('回避'!$C$3:$U$84, MATCH($A$1,'回避'!$A$3:$A$91,0), MATCH(D102,'回避'!$C$2:$F$2,0))</f>
        <v>6-17</v>
      </c>
      <c r="E103" s="113" t="str">
        <f t="array" ref="E103">INDEX('回避'!$C$3:$U$84, MATCH($A$1,'回避'!$A$3:$A$91,0), MATCH(E102,'回避'!$C$2:$F$2,0))</f>
        <v>26 (21)</v>
      </c>
      <c r="F103" s="113" t="str">
        <f t="array" ref="F103">INDEX('回避'!$C$3:$U$84, MATCH($A$1,'回避'!$A$3:$A$91,0), MATCH(F102,'回避'!$C$2:$F$2,0))</f>
        <v>35 (28)</v>
      </c>
      <c r="G103" s="272"/>
      <c r="H103" s="227"/>
      <c r="I103" s="227"/>
      <c r="J103" s="228"/>
      <c r="K103" s="228"/>
      <c r="L103" s="228"/>
      <c r="M103" s="111"/>
      <c r="N103" s="111"/>
      <c r="O103" s="111"/>
      <c r="P103" s="111"/>
      <c r="Q103" s="111"/>
      <c r="R103" s="111"/>
      <c r="S103" s="111"/>
      <c r="T103" s="111"/>
      <c r="U103" s="111"/>
      <c r="V103" s="111"/>
    </row>
    <row r="104" outlineLevel="1">
      <c r="A104" s="212"/>
      <c r="B104" s="288" t="str">
        <f>'テンプレート'!B110</f>
        <v>前方</v>
      </c>
      <c r="C104" s="113" t="str">
        <f t="array" ref="C104">INDEX('回避'!$G$3:$U$84, MATCH($A$1,'回避'!$A$3:$A$91,0), MATCH(C102,'回避'!$G$2:$J$2,0))</f>
        <v>4-15</v>
      </c>
      <c r="D104" s="113" t="str">
        <f t="array" ref="D104">INDEX('回避'!$G$3:$U$84, MATCH($A$1,'回避'!$A$3:$A$91,0), MATCH(D102,'回避'!$G$2:$J$2,0))</f>
        <v>8-14</v>
      </c>
      <c r="E104" s="113" t="str">
        <f t="array" ref="E104">INDEX('回避'!$G$3:$U$84, MATCH($A$1,'回避'!$A$3:$A$91,0), MATCH(E102,'回避'!$G$2:$J$2,0))</f>
        <v>30</v>
      </c>
      <c r="F104" s="113">
        <f t="array" ref="F104">INDEX('回避'!$G$3:$U$84, MATCH($A$1,'回避'!$A$3:$A$91,0), MATCH(F102,'回避'!$G$2:$J$2,0))</f>
        <v>40</v>
      </c>
      <c r="G104" s="289"/>
      <c r="H104" s="227"/>
      <c r="I104" s="227"/>
      <c r="J104" s="228"/>
      <c r="K104" s="228"/>
      <c r="L104" s="228"/>
      <c r="M104" s="228"/>
      <c r="N104" s="228"/>
      <c r="O104" s="111"/>
      <c r="P104" s="111"/>
      <c r="Q104" s="111"/>
      <c r="R104" s="111"/>
      <c r="S104" s="111"/>
      <c r="T104" s="111"/>
      <c r="U104" s="111"/>
      <c r="V104" s="111"/>
    </row>
    <row r="105" outlineLevel="1">
      <c r="A105" s="106"/>
      <c r="B105" s="288" t="str">
        <f>'テンプレート'!B111</f>
        <v>後方</v>
      </c>
      <c r="C105" s="113" t="str">
        <f t="array" ref="C105">INDEX('回避'!$K$3:$U$84, MATCH($A$1,'回避'!$A$3:$A$91,0), MATCH(C102,'回避'!$K$2:$N$2,0))</f>
        <v>5-16</v>
      </c>
      <c r="D105" s="113" t="str">
        <f t="array" ref="D105">INDEX('回避'!$K$3:$U$84, MATCH($A$1,'回避'!$A$3:$A$91,0), MATCH(D102,'回避'!$K$2:$N$2,0))</f>
        <v>9-14</v>
      </c>
      <c r="E105" s="113" t="str">
        <f t="array" ref="E105">INDEX('回避'!$K$3:$U$84, MATCH($A$1,'回避'!$A$3:$A$91,0), MATCH(E102,'回避'!$K$2:$N$2,0))</f>
        <v>35</v>
      </c>
      <c r="F105" s="113" t="str">
        <f t="array" ref="F105">INDEX('回避'!$K$3:$U$84, MATCH($A$1,'回避'!$A$3:$A$91,0), MATCH(F102,'回避'!$K$2:$N$2,0))</f>
        <v>53</v>
      </c>
      <c r="G105" s="289"/>
      <c r="H105" s="290"/>
      <c r="I105" s="290"/>
      <c r="J105" s="117"/>
      <c r="K105" s="117"/>
      <c r="L105" s="117"/>
      <c r="M105" s="117"/>
      <c r="N105" s="117"/>
      <c r="O105" s="111"/>
      <c r="P105" s="111"/>
      <c r="Q105" s="111"/>
      <c r="R105" s="111"/>
      <c r="S105" s="111"/>
      <c r="T105" s="111"/>
      <c r="U105" s="111"/>
      <c r="V105" s="111"/>
    </row>
    <row r="106" outlineLevel="1">
      <c r="A106" s="287" t="str">
        <f>'テンプレート'!A112</f>
        <v>空中回避</v>
      </c>
      <c r="B106" s="288" t="str">
        <f>'テンプレート'!B112</f>
        <v>通常</v>
      </c>
      <c r="C106" s="113" t="str">
        <f t="array" ref="C106">INDEX('回避'!$O$3:$U$84, MATCH($A$1,'回避'!$A$3:$A$91,0), MATCH(C102,'回避'!$O$2:$R$2,0))</f>
        <v>3-30</v>
      </c>
      <c r="D106" s="113" t="str">
        <f t="array" ref="D106">INDEX('回避'!$O$3:$U$84, MATCH($A$1,'回避'!$A$3:$A$91,0), MATCH(D102,'回避'!$O$2:$R$2,0))</f>
        <v>6-27</v>
      </c>
      <c r="E106" s="113" t="str">
        <f t="array" ref="E106">INDEX('回避'!$O$3:$U$84, MATCH($A$1,'回避'!$A$3:$A$91,0), MATCH(E102,'回避'!$O$2:$R$2,0))</f>
        <v>42</v>
      </c>
      <c r="F106" s="177"/>
      <c r="G106" s="177"/>
      <c r="H106" s="118"/>
      <c r="I106" s="118"/>
      <c r="J106" s="111"/>
      <c r="K106" s="111"/>
      <c r="L106" s="111"/>
      <c r="M106" s="111"/>
      <c r="N106" s="111"/>
      <c r="O106" s="228"/>
      <c r="P106" s="228"/>
      <c r="Q106" s="228"/>
      <c r="R106" s="228"/>
      <c r="S106" s="228"/>
      <c r="T106" s="228"/>
      <c r="U106" s="228"/>
      <c r="V106" s="228"/>
    </row>
    <row r="107" outlineLevel="1">
      <c r="A107" s="106"/>
      <c r="B107" s="288" t="str">
        <f>'テンプレート'!B113</f>
        <v>移動</v>
      </c>
      <c r="C107" s="113" t="str">
        <f t="array" ref="C107">INDEX('回避'!$S$3:$U$84, MATCH($A$1,'回避'!$A$3:$A$91,0), MATCH(C102,'回避'!$S$2:$U$2,0))</f>
        <v>3-21</v>
      </c>
      <c r="D107" s="113" t="str">
        <f t="array" ref="D107">INDEX('回避'!$S$3:$U$84, MATCH($A$1,'回避'!$A$3:$A$91,0), MATCH(D102,'回避'!$S$2:$U$2,0))</f>
        <v>6-20</v>
      </c>
      <c r="E107" s="113" t="str">
        <f t="array" ref="E107">INDEX('回避'!$S$3:$U$84, MATCH($A$1,'回避'!$A$3:$A$91,0), MATCH(E102,'回避'!$S$2:$U$2,0))</f>
        <v>真横：72
真上：94
真下：62</v>
      </c>
      <c r="F107" s="289"/>
      <c r="G107" s="289"/>
      <c r="H107" s="118"/>
      <c r="I107" s="118"/>
      <c r="J107" s="117"/>
      <c r="K107" s="117"/>
      <c r="L107" s="117"/>
      <c r="M107" s="117"/>
      <c r="N107" s="111"/>
      <c r="O107" s="118"/>
      <c r="P107" s="118"/>
      <c r="Q107" s="118"/>
      <c r="R107" s="118"/>
      <c r="S107" s="118"/>
      <c r="T107" s="118"/>
      <c r="U107" s="118"/>
      <c r="V107" s="118"/>
    </row>
    <row r="108">
      <c r="A108" s="291"/>
      <c r="B108" s="292"/>
      <c r="C108" s="286"/>
      <c r="D108" s="286"/>
      <c r="E108" s="293"/>
      <c r="F108" s="286"/>
      <c r="G108" s="286"/>
      <c r="H108" s="286"/>
      <c r="I108" s="286"/>
      <c r="J108" s="111"/>
      <c r="K108" s="227"/>
      <c r="L108" s="227"/>
      <c r="M108" s="227"/>
      <c r="N108" s="227"/>
      <c r="O108" s="118"/>
      <c r="P108" s="118"/>
      <c r="Q108" s="118"/>
      <c r="R108" s="118"/>
      <c r="S108" s="118"/>
      <c r="T108" s="118"/>
      <c r="U108" s="118"/>
      <c r="V108" s="118"/>
    </row>
    <row r="109">
      <c r="A109" s="294" t="s">
        <v>238</v>
      </c>
      <c r="B109" s="104"/>
      <c r="C109" s="228"/>
      <c r="D109" s="117"/>
      <c r="E109" s="228"/>
      <c r="F109" s="114"/>
      <c r="G109" s="114"/>
      <c r="H109" s="117"/>
      <c r="I109" s="117"/>
      <c r="J109" s="118"/>
      <c r="K109" s="118"/>
      <c r="L109" s="118"/>
      <c r="M109" s="118"/>
      <c r="N109" s="118"/>
      <c r="O109" s="118"/>
      <c r="P109" s="118"/>
      <c r="Q109" s="118"/>
      <c r="R109" s="118"/>
      <c r="S109" s="118"/>
      <c r="T109" s="118"/>
      <c r="U109" s="118"/>
      <c r="V109" s="118"/>
    </row>
    <row r="110" outlineLevel="1">
      <c r="A110" s="106"/>
      <c r="B110" s="107"/>
      <c r="C110" s="295" t="s">
        <v>235</v>
      </c>
      <c r="D110" s="295" t="s">
        <v>49</v>
      </c>
      <c r="E110" s="295" t="s">
        <v>48</v>
      </c>
      <c r="F110" s="295" t="s">
        <v>50</v>
      </c>
      <c r="G110" s="296" t="s">
        <v>51</v>
      </c>
      <c r="H110" s="228"/>
      <c r="I110" s="228"/>
      <c r="J110" s="117"/>
      <c r="K110" s="297" t="str">
        <f>'テンプレート'!K116</f>
        <v>アイテム取得</v>
      </c>
      <c r="L110" s="109"/>
      <c r="M110" s="298" t="str">
        <f>'テンプレート'!M116</f>
        <v>取得フレーム</v>
      </c>
      <c r="N110" s="298" t="str">
        <f>'テンプレート'!N116</f>
        <v>全体フレーム</v>
      </c>
      <c r="O110" s="118"/>
      <c r="P110" s="118"/>
      <c r="Q110" s="118"/>
      <c r="R110" s="118"/>
      <c r="S110" s="118"/>
      <c r="T110" s="118"/>
      <c r="U110" s="118"/>
      <c r="V110" s="118"/>
    </row>
    <row r="111" outlineLevel="1">
      <c r="A111" s="299" t="s">
        <v>239</v>
      </c>
      <c r="B111" s="300" t="s">
        <v>240</v>
      </c>
      <c r="C111" s="301"/>
      <c r="D111" s="113">
        <f t="array" ref="D111">INDEX('崖行動・受け身'!$C$3:$C115, MATCH($A$1,'崖行動・受け身'!$A$3:$A$115,0), MATCH(D110,'崖行動・受け身'!$C$2,0))</f>
        <v>19</v>
      </c>
      <c r="E111" s="301"/>
      <c r="F111" s="301"/>
      <c r="G111" s="301"/>
      <c r="H111" s="228"/>
      <c r="I111" s="228"/>
      <c r="J111" s="111"/>
      <c r="K111" s="302" t="str">
        <f>'テンプレート'!K117</f>
        <v>小アイテム</v>
      </c>
      <c r="L111" s="303" t="str">
        <f>'テンプレート'!L117</f>
        <v>その場</v>
      </c>
      <c r="M111" s="113" t="s">
        <v>76</v>
      </c>
      <c r="N111" s="113">
        <v>7.0</v>
      </c>
      <c r="O111" s="118"/>
      <c r="P111" s="118"/>
      <c r="Q111" s="118"/>
      <c r="R111" s="118"/>
      <c r="S111" s="118"/>
      <c r="T111" s="118"/>
      <c r="U111" s="118"/>
      <c r="V111" s="118"/>
    </row>
    <row r="112" outlineLevel="1">
      <c r="A112" s="146"/>
      <c r="B112" s="300" t="s">
        <v>216</v>
      </c>
      <c r="C112" s="113" t="str">
        <f t="array" ref="C112">INDEX('崖行動・受け身'!$D$3:$E115, MATCH($A$1,'崖行動・受け身'!$A$3:$A$115,0), MATCH(C110,'崖行動・受け身'!$D$2:$E$2,0))</f>
        <v>1-33</v>
      </c>
      <c r="D112" s="113">
        <f t="array" ref="D112">INDEX('崖行動・受け身'!$D$3:$E115, MATCH($A$1,'崖行動・受け身'!$A$3:$A$115,0), MATCH(D110,'崖行動・受け身'!$D$2:$E$2,0))</f>
        <v>34</v>
      </c>
      <c r="E112" s="301"/>
      <c r="F112" s="301"/>
      <c r="G112" s="301"/>
      <c r="H112" s="228"/>
      <c r="I112" s="228"/>
      <c r="J112" s="117"/>
      <c r="K112" s="156"/>
      <c r="L112" s="303" t="str">
        <f>'テンプレート'!L118</f>
        <v>歩き</v>
      </c>
      <c r="M112" s="113" t="s">
        <v>76</v>
      </c>
      <c r="N112" s="113">
        <v>19.0</v>
      </c>
      <c r="O112" s="118"/>
      <c r="P112" s="118"/>
      <c r="Q112" s="118"/>
      <c r="R112" s="118"/>
      <c r="S112" s="118"/>
      <c r="T112" s="118"/>
      <c r="U112" s="118"/>
      <c r="V112" s="118"/>
    </row>
    <row r="113" outlineLevel="1">
      <c r="A113" s="146"/>
      <c r="B113" s="300" t="s">
        <v>241</v>
      </c>
      <c r="C113" s="113" t="str">
        <f t="array" ref="C113">INDEX('崖行動・受け身'!$F$3:$G$115, MATCH($A$1,'崖行動・受け身'!$A$3:$A$115,0), MATCH(C110,'崖行動・受け身'!$F$2:$G$2,0))</f>
        <v>1-23</v>
      </c>
      <c r="D113" s="113">
        <f t="array" ref="D113">INDEX('崖行動・受け身'!$F$3:$G$115, MATCH($A$1,'崖行動・受け身'!$A$3:$A$115,0), MATCH(D110,'崖行動・受け身'!$F$2:$G$2,0))</f>
        <v>45</v>
      </c>
      <c r="E113" s="301"/>
      <c r="F113" s="301"/>
      <c r="G113" s="301"/>
      <c r="H113" s="228"/>
      <c r="I113" s="228"/>
      <c r="J113" s="111"/>
      <c r="K113" s="304" t="str">
        <f>'テンプレート'!K119</f>
        <v>アイテム投擲</v>
      </c>
      <c r="L113" s="109"/>
      <c r="M113" s="298" t="str">
        <f>'テンプレート'!M119</f>
        <v>投擲フレーム</v>
      </c>
      <c r="N113" s="298" t="str">
        <f>'テンプレート'!N119</f>
        <v>全体フレーム</v>
      </c>
      <c r="O113" s="118"/>
      <c r="P113" s="118"/>
      <c r="Q113" s="118"/>
      <c r="R113" s="118"/>
      <c r="S113" s="118"/>
      <c r="T113" s="118"/>
      <c r="U113" s="118"/>
      <c r="V113" s="118"/>
    </row>
    <row r="114" outlineLevel="1">
      <c r="A114" s="146"/>
      <c r="B114" s="300" t="s">
        <v>242</v>
      </c>
      <c r="C114" s="113" t="str">
        <f t="array" ref="C114">INDEX('崖行動・受け身'!$H$3:$I$115, MATCH($A$1,'崖行動・受け身'!$A$3:$A$115,0), MATCH(C110,'崖行動・受け身'!$H$2:$I$2,0))</f>
        <v>1-12</v>
      </c>
      <c r="D114" s="113">
        <f t="array" ref="D114">INDEX('崖行動・受け身'!$H$3:$I$115, MATCH($A$1,'崖行動・受け身'!$A$3:$A$115,0), MATCH(D110,'崖行動・受け身'!$H$2:$I$2,0))</f>
        <v>14</v>
      </c>
      <c r="E114" s="301"/>
      <c r="F114" s="301"/>
      <c r="G114" s="301"/>
      <c r="H114" s="228"/>
      <c r="I114" s="228"/>
      <c r="J114" s="117"/>
      <c r="K114" s="305" t="str">
        <f>'テンプレート'!K120</f>
        <v>地上投擲</v>
      </c>
      <c r="L114" s="303" t="str">
        <f>'テンプレート'!L120</f>
        <v>前投げ</v>
      </c>
      <c r="M114" s="113" t="s">
        <v>80</v>
      </c>
      <c r="N114" s="113">
        <v>24.0</v>
      </c>
      <c r="O114" s="111"/>
      <c r="P114" s="111"/>
      <c r="Q114" s="111"/>
      <c r="R114" s="111"/>
      <c r="S114" s="111"/>
      <c r="T114" s="111"/>
      <c r="U114" s="111"/>
      <c r="V114" s="111"/>
    </row>
    <row r="115" outlineLevel="1">
      <c r="A115" s="156"/>
      <c r="B115" s="300" t="s">
        <v>243</v>
      </c>
      <c r="C115" s="113" t="str">
        <f t="array" ref="C115">INDEX('崖行動・受け身'!$J$3:$M$115, MATCH($A$1,'崖行動・受け身'!$A$3:$A$115,0), MATCH(C110,'崖行動・受け身'!$J$2:$M$2,0))</f>
        <v>1-24</v>
      </c>
      <c r="D115" s="113">
        <f t="array" ref="D115">INDEX('崖行動・受け身'!$J$3:$M$115, MATCH($A$1,'崖行動・受け身'!$A$3:$A$115,0), MATCH(D110,'崖行動・受け身'!$J$2:$M$2,0))</f>
        <v>55</v>
      </c>
      <c r="E115" s="113" t="str">
        <f t="array" ref="E115">INDEX('崖行動・受け身'!$J$3:$M$115, MATCH($A$1,'崖行動・受け身'!$A$3:$A$115,0), MATCH(E110,'崖行動・受け身'!$J$2:$M$2,0))</f>
        <v>22-24</v>
      </c>
      <c r="F115" s="113">
        <f t="array" ref="F115">INDEX('崖行動・受け身'!$J$3:$M$115, MATCH($A$1,'崖行動・受け身'!$A$3:$A$115,0), MATCH(F110,'崖行動・受け身'!$J$2:$M$2,0))</f>
        <v>10</v>
      </c>
      <c r="G115" s="113">
        <f>F115*1.2</f>
        <v>12</v>
      </c>
      <c r="H115" s="228"/>
      <c r="I115" s="228"/>
      <c r="J115" s="111"/>
      <c r="K115" s="146"/>
      <c r="L115" s="303" t="str">
        <f>'テンプレート'!L121</f>
        <v>後投げ</v>
      </c>
      <c r="M115" s="113" t="s">
        <v>232</v>
      </c>
      <c r="N115" s="113">
        <v>24.0</v>
      </c>
      <c r="O115" s="111"/>
      <c r="P115" s="111"/>
      <c r="Q115" s="111"/>
      <c r="R115" s="111"/>
      <c r="S115" s="111"/>
      <c r="T115" s="111"/>
      <c r="U115" s="111"/>
      <c r="V115" s="111"/>
    </row>
    <row r="116" outlineLevel="1">
      <c r="A116" s="299" t="s">
        <v>244</v>
      </c>
      <c r="B116" s="300" t="s">
        <v>216</v>
      </c>
      <c r="C116" s="113" t="str">
        <f t="array" ref="C116">INDEX('崖行動・受け身'!$N$3:$O$115, MATCH($A$1,'崖行動・受け身'!$A$3:$A$115,0), MATCH(C110,'崖行動・受け身'!$N$2:$O$2,0))</f>
        <v>1-20</v>
      </c>
      <c r="D116" s="113">
        <f t="array" ref="D116">INDEX('崖行動・受け身'!$N$3:$O$115, MATCH($A$1,'崖行動・受け身'!$A$3:$A$115,0), MATCH(D110,'崖行動・受け身'!$N$2:$O$2,0))</f>
        <v>26</v>
      </c>
      <c r="E116" s="301"/>
      <c r="F116" s="301"/>
      <c r="G116" s="301"/>
      <c r="H116" s="228"/>
      <c r="I116" s="228"/>
      <c r="J116" s="117"/>
      <c r="K116" s="146"/>
      <c r="L116" s="303" t="str">
        <f>'テンプレート'!L122</f>
        <v>上投げ</v>
      </c>
      <c r="M116" s="113" t="s">
        <v>129</v>
      </c>
      <c r="N116" s="113">
        <v>23.0</v>
      </c>
      <c r="O116" s="228"/>
      <c r="P116" s="228"/>
      <c r="Q116" s="228"/>
      <c r="R116" s="228"/>
      <c r="S116" s="228"/>
      <c r="T116" s="228"/>
      <c r="U116" s="228"/>
      <c r="V116" s="228"/>
    </row>
    <row r="117" outlineLevel="1">
      <c r="A117" s="146"/>
      <c r="B117" s="300" t="s">
        <v>245</v>
      </c>
      <c r="C117" s="113" t="str">
        <f t="array" ref="C117">INDEX('崖行動・受け身'!$P$3:$Q$115, MATCH($A$1,'崖行動・受け身'!$A$3:$A$115,0), MATCH(C110,'崖行動・受け身'!$P$2:$Q$2,0))</f>
        <v>1-20</v>
      </c>
      <c r="D117" s="113">
        <f t="array" ref="D117">INDEX('崖行動・受け身'!$P$3:$Q$115, MATCH($A$1,'崖行動・受け身'!$A$3:$A$115,0), MATCH(D110,'崖行動・受け身'!$P$2:$Q$2,0))</f>
        <v>40</v>
      </c>
      <c r="E117" s="301"/>
      <c r="F117" s="301"/>
      <c r="G117" s="301"/>
      <c r="H117" s="228"/>
      <c r="I117" s="228"/>
      <c r="J117" s="111"/>
      <c r="K117" s="146"/>
      <c r="L117" s="303" t="str">
        <f>'テンプレート'!L123</f>
        <v>下投げ</v>
      </c>
      <c r="M117" s="113" t="s">
        <v>93</v>
      </c>
      <c r="N117" s="113">
        <v>19.0</v>
      </c>
      <c r="O117" s="118"/>
      <c r="P117" s="118"/>
      <c r="Q117" s="118"/>
      <c r="R117" s="118"/>
      <c r="S117" s="118"/>
      <c r="T117" s="118"/>
      <c r="U117" s="118"/>
      <c r="V117" s="118"/>
    </row>
    <row r="118" outlineLevel="1">
      <c r="A118" s="156"/>
      <c r="B118" s="300" t="s">
        <v>246</v>
      </c>
      <c r="C118" s="113" t="str">
        <f t="array" ref="C118">INDEX('崖行動・受け身'!$R$3:$S$115, MATCH($A$1,'崖行動・受け身'!$A$3:$A$115,0), MATCH(C110,'崖行動・受け身'!$R$2:$S$2,0))</f>
        <v>1-20</v>
      </c>
      <c r="D118" s="113">
        <f t="array" ref="D118">INDEX('崖行動・受け身'!$R$3:$S$115, MATCH($A$1,'崖行動・受け身'!$A$3:$A$115,0), MATCH(D110,'崖行動・受け身'!$R$2:$S$2,0))</f>
        <v>40</v>
      </c>
      <c r="E118" s="301"/>
      <c r="F118" s="301"/>
      <c r="G118" s="301"/>
      <c r="H118" s="228"/>
      <c r="I118" s="228"/>
      <c r="J118" s="117"/>
      <c r="K118" s="146"/>
      <c r="L118" s="306" t="str">
        <f>'テンプレート'!L124</f>
        <v>ダッシュ</v>
      </c>
      <c r="M118" s="113" t="s">
        <v>150</v>
      </c>
      <c r="N118" s="113">
        <v>37.0</v>
      </c>
      <c r="O118" s="118"/>
      <c r="P118" s="118"/>
      <c r="Q118" s="118"/>
      <c r="R118" s="118"/>
      <c r="S118" s="118"/>
      <c r="T118" s="118"/>
      <c r="U118" s="118"/>
      <c r="V118" s="118"/>
    </row>
    <row r="119" outlineLevel="1">
      <c r="A119" s="299" t="s">
        <v>247</v>
      </c>
      <c r="B119" s="300" t="s">
        <v>248</v>
      </c>
      <c r="C119" s="301"/>
      <c r="D119" s="113" t="str">
        <f t="array" ref="D119">INDEX('起きあがり'!$C$3:$C115, MATCH($A$1,'起きあがり'!$A$3:$A$115,0), MATCH(D110,'起きあがり'!$C$2:$AD$2,0))</f>
        <v>25</v>
      </c>
      <c r="E119" s="301"/>
      <c r="F119" s="301"/>
      <c r="G119" s="301"/>
      <c r="H119" s="228"/>
      <c r="I119" s="228"/>
      <c r="J119" s="111"/>
      <c r="K119" s="156"/>
      <c r="L119" s="306" t="str">
        <f>'テンプレート'!L125</f>
        <v>その場捨て</v>
      </c>
      <c r="M119" s="113" t="s">
        <v>86</v>
      </c>
      <c r="N119" s="113">
        <v>23.0</v>
      </c>
      <c r="O119" s="118"/>
      <c r="P119" s="118"/>
      <c r="Q119" s="118"/>
      <c r="R119" s="118"/>
      <c r="S119" s="118"/>
      <c r="T119" s="118"/>
      <c r="U119" s="118"/>
      <c r="V119" s="118"/>
    </row>
    <row r="120" outlineLevel="1">
      <c r="A120" s="146"/>
      <c r="B120" s="300" t="s">
        <v>216</v>
      </c>
      <c r="C120" s="307" t="str">
        <f t="array" ref="C120">INDEX('起きあがり'!$D$3:$E115, MATCH($A$1,'起きあがり'!$A$3:$A$115,0), MATCH(C110,'起きあがり'!$D$2:$AD$2,0))</f>
        <v>1-22</v>
      </c>
      <c r="D120" s="308">
        <f t="array" ref="D120">INDEX('起きあがり'!$D$3:$E115, MATCH($A$1,'起きあがり'!$A$3:$A$115,0), MATCH(D110,'起きあがり'!$D$2:$AD$2,0))</f>
        <v>29</v>
      </c>
      <c r="E120" s="301"/>
      <c r="F120" s="301"/>
      <c r="G120" s="301"/>
      <c r="H120" s="228"/>
      <c r="I120" s="228"/>
      <c r="J120" s="117"/>
      <c r="K120" s="305" t="str">
        <f>'テンプレート'!K126</f>
        <v>空中投擲</v>
      </c>
      <c r="L120" s="303" t="str">
        <f>'テンプレート'!L126</f>
        <v>前投げ</v>
      </c>
      <c r="M120" s="113" t="s">
        <v>80</v>
      </c>
      <c r="N120" s="113">
        <v>24.0</v>
      </c>
      <c r="O120" s="118"/>
      <c r="P120" s="118"/>
      <c r="Q120" s="118"/>
      <c r="R120" s="118"/>
      <c r="S120" s="118"/>
      <c r="T120" s="118"/>
      <c r="U120" s="118"/>
      <c r="V120" s="118"/>
    </row>
    <row r="121" outlineLevel="1">
      <c r="A121" s="146"/>
      <c r="B121" s="300" t="s">
        <v>245</v>
      </c>
      <c r="C121" s="307" t="str">
        <f t="array" ref="C121">INDEX('起きあがり'!$F$3:$G$115, MATCH($A$1,'起きあがり'!$A$3:$A$115,0), MATCH(C110,'起きあがり'!$F$2:$AD$2,0))</f>
        <v>1-23</v>
      </c>
      <c r="D121" s="308">
        <f t="array" ref="D121">INDEX('起きあがり'!$F$3:$G$115, MATCH($A$1,'起きあがり'!$A$3:$A$115,0), MATCH(D110,'起きあがり'!$F$2:$AD$2,0))</f>
        <v>35</v>
      </c>
      <c r="E121" s="301"/>
      <c r="F121" s="301"/>
      <c r="G121" s="301"/>
      <c r="H121" s="228"/>
      <c r="I121" s="228"/>
      <c r="J121" s="111"/>
      <c r="K121" s="146"/>
      <c r="L121" s="303" t="str">
        <f>'テンプレート'!L127</f>
        <v>後投げ</v>
      </c>
      <c r="M121" s="113" t="s">
        <v>232</v>
      </c>
      <c r="N121" s="113">
        <v>24.0</v>
      </c>
      <c r="O121" s="118"/>
      <c r="P121" s="118"/>
      <c r="Q121" s="118"/>
      <c r="R121" s="118"/>
      <c r="S121" s="118"/>
      <c r="T121" s="118"/>
      <c r="U121" s="118"/>
      <c r="V121" s="118"/>
    </row>
    <row r="122" outlineLevel="1">
      <c r="A122" s="146"/>
      <c r="B122" s="300" t="s">
        <v>246</v>
      </c>
      <c r="C122" s="113" t="str">
        <f t="array" ref="C122">INDEX('起きあがり'!$H$3:$I$115, MATCH($A$1,'起きあがり'!$A$3:$A$115,0), MATCH(C110,'起きあがり'!$H$2:$AD$2,0))</f>
        <v>1-19</v>
      </c>
      <c r="D122" s="113">
        <f t="array" ref="D122">INDEX('起きあがり'!$H$3:$I$115, MATCH($A$1,'起きあがり'!$A$3:$A$115,0), MATCH(D110,'起きあがり'!$H$2:$AD$2,0))</f>
        <v>35</v>
      </c>
      <c r="E122" s="301"/>
      <c r="F122" s="301"/>
      <c r="G122" s="301"/>
      <c r="H122" s="228"/>
      <c r="I122" s="228"/>
      <c r="J122" s="117"/>
      <c r="K122" s="146"/>
      <c r="L122" s="303" t="str">
        <f>'テンプレート'!L128</f>
        <v>上投げ</v>
      </c>
      <c r="M122" s="113" t="s">
        <v>129</v>
      </c>
      <c r="N122" s="113">
        <v>23.0</v>
      </c>
      <c r="O122" s="118"/>
      <c r="P122" s="118"/>
      <c r="Q122" s="118"/>
      <c r="R122" s="118"/>
      <c r="S122" s="118"/>
      <c r="T122" s="118"/>
      <c r="U122" s="118"/>
      <c r="V122" s="118"/>
    </row>
    <row r="123" outlineLevel="1">
      <c r="A123" s="146"/>
      <c r="B123" s="300" t="s">
        <v>249</v>
      </c>
      <c r="C123" s="309" t="str">
        <f t="array" ref="C123">INDEX('起きあがり'!$J$3:$M$115, MATCH($A$1,'起きあがり'!$A$3:$A$115,0), MATCH(C110,'起きあがり'!$J$2:$AD$2,0))</f>
        <v>1-21</v>
      </c>
      <c r="D123" s="310">
        <f t="array" ref="D123">INDEX('起きあがり'!$J$3:$M$115, MATCH($A$1,'起きあがり'!$A$3:$A$115,0), MATCH(D110,'起きあがり'!$J$2:$AD$2,0))</f>
        <v>45</v>
      </c>
      <c r="E123" s="307" t="str">
        <f t="array" ref="E123">INDEX('起きあがり'!$J$3:$M$115, MATCH($A$1,'起きあがり'!$A$3:$A$115,0), MATCH(E110,'起きあがり'!$J$2:$AD$2,0))</f>
        <v>14-15</v>
      </c>
      <c r="F123" s="308">
        <f t="array" ref="F123">INDEX('起きあがり'!$J$3:$M$115, MATCH($A$1,'起きあがり'!$A$3:$A$115,0), MATCH(F110,'起きあがり'!$J$2:$AD$2,0))</f>
        <v>6</v>
      </c>
      <c r="G123" s="113">
        <f t="shared" ref="G123:G124" si="1">F123*1.2</f>
        <v>7.2</v>
      </c>
      <c r="H123" s="228"/>
      <c r="I123" s="228"/>
      <c r="J123" s="111"/>
      <c r="K123" s="156"/>
      <c r="L123" s="303" t="str">
        <f>'テンプレート'!L129</f>
        <v>下投げ</v>
      </c>
      <c r="M123" s="113" t="s">
        <v>93</v>
      </c>
      <c r="N123" s="113">
        <v>19.0</v>
      </c>
      <c r="O123" s="111"/>
      <c r="P123" s="111"/>
      <c r="Q123" s="111"/>
      <c r="R123" s="111"/>
      <c r="S123" s="111"/>
      <c r="T123" s="111"/>
      <c r="U123" s="111"/>
      <c r="V123" s="111"/>
    </row>
    <row r="124" outlineLevel="1">
      <c r="A124" s="156"/>
      <c r="B124" s="311" t="s">
        <v>250</v>
      </c>
      <c r="C124" s="156"/>
      <c r="D124" s="156"/>
      <c r="E124" s="307" t="str">
        <f t="array" ref="E124">INDEX('起きあがり'!$N$3:$O$115, MATCH($A$1,'起きあがり'!$A$3:$A$115,0), MATCH(E110,'起きあがり'!$N$2:$AD$2,0))</f>
        <v>20-21</v>
      </c>
      <c r="F124" s="308">
        <f t="array" ref="F124">INDEX('起きあがり'!$N$3:$O$115, MATCH($A$1,'起きあがり'!$A$3:$A$115,0), MATCH(F110,'起きあがり'!$N$2:$AD$2,0))</f>
        <v>6</v>
      </c>
      <c r="G124" s="113">
        <f t="shared" si="1"/>
        <v>7.2</v>
      </c>
      <c r="H124" s="228"/>
      <c r="I124" s="228"/>
      <c r="J124" s="111"/>
      <c r="K124" s="312" t="str">
        <f>'テンプレート'!K130</f>
        <v>踏み台ジャンプ</v>
      </c>
      <c r="L124" s="168"/>
      <c r="M124" s="298" t="str">
        <f>'テンプレート'!M130</f>
        <v>全体フレーム</v>
      </c>
      <c r="N124" s="114"/>
      <c r="O124" s="111"/>
      <c r="P124" s="111"/>
      <c r="Q124" s="111"/>
      <c r="R124" s="111"/>
      <c r="S124" s="111"/>
      <c r="T124" s="111"/>
      <c r="U124" s="111"/>
      <c r="V124" s="111"/>
    </row>
    <row r="125" outlineLevel="1">
      <c r="A125" s="299" t="s">
        <v>251</v>
      </c>
      <c r="B125" s="300" t="s">
        <v>248</v>
      </c>
      <c r="C125" s="301"/>
      <c r="D125" s="307" t="str">
        <f t="array" ref="D125">INDEX('起きあがり'!$C$3:$C115, MATCH($A$1,'起きあがり'!$A$3:$A$115,0), MATCH(D110,'起きあがり'!$C$2,0))</f>
        <v>25</v>
      </c>
      <c r="E125" s="301"/>
      <c r="F125" s="301"/>
      <c r="G125" s="301"/>
      <c r="H125" s="228"/>
      <c r="I125" s="228"/>
      <c r="J125" s="117"/>
      <c r="K125" s="313" t="str">
        <f>'テンプレート'!K131</f>
        <v>踏み</v>
      </c>
      <c r="L125" s="314" t="str">
        <f>'テンプレート'!L131</f>
        <v>踏み</v>
      </c>
      <c r="M125" s="113">
        <v>7.0</v>
      </c>
      <c r="N125" s="315"/>
      <c r="O125" s="111"/>
      <c r="P125" s="111"/>
      <c r="Q125" s="111"/>
      <c r="R125" s="111"/>
      <c r="S125" s="111"/>
      <c r="T125" s="111"/>
      <c r="U125" s="111"/>
      <c r="V125" s="111"/>
    </row>
    <row r="126" outlineLevel="1">
      <c r="A126" s="146"/>
      <c r="B126" s="300" t="s">
        <v>216</v>
      </c>
      <c r="C126" s="307" t="str">
        <f t="array" ref="C126">INDEX('起きあがり'!$P$3:$Q$115, MATCH($A$1,'起きあがり'!$A$3:$A$115,0), MATCH(C110,'起きあがり'!$P$2:$AD$2,0))</f>
        <v>1-22</v>
      </c>
      <c r="D126" s="308">
        <f t="array" ref="D126">INDEX('起きあがり'!$P$3:$Q$115, MATCH($A$1,'起きあがり'!$A$3:$A$115,0), MATCH(D110,'起きあがり'!$P$2:$AD$2,0))</f>
        <v>29</v>
      </c>
      <c r="E126" s="301"/>
      <c r="F126" s="301"/>
      <c r="G126" s="301"/>
      <c r="H126" s="228"/>
      <c r="I126" s="228"/>
      <c r="J126" s="111"/>
      <c r="K126" s="305" t="str">
        <f>'テンプレート'!K132</f>
        <v>踏まれ</v>
      </c>
      <c r="L126" s="314" t="str">
        <f>'テンプレート'!L132</f>
        <v>地上踏まれ</v>
      </c>
      <c r="M126" s="113" t="s">
        <v>76</v>
      </c>
      <c r="N126" s="315"/>
      <c r="O126" s="228"/>
      <c r="P126" s="228"/>
      <c r="Q126" s="228"/>
      <c r="R126" s="228"/>
      <c r="S126" s="228"/>
      <c r="T126" s="228"/>
      <c r="U126" s="228"/>
      <c r="V126" s="228"/>
    </row>
    <row r="127" outlineLevel="1">
      <c r="A127" s="146"/>
      <c r="B127" s="300" t="s">
        <v>245</v>
      </c>
      <c r="C127" s="307" t="str">
        <f t="array" ref="C127">INDEX('起きあがり'!$R$3:$S$115, MATCH($A$1,'起きあがり'!$A$3:$A$115,0), MATCH(C110,'起きあがり'!$R$2:$AD$2,0))</f>
        <v>1-19</v>
      </c>
      <c r="D127" s="308">
        <f t="array" ref="D127">INDEX('起きあがり'!$R$3:$S$115, MATCH($A$1,'起きあがり'!$A$3:$A$115,0), MATCH(D110,'起きあがり'!$R$2:$AD$2,0))</f>
        <v>35</v>
      </c>
      <c r="E127" s="301"/>
      <c r="F127" s="301"/>
      <c r="G127" s="301"/>
      <c r="H127" s="228"/>
      <c r="I127" s="228"/>
      <c r="J127" s="117"/>
      <c r="K127" s="146"/>
      <c r="L127" s="314" t="s">
        <v>693</v>
      </c>
      <c r="M127" s="113">
        <v>28.0</v>
      </c>
      <c r="N127" s="102"/>
      <c r="O127" s="118"/>
      <c r="P127" s="118"/>
      <c r="Q127" s="118"/>
      <c r="R127" s="118"/>
      <c r="S127" s="118"/>
      <c r="T127" s="118"/>
      <c r="U127" s="118"/>
      <c r="V127" s="118"/>
    </row>
    <row r="128" outlineLevel="1">
      <c r="A128" s="146"/>
      <c r="B128" s="300" t="s">
        <v>246</v>
      </c>
      <c r="C128" s="307" t="str">
        <f t="array" ref="C128">INDEX('起きあがり'!$T$3:$U$115, MATCH($A$1,'起きあがり'!$A$3:$A$115,0), MATCH(C110,'起きあがり'!$T$2:$AD$2,0))</f>
        <v>1-25</v>
      </c>
      <c r="D128" s="308">
        <f t="array" ref="D128">INDEX('起きあがり'!$T$3:$U$115, MATCH($A$1,'起きあがり'!$A$3:$A$115,0), MATCH(D110,'起きあがり'!$T$2:$AD$2,0))</f>
        <v>35</v>
      </c>
      <c r="E128" s="301"/>
      <c r="F128" s="301"/>
      <c r="G128" s="301"/>
      <c r="H128" s="228"/>
      <c r="I128" s="228"/>
      <c r="J128" s="111"/>
      <c r="K128" s="146"/>
      <c r="L128" s="314" t="str">
        <f>'テンプレート'!L134</f>
        <v>空中踏まれ</v>
      </c>
      <c r="M128" s="113">
        <v>8.0</v>
      </c>
      <c r="N128" s="102"/>
      <c r="O128" s="118"/>
      <c r="P128" s="118"/>
      <c r="Q128" s="118"/>
      <c r="R128" s="118"/>
      <c r="S128" s="118"/>
      <c r="T128" s="118"/>
      <c r="U128" s="118"/>
      <c r="V128" s="118"/>
    </row>
    <row r="129" outlineLevel="1">
      <c r="A129" s="146"/>
      <c r="B129" s="300" t="s">
        <v>249</v>
      </c>
      <c r="C129" s="309" t="str">
        <f t="array" ref="C129">INDEX('起きあがり'!$V$3:$Y$115, MATCH($A$1,'起きあがり'!$A$3:$A$115,0), MATCH(C110,'起きあがり'!$V$2:$AD$2,0))</f>
        <v>1-25</v>
      </c>
      <c r="D129" s="310">
        <f t="array" ref="D129">INDEX('起きあがり'!$V$3:$Y$115, MATCH($A$1,'起きあがり'!$A$3:$A$115,0), MATCH(D110,'起きあがり'!$V$2:$AD$2,0))</f>
        <v>45</v>
      </c>
      <c r="E129" s="307" t="str">
        <f t="array" ref="E129">INDEX('起きあがり'!$V$3:$Y$115, MATCH($A$1,'起きあがり'!$A$3:$A$115,0), MATCH(E110,'起きあがり'!$V$2:$AD$2,0))</f>
        <v>14-15</v>
      </c>
      <c r="F129" s="308">
        <f t="array" ref="F129">INDEX('起きあがり'!$V$3:$Y$115, MATCH($A$1,'起きあがり'!$A$3:$A$115,0), MATCH(F110,'起きあがり'!$V$2:$AD$2,0))</f>
        <v>7</v>
      </c>
      <c r="G129" s="113">
        <f t="shared" ref="G129:G130" si="2">F129*1.2</f>
        <v>8.4</v>
      </c>
      <c r="H129" s="228"/>
      <c r="I129" s="228"/>
      <c r="J129" s="117"/>
      <c r="K129" s="146"/>
      <c r="L129" s="314" t="str">
        <f>'テンプレート'!L135</f>
        <v>空中落下</v>
      </c>
      <c r="M129" s="113">
        <v>32.0</v>
      </c>
      <c r="N129" s="102"/>
      <c r="O129" s="118"/>
      <c r="P129" s="118"/>
      <c r="Q129" s="118"/>
      <c r="R129" s="118"/>
      <c r="S129" s="118"/>
      <c r="T129" s="118"/>
      <c r="U129" s="118"/>
      <c r="V129" s="118"/>
    </row>
    <row r="130" outlineLevel="1">
      <c r="A130" s="156"/>
      <c r="B130" s="311" t="s">
        <v>250</v>
      </c>
      <c r="C130" s="156"/>
      <c r="D130" s="156"/>
      <c r="E130" s="307" t="str">
        <f t="array" ref="E130">INDEX('起きあがり'!$Z$3:$AA$115, MATCH($A$1,'起きあがり'!$A$3:$A$115,0), MATCH(E110,'起きあがり'!$Z$2:$AD$2,0))</f>
        <v>24-25</v>
      </c>
      <c r="F130" s="308">
        <f t="array" ref="F130">INDEX('起きあがり'!$Z$3:$AA$115, MATCH($A$1,'起きあがり'!$A$3:$A$115,0), MATCH(F110,'起きあがり'!$Z$2:$AD$2,0))</f>
        <v>7</v>
      </c>
      <c r="G130" s="113">
        <f t="shared" si="2"/>
        <v>8.4</v>
      </c>
      <c r="H130" s="228"/>
      <c r="I130" s="228"/>
      <c r="J130" s="117"/>
      <c r="K130" s="304" t="str">
        <f>'テンプレート'!K136</f>
        <v>倒れダメージ</v>
      </c>
      <c r="L130" s="110"/>
      <c r="M130" s="298" t="str">
        <f>'テンプレート'!M136</f>
        <v>全体フレーム</v>
      </c>
      <c r="N130" s="102"/>
      <c r="O130" s="118"/>
      <c r="P130" s="118"/>
      <c r="Q130" s="118"/>
      <c r="R130" s="118"/>
      <c r="S130" s="118"/>
      <c r="T130" s="118"/>
      <c r="U130" s="118"/>
      <c r="V130" s="118"/>
    </row>
    <row r="131" outlineLevel="1">
      <c r="A131" s="299" t="s">
        <v>252</v>
      </c>
      <c r="B131" s="300" t="s">
        <v>253</v>
      </c>
      <c r="C131" s="307" t="str">
        <f t="array" ref="C131">INDEX('転倒'!$C$3:$D115, MATCH($A$1,'転倒'!$A$3:$A$115,0), MATCH(C110,'転倒'!$C$2:$AC$2,0))</f>
        <v>1-5</v>
      </c>
      <c r="D131" s="308">
        <f t="array" ref="D131">INDEX('転倒'!$C$3:$D115, MATCH($A$1,'転倒'!$A$3:$A$115,0), MATCH(D110,'転倒'!$C$2:$AC$2,0))</f>
        <v>29</v>
      </c>
      <c r="E131" s="301"/>
      <c r="F131" s="301"/>
      <c r="G131" s="301"/>
      <c r="H131" s="228"/>
      <c r="I131" s="228"/>
      <c r="J131" s="111"/>
      <c r="K131" s="313" t="str">
        <f>'テンプレート'!K137</f>
        <v>あお向け倒れ</v>
      </c>
      <c r="L131" s="306" t="str">
        <f>'テンプレート'!L137</f>
        <v>モーション大</v>
      </c>
      <c r="M131" s="113">
        <v>39.0</v>
      </c>
      <c r="N131" s="315"/>
      <c r="O131" s="118"/>
      <c r="P131" s="118"/>
      <c r="Q131" s="118"/>
      <c r="R131" s="118"/>
      <c r="S131" s="118"/>
      <c r="T131" s="118"/>
      <c r="U131" s="118"/>
      <c r="V131" s="118"/>
    </row>
    <row r="132" outlineLevel="1">
      <c r="A132" s="146"/>
      <c r="B132" s="300" t="s">
        <v>254</v>
      </c>
      <c r="C132" s="307" t="str">
        <f t="array" ref="C132">INDEX('転倒'!$E$3:$F115, MATCH($A$1,'転倒'!$A$3:$A$115,0), MATCH(C110,'転倒'!$E$2:$AC$2,0))</f>
        <v>1-5</v>
      </c>
      <c r="D132" s="308">
        <f t="array" ref="D132">INDEX('転倒'!$E$3:$F115, MATCH($A$1,'転倒'!$A$3:$A$115,0), MATCH(D110,'転倒'!$E$2:$AC$2,0))</f>
        <v>39</v>
      </c>
      <c r="E132" s="301"/>
      <c r="F132" s="301"/>
      <c r="G132" s="301"/>
      <c r="H132" s="228"/>
      <c r="I132" s="228"/>
      <c r="J132" s="117"/>
      <c r="K132" s="313" t="str">
        <f>'テンプレート'!K138</f>
        <v>うつ伏せ倒れ</v>
      </c>
      <c r="L132" s="306" t="str">
        <f>'テンプレート'!L138</f>
        <v>モーション大</v>
      </c>
      <c r="M132" s="113" t="s">
        <v>118</v>
      </c>
      <c r="N132" s="315"/>
      <c r="O132" s="118"/>
      <c r="P132" s="118"/>
      <c r="Q132" s="118"/>
      <c r="R132" s="118"/>
      <c r="S132" s="118"/>
      <c r="T132" s="118"/>
      <c r="U132" s="118"/>
      <c r="V132" s="118"/>
    </row>
    <row r="133" outlineLevel="1">
      <c r="A133" s="146"/>
      <c r="B133" s="300" t="s">
        <v>216</v>
      </c>
      <c r="C133" s="307" t="str">
        <f t="array" ref="C133">INDEX('転倒'!$G$3:$H$115, MATCH($A$1,'転倒'!$A$3:$A$115,0), MATCH(C110,'転倒'!$G$2:$AC$2,0))</f>
        <v>1-16</v>
      </c>
      <c r="D133" s="308">
        <f t="array" ref="D133">INDEX('転倒'!$G$3:$H$115, MATCH($A$1,'転倒'!$A$3:$A$115,0), MATCH(D110,'転倒'!$G$2:$AC$2,0))</f>
        <v>21</v>
      </c>
      <c r="E133" s="301"/>
      <c r="F133" s="301"/>
      <c r="G133" s="301"/>
      <c r="H133" s="228"/>
      <c r="I133" s="228"/>
      <c r="J133" s="111"/>
      <c r="K133" s="304" t="str">
        <f>'テンプレート'!K139</f>
        <v/>
      </c>
      <c r="L133" s="110"/>
      <c r="M133" s="298" t="str">
        <f>'テンプレート'!M139</f>
        <v/>
      </c>
      <c r="N133" s="102"/>
      <c r="O133" s="118"/>
      <c r="P133" s="118"/>
      <c r="Q133" s="118"/>
      <c r="R133" s="118"/>
      <c r="S133" s="118"/>
      <c r="T133" s="118"/>
      <c r="U133" s="118"/>
      <c r="V133" s="118"/>
    </row>
    <row r="134" outlineLevel="1">
      <c r="A134" s="146"/>
      <c r="B134" s="300" t="s">
        <v>245</v>
      </c>
      <c r="C134" s="307" t="str">
        <f t="array" ref="C134">INDEX('転倒'!$I$3:$J$115, MATCH($A$1,'転倒'!$A$3:$A$115,0), MATCH(C110,'転倒'!$I$2:$AC$2,0))</f>
        <v>1-9</v>
      </c>
      <c r="D134" s="308">
        <f t="array" ref="D134">INDEX('転倒'!$I$3:$J$115, MATCH($A$1,'転倒'!$A$3:$A$115,0), MATCH(D110,'転倒'!$I$2:$AC$2,0))</f>
        <v>28</v>
      </c>
      <c r="E134" s="301"/>
      <c r="F134" s="301"/>
      <c r="G134" s="301"/>
      <c r="H134" s="228"/>
      <c r="I134" s="228"/>
      <c r="J134" s="228"/>
      <c r="K134" s="316"/>
      <c r="L134" s="317" t="str">
        <f>'テンプレート'!L140</f>
        <v/>
      </c>
      <c r="M134" s="113" t="s">
        <v>76</v>
      </c>
      <c r="N134" s="102"/>
      <c r="O134" s="118"/>
      <c r="P134" s="118"/>
      <c r="Q134" s="118"/>
      <c r="R134" s="118"/>
      <c r="S134" s="118"/>
      <c r="T134" s="118"/>
      <c r="U134" s="118"/>
      <c r="V134" s="118"/>
    </row>
    <row r="135" outlineLevel="1">
      <c r="A135" s="146"/>
      <c r="B135" s="300" t="s">
        <v>246</v>
      </c>
      <c r="C135" s="307" t="str">
        <f t="array" ref="C135">INDEX('転倒'!$K$3:$L$115, MATCH($A$1,'転倒'!$A$3:$A$115,0), MATCH(C110,'転倒'!$K$2:$AC$2,0))</f>
        <v>1-9</v>
      </c>
      <c r="D135" s="308">
        <f t="array" ref="D135">INDEX('転倒'!$K$3:$L$115, MATCH($A$1,'転倒'!$A$3:$A$115,0), MATCH(D110,'転倒'!$K$2:$AC$2,0))</f>
        <v>28</v>
      </c>
      <c r="E135" s="301"/>
      <c r="F135" s="301"/>
      <c r="G135" s="301"/>
      <c r="H135" s="228"/>
      <c r="I135" s="228"/>
      <c r="J135" s="228"/>
      <c r="K135" s="318"/>
      <c r="L135" s="118"/>
      <c r="M135" s="118"/>
      <c r="N135" s="102"/>
      <c r="O135" s="118"/>
      <c r="P135" s="118"/>
      <c r="Q135" s="118"/>
      <c r="R135" s="118"/>
      <c r="S135" s="118"/>
      <c r="T135" s="118"/>
      <c r="U135" s="118"/>
      <c r="V135" s="118"/>
    </row>
    <row r="136" outlineLevel="1">
      <c r="A136" s="146"/>
      <c r="B136" s="300" t="s">
        <v>249</v>
      </c>
      <c r="C136" s="309" t="str">
        <f t="array" ref="C136">INDEX('転倒'!$M$3:$P$115, MATCH($A$1,'転倒'!$A$3:$A$115,0), MATCH(C110,'転倒'!$M$2:$AC$2,0))</f>
        <v>1-7</v>
      </c>
      <c r="D136" s="310">
        <f t="array" ref="D136">INDEX('転倒'!$M$3:$P$115, MATCH($A$1,'転倒'!$A$3:$A$115,0), MATCH(D110,'転倒'!$M$2:$AC$2,0))</f>
        <v>49</v>
      </c>
      <c r="E136" s="307" t="str">
        <f t="array" ref="E136">INDEX('転倒'!$M$3:$P$115, MATCH($A$1,'転倒'!$A$3:$A$115,0), MATCH(E110,'転倒'!$M$2:$AC$2,0))</f>
        <v>18-19</v>
      </c>
      <c r="F136" s="308">
        <f t="array" ref="F136">INDEX('転倒'!$M$3:$P$115, MATCH($A$1,'転倒'!$A$3:$A$115,0), MATCH(F110,'転倒'!$M$2:$AC$2,0))</f>
        <v>5</v>
      </c>
      <c r="G136" s="113">
        <f t="shared" ref="G136:G137" si="3">F136*1.2</f>
        <v>6</v>
      </c>
      <c r="H136" s="228"/>
      <c r="I136" s="228"/>
      <c r="J136" s="228"/>
      <c r="K136" s="118"/>
      <c r="L136" s="118"/>
      <c r="M136" s="118"/>
      <c r="N136" s="102"/>
      <c r="O136" s="102"/>
      <c r="P136" s="102"/>
      <c r="Q136" s="102"/>
      <c r="R136" s="118"/>
      <c r="S136" s="118"/>
      <c r="T136" s="118"/>
      <c r="U136" s="118"/>
      <c r="V136" s="118"/>
    </row>
    <row r="137" outlineLevel="1">
      <c r="A137" s="156"/>
      <c r="B137" s="311" t="s">
        <v>250</v>
      </c>
      <c r="C137" s="156"/>
      <c r="D137" s="156"/>
      <c r="E137" s="307" t="str">
        <f t="array" ref="E137">INDEX('転倒'!$Q$3:$R$115, MATCH($A$1,'転倒'!$A$3:$A$115,0), MATCH(E110,'転倒'!$Q$2:$AC$2,0))</f>
        <v>23-24</v>
      </c>
      <c r="F137" s="308">
        <f t="array" ref="F137">INDEX('転倒'!$Q$3:$R$115, MATCH($A$1,'転倒'!$A$3:$A$115,0), MATCH(F110,'転倒'!$Q$2:$AC$2,0))</f>
        <v>5</v>
      </c>
      <c r="G137" s="113">
        <f t="shared" si="3"/>
        <v>6</v>
      </c>
      <c r="H137" s="228"/>
      <c r="I137" s="228"/>
      <c r="J137" s="228"/>
      <c r="K137" s="118"/>
      <c r="L137" s="118"/>
      <c r="M137" s="118"/>
      <c r="N137" s="102"/>
      <c r="O137" s="102"/>
      <c r="P137" s="102"/>
      <c r="Q137" s="102"/>
      <c r="R137" s="118"/>
      <c r="S137" s="118"/>
      <c r="T137" s="118"/>
      <c r="U137" s="118"/>
      <c r="V137" s="118"/>
    </row>
    <row r="138" outlineLevel="1">
      <c r="A138" s="319"/>
      <c r="B138" s="320"/>
      <c r="C138" s="321"/>
      <c r="D138" s="321"/>
      <c r="E138" s="322"/>
      <c r="F138" s="322"/>
      <c r="G138" s="114"/>
      <c r="H138" s="228"/>
      <c r="I138" s="228"/>
      <c r="J138" s="228"/>
      <c r="K138" s="118"/>
      <c r="L138" s="118"/>
      <c r="M138" s="118"/>
      <c r="N138" s="102"/>
      <c r="O138" s="102"/>
      <c r="P138" s="102"/>
      <c r="Q138" s="102"/>
      <c r="R138" s="118"/>
      <c r="S138" s="118"/>
      <c r="T138" s="118"/>
      <c r="U138" s="118"/>
      <c r="V138" s="118"/>
    </row>
    <row r="139" outlineLevel="1">
      <c r="A139" s="323" t="s">
        <v>255</v>
      </c>
      <c r="B139" s="109"/>
      <c r="C139" s="321"/>
      <c r="D139" s="321"/>
      <c r="E139" s="322"/>
      <c r="F139" s="322"/>
      <c r="G139" s="114"/>
      <c r="H139" s="228"/>
      <c r="I139" s="228"/>
      <c r="J139" s="228"/>
      <c r="K139" s="118"/>
      <c r="L139" s="118"/>
      <c r="M139" s="118"/>
      <c r="N139" s="102"/>
      <c r="O139" s="102"/>
      <c r="P139" s="102"/>
      <c r="Q139" s="102"/>
      <c r="R139" s="118"/>
      <c r="S139" s="118"/>
      <c r="T139" s="118"/>
      <c r="U139" s="118"/>
      <c r="V139" s="118"/>
    </row>
    <row r="140" outlineLevel="1">
      <c r="A140" s="324" t="s">
        <v>256</v>
      </c>
      <c r="B140" s="109"/>
      <c r="C140" s="325" t="s">
        <v>257</v>
      </c>
      <c r="D140" s="325" t="s">
        <v>49</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258</v>
      </c>
      <c r="B141" s="327" t="s">
        <v>216</v>
      </c>
      <c r="C141" s="328" t="str">
        <f t="array" ref="C141">INDEX('アイテム'!$C$3:$D$114, MATCH($A$1,'アイテム'!$A$3:$A$114,0), MATCH(C140,'アイテム'!$C$2:$AQ$2,0))</f>
        <v>3</v>
      </c>
      <c r="D141" s="328">
        <f t="array" ref="D141">INDEX('アイテム'!$C$3:$D$114, MATCH($A$1,'アイテム'!$A$3:$A$114,0), MATCH(D140,'アイテム'!$C$2:$AQ$2,0))</f>
        <v>7</v>
      </c>
      <c r="E141" s="322"/>
      <c r="F141" s="322"/>
      <c r="G141" s="114"/>
      <c r="H141" s="228"/>
      <c r="I141" s="228"/>
      <c r="J141" s="228"/>
      <c r="K141" s="118"/>
      <c r="L141" s="118"/>
      <c r="M141" s="118"/>
      <c r="N141" s="102"/>
      <c r="O141" s="102"/>
      <c r="P141" s="102"/>
      <c r="Q141" s="102"/>
      <c r="R141" s="118"/>
      <c r="S141" s="118"/>
      <c r="T141" s="118"/>
      <c r="U141" s="118"/>
      <c r="V141" s="118"/>
    </row>
    <row r="142" outlineLevel="1">
      <c r="A142" s="156"/>
      <c r="B142" s="327" t="s">
        <v>219</v>
      </c>
      <c r="C142" s="328" t="str">
        <f t="array" ref="C142">INDEX('アイテム'!$E$3:$F$114, MATCH($A$1,'アイテム'!$A$3:$A$114,0), MATCH(C140,'アイテム'!$C$2:$AQ$2,0))</f>
        <v>2</v>
      </c>
      <c r="D142" s="328">
        <f t="array" ref="D142">INDEX('アイテム'!$E$3:$F$114, MATCH($A$1,'アイテム'!$A$3:$A$114,0), MATCH(D140,'アイテム'!$C$2:$AQ$2,0))</f>
        <v>19</v>
      </c>
      <c r="E142" s="322"/>
      <c r="F142" s="322"/>
      <c r="G142" s="114"/>
      <c r="H142" s="228"/>
      <c r="I142" s="228"/>
      <c r="J142" s="228"/>
      <c r="K142" s="118"/>
      <c r="L142" s="118"/>
      <c r="M142" s="118"/>
      <c r="N142" s="102"/>
      <c r="O142" s="102"/>
      <c r="P142" s="102"/>
      <c r="Q142" s="102"/>
      <c r="R142" s="118"/>
      <c r="S142" s="118"/>
      <c r="T142" s="118"/>
      <c r="U142" s="118"/>
      <c r="V142" s="118"/>
    </row>
    <row r="143" outlineLevel="1">
      <c r="A143" s="329" t="s">
        <v>259</v>
      </c>
      <c r="B143" s="327" t="s">
        <v>216</v>
      </c>
      <c r="C143" s="328">
        <f t="array" ref="C143">INDEX('アイテム'!$AA$3:$AB$114, MATCH($A$1,'アイテム'!$A$3:$A$114,0), MATCH(C140,'アイテム'!$C$2:$AQ$2,0))</f>
        <v>3</v>
      </c>
      <c r="D143" s="328" t="str">
        <f t="array" ref="D143">INDEX('アイテム'!$AA$3:$AB$114, MATCH($A$1,'アイテム'!$A$3:$A$114,0), MATCH(D140,'アイテム'!$C$2:$AQ$2,0))</f>
        <v>12</v>
      </c>
      <c r="E143" s="322"/>
      <c r="F143" s="322"/>
      <c r="G143" s="114"/>
      <c r="H143" s="228"/>
      <c r="I143" s="228"/>
      <c r="J143" s="228"/>
      <c r="K143" s="118"/>
      <c r="L143" s="118"/>
      <c r="M143" s="118"/>
      <c r="N143" s="102"/>
      <c r="O143" s="102"/>
      <c r="P143" s="102"/>
      <c r="Q143" s="102"/>
      <c r="R143" s="118"/>
      <c r="S143" s="118"/>
      <c r="T143" s="118"/>
      <c r="U143" s="118"/>
      <c r="V143" s="118"/>
    </row>
    <row r="144" outlineLevel="1">
      <c r="A144" s="324" t="s">
        <v>260</v>
      </c>
      <c r="B144" s="109"/>
      <c r="C144" s="325" t="s">
        <v>261</v>
      </c>
      <c r="D144" s="325" t="s">
        <v>49</v>
      </c>
      <c r="E144" s="322"/>
      <c r="F144" s="322"/>
      <c r="G144" s="114"/>
      <c r="H144" s="228"/>
      <c r="I144" s="228"/>
      <c r="J144" s="228"/>
      <c r="K144" s="118"/>
      <c r="L144" s="118"/>
      <c r="M144" s="118"/>
      <c r="N144" s="102"/>
      <c r="O144" s="102"/>
      <c r="P144" s="102"/>
      <c r="Q144" s="102"/>
      <c r="R144" s="118"/>
      <c r="S144" s="118"/>
      <c r="T144" s="118"/>
      <c r="U144" s="118"/>
      <c r="V144" s="118"/>
    </row>
    <row r="145" outlineLevel="1">
      <c r="A145" s="326" t="s">
        <v>262</v>
      </c>
      <c r="B145" s="327" t="s">
        <v>226</v>
      </c>
      <c r="C145" s="328" t="str">
        <f t="array" ref="C145">INDEX('アイテム'!$G$3:$H$114, MATCH($A$1,'アイテム'!$A$3:$A$114,0), MATCH(C140,'アイテム'!$C$2:$AQ$2,0))</f>
        <v>8</v>
      </c>
      <c r="D145" s="328">
        <f t="array" ref="D145">INDEX('アイテム'!$G$3:$H$114, MATCH($A$1,'アイテム'!$A$3:$A$114,0), MATCH(D140,'アイテム'!$C$2:$AQ$2,0))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229</v>
      </c>
      <c r="C146" s="328" t="str">
        <f t="array" ref="C146">INDEX('アイテム'!$I$3:$J$114, MATCH($A$1,'アイテム'!$A$3:$A$114,0), MATCH(C140,'アイテム'!$C$2:$AQ$2,0))</f>
        <v>11</v>
      </c>
      <c r="D146" s="328">
        <f t="array" ref="D146">INDEX('アイテム'!$I$3:$J$114, MATCH($A$1,'アイテム'!$A$3:$A$114,0), MATCH(D140,'アイテム'!$C$2:$AQ$2,0))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233</v>
      </c>
      <c r="C147" s="328" t="str">
        <f t="array" ref="C147">INDEX('アイテム'!$K$3:$L$114, MATCH($A$1,'アイテム'!$A$3:$A$114,0), MATCH(C140,'アイテム'!$C$2:$AQ$2,0))</f>
        <v>12</v>
      </c>
      <c r="D147" s="328">
        <f t="array" ref="D147">INDEX('アイテム'!$K$3:$L$114, MATCH($A$1,'アイテム'!$A$3:$A$114,0), MATCH(D140,'アイテム'!$C$2:$AQ$2,0))</f>
        <v>23</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234</v>
      </c>
      <c r="C148" s="328" t="str">
        <f t="array" ref="C148">INDEX('アイテム'!$M$3:$N$114, MATCH($A$1,'アイテム'!$A$3:$A$114,0), MATCH(C140,'アイテム'!$C$2:$AQ$2,0))</f>
        <v>7</v>
      </c>
      <c r="D148" s="328">
        <f t="array" ref="D148">INDEX('アイテム'!$M$3:$N$114, MATCH($A$1,'アイテム'!$A$3:$A$114,0), MATCH(D140,'アイテム'!$C$2:$AQ$2,0))</f>
        <v>19</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219</v>
      </c>
      <c r="C149" s="328" t="str">
        <f t="array" ref="C149">INDEX('アイテム'!$O$3:$P$114, MATCH($A$1,'アイテム'!$A$3:$A$114,0), MATCH(C140,'アイテム'!$C$2:$AQ$2,0))</f>
        <v>5</v>
      </c>
      <c r="D149" s="328">
        <f t="array" ref="D149">INDEX('アイテム'!$O$3:$P$114, MATCH($A$1,'アイテム'!$A$3:$A$114,0), MATCH(D140,'アイテム'!$C$2:$AQ$2,0))</f>
        <v>29</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263</v>
      </c>
      <c r="C150" s="328" t="str">
        <f t="array" ref="C150">INDEX('アイテム'!$Q$3:$R$114, MATCH($A$1,'アイテム'!$A$3:$A$114,0), MATCH(C140,'アイテム'!$C$2:$AQ$2,0))</f>
        <v>6</v>
      </c>
      <c r="D150" s="328">
        <f t="array" ref="D150">INDEX('アイテム'!$Q$3:$R$114, MATCH($A$1,'アイテム'!$A$3:$A$114,0), MATCH(D140,'アイテム'!$C$2:$AQ$2,0))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264</v>
      </c>
      <c r="B151" s="327" t="s">
        <v>226</v>
      </c>
      <c r="C151" s="328" t="str">
        <f t="array" ref="C151">INDEX('アイテム'!$S$3:$T$114, MATCH($A$1,'アイテム'!$A$3:$A$114,0), MATCH(C140,'アイテム'!$C$2:$AQ$2,0))</f>
        <v>8</v>
      </c>
      <c r="D151" s="328">
        <f t="array" ref="D151">INDEX('アイテム'!$S$3:$T$114, MATCH($A$1,'アイテム'!$A$3:$A$114,0), MATCH(D140,'アイテム'!$C$2:$AQ$2,0))</f>
        <v>24</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229</v>
      </c>
      <c r="C152" s="328" t="str">
        <f t="array" ref="C152">INDEX('アイテム'!$U$3:$V$114, MATCH($A$1,'アイテム'!$A$3:$A$114,0), MATCH(C140,'アイテム'!$C$2:$AQ$2,0))</f>
        <v>11</v>
      </c>
      <c r="D152" s="328">
        <f t="array" ref="D152">INDEX('アイテム'!$U$3:$V$114, MATCH($A$1,'アイテム'!$A$3:$A$114,0), MATCH(D140,'アイテム'!$C$2:$AQ$2,0))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233</v>
      </c>
      <c r="C153" s="328" t="str">
        <f t="array" ref="C153">INDEX('アイテム'!$W$3:$X$114, MATCH($A$1,'アイテム'!$A$3:$A$114,0), MATCH(C140,'アイテム'!$C$2:$AQ$2,0))</f>
        <v>12</v>
      </c>
      <c r="D153" s="328">
        <f t="array" ref="D153">INDEX('アイテム'!$W$3:$X$114, MATCH($A$1,'アイテム'!$A$3:$A$114,0), MATCH(D140,'アイテム'!$C$2:$AQ$2,0))</f>
        <v>23</v>
      </c>
      <c r="E153" s="322"/>
      <c r="F153" s="322"/>
      <c r="G153" s="114"/>
      <c r="H153" s="228"/>
      <c r="I153" s="228"/>
      <c r="J153" s="228"/>
      <c r="K153" s="118"/>
      <c r="L153" s="118"/>
      <c r="M153" s="118"/>
      <c r="N153" s="102"/>
      <c r="O153" s="102"/>
      <c r="P153" s="102"/>
      <c r="Q153" s="102"/>
      <c r="R153" s="118"/>
      <c r="S153" s="118"/>
      <c r="T153" s="118"/>
      <c r="U153" s="118"/>
      <c r="V153" s="118"/>
    </row>
    <row r="154" outlineLevel="1">
      <c r="A154" s="156"/>
      <c r="B154" s="327" t="s">
        <v>234</v>
      </c>
      <c r="C154" s="328" t="str">
        <f t="array" ref="C154">INDEX('アイテム'!$Y$3:$Z$114, MATCH($A$1,'アイテム'!$A$3:$A$114,0), MATCH(C140,'アイテム'!$C$2:$AQ$2,0))</f>
        <v>7</v>
      </c>
      <c r="D154" s="328">
        <f t="array" ref="D154">INDEX('アイテム'!$Y$3:$Z$114, MATCH($A$1,'アイテム'!$A$3:$A$114,0), MATCH(D140,'アイテム'!$C$2:$AQ$2,0))</f>
        <v>19</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265</v>
      </c>
      <c r="B155" s="327" t="s">
        <v>226</v>
      </c>
      <c r="C155" s="328">
        <f t="array" ref="C155">INDEX('アイテム'!$AC$3:$AD$114, MATCH($A$1,'アイテム'!$A$3:$A$114,0), MATCH(C140,'アイテム'!$C$2:$AQ$2,0))</f>
        <v>18</v>
      </c>
      <c r="D155" s="328" t="str">
        <f t="array" ref="D155">INDEX('アイテム'!$AC$3:$AD$114, MATCH($A$1,'アイテム'!$A$3:$A$114,0), MATCH(D140,'アイテム'!$C$2:$AQ$2,0))</f>
        <v>30</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229</v>
      </c>
      <c r="C156" s="328">
        <f t="array" ref="C156">INDEX('アイテム'!$AE$3:$AF$114, MATCH($A$1,'アイテム'!$A$3:$A$114,0), MATCH(C140,'アイテム'!$C$2:$AQ$2,0))</f>
        <v>16</v>
      </c>
      <c r="D156" s="328" t="str">
        <f t="array" ref="D156">INDEX('アイテム'!$AE$3:$AF$114, MATCH($A$1,'アイテム'!$A$3:$A$114,0), MATCH(D140,'アイテム'!$C$2:$AQ$2,0))</f>
        <v>30</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233</v>
      </c>
      <c r="C157" s="328">
        <f t="array" ref="C157">INDEX('アイテム'!$AG$3:$AH$114, MATCH($A$1,'アイテム'!$A$3:$A$114,0), MATCH(C140,'アイテム'!$C$2:$AQ$2,0))</f>
        <v>11</v>
      </c>
      <c r="D157" s="328" t="str">
        <f t="array" ref="D157">INDEX('アイテム'!$AG$3:$AH$114, MATCH($A$1,'アイテム'!$A$3:$A$114,0), MATCH(D140,'アイテム'!$C$2:$AQ$2,0))</f>
        <v>22</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234</v>
      </c>
      <c r="C158" s="328">
        <f t="array" ref="C158">INDEX('アイテム'!$AI$3:$AJ$114, MATCH($A$1,'アイテム'!$A$3:$A$114,0), MATCH(C140,'アイテム'!$C$2:$AQ$2,0))</f>
        <v>15</v>
      </c>
      <c r="D158" s="328" t="str">
        <f t="array" ref="D158">INDEX('アイテム'!$AI$3:$AJ$114, MATCH($A$1,'アイテム'!$A$3:$A$114,0), MATCH(D140,'アイテム'!$C$2:$AQ$2,0))</f>
        <v>22</v>
      </c>
      <c r="E158" s="322"/>
      <c r="F158" s="322"/>
      <c r="G158" s="114"/>
      <c r="H158" s="228"/>
      <c r="I158" s="228"/>
      <c r="J158" s="228"/>
      <c r="K158" s="118"/>
      <c r="L158" s="118"/>
      <c r="M158" s="118"/>
      <c r="N158" s="102"/>
      <c r="O158" s="102"/>
      <c r="P158" s="102"/>
      <c r="Q158" s="102"/>
      <c r="R158" s="118"/>
      <c r="S158" s="118"/>
      <c r="T158" s="118"/>
      <c r="U158" s="118"/>
      <c r="V158" s="118"/>
    </row>
  </sheetData>
  <mergeCells count="159">
    <mergeCell ref="U34:U36"/>
    <mergeCell ref="U37:U38"/>
    <mergeCell ref="U40:U42"/>
    <mergeCell ref="U43:U45"/>
    <mergeCell ref="U46:U47"/>
    <mergeCell ref="R50:V50"/>
    <mergeCell ref="R51:V52"/>
    <mergeCell ref="U73:U75"/>
    <mergeCell ref="V73:V75"/>
    <mergeCell ref="U77:U83"/>
    <mergeCell ref="V77:V83"/>
    <mergeCell ref="R53:V54"/>
    <mergeCell ref="R55:V56"/>
    <mergeCell ref="R57:V58"/>
    <mergeCell ref="R59:V59"/>
    <mergeCell ref="V63:V66"/>
    <mergeCell ref="U68:U71"/>
    <mergeCell ref="V68:V71"/>
    <mergeCell ref="H32:J33"/>
    <mergeCell ref="H34:J36"/>
    <mergeCell ref="H37:J38"/>
    <mergeCell ref="H39:J39"/>
    <mergeCell ref="H40:J42"/>
    <mergeCell ref="H43:J45"/>
    <mergeCell ref="H46:J47"/>
    <mergeCell ref="I51:I52"/>
    <mergeCell ref="J51:J52"/>
    <mergeCell ref="I53:I54"/>
    <mergeCell ref="J53:J54"/>
    <mergeCell ref="I55:I56"/>
    <mergeCell ref="J55:J56"/>
    <mergeCell ref="I57:I58"/>
    <mergeCell ref="H73:J75"/>
    <mergeCell ref="H76:J76"/>
    <mergeCell ref="H77:J79"/>
    <mergeCell ref="H80:J83"/>
    <mergeCell ref="G91:J91"/>
    <mergeCell ref="G92:J93"/>
    <mergeCell ref="G94:J95"/>
    <mergeCell ref="K120:K123"/>
    <mergeCell ref="K126:K129"/>
    <mergeCell ref="K130:L130"/>
    <mergeCell ref="K133:L133"/>
    <mergeCell ref="G96:J97"/>
    <mergeCell ref="G98:J99"/>
    <mergeCell ref="K110:L110"/>
    <mergeCell ref="K111:K112"/>
    <mergeCell ref="K113:L113"/>
    <mergeCell ref="K114:K119"/>
    <mergeCell ref="K124:L124"/>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C34:C36"/>
    <mergeCell ref="C37:C38"/>
    <mergeCell ref="E37:E38"/>
    <mergeCell ref="F37:F38"/>
    <mergeCell ref="G37:G38"/>
    <mergeCell ref="H26:J26"/>
    <mergeCell ref="H27:J27"/>
    <mergeCell ref="H28:J28"/>
    <mergeCell ref="H29:J29"/>
    <mergeCell ref="H30:J30"/>
    <mergeCell ref="H31:J31"/>
    <mergeCell ref="U32:U33"/>
    <mergeCell ref="J57:J58"/>
    <mergeCell ref="H62:J62"/>
    <mergeCell ref="H63:J66"/>
    <mergeCell ref="U63:U66"/>
    <mergeCell ref="A65:A66"/>
    <mergeCell ref="H67:J67"/>
    <mergeCell ref="H68:J69"/>
    <mergeCell ref="H70:J71"/>
    <mergeCell ref="H72:J72"/>
    <mergeCell ref="A80:A83"/>
    <mergeCell ref="A88:A90"/>
    <mergeCell ref="A91:B91"/>
    <mergeCell ref="A92:A93"/>
    <mergeCell ref="A94:A95"/>
    <mergeCell ref="A96:A97"/>
    <mergeCell ref="A98:A99"/>
    <mergeCell ref="A101:B102"/>
    <mergeCell ref="A103:A105"/>
    <mergeCell ref="A106:A107"/>
    <mergeCell ref="A109:B110"/>
    <mergeCell ref="A111:A115"/>
    <mergeCell ref="A116:A118"/>
    <mergeCell ref="A119:A124"/>
    <mergeCell ref="A151:A154"/>
    <mergeCell ref="A155:A158"/>
    <mergeCell ref="A125:A130"/>
    <mergeCell ref="A131:A137"/>
    <mergeCell ref="A139:B139"/>
    <mergeCell ref="A140:B140"/>
    <mergeCell ref="A141:A142"/>
    <mergeCell ref="A144:B144"/>
    <mergeCell ref="A145:A150"/>
    <mergeCell ref="A24:B25"/>
    <mergeCell ref="A26:A31"/>
    <mergeCell ref="A32:A33"/>
    <mergeCell ref="D32:D33"/>
    <mergeCell ref="A34:A36"/>
    <mergeCell ref="D34:D36"/>
    <mergeCell ref="D37:D38"/>
    <mergeCell ref="A37:A38"/>
    <mergeCell ref="A40:A42"/>
    <mergeCell ref="C40:C42"/>
    <mergeCell ref="D40:D42"/>
    <mergeCell ref="A43:A45"/>
    <mergeCell ref="D43:D45"/>
    <mergeCell ref="D46:D47"/>
    <mergeCell ref="A46:A47"/>
    <mergeCell ref="A49:B50"/>
    <mergeCell ref="A51:A52"/>
    <mergeCell ref="D51:D52"/>
    <mergeCell ref="A53:A54"/>
    <mergeCell ref="D53:D54"/>
    <mergeCell ref="D55:D56"/>
    <mergeCell ref="D57:D58"/>
    <mergeCell ref="A55:A56"/>
    <mergeCell ref="A57:A58"/>
    <mergeCell ref="A61:B61"/>
    <mergeCell ref="A62:B62"/>
    <mergeCell ref="A63:A64"/>
    <mergeCell ref="A67:B67"/>
    <mergeCell ref="A68:A69"/>
    <mergeCell ref="D77:D79"/>
    <mergeCell ref="D80:D82"/>
    <mergeCell ref="D92:D93"/>
    <mergeCell ref="D94:D95"/>
    <mergeCell ref="D96:D97"/>
    <mergeCell ref="D98:D99"/>
    <mergeCell ref="A70:A71"/>
    <mergeCell ref="A72:B72"/>
    <mergeCell ref="A73:A75"/>
    <mergeCell ref="D74:D75"/>
    <mergeCell ref="A76:B76"/>
    <mergeCell ref="A77:A79"/>
    <mergeCell ref="A85:B86"/>
    <mergeCell ref="C123:C124"/>
    <mergeCell ref="D123:D124"/>
    <mergeCell ref="C129:C130"/>
    <mergeCell ref="D129:D130"/>
    <mergeCell ref="C136:C137"/>
    <mergeCell ref="D136:D137"/>
  </mergeCells>
  <conditionalFormatting sqref="K1:K15 K17:K134">
    <cfRule type="containsText" dxfId="0" priority="1" operator="containsText" text="361">
      <formula>NOT(ISERROR(SEARCH(("361"),(K1))))</formula>
    </cfRule>
  </conditionalFormatting>
  <conditionalFormatting sqref="K1:K15 K17:K134">
    <cfRule type="containsText" dxfId="1" priority="2" operator="containsText" text="363">
      <formula>NOT(ISERROR(SEARCH(("363"),(K1))))</formula>
    </cfRule>
  </conditionalFormatting>
  <conditionalFormatting sqref="K1:K15 K17:K134">
    <cfRule type="containsText" dxfId="1" priority="3" operator="containsText" text="365">
      <formula>NOT(ISERROR(SEARCH(("365"),(K1))))</formula>
    </cfRule>
  </conditionalFormatting>
  <conditionalFormatting sqref="K1:K15 K17:K134">
    <cfRule type="containsText" dxfId="1" priority="4" operator="containsText" text="366">
      <formula>NOT(ISERROR(SEARCH(("366"),(K1))))</formula>
    </cfRule>
  </conditionalFormatting>
  <conditionalFormatting sqref="K1:K15 K17:K134">
    <cfRule type="containsText" dxfId="1" priority="5" operator="containsText" text="367">
      <formula>NOT(ISERROR(SEARCH(("367"),(K1))))</formula>
    </cfRule>
  </conditionalFormatting>
  <conditionalFormatting sqref="P92:P99">
    <cfRule type="cellIs" dxfId="2" priority="6" operator="equal">
      <formula>"敵のみ"</formula>
    </cfRule>
  </conditionalFormatting>
  <conditionalFormatting sqref="C92:C99">
    <cfRule type="cellIs" dxfId="3" priority="7" operator="equal">
      <formula>"-"</formula>
    </cfRule>
  </conditionalFormatting>
  <conditionalFormatting sqref="O1:O158 G68 D70:D71 G70 D73:F73 G73:G75 K73:N73 P73:T73 C98 E98:F98 K98:N98 P98:P99 Q98">
    <cfRule type="cellIs" dxfId="4" priority="8" operator="greaterThan">
      <formula>0</formula>
    </cfRule>
  </conditionalFormatting>
  <conditionalFormatting sqref="P1:Q158">
    <cfRule type="cellIs" dxfId="5" priority="9" operator="lessThan">
      <formula>1</formula>
    </cfRule>
  </conditionalFormatting>
  <conditionalFormatting sqref="P1:Q158">
    <cfRule type="cellIs" dxfId="4" priority="10" operator="greaterThan">
      <formula>1</formula>
    </cfRule>
  </conditionalFormatting>
  <conditionalFormatting sqref="N25:N99">
    <cfRule type="cellIs" dxfId="6" priority="11" operator="greaterThan">
      <formula>0</formula>
    </cfRule>
  </conditionalFormatting>
  <conditionalFormatting sqref="N1:N15 N17:N158">
    <cfRule type="containsText" dxfId="6" priority="12" operator="containsText" text="/">
      <formula>NOT(ISERROR(SEARCH(("/"),(N1))))</formula>
    </cfRule>
  </conditionalFormatting>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ADB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872">
        <v>12.0</v>
      </c>
      <c r="B1" s="873"/>
      <c r="C1" s="874" t="str">
        <f>IMAGE(VLOOKUP($A$1,Fighters!A2:AI114,12,FALSE),1)</f>
        <v>#REF!</v>
      </c>
      <c r="D1" s="875"/>
      <c r="E1" s="875"/>
      <c r="F1" s="875"/>
      <c r="G1" s="876"/>
      <c r="H1" s="877"/>
      <c r="I1" s="875"/>
      <c r="J1" s="876"/>
      <c r="K1" s="878"/>
      <c r="L1" s="875"/>
      <c r="M1" s="876"/>
      <c r="N1" s="879"/>
      <c r="O1" s="879"/>
      <c r="P1" s="879"/>
      <c r="Q1" s="879"/>
      <c r="R1" s="880"/>
      <c r="S1" s="880"/>
      <c r="T1" s="880"/>
      <c r="U1" s="880"/>
      <c r="V1" s="880"/>
    </row>
    <row r="2">
      <c r="A2" s="881" t="str">
        <f>VLOOKUP($A$1,Fighters!$A$2:$AI$81,6,FALSE)</f>
        <v>#efadbb</v>
      </c>
      <c r="B2" s="873"/>
      <c r="C2" s="882"/>
      <c r="G2" s="883"/>
      <c r="H2" s="884"/>
      <c r="I2" s="885"/>
      <c r="J2" s="886"/>
      <c r="K2" s="884"/>
      <c r="L2" s="885"/>
      <c r="M2" s="886"/>
      <c r="N2" s="879"/>
      <c r="O2" s="879"/>
      <c r="P2" s="879"/>
      <c r="Q2" s="879"/>
      <c r="R2" s="880"/>
      <c r="S2" s="880"/>
      <c r="T2" s="880"/>
      <c r="U2" s="880"/>
      <c r="V2" s="880"/>
    </row>
    <row r="3">
      <c r="A3" s="881" t="str">
        <f>VLOOKUP($A$1,Fighters!$A$2:$AI$81,14,FALSE)</f>
        <v>12. プリン</v>
      </c>
      <c r="B3" s="873"/>
      <c r="C3" s="882"/>
      <c r="G3" s="883"/>
      <c r="H3" s="887"/>
      <c r="I3" s="887"/>
      <c r="J3" s="887"/>
      <c r="K3" s="888"/>
      <c r="L3" s="888"/>
      <c r="M3" s="888"/>
      <c r="N3" s="879"/>
      <c r="O3" s="879"/>
      <c r="P3" s="879"/>
      <c r="Q3" s="879"/>
      <c r="R3" s="889"/>
      <c r="S3" s="880"/>
      <c r="T3" s="880"/>
      <c r="U3" s="880"/>
      <c r="V3" s="880"/>
    </row>
    <row r="4">
      <c r="A4" s="881" t="str">
        <f>VLOOKUP($A$1,Fighters!$A$2:$AI$81,13,FALSE)</f>
        <v>0</v>
      </c>
      <c r="B4" s="873"/>
      <c r="C4" s="882"/>
      <c r="G4" s="883"/>
      <c r="H4" s="890"/>
      <c r="I4" s="890"/>
      <c r="J4" s="887"/>
      <c r="K4" s="888"/>
      <c r="L4" s="888"/>
      <c r="M4" s="888"/>
      <c r="N4" s="879"/>
      <c r="O4" s="879"/>
      <c r="P4" s="879"/>
      <c r="Q4" s="879"/>
      <c r="R4" s="889"/>
      <c r="S4" s="880"/>
      <c r="T4" s="880"/>
      <c r="U4" s="880"/>
      <c r="V4" s="880"/>
    </row>
    <row r="5" ht="16.5" customHeight="1">
      <c r="A5" s="872"/>
      <c r="B5" s="873"/>
      <c r="C5" s="882"/>
      <c r="G5" s="883"/>
      <c r="H5" s="891"/>
      <c r="I5" s="891"/>
      <c r="J5" s="892"/>
      <c r="K5" s="893"/>
      <c r="L5" s="894"/>
      <c r="M5" s="894"/>
      <c r="N5" s="879"/>
      <c r="O5" s="879"/>
      <c r="P5" s="879"/>
      <c r="Q5" s="879"/>
      <c r="R5" s="889"/>
      <c r="S5" s="880"/>
      <c r="T5" s="880"/>
      <c r="U5" s="880"/>
      <c r="V5" s="880"/>
    </row>
    <row r="6">
      <c r="A6" s="873"/>
      <c r="B6" s="873"/>
      <c r="C6" s="882"/>
      <c r="G6" s="883"/>
      <c r="H6" s="890"/>
      <c r="I6" s="895" t="s">
        <v>39</v>
      </c>
      <c r="J6" s="893"/>
      <c r="K6" s="896"/>
      <c r="L6" s="894"/>
      <c r="M6" s="894"/>
      <c r="N6" s="879"/>
      <c r="O6" s="879"/>
      <c r="P6" s="879"/>
      <c r="Q6" s="879"/>
      <c r="R6" s="889"/>
      <c r="S6" s="880"/>
      <c r="T6" s="880"/>
      <c r="U6" s="880"/>
      <c r="V6" s="880"/>
    </row>
    <row r="7">
      <c r="A7" s="873"/>
      <c r="B7" s="873"/>
      <c r="C7" s="882"/>
      <c r="G7" s="883"/>
      <c r="H7" s="891"/>
      <c r="I7" s="891"/>
      <c r="J7" s="893"/>
      <c r="K7" s="896"/>
      <c r="L7" s="894"/>
      <c r="M7" s="894"/>
      <c r="N7" s="879"/>
      <c r="O7" s="879"/>
      <c r="P7" s="879"/>
      <c r="Q7" s="879"/>
      <c r="R7" s="889"/>
      <c r="S7" s="880"/>
      <c r="T7" s="880"/>
      <c r="U7" s="880"/>
      <c r="V7" s="880"/>
    </row>
    <row r="8">
      <c r="A8" s="873"/>
      <c r="B8" s="873"/>
      <c r="C8" s="882"/>
      <c r="G8" s="883"/>
      <c r="H8" s="897">
        <v>44488.435188171294</v>
      </c>
      <c r="I8" s="875"/>
      <c r="J8" s="876"/>
      <c r="K8" s="893"/>
      <c r="L8" s="894"/>
      <c r="M8" s="894"/>
      <c r="N8" s="879"/>
      <c r="O8" s="879"/>
      <c r="P8" s="879"/>
      <c r="Q8" s="879"/>
      <c r="R8" s="889"/>
      <c r="S8" s="880"/>
      <c r="T8" s="880"/>
      <c r="U8" s="880"/>
      <c r="V8" s="880"/>
    </row>
    <row r="9">
      <c r="A9" s="873"/>
      <c r="B9" s="873"/>
      <c r="C9" s="882"/>
      <c r="G9" s="883"/>
      <c r="H9" s="884"/>
      <c r="I9" s="885"/>
      <c r="J9" s="886"/>
      <c r="K9" s="880"/>
      <c r="L9" s="879"/>
      <c r="M9" s="879"/>
      <c r="N9" s="879"/>
      <c r="O9" s="879"/>
      <c r="P9" s="879"/>
      <c r="Q9" s="879"/>
      <c r="R9" s="889"/>
      <c r="S9" s="880"/>
      <c r="T9" s="880"/>
      <c r="U9" s="880"/>
      <c r="V9" s="880"/>
    </row>
    <row r="10">
      <c r="A10" s="873"/>
      <c r="B10" s="873"/>
      <c r="C10" s="882"/>
      <c r="G10" s="883"/>
      <c r="H10" s="898"/>
      <c r="I10" s="898"/>
      <c r="J10" s="880"/>
      <c r="K10" s="880"/>
      <c r="L10" s="879"/>
      <c r="M10" s="879"/>
      <c r="N10" s="879"/>
      <c r="O10" s="879"/>
      <c r="P10" s="879"/>
      <c r="Q10" s="879"/>
      <c r="R10" s="889"/>
      <c r="S10" s="880"/>
      <c r="T10" s="880"/>
      <c r="U10" s="880"/>
      <c r="V10" s="880"/>
    </row>
    <row r="11">
      <c r="A11" s="899" t="s">
        <v>40</v>
      </c>
      <c r="B11" s="876"/>
      <c r="C11" s="882"/>
      <c r="G11" s="883"/>
      <c r="H11" s="891"/>
      <c r="I11" s="891"/>
      <c r="J11" s="880"/>
      <c r="K11" s="880"/>
      <c r="L11" s="879"/>
      <c r="M11" s="879"/>
      <c r="N11" s="879"/>
      <c r="O11" s="879"/>
      <c r="P11" s="879"/>
      <c r="Q11" s="879"/>
      <c r="R11" s="889"/>
      <c r="S11" s="880"/>
      <c r="T11" s="880"/>
      <c r="U11" s="880"/>
      <c r="V11" s="880"/>
    </row>
    <row r="12">
      <c r="A12" s="884"/>
      <c r="B12" s="886"/>
      <c r="C12" s="884"/>
      <c r="D12" s="885"/>
      <c r="E12" s="885"/>
      <c r="F12" s="885"/>
      <c r="G12" s="886"/>
      <c r="H12" s="900"/>
      <c r="I12" s="900"/>
      <c r="J12" s="873"/>
      <c r="K12" s="873"/>
      <c r="L12" s="879"/>
      <c r="M12" s="879"/>
      <c r="N12" s="879"/>
      <c r="O12" s="879"/>
      <c r="P12" s="879"/>
      <c r="Q12" s="879"/>
      <c r="R12" s="889"/>
      <c r="S12" s="880"/>
      <c r="T12" s="880"/>
      <c r="U12" s="880"/>
      <c r="V12" s="880"/>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694</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68 [88th]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1.65 [83rd]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0.735 [87th]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0.13519 [61st]</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19.79 [87th]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1.271 [87th]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0.087 [75th]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11.26 [87th]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13F [73rd]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1.332 [2nd]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0.13 [1st]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24.87 [83rd]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0.98 [89th]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0.0375 [3rd]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1.568 [89th]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0.053 [89th]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267</v>
      </c>
      <c r="D26" s="139" t="s">
        <v>1165</v>
      </c>
      <c r="E26" s="139" t="s">
        <v>204</v>
      </c>
      <c r="F26" s="138">
        <v>3.6</v>
      </c>
      <c r="G26" s="139" t="s">
        <v>147</v>
      </c>
      <c r="H26" s="140" t="s">
        <v>1166</v>
      </c>
      <c r="I26" s="110"/>
      <c r="J26" s="109"/>
      <c r="K26" s="138"/>
      <c r="L26" s="282"/>
      <c r="M26" s="363"/>
      <c r="N26" s="363"/>
      <c r="O26" s="145">
        <v>0.0</v>
      </c>
      <c r="P26" s="145">
        <v>1.0</v>
      </c>
      <c r="Q26" s="145">
        <v>1.0</v>
      </c>
      <c r="R26" s="100"/>
      <c r="S26" s="100"/>
      <c r="T26" s="100"/>
      <c r="U26" s="145" t="s">
        <v>69</v>
      </c>
      <c r="V26" s="100"/>
    </row>
    <row r="27" outlineLevel="1">
      <c r="A27" s="156"/>
      <c r="B27" s="147" t="s">
        <v>63</v>
      </c>
      <c r="C27" s="467" t="s">
        <v>267</v>
      </c>
      <c r="D27" s="450" t="s">
        <v>153</v>
      </c>
      <c r="E27" s="216" t="s">
        <v>204</v>
      </c>
      <c r="F27" s="138">
        <v>3.6</v>
      </c>
      <c r="G27" s="216" t="s">
        <v>147</v>
      </c>
      <c r="H27" s="159"/>
      <c r="I27" s="110"/>
      <c r="J27" s="109"/>
      <c r="K27" s="282"/>
      <c r="L27" s="282"/>
      <c r="M27" s="363"/>
      <c r="N27" s="363"/>
      <c r="O27" s="145">
        <v>0.0</v>
      </c>
      <c r="P27" s="145">
        <v>1.0</v>
      </c>
      <c r="Q27" s="145">
        <v>1.0</v>
      </c>
      <c r="R27" s="100"/>
      <c r="S27" s="100"/>
      <c r="T27" s="100"/>
      <c r="U27" s="145" t="s">
        <v>76</v>
      </c>
      <c r="V27" s="100"/>
    </row>
    <row r="28" outlineLevel="1">
      <c r="A28" s="133" t="s">
        <v>77</v>
      </c>
      <c r="B28" s="160"/>
      <c r="C28" s="216" t="s">
        <v>91</v>
      </c>
      <c r="D28" s="455" t="s">
        <v>118</v>
      </c>
      <c r="E28" s="467" t="s">
        <v>129</v>
      </c>
      <c r="F28" s="138">
        <v>14.4</v>
      </c>
      <c r="G28" s="467" t="s">
        <v>88</v>
      </c>
      <c r="H28" s="163" t="s">
        <v>1167</v>
      </c>
      <c r="I28" s="164"/>
      <c r="J28" s="104"/>
      <c r="K28" s="138"/>
      <c r="L28" s="282"/>
      <c r="M28" s="363"/>
      <c r="N28" s="363"/>
      <c r="O28" s="145">
        <v>0.0</v>
      </c>
      <c r="P28" s="145">
        <v>1.0</v>
      </c>
      <c r="Q28" s="145">
        <v>1.0</v>
      </c>
      <c r="R28" s="100"/>
      <c r="S28" s="100"/>
      <c r="T28" s="100"/>
      <c r="U28" s="166" t="s">
        <v>69</v>
      </c>
      <c r="V28" s="100"/>
    </row>
    <row r="29" outlineLevel="1">
      <c r="A29" s="156"/>
      <c r="B29" s="147" t="s">
        <v>84</v>
      </c>
      <c r="C29" s="216" t="s">
        <v>1168</v>
      </c>
      <c r="D29" s="107"/>
      <c r="E29" s="467" t="s">
        <v>80</v>
      </c>
      <c r="F29" s="138">
        <v>9.6</v>
      </c>
      <c r="G29" s="467" t="s">
        <v>123</v>
      </c>
      <c r="H29" s="106"/>
      <c r="I29" s="168"/>
      <c r="J29" s="107"/>
      <c r="K29" s="282"/>
      <c r="L29" s="282"/>
      <c r="M29" s="363"/>
      <c r="N29" s="363"/>
      <c r="O29" s="145">
        <v>0.0</v>
      </c>
      <c r="P29" s="145">
        <v>1.0</v>
      </c>
      <c r="Q29" s="145">
        <v>1.0</v>
      </c>
      <c r="R29" s="100"/>
      <c r="S29" s="100"/>
      <c r="T29" s="100"/>
      <c r="U29" s="156"/>
      <c r="V29" s="100"/>
    </row>
    <row r="30" outlineLevel="1">
      <c r="A30" s="170" t="s">
        <v>89</v>
      </c>
      <c r="B30" s="147" t="s">
        <v>90</v>
      </c>
      <c r="C30" s="467" t="s">
        <v>975</v>
      </c>
      <c r="D30" s="450" t="s">
        <v>268</v>
      </c>
      <c r="E30" s="467" t="s">
        <v>128</v>
      </c>
      <c r="F30" s="138">
        <v>12.0</v>
      </c>
      <c r="G30" s="467" t="s">
        <v>121</v>
      </c>
      <c r="H30" s="159"/>
      <c r="I30" s="110"/>
      <c r="J30" s="109"/>
      <c r="K30" s="138"/>
      <c r="L30" s="282"/>
      <c r="M30" s="363"/>
      <c r="N30" s="363"/>
      <c r="O30" s="145">
        <v>0.0</v>
      </c>
      <c r="P30" s="145">
        <v>1.0</v>
      </c>
      <c r="Q30" s="145">
        <v>1.0</v>
      </c>
      <c r="R30" s="100"/>
      <c r="S30" s="100"/>
      <c r="T30" s="100"/>
      <c r="U30" s="145" t="s">
        <v>62</v>
      </c>
      <c r="V30" s="100"/>
    </row>
    <row r="31" outlineLevel="1">
      <c r="A31" s="133" t="s">
        <v>97</v>
      </c>
      <c r="B31" s="160"/>
      <c r="C31" s="467" t="s">
        <v>220</v>
      </c>
      <c r="D31" s="195" t="s">
        <v>268</v>
      </c>
      <c r="E31" s="467" t="s">
        <v>274</v>
      </c>
      <c r="F31" s="138">
        <v>10.8</v>
      </c>
      <c r="G31" s="467" t="s">
        <v>275</v>
      </c>
      <c r="H31" s="456"/>
      <c r="I31" s="164"/>
      <c r="J31" s="104"/>
      <c r="K31" s="282"/>
      <c r="L31" s="282"/>
      <c r="M31" s="363"/>
      <c r="N31" s="363"/>
      <c r="O31" s="145">
        <v>0.0</v>
      </c>
      <c r="P31" s="145">
        <v>1.0</v>
      </c>
      <c r="Q31" s="145">
        <v>1.0</v>
      </c>
      <c r="R31" s="100"/>
      <c r="S31" s="100"/>
      <c r="T31" s="100"/>
      <c r="U31" s="166" t="s">
        <v>62</v>
      </c>
      <c r="V31" s="100"/>
    </row>
    <row r="32" outlineLevel="1">
      <c r="A32" s="156"/>
      <c r="B32" s="147" t="s">
        <v>84</v>
      </c>
      <c r="C32" s="467" t="s">
        <v>382</v>
      </c>
      <c r="D32" s="107"/>
      <c r="E32" s="467" t="s">
        <v>80</v>
      </c>
      <c r="F32" s="138">
        <v>9.6</v>
      </c>
      <c r="G32" s="467" t="s">
        <v>123</v>
      </c>
      <c r="H32" s="106"/>
      <c r="I32" s="168"/>
      <c r="J32" s="107"/>
      <c r="K32" s="145"/>
      <c r="L32" s="363"/>
      <c r="M32" s="363"/>
      <c r="N32" s="363"/>
      <c r="O32" s="145">
        <v>0.0</v>
      </c>
      <c r="P32" s="145">
        <v>1.0</v>
      </c>
      <c r="Q32" s="145">
        <v>1.0</v>
      </c>
      <c r="R32" s="100"/>
      <c r="S32" s="100"/>
      <c r="T32" s="100"/>
      <c r="U32" s="156"/>
      <c r="V32" s="100"/>
    </row>
    <row r="33" outlineLevel="1">
      <c r="A33" s="170" t="s">
        <v>103</v>
      </c>
      <c r="B33" s="160"/>
      <c r="C33" s="467" t="s">
        <v>627</v>
      </c>
      <c r="D33" s="467" t="s">
        <v>164</v>
      </c>
      <c r="E33" s="467" t="s">
        <v>128</v>
      </c>
      <c r="F33" s="138">
        <v>12.0</v>
      </c>
      <c r="G33" s="467" t="s">
        <v>121</v>
      </c>
      <c r="H33" s="159"/>
      <c r="I33" s="110"/>
      <c r="J33" s="109"/>
      <c r="K33" s="145"/>
      <c r="L33" s="363"/>
      <c r="M33" s="363"/>
      <c r="N33" s="363"/>
      <c r="O33" s="145">
        <v>0.0</v>
      </c>
      <c r="P33" s="145">
        <v>1.0</v>
      </c>
      <c r="Q33" s="145">
        <v>1.0</v>
      </c>
      <c r="R33" s="100"/>
      <c r="S33" s="100"/>
      <c r="T33" s="100"/>
      <c r="U33" s="145" t="s">
        <v>62</v>
      </c>
      <c r="V33" s="100"/>
    </row>
    <row r="34" outlineLevel="1">
      <c r="A34" s="133" t="s">
        <v>109</v>
      </c>
      <c r="B34" s="147"/>
      <c r="C34" s="467" t="s">
        <v>409</v>
      </c>
      <c r="D34" s="455" t="s">
        <v>185</v>
      </c>
      <c r="E34" s="216" t="s">
        <v>153</v>
      </c>
      <c r="F34" s="138">
        <v>19.2</v>
      </c>
      <c r="G34" s="467" t="s">
        <v>88</v>
      </c>
      <c r="H34" s="163" t="s">
        <v>442</v>
      </c>
      <c r="I34" s="164"/>
      <c r="J34" s="104"/>
      <c r="K34" s="282"/>
      <c r="L34" s="282"/>
      <c r="M34" s="363"/>
      <c r="N34" s="363"/>
      <c r="O34" s="145">
        <v>0.0</v>
      </c>
      <c r="P34" s="145">
        <v>1.0</v>
      </c>
      <c r="Q34" s="145">
        <v>1.0</v>
      </c>
      <c r="R34" s="100"/>
      <c r="S34" s="100"/>
      <c r="T34" s="100"/>
      <c r="U34" s="166" t="s">
        <v>102</v>
      </c>
      <c r="V34" s="100"/>
    </row>
    <row r="35" outlineLevel="1">
      <c r="A35" s="156"/>
      <c r="B35" s="147" t="s">
        <v>84</v>
      </c>
      <c r="C35" s="467" t="s">
        <v>1169</v>
      </c>
      <c r="D35" s="107"/>
      <c r="E35" s="216" t="s">
        <v>119</v>
      </c>
      <c r="F35" s="138">
        <v>16.8</v>
      </c>
      <c r="G35" s="467" t="s">
        <v>121</v>
      </c>
      <c r="H35" s="106"/>
      <c r="I35" s="168"/>
      <c r="J35" s="107"/>
      <c r="K35" s="282"/>
      <c r="L35" s="282"/>
      <c r="M35" s="363"/>
      <c r="N35" s="363"/>
      <c r="O35" s="145">
        <v>0.0</v>
      </c>
      <c r="P35" s="145">
        <v>1.0</v>
      </c>
      <c r="Q35" s="145">
        <v>1.0</v>
      </c>
      <c r="R35" s="100"/>
      <c r="S35" s="100"/>
      <c r="T35" s="100"/>
      <c r="U35" s="156"/>
      <c r="V35" s="100"/>
    </row>
    <row r="36" outlineLevel="1">
      <c r="A36" s="170" t="s">
        <v>116</v>
      </c>
      <c r="B36" s="160"/>
      <c r="C36" s="467" t="s">
        <v>409</v>
      </c>
      <c r="D36" s="467" t="s">
        <v>146</v>
      </c>
      <c r="E36" s="450" t="s">
        <v>386</v>
      </c>
      <c r="F36" s="138">
        <v>18.0</v>
      </c>
      <c r="G36" s="467" t="s">
        <v>121</v>
      </c>
      <c r="H36" s="151" t="s">
        <v>1170</v>
      </c>
      <c r="I36" s="110"/>
      <c r="J36" s="109"/>
      <c r="K36" s="363"/>
      <c r="L36" s="363"/>
      <c r="M36" s="363"/>
      <c r="N36" s="363"/>
      <c r="O36" s="145">
        <v>0.0</v>
      </c>
      <c r="P36" s="145">
        <v>1.0</v>
      </c>
      <c r="Q36" s="145">
        <v>1.0</v>
      </c>
      <c r="R36" s="100"/>
      <c r="S36" s="100"/>
      <c r="T36" s="100"/>
      <c r="U36" s="145" t="s">
        <v>62</v>
      </c>
      <c r="V36" s="100"/>
    </row>
    <row r="37" outlineLevel="1">
      <c r="A37" s="170" t="s">
        <v>124</v>
      </c>
      <c r="B37" s="147"/>
      <c r="C37" s="216" t="s">
        <v>325</v>
      </c>
      <c r="D37" s="467" t="s">
        <v>541</v>
      </c>
      <c r="E37" s="467" t="s">
        <v>232</v>
      </c>
      <c r="F37" s="138">
        <v>13.2</v>
      </c>
      <c r="G37" s="467" t="s">
        <v>123</v>
      </c>
      <c r="H37" s="151" t="s">
        <v>1171</v>
      </c>
      <c r="I37" s="110"/>
      <c r="J37" s="109"/>
      <c r="K37" s="282"/>
      <c r="L37" s="282"/>
      <c r="M37" s="363"/>
      <c r="N37" s="363"/>
      <c r="O37" s="145">
        <v>0.0</v>
      </c>
      <c r="P37" s="145">
        <v>1.0</v>
      </c>
      <c r="Q37" s="145">
        <v>1.0</v>
      </c>
      <c r="R37" s="100"/>
      <c r="S37" s="100"/>
      <c r="T37" s="100"/>
      <c r="U37" s="145" t="s">
        <v>62</v>
      </c>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tr">
        <f>'テンプレート'!I56</f>
        <v>着地隙</v>
      </c>
      <c r="J40" s="184" t="s">
        <v>136</v>
      </c>
      <c r="K40" s="184" t="str">
        <f>'テンプレート'!K56</f>
        <v>ベクトル</v>
      </c>
      <c r="L40" s="184" t="str">
        <f>'テンプレート'!L56</f>
        <v>KBG (R.E.)</v>
      </c>
      <c r="M40" s="184" t="str">
        <f>'テンプレート'!M56</f>
        <v>BKB (R.A.)</v>
      </c>
      <c r="N40" s="184" t="str">
        <f>'テンプレート'!N56</f>
        <v>FKB (R.F.)</v>
      </c>
      <c r="O40" s="186" t="str">
        <f>'テンプレート'!O56</f>
        <v>盾削り値</v>
      </c>
      <c r="P40" s="184" t="str">
        <f>'テンプレート'!P56</f>
        <v>ﾋｯﾄｽﾄｯﾌﾟ</v>
      </c>
      <c r="Q40" s="186" t="str">
        <f>'テンプレート'!Q56</f>
        <v>ずらし</v>
      </c>
      <c r="R40" s="372" t="str">
        <f>'テンプレート'!R56</f>
        <v>備考</v>
      </c>
      <c r="S40" s="110"/>
      <c r="T40" s="110"/>
      <c r="U40" s="110"/>
      <c r="V40" s="110"/>
    </row>
    <row r="41" outlineLevel="1">
      <c r="A41" s="188" t="s">
        <v>144</v>
      </c>
      <c r="B41" s="373"/>
      <c r="C41" s="239" t="s">
        <v>217</v>
      </c>
      <c r="D41" s="452" t="s">
        <v>127</v>
      </c>
      <c r="E41" s="401" t="s">
        <v>232</v>
      </c>
      <c r="F41" s="193">
        <v>13.2</v>
      </c>
      <c r="G41" s="193">
        <v>11.22</v>
      </c>
      <c r="H41" s="138" t="s">
        <v>147</v>
      </c>
      <c r="I41" s="454" t="str">
        <f t="array" ref="I41">INDEX('空中攻撃'!$O$3:$AA$109, MATCH($A$1,'空中攻撃'!$A$3:$A$109,0), MATCH(A41,'空中攻撃'!$O$2:$S$2,0))</f>
        <v>9</v>
      </c>
      <c r="J41" s="455" t="s">
        <v>649</v>
      </c>
      <c r="K41" s="138"/>
      <c r="L41" s="282"/>
      <c r="M41" s="363"/>
      <c r="N41" s="363"/>
      <c r="O41" s="145">
        <v>0.0</v>
      </c>
      <c r="P41" s="145">
        <v>1.0</v>
      </c>
      <c r="Q41" s="145">
        <v>1.0</v>
      </c>
      <c r="R41" s="619"/>
      <c r="S41" s="164"/>
      <c r="T41" s="164"/>
      <c r="U41" s="164"/>
      <c r="V41" s="104"/>
    </row>
    <row r="42" outlineLevel="1">
      <c r="A42" s="156"/>
      <c r="B42" s="373" t="s">
        <v>84</v>
      </c>
      <c r="C42" s="239" t="s">
        <v>1172</v>
      </c>
      <c r="D42" s="107"/>
      <c r="E42" s="239" t="s">
        <v>86</v>
      </c>
      <c r="F42" s="138">
        <v>7.199999999999999</v>
      </c>
      <c r="G42" s="138">
        <v>6.12</v>
      </c>
      <c r="H42" s="138" t="s">
        <v>60</v>
      </c>
      <c r="I42" s="156"/>
      <c r="J42" s="107"/>
      <c r="K42" s="138"/>
      <c r="L42" s="282"/>
      <c r="M42" s="363"/>
      <c r="N42" s="363"/>
      <c r="O42" s="145">
        <v>0.0</v>
      </c>
      <c r="P42" s="145">
        <v>1.0</v>
      </c>
      <c r="Q42" s="145">
        <v>1.0</v>
      </c>
      <c r="R42" s="106"/>
      <c r="S42" s="168"/>
      <c r="T42" s="168"/>
      <c r="U42" s="168"/>
      <c r="V42" s="107"/>
    </row>
    <row r="43" outlineLevel="1">
      <c r="A43" s="188" t="s">
        <v>151</v>
      </c>
      <c r="B43" s="373"/>
      <c r="C43" s="239" t="s">
        <v>518</v>
      </c>
      <c r="D43" s="452">
        <v>36.0</v>
      </c>
      <c r="E43" s="239" t="s">
        <v>274</v>
      </c>
      <c r="F43" s="138">
        <v>10.799999999999999</v>
      </c>
      <c r="G43" s="138">
        <v>9.18</v>
      </c>
      <c r="H43" s="138" t="s">
        <v>147</v>
      </c>
      <c r="I43" s="454" t="str">
        <f t="array" ref="I43">INDEX('空中攻撃'!$O$3:$AA$109, MATCH($A$1,'空中攻撃'!$A$3:$A$109,0), MATCH(A43,'空中攻撃'!$O$2:$S$2,0))</f>
        <v>9</v>
      </c>
      <c r="J43" s="455" t="s">
        <v>1173</v>
      </c>
      <c r="K43" s="138"/>
      <c r="L43" s="282"/>
      <c r="M43" s="363"/>
      <c r="N43" s="363"/>
      <c r="O43" s="145">
        <v>0.0</v>
      </c>
      <c r="P43" s="145">
        <v>1.0</v>
      </c>
      <c r="Q43" s="145">
        <v>1.0</v>
      </c>
      <c r="R43" s="619"/>
      <c r="S43" s="164"/>
      <c r="T43" s="164"/>
      <c r="U43" s="164"/>
      <c r="V43" s="104"/>
    </row>
    <row r="44" outlineLevel="1">
      <c r="A44" s="156"/>
      <c r="B44" s="373" t="s">
        <v>84</v>
      </c>
      <c r="C44" s="239" t="s">
        <v>1174</v>
      </c>
      <c r="D44" s="107"/>
      <c r="E44" s="239" t="s">
        <v>86</v>
      </c>
      <c r="F44" s="138">
        <v>7.199999999999999</v>
      </c>
      <c r="G44" s="138">
        <v>6.12</v>
      </c>
      <c r="H44" s="138" t="s">
        <v>60</v>
      </c>
      <c r="I44" s="156"/>
      <c r="J44" s="107"/>
      <c r="K44" s="138"/>
      <c r="L44" s="282"/>
      <c r="M44" s="363"/>
      <c r="N44" s="363"/>
      <c r="O44" s="145">
        <v>0.0</v>
      </c>
      <c r="P44" s="145">
        <v>1.0</v>
      </c>
      <c r="Q44" s="145">
        <v>1.0</v>
      </c>
      <c r="R44" s="106"/>
      <c r="S44" s="168"/>
      <c r="T44" s="168"/>
      <c r="U44" s="168"/>
      <c r="V44" s="107"/>
    </row>
    <row r="45" outlineLevel="1">
      <c r="A45" s="213" t="s">
        <v>157</v>
      </c>
      <c r="B45" s="373"/>
      <c r="C45" s="365" t="s">
        <v>223</v>
      </c>
      <c r="D45" s="450" t="s">
        <v>193</v>
      </c>
      <c r="E45" s="239" t="s">
        <v>228</v>
      </c>
      <c r="F45" s="138">
        <v>15.6</v>
      </c>
      <c r="G45" s="138">
        <v>13.26</v>
      </c>
      <c r="H45" s="138" t="s">
        <v>75</v>
      </c>
      <c r="I45" s="365" t="s">
        <v>80</v>
      </c>
      <c r="J45" s="450" t="s">
        <v>1175</v>
      </c>
      <c r="K45" s="138"/>
      <c r="L45" s="282"/>
      <c r="M45" s="363"/>
      <c r="N45" s="363"/>
      <c r="O45" s="145">
        <v>0.0</v>
      </c>
      <c r="P45" s="145">
        <v>1.0</v>
      </c>
      <c r="Q45" s="145">
        <v>1.0</v>
      </c>
      <c r="R45" s="622"/>
      <c r="S45" s="110"/>
      <c r="T45" s="110"/>
      <c r="U45" s="110"/>
      <c r="V45" s="109"/>
    </row>
    <row r="46" outlineLevel="1">
      <c r="A46" s="213" t="s">
        <v>162</v>
      </c>
      <c r="B46" s="373"/>
      <c r="C46" s="239" t="s">
        <v>1176</v>
      </c>
      <c r="D46" s="216" t="s">
        <v>118</v>
      </c>
      <c r="E46" s="239" t="s">
        <v>274</v>
      </c>
      <c r="F46" s="138">
        <v>10.799999999999999</v>
      </c>
      <c r="G46" s="138">
        <v>9.18</v>
      </c>
      <c r="H46" s="138" t="s">
        <v>147</v>
      </c>
      <c r="I46" s="621" t="str">
        <f t="array" ref="I46">INDEX('空中攻撃'!$O$3:$AA$109, MATCH($A$1,'空中攻撃'!$A$3:$A$109,0), MATCH(A46,'空中攻撃'!$O$2:$S$2,0))</f>
        <v>9</v>
      </c>
      <c r="J46" s="467" t="s">
        <v>1177</v>
      </c>
      <c r="K46" s="282"/>
      <c r="L46" s="282"/>
      <c r="M46" s="363"/>
      <c r="N46" s="363"/>
      <c r="O46" s="145">
        <v>0.0</v>
      </c>
      <c r="P46" s="145">
        <v>1.0</v>
      </c>
      <c r="Q46" s="145">
        <v>1.0</v>
      </c>
      <c r="R46" s="622"/>
      <c r="S46" s="110"/>
      <c r="T46" s="110"/>
      <c r="U46" s="110"/>
      <c r="V46" s="109"/>
    </row>
    <row r="47" outlineLevel="1">
      <c r="A47" s="188" t="s">
        <v>166</v>
      </c>
      <c r="B47" s="373" t="s">
        <v>1178</v>
      </c>
      <c r="C47" s="239" t="s">
        <v>1179</v>
      </c>
      <c r="D47" s="452">
        <v>52.0</v>
      </c>
      <c r="E47" s="239" t="s">
        <v>1024</v>
      </c>
      <c r="F47" s="138">
        <v>1.7999999999999998</v>
      </c>
      <c r="G47" s="138">
        <v>1.53</v>
      </c>
      <c r="H47" s="138" t="s">
        <v>170</v>
      </c>
      <c r="I47" s="901" t="s">
        <v>129</v>
      </c>
      <c r="J47" s="379" t="s">
        <v>1180</v>
      </c>
      <c r="K47" s="282"/>
      <c r="L47" s="282"/>
      <c r="M47" s="363"/>
      <c r="N47" s="363"/>
      <c r="O47" s="145">
        <v>0.0</v>
      </c>
      <c r="P47" s="145">
        <v>0.8</v>
      </c>
      <c r="Q47" s="145">
        <v>0.8</v>
      </c>
      <c r="R47" s="163"/>
      <c r="S47" s="164"/>
      <c r="T47" s="164"/>
      <c r="U47" s="164"/>
      <c r="V47" s="104"/>
    </row>
    <row r="48" outlineLevel="1">
      <c r="A48" s="156"/>
      <c r="B48" s="373" t="s">
        <v>526</v>
      </c>
      <c r="C48" s="239" t="s">
        <v>523</v>
      </c>
      <c r="D48" s="107"/>
      <c r="E48" s="239" t="s">
        <v>176</v>
      </c>
      <c r="F48" s="138">
        <v>2.4</v>
      </c>
      <c r="G48" s="138">
        <v>2.04</v>
      </c>
      <c r="H48" s="138" t="s">
        <v>170</v>
      </c>
      <c r="I48" s="156"/>
      <c r="J48" s="107"/>
      <c r="K48" s="282"/>
      <c r="L48" s="282"/>
      <c r="M48" s="363"/>
      <c r="N48" s="363"/>
      <c r="O48" s="145">
        <v>0.0</v>
      </c>
      <c r="P48" s="145">
        <v>2.2</v>
      </c>
      <c r="Q48" s="145">
        <v>1.0</v>
      </c>
      <c r="R48" s="106"/>
      <c r="S48" s="168"/>
      <c r="T48" s="168"/>
      <c r="U48" s="168"/>
      <c r="V48" s="107"/>
    </row>
    <row r="49">
      <c r="A49" s="223"/>
      <c r="B49" s="224"/>
      <c r="C49" s="225"/>
      <c r="D49" s="225"/>
      <c r="E49" s="226"/>
      <c r="F49" s="226"/>
      <c r="G49" s="226"/>
      <c r="H49" s="227"/>
      <c r="I49" s="227"/>
      <c r="J49" s="228"/>
      <c r="K49" s="228"/>
      <c r="L49" s="228"/>
      <c r="M49" s="228"/>
      <c r="N49" s="228"/>
      <c r="O49" s="228"/>
      <c r="P49" s="228"/>
      <c r="Q49" s="118"/>
      <c r="R49" s="118"/>
      <c r="S49" s="118"/>
      <c r="T49" s="118"/>
      <c r="U49" s="118"/>
      <c r="V49" s="118"/>
    </row>
    <row r="50">
      <c r="A50" s="229" t="str">
        <f>'テンプレート'!A71</f>
        <v>必殺ワザ</v>
      </c>
      <c r="B50" s="109"/>
      <c r="C50" s="225"/>
      <c r="D50" s="225"/>
      <c r="E50" s="226"/>
      <c r="F50" s="226"/>
      <c r="G50" s="226"/>
      <c r="H50" s="227"/>
      <c r="I50" s="227"/>
      <c r="J50" s="228"/>
      <c r="K50" s="228"/>
      <c r="L50" s="228"/>
      <c r="M50" s="228"/>
      <c r="N50" s="228"/>
      <c r="O50" s="228"/>
      <c r="P50" s="228"/>
      <c r="Q50" s="118"/>
      <c r="R50" s="118"/>
      <c r="S50" s="118"/>
      <c r="T50" s="118"/>
      <c r="U50" s="118"/>
      <c r="V50" s="118"/>
    </row>
    <row r="51" outlineLevel="1">
      <c r="A51" s="230" t="str">
        <f>"NB ("&amp;VLOOKUP($A$1,Fighters!$A$2:$AI$81,15,FALSE)&amp;")"</f>
        <v>NB (ころがる)</v>
      </c>
      <c r="B51" s="109"/>
      <c r="C51" s="231" t="str">
        <f>'テンプレート'!C72</f>
        <v>判定持続</v>
      </c>
      <c r="D51" s="231" t="str">
        <f>'テンプレート'!D72</f>
        <v>全体フレーム</v>
      </c>
      <c r="E51" s="232" t="str">
        <f>'テンプレート'!E72</f>
        <v>基礎ダメージ</v>
      </c>
      <c r="F51" s="233" t="str">
        <f>'テンプレート'!F72</f>
        <v>ダメージ (1v1)</v>
      </c>
      <c r="G51" s="232" t="str">
        <f>'テンプレート'!G72</f>
        <v>ガード硬直</v>
      </c>
      <c r="H51" s="382" t="str">
        <f>'テンプレート'!H72</f>
        <v>備考</v>
      </c>
      <c r="I51" s="110"/>
      <c r="J51" s="109"/>
      <c r="K51" s="235" t="str">
        <f>'テンプレート'!K72</f>
        <v>ベクトル</v>
      </c>
      <c r="L51" s="235" t="str">
        <f>'テンプレート'!L72</f>
        <v>KBG (R.E.)</v>
      </c>
      <c r="M51" s="235" t="str">
        <f>'テンプレート'!M72</f>
        <v>BKB (R.A.)</v>
      </c>
      <c r="N51" s="235" t="str">
        <f>'テンプレート'!N72</f>
        <v>FKB (R.F.)</v>
      </c>
      <c r="O51" s="236" t="str">
        <f>'テンプレート'!O72</f>
        <v>盾削り値</v>
      </c>
      <c r="P51" s="235" t="str">
        <f>'テンプレート'!P72</f>
        <v>ﾋｯﾄｽﾄｯﾌﾟ</v>
      </c>
      <c r="Q51" s="236" t="str">
        <f>'テンプレート'!Q72</f>
        <v>ずらし</v>
      </c>
      <c r="R51" s="235" t="str">
        <f>'テンプレート'!R72</f>
        <v>相殺</v>
      </c>
      <c r="S51" s="236" t="str">
        <f>'テンプレート'!S72</f>
        <v>相殺ﾓｰｼｮﾝ</v>
      </c>
      <c r="T51" s="236" t="str">
        <f>'テンプレート'!T72</f>
        <v>飛び道具</v>
      </c>
      <c r="U51" s="236" t="str">
        <f>'テンプレート'!U72</f>
        <v>慣性反転</v>
      </c>
      <c r="V51" s="236" t="str">
        <f>'テンプレート'!V72</f>
        <v>向き反転</v>
      </c>
    </row>
    <row r="52" outlineLevel="1">
      <c r="A52" s="237" t="s">
        <v>184</v>
      </c>
      <c r="B52" s="243"/>
      <c r="C52" s="902"/>
      <c r="D52" s="239" t="s">
        <v>1181</v>
      </c>
      <c r="E52" s="239" t="s">
        <v>1182</v>
      </c>
      <c r="F52" s="138" t="s">
        <v>1183</v>
      </c>
      <c r="G52" s="239" t="s">
        <v>1184</v>
      </c>
      <c r="H52" s="903" t="s">
        <v>1185</v>
      </c>
      <c r="I52" s="110"/>
      <c r="J52" s="109"/>
      <c r="K52" s="282"/>
      <c r="L52" s="282"/>
      <c r="M52" s="363"/>
      <c r="N52" s="363"/>
      <c r="O52" s="138">
        <v>0.0</v>
      </c>
      <c r="P52" s="138">
        <v>1.0</v>
      </c>
      <c r="Q52" s="138">
        <v>1.0</v>
      </c>
      <c r="R52" s="145" t="b">
        <v>1</v>
      </c>
      <c r="S52" s="145" t="b">
        <v>1</v>
      </c>
      <c r="T52" s="145"/>
      <c r="U52" s="145" t="s">
        <v>186</v>
      </c>
      <c r="V52" s="145" t="b">
        <v>1</v>
      </c>
    </row>
    <row r="53" outlineLevel="1">
      <c r="A53" s="230" t="str">
        <f>"横B ("&amp;VLOOKUP($A$1,Fighters!$A$2:$AI$81,16,FALSE)&amp;")"</f>
        <v>横B (はたく)</v>
      </c>
      <c r="B53" s="109"/>
      <c r="C53" s="231" t="str">
        <f>'テンプレート'!C75</f>
        <v>判定持続</v>
      </c>
      <c r="D53" s="231" t="str">
        <f>'テンプレート'!D75</f>
        <v>全体フレーム</v>
      </c>
      <c r="E53" s="232" t="str">
        <f>'テンプレート'!E75</f>
        <v>基礎ダメージ</v>
      </c>
      <c r="F53" s="233" t="str">
        <f>'テンプレート'!F75</f>
        <v>ダメージ (1v1)</v>
      </c>
      <c r="G53" s="232" t="str">
        <f>'テンプレート'!G75</f>
        <v>ガード硬直</v>
      </c>
      <c r="H53" s="382" t="str">
        <f>'テンプレート'!H75</f>
        <v>備考</v>
      </c>
      <c r="I53" s="110"/>
      <c r="J53" s="109"/>
      <c r="K53" s="235" t="str">
        <f>'テンプレート'!K75</f>
        <v>ベクトル</v>
      </c>
      <c r="L53" s="235" t="str">
        <f>'テンプレート'!L75</f>
        <v>KBG (R.E.)</v>
      </c>
      <c r="M53" s="235" t="str">
        <f>'テンプレート'!M75</f>
        <v>BKB (R.A.)</v>
      </c>
      <c r="N53" s="235" t="str">
        <f>'テンプレート'!N75</f>
        <v>FKB (R.F.)</v>
      </c>
      <c r="O53" s="236" t="str">
        <f>'テンプレート'!O75</f>
        <v>盾削り値</v>
      </c>
      <c r="P53" s="235" t="str">
        <f>'テンプレート'!P75</f>
        <v>ﾋｯﾄｽﾄｯﾌﾟ</v>
      </c>
      <c r="Q53" s="236" t="str">
        <f>'テンプレート'!Q75</f>
        <v>ずらし</v>
      </c>
      <c r="R53" s="235" t="str">
        <f>'テンプレート'!R75</f>
        <v>相殺</v>
      </c>
      <c r="S53" s="236" t="str">
        <f>'テンプレート'!S75</f>
        <v>相殺ﾓｰｼｮﾝ</v>
      </c>
      <c r="T53" s="236" t="str">
        <f>'テンプレート'!T75</f>
        <v>飛び道具</v>
      </c>
      <c r="U53" s="236" t="str">
        <f>'テンプレート'!U75</f>
        <v>慣性反転</v>
      </c>
      <c r="V53" s="236" t="str">
        <f>'テンプレート'!V75</f>
        <v>向き反転</v>
      </c>
    </row>
    <row r="54" outlineLevel="1">
      <c r="A54" s="237" t="s">
        <v>184</v>
      </c>
      <c r="B54" s="243"/>
      <c r="C54" s="239" t="s">
        <v>1186</v>
      </c>
      <c r="D54" s="216" t="s">
        <v>118</v>
      </c>
      <c r="E54" s="239" t="s">
        <v>232</v>
      </c>
      <c r="F54" s="138">
        <f>IFERROR(IFS(E54="-","-",LEN(E54)-LEN(SUBSTITUTE(E54,"/",""))=0,MULTIPLY(E54,1.2),LEN(E54)-LEN(SUBSTITUTE(E54,"/",""))=1,MULTIPLY(LEFT(E54,FIND("/",E54)-1),1.2)&amp;"/"&amp;MULTIPLY(MID(E54,FIND("/",E54)+1,10),1.2),LEN(E54)-LEN(SUBSTITUTE(E54,"/",""))=2,MULTIPLY(LEFT(E54,FIND("!",SUBSTITUTE(E54,"/","!",1))-1),1.2)&amp;"/"&amp;MULTIPLY(MID(E54,FIND("!",SUBSTITUTE(E54,"/","!",1))+1,FIND("!",SUBSTITUTE(E54,"/","!",2))-FIND("!",SUBSTITUTE(E54,"/","!",1))-1),1.2)&amp;"/"&amp;MULTIPLY(RIGHT(E54,LEN(E54)-FIND("!",SUBSTITUTE(E54,"/","!",2))),1.2),LEN(E54)-LEN(SUBSTITUTE(E54,"/",""))=3,MULTIPLY(LEFT(E54,FIND("!",SUBSTITUTE(E54,"/","!",1))-1),1.2)&amp;"/"&amp;MULTIPLY(MID(E54,FIND("!",SUBSTITUTE(E54,"/","!",1))+1,FIND("!",SUBSTITUTE(E54,"/","!",2))-FIND("!",SUBSTITUTE(E54,"/","!",1))-1),1.2)&amp;"/"&amp;MULTIPLY(MID(E54,FIND("!",SUBSTITUTE(E54,"/","!",2))+1,FIND("!",SUBSTITUTE(E54,"/","!",3))-FIND("!",SUBSTITUTE(E54,"/","!",2))-1),1.2)&amp;"/"&amp;MULTIPLY(RIGHT(E54,LEN(E54)-FIND("!",SUBSTITUTE(E54,"/","!",3))),1.2),LEN(E54)-LEN(SUBSTITUTE(E54,"/",""))=4,MULTIPLY(LEFT(E54,FIND("!",SUBSTITUTE(E54,"/","!",1))-1),1.2)&amp;"/"&amp;MULTIPLY(MID(E54,FIND("!",SUBSTITUTE(E54,"/","!",1))+1,FIND("!",SUBSTITUTE(E54,"/","!",2))-FIND("!",SUBSTITUTE(E54,"/","!",1))-1),1.2)&amp;"/"&amp;MULTIPLY(MID(E54,FIND("!",SUBSTITUTE(E54,"/","!",2))+1,FIND("!",SUBSTITUTE(E54,"/","!",3))-FIND("!",SUBSTITUTE(E54,"/","!",2))-1),1.2)&amp;"/"&amp;MULTIPLY(MID(E54,FIND("!",SUBSTITUTE(E54,"/","!",3))+1,FIND("!",SUBSTITUTE(E54,"/","!",4))-FIND("!",SUBSTITUTE(E54,"/","!",3))-1),1.2)&amp;"/"&amp;MULTIPLY(RIGHT(E54,LEN(E54)-FIND("!",SUBSTITUTE(E54,"/","!",4))),1.2)),"")</f>
        <v>13.2</v>
      </c>
      <c r="G54" s="365" t="s">
        <v>1187</v>
      </c>
      <c r="H54" s="903" t="s">
        <v>1188</v>
      </c>
      <c r="I54" s="110"/>
      <c r="J54" s="109"/>
      <c r="K54" s="282"/>
      <c r="L54" s="282"/>
      <c r="M54" s="363"/>
      <c r="N54" s="363"/>
      <c r="O54" s="138">
        <v>20.0</v>
      </c>
      <c r="P54" s="138">
        <v>1.0</v>
      </c>
      <c r="Q54" s="138">
        <v>1.0</v>
      </c>
      <c r="R54" s="145" t="b">
        <v>1</v>
      </c>
      <c r="S54" s="145" t="b">
        <v>0</v>
      </c>
      <c r="T54" s="145"/>
      <c r="U54" s="145" t="s">
        <v>186</v>
      </c>
      <c r="V54" s="145" t="b">
        <v>1</v>
      </c>
    </row>
    <row r="55" outlineLevel="1">
      <c r="A55" s="230" t="str">
        <f>"上B ("&amp;VLOOKUP($A$1,Fighters!$A$2:$AI$81,17,FALSE)&amp;")"</f>
        <v>上B (うたう)</v>
      </c>
      <c r="B55" s="109"/>
      <c r="C55" s="231" t="str">
        <f>'テンプレート'!C80</f>
        <v>判定持続</v>
      </c>
      <c r="D55" s="231" t="str">
        <f>'テンプレート'!D80</f>
        <v>全体フレーム</v>
      </c>
      <c r="E55" s="232" t="str">
        <f>'テンプレート'!E80</f>
        <v>基礎ダメージ</v>
      </c>
      <c r="F55" s="233" t="str">
        <f>'テンプレート'!F80</f>
        <v>ダメージ (1v1)</v>
      </c>
      <c r="G55" s="232" t="str">
        <f>'テンプレート'!G80</f>
        <v>ガード硬直</v>
      </c>
      <c r="H55" s="382" t="str">
        <f>'テンプレート'!H80</f>
        <v>備考</v>
      </c>
      <c r="I55" s="110"/>
      <c r="J55" s="109"/>
      <c r="K55" s="235" t="str">
        <f>'テンプレート'!K80</f>
        <v>ベクトル</v>
      </c>
      <c r="L55" s="235" t="str">
        <f>'テンプレート'!L80</f>
        <v>KBG (R.E.)</v>
      </c>
      <c r="M55" s="235" t="str">
        <f>'テンプレート'!M80</f>
        <v>BKB (R.A.)</v>
      </c>
      <c r="N55" s="235" t="str">
        <f>'テンプレート'!N80</f>
        <v>FKB (R.F.)</v>
      </c>
      <c r="O55" s="236" t="str">
        <f>'テンプレート'!O80</f>
        <v>盾削り値</v>
      </c>
      <c r="P55" s="235" t="str">
        <f>'テンプレート'!P80</f>
        <v>ﾋｯﾄｽﾄｯﾌﾟ</v>
      </c>
      <c r="Q55" s="236" t="str">
        <f>'テンプレート'!Q80</f>
        <v>ずらし</v>
      </c>
      <c r="R55" s="235" t="str">
        <f>'テンプレート'!R80</f>
        <v>相殺</v>
      </c>
      <c r="S55" s="236" t="str">
        <f>'テンプレート'!S80</f>
        <v>相殺ﾓｰｼｮﾝ</v>
      </c>
      <c r="T55" s="236" t="str">
        <f>'テンプレート'!T80</f>
        <v>飛び道具</v>
      </c>
      <c r="U55" s="236" t="str">
        <f>'テンプレート'!U80</f>
        <v>慣性反転</v>
      </c>
      <c r="V55" s="236" t="str">
        <f>'テンプレート'!V80</f>
        <v>向き反転</v>
      </c>
    </row>
    <row r="56" ht="22.5" customHeight="1" outlineLevel="1">
      <c r="A56" s="237" t="s">
        <v>184</v>
      </c>
      <c r="B56" s="402" t="s">
        <v>125</v>
      </c>
      <c r="C56" s="239" t="s">
        <v>489</v>
      </c>
      <c r="D56" s="367" t="s">
        <v>1189</v>
      </c>
      <c r="E56" s="239" t="s">
        <v>209</v>
      </c>
      <c r="F56" s="138">
        <f t="shared" ref="F56:F58" si="1">IFERROR(IFS(E56="-","-",LEN(E56)-LEN(SUBSTITUTE(E56,"/",""))=0,MULTIPLY(E56,1.2),LEN(E56)-LEN(SUBSTITUTE(E56,"/",""))=1,MULTIPLY(LEFT(E56,FIND("/",E56)-1),1.2)&amp;"/"&amp;MULTIPLY(MID(E56,FIND("/",E56)+1,10),1.2),LEN(E56)-LEN(SUBSTITUTE(E56,"/",""))=2,MULTIPLY(LEFT(E56,FIND("!",SUBSTITUTE(E56,"/","!",1))-1),1.2)&amp;"/"&amp;MULTIPLY(MID(E56,FIND("!",SUBSTITUTE(E56,"/","!",1))+1,FIND("!",SUBSTITUTE(E56,"/","!",2))-FIND("!",SUBSTITUTE(E56,"/","!",1))-1),1.2)&amp;"/"&amp;MULTIPLY(RIGHT(E56,LEN(E56)-FIND("!",SUBSTITUTE(E56,"/","!",2))),1.2),LEN(E56)-LEN(SUBSTITUTE(E56,"/",""))=3,MULTIPLY(LEFT(E56,FIND("!",SUBSTITUTE(E56,"/","!",1))-1),1.2)&amp;"/"&amp;MULTIPLY(MID(E56,FIND("!",SUBSTITUTE(E56,"/","!",1))+1,FIND("!",SUBSTITUTE(E56,"/","!",2))-FIND("!",SUBSTITUTE(E56,"/","!",1))-1),1.2)&amp;"/"&amp;MULTIPLY(MID(E56,FIND("!",SUBSTITUTE(E56,"/","!",2))+1,FIND("!",SUBSTITUTE(E56,"/","!",3))-FIND("!",SUBSTITUTE(E56,"/","!",2))-1),1.2)&amp;"/"&amp;MULTIPLY(RIGHT(E56,LEN(E56)-FIND("!",SUBSTITUTE(E56,"/","!",3))),1.2),LEN(E56)-LEN(SUBSTITUTE(E56,"/",""))=4,MULTIPLY(LEFT(E56,FIND("!",SUBSTITUTE(E56,"/","!",1))-1),1.2)&amp;"/"&amp;MULTIPLY(MID(E56,FIND("!",SUBSTITUTE(E56,"/","!",1))+1,FIND("!",SUBSTITUTE(E56,"/","!",2))-FIND("!",SUBSTITUTE(E56,"/","!",1))-1),1.2)&amp;"/"&amp;MULTIPLY(MID(E56,FIND("!",SUBSTITUTE(E56,"/","!",2))+1,FIND("!",SUBSTITUTE(E56,"/","!",3))-FIND("!",SUBSTITUTE(E56,"/","!",2))-1),1.2)&amp;"/"&amp;MULTIPLY(MID(E56,FIND("!",SUBSTITUTE(E56,"/","!",3))+1,FIND("!",SUBSTITUTE(E56,"/","!",4))-FIND("!",SUBSTITUTE(E56,"/","!",3))-1),1.2)&amp;"/"&amp;MULTIPLY(RIGHT(E56,LEN(E56)-FIND("!",SUBSTITUTE(E56,"/","!",4))),1.2)),"")</f>
        <v>0</v>
      </c>
      <c r="G56" s="904"/>
      <c r="H56" s="163" t="s">
        <v>1190</v>
      </c>
      <c r="I56" s="164"/>
      <c r="J56" s="104"/>
      <c r="K56" s="138"/>
      <c r="L56" s="138"/>
      <c r="M56" s="145"/>
      <c r="N56" s="145"/>
      <c r="O56" s="138">
        <v>0.0</v>
      </c>
      <c r="P56" s="138">
        <v>1.0</v>
      </c>
      <c r="Q56" s="138">
        <v>1.0</v>
      </c>
      <c r="R56" s="145" t="b">
        <v>0</v>
      </c>
      <c r="S56" s="145" t="b">
        <v>0</v>
      </c>
      <c r="T56" s="145"/>
      <c r="U56" s="166" t="b">
        <v>0</v>
      </c>
      <c r="V56" s="166" t="b">
        <v>0</v>
      </c>
    </row>
    <row r="57" ht="22.5" customHeight="1" outlineLevel="1">
      <c r="A57" s="146"/>
      <c r="B57" s="402" t="s">
        <v>131</v>
      </c>
      <c r="C57" s="239" t="s">
        <v>1191</v>
      </c>
      <c r="D57" s="146"/>
      <c r="E57" s="239" t="s">
        <v>209</v>
      </c>
      <c r="F57" s="138">
        <f t="shared" si="1"/>
        <v>0</v>
      </c>
      <c r="G57" s="904"/>
      <c r="H57" s="212"/>
      <c r="J57" s="210"/>
      <c r="K57" s="138"/>
      <c r="L57" s="138"/>
      <c r="M57" s="145"/>
      <c r="N57" s="145"/>
      <c r="O57" s="138">
        <v>0.0</v>
      </c>
      <c r="P57" s="138">
        <v>1.0</v>
      </c>
      <c r="Q57" s="138">
        <v>1.0</v>
      </c>
      <c r="R57" s="145" t="b">
        <v>0</v>
      </c>
      <c r="S57" s="145" t="b">
        <v>0</v>
      </c>
      <c r="T57" s="145"/>
      <c r="U57" s="146"/>
      <c r="V57" s="146"/>
    </row>
    <row r="58" ht="22.5" customHeight="1" outlineLevel="1">
      <c r="A58" s="146"/>
      <c r="B58" s="402" t="s">
        <v>434</v>
      </c>
      <c r="C58" s="239" t="s">
        <v>1192</v>
      </c>
      <c r="D58" s="156"/>
      <c r="E58" s="239" t="s">
        <v>209</v>
      </c>
      <c r="F58" s="138">
        <f t="shared" si="1"/>
        <v>0</v>
      </c>
      <c r="G58" s="904"/>
      <c r="H58" s="106"/>
      <c r="I58" s="168"/>
      <c r="J58" s="107"/>
      <c r="K58" s="138"/>
      <c r="L58" s="138"/>
      <c r="M58" s="145"/>
      <c r="N58" s="145"/>
      <c r="O58" s="138">
        <v>0.0</v>
      </c>
      <c r="P58" s="138">
        <v>1.0</v>
      </c>
      <c r="Q58" s="138">
        <v>1.0</v>
      </c>
      <c r="R58" s="145" t="b">
        <v>0</v>
      </c>
      <c r="S58" s="145" t="b">
        <v>0</v>
      </c>
      <c r="T58" s="145"/>
      <c r="U58" s="156"/>
      <c r="V58" s="156"/>
    </row>
    <row r="59" outlineLevel="1">
      <c r="A59" s="230" t="str">
        <f>"下B ("&amp;VLOOKUP($A$1,Fighters!$A$2:$AI$81,18,FALSE)&amp;")"</f>
        <v>下B (ねむる)</v>
      </c>
      <c r="B59" s="109"/>
      <c r="C59" s="231" t="str">
        <f>'テンプレート'!C85</f>
        <v>判定持続</v>
      </c>
      <c r="D59" s="231" t="str">
        <f>'テンプレート'!D85</f>
        <v>全体フレーム</v>
      </c>
      <c r="E59" s="232" t="str">
        <f>'テンプレート'!E85</f>
        <v>基礎ダメージ</v>
      </c>
      <c r="F59" s="233" t="str">
        <f>'テンプレート'!F85</f>
        <v>ダメージ (1v1)</v>
      </c>
      <c r="G59" s="232" t="str">
        <f>'テンプレート'!G85</f>
        <v>ガード硬直</v>
      </c>
      <c r="H59" s="382" t="str">
        <f>'テンプレート'!H85</f>
        <v>備考</v>
      </c>
      <c r="I59" s="110"/>
      <c r="J59" s="109"/>
      <c r="K59" s="235" t="str">
        <f>'テンプレート'!K85</f>
        <v>ベクトル</v>
      </c>
      <c r="L59" s="235" t="str">
        <f>'テンプレート'!L85</f>
        <v>KBG (R.E.)</v>
      </c>
      <c r="M59" s="235" t="str">
        <f>'テンプレート'!M85</f>
        <v>BKB (R.A.)</v>
      </c>
      <c r="N59" s="235" t="str">
        <f>'テンプレート'!N85</f>
        <v>FKB (R.F.)</v>
      </c>
      <c r="O59" s="236" t="str">
        <f>'テンプレート'!O85</f>
        <v>盾削り値</v>
      </c>
      <c r="P59" s="235" t="str">
        <f>'テンプレート'!P85</f>
        <v>ﾋｯﾄｽﾄｯﾌﾟ</v>
      </c>
      <c r="Q59" s="236" t="str">
        <f>'テンプレート'!Q85</f>
        <v>ずらし</v>
      </c>
      <c r="R59" s="235" t="str">
        <f>'テンプレート'!R85</f>
        <v>相殺</v>
      </c>
      <c r="S59" s="236" t="str">
        <f>'テンプレート'!S85</f>
        <v>相殺ﾓｰｼｮﾝ</v>
      </c>
      <c r="T59" s="236" t="str">
        <f>'テンプレート'!T85</f>
        <v>飛び道具</v>
      </c>
      <c r="U59" s="236" t="str">
        <f>'テンプレート'!U85</f>
        <v>慣性反転</v>
      </c>
      <c r="V59" s="236" t="str">
        <f>'テンプレート'!V85</f>
        <v>向き反転</v>
      </c>
    </row>
    <row r="60" outlineLevel="1">
      <c r="A60" s="237" t="s">
        <v>184</v>
      </c>
      <c r="B60" s="624" t="s">
        <v>1193</v>
      </c>
      <c r="C60" s="367" t="s">
        <v>1194</v>
      </c>
      <c r="D60" s="239" t="s">
        <v>1195</v>
      </c>
      <c r="E60" s="367" t="s">
        <v>718</v>
      </c>
      <c r="F60" s="394">
        <f>IFERROR(IFS(E60="-","-",LEN(E60)-LEN(SUBSTITUTE(E60,"/",""))=0,MULTIPLY(E60,1.2),LEN(E60)-LEN(SUBSTITUTE(E60,"/",""))=1,MULTIPLY(LEFT(E60,FIND("/",E60)-1),1.2)&amp;"/"&amp;MULTIPLY(MID(E60,FIND("/",E60)+1,10),1.2),LEN(E60)-LEN(SUBSTITUTE(E60,"/",""))=2,MULTIPLY(LEFT(E60,FIND("!",SUBSTITUTE(E60,"/","!",1))-1),1.2)&amp;"/"&amp;MULTIPLY(MID(E60,FIND("!",SUBSTITUTE(E60,"/","!",1))+1,FIND("!",SUBSTITUTE(E60,"/","!",2))-FIND("!",SUBSTITUTE(E60,"/","!",1))-1),1.2)&amp;"/"&amp;MULTIPLY(RIGHT(E60,LEN(E60)-FIND("!",SUBSTITUTE(E60,"/","!",2))),1.2),LEN(E60)-LEN(SUBSTITUTE(E60,"/",""))=3,MULTIPLY(LEFT(E60,FIND("!",SUBSTITUTE(E60,"/","!",1))-1),1.2)&amp;"/"&amp;MULTIPLY(MID(E60,FIND("!",SUBSTITUTE(E60,"/","!",1))+1,FIND("!",SUBSTITUTE(E60,"/","!",2))-FIND("!",SUBSTITUTE(E60,"/","!",1))-1),1.2)&amp;"/"&amp;MULTIPLY(MID(E60,FIND("!",SUBSTITUTE(E60,"/","!",2))+1,FIND("!",SUBSTITUTE(E60,"/","!",3))-FIND("!",SUBSTITUTE(E60,"/","!",2))-1),1.2)&amp;"/"&amp;MULTIPLY(RIGHT(E60,LEN(E60)-FIND("!",SUBSTITUTE(E60,"/","!",3))),1.2),LEN(E60)-LEN(SUBSTITUTE(E60,"/",""))=4,MULTIPLY(LEFT(E60,FIND("!",SUBSTITUTE(E60,"/","!",1))-1),1.2)&amp;"/"&amp;MULTIPLY(MID(E60,FIND("!",SUBSTITUTE(E60,"/","!",1))+1,FIND("!",SUBSTITUTE(E60,"/","!",2))-FIND("!",SUBSTITUTE(E60,"/","!",1))-1),1.2)&amp;"/"&amp;MULTIPLY(MID(E60,FIND("!",SUBSTITUTE(E60,"/","!",2))+1,FIND("!",SUBSTITUTE(E60,"/","!",3))-FIND("!",SUBSTITUTE(E60,"/","!",2))-1),1.2)&amp;"/"&amp;MULTIPLY(MID(E60,FIND("!",SUBSTITUTE(E60,"/","!",3))+1,FIND("!",SUBSTITUTE(E60,"/","!",4))-FIND("!",SUBSTITUTE(E60,"/","!",3))-1),1.2)&amp;"/"&amp;MULTIPLY(RIGHT(E60,LEN(E60)-FIND("!",SUBSTITUTE(E60,"/","!",4))),1.2)),"")</f>
        <v>24</v>
      </c>
      <c r="G60" s="367" t="s">
        <v>1008</v>
      </c>
      <c r="H60" s="163" t="s">
        <v>1196</v>
      </c>
      <c r="I60" s="164"/>
      <c r="J60" s="104"/>
      <c r="K60" s="138"/>
      <c r="L60" s="138"/>
      <c r="M60" s="145"/>
      <c r="N60" s="145"/>
      <c r="O60" s="138"/>
      <c r="P60" s="138"/>
      <c r="Q60" s="138"/>
      <c r="R60" s="145" t="b">
        <v>0</v>
      </c>
      <c r="S60" s="145" t="b">
        <v>0</v>
      </c>
      <c r="T60" s="145" t="b">
        <v>0</v>
      </c>
      <c r="U60" s="166" t="b">
        <v>0</v>
      </c>
      <c r="V60" s="166" t="b">
        <v>0</v>
      </c>
    </row>
    <row r="61" outlineLevel="1">
      <c r="A61" s="156"/>
      <c r="B61" s="624" t="s">
        <v>1197</v>
      </c>
      <c r="C61" s="156"/>
      <c r="D61" s="239" t="s">
        <v>1198</v>
      </c>
      <c r="E61" s="156"/>
      <c r="F61" s="156"/>
      <c r="G61" s="156"/>
      <c r="H61" s="106"/>
      <c r="I61" s="168"/>
      <c r="J61" s="107"/>
      <c r="K61" s="138"/>
      <c r="L61" s="138"/>
      <c r="M61" s="145"/>
      <c r="N61" s="145"/>
      <c r="O61" s="138">
        <v>0.0</v>
      </c>
      <c r="P61" s="138">
        <v>1.0</v>
      </c>
      <c r="Q61" s="138">
        <v>1.0</v>
      </c>
      <c r="R61" s="145" t="b">
        <v>0</v>
      </c>
      <c r="S61" s="145" t="b">
        <v>0</v>
      </c>
      <c r="T61" s="145"/>
      <c r="U61" s="156"/>
      <c r="V61" s="156"/>
    </row>
    <row r="62">
      <c r="A62" s="223"/>
      <c r="B62" s="224"/>
      <c r="C62" s="225"/>
      <c r="D62" s="225"/>
      <c r="E62" s="226"/>
      <c r="F62" s="226"/>
      <c r="G62" s="226"/>
      <c r="H62" s="227"/>
      <c r="I62" s="227"/>
      <c r="J62" s="228"/>
      <c r="K62" s="228"/>
      <c r="L62" s="228"/>
      <c r="M62" s="228"/>
      <c r="N62" s="228"/>
      <c r="O62" s="228"/>
      <c r="P62" s="228"/>
      <c r="Q62" s="118"/>
      <c r="R62" s="118"/>
      <c r="S62" s="118"/>
      <c r="T62" s="118"/>
      <c r="U62" s="118"/>
      <c r="V62" s="118"/>
    </row>
    <row r="63">
      <c r="A63" s="264" t="str">
        <f>'テンプレート'!A91</f>
        <v>つかみ・投げ</v>
      </c>
      <c r="B63" s="104"/>
      <c r="C63" s="227"/>
      <c r="D63" s="227"/>
      <c r="E63" s="228"/>
      <c r="F63" s="265"/>
      <c r="G63" s="265"/>
      <c r="H63" s="228"/>
      <c r="I63" s="228"/>
      <c r="J63" s="228"/>
      <c r="K63" s="228"/>
      <c r="L63" s="228"/>
      <c r="M63" s="228"/>
      <c r="N63" s="118"/>
      <c r="O63" s="118"/>
      <c r="P63" s="118"/>
      <c r="Q63" s="228"/>
      <c r="R63" s="228"/>
      <c r="S63" s="228"/>
      <c r="T63" s="228"/>
      <c r="U63" s="228"/>
      <c r="V63" s="228"/>
    </row>
    <row r="64" outlineLevel="1">
      <c r="A64" s="106"/>
      <c r="B64" s="107"/>
      <c r="C64" s="266" t="str">
        <f>'テンプレート'!C92</f>
        <v>判定持続</v>
      </c>
      <c r="D64" s="266" t="str">
        <f>'テンプレート'!D92</f>
        <v>全体フレーム</v>
      </c>
      <c r="E64" s="266" t="str">
        <f>'テンプレート'!E92</f>
        <v>基礎ダメージ</v>
      </c>
      <c r="F64" s="267" t="str">
        <f>'テンプレート'!F92</f>
        <v>ダメージ (1v1)</v>
      </c>
      <c r="G64" s="227"/>
      <c r="H64" s="227"/>
      <c r="I64" s="227"/>
      <c r="J64" s="228"/>
      <c r="K64" s="228"/>
      <c r="L64" s="228"/>
      <c r="M64" s="228"/>
      <c r="N64" s="228"/>
      <c r="O64" s="228"/>
      <c r="P64" s="228"/>
      <c r="Q64" s="228"/>
      <c r="R64" s="228"/>
      <c r="S64" s="228"/>
      <c r="T64" s="228"/>
      <c r="U64" s="228"/>
      <c r="V64" s="228"/>
    </row>
    <row r="65" outlineLevel="1">
      <c r="A65" s="268" t="str">
        <f>'テンプレート'!A93</f>
        <v>つかみ攻撃</v>
      </c>
      <c r="B65" s="269" t="str">
        <f>'テンプレート'!B93</f>
        <v>つかみ攻撃</v>
      </c>
      <c r="C65" s="239" t="s">
        <v>213</v>
      </c>
      <c r="D65" s="239" t="s">
        <v>86</v>
      </c>
      <c r="E65" s="239" t="s">
        <v>214</v>
      </c>
      <c r="F65" s="138">
        <f>E65*1.2</f>
        <v>1.56</v>
      </c>
      <c r="G65" s="227"/>
      <c r="H65" s="227"/>
      <c r="I65" s="227"/>
      <c r="J65" s="228"/>
      <c r="K65" s="228"/>
      <c r="L65" s="228"/>
      <c r="M65" s="228"/>
      <c r="N65" s="228"/>
      <c r="O65" s="228"/>
      <c r="P65" s="228"/>
      <c r="Q65" s="228"/>
      <c r="R65" s="228"/>
      <c r="S65" s="228"/>
      <c r="T65" s="228"/>
      <c r="U65" s="228"/>
      <c r="V65" s="228"/>
    </row>
    <row r="66" outlineLevel="1">
      <c r="A66" s="270" t="str">
        <f>'テンプレート'!A94</f>
        <v>つかみ</v>
      </c>
      <c r="B66" s="269" t="str">
        <f>'テンプレート'!B94</f>
        <v>その場</v>
      </c>
      <c r="C66" s="239" t="s">
        <v>217</v>
      </c>
      <c r="D66" s="239" t="s">
        <v>964</v>
      </c>
      <c r="E66" s="271"/>
      <c r="F66" s="272"/>
      <c r="G66" s="272"/>
      <c r="H66" s="227"/>
      <c r="I66" s="227"/>
      <c r="J66" s="228"/>
      <c r="K66" s="228"/>
      <c r="L66" s="228"/>
      <c r="M66" s="228"/>
      <c r="N66" s="228"/>
      <c r="O66" s="228"/>
      <c r="P66" s="228"/>
      <c r="Q66" s="228"/>
      <c r="R66" s="228"/>
      <c r="S66" s="228"/>
      <c r="T66" s="228"/>
      <c r="U66" s="228"/>
      <c r="V66" s="228"/>
    </row>
    <row r="67" outlineLevel="1">
      <c r="A67" s="212"/>
      <c r="B67" s="269" t="str">
        <f>'テンプレート'!B95</f>
        <v>ダッシュ</v>
      </c>
      <c r="C67" s="239" t="s">
        <v>220</v>
      </c>
      <c r="D67" s="239" t="s">
        <v>118</v>
      </c>
      <c r="E67" s="271"/>
      <c r="F67" s="272"/>
      <c r="G67" s="272"/>
      <c r="H67" s="227"/>
      <c r="I67" s="227"/>
      <c r="J67" s="228"/>
      <c r="K67" s="228"/>
      <c r="L67" s="228"/>
      <c r="M67" s="228"/>
      <c r="N67" s="228"/>
      <c r="O67" s="228"/>
      <c r="P67" s="228"/>
      <c r="Q67" s="228"/>
      <c r="R67" s="228"/>
      <c r="S67" s="228"/>
      <c r="T67" s="228"/>
      <c r="U67" s="228"/>
      <c r="V67" s="228"/>
    </row>
    <row r="68" outlineLevel="1">
      <c r="A68" s="106"/>
      <c r="B68" s="269" t="str">
        <f>'テンプレート'!B96</f>
        <v>ふりむき</v>
      </c>
      <c r="C68" s="239" t="s">
        <v>223</v>
      </c>
      <c r="D68" s="239" t="s">
        <v>218</v>
      </c>
      <c r="E68" s="227"/>
      <c r="F68" s="272"/>
      <c r="G68" s="272"/>
      <c r="H68" s="227"/>
      <c r="I68" s="227"/>
      <c r="J68" s="228"/>
      <c r="K68" s="228"/>
      <c r="L68" s="228"/>
      <c r="M68" s="228"/>
      <c r="N68" s="228"/>
      <c r="O68" s="228"/>
      <c r="P68" s="228"/>
      <c r="Q68" s="228"/>
      <c r="R68" s="228"/>
      <c r="S68" s="228"/>
      <c r="T68" s="228"/>
      <c r="U68" s="228"/>
      <c r="V68" s="228"/>
    </row>
    <row r="69" outlineLevel="1">
      <c r="A69" s="273" t="str">
        <f>'テンプレート'!A97</f>
        <v>投げ</v>
      </c>
      <c r="B69" s="109"/>
      <c r="C69" s="266" t="str">
        <f>'テンプレート'!C97</f>
        <v>判定持続</v>
      </c>
      <c r="D69" s="266" t="str">
        <f>'テンプレート'!D97</f>
        <v>全体フレーム</v>
      </c>
      <c r="E69" s="266" t="str">
        <f>'テンプレート'!E97</f>
        <v>基礎ダメージ</v>
      </c>
      <c r="F69" s="266" t="str">
        <f>'テンプレート'!F97</f>
        <v>ダメージ (1v1)</v>
      </c>
      <c r="G69" s="669" t="str">
        <f>'テンプレート'!G97</f>
        <v>備考</v>
      </c>
      <c r="H69" s="110"/>
      <c r="I69" s="110"/>
      <c r="J69" s="109"/>
      <c r="K69" s="275" t="str">
        <f>'テンプレート'!K97</f>
        <v>ベクトル</v>
      </c>
      <c r="L69" s="275" t="str">
        <f>'テンプレート'!L97</f>
        <v>KBG (R.E.)</v>
      </c>
      <c r="M69" s="275" t="str">
        <f>'テンプレート'!M97</f>
        <v>BKB (R.A.)</v>
      </c>
      <c r="N69" s="275" t="str">
        <f>'テンプレート'!N97</f>
        <v>FKB (R.F.)</v>
      </c>
      <c r="O69" s="276" t="str">
        <f>'テンプレート'!O97</f>
        <v>盾削り値</v>
      </c>
      <c r="P69" s="275" t="str">
        <f>'テンプレート'!P97</f>
        <v>ﾋｯﾄｽﾄｯﾌﾟ</v>
      </c>
      <c r="Q69" s="276" t="str">
        <f>'テンプレート'!Q97</f>
        <v>ずらし</v>
      </c>
      <c r="R69" s="277"/>
      <c r="S69" s="277"/>
      <c r="T69" s="277"/>
      <c r="U69" s="277"/>
      <c r="V69" s="277"/>
    </row>
    <row r="70" outlineLevel="1">
      <c r="A70" s="278" t="str">
        <f>'テンプレート'!A98</f>
        <v>前投げ</v>
      </c>
      <c r="B70" s="269" t="str">
        <f>'テンプレート'!B98</f>
        <v>打撃</v>
      </c>
      <c r="C70" s="113" t="s">
        <v>1199</v>
      </c>
      <c r="D70" s="279">
        <v>35.0</v>
      </c>
      <c r="E70" s="239" t="s">
        <v>150</v>
      </c>
      <c r="F70" s="138">
        <f t="shared" ref="F70:F71" si="2">IFERROR(E70*1.2, "-")</f>
        <v>6</v>
      </c>
      <c r="G70" s="416"/>
      <c r="H70" s="164"/>
      <c r="I70" s="164"/>
      <c r="J70" s="104"/>
      <c r="K70" s="282"/>
      <c r="L70" s="363"/>
      <c r="M70" s="363"/>
      <c r="N70" s="145">
        <v>1.0</v>
      </c>
      <c r="O70" s="145">
        <v>1.0</v>
      </c>
      <c r="P70" s="145">
        <v>1.0</v>
      </c>
      <c r="Q70" s="277"/>
      <c r="R70" s="228"/>
      <c r="S70" s="228"/>
      <c r="T70" s="228"/>
      <c r="U70" s="228"/>
    </row>
    <row r="71" outlineLevel="1">
      <c r="A71" s="156"/>
      <c r="B71" s="269" t="str">
        <f>'テンプレート'!B99</f>
        <v>投げ</v>
      </c>
      <c r="C71" s="113">
        <v>12.0</v>
      </c>
      <c r="D71" s="156"/>
      <c r="E71" s="239" t="s">
        <v>150</v>
      </c>
      <c r="F71" s="138">
        <f t="shared" si="2"/>
        <v>6</v>
      </c>
      <c r="G71" s="106"/>
      <c r="H71" s="168"/>
      <c r="I71" s="168"/>
      <c r="J71" s="107"/>
      <c r="K71" s="282"/>
      <c r="L71" s="363"/>
      <c r="M71" s="363"/>
      <c r="N71" s="476"/>
      <c r="O71" s="476"/>
      <c r="P71" s="476"/>
      <c r="Q71" s="277"/>
      <c r="R71" s="228"/>
      <c r="S71" s="228"/>
      <c r="T71" s="228"/>
      <c r="U71" s="228"/>
    </row>
    <row r="72" outlineLevel="1">
      <c r="A72" s="278" t="str">
        <f>'テンプレート'!A100</f>
        <v>後投げ</v>
      </c>
      <c r="B72" s="269" t="str">
        <f>'テンプレート'!B100</f>
        <v>打撃</v>
      </c>
      <c r="C72" s="905"/>
      <c r="D72" s="279">
        <v>49.0</v>
      </c>
      <c r="E72" s="905"/>
      <c r="F72" s="905"/>
      <c r="G72" s="413" t="s">
        <v>1200</v>
      </c>
      <c r="H72" s="164"/>
      <c r="I72" s="164"/>
      <c r="J72" s="104"/>
      <c r="K72" s="906"/>
      <c r="L72" s="906"/>
      <c r="M72" s="905"/>
      <c r="N72" s="476"/>
      <c r="O72" s="476"/>
      <c r="P72" s="476"/>
      <c r="Q72" s="277"/>
      <c r="R72" s="228"/>
      <c r="S72" s="228"/>
      <c r="T72" s="228"/>
      <c r="U72" s="228"/>
    </row>
    <row r="73" outlineLevel="1">
      <c r="A73" s="156"/>
      <c r="B73" s="269" t="str">
        <f>'テンプレート'!B101</f>
        <v>投げ</v>
      </c>
      <c r="C73" s="113">
        <v>26.0</v>
      </c>
      <c r="D73" s="156"/>
      <c r="E73" s="239" t="s">
        <v>128</v>
      </c>
      <c r="F73" s="138">
        <f>IFERROR(E73*1.2, "-")</f>
        <v>12</v>
      </c>
      <c r="G73" s="106"/>
      <c r="H73" s="168"/>
      <c r="I73" s="168"/>
      <c r="J73" s="107"/>
      <c r="K73" s="282"/>
      <c r="L73" s="363"/>
      <c r="M73" s="363"/>
      <c r="N73" s="476"/>
      <c r="O73" s="476"/>
      <c r="P73" s="476"/>
      <c r="Q73" s="277"/>
      <c r="R73" s="228"/>
      <c r="S73" s="228"/>
      <c r="T73" s="228"/>
      <c r="U73" s="228"/>
    </row>
    <row r="74" outlineLevel="1">
      <c r="A74" s="278" t="str">
        <f>'テンプレート'!A102</f>
        <v>上投げ</v>
      </c>
      <c r="B74" s="269" t="str">
        <f>'テンプレート'!B102</f>
        <v>打撃</v>
      </c>
      <c r="C74" s="905"/>
      <c r="D74" s="367" t="s">
        <v>79</v>
      </c>
      <c r="E74" s="905"/>
      <c r="F74" s="905"/>
      <c r="G74" s="416"/>
      <c r="H74" s="164"/>
      <c r="I74" s="164"/>
      <c r="J74" s="104"/>
      <c r="K74" s="906"/>
      <c r="L74" s="906"/>
      <c r="M74" s="905"/>
      <c r="N74" s="476"/>
      <c r="O74" s="476"/>
      <c r="P74" s="476"/>
      <c r="Q74" s="277"/>
      <c r="R74" s="228"/>
      <c r="S74" s="228"/>
      <c r="T74" s="228"/>
      <c r="U74" s="228"/>
    </row>
    <row r="75" outlineLevel="1">
      <c r="A75" s="156"/>
      <c r="B75" s="269" t="str">
        <f>'テンプレート'!B103</f>
        <v>投げ</v>
      </c>
      <c r="C75" s="113">
        <v>9.0</v>
      </c>
      <c r="D75" s="156"/>
      <c r="E75" s="239" t="s">
        <v>80</v>
      </c>
      <c r="F75" s="138">
        <f t="shared" ref="F75:F77" si="3">IFERROR(E75*1.2, "-")</f>
        <v>9.6</v>
      </c>
      <c r="G75" s="106"/>
      <c r="H75" s="168"/>
      <c r="I75" s="168"/>
      <c r="J75" s="107"/>
      <c r="K75" s="282"/>
      <c r="L75" s="363"/>
      <c r="M75" s="363"/>
      <c r="N75" s="476"/>
      <c r="O75" s="476"/>
      <c r="P75" s="476"/>
      <c r="Q75" s="277"/>
      <c r="R75" s="117"/>
      <c r="S75" s="117"/>
      <c r="T75" s="117"/>
      <c r="U75" s="117"/>
    </row>
    <row r="76" outlineLevel="1">
      <c r="A76" s="278" t="str">
        <f>'テンプレート'!A104</f>
        <v>下投げ</v>
      </c>
      <c r="B76" s="269" t="str">
        <f>'テンプレート'!B104</f>
        <v>打撃</v>
      </c>
      <c r="C76" s="113" t="s">
        <v>1201</v>
      </c>
      <c r="D76" s="901" t="s">
        <v>1202</v>
      </c>
      <c r="E76" s="239" t="s">
        <v>86</v>
      </c>
      <c r="F76" s="138">
        <f t="shared" si="3"/>
        <v>7.2</v>
      </c>
      <c r="G76" s="416"/>
      <c r="H76" s="164"/>
      <c r="I76" s="164"/>
      <c r="J76" s="104"/>
      <c r="K76" s="282"/>
      <c r="L76" s="363"/>
      <c r="M76" s="363"/>
      <c r="N76" s="145">
        <v>0.0</v>
      </c>
      <c r="O76" s="145">
        <v>1.0</v>
      </c>
      <c r="P76" s="145">
        <v>1.0</v>
      </c>
      <c r="Q76" s="277"/>
      <c r="R76" s="117"/>
      <c r="S76" s="117"/>
      <c r="T76" s="117"/>
      <c r="U76" s="117"/>
    </row>
    <row r="77" outlineLevel="1">
      <c r="A77" s="156"/>
      <c r="B77" s="269" t="str">
        <f>'テンプレート'!B105</f>
        <v>投げ</v>
      </c>
      <c r="C77" s="113">
        <v>62.0</v>
      </c>
      <c r="D77" s="156"/>
      <c r="E77" s="239" t="s">
        <v>86</v>
      </c>
      <c r="F77" s="138">
        <f t="shared" si="3"/>
        <v>7.2</v>
      </c>
      <c r="G77" s="106"/>
      <c r="H77" s="168"/>
      <c r="I77" s="168"/>
      <c r="J77" s="107"/>
      <c r="K77" s="282"/>
      <c r="L77" s="363"/>
      <c r="M77" s="363"/>
      <c r="N77" s="905"/>
      <c r="O77" s="907"/>
      <c r="P77" s="906"/>
      <c r="Q77" s="277"/>
      <c r="R77" s="117"/>
      <c r="S77" s="117"/>
      <c r="T77" s="117"/>
      <c r="U77" s="117"/>
    </row>
    <row r="78">
      <c r="A78" s="223"/>
      <c r="B78" s="224"/>
      <c r="C78" s="225"/>
      <c r="D78" s="225"/>
      <c r="E78" s="227"/>
      <c r="F78" s="177"/>
      <c r="G78" s="177"/>
      <c r="H78" s="227"/>
      <c r="I78" s="227"/>
      <c r="J78" s="228"/>
      <c r="K78" s="228"/>
      <c r="L78" s="111"/>
      <c r="M78" s="111"/>
      <c r="N78" s="111"/>
      <c r="O78" s="117"/>
      <c r="P78" s="117"/>
      <c r="Q78" s="111"/>
      <c r="R78" s="111"/>
      <c r="S78" s="111"/>
      <c r="T78" s="111"/>
      <c r="U78" s="111"/>
      <c r="V78" s="111"/>
    </row>
    <row r="79">
      <c r="A79" s="284" t="str">
        <f>'テンプレート'!A107</f>
        <v>回避</v>
      </c>
      <c r="B79" s="104"/>
      <c r="C79" s="265"/>
      <c r="D79" s="111"/>
      <c r="E79" s="111"/>
      <c r="F79" s="111"/>
      <c r="G79" s="111"/>
      <c r="H79" s="111"/>
      <c r="I79" s="111"/>
      <c r="J79" s="118"/>
      <c r="K79" s="111"/>
      <c r="L79" s="111"/>
      <c r="M79" s="111"/>
      <c r="N79" s="111"/>
      <c r="O79" s="111"/>
      <c r="P79" s="111"/>
      <c r="Q79" s="118"/>
      <c r="R79" s="111"/>
      <c r="S79" s="111"/>
      <c r="T79" s="111"/>
      <c r="U79" s="111"/>
      <c r="V79" s="111"/>
    </row>
    <row r="80" outlineLevel="1">
      <c r="A80" s="106"/>
      <c r="B80" s="107"/>
      <c r="C80" s="285" t="s">
        <v>235</v>
      </c>
      <c r="D80" s="285" t="s">
        <v>236</v>
      </c>
      <c r="E80" s="285" t="s">
        <v>49</v>
      </c>
      <c r="F80" s="285" t="s">
        <v>237</v>
      </c>
      <c r="G80" s="286"/>
      <c r="H80" s="227"/>
      <c r="I80" s="227"/>
      <c r="J80" s="228"/>
      <c r="K80" s="228"/>
      <c r="L80" s="111"/>
      <c r="M80" s="111"/>
      <c r="N80" s="111"/>
      <c r="O80" s="111"/>
      <c r="P80" s="111"/>
      <c r="Q80" s="111"/>
      <c r="R80" s="111"/>
      <c r="S80" s="111"/>
      <c r="T80" s="111"/>
      <c r="U80" s="111"/>
      <c r="V80" s="111"/>
    </row>
    <row r="81" outlineLevel="1">
      <c r="A81" s="287" t="str">
        <f>'テンプレート'!A109</f>
        <v>地上回避</v>
      </c>
      <c r="B81" s="288" t="str">
        <f>'テンプレート'!B109</f>
        <v>その場</v>
      </c>
      <c r="C81" s="113" t="str">
        <f t="array" ref="C81">INDEX('回避'!$C$3:$U$84, MATCH($A$1,'回避'!$A$3:$A$91,0), MATCH(C80,'回避'!$C$2:$F$2,0))</f>
        <v>3-17</v>
      </c>
      <c r="D81" s="113" t="str">
        <f t="array" ref="D81">INDEX('回避'!$C$3:$U$84, MATCH($A$1,'回避'!$A$3:$A$91,0), MATCH(D80,'回避'!$C$2:$F$2,0))</f>
        <v>6-17</v>
      </c>
      <c r="E81" s="113" t="str">
        <f t="array" ref="E81">INDEX('回避'!$C$3:$U$84, MATCH($A$1,'回避'!$A$3:$A$91,0), MATCH(E80,'回避'!$C$2:$F$2,0))</f>
        <v>26 (21)</v>
      </c>
      <c r="F81" s="113" t="str">
        <f t="array" ref="F81">INDEX('回避'!$C$3:$U$84, MATCH($A$1,'回避'!$A$3:$A$91,0), MATCH(F80,'回避'!$C$2:$F$2,0))</f>
        <v>35 (28)</v>
      </c>
      <c r="G81" s="272"/>
      <c r="H81" s="227"/>
      <c r="I81" s="227"/>
      <c r="J81" s="228"/>
      <c r="K81" s="228"/>
      <c r="L81" s="228"/>
      <c r="M81" s="111"/>
      <c r="N81" s="111"/>
      <c r="O81" s="111"/>
      <c r="P81" s="111"/>
      <c r="Q81" s="111"/>
      <c r="R81" s="111"/>
      <c r="S81" s="111"/>
      <c r="T81" s="111"/>
      <c r="U81" s="111"/>
      <c r="V81" s="111"/>
    </row>
    <row r="82" outlineLevel="1">
      <c r="A82" s="212"/>
      <c r="B82" s="288" t="str">
        <f>'テンプレート'!B110</f>
        <v>前方</v>
      </c>
      <c r="C82" s="113" t="str">
        <f t="array" ref="C82">INDEX('回避'!$G$3:$U$84, MATCH($A$1,'回避'!$A$3:$A$91,0), MATCH(C80,'回避'!$G$2:$J$2,0))</f>
        <v>4-15</v>
      </c>
      <c r="D82" s="113" t="str">
        <f t="array" ref="D82">INDEX('回避'!$G$3:$U$84, MATCH($A$1,'回避'!$A$3:$A$91,0), MATCH(D80,'回避'!$G$2:$J$2,0))</f>
        <v>8-14</v>
      </c>
      <c r="E82" s="113" t="str">
        <f t="array" ref="E82">INDEX('回避'!$G$3:$U$84, MATCH($A$1,'回避'!$A$3:$A$91,0), MATCH(E80,'回避'!$G$2:$J$2,0))</f>
        <v>30</v>
      </c>
      <c r="F82" s="113">
        <f t="array" ref="F82">INDEX('回避'!$G$3:$U$84, MATCH($A$1,'回避'!$A$3:$A$91,0), MATCH(F80,'回避'!$G$2:$J$2,0))</f>
        <v>40</v>
      </c>
      <c r="G82" s="289"/>
      <c r="H82" s="227"/>
      <c r="I82" s="227"/>
      <c r="J82" s="228"/>
      <c r="K82" s="228"/>
      <c r="L82" s="228"/>
      <c r="M82" s="228"/>
      <c r="N82" s="228"/>
      <c r="O82" s="111"/>
      <c r="P82" s="111"/>
      <c r="Q82" s="111"/>
      <c r="R82" s="111"/>
      <c r="S82" s="111"/>
      <c r="T82" s="111"/>
      <c r="U82" s="111"/>
      <c r="V82" s="111"/>
    </row>
    <row r="83" outlineLevel="1">
      <c r="A83" s="106"/>
      <c r="B83" s="288" t="str">
        <f>'テンプレート'!B111</f>
        <v>後方</v>
      </c>
      <c r="C83" s="113" t="str">
        <f t="array" ref="C83">INDEX('回避'!$K$3:$U$84, MATCH($A$1,'回避'!$A$3:$A$91,0), MATCH(C80,'回避'!$K$2:$N$2,0))</f>
        <v>5-16</v>
      </c>
      <c r="D83" s="113" t="str">
        <f t="array" ref="D83">INDEX('回避'!$K$3:$U$84, MATCH($A$1,'回避'!$A$3:$A$91,0), MATCH(D80,'回避'!$K$2:$N$2,0))</f>
        <v>9-14</v>
      </c>
      <c r="E83" s="113" t="str">
        <f t="array" ref="E83">INDEX('回避'!$K$3:$U$84, MATCH($A$1,'回避'!$A$3:$A$91,0), MATCH(E80,'回避'!$K$2:$N$2,0))</f>
        <v>35</v>
      </c>
      <c r="F83" s="113" t="str">
        <f t="array" ref="F83">INDEX('回避'!$K$3:$U$84, MATCH($A$1,'回避'!$A$3:$A$91,0), MATCH(F80,'回避'!$K$2:$N$2,0))</f>
        <v>53</v>
      </c>
      <c r="G83" s="289"/>
      <c r="H83" s="290"/>
      <c r="I83" s="290"/>
      <c r="J83" s="117"/>
      <c r="K83" s="117"/>
      <c r="L83" s="117"/>
      <c r="M83" s="117"/>
      <c r="N83" s="117"/>
      <c r="O83" s="111"/>
      <c r="P83" s="111"/>
      <c r="Q83" s="111"/>
      <c r="R83" s="111"/>
      <c r="S83" s="111"/>
      <c r="T83" s="111"/>
      <c r="U83" s="111"/>
      <c r="V83" s="111"/>
    </row>
    <row r="84" outlineLevel="1">
      <c r="A84" s="287" t="str">
        <f>'テンプレート'!A112</f>
        <v>空中回避</v>
      </c>
      <c r="B84" s="288" t="str">
        <f>'テンプレート'!B112</f>
        <v>通常</v>
      </c>
      <c r="C84" s="113" t="str">
        <f t="array" ref="C84">INDEX('回避'!$O$3:$U$84, MATCH($A$1,'回避'!$A$3:$A$91,0), MATCH(C80,'回避'!$O$2:$R$2,0))</f>
        <v>4-32</v>
      </c>
      <c r="D84" s="113" t="str">
        <f t="array" ref="D84">INDEX('回避'!$O$3:$U$84, MATCH($A$1,'回避'!$A$3:$A$91,0), MATCH(D80,'回避'!$O$2:$R$2,0))</f>
        <v>7-29</v>
      </c>
      <c r="E84" s="365" t="str">
        <f t="array" ref="E84">INDEX('回避'!$O$3:$U$84, MATCH($A$1,'回避'!$A$3:$A$91,0), MATCH(E80,'回避'!$O$2:$R$2,0))</f>
        <v>63</v>
      </c>
      <c r="F84" s="177"/>
      <c r="G84" s="177"/>
      <c r="H84" s="118"/>
      <c r="I84" s="118"/>
      <c r="J84" s="111"/>
      <c r="K84" s="111"/>
      <c r="L84" s="111"/>
      <c r="M84" s="111"/>
      <c r="N84" s="111"/>
      <c r="O84" s="228"/>
      <c r="P84" s="228"/>
      <c r="Q84" s="228"/>
      <c r="R84" s="228"/>
      <c r="S84" s="228"/>
      <c r="T84" s="228"/>
      <c r="U84" s="228"/>
      <c r="V84" s="228"/>
    </row>
    <row r="85" outlineLevel="1">
      <c r="A85" s="106"/>
      <c r="B85" s="288" t="str">
        <f>'テンプレート'!B113</f>
        <v>移動</v>
      </c>
      <c r="C85" s="113" t="str">
        <f t="array" ref="C85">INDEX('回避'!$S$3:$U$84, MATCH($A$1,'回避'!$A$3:$A$91,0), MATCH(C80,'回避'!$S$2:$U$2,0))</f>
        <v>4-22</v>
      </c>
      <c r="D85" s="113" t="str">
        <f t="array" ref="D85">INDEX('回避'!$S$3:$U$84, MATCH($A$1,'回避'!$A$3:$A$91,0), MATCH(D80,'回避'!$S$2:$U$2,0))</f>
        <v>7-21</v>
      </c>
      <c r="E85" s="365" t="str">
        <f t="array" ref="E85">INDEX('回避'!$S$3:$U$84, MATCH($A$1,'回避'!$A$3:$A$91,0), MATCH(E80,'回避'!$S$2:$U$2,0))</f>
        <v>真横：106
真上：158
真下：85</v>
      </c>
      <c r="F85" s="289"/>
      <c r="G85" s="289"/>
      <c r="H85" s="118"/>
      <c r="I85" s="118"/>
      <c r="J85" s="117"/>
      <c r="K85" s="117"/>
      <c r="L85" s="117"/>
      <c r="M85" s="117"/>
      <c r="N85" s="111"/>
      <c r="O85" s="118"/>
      <c r="P85" s="118"/>
      <c r="Q85" s="118"/>
      <c r="R85" s="118"/>
      <c r="S85" s="118"/>
      <c r="T85" s="118"/>
      <c r="U85" s="118"/>
      <c r="V85" s="118"/>
    </row>
    <row r="86">
      <c r="A86" s="291"/>
      <c r="B86" s="292"/>
      <c r="C86" s="286"/>
      <c r="D86" s="286"/>
      <c r="E86" s="293"/>
      <c r="F86" s="286"/>
      <c r="G86" s="286"/>
      <c r="H86" s="286"/>
      <c r="I86" s="286"/>
      <c r="J86" s="111"/>
      <c r="K86" s="227"/>
      <c r="L86" s="227"/>
      <c r="M86" s="227"/>
      <c r="N86" s="227"/>
      <c r="O86" s="118"/>
      <c r="P86" s="118"/>
      <c r="Q86" s="118"/>
      <c r="R86" s="118"/>
      <c r="S86" s="118"/>
      <c r="T86" s="118"/>
      <c r="U86" s="118"/>
      <c r="V86" s="118"/>
    </row>
    <row r="87">
      <c r="A87" s="294" t="s">
        <v>238</v>
      </c>
      <c r="B87" s="104"/>
      <c r="C87" s="228"/>
      <c r="D87" s="117"/>
      <c r="E87" s="228"/>
      <c r="F87" s="114"/>
      <c r="G87" s="114"/>
      <c r="H87" s="117"/>
      <c r="I87" s="117"/>
      <c r="J87" s="118"/>
      <c r="K87" s="118"/>
      <c r="L87" s="118"/>
      <c r="M87" s="118"/>
      <c r="N87" s="118"/>
      <c r="O87" s="118"/>
      <c r="P87" s="118"/>
      <c r="Q87" s="118"/>
      <c r="R87" s="118"/>
      <c r="S87" s="118"/>
      <c r="T87" s="118"/>
      <c r="U87" s="118"/>
      <c r="V87" s="118"/>
    </row>
    <row r="88" outlineLevel="1">
      <c r="A88" s="106"/>
      <c r="B88" s="107"/>
      <c r="C88" s="295" t="s">
        <v>235</v>
      </c>
      <c r="D88" s="295" t="s">
        <v>49</v>
      </c>
      <c r="E88" s="295" t="s">
        <v>48</v>
      </c>
      <c r="F88" s="295" t="s">
        <v>50</v>
      </c>
      <c r="G88" s="296" t="s">
        <v>51</v>
      </c>
      <c r="H88" s="228"/>
      <c r="I88" s="228"/>
      <c r="J88" s="117"/>
      <c r="K88" s="297" t="str">
        <f>'テンプレート'!K116</f>
        <v>アイテム取得</v>
      </c>
      <c r="L88" s="109"/>
      <c r="M88" s="298" t="str">
        <f>'テンプレート'!M116</f>
        <v>取得フレーム</v>
      </c>
      <c r="N88" s="298" t="str">
        <f>'テンプレート'!N116</f>
        <v>全体フレーム</v>
      </c>
      <c r="O88" s="118"/>
      <c r="P88" s="118"/>
      <c r="Q88" s="118"/>
      <c r="R88" s="118"/>
      <c r="S88" s="118"/>
      <c r="T88" s="118"/>
      <c r="U88" s="118"/>
      <c r="V88" s="118"/>
    </row>
    <row r="89" outlineLevel="1">
      <c r="A89" s="299" t="s">
        <v>239</v>
      </c>
      <c r="B89" s="300" t="s">
        <v>240</v>
      </c>
      <c r="C89" s="301"/>
      <c r="D89" s="113">
        <f t="array" ref="D89">INDEX('崖行動・受け身'!$C$3:$C94, MATCH($A$1,'崖行動・受け身'!$A$3:$A$115,0), MATCH(D88,'崖行動・受け身'!$C$2,0))</f>
        <v>19</v>
      </c>
      <c r="E89" s="301"/>
      <c r="F89" s="301"/>
      <c r="G89" s="301"/>
      <c r="H89" s="228"/>
      <c r="I89" s="228"/>
      <c r="J89" s="111"/>
      <c r="K89" s="302" t="str">
        <f>'テンプレート'!K117</f>
        <v>小アイテム</v>
      </c>
      <c r="L89" s="303" t="str">
        <f>'テンプレート'!L117</f>
        <v>その場</v>
      </c>
      <c r="M89" s="113" t="s">
        <v>76</v>
      </c>
      <c r="N89" s="113">
        <v>7.0</v>
      </c>
      <c r="O89" s="118"/>
      <c r="P89" s="118"/>
      <c r="Q89" s="118"/>
      <c r="R89" s="118"/>
      <c r="S89" s="118"/>
      <c r="T89" s="118"/>
      <c r="U89" s="118"/>
      <c r="V89" s="118"/>
    </row>
    <row r="90" outlineLevel="1">
      <c r="A90" s="146"/>
      <c r="B90" s="300" t="s">
        <v>216</v>
      </c>
      <c r="C90" s="113" t="str">
        <f t="array" ref="C90">INDEX('崖行動・受け身'!$D$3:$E94, MATCH($A$1,'崖行動・受け身'!$A$3:$A$115,0), MATCH(C88,'崖行動・受け身'!$D$2:$E$2,0))</f>
        <v>1-33</v>
      </c>
      <c r="D90" s="113">
        <f t="array" ref="D90">INDEX('崖行動・受け身'!$D$3:$E94, MATCH($A$1,'崖行動・受け身'!$A$3:$A$115,0), MATCH(D88,'崖行動・受け身'!$D$2:$E$2,0))</f>
        <v>34</v>
      </c>
      <c r="E90" s="301"/>
      <c r="F90" s="301"/>
      <c r="G90" s="301"/>
      <c r="H90" s="228"/>
      <c r="I90" s="228"/>
      <c r="J90" s="117"/>
      <c r="K90" s="156"/>
      <c r="L90" s="303" t="str">
        <f>'テンプレート'!L118</f>
        <v>歩き</v>
      </c>
      <c r="M90" s="113" t="s">
        <v>76</v>
      </c>
      <c r="N90" s="113">
        <v>23.0</v>
      </c>
      <c r="O90" s="118"/>
      <c r="P90" s="118"/>
      <c r="Q90" s="118"/>
      <c r="R90" s="118"/>
      <c r="S90" s="118"/>
      <c r="T90" s="118"/>
      <c r="U90" s="118"/>
      <c r="V90" s="118"/>
    </row>
    <row r="91" outlineLevel="1">
      <c r="A91" s="146"/>
      <c r="B91" s="300" t="s">
        <v>241</v>
      </c>
      <c r="C91" s="113" t="str">
        <f t="array" ref="C91">INDEX('崖行動・受け身'!$F$3:$G$115, MATCH($A$1,'崖行動・受け身'!$A$3:$A$115,0), MATCH(C88,'崖行動・受け身'!$F$2:$G$2,0))</f>
        <v>1-25</v>
      </c>
      <c r="D91" s="113">
        <f t="array" ref="D91">INDEX('崖行動・受け身'!$F$3:$G$115, MATCH($A$1,'崖行動・受け身'!$A$3:$A$115,0), MATCH(D88,'崖行動・受け身'!$F$2:$G$2,0))</f>
        <v>45</v>
      </c>
      <c r="E91" s="301"/>
      <c r="F91" s="301"/>
      <c r="G91" s="301"/>
      <c r="H91" s="228"/>
      <c r="I91" s="228"/>
      <c r="J91" s="111"/>
      <c r="K91" s="304" t="str">
        <f>'テンプレート'!K119</f>
        <v>アイテム投擲</v>
      </c>
      <c r="L91" s="109"/>
      <c r="M91" s="298" t="str">
        <f>'テンプレート'!M119</f>
        <v>投擲フレーム</v>
      </c>
      <c r="N91" s="298" t="str">
        <f>'テンプレート'!N119</f>
        <v>全体フレーム</v>
      </c>
      <c r="O91" s="118"/>
      <c r="P91" s="118"/>
      <c r="Q91" s="118"/>
      <c r="R91" s="118"/>
      <c r="S91" s="118"/>
      <c r="T91" s="118"/>
      <c r="U91" s="118"/>
      <c r="V91" s="118"/>
    </row>
    <row r="92" outlineLevel="1">
      <c r="A92" s="146"/>
      <c r="B92" s="300" t="s">
        <v>242</v>
      </c>
      <c r="C92" s="113" t="str">
        <f t="array" ref="C92">INDEX('崖行動・受け身'!$H$3:$I$115, MATCH($A$1,'崖行動・受け身'!$A$3:$A$115,0), MATCH(C88,'崖行動・受け身'!$H$2:$I$2,0))</f>
        <v>1-12</v>
      </c>
      <c r="D92" s="113">
        <f t="array" ref="D92">INDEX('崖行動・受け身'!$H$3:$I$115, MATCH($A$1,'崖行動・受け身'!$A$3:$A$115,0), MATCH(D88,'崖行動・受け身'!$H$2:$I$2,0))</f>
        <v>14</v>
      </c>
      <c r="E92" s="301"/>
      <c r="F92" s="301"/>
      <c r="G92" s="301"/>
      <c r="H92" s="228"/>
      <c r="I92" s="228"/>
      <c r="J92" s="117"/>
      <c r="K92" s="305" t="str">
        <f>'テンプレート'!K120</f>
        <v>地上投擲</v>
      </c>
      <c r="L92" s="303" t="str">
        <f>'テンプレート'!L120</f>
        <v>前投げ</v>
      </c>
      <c r="M92" s="113" t="s">
        <v>129</v>
      </c>
      <c r="N92" s="113">
        <v>29.0</v>
      </c>
      <c r="O92" s="111"/>
      <c r="P92" s="111"/>
      <c r="Q92" s="111"/>
      <c r="R92" s="111"/>
      <c r="S92" s="111"/>
      <c r="T92" s="111"/>
      <c r="U92" s="111"/>
      <c r="V92" s="111"/>
    </row>
    <row r="93" outlineLevel="1">
      <c r="A93" s="156"/>
      <c r="B93" s="300" t="s">
        <v>243</v>
      </c>
      <c r="C93" s="113" t="str">
        <f t="array" ref="C93">INDEX('崖行動・受け身'!$J$3:$M$115, MATCH($A$1,'崖行動・受け身'!$A$3:$A$115,0), MATCH(C88,'崖行動・受け身'!$J$2:$M$2,0))</f>
        <v>1-23</v>
      </c>
      <c r="D93" s="113">
        <f t="array" ref="D93">INDEX('崖行動・受け身'!$J$3:$M$115, MATCH($A$1,'崖行動・受け身'!$A$3:$A$115,0), MATCH(D88,'崖行動・受け身'!$J$2:$M$2,0))</f>
        <v>55</v>
      </c>
      <c r="E93" s="113" t="str">
        <f t="array" ref="E93">INDEX('崖行動・受け身'!$J$3:$M$115, MATCH($A$1,'崖行動・受け身'!$A$3:$A$115,0), MATCH(E88,'崖行動・受け身'!$J$2:$M$2,0))</f>
        <v>21-23</v>
      </c>
      <c r="F93" s="113">
        <f t="array" ref="F93">INDEX('崖行動・受け身'!$J$3:$M$115, MATCH($A$1,'崖行動・受け身'!$A$3:$A$115,0), MATCH(F88,'崖行動・受け身'!$J$2:$M$2,0))</f>
        <v>8</v>
      </c>
      <c r="G93" s="113">
        <f>F93*1.2</f>
        <v>9.6</v>
      </c>
      <c r="H93" s="228"/>
      <c r="I93" s="228"/>
      <c r="J93" s="111"/>
      <c r="K93" s="146"/>
      <c r="L93" s="303" t="str">
        <f>'テンプレート'!L121</f>
        <v>後投げ</v>
      </c>
      <c r="M93" s="113" t="s">
        <v>129</v>
      </c>
      <c r="N93" s="113">
        <v>29.0</v>
      </c>
      <c r="O93" s="111"/>
      <c r="P93" s="111"/>
      <c r="Q93" s="111"/>
      <c r="R93" s="111"/>
      <c r="S93" s="111"/>
      <c r="T93" s="111"/>
      <c r="U93" s="111"/>
      <c r="V93" s="111"/>
    </row>
    <row r="94" outlineLevel="1">
      <c r="A94" s="299" t="s">
        <v>244</v>
      </c>
      <c r="B94" s="300" t="s">
        <v>216</v>
      </c>
      <c r="C94" s="113" t="str">
        <f t="array" ref="C94">INDEX('崖行動・受け身'!$N$3:$O$115, MATCH($A$1,'崖行動・受け身'!$A$3:$A$115,0), MATCH(C88,'崖行動・受け身'!$N$2:$O$2,0))</f>
        <v>1-20</v>
      </c>
      <c r="D94" s="113">
        <f t="array" ref="D94">INDEX('崖行動・受け身'!$N$3:$O$115, MATCH($A$1,'崖行動・受け身'!$A$3:$A$115,0), MATCH(D88,'崖行動・受け身'!$N$2:$O$2,0))</f>
        <v>26</v>
      </c>
      <c r="E94" s="301"/>
      <c r="F94" s="301"/>
      <c r="G94" s="301"/>
      <c r="H94" s="228"/>
      <c r="I94" s="228"/>
      <c r="J94" s="117"/>
      <c r="K94" s="146"/>
      <c r="L94" s="303" t="str">
        <f>'テンプレート'!L122</f>
        <v>上投げ</v>
      </c>
      <c r="M94" s="113" t="s">
        <v>228</v>
      </c>
      <c r="N94" s="113">
        <v>29.0</v>
      </c>
      <c r="O94" s="228"/>
      <c r="P94" s="228"/>
      <c r="Q94" s="228"/>
      <c r="R94" s="228"/>
      <c r="S94" s="228"/>
      <c r="T94" s="228"/>
      <c r="U94" s="228"/>
      <c r="V94" s="228"/>
    </row>
    <row r="95" outlineLevel="1">
      <c r="A95" s="146"/>
      <c r="B95" s="300" t="s">
        <v>245</v>
      </c>
      <c r="C95" s="113" t="str">
        <f t="array" ref="C95">INDEX('崖行動・受け身'!$P$3:$Q$115, MATCH($A$1,'崖行動・受け身'!$A$3:$A$115,0), MATCH(C88,'崖行動・受け身'!$P$2:$Q$2,0))</f>
        <v>1-20</v>
      </c>
      <c r="D95" s="113">
        <f t="array" ref="D95">INDEX('崖行動・受け身'!$P$3:$Q$115, MATCH($A$1,'崖行動・受け身'!$A$3:$A$115,0), MATCH(D88,'崖行動・受け身'!$P$2:$Q$2,0))</f>
        <v>40</v>
      </c>
      <c r="E95" s="301"/>
      <c r="F95" s="301"/>
      <c r="G95" s="301"/>
      <c r="H95" s="228"/>
      <c r="I95" s="228"/>
      <c r="J95" s="111"/>
      <c r="K95" s="146"/>
      <c r="L95" s="303" t="str">
        <f>'テンプレート'!L123</f>
        <v>下投げ</v>
      </c>
      <c r="M95" s="113" t="s">
        <v>93</v>
      </c>
      <c r="N95" s="113">
        <v>24.0</v>
      </c>
      <c r="O95" s="118"/>
      <c r="P95" s="118"/>
      <c r="Q95" s="118"/>
      <c r="R95" s="118"/>
      <c r="S95" s="118"/>
      <c r="T95" s="118"/>
      <c r="U95" s="118"/>
      <c r="V95" s="118"/>
    </row>
    <row r="96" outlineLevel="1">
      <c r="A96" s="156"/>
      <c r="B96" s="300" t="s">
        <v>246</v>
      </c>
      <c r="C96" s="113" t="str">
        <f t="array" ref="C96">INDEX('崖行動・受け身'!$R$3:$S$115, MATCH($A$1,'崖行動・受け身'!$A$3:$A$115,0), MATCH(C88,'崖行動・受け身'!$R$2:$S$2,0))</f>
        <v>1-20</v>
      </c>
      <c r="D96" s="113">
        <f t="array" ref="D96">INDEX('崖行動・受け身'!$R$3:$S$115, MATCH($A$1,'崖行動・受け身'!$A$3:$A$115,0), MATCH(D88,'崖行動・受け身'!$R$2:$S$2,0))</f>
        <v>40</v>
      </c>
      <c r="E96" s="301"/>
      <c r="F96" s="301"/>
      <c r="G96" s="301"/>
      <c r="H96" s="228"/>
      <c r="I96" s="228"/>
      <c r="J96" s="117"/>
      <c r="K96" s="146"/>
      <c r="L96" s="306" t="str">
        <f>'テンプレート'!L124</f>
        <v>ダッシュ</v>
      </c>
      <c r="M96" s="113" t="s">
        <v>73</v>
      </c>
      <c r="N96" s="113">
        <v>39.0</v>
      </c>
      <c r="O96" s="118"/>
      <c r="P96" s="118"/>
      <c r="Q96" s="118"/>
      <c r="R96" s="118"/>
      <c r="S96" s="118"/>
      <c r="T96" s="118"/>
      <c r="U96" s="118"/>
      <c r="V96" s="118"/>
    </row>
    <row r="97" outlineLevel="1">
      <c r="A97" s="299" t="s">
        <v>247</v>
      </c>
      <c r="B97" s="300" t="s">
        <v>248</v>
      </c>
      <c r="C97" s="301"/>
      <c r="D97" s="113" t="str">
        <f t="array" ref="D97">INDEX('起きあがり'!$C$3:$C94, MATCH($A$1,'起きあがり'!$A$3:$A$115,0), MATCH(D88,'起きあがり'!$C$2:$AD$2,0))</f>
        <v>25</v>
      </c>
      <c r="E97" s="301"/>
      <c r="F97" s="301"/>
      <c r="G97" s="301"/>
      <c r="H97" s="228"/>
      <c r="I97" s="228"/>
      <c r="J97" s="111"/>
      <c r="K97" s="156"/>
      <c r="L97" s="306" t="str">
        <f>'テンプレート'!L125</f>
        <v>その場捨て</v>
      </c>
      <c r="M97" s="113" t="s">
        <v>86</v>
      </c>
      <c r="N97" s="113">
        <v>24.0</v>
      </c>
      <c r="O97" s="118"/>
      <c r="P97" s="118"/>
      <c r="Q97" s="118"/>
      <c r="R97" s="118"/>
      <c r="S97" s="118"/>
      <c r="T97" s="118"/>
      <c r="U97" s="118"/>
      <c r="V97" s="118"/>
    </row>
    <row r="98" outlineLevel="1">
      <c r="A98" s="146"/>
      <c r="B98" s="300" t="s">
        <v>216</v>
      </c>
      <c r="C98" s="307" t="str">
        <f t="array" ref="C98">INDEX('起きあがり'!$D$3:$E94, MATCH($A$1,'起きあがり'!$A$3:$A$115,0), MATCH(C88,'起きあがり'!$D$2:$AD$2,0))</f>
        <v>1-22</v>
      </c>
      <c r="D98" s="308">
        <f t="array" ref="D98">INDEX('起きあがり'!$D$3:$E94, MATCH($A$1,'起きあがり'!$A$3:$A$115,0), MATCH(D88,'起きあがり'!$D$2:$AD$2,0))</f>
        <v>29</v>
      </c>
      <c r="E98" s="301"/>
      <c r="F98" s="301"/>
      <c r="G98" s="301"/>
      <c r="H98" s="228"/>
      <c r="I98" s="228"/>
      <c r="J98" s="117"/>
      <c r="K98" s="305" t="str">
        <f>'テンプレート'!K126</f>
        <v>空中投擲</v>
      </c>
      <c r="L98" s="303" t="str">
        <f>'テンプレート'!L126</f>
        <v>前投げ</v>
      </c>
      <c r="M98" s="113" t="s">
        <v>274</v>
      </c>
      <c r="N98" s="113">
        <v>29.0</v>
      </c>
      <c r="O98" s="118"/>
      <c r="P98" s="118"/>
      <c r="Q98" s="118"/>
      <c r="R98" s="118"/>
      <c r="S98" s="118"/>
      <c r="T98" s="118"/>
      <c r="U98" s="118"/>
      <c r="V98" s="118"/>
    </row>
    <row r="99" outlineLevel="1">
      <c r="A99" s="146"/>
      <c r="B99" s="300" t="s">
        <v>245</v>
      </c>
      <c r="C99" s="307" t="str">
        <f t="array" ref="C99">INDEX('起きあがり'!$F$3:$G$115, MATCH($A$1,'起きあがり'!$A$3:$A$115,0), MATCH(C88,'起きあがり'!$F$2:$AD$2,0))</f>
        <v>1-19</v>
      </c>
      <c r="D99" s="308">
        <f t="array" ref="D99">INDEX('起きあがり'!$F$3:$G$115, MATCH($A$1,'起きあがり'!$A$3:$A$115,0), MATCH(D88,'起きあがり'!$F$2:$AD$2,0))</f>
        <v>35</v>
      </c>
      <c r="E99" s="301"/>
      <c r="F99" s="301"/>
      <c r="G99" s="301"/>
      <c r="H99" s="228"/>
      <c r="I99" s="228"/>
      <c r="J99" s="111"/>
      <c r="K99" s="146"/>
      <c r="L99" s="303" t="str">
        <f>'テンプレート'!L127</f>
        <v>後投げ</v>
      </c>
      <c r="M99" s="113" t="s">
        <v>93</v>
      </c>
      <c r="N99" s="113">
        <v>29.0</v>
      </c>
      <c r="O99" s="118"/>
      <c r="P99" s="118"/>
      <c r="Q99" s="118"/>
      <c r="R99" s="118"/>
      <c r="S99" s="118"/>
      <c r="T99" s="118"/>
      <c r="U99" s="118"/>
      <c r="V99" s="118"/>
    </row>
    <row r="100" outlineLevel="1">
      <c r="A100" s="146"/>
      <c r="B100" s="300" t="s">
        <v>246</v>
      </c>
      <c r="C100" s="113" t="str">
        <f t="array" ref="C100">INDEX('起きあがり'!$H$3:$I$115, MATCH($A$1,'起きあがり'!$A$3:$A$115,0), MATCH(C88,'起きあがり'!$H$2:$AD$2,0))</f>
        <v>1-21</v>
      </c>
      <c r="D100" s="113">
        <f t="array" ref="D100">INDEX('起きあがり'!$H$3:$I$115, MATCH($A$1,'起きあがり'!$A$3:$A$115,0), MATCH(D88,'起きあがり'!$H$2:$AD$2,0))</f>
        <v>35</v>
      </c>
      <c r="E100" s="301"/>
      <c r="F100" s="301"/>
      <c r="G100" s="301"/>
      <c r="H100" s="228"/>
      <c r="I100" s="228"/>
      <c r="J100" s="117"/>
      <c r="K100" s="146"/>
      <c r="L100" s="303" t="str">
        <f>'テンプレート'!L128</f>
        <v>上投げ</v>
      </c>
      <c r="M100" s="113" t="s">
        <v>93</v>
      </c>
      <c r="N100" s="113">
        <v>29.0</v>
      </c>
      <c r="O100" s="118"/>
      <c r="P100" s="118"/>
      <c r="Q100" s="118"/>
      <c r="R100" s="118"/>
      <c r="S100" s="118"/>
      <c r="T100" s="118"/>
      <c r="U100" s="118"/>
      <c r="V100" s="118"/>
    </row>
    <row r="101" outlineLevel="1">
      <c r="A101" s="146"/>
      <c r="B101" s="300" t="s">
        <v>249</v>
      </c>
      <c r="C101" s="309" t="str">
        <f t="array" ref="C101">INDEX('起きあがり'!$J$3:$M$115, MATCH($A$1,'起きあがり'!$A$3:$A$115,0), MATCH(C88,'起きあがり'!$J$2:$AD$2,0))</f>
        <v>1-21</v>
      </c>
      <c r="D101" s="310">
        <f t="array" ref="D101">INDEX('起きあがり'!$J$3:$M$115, MATCH($A$1,'起きあがり'!$A$3:$A$115,0), MATCH(D88,'起きあがり'!$J$2:$AD$2,0))</f>
        <v>45</v>
      </c>
      <c r="E101" s="307" t="str">
        <f t="array" ref="E101">INDEX('起きあがり'!$J$3:$M$115, MATCH($A$1,'起きあがり'!$A$3:$A$115,0), MATCH(E88,'起きあがり'!$J$2:$AD$2,0))</f>
        <v>16-17</v>
      </c>
      <c r="F101" s="308">
        <f t="array" ref="F101">INDEX('起きあがり'!$J$3:$M$115, MATCH($A$1,'起きあがり'!$A$3:$A$115,0), MATCH(F88,'起きあがり'!$J$2:$AD$2,0))</f>
        <v>7</v>
      </c>
      <c r="G101" s="113">
        <f t="shared" ref="G101:G102" si="4">F101*1.2</f>
        <v>8.4</v>
      </c>
      <c r="H101" s="228"/>
      <c r="I101" s="228"/>
      <c r="J101" s="111"/>
      <c r="K101" s="156"/>
      <c r="L101" s="303" t="str">
        <f>'テンプレート'!L129</f>
        <v>下投げ</v>
      </c>
      <c r="M101" s="113" t="s">
        <v>93</v>
      </c>
      <c r="N101" s="113">
        <v>29.0</v>
      </c>
      <c r="O101" s="111"/>
      <c r="P101" s="111"/>
      <c r="Q101" s="111"/>
      <c r="R101" s="111"/>
      <c r="S101" s="111"/>
      <c r="T101" s="111"/>
      <c r="U101" s="111"/>
      <c r="V101" s="111"/>
    </row>
    <row r="102" outlineLevel="1">
      <c r="A102" s="156"/>
      <c r="B102" s="311" t="s">
        <v>250</v>
      </c>
      <c r="C102" s="156"/>
      <c r="D102" s="156"/>
      <c r="E102" s="307" t="str">
        <f t="array" ref="E102">INDEX('起きあがり'!$N$3:$O$115, MATCH($A$1,'起きあがり'!$A$3:$A$115,0), MATCH(E88,'起きあがり'!$N$2:$AD$2,0))</f>
        <v>20-21</v>
      </c>
      <c r="F102" s="308">
        <f t="array" ref="F102">INDEX('起きあがり'!$N$3:$O$115, MATCH($A$1,'起きあがり'!$A$3:$A$115,0), MATCH(F88,'起きあがり'!$N$2:$AD$2,0))</f>
        <v>7</v>
      </c>
      <c r="G102" s="113">
        <f t="shared" si="4"/>
        <v>8.4</v>
      </c>
      <c r="H102" s="228"/>
      <c r="I102" s="228"/>
      <c r="J102" s="111"/>
      <c r="K102" s="312" t="str">
        <f>'テンプレート'!K130</f>
        <v>踏み台ジャンプ</v>
      </c>
      <c r="L102" s="168"/>
      <c r="M102" s="298" t="str">
        <f>'テンプレート'!M130</f>
        <v>全体フレーム</v>
      </c>
      <c r="N102" s="114"/>
      <c r="O102" s="111"/>
      <c r="P102" s="111"/>
      <c r="Q102" s="111"/>
      <c r="R102" s="111"/>
      <c r="S102" s="111"/>
      <c r="T102" s="111"/>
      <c r="U102" s="111"/>
      <c r="V102" s="111"/>
    </row>
    <row r="103" outlineLevel="1">
      <c r="A103" s="299" t="s">
        <v>251</v>
      </c>
      <c r="B103" s="300" t="s">
        <v>248</v>
      </c>
      <c r="C103" s="301"/>
      <c r="D103" s="307" t="str">
        <f t="array" ref="D103">INDEX('起きあがり'!$C$3:$C94, MATCH($A$1,'起きあがり'!$A$3:$A$115,0), MATCH(D88,'起きあがり'!$C$2,0))</f>
        <v>25</v>
      </c>
      <c r="E103" s="301"/>
      <c r="F103" s="301"/>
      <c r="G103" s="301"/>
      <c r="H103" s="228"/>
      <c r="I103" s="228"/>
      <c r="J103" s="117"/>
      <c r="K103" s="313" t="str">
        <f>'テンプレート'!K131</f>
        <v>踏み</v>
      </c>
      <c r="L103" s="314" t="str">
        <f>'テンプレート'!L131</f>
        <v>踏み</v>
      </c>
      <c r="M103" s="113">
        <v>8.0</v>
      </c>
      <c r="N103" s="315"/>
      <c r="O103" s="111"/>
      <c r="P103" s="111"/>
      <c r="Q103" s="111"/>
      <c r="R103" s="111"/>
      <c r="S103" s="111"/>
      <c r="T103" s="111"/>
      <c r="U103" s="111"/>
      <c r="V103" s="111"/>
    </row>
    <row r="104" outlineLevel="1">
      <c r="A104" s="146"/>
      <c r="B104" s="300" t="s">
        <v>216</v>
      </c>
      <c r="C104" s="307" t="str">
        <f t="array" ref="C104">INDEX('起きあがり'!$P$3:$Q$115, MATCH($A$1,'起きあがり'!$A$3:$A$115,0), MATCH(C88,'起きあがり'!$P$2:$AD$2,0))</f>
        <v>1-22</v>
      </c>
      <c r="D104" s="308">
        <f t="array" ref="D104">INDEX('起きあがり'!$P$3:$Q$115, MATCH($A$1,'起きあがり'!$A$3:$A$115,0), MATCH(D88,'起きあがり'!$P$2:$AD$2,0))</f>
        <v>29</v>
      </c>
      <c r="E104" s="301"/>
      <c r="F104" s="301"/>
      <c r="G104" s="301"/>
      <c r="H104" s="228"/>
      <c r="I104" s="228"/>
      <c r="J104" s="111"/>
      <c r="K104" s="305" t="str">
        <f>'テンプレート'!K132</f>
        <v>踏まれ</v>
      </c>
      <c r="L104" s="314" t="str">
        <f>'テンプレート'!L132</f>
        <v>地上踏まれ</v>
      </c>
      <c r="M104" s="113" t="s">
        <v>76</v>
      </c>
      <c r="N104" s="315"/>
      <c r="O104" s="228"/>
      <c r="P104" s="228"/>
      <c r="Q104" s="228"/>
      <c r="R104" s="228"/>
      <c r="S104" s="228"/>
      <c r="T104" s="228"/>
      <c r="U104" s="228"/>
      <c r="V104" s="228"/>
    </row>
    <row r="105" outlineLevel="1">
      <c r="A105" s="146"/>
      <c r="B105" s="300" t="s">
        <v>245</v>
      </c>
      <c r="C105" s="307" t="str">
        <f t="array" ref="C105">INDEX('起きあがり'!$R$3:$S$115, MATCH($A$1,'起きあがり'!$A$3:$A$115,0), MATCH(C88,'起きあがり'!$R$2:$AD$2,0))</f>
        <v>1-24</v>
      </c>
      <c r="D105" s="308">
        <f t="array" ref="D105">INDEX('起きあがり'!$R$3:$S$115, MATCH($A$1,'起きあがり'!$A$3:$A$115,0), MATCH(D88,'起きあがり'!$R$2:$AD$2,0))</f>
        <v>35</v>
      </c>
      <c r="E105" s="301"/>
      <c r="F105" s="301"/>
      <c r="G105" s="301"/>
      <c r="H105" s="228"/>
      <c r="I105" s="228"/>
      <c r="J105" s="117"/>
      <c r="K105" s="146"/>
      <c r="L105" s="314" t="s">
        <v>693</v>
      </c>
      <c r="M105" s="113">
        <v>28.0</v>
      </c>
      <c r="N105" s="102"/>
      <c r="O105" s="118"/>
      <c r="P105" s="118"/>
      <c r="Q105" s="118"/>
      <c r="R105" s="118"/>
      <c r="S105" s="118"/>
      <c r="T105" s="118"/>
      <c r="U105" s="118"/>
      <c r="V105" s="118"/>
    </row>
    <row r="106" outlineLevel="1">
      <c r="A106" s="146"/>
      <c r="B106" s="300" t="s">
        <v>246</v>
      </c>
      <c r="C106" s="307" t="str">
        <f t="array" ref="C106">INDEX('起きあがり'!$T$3:$U$115, MATCH($A$1,'起きあがり'!$A$3:$A$115,0), MATCH(C88,'起きあがり'!$T$2:$AD$2,0))</f>
        <v>1-29</v>
      </c>
      <c r="D106" s="308">
        <f t="array" ref="D106">INDEX('起きあがり'!$T$3:$U$115, MATCH($A$1,'起きあがり'!$A$3:$A$115,0), MATCH(D88,'起きあがり'!$T$2:$AD$2,0))</f>
        <v>35</v>
      </c>
      <c r="E106" s="301"/>
      <c r="F106" s="301"/>
      <c r="G106" s="301"/>
      <c r="H106" s="228"/>
      <c r="I106" s="228"/>
      <c r="J106" s="111"/>
      <c r="K106" s="146"/>
      <c r="L106" s="314" t="str">
        <f>'テンプレート'!L134</f>
        <v>空中踏まれ</v>
      </c>
      <c r="M106" s="113">
        <v>8.0</v>
      </c>
      <c r="N106" s="102"/>
      <c r="O106" s="118"/>
      <c r="P106" s="118"/>
      <c r="Q106" s="118"/>
      <c r="R106" s="118"/>
      <c r="S106" s="118"/>
      <c r="T106" s="118"/>
      <c r="U106" s="118"/>
      <c r="V106" s="118"/>
    </row>
    <row r="107" outlineLevel="1">
      <c r="A107" s="146"/>
      <c r="B107" s="300" t="s">
        <v>249</v>
      </c>
      <c r="C107" s="309" t="str">
        <f t="array" ref="C107">INDEX('起きあがり'!$V$3:$Y$115, MATCH($A$1,'起きあがり'!$A$3:$A$115,0), MATCH(C88,'起きあがり'!$V$2:$AD$2,0))</f>
        <v>1-21</v>
      </c>
      <c r="D107" s="310">
        <f t="array" ref="D107">INDEX('起きあがり'!$V$3:$Y$115, MATCH($A$1,'起きあがり'!$A$3:$A$115,0), MATCH(D88,'起きあがり'!$V$2:$AD$2,0))</f>
        <v>45</v>
      </c>
      <c r="E107" s="307" t="str">
        <f t="array" ref="E107">INDEX('起きあがり'!$V$3:$Y$115, MATCH($A$1,'起きあがり'!$A$3:$A$115,0), MATCH(E88,'起きあがり'!$V$2:$AD$2,0))</f>
        <v>16-17</v>
      </c>
      <c r="F107" s="308">
        <f t="array" ref="F107">INDEX('起きあがり'!$V$3:$Y$115, MATCH($A$1,'起きあがり'!$A$3:$A$115,0), MATCH(F88,'起きあがり'!$V$2:$AD$2,0))</f>
        <v>7</v>
      </c>
      <c r="G107" s="113">
        <f t="shared" ref="G107:G108" si="5">F107*1.2</f>
        <v>8.4</v>
      </c>
      <c r="H107" s="228"/>
      <c r="I107" s="228"/>
      <c r="J107" s="117"/>
      <c r="K107" s="146"/>
      <c r="L107" s="314" t="str">
        <f>'テンプレート'!L135</f>
        <v>空中落下</v>
      </c>
      <c r="M107" s="113">
        <v>45.0</v>
      </c>
      <c r="N107" s="102"/>
      <c r="O107" s="118"/>
      <c r="P107" s="118"/>
      <c r="Q107" s="118"/>
      <c r="R107" s="118"/>
      <c r="S107" s="118"/>
      <c r="T107" s="118"/>
      <c r="U107" s="118"/>
      <c r="V107" s="118"/>
    </row>
    <row r="108" outlineLevel="1">
      <c r="A108" s="156"/>
      <c r="B108" s="311" t="s">
        <v>250</v>
      </c>
      <c r="C108" s="156"/>
      <c r="D108" s="156"/>
      <c r="E108" s="307" t="str">
        <f t="array" ref="E108">INDEX('起きあがり'!$Z$3:$AA$115, MATCH($A$1,'起きあがり'!$A$3:$A$115,0), MATCH(E88,'起きあがり'!$Z$2:$AD$2,0))</f>
        <v>20-21</v>
      </c>
      <c r="F108" s="308">
        <f t="array" ref="F108">INDEX('起きあがり'!$Z$3:$AA$115, MATCH($A$1,'起きあがり'!$A$3:$A$115,0), MATCH(F88,'起きあがり'!$Z$2:$AD$2,0))</f>
        <v>7</v>
      </c>
      <c r="G108" s="113">
        <f t="shared" si="5"/>
        <v>8.4</v>
      </c>
      <c r="H108" s="228"/>
      <c r="I108" s="228"/>
      <c r="J108" s="117"/>
      <c r="K108" s="304" t="str">
        <f>'テンプレート'!K136</f>
        <v>倒れダメージ</v>
      </c>
      <c r="L108" s="110"/>
      <c r="M108" s="298" t="str">
        <f>'テンプレート'!M136</f>
        <v>全体フレーム</v>
      </c>
      <c r="N108" s="102"/>
      <c r="O108" s="118"/>
      <c r="P108" s="118"/>
      <c r="Q108" s="118"/>
      <c r="R108" s="118"/>
      <c r="S108" s="118"/>
      <c r="T108" s="118"/>
      <c r="U108" s="118"/>
      <c r="V108" s="118"/>
    </row>
    <row r="109" outlineLevel="1">
      <c r="A109" s="299" t="s">
        <v>252</v>
      </c>
      <c r="B109" s="300" t="s">
        <v>253</v>
      </c>
      <c r="C109" s="307" t="str">
        <f t="array" ref="C109">INDEX('転倒'!$C$3:$D94, MATCH($A$1,'転倒'!$A$3:$A$115,0), MATCH(C88,'転倒'!$C$2:$AC$2,0))</f>
        <v>1-5</v>
      </c>
      <c r="D109" s="308">
        <f t="array" ref="D109">INDEX('転倒'!$C$3:$D94, MATCH($A$1,'転倒'!$A$3:$A$115,0), MATCH(D88,'転倒'!$C$2:$AC$2,0))</f>
        <v>29</v>
      </c>
      <c r="E109" s="301"/>
      <c r="F109" s="301"/>
      <c r="G109" s="301"/>
      <c r="H109" s="228"/>
      <c r="I109" s="228"/>
      <c r="J109" s="111"/>
      <c r="K109" s="313" t="str">
        <f>'テンプレート'!K137</f>
        <v>あお向け倒れ</v>
      </c>
      <c r="L109" s="306" t="str">
        <f>'テンプレート'!L137</f>
        <v>モーション大</v>
      </c>
      <c r="M109" s="113">
        <v>39.0</v>
      </c>
      <c r="N109" s="315"/>
      <c r="O109" s="118"/>
      <c r="P109" s="118"/>
      <c r="Q109" s="118"/>
      <c r="R109" s="118"/>
      <c r="S109" s="118"/>
      <c r="T109" s="118"/>
      <c r="U109" s="118"/>
      <c r="V109" s="118"/>
    </row>
    <row r="110" outlineLevel="1">
      <c r="A110" s="146"/>
      <c r="B110" s="300" t="s">
        <v>254</v>
      </c>
      <c r="C110" s="307" t="str">
        <f t="array" ref="C110">INDEX('転倒'!$E$3:$F94, MATCH($A$1,'転倒'!$A$3:$A$115,0), MATCH(C88,'転倒'!$E$2:$AC$2,0))</f>
        <v>1-5</v>
      </c>
      <c r="D110" s="308">
        <f t="array" ref="D110">INDEX('転倒'!$E$3:$F94, MATCH($A$1,'転倒'!$A$3:$A$115,0), MATCH(D88,'転倒'!$E$2:$AC$2,0))</f>
        <v>39</v>
      </c>
      <c r="E110" s="301"/>
      <c r="F110" s="301"/>
      <c r="G110" s="301"/>
      <c r="H110" s="228"/>
      <c r="I110" s="228"/>
      <c r="J110" s="117"/>
      <c r="K110" s="313" t="str">
        <f>'テンプレート'!K138</f>
        <v>うつ伏せ倒れ</v>
      </c>
      <c r="L110" s="306" t="str">
        <f>'テンプレート'!L138</f>
        <v>モーション大</v>
      </c>
      <c r="M110" s="113" t="s">
        <v>118</v>
      </c>
      <c r="N110" s="315"/>
      <c r="O110" s="118"/>
      <c r="P110" s="118"/>
      <c r="Q110" s="118"/>
      <c r="R110" s="118"/>
      <c r="S110" s="118"/>
      <c r="T110" s="118"/>
      <c r="U110" s="118"/>
      <c r="V110" s="118"/>
    </row>
    <row r="111" outlineLevel="1">
      <c r="A111" s="146"/>
      <c r="B111" s="300" t="s">
        <v>216</v>
      </c>
      <c r="C111" s="307" t="str">
        <f t="array" ref="C111">INDEX('転倒'!$G$3:$H$115, MATCH($A$1,'転倒'!$A$3:$A$115,0), MATCH(C88,'転倒'!$G$2:$AC$2,0))</f>
        <v>1-16</v>
      </c>
      <c r="D111" s="308">
        <f t="array" ref="D111">INDEX('転倒'!$G$3:$H$115, MATCH($A$1,'転倒'!$A$3:$A$115,0), MATCH(D88,'転倒'!$G$2:$AC$2,0))</f>
        <v>21</v>
      </c>
      <c r="E111" s="301"/>
      <c r="F111" s="301"/>
      <c r="G111" s="301"/>
      <c r="H111" s="228"/>
      <c r="I111" s="228"/>
      <c r="J111" s="111"/>
      <c r="K111" s="304" t="str">
        <f>'テンプレート'!K139</f>
        <v/>
      </c>
      <c r="L111" s="110"/>
      <c r="M111" s="298" t="str">
        <f>'テンプレート'!M139</f>
        <v/>
      </c>
      <c r="N111" s="102"/>
      <c r="O111" s="118"/>
      <c r="P111" s="118"/>
      <c r="Q111" s="118"/>
      <c r="R111" s="118"/>
      <c r="S111" s="118"/>
      <c r="T111" s="118"/>
      <c r="U111" s="118"/>
      <c r="V111" s="118"/>
    </row>
    <row r="112" outlineLevel="1">
      <c r="A112" s="146"/>
      <c r="B112" s="300" t="s">
        <v>245</v>
      </c>
      <c r="C112" s="307" t="str">
        <f t="array" ref="C112">INDEX('転倒'!$I$3:$J$115, MATCH($A$1,'転倒'!$A$3:$A$115,0), MATCH(C88,'転倒'!$I$2:$AC$2,0))</f>
        <v>1-9</v>
      </c>
      <c r="D112" s="308">
        <f t="array" ref="D112">INDEX('転倒'!$I$3:$J$115, MATCH($A$1,'転倒'!$A$3:$A$115,0), MATCH(D88,'転倒'!$I$2:$AC$2,0))</f>
        <v>28</v>
      </c>
      <c r="E112" s="301"/>
      <c r="F112" s="301"/>
      <c r="G112" s="301"/>
      <c r="H112" s="228"/>
      <c r="I112" s="228"/>
      <c r="J112" s="228"/>
      <c r="K112" s="316"/>
      <c r="L112" s="317" t="str">
        <f>'テンプレート'!L140</f>
        <v/>
      </c>
      <c r="M112" s="113" t="s">
        <v>76</v>
      </c>
      <c r="N112" s="102"/>
      <c r="O112" s="118"/>
      <c r="P112" s="118"/>
      <c r="Q112" s="118"/>
      <c r="R112" s="118"/>
      <c r="S112" s="118"/>
      <c r="T112" s="118"/>
      <c r="U112" s="118"/>
      <c r="V112" s="118"/>
    </row>
    <row r="113" outlineLevel="1">
      <c r="A113" s="146"/>
      <c r="B113" s="300" t="s">
        <v>246</v>
      </c>
      <c r="C113" s="307" t="str">
        <f t="array" ref="C113">INDEX('転倒'!$K$3:$L$115, MATCH($A$1,'転倒'!$A$3:$A$115,0), MATCH(C88,'転倒'!$K$2:$AC$2,0))</f>
        <v>1-9</v>
      </c>
      <c r="D113" s="308">
        <f t="array" ref="D113">INDEX('転倒'!$K$3:$L$115, MATCH($A$1,'転倒'!$A$3:$A$115,0), MATCH(D88,'転倒'!$K$2:$AC$2,0))</f>
        <v>28</v>
      </c>
      <c r="E113" s="301"/>
      <c r="F113" s="301"/>
      <c r="G113" s="301"/>
      <c r="H113" s="228"/>
      <c r="I113" s="228"/>
      <c r="J113" s="228"/>
      <c r="K113" s="318"/>
      <c r="L113" s="118"/>
      <c r="M113" s="118"/>
      <c r="N113" s="102"/>
      <c r="O113" s="118"/>
      <c r="P113" s="118"/>
      <c r="Q113" s="118"/>
      <c r="R113" s="118"/>
      <c r="S113" s="118"/>
      <c r="T113" s="118"/>
      <c r="U113" s="118"/>
      <c r="V113" s="118"/>
    </row>
    <row r="114" outlineLevel="1">
      <c r="A114" s="146"/>
      <c r="B114" s="300" t="s">
        <v>249</v>
      </c>
      <c r="C114" s="309" t="str">
        <f t="array" ref="C114">INDEX('転倒'!$M$3:$P$115, MATCH($A$1,'転倒'!$A$3:$A$115,0), MATCH(C88,'転倒'!$M$2:$AC$2,0))</f>
        <v>1-7</v>
      </c>
      <c r="D114" s="310">
        <f t="array" ref="D114">INDEX('転倒'!$M$3:$P$115, MATCH($A$1,'転倒'!$A$3:$A$115,0), MATCH(D88,'転倒'!$M$2:$AC$2,0))</f>
        <v>49</v>
      </c>
      <c r="E114" s="307" t="str">
        <f t="array" ref="E114">INDEX('転倒'!$M$3:$P$115, MATCH($A$1,'転倒'!$A$3:$A$115,0), MATCH(E88,'転倒'!$M$2:$AC$2,0))</f>
        <v>20-21</v>
      </c>
      <c r="F114" s="308">
        <f t="array" ref="F114">INDEX('転倒'!$M$3:$P$115, MATCH($A$1,'転倒'!$A$3:$A$115,0), MATCH(F88,'転倒'!$M$2:$AC$2,0))</f>
        <v>5</v>
      </c>
      <c r="G114" s="113">
        <f t="shared" ref="G114:G115" si="6">F114*1.2</f>
        <v>6</v>
      </c>
      <c r="H114" s="228"/>
      <c r="I114" s="228"/>
      <c r="J114" s="228"/>
      <c r="K114" s="118"/>
      <c r="L114" s="118"/>
      <c r="M114" s="118"/>
      <c r="N114" s="102"/>
      <c r="O114" s="102"/>
      <c r="P114" s="102"/>
      <c r="Q114" s="102"/>
      <c r="R114" s="118"/>
      <c r="S114" s="118"/>
      <c r="T114" s="118"/>
      <c r="U114" s="118"/>
      <c r="V114" s="118"/>
    </row>
    <row r="115" outlineLevel="1">
      <c r="A115" s="156"/>
      <c r="B115" s="311" t="s">
        <v>250</v>
      </c>
      <c r="C115" s="156"/>
      <c r="D115" s="156"/>
      <c r="E115" s="307" t="str">
        <f t="array" ref="E115">INDEX('転倒'!$Q$3:$R$115, MATCH($A$1,'転倒'!$A$3:$A$115,0), MATCH(E88,'転倒'!$Q$2:$AC$2,0))</f>
        <v>27-28</v>
      </c>
      <c r="F115" s="308">
        <f t="array" ref="F115">INDEX('転倒'!$Q$3:$R$115, MATCH($A$1,'転倒'!$A$3:$A$115,0), MATCH(F88,'転倒'!$Q$2:$AC$2,0))</f>
        <v>5</v>
      </c>
      <c r="G115" s="113">
        <f t="shared" si="6"/>
        <v>6</v>
      </c>
      <c r="H115" s="228"/>
      <c r="I115" s="228"/>
      <c r="J115" s="228"/>
      <c r="K115" s="118"/>
      <c r="L115" s="118"/>
      <c r="M115" s="118"/>
      <c r="N115" s="102"/>
      <c r="O115" s="102"/>
      <c r="P115" s="102"/>
      <c r="Q115" s="102"/>
      <c r="R115" s="118"/>
      <c r="S115" s="118"/>
      <c r="T115" s="118"/>
      <c r="U115" s="118"/>
      <c r="V115" s="118"/>
    </row>
    <row r="116" outlineLevel="1">
      <c r="A116" s="319"/>
      <c r="B116" s="320"/>
      <c r="C116" s="321"/>
      <c r="D116" s="321"/>
      <c r="E116" s="322"/>
      <c r="F116" s="322"/>
      <c r="G116" s="114"/>
      <c r="H116" s="228"/>
      <c r="I116" s="228"/>
      <c r="J116" s="228"/>
      <c r="K116" s="118"/>
      <c r="L116" s="118"/>
      <c r="M116" s="118"/>
      <c r="N116" s="102"/>
      <c r="O116" s="102"/>
      <c r="P116" s="102"/>
      <c r="Q116" s="102"/>
      <c r="R116" s="118"/>
      <c r="S116" s="118"/>
      <c r="T116" s="118"/>
      <c r="U116" s="118"/>
      <c r="V116" s="118"/>
    </row>
    <row r="117" outlineLevel="1">
      <c r="A117" s="323" t="s">
        <v>255</v>
      </c>
      <c r="B117" s="109"/>
      <c r="C117" s="321"/>
      <c r="D117" s="321"/>
      <c r="E117" s="322"/>
      <c r="F117" s="322"/>
      <c r="G117" s="114"/>
      <c r="H117" s="228"/>
      <c r="I117" s="228"/>
      <c r="J117" s="228"/>
      <c r="K117" s="118"/>
      <c r="L117" s="118"/>
      <c r="M117" s="118"/>
      <c r="N117" s="102"/>
      <c r="O117" s="102"/>
      <c r="P117" s="102"/>
      <c r="Q117" s="102"/>
      <c r="R117" s="118"/>
      <c r="S117" s="118"/>
      <c r="T117" s="118"/>
      <c r="U117" s="118"/>
      <c r="V117" s="118"/>
    </row>
    <row r="118" outlineLevel="1">
      <c r="A118" s="324" t="s">
        <v>256</v>
      </c>
      <c r="B118" s="109"/>
      <c r="C118" s="325" t="s">
        <v>257</v>
      </c>
      <c r="D118" s="325" t="s">
        <v>49</v>
      </c>
      <c r="E118" s="322"/>
      <c r="F118" s="322"/>
      <c r="G118" s="114"/>
      <c r="H118" s="228"/>
      <c r="I118" s="228"/>
      <c r="J118" s="228"/>
      <c r="K118" s="118"/>
      <c r="L118" s="118"/>
      <c r="M118" s="118"/>
      <c r="N118" s="102"/>
      <c r="O118" s="102"/>
      <c r="P118" s="102"/>
      <c r="Q118" s="102"/>
      <c r="R118" s="118"/>
      <c r="S118" s="118"/>
      <c r="T118" s="118"/>
      <c r="U118" s="118"/>
      <c r="V118" s="118"/>
    </row>
    <row r="119" outlineLevel="1">
      <c r="A119" s="326" t="s">
        <v>258</v>
      </c>
      <c r="B119" s="327" t="s">
        <v>216</v>
      </c>
      <c r="C119" s="328" t="str">
        <f t="array" ref="C119">INDEX('アイテム'!$C$3:$D$114, MATCH($A$1,'アイテム'!$A$3:$A$114,0), MATCH(C118,'アイテム'!$C$2:$AQ$2,0))</f>
        <v>2</v>
      </c>
      <c r="D119" s="328">
        <f t="array" ref="D119">INDEX('アイテム'!$C$3:$D$114, MATCH($A$1,'アイテム'!$A$3:$A$114,0), MATCH(D118,'アイテム'!$C$2:$AQ$2,0))</f>
        <v>7</v>
      </c>
      <c r="E119" s="322"/>
      <c r="F119" s="322"/>
      <c r="G119" s="114"/>
      <c r="H119" s="228"/>
      <c r="I119" s="228"/>
      <c r="J119" s="228"/>
      <c r="K119" s="118"/>
      <c r="L119" s="118"/>
      <c r="M119" s="118"/>
      <c r="N119" s="102"/>
      <c r="O119" s="102"/>
      <c r="P119" s="102"/>
      <c r="Q119" s="102"/>
      <c r="R119" s="118"/>
      <c r="S119" s="118"/>
      <c r="T119" s="118"/>
      <c r="U119" s="118"/>
      <c r="V119" s="118"/>
    </row>
    <row r="120" outlineLevel="1">
      <c r="A120" s="156"/>
      <c r="B120" s="327" t="s">
        <v>219</v>
      </c>
      <c r="C120" s="328" t="str">
        <f t="array" ref="C120">INDEX('アイテム'!$E$3:$F$114, MATCH($A$1,'アイテム'!$A$3:$A$114,0), MATCH(C118,'アイテム'!$C$2:$AQ$2,0))</f>
        <v>2</v>
      </c>
      <c r="D120" s="328">
        <f t="array" ref="D120">INDEX('アイテム'!$E$3:$F$114, MATCH($A$1,'アイテム'!$A$3:$A$114,0), MATCH(D118,'アイテム'!$C$2:$AQ$2,0))</f>
        <v>19</v>
      </c>
      <c r="E120" s="322"/>
      <c r="F120" s="322"/>
      <c r="G120" s="114"/>
      <c r="H120" s="228"/>
      <c r="I120" s="228"/>
      <c r="J120" s="228"/>
      <c r="K120" s="118"/>
      <c r="L120" s="118"/>
      <c r="M120" s="118"/>
      <c r="N120" s="102"/>
      <c r="O120" s="102"/>
      <c r="P120" s="102"/>
      <c r="Q120" s="102"/>
      <c r="R120" s="118"/>
      <c r="S120" s="118"/>
      <c r="T120" s="118"/>
      <c r="U120" s="118"/>
      <c r="V120" s="118"/>
    </row>
    <row r="121" outlineLevel="1">
      <c r="A121" s="329" t="s">
        <v>259</v>
      </c>
      <c r="B121" s="327" t="s">
        <v>216</v>
      </c>
      <c r="C121" s="328">
        <f t="array" ref="C121">INDEX('アイテム'!$AA$3:$AB$114, MATCH($A$1,'アイテム'!$A$3:$A$114,0), MATCH(C118,'アイテム'!$C$2:$AQ$2,0))</f>
        <v>3</v>
      </c>
      <c r="D121" s="328" t="str">
        <f t="array" ref="D121">INDEX('アイテム'!$AA$3:$AB$114, MATCH($A$1,'アイテム'!$A$3:$A$114,0), MATCH(D118,'アイテム'!$C$2:$AQ$2,0))</f>
        <v>12</v>
      </c>
      <c r="E121" s="322"/>
      <c r="F121" s="322"/>
      <c r="G121" s="114"/>
      <c r="H121" s="228"/>
      <c r="I121" s="228"/>
      <c r="J121" s="228"/>
      <c r="K121" s="118"/>
      <c r="L121" s="118"/>
      <c r="M121" s="118"/>
      <c r="N121" s="102"/>
      <c r="O121" s="102"/>
      <c r="P121" s="102"/>
      <c r="Q121" s="102"/>
      <c r="R121" s="118"/>
      <c r="S121" s="118"/>
      <c r="T121" s="118"/>
      <c r="U121" s="118"/>
      <c r="V121" s="118"/>
    </row>
    <row r="122" outlineLevel="1">
      <c r="A122" s="324" t="s">
        <v>260</v>
      </c>
      <c r="B122" s="109"/>
      <c r="C122" s="325" t="s">
        <v>261</v>
      </c>
      <c r="D122" s="325" t="s">
        <v>49</v>
      </c>
      <c r="E122" s="322"/>
      <c r="F122" s="322"/>
      <c r="G122" s="114"/>
      <c r="H122" s="228"/>
      <c r="I122" s="228"/>
      <c r="J122" s="228"/>
      <c r="K122" s="118"/>
      <c r="L122" s="118"/>
      <c r="M122" s="118"/>
      <c r="N122" s="102"/>
      <c r="O122" s="102"/>
      <c r="P122" s="102"/>
      <c r="Q122" s="102"/>
      <c r="R122" s="118"/>
      <c r="S122" s="118"/>
      <c r="T122" s="118"/>
      <c r="U122" s="118"/>
      <c r="V122" s="118"/>
    </row>
    <row r="123" outlineLevel="1">
      <c r="A123" s="326" t="s">
        <v>262</v>
      </c>
      <c r="B123" s="327" t="s">
        <v>226</v>
      </c>
      <c r="C123" s="328" t="str">
        <f t="array" ref="C123">INDEX('アイテム'!$G$3:$H$114, MATCH($A$1,'アイテム'!$A$3:$A$114,0), MATCH(C118,'アイテム'!$C$2:$AQ$2,0))</f>
        <v>12</v>
      </c>
      <c r="D123" s="328">
        <f t="array" ref="D123">INDEX('アイテム'!$G$3:$H$114, MATCH($A$1,'アイテム'!$A$3:$A$114,0), MATCH(D118,'アイテム'!$C$2:$AQ$2,0))</f>
        <v>24</v>
      </c>
      <c r="E123" s="322"/>
      <c r="F123" s="322"/>
      <c r="G123" s="114"/>
      <c r="H123" s="228"/>
      <c r="I123" s="228"/>
      <c r="J123" s="228"/>
      <c r="K123" s="118"/>
      <c r="L123" s="118"/>
      <c r="M123" s="118"/>
      <c r="N123" s="102"/>
      <c r="O123" s="102"/>
      <c r="P123" s="102"/>
      <c r="Q123" s="102"/>
      <c r="R123" s="118"/>
      <c r="S123" s="118"/>
      <c r="T123" s="118"/>
      <c r="U123" s="118"/>
      <c r="V123" s="118"/>
    </row>
    <row r="124" outlineLevel="1">
      <c r="A124" s="146"/>
      <c r="B124" s="327" t="s">
        <v>229</v>
      </c>
      <c r="C124" s="328" t="str">
        <f t="array" ref="C124">INDEX('アイテム'!$I$3:$J$114, MATCH($A$1,'アイテム'!$A$3:$A$114,0), MATCH(C118,'アイテム'!$C$2:$AQ$2,0))</f>
        <v>12</v>
      </c>
      <c r="D124" s="328">
        <f t="array" ref="D124">INDEX('アイテム'!$I$3:$J$114, MATCH($A$1,'アイテム'!$A$3:$A$114,0), MATCH(D118,'アイテム'!$C$2:$AQ$2,0))</f>
        <v>24</v>
      </c>
      <c r="E124" s="322"/>
      <c r="F124" s="322"/>
      <c r="G124" s="114"/>
      <c r="H124" s="228"/>
      <c r="I124" s="228"/>
      <c r="J124" s="228"/>
      <c r="K124" s="118"/>
      <c r="L124" s="118"/>
      <c r="M124" s="118"/>
      <c r="N124" s="102"/>
      <c r="O124" s="102"/>
      <c r="P124" s="102"/>
      <c r="Q124" s="102"/>
      <c r="R124" s="118"/>
      <c r="S124" s="118"/>
      <c r="T124" s="118"/>
      <c r="U124" s="118"/>
      <c r="V124" s="118"/>
    </row>
    <row r="125" outlineLevel="1">
      <c r="A125" s="146"/>
      <c r="B125" s="327" t="s">
        <v>233</v>
      </c>
      <c r="C125" s="328" t="str">
        <f t="array" ref="C125">INDEX('アイテム'!$K$3:$L$114, MATCH($A$1,'アイテム'!$A$3:$A$114,0), MATCH(C118,'アイテム'!$C$2:$AQ$2,0))</f>
        <v>13</v>
      </c>
      <c r="D125" s="328">
        <f t="array" ref="D125">INDEX('アイテム'!$K$3:$L$114, MATCH($A$1,'アイテム'!$A$3:$A$114,0), MATCH(D118,'アイテム'!$C$2:$AQ$2,0))</f>
        <v>23</v>
      </c>
      <c r="E125" s="322"/>
      <c r="F125" s="322"/>
      <c r="G125" s="114"/>
      <c r="H125" s="228"/>
      <c r="I125" s="228"/>
      <c r="J125" s="228"/>
      <c r="K125" s="118"/>
      <c r="L125" s="118"/>
      <c r="M125" s="118"/>
      <c r="N125" s="102"/>
      <c r="O125" s="102"/>
      <c r="P125" s="102"/>
      <c r="Q125" s="102"/>
      <c r="R125" s="118"/>
      <c r="S125" s="118"/>
      <c r="T125" s="118"/>
      <c r="U125" s="118"/>
      <c r="V125" s="118"/>
    </row>
    <row r="126" outlineLevel="1">
      <c r="A126" s="146"/>
      <c r="B126" s="327" t="s">
        <v>234</v>
      </c>
      <c r="C126" s="328" t="str">
        <f t="array" ref="C126">INDEX('アイテム'!$M$3:$N$114, MATCH($A$1,'アイテム'!$A$3:$A$114,0), MATCH(C118,'アイテム'!$C$2:$AQ$2,0))</f>
        <v>7</v>
      </c>
      <c r="D126" s="328">
        <f t="array" ref="D126">INDEX('アイテム'!$M$3:$N$114, MATCH($A$1,'アイテム'!$A$3:$A$114,0), MATCH(D118,'アイテム'!$C$2:$AQ$2,0))</f>
        <v>19</v>
      </c>
      <c r="E126" s="322"/>
      <c r="F126" s="322"/>
      <c r="G126" s="114"/>
      <c r="H126" s="228"/>
      <c r="I126" s="228"/>
      <c r="J126" s="228"/>
      <c r="K126" s="118"/>
      <c r="L126" s="118"/>
      <c r="M126" s="118"/>
      <c r="N126" s="102"/>
      <c r="O126" s="102"/>
      <c r="P126" s="102"/>
      <c r="Q126" s="102"/>
      <c r="R126" s="118"/>
      <c r="S126" s="118"/>
      <c r="T126" s="118"/>
      <c r="U126" s="118"/>
      <c r="V126" s="118"/>
    </row>
    <row r="127" outlineLevel="1">
      <c r="A127" s="146"/>
      <c r="B127" s="327" t="s">
        <v>219</v>
      </c>
      <c r="C127" s="328" t="str">
        <f t="array" ref="C127">INDEX('アイテム'!$O$3:$P$114, MATCH($A$1,'アイテム'!$A$3:$A$114,0), MATCH(C118,'アイテム'!$C$2:$AQ$2,0))</f>
        <v>4</v>
      </c>
      <c r="D127" s="328">
        <f t="array" ref="D127">INDEX('アイテム'!$O$3:$P$114, MATCH($A$1,'アイテム'!$A$3:$A$114,0), MATCH(D118,'アイテム'!$C$2:$AQ$2,0))</f>
        <v>29</v>
      </c>
      <c r="E127" s="322"/>
      <c r="F127" s="322"/>
      <c r="G127" s="114"/>
      <c r="H127" s="228"/>
      <c r="I127" s="228"/>
      <c r="J127" s="228"/>
      <c r="K127" s="118"/>
      <c r="L127" s="118"/>
      <c r="M127" s="118"/>
      <c r="N127" s="102"/>
      <c r="O127" s="102"/>
      <c r="P127" s="102"/>
      <c r="Q127" s="102"/>
      <c r="R127" s="118"/>
      <c r="S127" s="118"/>
      <c r="T127" s="118"/>
      <c r="U127" s="118"/>
      <c r="V127" s="118"/>
    </row>
    <row r="128" outlineLevel="1">
      <c r="A128" s="156"/>
      <c r="B128" s="327" t="s">
        <v>263</v>
      </c>
      <c r="C128" s="328" t="str">
        <f t="array" ref="C128">INDEX('アイテム'!$Q$3:$R$114, MATCH($A$1,'アイテム'!$A$3:$A$114,0), MATCH(C118,'アイテム'!$C$2:$AQ$2,0))</f>
        <v>6</v>
      </c>
      <c r="D128" s="328">
        <f t="array" ref="D128">INDEX('アイテム'!$Q$3:$R$114, MATCH($A$1,'アイテム'!$A$3:$A$114,0), MATCH(D118,'アイテム'!$C$2:$AQ$2,0))</f>
        <v>23</v>
      </c>
      <c r="E128" s="322"/>
      <c r="F128" s="322"/>
      <c r="G128" s="114"/>
      <c r="H128" s="228"/>
      <c r="I128" s="228"/>
      <c r="J128" s="228"/>
      <c r="K128" s="118"/>
      <c r="L128" s="118"/>
      <c r="M128" s="118"/>
      <c r="N128" s="102"/>
      <c r="O128" s="102"/>
      <c r="P128" s="102"/>
      <c r="Q128" s="102"/>
      <c r="R128" s="118"/>
      <c r="S128" s="118"/>
      <c r="T128" s="118"/>
      <c r="U128" s="118"/>
      <c r="V128" s="118"/>
    </row>
    <row r="129" outlineLevel="1">
      <c r="A129" s="326" t="s">
        <v>264</v>
      </c>
      <c r="B129" s="327" t="s">
        <v>226</v>
      </c>
      <c r="C129" s="328" t="str">
        <f t="array" ref="C129">INDEX('アイテム'!$S$3:$T$114, MATCH($A$1,'アイテム'!$A$3:$A$114,0), MATCH(C118,'アイテム'!$C$2:$AQ$2,0))</f>
        <v>12</v>
      </c>
      <c r="D129" s="328">
        <f t="array" ref="D129">INDEX('アイテム'!$S$3:$T$114, MATCH($A$1,'アイテム'!$A$3:$A$114,0), MATCH(D118,'アイテム'!$C$2:$AQ$2,0))</f>
        <v>24</v>
      </c>
      <c r="E129" s="322"/>
      <c r="F129" s="322"/>
      <c r="G129" s="114"/>
      <c r="H129" s="228"/>
      <c r="I129" s="228"/>
      <c r="J129" s="228"/>
      <c r="K129" s="118"/>
      <c r="L129" s="118"/>
      <c r="M129" s="118"/>
      <c r="N129" s="102"/>
      <c r="O129" s="102"/>
      <c r="P129" s="102"/>
      <c r="Q129" s="102"/>
      <c r="R129" s="118"/>
      <c r="S129" s="118"/>
      <c r="T129" s="118"/>
      <c r="U129" s="118"/>
      <c r="V129" s="118"/>
    </row>
    <row r="130" outlineLevel="1">
      <c r="A130" s="146"/>
      <c r="B130" s="327" t="s">
        <v>229</v>
      </c>
      <c r="C130" s="328" t="str">
        <f t="array" ref="C130">INDEX('アイテム'!$U$3:$V$114, MATCH($A$1,'アイテム'!$A$3:$A$114,0), MATCH(C118,'アイテム'!$C$2:$AQ$2,0))</f>
        <v>12</v>
      </c>
      <c r="D130" s="328">
        <f t="array" ref="D130">INDEX('アイテム'!$U$3:$V$114, MATCH($A$1,'アイテム'!$A$3:$A$114,0), MATCH(D118,'アイテム'!$C$2:$AQ$2,0))</f>
        <v>24</v>
      </c>
      <c r="E130" s="322"/>
      <c r="F130" s="322"/>
      <c r="G130" s="114"/>
      <c r="H130" s="228"/>
      <c r="I130" s="228"/>
      <c r="J130" s="228"/>
      <c r="K130" s="118"/>
      <c r="L130" s="118"/>
      <c r="M130" s="118"/>
      <c r="N130" s="102"/>
      <c r="O130" s="102"/>
      <c r="P130" s="102"/>
      <c r="Q130" s="102"/>
      <c r="R130" s="118"/>
      <c r="S130" s="118"/>
      <c r="T130" s="118"/>
      <c r="U130" s="118"/>
      <c r="V130" s="118"/>
    </row>
    <row r="131" outlineLevel="1">
      <c r="A131" s="146"/>
      <c r="B131" s="327" t="s">
        <v>233</v>
      </c>
      <c r="C131" s="328" t="str">
        <f t="array" ref="C131">INDEX('アイテム'!$W$3:$X$114, MATCH($A$1,'アイテム'!$A$3:$A$114,0), MATCH(C118,'アイテム'!$C$2:$AQ$2,0))</f>
        <v>13</v>
      </c>
      <c r="D131" s="328">
        <f t="array" ref="D131">INDEX('アイテム'!$W$3:$X$114, MATCH($A$1,'アイテム'!$A$3:$A$114,0), MATCH(D118,'アイテム'!$C$2:$AQ$2,0))</f>
        <v>23</v>
      </c>
      <c r="E131" s="322"/>
      <c r="F131" s="322"/>
      <c r="G131" s="114"/>
      <c r="H131" s="228"/>
      <c r="I131" s="228"/>
      <c r="J131" s="228"/>
      <c r="K131" s="118"/>
      <c r="L131" s="118"/>
      <c r="M131" s="118"/>
      <c r="N131" s="102"/>
      <c r="O131" s="102"/>
      <c r="P131" s="102"/>
      <c r="Q131" s="102"/>
      <c r="R131" s="118"/>
      <c r="S131" s="118"/>
      <c r="T131" s="118"/>
      <c r="U131" s="118"/>
      <c r="V131" s="118"/>
    </row>
    <row r="132" outlineLevel="1">
      <c r="A132" s="156"/>
      <c r="B132" s="327" t="s">
        <v>234</v>
      </c>
      <c r="C132" s="328" t="str">
        <f t="array" ref="C132">INDEX('アイテム'!$Y$3:$Z$114, MATCH($A$1,'アイテム'!$A$3:$A$114,0), MATCH(C118,'アイテム'!$C$2:$AQ$2,0))</f>
        <v>7</v>
      </c>
      <c r="D132" s="328">
        <f t="array" ref="D132">INDEX('アイテム'!$Y$3:$Z$114, MATCH($A$1,'アイテム'!$A$3:$A$114,0), MATCH(D118,'アイテム'!$C$2:$AQ$2,0))</f>
        <v>19</v>
      </c>
      <c r="E132" s="322"/>
      <c r="F132" s="322"/>
      <c r="G132" s="114"/>
      <c r="H132" s="228"/>
      <c r="I132" s="228"/>
      <c r="J132" s="228"/>
      <c r="K132" s="118"/>
      <c r="L132" s="118"/>
      <c r="M132" s="118"/>
      <c r="N132" s="102"/>
      <c r="O132" s="102"/>
      <c r="P132" s="102"/>
      <c r="Q132" s="102"/>
      <c r="R132" s="118"/>
      <c r="S132" s="118"/>
      <c r="T132" s="118"/>
      <c r="U132" s="118"/>
      <c r="V132" s="118"/>
    </row>
    <row r="133" outlineLevel="1">
      <c r="A133" s="326" t="s">
        <v>265</v>
      </c>
      <c r="B133" s="327" t="s">
        <v>226</v>
      </c>
      <c r="C133" s="328">
        <f t="array" ref="C133">INDEX('アイテム'!$AC$3:$AD$114, MATCH($A$1,'アイテム'!$A$3:$A$114,0), MATCH(C118,'アイテム'!$C$2:$AQ$2,0))</f>
        <v>16</v>
      </c>
      <c r="D133" s="328" t="str">
        <f t="array" ref="D133">INDEX('アイテム'!$AC$3:$AD$114, MATCH($A$1,'アイテム'!$A$3:$A$114,0), MATCH(D118,'アイテム'!$C$2:$AQ$2,0))</f>
        <v>30</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229</v>
      </c>
      <c r="C134" s="328">
        <f t="array" ref="C134">INDEX('アイテム'!$AE$3:$AF$114, MATCH($A$1,'アイテム'!$A$3:$A$114,0), MATCH(C118,'アイテム'!$C$2:$AQ$2,0))</f>
        <v>17</v>
      </c>
      <c r="D134" s="328" t="str">
        <f t="array" ref="D134">INDEX('アイテム'!$AE$3:$AF$114, MATCH($A$1,'アイテム'!$A$3:$A$114,0), MATCH(D118,'アイテム'!$C$2:$AQ$2,0))</f>
        <v>30</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233</v>
      </c>
      <c r="C135" s="328">
        <f t="array" ref="C135">INDEX('アイテム'!$AG$3:$AH$114, MATCH($A$1,'アイテム'!$A$3:$A$114,0), MATCH(C118,'アイテム'!$C$2:$AQ$2,0))</f>
        <v>11</v>
      </c>
      <c r="D135" s="328" t="str">
        <f t="array" ref="D135">INDEX('アイテム'!$AG$3:$AH$114, MATCH($A$1,'アイテム'!$A$3:$A$114,0), MATCH(D118,'アイテム'!$C$2:$AQ$2,0))</f>
        <v>22</v>
      </c>
      <c r="E135" s="322"/>
      <c r="F135" s="322"/>
      <c r="G135" s="114"/>
      <c r="H135" s="228"/>
      <c r="I135" s="228"/>
      <c r="J135" s="228"/>
      <c r="K135" s="118"/>
      <c r="L135" s="118"/>
      <c r="M135" s="118"/>
      <c r="N135" s="102"/>
      <c r="O135" s="102"/>
      <c r="P135" s="102"/>
      <c r="Q135" s="102"/>
      <c r="R135" s="118"/>
      <c r="S135" s="118"/>
      <c r="T135" s="118"/>
      <c r="U135" s="118"/>
      <c r="V135" s="118"/>
    </row>
    <row r="136" outlineLevel="1">
      <c r="A136" s="156"/>
      <c r="B136" s="327" t="s">
        <v>234</v>
      </c>
      <c r="C136" s="328">
        <f t="array" ref="C136">INDEX('アイテム'!$AI$3:$AJ$114, MATCH($A$1,'アイテム'!$A$3:$A$114,0), MATCH(C118,'アイテム'!$C$2:$AQ$2,0))</f>
        <v>11</v>
      </c>
      <c r="D136" s="328" t="str">
        <f t="array" ref="D136">INDEX('アイテム'!$AI$3:$AJ$114, MATCH($A$1,'アイテム'!$A$3:$A$114,0), MATCH(D118,'アイテム'!$C$2:$AQ$2,0))</f>
        <v>22</v>
      </c>
      <c r="E136" s="322"/>
      <c r="F136" s="322"/>
      <c r="G136" s="114"/>
      <c r="H136" s="228"/>
      <c r="I136" s="228"/>
      <c r="J136" s="228"/>
      <c r="K136" s="118"/>
      <c r="L136" s="118"/>
      <c r="M136" s="118"/>
      <c r="N136" s="102"/>
      <c r="O136" s="102"/>
      <c r="P136" s="102"/>
      <c r="Q136" s="102"/>
      <c r="R136" s="118"/>
      <c r="S136" s="118"/>
      <c r="T136" s="118"/>
      <c r="U136" s="118"/>
      <c r="V136" s="118"/>
    </row>
  </sheetData>
  <mergeCells count="127">
    <mergeCell ref="R40:V40"/>
    <mergeCell ref="R41:V42"/>
    <mergeCell ref="R43:V44"/>
    <mergeCell ref="R45:V45"/>
    <mergeCell ref="R46:V46"/>
    <mergeCell ref="R47:V48"/>
    <mergeCell ref="H33:J33"/>
    <mergeCell ref="H34:J35"/>
    <mergeCell ref="U34:U35"/>
    <mergeCell ref="H36:J36"/>
    <mergeCell ref="H37:J37"/>
    <mergeCell ref="I41:I42"/>
    <mergeCell ref="J41:J42"/>
    <mergeCell ref="I43:I44"/>
    <mergeCell ref="J43:J44"/>
    <mergeCell ref="I47:I48"/>
    <mergeCell ref="J47:J48"/>
    <mergeCell ref="H51:J51"/>
    <mergeCell ref="H52:J52"/>
    <mergeCell ref="H53:J53"/>
    <mergeCell ref="H54:J54"/>
    <mergeCell ref="H55:J55"/>
    <mergeCell ref="G69:J69"/>
    <mergeCell ref="G70:J71"/>
    <mergeCell ref="G72:J73"/>
    <mergeCell ref="G74:J75"/>
    <mergeCell ref="G76:J77"/>
    <mergeCell ref="K108:L108"/>
    <mergeCell ref="K111:L111"/>
    <mergeCell ref="K88:L88"/>
    <mergeCell ref="K89:K90"/>
    <mergeCell ref="K91:L91"/>
    <mergeCell ref="K92:K97"/>
    <mergeCell ref="K98:K101"/>
    <mergeCell ref="K102:L102"/>
    <mergeCell ref="K104:K107"/>
    <mergeCell ref="A34:A35"/>
    <mergeCell ref="A39:B40"/>
    <mergeCell ref="A41:A42"/>
    <mergeCell ref="D41:D42"/>
    <mergeCell ref="A43:A44"/>
    <mergeCell ref="D43:D44"/>
    <mergeCell ref="D47:D48"/>
    <mergeCell ref="A47:A48"/>
    <mergeCell ref="A50:B50"/>
    <mergeCell ref="A51:B51"/>
    <mergeCell ref="A53:B53"/>
    <mergeCell ref="A55:B55"/>
    <mergeCell ref="D56:D58"/>
    <mergeCell ref="A59:B59"/>
    <mergeCell ref="D72:D73"/>
    <mergeCell ref="D74:D75"/>
    <mergeCell ref="A63:B64"/>
    <mergeCell ref="A66:A68"/>
    <mergeCell ref="A69:B69"/>
    <mergeCell ref="A70:A71"/>
    <mergeCell ref="D70:D71"/>
    <mergeCell ref="A72:A73"/>
    <mergeCell ref="A74:A75"/>
    <mergeCell ref="A76:A77"/>
    <mergeCell ref="D76:D77"/>
    <mergeCell ref="A79:B80"/>
    <mergeCell ref="A81:A83"/>
    <mergeCell ref="A84:A85"/>
    <mergeCell ref="A87:B88"/>
    <mergeCell ref="A89:A93"/>
    <mergeCell ref="C107:C108"/>
    <mergeCell ref="C114:C115"/>
    <mergeCell ref="A109:A115"/>
    <mergeCell ref="A117:B117"/>
    <mergeCell ref="A118:B118"/>
    <mergeCell ref="A119:A120"/>
    <mergeCell ref="A122:B122"/>
    <mergeCell ref="A123:A128"/>
    <mergeCell ref="A129:A132"/>
    <mergeCell ref="A133:A136"/>
    <mergeCell ref="A94:A96"/>
    <mergeCell ref="A97:A102"/>
    <mergeCell ref="C101:C102"/>
    <mergeCell ref="D101:D102"/>
    <mergeCell ref="A103:A108"/>
    <mergeCell ref="D107:D108"/>
    <mergeCell ref="D114:D115"/>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9"/>
    <mergeCell ref="U28:U29"/>
    <mergeCell ref="H30:J30"/>
    <mergeCell ref="H31:J32"/>
    <mergeCell ref="U31:U32"/>
    <mergeCell ref="A24:B25"/>
    <mergeCell ref="A26:A27"/>
    <mergeCell ref="A28:A29"/>
    <mergeCell ref="D28:D29"/>
    <mergeCell ref="A31:A32"/>
    <mergeCell ref="D31:D32"/>
    <mergeCell ref="D34:D35"/>
    <mergeCell ref="H56:J58"/>
    <mergeCell ref="U56:U58"/>
    <mergeCell ref="V56:V58"/>
    <mergeCell ref="H59:J59"/>
    <mergeCell ref="U60:U61"/>
    <mergeCell ref="V60:V61"/>
    <mergeCell ref="A56:A58"/>
    <mergeCell ref="A60:A61"/>
    <mergeCell ref="C60:C61"/>
    <mergeCell ref="E60:E61"/>
    <mergeCell ref="F60:F61"/>
    <mergeCell ref="G60:G61"/>
    <mergeCell ref="H60:J61"/>
  </mergeCells>
  <conditionalFormatting sqref="K1:K15 K17:K69 G56:G58 C72 E72:F72 M72 C74 E74:F74 M74 K78:K112">
    <cfRule type="containsText" dxfId="0" priority="1" operator="containsText" text="361">
      <formula>NOT(ISERROR(SEARCH(("361"),(K1))))</formula>
    </cfRule>
  </conditionalFormatting>
  <conditionalFormatting sqref="K1:K15 K17:K69 G56:G58 C72 E72:F72 M72 C74 E74:F74 M74 K78:K112">
    <cfRule type="containsText" dxfId="1" priority="2" operator="containsText" text="363">
      <formula>NOT(ISERROR(SEARCH(("363"),(K1))))</formula>
    </cfRule>
  </conditionalFormatting>
  <conditionalFormatting sqref="K1:K15 K17:K69 G56:G58 C72 E72:F72 M72 C74 E74:F74 M74 K78:K112">
    <cfRule type="containsText" dxfId="1" priority="3" operator="containsText" text="365">
      <formula>NOT(ISERROR(SEARCH(("365"),(K1))))</formula>
    </cfRule>
  </conditionalFormatting>
  <conditionalFormatting sqref="K1:K15 K17:K69 G56:G58 C72 E72:F72 M72 C74 E74:F74 M74 K78:K112">
    <cfRule type="containsText" dxfId="1" priority="4" operator="containsText" text="366">
      <formula>NOT(ISERROR(SEARCH(("366"),(K1))))</formula>
    </cfRule>
  </conditionalFormatting>
  <conditionalFormatting sqref="K1:K15 K17:K69 G56:G58 C72 E72:F72 M72 C74 E74:F74 M74 K78:K112">
    <cfRule type="containsText" dxfId="1" priority="5" operator="containsText" text="367">
      <formula>NOT(ISERROR(SEARCH(("367"),(K1))))</formula>
    </cfRule>
  </conditionalFormatting>
  <conditionalFormatting sqref="O70:O77">
    <cfRule type="cellIs" dxfId="2" priority="6" operator="equal">
      <formula>"敵のみ"</formula>
    </cfRule>
  </conditionalFormatting>
  <conditionalFormatting sqref="G56:G58 C70:C77">
    <cfRule type="cellIs" dxfId="3" priority="7" operator="equal">
      <formula>"-"</formula>
    </cfRule>
  </conditionalFormatting>
  <conditionalFormatting sqref="O1:O69 N70:N77 O78:O136">
    <cfRule type="cellIs" dxfId="4" priority="8" operator="greaterThan">
      <formula>0</formula>
    </cfRule>
  </conditionalFormatting>
  <conditionalFormatting sqref="P1:P136 Q1:Q69 O70:O77 Q78:Q136">
    <cfRule type="cellIs" dxfId="5" priority="9" operator="lessThan">
      <formula>1</formula>
    </cfRule>
  </conditionalFormatting>
  <conditionalFormatting sqref="P1:P136 Q1:Q69 O70:O77 Q78:Q136">
    <cfRule type="cellIs" dxfId="4" priority="10" operator="greaterThan">
      <formula>1</formula>
    </cfRule>
  </conditionalFormatting>
  <conditionalFormatting sqref="N25:N69 M70:M77">
    <cfRule type="cellIs" dxfId="6" priority="11" operator="greaterThan">
      <formula>0</formula>
    </cfRule>
  </conditionalFormatting>
  <conditionalFormatting sqref="N1:N15 N17:N69 M70:M77 N78:N136">
    <cfRule type="containsText" dxfId="6" priority="12" operator="containsText" text="/">
      <formula>NOT(ISERROR(SEARCH(("/"),(N1))))</formula>
    </cfRule>
  </conditionalFormatting>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E7EA2"/>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908">
        <v>13.0</v>
      </c>
      <c r="B1" s="909"/>
      <c r="C1" s="910" t="str">
        <f>IMAGE(VLOOKUP($A$1,Fighters!A2:AI114,12,FALSE),1)</f>
        <v>#REF!</v>
      </c>
      <c r="D1" s="911"/>
      <c r="E1" s="911"/>
      <c r="F1" s="911"/>
      <c r="G1" s="912"/>
      <c r="H1" s="913"/>
      <c r="I1" s="911"/>
      <c r="J1" s="912"/>
      <c r="K1" s="914"/>
      <c r="L1" s="911"/>
      <c r="M1" s="912"/>
      <c r="N1" s="915"/>
      <c r="O1" s="915"/>
      <c r="P1" s="915"/>
      <c r="Q1" s="915"/>
      <c r="R1" s="916"/>
      <c r="S1" s="916"/>
      <c r="T1" s="916"/>
      <c r="U1" s="916"/>
      <c r="V1" s="916"/>
    </row>
    <row r="2">
      <c r="A2" s="917" t="str">
        <f>VLOOKUP($A$1,Fighters!$A$2:$AI$81,6,FALSE)</f>
        <v>#fe7ea2</v>
      </c>
      <c r="B2" s="909"/>
      <c r="C2" s="918"/>
      <c r="G2" s="919"/>
      <c r="H2" s="920"/>
      <c r="I2" s="921"/>
      <c r="J2" s="922"/>
      <c r="K2" s="920"/>
      <c r="L2" s="921"/>
      <c r="M2" s="922"/>
      <c r="N2" s="915"/>
      <c r="O2" s="915"/>
      <c r="P2" s="915"/>
      <c r="Q2" s="915"/>
      <c r="R2" s="916"/>
      <c r="S2" s="916"/>
      <c r="T2" s="916"/>
      <c r="U2" s="916"/>
      <c r="V2" s="916"/>
    </row>
    <row r="3">
      <c r="A3" s="917" t="str">
        <f>VLOOKUP($A$1,Fighters!$A$2:$AI$81,14,FALSE)</f>
        <v>13. ピーチ</v>
      </c>
      <c r="B3" s="909"/>
      <c r="C3" s="918"/>
      <c r="G3" s="919"/>
      <c r="H3" s="923"/>
      <c r="I3" s="923"/>
      <c r="J3" s="923"/>
      <c r="K3" s="924"/>
      <c r="L3" s="924"/>
      <c r="M3" s="924"/>
      <c r="N3" s="915"/>
      <c r="O3" s="915"/>
      <c r="P3" s="915"/>
      <c r="Q3" s="915"/>
      <c r="R3" s="925"/>
      <c r="S3" s="916"/>
      <c r="T3" s="916"/>
      <c r="U3" s="916"/>
      <c r="V3" s="916"/>
    </row>
    <row r="4">
      <c r="A4" s="917" t="str">
        <f>VLOOKUP($A$1,Fighters!$A$2:$AI$81,13,FALSE)</f>
        <v>0</v>
      </c>
      <c r="B4" s="909"/>
      <c r="C4" s="918"/>
      <c r="G4" s="919"/>
      <c r="H4" s="926"/>
      <c r="I4" s="926"/>
      <c r="J4" s="923"/>
      <c r="K4" s="924"/>
      <c r="L4" s="924"/>
      <c r="M4" s="924"/>
      <c r="N4" s="915"/>
      <c r="O4" s="915"/>
      <c r="P4" s="915"/>
      <c r="Q4" s="915"/>
      <c r="R4" s="925"/>
      <c r="S4" s="916"/>
      <c r="T4" s="916"/>
      <c r="U4" s="916"/>
      <c r="V4" s="916"/>
    </row>
    <row r="5" ht="16.5" customHeight="1">
      <c r="A5" s="908"/>
      <c r="B5" s="909"/>
      <c r="C5" s="918"/>
      <c r="G5" s="919"/>
      <c r="H5" s="927"/>
      <c r="I5" s="927"/>
      <c r="J5" s="928"/>
      <c r="K5" s="929"/>
      <c r="L5" s="930"/>
      <c r="M5" s="930"/>
      <c r="N5" s="915"/>
      <c r="O5" s="915"/>
      <c r="P5" s="915"/>
      <c r="Q5" s="915"/>
      <c r="R5" s="925"/>
      <c r="S5" s="916"/>
      <c r="T5" s="916"/>
      <c r="U5" s="916"/>
      <c r="V5" s="916"/>
    </row>
    <row r="6">
      <c r="A6" s="909"/>
      <c r="B6" s="909"/>
      <c r="C6" s="918"/>
      <c r="G6" s="919"/>
      <c r="H6" s="926"/>
      <c r="I6" s="931" t="s">
        <v>39</v>
      </c>
      <c r="J6" s="929"/>
      <c r="K6" s="932"/>
      <c r="L6" s="930"/>
      <c r="M6" s="930"/>
      <c r="N6" s="915"/>
      <c r="O6" s="915"/>
      <c r="P6" s="915"/>
      <c r="Q6" s="915"/>
      <c r="R6" s="925"/>
      <c r="S6" s="916"/>
      <c r="T6" s="916"/>
      <c r="U6" s="916"/>
      <c r="V6" s="916"/>
    </row>
    <row r="7">
      <c r="A7" s="909"/>
      <c r="B7" s="909"/>
      <c r="C7" s="918"/>
      <c r="G7" s="919"/>
      <c r="H7" s="927"/>
      <c r="I7" s="927"/>
      <c r="J7" s="929"/>
      <c r="K7" s="932"/>
      <c r="L7" s="930"/>
      <c r="M7" s="930"/>
      <c r="N7" s="915"/>
      <c r="O7" s="915"/>
      <c r="P7" s="915"/>
      <c r="Q7" s="915"/>
      <c r="R7" s="925"/>
      <c r="S7" s="916"/>
      <c r="T7" s="916"/>
      <c r="U7" s="916"/>
      <c r="V7" s="916"/>
    </row>
    <row r="8">
      <c r="A8" s="909"/>
      <c r="B8" s="909"/>
      <c r="C8" s="918"/>
      <c r="G8" s="919"/>
      <c r="H8" s="933">
        <v>44379.843697847224</v>
      </c>
      <c r="I8" s="911"/>
      <c r="J8" s="912"/>
      <c r="K8" s="929"/>
      <c r="L8" s="930"/>
      <c r="M8" s="930"/>
      <c r="N8" s="915"/>
      <c r="O8" s="915"/>
      <c r="P8" s="915"/>
      <c r="Q8" s="915"/>
      <c r="R8" s="925"/>
      <c r="S8" s="916"/>
      <c r="T8" s="916"/>
      <c r="U8" s="916"/>
      <c r="V8" s="916"/>
    </row>
    <row r="9">
      <c r="A9" s="909"/>
      <c r="B9" s="909"/>
      <c r="C9" s="918"/>
      <c r="G9" s="919"/>
      <c r="H9" s="920"/>
      <c r="I9" s="921"/>
      <c r="J9" s="922"/>
      <c r="K9" s="916"/>
      <c r="L9" s="915"/>
      <c r="M9" s="915"/>
      <c r="N9" s="915"/>
      <c r="O9" s="915"/>
      <c r="P9" s="915"/>
      <c r="Q9" s="915"/>
      <c r="R9" s="925"/>
      <c r="S9" s="916"/>
      <c r="T9" s="916"/>
      <c r="U9" s="916"/>
      <c r="V9" s="916"/>
    </row>
    <row r="10">
      <c r="A10" s="909"/>
      <c r="B10" s="909"/>
      <c r="C10" s="918"/>
      <c r="G10" s="919"/>
      <c r="H10" s="934"/>
      <c r="I10" s="934"/>
      <c r="J10" s="916"/>
      <c r="K10" s="916"/>
      <c r="L10" s="915"/>
      <c r="M10" s="915"/>
      <c r="N10" s="915"/>
      <c r="O10" s="915"/>
      <c r="P10" s="915"/>
      <c r="Q10" s="915"/>
      <c r="R10" s="925"/>
      <c r="S10" s="916"/>
      <c r="T10" s="916"/>
      <c r="U10" s="916"/>
      <c r="V10" s="916"/>
    </row>
    <row r="11">
      <c r="A11" s="935" t="s">
        <v>40</v>
      </c>
      <c r="B11" s="912"/>
      <c r="C11" s="918"/>
      <c r="G11" s="919"/>
      <c r="H11" s="927"/>
      <c r="I11" s="927"/>
      <c r="J11" s="916"/>
      <c r="K11" s="916"/>
      <c r="L11" s="915"/>
      <c r="M11" s="915"/>
      <c r="N11" s="915"/>
      <c r="O11" s="915"/>
      <c r="P11" s="915"/>
      <c r="Q11" s="915"/>
      <c r="R11" s="925"/>
      <c r="S11" s="916"/>
      <c r="T11" s="916"/>
      <c r="U11" s="916"/>
      <c r="V11" s="916"/>
    </row>
    <row r="12">
      <c r="A12" s="920"/>
      <c r="B12" s="922"/>
      <c r="C12" s="920"/>
      <c r="D12" s="921"/>
      <c r="E12" s="921"/>
      <c r="F12" s="921"/>
      <c r="G12" s="922"/>
      <c r="H12" s="936"/>
      <c r="I12" s="936"/>
      <c r="J12" s="909"/>
      <c r="K12" s="909"/>
      <c r="L12" s="915"/>
      <c r="M12" s="915"/>
      <c r="N12" s="915"/>
      <c r="O12" s="915"/>
      <c r="P12" s="915"/>
      <c r="Q12" s="915"/>
      <c r="R12" s="925"/>
      <c r="S12" s="916"/>
      <c r="T12" s="916"/>
      <c r="U12" s="916"/>
      <c r="V12" s="91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89 [64th]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1.826 [58th]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0.924 [63rd]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57F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0.17391 [13th]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30.03 [66th]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1.595 [60th]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0.111 [36th]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14.5 [66th]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1.029 [48th]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40F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0.12 [2nd]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30.03 [63rd]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1.19 [87th]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1.904 [87th]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 [81st]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176</v>
      </c>
      <c r="D26" s="701" t="s">
        <v>105</v>
      </c>
      <c r="E26" s="139" t="s">
        <v>176</v>
      </c>
      <c r="F26" s="138">
        <v>2.4</v>
      </c>
      <c r="G26" s="139" t="s">
        <v>60</v>
      </c>
      <c r="H26" s="140" t="s">
        <v>1203</v>
      </c>
      <c r="I26" s="110"/>
      <c r="J26" s="109"/>
      <c r="K26" s="138"/>
      <c r="L26" s="282"/>
      <c r="M26" s="363"/>
      <c r="N26" s="363"/>
      <c r="O26" s="145">
        <v>0.0</v>
      </c>
      <c r="P26" s="145">
        <v>1.0</v>
      </c>
      <c r="Q26" s="145">
        <v>1.0</v>
      </c>
      <c r="R26" s="100"/>
      <c r="S26" s="100"/>
      <c r="T26" s="100"/>
      <c r="U26" s="145" t="s">
        <v>69</v>
      </c>
      <c r="V26" s="100"/>
    </row>
    <row r="27" outlineLevel="1">
      <c r="A27" s="156"/>
      <c r="B27" s="147" t="s">
        <v>63</v>
      </c>
      <c r="C27" s="701" t="s">
        <v>64</v>
      </c>
      <c r="D27" s="467" t="s">
        <v>99</v>
      </c>
      <c r="E27" s="216" t="s">
        <v>204</v>
      </c>
      <c r="F27" s="138">
        <v>3.5999999999999996</v>
      </c>
      <c r="G27" s="216" t="s">
        <v>147</v>
      </c>
      <c r="H27" s="159"/>
      <c r="I27" s="110"/>
      <c r="J27" s="109"/>
      <c r="K27" s="282"/>
      <c r="L27" s="282"/>
      <c r="M27" s="363"/>
      <c r="N27" s="363"/>
      <c r="O27" s="145">
        <v>0.0</v>
      </c>
      <c r="P27" s="145">
        <v>1.0</v>
      </c>
      <c r="Q27" s="145">
        <v>1.0</v>
      </c>
      <c r="R27" s="100"/>
      <c r="S27" s="100"/>
      <c r="T27" s="100"/>
      <c r="U27" s="145" t="s">
        <v>76</v>
      </c>
      <c r="V27" s="100"/>
    </row>
    <row r="28" outlineLevel="1">
      <c r="A28" s="133" t="s">
        <v>77</v>
      </c>
      <c r="B28" s="147" t="s">
        <v>125</v>
      </c>
      <c r="C28" s="467" t="s">
        <v>543</v>
      </c>
      <c r="D28" s="455" t="s">
        <v>79</v>
      </c>
      <c r="E28" s="467" t="s">
        <v>73</v>
      </c>
      <c r="F28" s="138">
        <v>4.8</v>
      </c>
      <c r="G28" s="450" t="s">
        <v>88</v>
      </c>
      <c r="H28" s="163" t="s">
        <v>1204</v>
      </c>
      <c r="I28" s="164"/>
      <c r="J28" s="104"/>
      <c r="K28" s="138"/>
      <c r="L28" s="282"/>
      <c r="M28" s="363"/>
      <c r="N28" s="363"/>
      <c r="O28" s="145">
        <v>0.0</v>
      </c>
      <c r="P28" s="145">
        <v>1.0</v>
      </c>
      <c r="Q28" s="145">
        <v>1.0</v>
      </c>
      <c r="R28" s="100"/>
      <c r="S28" s="100"/>
      <c r="T28" s="100"/>
      <c r="U28" s="166" t="s">
        <v>69</v>
      </c>
      <c r="V28" s="100"/>
    </row>
    <row r="29" outlineLevel="1">
      <c r="A29" s="156"/>
      <c r="B29" s="147" t="s">
        <v>131</v>
      </c>
      <c r="C29" s="467" t="s">
        <v>894</v>
      </c>
      <c r="D29" s="107"/>
      <c r="E29" s="467" t="s">
        <v>86</v>
      </c>
      <c r="F29" s="138">
        <v>7.199999999999999</v>
      </c>
      <c r="G29" s="467" t="s">
        <v>102</v>
      </c>
      <c r="H29" s="106"/>
      <c r="I29" s="168"/>
      <c r="J29" s="107"/>
      <c r="K29" s="282"/>
      <c r="L29" s="282"/>
      <c r="M29" s="363"/>
      <c r="N29" s="363"/>
      <c r="O29" s="145">
        <v>0.0</v>
      </c>
      <c r="P29" s="145">
        <v>1.0</v>
      </c>
      <c r="Q29" s="145">
        <v>1.0</v>
      </c>
      <c r="R29" s="100"/>
      <c r="S29" s="100"/>
      <c r="T29" s="100"/>
      <c r="U29" s="156"/>
      <c r="V29" s="100"/>
    </row>
    <row r="30" outlineLevel="1">
      <c r="A30" s="133" t="s">
        <v>89</v>
      </c>
      <c r="B30" s="147" t="s">
        <v>152</v>
      </c>
      <c r="C30" s="467" t="s">
        <v>93</v>
      </c>
      <c r="D30" s="455" t="s">
        <v>224</v>
      </c>
      <c r="E30" s="467" t="s">
        <v>93</v>
      </c>
      <c r="F30" s="138">
        <v>8.4</v>
      </c>
      <c r="G30" s="467" t="s">
        <v>95</v>
      </c>
      <c r="H30" s="456"/>
      <c r="I30" s="164"/>
      <c r="J30" s="104"/>
      <c r="K30" s="138"/>
      <c r="L30" s="282"/>
      <c r="M30" s="363"/>
      <c r="N30" s="363"/>
      <c r="O30" s="145">
        <v>0.0</v>
      </c>
      <c r="P30" s="145">
        <v>1.0</v>
      </c>
      <c r="Q30" s="145">
        <v>1.0</v>
      </c>
      <c r="R30" s="100"/>
      <c r="S30" s="100"/>
      <c r="T30" s="100"/>
      <c r="U30" s="166" t="s">
        <v>96</v>
      </c>
      <c r="V30" s="100"/>
    </row>
    <row r="31" outlineLevel="1">
      <c r="A31" s="146"/>
      <c r="B31" s="147"/>
      <c r="C31" s="467" t="s">
        <v>518</v>
      </c>
      <c r="D31" s="210"/>
      <c r="E31" s="467" t="s">
        <v>1205</v>
      </c>
      <c r="F31" s="138" t="s">
        <v>1206</v>
      </c>
      <c r="G31" s="467" t="s">
        <v>1207</v>
      </c>
      <c r="H31" s="212"/>
      <c r="J31" s="210"/>
      <c r="K31" s="138"/>
      <c r="L31" s="282"/>
      <c r="M31" s="363"/>
      <c r="N31" s="363"/>
      <c r="O31" s="145">
        <v>0.0</v>
      </c>
      <c r="P31" s="145">
        <v>1.0</v>
      </c>
      <c r="Q31" s="145">
        <v>1.0</v>
      </c>
      <c r="R31" s="100"/>
      <c r="S31" s="100"/>
      <c r="T31" s="100"/>
      <c r="U31" s="146"/>
      <c r="V31" s="100"/>
    </row>
    <row r="32" outlineLevel="1">
      <c r="A32" s="156"/>
      <c r="B32" s="147" t="s">
        <v>84</v>
      </c>
      <c r="C32" s="467" t="s">
        <v>1208</v>
      </c>
      <c r="D32" s="107"/>
      <c r="E32" s="467" t="s">
        <v>86</v>
      </c>
      <c r="F32" s="138">
        <v>7.199999999999999</v>
      </c>
      <c r="G32" s="467" t="s">
        <v>102</v>
      </c>
      <c r="H32" s="106"/>
      <c r="I32" s="168"/>
      <c r="J32" s="107"/>
      <c r="K32" s="138"/>
      <c r="L32" s="282"/>
      <c r="M32" s="363"/>
      <c r="N32" s="363"/>
      <c r="O32" s="145">
        <v>0.0</v>
      </c>
      <c r="P32" s="145">
        <v>1.0</v>
      </c>
      <c r="Q32" s="145">
        <v>1.0</v>
      </c>
      <c r="R32" s="100"/>
      <c r="S32" s="100"/>
      <c r="T32" s="100"/>
      <c r="U32" s="156"/>
      <c r="V32" s="100"/>
    </row>
    <row r="33" outlineLevel="1">
      <c r="A33" s="170" t="s">
        <v>97</v>
      </c>
      <c r="B33" s="160"/>
      <c r="C33" s="467" t="s">
        <v>505</v>
      </c>
      <c r="D33" s="467" t="s">
        <v>79</v>
      </c>
      <c r="E33" s="467" t="s">
        <v>1209</v>
      </c>
      <c r="F33" s="138" t="s">
        <v>1210</v>
      </c>
      <c r="G33" s="467" t="s">
        <v>1211</v>
      </c>
      <c r="H33" s="151" t="s">
        <v>1212</v>
      </c>
      <c r="I33" s="110"/>
      <c r="J33" s="109"/>
      <c r="K33" s="282"/>
      <c r="L33" s="282"/>
      <c r="M33" s="363"/>
      <c r="N33" s="363"/>
      <c r="O33" s="145">
        <v>0.0</v>
      </c>
      <c r="P33" s="145">
        <v>1.0</v>
      </c>
      <c r="Q33" s="145">
        <v>1.0</v>
      </c>
      <c r="R33" s="100"/>
      <c r="S33" s="100"/>
      <c r="T33" s="100"/>
      <c r="U33" s="145" t="s">
        <v>62</v>
      </c>
      <c r="V33" s="100"/>
    </row>
    <row r="34" outlineLevel="1">
      <c r="A34" s="170" t="s">
        <v>103</v>
      </c>
      <c r="B34" s="160"/>
      <c r="C34" s="216" t="s">
        <v>518</v>
      </c>
      <c r="D34" s="216" t="s">
        <v>173</v>
      </c>
      <c r="E34" s="216" t="s">
        <v>93</v>
      </c>
      <c r="F34" s="138">
        <v>8.4</v>
      </c>
      <c r="G34" s="216" t="s">
        <v>95</v>
      </c>
      <c r="H34" s="140"/>
      <c r="I34" s="110"/>
      <c r="J34" s="109"/>
      <c r="K34" s="145"/>
      <c r="L34" s="363"/>
      <c r="M34" s="363"/>
      <c r="N34" s="363"/>
      <c r="O34" s="145">
        <v>0.0</v>
      </c>
      <c r="P34" s="145">
        <v>1.0</v>
      </c>
      <c r="Q34" s="145">
        <v>1.0</v>
      </c>
      <c r="R34" s="100"/>
      <c r="S34" s="100"/>
      <c r="T34" s="100"/>
      <c r="U34" s="145" t="s">
        <v>69</v>
      </c>
      <c r="V34" s="100"/>
    </row>
    <row r="35" outlineLevel="1">
      <c r="A35" s="133" t="s">
        <v>109</v>
      </c>
      <c r="B35" s="147" t="s">
        <v>1213</v>
      </c>
      <c r="C35" s="216" t="s">
        <v>460</v>
      </c>
      <c r="D35" s="216" t="s">
        <v>146</v>
      </c>
      <c r="E35" s="216" t="s">
        <v>466</v>
      </c>
      <c r="F35" s="138">
        <v>21.599999999999998</v>
      </c>
      <c r="G35" s="216" t="s">
        <v>407</v>
      </c>
      <c r="H35" s="283" t="s">
        <v>1214</v>
      </c>
      <c r="I35" s="164"/>
      <c r="J35" s="104"/>
      <c r="K35" s="282"/>
      <c r="L35" s="282"/>
      <c r="M35" s="363"/>
      <c r="N35" s="363"/>
      <c r="O35" s="145">
        <v>0.0</v>
      </c>
      <c r="P35" s="145">
        <v>1.0</v>
      </c>
      <c r="Q35" s="145">
        <v>1.0</v>
      </c>
      <c r="R35" s="100"/>
      <c r="S35" s="100"/>
      <c r="T35" s="100"/>
      <c r="U35" s="166" t="s">
        <v>95</v>
      </c>
      <c r="V35" s="100"/>
    </row>
    <row r="36" outlineLevel="1">
      <c r="A36" s="146"/>
      <c r="B36" s="147" t="s">
        <v>1215</v>
      </c>
      <c r="C36" s="216" t="s">
        <v>460</v>
      </c>
      <c r="D36" s="216" t="s">
        <v>146</v>
      </c>
      <c r="E36" s="216" t="s">
        <v>386</v>
      </c>
      <c r="F36" s="138">
        <v>18.0</v>
      </c>
      <c r="G36" s="216" t="s">
        <v>121</v>
      </c>
      <c r="H36" s="212"/>
      <c r="J36" s="210"/>
      <c r="K36" s="282"/>
      <c r="L36" s="282"/>
      <c r="M36" s="363"/>
      <c r="N36" s="363"/>
      <c r="O36" s="145">
        <v>0.0</v>
      </c>
      <c r="P36" s="145">
        <v>1.0</v>
      </c>
      <c r="Q36" s="145">
        <v>1.0</v>
      </c>
      <c r="R36" s="100"/>
      <c r="S36" s="100"/>
      <c r="T36" s="100"/>
      <c r="U36" s="146"/>
      <c r="V36" s="100"/>
    </row>
    <row r="37" outlineLevel="1">
      <c r="A37" s="156"/>
      <c r="B37" s="147" t="s">
        <v>1216</v>
      </c>
      <c r="C37" s="216" t="s">
        <v>460</v>
      </c>
      <c r="D37" s="216" t="s">
        <v>146</v>
      </c>
      <c r="E37" s="216" t="s">
        <v>1217</v>
      </c>
      <c r="F37" s="138">
        <v>16.2</v>
      </c>
      <c r="G37" s="216" t="s">
        <v>275</v>
      </c>
      <c r="H37" s="106"/>
      <c r="I37" s="168"/>
      <c r="J37" s="107"/>
      <c r="K37" s="282"/>
      <c r="L37" s="282"/>
      <c r="M37" s="363"/>
      <c r="N37" s="363"/>
      <c r="O37" s="145">
        <v>0.0</v>
      </c>
      <c r="P37" s="145">
        <v>1.0</v>
      </c>
      <c r="Q37" s="145">
        <v>1.0</v>
      </c>
      <c r="R37" s="100"/>
      <c r="S37" s="100"/>
      <c r="T37" s="100"/>
      <c r="U37" s="156"/>
      <c r="V37" s="100"/>
    </row>
    <row r="38" ht="20.25" customHeight="1" outlineLevel="1">
      <c r="A38" s="133" t="s">
        <v>116</v>
      </c>
      <c r="B38" s="160"/>
      <c r="C38" s="216" t="s">
        <v>325</v>
      </c>
      <c r="D38" s="195" t="s">
        <v>393</v>
      </c>
      <c r="E38" s="216" t="s">
        <v>1218</v>
      </c>
      <c r="F38" s="138" t="s">
        <v>1219</v>
      </c>
      <c r="G38" s="216" t="s">
        <v>1220</v>
      </c>
      <c r="H38" s="395" t="s">
        <v>1221</v>
      </c>
      <c r="I38" s="164"/>
      <c r="J38" s="104"/>
      <c r="K38" s="363"/>
      <c r="L38" s="363"/>
      <c r="M38" s="363"/>
      <c r="N38" s="363"/>
      <c r="O38" s="145">
        <v>4.0</v>
      </c>
      <c r="P38" s="145">
        <v>1.0</v>
      </c>
      <c r="Q38" s="145">
        <v>1.0</v>
      </c>
      <c r="R38" s="100"/>
      <c r="S38" s="100"/>
      <c r="T38" s="100"/>
      <c r="U38" s="166" t="s">
        <v>62</v>
      </c>
      <c r="V38" s="100"/>
    </row>
    <row r="39" ht="20.25" customHeight="1" outlineLevel="1">
      <c r="A39" s="156"/>
      <c r="B39" s="147" t="s">
        <v>84</v>
      </c>
      <c r="C39" s="216" t="s">
        <v>156</v>
      </c>
      <c r="D39" s="107"/>
      <c r="E39" s="216" t="s">
        <v>1222</v>
      </c>
      <c r="F39" s="138" t="s">
        <v>1223</v>
      </c>
      <c r="G39" s="216" t="s">
        <v>1224</v>
      </c>
      <c r="H39" s="106"/>
      <c r="I39" s="168"/>
      <c r="J39" s="107"/>
      <c r="K39" s="363"/>
      <c r="L39" s="363"/>
      <c r="M39" s="363"/>
      <c r="N39" s="363"/>
      <c r="O39" s="145">
        <v>4.0</v>
      </c>
      <c r="P39" s="145">
        <v>1.0</v>
      </c>
      <c r="Q39" s="145">
        <v>1.0</v>
      </c>
      <c r="R39" s="100"/>
      <c r="S39" s="100"/>
      <c r="T39" s="100"/>
      <c r="U39" s="156"/>
      <c r="V39" s="100"/>
    </row>
    <row r="40" outlineLevel="1">
      <c r="A40" s="133" t="s">
        <v>124</v>
      </c>
      <c r="B40" s="147" t="s">
        <v>655</v>
      </c>
      <c r="C40" s="216" t="s">
        <v>1225</v>
      </c>
      <c r="D40" s="195" t="s">
        <v>289</v>
      </c>
      <c r="E40" s="216" t="s">
        <v>176</v>
      </c>
      <c r="F40" s="138">
        <v>2.4</v>
      </c>
      <c r="G40" s="216" t="s">
        <v>60</v>
      </c>
      <c r="H40" s="283" t="s">
        <v>130</v>
      </c>
      <c r="I40" s="164"/>
      <c r="J40" s="104"/>
      <c r="K40" s="282"/>
      <c r="L40" s="282"/>
      <c r="M40" s="363"/>
      <c r="N40" s="363"/>
      <c r="O40" s="145">
        <v>0.0</v>
      </c>
      <c r="P40" s="145">
        <v>1.0</v>
      </c>
      <c r="Q40" s="145">
        <v>1.0</v>
      </c>
      <c r="R40" s="100"/>
      <c r="S40" s="100"/>
      <c r="T40" s="100"/>
      <c r="U40" s="166" t="s">
        <v>62</v>
      </c>
      <c r="V40" s="100"/>
    </row>
    <row r="41" outlineLevel="1">
      <c r="A41" s="156"/>
      <c r="B41" s="147" t="s">
        <v>365</v>
      </c>
      <c r="C41" s="216" t="s">
        <v>574</v>
      </c>
      <c r="D41" s="107"/>
      <c r="E41" s="216" t="s">
        <v>204</v>
      </c>
      <c r="F41" s="138">
        <v>3.5999999999999996</v>
      </c>
      <c r="G41" s="216" t="s">
        <v>60</v>
      </c>
      <c r="H41" s="106"/>
      <c r="I41" s="168"/>
      <c r="J41" s="107"/>
      <c r="K41" s="282"/>
      <c r="L41" s="282"/>
      <c r="M41" s="363"/>
      <c r="N41" s="363"/>
      <c r="O41" s="145">
        <v>0.0</v>
      </c>
      <c r="P41" s="145">
        <v>1.0</v>
      </c>
      <c r="Q41" s="145">
        <v>1.0</v>
      </c>
      <c r="R41" s="100"/>
      <c r="S41" s="100"/>
      <c r="T41" s="100"/>
      <c r="U41" s="156"/>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372" t="str">
        <f>'テンプレート'!R56</f>
        <v>備考</v>
      </c>
      <c r="S44" s="110"/>
      <c r="T44" s="110"/>
      <c r="U44" s="110"/>
      <c r="V44" s="110"/>
    </row>
    <row r="45" outlineLevel="1">
      <c r="A45" s="188" t="s">
        <v>144</v>
      </c>
      <c r="B45" s="373"/>
      <c r="C45" s="239" t="s">
        <v>713</v>
      </c>
      <c r="D45" s="452" t="s">
        <v>541</v>
      </c>
      <c r="E45" s="401" t="s">
        <v>228</v>
      </c>
      <c r="F45" s="193">
        <v>15.6</v>
      </c>
      <c r="G45" s="193">
        <v>13.26</v>
      </c>
      <c r="H45" s="138" t="s">
        <v>75</v>
      </c>
      <c r="I45" s="454" t="str">
        <f t="array" ref="I45">INDEX('空中攻撃'!$O$3:$AA$109, MATCH($A$1,'空中攻撃'!$A$3:$A$109,0), MATCH(A45,'空中攻撃'!$O$2:$S$2,0))</f>
        <v>7</v>
      </c>
      <c r="J45" s="455" t="s">
        <v>1226</v>
      </c>
      <c r="K45" s="138"/>
      <c r="L45" s="282"/>
      <c r="M45" s="363"/>
      <c r="N45" s="363"/>
      <c r="O45" s="145">
        <v>0.0</v>
      </c>
      <c r="P45" s="145">
        <v>1.0</v>
      </c>
      <c r="Q45" s="145">
        <v>1.0</v>
      </c>
      <c r="R45" s="619"/>
      <c r="S45" s="164"/>
      <c r="T45" s="164"/>
      <c r="U45" s="164"/>
      <c r="V45" s="104"/>
    </row>
    <row r="46" outlineLevel="1">
      <c r="A46" s="156"/>
      <c r="B46" s="373" t="s">
        <v>84</v>
      </c>
      <c r="C46" s="239" t="s">
        <v>1227</v>
      </c>
      <c r="D46" s="107"/>
      <c r="E46" s="239" t="s">
        <v>911</v>
      </c>
      <c r="F46" s="193" t="s">
        <v>912</v>
      </c>
      <c r="G46" s="193" t="s">
        <v>913</v>
      </c>
      <c r="H46" s="138" t="s">
        <v>914</v>
      </c>
      <c r="I46" s="156"/>
      <c r="J46" s="107"/>
      <c r="K46" s="138"/>
      <c r="L46" s="282"/>
      <c r="M46" s="363"/>
      <c r="N46" s="363"/>
      <c r="O46" s="145">
        <v>0.0</v>
      </c>
      <c r="P46" s="145">
        <v>1.0</v>
      </c>
      <c r="Q46" s="145">
        <v>1.0</v>
      </c>
      <c r="R46" s="106"/>
      <c r="S46" s="168"/>
      <c r="T46" s="168"/>
      <c r="U46" s="168"/>
      <c r="V46" s="107"/>
    </row>
    <row r="47" outlineLevel="1">
      <c r="A47" s="213" t="s">
        <v>151</v>
      </c>
      <c r="B47" s="373"/>
      <c r="C47" s="239" t="s">
        <v>645</v>
      </c>
      <c r="D47" s="774">
        <v>57.0</v>
      </c>
      <c r="E47" s="239" t="s">
        <v>1228</v>
      </c>
      <c r="F47" s="193" t="s">
        <v>1229</v>
      </c>
      <c r="G47" s="193" t="s">
        <v>1230</v>
      </c>
      <c r="H47" s="138" t="s">
        <v>318</v>
      </c>
      <c r="I47" s="621" t="str">
        <f t="array" ref="I47">INDEX('空中攻撃'!$O$3:$AA$109, MATCH($A$1,'空中攻撃'!$A$3:$A$109,0), MATCH(A47,'空中攻撃'!$O$2:$S$2,0))</f>
        <v>13</v>
      </c>
      <c r="J47" s="467" t="s">
        <v>738</v>
      </c>
      <c r="K47" s="138"/>
      <c r="L47" s="282"/>
      <c r="M47" s="363"/>
      <c r="N47" s="363"/>
      <c r="O47" s="145">
        <v>0.0</v>
      </c>
      <c r="P47" s="145">
        <v>1.0</v>
      </c>
      <c r="Q47" s="145">
        <v>1.0</v>
      </c>
      <c r="R47" s="622"/>
      <c r="S47" s="110"/>
      <c r="T47" s="110"/>
      <c r="U47" s="110"/>
      <c r="V47" s="109"/>
    </row>
    <row r="48" outlineLevel="1">
      <c r="A48" s="188" t="s">
        <v>157</v>
      </c>
      <c r="B48" s="373"/>
      <c r="C48" s="239" t="s">
        <v>217</v>
      </c>
      <c r="D48" s="452">
        <v>53.0</v>
      </c>
      <c r="E48" s="239" t="s">
        <v>129</v>
      </c>
      <c r="F48" s="193">
        <v>14.399999999999999</v>
      </c>
      <c r="G48" s="193">
        <v>12.24</v>
      </c>
      <c r="H48" s="138" t="s">
        <v>75</v>
      </c>
      <c r="I48" s="454">
        <f t="array" ref="I48">INDEX('空中攻撃'!$O$3:$AA$109, MATCH($A$1,'空中攻撃'!$A$3:$A$109,0), MATCH(A48,'空中攻撃'!$O$2:$S$2,0))</f>
        <v>11</v>
      </c>
      <c r="J48" s="455" t="s">
        <v>1231</v>
      </c>
      <c r="K48" s="138"/>
      <c r="L48" s="282"/>
      <c r="M48" s="363"/>
      <c r="N48" s="363"/>
      <c r="O48" s="145">
        <v>0.0</v>
      </c>
      <c r="P48" s="145">
        <v>1.0</v>
      </c>
      <c r="Q48" s="145">
        <v>1.0</v>
      </c>
      <c r="R48" s="619"/>
      <c r="S48" s="164"/>
      <c r="T48" s="164"/>
      <c r="U48" s="164"/>
      <c r="V48" s="104"/>
    </row>
    <row r="49" outlineLevel="1">
      <c r="A49" s="156"/>
      <c r="B49" s="373" t="s">
        <v>84</v>
      </c>
      <c r="C49" s="239" t="s">
        <v>741</v>
      </c>
      <c r="D49" s="107"/>
      <c r="E49" s="239" t="s">
        <v>93</v>
      </c>
      <c r="F49" s="193">
        <v>8.4</v>
      </c>
      <c r="G49" s="193">
        <v>7.140000000000001</v>
      </c>
      <c r="H49" s="138" t="s">
        <v>60</v>
      </c>
      <c r="I49" s="156"/>
      <c r="J49" s="107"/>
      <c r="K49" s="138"/>
      <c r="L49" s="282"/>
      <c r="M49" s="363"/>
      <c r="N49" s="363"/>
      <c r="O49" s="145">
        <v>0.0</v>
      </c>
      <c r="P49" s="145">
        <v>1.0</v>
      </c>
      <c r="Q49" s="145">
        <v>1.0</v>
      </c>
      <c r="R49" s="106"/>
      <c r="S49" s="168"/>
      <c r="T49" s="168"/>
      <c r="U49" s="168"/>
      <c r="V49" s="107"/>
    </row>
    <row r="50" outlineLevel="1">
      <c r="A50" s="188" t="s">
        <v>162</v>
      </c>
      <c r="B50" s="373" t="s">
        <v>125</v>
      </c>
      <c r="C50" s="239" t="s">
        <v>128</v>
      </c>
      <c r="D50" s="452" t="s">
        <v>146</v>
      </c>
      <c r="E50" s="239" t="s">
        <v>73</v>
      </c>
      <c r="F50" s="193">
        <v>4.8</v>
      </c>
      <c r="G50" s="193">
        <v>4.08</v>
      </c>
      <c r="H50" s="138" t="s">
        <v>60</v>
      </c>
      <c r="I50" s="454" t="str">
        <f t="array" ref="I50">INDEX('空中攻撃'!$O$3:$AA$109, MATCH($A$1,'空中攻撃'!$A$3:$A$109,0), MATCH(A50,'空中攻撃'!$O$2:$S$2,0))</f>
        <v>7</v>
      </c>
      <c r="J50" s="455" t="s">
        <v>1232</v>
      </c>
      <c r="K50" s="282"/>
      <c r="L50" s="282"/>
      <c r="M50" s="363"/>
      <c r="N50" s="363"/>
      <c r="O50" s="145">
        <v>0.0</v>
      </c>
      <c r="P50" s="145">
        <v>1.2</v>
      </c>
      <c r="Q50" s="145">
        <v>0.5</v>
      </c>
      <c r="R50" s="619"/>
      <c r="S50" s="164"/>
      <c r="T50" s="164"/>
      <c r="U50" s="164"/>
      <c r="V50" s="104"/>
    </row>
    <row r="51" outlineLevel="1">
      <c r="A51" s="146"/>
      <c r="B51" s="373" t="s">
        <v>1233</v>
      </c>
      <c r="C51" s="239" t="s">
        <v>232</v>
      </c>
      <c r="D51" s="210"/>
      <c r="E51" s="239" t="s">
        <v>73</v>
      </c>
      <c r="F51" s="193">
        <v>4.8</v>
      </c>
      <c r="G51" s="193">
        <v>4.08</v>
      </c>
      <c r="H51" s="138" t="s">
        <v>60</v>
      </c>
      <c r="I51" s="146"/>
      <c r="J51" s="210"/>
      <c r="K51" s="282"/>
      <c r="L51" s="282"/>
      <c r="M51" s="363"/>
      <c r="N51" s="363"/>
      <c r="O51" s="145">
        <v>0.0</v>
      </c>
      <c r="P51" s="145">
        <v>1.2</v>
      </c>
      <c r="Q51" s="145">
        <v>0.5</v>
      </c>
      <c r="R51" s="212"/>
      <c r="V51" s="210"/>
    </row>
    <row r="52" outlineLevel="1">
      <c r="A52" s="146"/>
      <c r="B52" s="373" t="s">
        <v>1234</v>
      </c>
      <c r="C52" s="239" t="s">
        <v>373</v>
      </c>
      <c r="D52" s="210"/>
      <c r="E52" s="239" t="s">
        <v>73</v>
      </c>
      <c r="F52" s="193">
        <v>4.8</v>
      </c>
      <c r="G52" s="193">
        <v>4.08</v>
      </c>
      <c r="H52" s="138" t="s">
        <v>60</v>
      </c>
      <c r="I52" s="146"/>
      <c r="J52" s="210"/>
      <c r="K52" s="282"/>
      <c r="L52" s="282"/>
      <c r="M52" s="363"/>
      <c r="N52" s="363"/>
      <c r="O52" s="145">
        <v>0.0</v>
      </c>
      <c r="P52" s="145">
        <v>1.2</v>
      </c>
      <c r="Q52" s="145">
        <v>0.5</v>
      </c>
      <c r="R52" s="212"/>
      <c r="V52" s="210"/>
    </row>
    <row r="53" outlineLevel="1">
      <c r="A53" s="146"/>
      <c r="B53" s="373" t="s">
        <v>131</v>
      </c>
      <c r="C53" s="239" t="s">
        <v>386</v>
      </c>
      <c r="D53" s="210"/>
      <c r="E53" s="239" t="s">
        <v>86</v>
      </c>
      <c r="F53" s="193">
        <v>7.199999999999999</v>
      </c>
      <c r="G53" s="193">
        <v>6.12</v>
      </c>
      <c r="H53" s="138" t="s">
        <v>60</v>
      </c>
      <c r="I53" s="146"/>
      <c r="J53" s="210"/>
      <c r="K53" s="282"/>
      <c r="L53" s="282"/>
      <c r="M53" s="363"/>
      <c r="N53" s="363"/>
      <c r="O53" s="145">
        <v>0.0</v>
      </c>
      <c r="P53" s="145">
        <v>1.0</v>
      </c>
      <c r="Q53" s="145">
        <v>1.0</v>
      </c>
      <c r="R53" s="212"/>
      <c r="V53" s="210"/>
    </row>
    <row r="54" outlineLevel="1">
      <c r="A54" s="146"/>
      <c r="B54" s="373" t="s">
        <v>1235</v>
      </c>
      <c r="C54" s="239" t="s">
        <v>454</v>
      </c>
      <c r="D54" s="210"/>
      <c r="E54" s="239" t="s">
        <v>86</v>
      </c>
      <c r="F54" s="193">
        <v>7.199999999999999</v>
      </c>
      <c r="G54" s="193">
        <v>6.12</v>
      </c>
      <c r="H54" s="138" t="s">
        <v>60</v>
      </c>
      <c r="I54" s="146"/>
      <c r="J54" s="210"/>
      <c r="K54" s="282"/>
      <c r="L54" s="282"/>
      <c r="M54" s="363"/>
      <c r="N54" s="363"/>
      <c r="O54" s="145"/>
      <c r="P54" s="145"/>
      <c r="Q54" s="145"/>
      <c r="R54" s="212"/>
      <c r="V54" s="210"/>
    </row>
    <row r="55" outlineLevel="1">
      <c r="A55" s="156"/>
      <c r="B55" s="373" t="s">
        <v>1234</v>
      </c>
      <c r="C55" s="239" t="s">
        <v>653</v>
      </c>
      <c r="D55" s="107"/>
      <c r="E55" s="239" t="s">
        <v>86</v>
      </c>
      <c r="F55" s="193">
        <v>7.199999999999999</v>
      </c>
      <c r="G55" s="193">
        <v>6.12</v>
      </c>
      <c r="H55" s="138" t="s">
        <v>60</v>
      </c>
      <c r="I55" s="156"/>
      <c r="J55" s="107"/>
      <c r="K55" s="282"/>
      <c r="L55" s="282"/>
      <c r="M55" s="363"/>
      <c r="N55" s="363"/>
      <c r="O55" s="145">
        <v>0.0</v>
      </c>
      <c r="P55" s="145">
        <v>1.0</v>
      </c>
      <c r="Q55" s="145">
        <v>1.0</v>
      </c>
      <c r="R55" s="106"/>
      <c r="S55" s="168"/>
      <c r="T55" s="168"/>
      <c r="U55" s="168"/>
      <c r="V55" s="107"/>
    </row>
    <row r="56" outlineLevel="1">
      <c r="A56" s="188" t="s">
        <v>166</v>
      </c>
      <c r="B56" s="373" t="s">
        <v>903</v>
      </c>
      <c r="C56" s="239" t="s">
        <v>1236</v>
      </c>
      <c r="D56" s="452">
        <v>38.0</v>
      </c>
      <c r="E56" s="239" t="s">
        <v>1237</v>
      </c>
      <c r="F56" s="193" t="s">
        <v>1238</v>
      </c>
      <c r="G56" s="193" t="s">
        <v>1239</v>
      </c>
      <c r="H56" s="138" t="s">
        <v>931</v>
      </c>
      <c r="I56" s="454">
        <f t="array" ref="I56">INDEX('空中攻撃'!$O$3:$AA$109, MATCH($A$1,'空中攻撃'!$A$3:$A$109,0), MATCH(A56,'空中攻撃'!$O$2:$S$2,0))</f>
        <v>8</v>
      </c>
      <c r="J56" s="455" t="s">
        <v>1240</v>
      </c>
      <c r="K56" s="282"/>
      <c r="L56" s="282"/>
      <c r="M56" s="363"/>
      <c r="N56" s="363"/>
      <c r="O56" s="145">
        <v>0.0</v>
      </c>
      <c r="P56" s="145">
        <v>1.0</v>
      </c>
      <c r="Q56" s="145">
        <v>1.0</v>
      </c>
      <c r="R56" s="163"/>
      <c r="S56" s="164"/>
      <c r="T56" s="164"/>
      <c r="U56" s="164"/>
      <c r="V56" s="104"/>
    </row>
    <row r="57" outlineLevel="1">
      <c r="A57" s="156"/>
      <c r="B57" s="373" t="s">
        <v>520</v>
      </c>
      <c r="C57" s="239" t="s">
        <v>574</v>
      </c>
      <c r="D57" s="107"/>
      <c r="E57" s="239" t="s">
        <v>150</v>
      </c>
      <c r="F57" s="193">
        <v>6.0</v>
      </c>
      <c r="G57" s="193">
        <v>5.1</v>
      </c>
      <c r="H57" s="138" t="s">
        <v>60</v>
      </c>
      <c r="I57" s="156"/>
      <c r="J57" s="107"/>
      <c r="K57" s="282"/>
      <c r="L57" s="282"/>
      <c r="M57" s="363"/>
      <c r="N57" s="363"/>
      <c r="O57" s="145">
        <v>0.0</v>
      </c>
      <c r="P57" s="145">
        <v>1.0</v>
      </c>
      <c r="Q57" s="145">
        <v>1.0</v>
      </c>
      <c r="R57" s="106"/>
      <c r="S57" s="168"/>
      <c r="T57" s="168"/>
      <c r="U57" s="168"/>
      <c r="V57" s="107"/>
    </row>
    <row r="58">
      <c r="A58" s="223"/>
      <c r="B58" s="224"/>
      <c r="C58" s="225"/>
      <c r="D58" s="225"/>
      <c r="E58" s="226"/>
      <c r="F58" s="226"/>
      <c r="G58" s="226"/>
      <c r="H58" s="227"/>
      <c r="I58" s="227"/>
      <c r="J58" s="228"/>
      <c r="K58" s="228"/>
      <c r="L58" s="228"/>
      <c r="M58" s="228"/>
      <c r="N58" s="228"/>
      <c r="O58" s="228"/>
      <c r="P58" s="228"/>
      <c r="Q58" s="118"/>
      <c r="R58" s="118"/>
      <c r="S58" s="118"/>
      <c r="T58" s="118"/>
      <c r="U58" s="118"/>
      <c r="V58" s="118"/>
    </row>
    <row r="59">
      <c r="A59" s="229" t="s">
        <v>177</v>
      </c>
      <c r="B59" s="109"/>
      <c r="C59" s="225"/>
      <c r="D59" s="225"/>
      <c r="E59" s="226"/>
      <c r="F59" s="226"/>
      <c r="G59" s="226"/>
      <c r="H59" s="227"/>
      <c r="I59" s="227"/>
      <c r="J59" s="228"/>
      <c r="K59" s="228"/>
      <c r="L59" s="228"/>
      <c r="M59" s="228"/>
      <c r="N59" s="228"/>
      <c r="O59" s="228"/>
      <c r="P59" s="228"/>
      <c r="Q59" s="118"/>
      <c r="R59" s="118"/>
      <c r="S59" s="118"/>
      <c r="T59" s="118"/>
      <c r="U59" s="118"/>
      <c r="V59" s="118"/>
    </row>
    <row r="60" outlineLevel="1">
      <c r="A60" s="230" t="s">
        <v>1241</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outlineLevel="1">
      <c r="A61" s="237" t="s">
        <v>184</v>
      </c>
      <c r="B61" s="243" t="s">
        <v>1242</v>
      </c>
      <c r="C61" s="239" t="s">
        <v>1243</v>
      </c>
      <c r="D61" s="113" t="s">
        <v>335</v>
      </c>
      <c r="E61" s="409"/>
      <c r="F61" s="281"/>
      <c r="G61" s="409"/>
      <c r="H61" s="140" t="s">
        <v>1244</v>
      </c>
      <c r="I61" s="110"/>
      <c r="J61" s="109"/>
      <c r="K61" s="281"/>
      <c r="L61" s="281"/>
      <c r="M61" s="281"/>
      <c r="N61" s="281"/>
      <c r="O61" s="281"/>
      <c r="P61" s="281"/>
      <c r="Q61" s="281"/>
      <c r="R61" s="281"/>
      <c r="S61" s="281"/>
      <c r="T61" s="281"/>
      <c r="U61" s="166" t="s">
        <v>186</v>
      </c>
      <c r="V61" s="166" t="b">
        <v>1</v>
      </c>
    </row>
    <row r="62" outlineLevel="1">
      <c r="A62" s="146"/>
      <c r="B62" s="663" t="s">
        <v>243</v>
      </c>
      <c r="C62" s="239" t="s">
        <v>1245</v>
      </c>
      <c r="D62" s="113" t="s">
        <v>424</v>
      </c>
      <c r="E62" s="367" t="s">
        <v>651</v>
      </c>
      <c r="F62" s="394">
        <v>4.2</v>
      </c>
      <c r="G62" s="367" t="s">
        <v>170</v>
      </c>
      <c r="H62" s="283" t="s">
        <v>1246</v>
      </c>
      <c r="I62" s="164"/>
      <c r="J62" s="104"/>
      <c r="K62" s="282"/>
      <c r="L62" s="282"/>
      <c r="M62" s="363"/>
      <c r="N62" s="363"/>
      <c r="O62" s="138">
        <v>1.0</v>
      </c>
      <c r="P62" s="138">
        <v>1.0</v>
      </c>
      <c r="Q62" s="138">
        <v>1.0</v>
      </c>
      <c r="R62" s="145" t="b">
        <v>0</v>
      </c>
      <c r="S62" s="145" t="b">
        <v>0</v>
      </c>
      <c r="T62" s="145" t="b">
        <v>1</v>
      </c>
      <c r="U62" s="146"/>
      <c r="V62" s="146"/>
    </row>
    <row r="63" outlineLevel="1">
      <c r="A63" s="146"/>
      <c r="B63" s="663" t="s">
        <v>1247</v>
      </c>
      <c r="C63" s="239" t="s">
        <v>1248</v>
      </c>
      <c r="D63" s="113" t="s">
        <v>777</v>
      </c>
      <c r="E63" s="156"/>
      <c r="F63" s="156"/>
      <c r="G63" s="156"/>
      <c r="H63" s="106"/>
      <c r="I63" s="168"/>
      <c r="J63" s="107"/>
      <c r="K63" s="282"/>
      <c r="L63" s="282"/>
      <c r="M63" s="363"/>
      <c r="N63" s="363"/>
      <c r="O63" s="138"/>
      <c r="P63" s="138"/>
      <c r="Q63" s="138"/>
      <c r="R63" s="145" t="b">
        <v>0</v>
      </c>
      <c r="S63" s="145" t="b">
        <v>0</v>
      </c>
      <c r="T63" s="145" t="b">
        <v>0</v>
      </c>
      <c r="U63" s="156"/>
      <c r="V63" s="156"/>
    </row>
    <row r="64" outlineLevel="1">
      <c r="A64" s="230" t="s">
        <v>1249</v>
      </c>
      <c r="B64" s="109"/>
      <c r="C64" s="231" t="s">
        <v>48</v>
      </c>
      <c r="D64" s="231" t="s">
        <v>49</v>
      </c>
      <c r="E64" s="232" t="s">
        <v>50</v>
      </c>
      <c r="F64" s="233" t="s">
        <v>51</v>
      </c>
      <c r="G64" s="232" t="s">
        <v>52</v>
      </c>
      <c r="H64" s="382" t="s">
        <v>53</v>
      </c>
      <c r="I64" s="110"/>
      <c r="J64" s="109"/>
      <c r="K64" s="235" t="s">
        <v>137</v>
      </c>
      <c r="L64" s="235" t="s">
        <v>138</v>
      </c>
      <c r="M64" s="235" t="s">
        <v>139</v>
      </c>
      <c r="N64" s="235" t="s">
        <v>140</v>
      </c>
      <c r="O64" s="236" t="s">
        <v>141</v>
      </c>
      <c r="P64" s="235" t="s">
        <v>142</v>
      </c>
      <c r="Q64" s="236" t="s">
        <v>143</v>
      </c>
      <c r="R64" s="235" t="s">
        <v>179</v>
      </c>
      <c r="S64" s="236" t="s">
        <v>180</v>
      </c>
      <c r="T64" s="236" t="s">
        <v>181</v>
      </c>
      <c r="U64" s="236" t="s">
        <v>182</v>
      </c>
      <c r="V64" s="236" t="s">
        <v>183</v>
      </c>
    </row>
    <row r="65" ht="32.25" customHeight="1" outlineLevel="1">
      <c r="A65" s="237" t="s">
        <v>184</v>
      </c>
      <c r="B65" s="243" t="s">
        <v>1147</v>
      </c>
      <c r="C65" s="239" t="s">
        <v>1250</v>
      </c>
      <c r="D65" s="216" t="s">
        <v>1251</v>
      </c>
      <c r="E65" s="239" t="s">
        <v>209</v>
      </c>
      <c r="F65" s="138">
        <v>0.0</v>
      </c>
      <c r="G65" s="281"/>
      <c r="H65" s="283" t="s">
        <v>1252</v>
      </c>
      <c r="I65" s="164"/>
      <c r="J65" s="104"/>
      <c r="K65" s="282"/>
      <c r="L65" s="282"/>
      <c r="M65" s="363"/>
      <c r="N65" s="363"/>
      <c r="O65" s="138">
        <v>0.0</v>
      </c>
      <c r="P65" s="138">
        <v>1.0</v>
      </c>
      <c r="Q65" s="138">
        <v>1.0</v>
      </c>
      <c r="R65" s="145" t="b">
        <v>0</v>
      </c>
      <c r="S65" s="145" t="b">
        <v>0</v>
      </c>
      <c r="T65" s="145"/>
      <c r="U65" s="166" t="s">
        <v>186</v>
      </c>
      <c r="V65" s="166" t="b">
        <v>1</v>
      </c>
    </row>
    <row r="66" ht="32.25" customHeight="1" outlineLevel="1">
      <c r="A66" s="156"/>
      <c r="B66" s="243" t="s">
        <v>1253</v>
      </c>
      <c r="C66" s="239" t="s">
        <v>64</v>
      </c>
      <c r="D66" s="365" t="s">
        <v>876</v>
      </c>
      <c r="E66" s="239" t="s">
        <v>129</v>
      </c>
      <c r="F66" s="138">
        <v>14.399999999999999</v>
      </c>
      <c r="G66" s="239" t="s">
        <v>88</v>
      </c>
      <c r="H66" s="106"/>
      <c r="I66" s="168"/>
      <c r="J66" s="107"/>
      <c r="K66" s="138"/>
      <c r="L66" s="138"/>
      <c r="M66" s="145"/>
      <c r="N66" s="145"/>
      <c r="O66" s="138">
        <v>6.0</v>
      </c>
      <c r="P66" s="138">
        <v>1.0</v>
      </c>
      <c r="Q66" s="138">
        <v>1.0</v>
      </c>
      <c r="R66" s="145" t="b">
        <v>0</v>
      </c>
      <c r="S66" s="145" t="b">
        <v>0</v>
      </c>
      <c r="T66" s="145"/>
      <c r="U66" s="156"/>
      <c r="V66" s="156"/>
    </row>
    <row r="67" outlineLevel="1">
      <c r="A67" s="230" t="s">
        <v>1254</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outlineLevel="1">
      <c r="A68" s="237" t="s">
        <v>184</v>
      </c>
      <c r="B68" s="402" t="s">
        <v>152</v>
      </c>
      <c r="C68" s="239" t="s">
        <v>277</v>
      </c>
      <c r="D68" s="400"/>
      <c r="E68" s="239" t="s">
        <v>204</v>
      </c>
      <c r="F68" s="138">
        <v>3.5999999999999996</v>
      </c>
      <c r="G68" s="239" t="s">
        <v>147</v>
      </c>
      <c r="H68" s="283" t="s">
        <v>1255</v>
      </c>
      <c r="I68" s="164"/>
      <c r="J68" s="104"/>
      <c r="K68" s="138"/>
      <c r="L68" s="138"/>
      <c r="M68" s="145"/>
      <c r="N68" s="145"/>
      <c r="O68" s="138">
        <v>0.0</v>
      </c>
      <c r="P68" s="138">
        <v>1.0</v>
      </c>
      <c r="Q68" s="138">
        <v>1.0</v>
      </c>
      <c r="R68" s="145" t="b">
        <v>1</v>
      </c>
      <c r="S68" s="145" t="b">
        <v>1</v>
      </c>
      <c r="T68" s="145"/>
      <c r="U68" s="166" t="s">
        <v>1256</v>
      </c>
      <c r="V68" s="166" t="b">
        <v>1</v>
      </c>
    </row>
    <row r="69" outlineLevel="1">
      <c r="A69" s="146"/>
      <c r="B69" s="402" t="s">
        <v>604</v>
      </c>
      <c r="C69" s="244" t="s">
        <v>1257</v>
      </c>
      <c r="D69" s="146"/>
      <c r="E69" s="239" t="s">
        <v>213</v>
      </c>
      <c r="F69" s="138">
        <v>1.2</v>
      </c>
      <c r="G69" s="239" t="s">
        <v>170</v>
      </c>
      <c r="H69" s="212"/>
      <c r="J69" s="210"/>
      <c r="K69" s="138"/>
      <c r="L69" s="138"/>
      <c r="M69" s="145"/>
      <c r="N69" s="145"/>
      <c r="O69" s="138">
        <v>0.0</v>
      </c>
      <c r="P69" s="138">
        <v>1.0</v>
      </c>
      <c r="Q69" s="138">
        <v>1.0</v>
      </c>
      <c r="R69" s="145" t="b">
        <v>1</v>
      </c>
      <c r="S69" s="145" t="b">
        <v>0</v>
      </c>
      <c r="T69" s="145"/>
      <c r="U69" s="146"/>
      <c r="V69" s="146"/>
    </row>
    <row r="70" outlineLevel="1">
      <c r="A70" s="146"/>
      <c r="B70" s="402" t="s">
        <v>606</v>
      </c>
      <c r="C70" s="364" t="s">
        <v>1258</v>
      </c>
      <c r="D70" s="146"/>
      <c r="E70" s="239" t="s">
        <v>213</v>
      </c>
      <c r="F70" s="138">
        <v>1.2</v>
      </c>
      <c r="G70" s="239" t="s">
        <v>170</v>
      </c>
      <c r="H70" s="212"/>
      <c r="J70" s="210"/>
      <c r="K70" s="138"/>
      <c r="L70" s="138"/>
      <c r="M70" s="145"/>
      <c r="N70" s="145"/>
      <c r="O70" s="138"/>
      <c r="P70" s="138"/>
      <c r="Q70" s="138"/>
      <c r="R70" s="145" t="b">
        <v>0</v>
      </c>
      <c r="S70" s="145" t="b">
        <v>0</v>
      </c>
      <c r="T70" s="145" t="b">
        <v>0</v>
      </c>
      <c r="U70" s="146"/>
      <c r="V70" s="146"/>
    </row>
    <row r="71" outlineLevel="1">
      <c r="A71" s="146"/>
      <c r="B71" s="402" t="s">
        <v>202</v>
      </c>
      <c r="C71" s="239" t="s">
        <v>523</v>
      </c>
      <c r="D71" s="146"/>
      <c r="E71" s="239" t="s">
        <v>73</v>
      </c>
      <c r="F71" s="138">
        <v>4.8</v>
      </c>
      <c r="G71" s="239" t="s">
        <v>75</v>
      </c>
      <c r="H71" s="212"/>
      <c r="J71" s="210"/>
      <c r="K71" s="138"/>
      <c r="L71" s="138"/>
      <c r="M71" s="145"/>
      <c r="N71" s="145"/>
      <c r="O71" s="138">
        <v>0.0</v>
      </c>
      <c r="P71" s="138">
        <v>1.0</v>
      </c>
      <c r="Q71" s="138">
        <v>1.0</v>
      </c>
      <c r="R71" s="145" t="b">
        <v>1</v>
      </c>
      <c r="S71" s="145" t="b">
        <v>0</v>
      </c>
      <c r="T71" s="145"/>
      <c r="U71" s="146"/>
      <c r="V71" s="146"/>
    </row>
    <row r="72" outlineLevel="1">
      <c r="A72" s="156"/>
      <c r="B72" s="402" t="s">
        <v>1259</v>
      </c>
      <c r="C72" s="239" t="s">
        <v>1260</v>
      </c>
      <c r="D72" s="156"/>
      <c r="E72" s="239" t="s">
        <v>176</v>
      </c>
      <c r="F72" s="138">
        <v>2.4</v>
      </c>
      <c r="G72" s="239" t="s">
        <v>60</v>
      </c>
      <c r="H72" s="106"/>
      <c r="I72" s="168"/>
      <c r="J72" s="107"/>
      <c r="K72" s="138"/>
      <c r="L72" s="138"/>
      <c r="M72" s="145"/>
      <c r="N72" s="145"/>
      <c r="O72" s="138">
        <v>0.0</v>
      </c>
      <c r="P72" s="138">
        <v>1.0</v>
      </c>
      <c r="Q72" s="138">
        <v>1.0</v>
      </c>
      <c r="R72" s="145" t="b">
        <v>1</v>
      </c>
      <c r="S72" s="145" t="b">
        <v>0</v>
      </c>
      <c r="T72" s="145"/>
      <c r="U72" s="156"/>
      <c r="V72" s="156"/>
    </row>
    <row r="73" outlineLevel="1">
      <c r="A73" s="230" t="s">
        <v>1261</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474" t="s">
        <v>332</v>
      </c>
      <c r="B74" s="626"/>
      <c r="C74" s="239" t="s">
        <v>1262</v>
      </c>
      <c r="D74" s="365" t="s">
        <v>118</v>
      </c>
      <c r="E74" s="409"/>
      <c r="F74" s="409"/>
      <c r="G74" s="409"/>
      <c r="H74" s="163" t="s">
        <v>1263</v>
      </c>
      <c r="I74" s="164"/>
      <c r="J74" s="104"/>
      <c r="K74" s="281"/>
      <c r="L74" s="281"/>
      <c r="M74" s="281"/>
      <c r="N74" s="281"/>
      <c r="O74" s="281"/>
      <c r="P74" s="281"/>
      <c r="Q74" s="281"/>
      <c r="R74" s="281"/>
      <c r="S74" s="281"/>
      <c r="T74" s="281"/>
      <c r="U74" s="166" t="b">
        <v>0</v>
      </c>
      <c r="V74" s="166" t="b">
        <v>0</v>
      </c>
    </row>
    <row r="75" outlineLevel="1">
      <c r="A75" s="146"/>
      <c r="B75" s="624" t="s">
        <v>397</v>
      </c>
      <c r="C75" s="409"/>
      <c r="D75" s="409"/>
      <c r="E75" s="239" t="s">
        <v>1264</v>
      </c>
      <c r="F75" s="113" t="s">
        <v>1265</v>
      </c>
      <c r="G75" s="113" t="s">
        <v>1266</v>
      </c>
      <c r="H75" s="212"/>
      <c r="J75" s="210"/>
      <c r="K75" s="113"/>
      <c r="L75" s="113"/>
      <c r="M75" s="113"/>
      <c r="N75" s="113"/>
      <c r="O75" s="138">
        <v>0.0</v>
      </c>
      <c r="P75" s="138">
        <v>1.0</v>
      </c>
      <c r="Q75" s="138">
        <v>1.0</v>
      </c>
      <c r="R75" s="145" t="b">
        <v>1</v>
      </c>
      <c r="S75" s="145" t="b">
        <v>0</v>
      </c>
      <c r="T75" s="937" t="s">
        <v>255</v>
      </c>
      <c r="U75" s="146"/>
      <c r="V75" s="146"/>
    </row>
    <row r="76" outlineLevel="1">
      <c r="A76" s="146"/>
      <c r="B76" s="624" t="s">
        <v>1267</v>
      </c>
      <c r="C76" s="409"/>
      <c r="D76" s="409"/>
      <c r="E76" s="239" t="s">
        <v>1264</v>
      </c>
      <c r="F76" s="113" t="s">
        <v>1265</v>
      </c>
      <c r="G76" s="113" t="s">
        <v>1266</v>
      </c>
      <c r="H76" s="212"/>
      <c r="J76" s="210"/>
      <c r="K76" s="113"/>
      <c r="L76" s="113"/>
      <c r="M76" s="113"/>
      <c r="N76" s="113"/>
      <c r="O76" s="138">
        <v>0.0</v>
      </c>
      <c r="P76" s="138">
        <v>1.0</v>
      </c>
      <c r="Q76" s="138">
        <v>1.0</v>
      </c>
      <c r="R76" s="145" t="b">
        <v>1</v>
      </c>
      <c r="S76" s="145" t="b">
        <v>0</v>
      </c>
      <c r="T76" s="937" t="s">
        <v>255</v>
      </c>
      <c r="U76" s="146"/>
      <c r="V76" s="146"/>
    </row>
    <row r="77" outlineLevel="1">
      <c r="A77" s="146"/>
      <c r="B77" s="624" t="s">
        <v>1268</v>
      </c>
      <c r="C77" s="409"/>
      <c r="D77" s="409"/>
      <c r="E77" s="239" t="s">
        <v>1264</v>
      </c>
      <c r="F77" s="113" t="s">
        <v>1265</v>
      </c>
      <c r="G77" s="113" t="s">
        <v>1266</v>
      </c>
      <c r="H77" s="212"/>
      <c r="J77" s="210"/>
      <c r="K77" s="113"/>
      <c r="L77" s="113"/>
      <c r="M77" s="113"/>
      <c r="N77" s="113"/>
      <c r="O77" s="138">
        <v>0.0</v>
      </c>
      <c r="P77" s="138">
        <v>1.0</v>
      </c>
      <c r="Q77" s="138">
        <v>1.0</v>
      </c>
      <c r="R77" s="145" t="b">
        <v>1</v>
      </c>
      <c r="S77" s="145" t="b">
        <v>0</v>
      </c>
      <c r="T77" s="937" t="s">
        <v>255</v>
      </c>
      <c r="U77" s="146"/>
      <c r="V77" s="146"/>
    </row>
    <row r="78" outlineLevel="1">
      <c r="A78" s="146"/>
      <c r="B78" s="624" t="s">
        <v>1269</v>
      </c>
      <c r="C78" s="409"/>
      <c r="D78" s="409"/>
      <c r="E78" s="239" t="s">
        <v>1264</v>
      </c>
      <c r="F78" s="113" t="s">
        <v>1265</v>
      </c>
      <c r="G78" s="113" t="s">
        <v>1266</v>
      </c>
      <c r="H78" s="212"/>
      <c r="J78" s="210"/>
      <c r="K78" s="113"/>
      <c r="L78" s="113"/>
      <c r="M78" s="113"/>
      <c r="N78" s="113"/>
      <c r="O78" s="138">
        <v>0.0</v>
      </c>
      <c r="P78" s="138">
        <v>1.0</v>
      </c>
      <c r="Q78" s="138">
        <v>1.0</v>
      </c>
      <c r="R78" s="145" t="b">
        <v>1</v>
      </c>
      <c r="S78" s="145" t="b">
        <v>0</v>
      </c>
      <c r="T78" s="937" t="s">
        <v>255</v>
      </c>
      <c r="U78" s="146"/>
      <c r="V78" s="146"/>
    </row>
    <row r="79" outlineLevel="1">
      <c r="A79" s="146"/>
      <c r="B79" s="624" t="s">
        <v>1270</v>
      </c>
      <c r="C79" s="409"/>
      <c r="D79" s="409"/>
      <c r="E79" s="239" t="s">
        <v>1264</v>
      </c>
      <c r="F79" s="113" t="s">
        <v>1265</v>
      </c>
      <c r="G79" s="113" t="s">
        <v>1266</v>
      </c>
      <c r="H79" s="212"/>
      <c r="J79" s="210"/>
      <c r="K79" s="113"/>
      <c r="L79" s="113"/>
      <c r="M79" s="113"/>
      <c r="N79" s="113"/>
      <c r="O79" s="138">
        <v>0.0</v>
      </c>
      <c r="P79" s="138">
        <v>1.0</v>
      </c>
      <c r="Q79" s="138">
        <v>1.0</v>
      </c>
      <c r="R79" s="145" t="b">
        <v>1</v>
      </c>
      <c r="S79" s="145" t="b">
        <v>0</v>
      </c>
      <c r="T79" s="937" t="s">
        <v>255</v>
      </c>
      <c r="U79" s="146"/>
      <c r="V79" s="146"/>
    </row>
    <row r="80" outlineLevel="1">
      <c r="A80" s="146"/>
      <c r="B80" s="624" t="s">
        <v>1271</v>
      </c>
      <c r="C80" s="409"/>
      <c r="D80" s="409"/>
      <c r="E80" s="239" t="s">
        <v>673</v>
      </c>
      <c r="F80" s="113" t="s">
        <v>674</v>
      </c>
      <c r="G80" s="113" t="s">
        <v>759</v>
      </c>
      <c r="H80" s="212"/>
      <c r="J80" s="210"/>
      <c r="K80" s="113"/>
      <c r="L80" s="113"/>
      <c r="M80" s="113"/>
      <c r="N80" s="113"/>
      <c r="O80" s="138">
        <v>0.0</v>
      </c>
      <c r="P80" s="138">
        <v>1.0</v>
      </c>
      <c r="Q80" s="138">
        <v>1.0</v>
      </c>
      <c r="R80" s="145" t="b">
        <v>1</v>
      </c>
      <c r="S80" s="145" t="b">
        <v>0</v>
      </c>
      <c r="T80" s="937" t="s">
        <v>255</v>
      </c>
      <c r="U80" s="146"/>
      <c r="V80" s="146"/>
    </row>
    <row r="81" outlineLevel="1">
      <c r="A81" s="146"/>
      <c r="B81" s="624" t="s">
        <v>1272</v>
      </c>
      <c r="C81" s="409"/>
      <c r="D81" s="409"/>
      <c r="E81" s="239" t="s">
        <v>785</v>
      </c>
      <c r="F81" s="113" t="s">
        <v>786</v>
      </c>
      <c r="G81" s="113" t="s">
        <v>1273</v>
      </c>
      <c r="H81" s="212"/>
      <c r="J81" s="210"/>
      <c r="K81" s="113"/>
      <c r="L81" s="113"/>
      <c r="M81" s="113"/>
      <c r="N81" s="113"/>
      <c r="O81" s="138">
        <v>0.0</v>
      </c>
      <c r="P81" s="138">
        <v>1.0</v>
      </c>
      <c r="Q81" s="138">
        <v>1.0</v>
      </c>
      <c r="R81" s="145" t="b">
        <v>1</v>
      </c>
      <c r="S81" s="145" t="b">
        <v>0</v>
      </c>
      <c r="T81" s="937" t="s">
        <v>255</v>
      </c>
      <c r="U81" s="146"/>
      <c r="V81" s="146"/>
    </row>
    <row r="82" outlineLevel="1">
      <c r="A82" s="146"/>
      <c r="B82" s="624" t="s">
        <v>1274</v>
      </c>
      <c r="C82" s="409"/>
      <c r="D82" s="409"/>
      <c r="E82" s="239" t="s">
        <v>1275</v>
      </c>
      <c r="F82" s="113" t="s">
        <v>1276</v>
      </c>
      <c r="G82" s="113" t="s">
        <v>1277</v>
      </c>
      <c r="H82" s="212"/>
      <c r="J82" s="210"/>
      <c r="K82" s="113"/>
      <c r="L82" s="113"/>
      <c r="M82" s="113"/>
      <c r="N82" s="113"/>
      <c r="O82" s="138">
        <v>0.0</v>
      </c>
      <c r="P82" s="138">
        <v>1.0</v>
      </c>
      <c r="Q82" s="138">
        <v>1.0</v>
      </c>
      <c r="R82" s="145" t="b">
        <v>1</v>
      </c>
      <c r="S82" s="145" t="b">
        <v>0</v>
      </c>
      <c r="T82" s="937" t="s">
        <v>255</v>
      </c>
      <c r="U82" s="146"/>
      <c r="V82" s="146"/>
    </row>
    <row r="83" outlineLevel="1">
      <c r="A83" s="146"/>
      <c r="B83" s="624" t="s">
        <v>1278</v>
      </c>
      <c r="C83" s="409"/>
      <c r="D83" s="409"/>
      <c r="E83" s="113" t="s">
        <v>1279</v>
      </c>
      <c r="F83" s="113"/>
      <c r="G83" s="113"/>
      <c r="H83" s="212"/>
      <c r="J83" s="210"/>
      <c r="K83" s="113"/>
      <c r="L83" s="113"/>
      <c r="M83" s="113"/>
      <c r="N83" s="113"/>
      <c r="O83" s="138">
        <v>0.0</v>
      </c>
      <c r="P83" s="138">
        <v>1.0</v>
      </c>
      <c r="Q83" s="138">
        <v>1.0</v>
      </c>
      <c r="R83" s="145" t="b">
        <v>1</v>
      </c>
      <c r="S83" s="145" t="b">
        <v>0</v>
      </c>
      <c r="T83" s="937" t="s">
        <v>255</v>
      </c>
      <c r="U83" s="146"/>
      <c r="V83" s="146"/>
    </row>
    <row r="84" outlineLevel="1">
      <c r="A84" s="156"/>
      <c r="B84" s="624" t="s">
        <v>1280</v>
      </c>
      <c r="C84" s="409"/>
      <c r="D84" s="409"/>
      <c r="E84" s="113" t="s">
        <v>1264</v>
      </c>
      <c r="F84" s="113" t="s">
        <v>1265</v>
      </c>
      <c r="G84" s="113"/>
      <c r="H84" s="106"/>
      <c r="I84" s="168"/>
      <c r="J84" s="107"/>
      <c r="K84" s="113"/>
      <c r="L84" s="113"/>
      <c r="M84" s="113"/>
      <c r="N84" s="113"/>
      <c r="O84" s="138">
        <v>0.0</v>
      </c>
      <c r="P84" s="138">
        <v>1.0</v>
      </c>
      <c r="Q84" s="138">
        <v>1.0</v>
      </c>
      <c r="R84" s="145" t="b">
        <v>1</v>
      </c>
      <c r="S84" s="145" t="b">
        <v>0</v>
      </c>
      <c r="T84" s="937" t="s">
        <v>255</v>
      </c>
      <c r="U84" s="156"/>
      <c r="V84" s="156"/>
    </row>
    <row r="85">
      <c r="A85" s="223"/>
      <c r="B85" s="224"/>
      <c r="C85" s="225"/>
      <c r="D85" s="225"/>
      <c r="E85" s="226"/>
      <c r="F85" s="226"/>
      <c r="G85" s="226"/>
      <c r="H85" s="227"/>
      <c r="I85" s="227"/>
      <c r="J85" s="228"/>
      <c r="K85" s="228"/>
      <c r="L85" s="228"/>
      <c r="M85" s="228"/>
      <c r="N85" s="228"/>
      <c r="O85" s="228"/>
      <c r="P85" s="228"/>
      <c r="Q85" s="118"/>
      <c r="R85" s="118"/>
      <c r="S85" s="118"/>
      <c r="T85" s="118"/>
      <c r="U85" s="118"/>
      <c r="V85" s="118"/>
    </row>
    <row r="86">
      <c r="A86" s="264" t="s">
        <v>211</v>
      </c>
      <c r="B86" s="104"/>
      <c r="C86" s="227"/>
      <c r="D86" s="227"/>
      <c r="E86" s="228"/>
      <c r="F86" s="265"/>
      <c r="G86" s="265"/>
      <c r="H86" s="228"/>
      <c r="I86" s="228"/>
      <c r="J86" s="228"/>
      <c r="K86" s="228"/>
      <c r="L86" s="228"/>
      <c r="M86" s="228"/>
      <c r="N86" s="118"/>
      <c r="O86" s="118"/>
      <c r="P86" s="118"/>
      <c r="Q86" s="228"/>
      <c r="R86" s="228"/>
      <c r="S86" s="228"/>
      <c r="T86" s="228"/>
      <c r="U86" s="228"/>
      <c r="V86" s="228"/>
    </row>
    <row r="87" outlineLevel="1">
      <c r="A87" s="106"/>
      <c r="B87" s="107"/>
      <c r="C87" s="266" t="s">
        <v>48</v>
      </c>
      <c r="D87" s="266" t="s">
        <v>49</v>
      </c>
      <c r="E87" s="266" t="s">
        <v>50</v>
      </c>
      <c r="F87" s="267" t="s">
        <v>51</v>
      </c>
      <c r="G87" s="227"/>
      <c r="H87" s="227"/>
      <c r="I87" s="227"/>
      <c r="J87" s="228"/>
      <c r="K87" s="228"/>
      <c r="L87" s="228"/>
      <c r="M87" s="228"/>
      <c r="N87" s="228"/>
      <c r="O87" s="228"/>
      <c r="P87" s="228"/>
      <c r="Q87" s="228"/>
      <c r="R87" s="228"/>
      <c r="S87" s="228"/>
      <c r="T87" s="228"/>
      <c r="U87" s="228"/>
      <c r="V87" s="228"/>
    </row>
    <row r="88" outlineLevel="1">
      <c r="A88" s="268" t="s">
        <v>212</v>
      </c>
      <c r="B88" s="269" t="s">
        <v>212</v>
      </c>
      <c r="C88" s="239" t="s">
        <v>213</v>
      </c>
      <c r="D88" s="239" t="s">
        <v>86</v>
      </c>
      <c r="E88" s="239" t="s">
        <v>214</v>
      </c>
      <c r="F88" s="138">
        <v>1.56</v>
      </c>
      <c r="G88" s="227"/>
      <c r="H88" s="227"/>
      <c r="I88" s="227"/>
      <c r="J88" s="228"/>
      <c r="K88" s="228"/>
      <c r="L88" s="228"/>
      <c r="M88" s="228"/>
      <c r="N88" s="228"/>
      <c r="O88" s="228"/>
      <c r="P88" s="228"/>
      <c r="Q88" s="228"/>
      <c r="R88" s="228"/>
      <c r="S88" s="228"/>
      <c r="T88" s="228"/>
      <c r="U88" s="228"/>
      <c r="V88" s="228"/>
    </row>
    <row r="89" outlineLevel="1">
      <c r="A89" s="270" t="s">
        <v>215</v>
      </c>
      <c r="B89" s="269" t="s">
        <v>216</v>
      </c>
      <c r="C89" s="239" t="s">
        <v>217</v>
      </c>
      <c r="D89" s="239" t="s">
        <v>224</v>
      </c>
      <c r="E89" s="271"/>
      <c r="F89" s="272"/>
      <c r="G89" s="272"/>
      <c r="H89" s="227"/>
      <c r="I89" s="227"/>
      <c r="J89" s="228"/>
      <c r="K89" s="228"/>
      <c r="L89" s="228"/>
      <c r="M89" s="228"/>
      <c r="N89" s="228"/>
      <c r="O89" s="228"/>
      <c r="P89" s="228"/>
      <c r="Q89" s="228"/>
      <c r="R89" s="228"/>
      <c r="S89" s="228"/>
      <c r="T89" s="228"/>
      <c r="U89" s="228"/>
      <c r="V89" s="228"/>
    </row>
    <row r="90" outlineLevel="1">
      <c r="A90" s="212"/>
      <c r="B90" s="269" t="s">
        <v>219</v>
      </c>
      <c r="C90" s="239" t="s">
        <v>220</v>
      </c>
      <c r="D90" s="239" t="s">
        <v>393</v>
      </c>
      <c r="E90" s="271"/>
      <c r="F90" s="272"/>
      <c r="G90" s="272"/>
      <c r="H90" s="227"/>
      <c r="I90" s="227"/>
      <c r="J90" s="228"/>
      <c r="K90" s="228"/>
      <c r="L90" s="228"/>
      <c r="M90" s="228"/>
      <c r="N90" s="228"/>
      <c r="O90" s="228"/>
      <c r="P90" s="228"/>
      <c r="Q90" s="228"/>
      <c r="R90" s="228"/>
      <c r="S90" s="228"/>
      <c r="T90" s="228"/>
      <c r="U90" s="228"/>
      <c r="V90" s="228"/>
    </row>
    <row r="91" outlineLevel="1">
      <c r="A91" s="106"/>
      <c r="B91" s="269" t="s">
        <v>222</v>
      </c>
      <c r="C91" s="239" t="s">
        <v>223</v>
      </c>
      <c r="D91" s="239" t="s">
        <v>118</v>
      </c>
      <c r="E91" s="227"/>
      <c r="F91" s="272"/>
      <c r="G91" s="272"/>
      <c r="H91" s="227"/>
      <c r="I91" s="227"/>
      <c r="J91" s="228"/>
      <c r="K91" s="228"/>
      <c r="L91" s="228"/>
      <c r="M91" s="228"/>
      <c r="N91" s="228"/>
      <c r="O91" s="228"/>
      <c r="P91" s="228"/>
      <c r="Q91" s="228"/>
      <c r="R91" s="228"/>
      <c r="S91" s="228"/>
      <c r="T91" s="228"/>
      <c r="U91" s="228"/>
      <c r="V91" s="228"/>
    </row>
    <row r="92" outlineLevel="1">
      <c r="A92" s="273" t="s">
        <v>225</v>
      </c>
      <c r="B92" s="109"/>
      <c r="C92" s="266" t="s">
        <v>48</v>
      </c>
      <c r="D92" s="266" t="s">
        <v>49</v>
      </c>
      <c r="E92" s="266" t="s">
        <v>50</v>
      </c>
      <c r="F92" s="267" t="s">
        <v>51</v>
      </c>
      <c r="G92" s="274" t="s">
        <v>53</v>
      </c>
      <c r="H92" s="110"/>
      <c r="I92" s="110"/>
      <c r="J92" s="109"/>
      <c r="K92" s="275" t="str">
        <f>'テンプレート'!K97</f>
        <v>ベクトル</v>
      </c>
      <c r="L92" s="275" t="str">
        <f>'テンプレート'!L97</f>
        <v>KBG (R.E.)</v>
      </c>
      <c r="M92" s="275" t="str">
        <f>'テンプレート'!M97</f>
        <v>BKB (R.A.)</v>
      </c>
      <c r="N92" s="275" t="str">
        <f>'テンプレート'!N97</f>
        <v>FKB (R.F.)</v>
      </c>
      <c r="O92" s="276" t="str">
        <f>'テンプレート'!O97</f>
        <v>盾削り値</v>
      </c>
      <c r="P92" s="275" t="str">
        <f>'テンプレート'!P97</f>
        <v>ﾋｯﾄｽﾄｯﾌﾟ</v>
      </c>
      <c r="Q92" s="276" t="str">
        <f>'テンプレート'!Q97</f>
        <v>ずらし</v>
      </c>
      <c r="R92" s="277"/>
      <c r="S92" s="277"/>
      <c r="T92" s="277"/>
      <c r="U92" s="277"/>
      <c r="V92" s="277"/>
    </row>
    <row r="93" outlineLevel="1">
      <c r="A93" s="278" t="s">
        <v>226</v>
      </c>
      <c r="B93" s="269" t="s">
        <v>227</v>
      </c>
      <c r="C93" s="113" t="s">
        <v>295</v>
      </c>
      <c r="D93" s="279">
        <v>39.0</v>
      </c>
      <c r="E93" s="239" t="s">
        <v>176</v>
      </c>
      <c r="F93" s="138">
        <v>2.4</v>
      </c>
      <c r="G93" s="416"/>
      <c r="H93" s="164"/>
      <c r="I93" s="164"/>
      <c r="J93" s="104"/>
      <c r="K93" s="282"/>
      <c r="L93" s="282"/>
      <c r="M93" s="363"/>
      <c r="N93" s="363"/>
      <c r="O93" s="145">
        <v>0.0</v>
      </c>
      <c r="P93" s="145">
        <v>1.0</v>
      </c>
      <c r="Q93" s="145">
        <v>1.0</v>
      </c>
      <c r="R93" s="277"/>
      <c r="S93" s="228"/>
      <c r="T93" s="228"/>
      <c r="U93" s="228"/>
      <c r="V93" s="228"/>
    </row>
    <row r="94" outlineLevel="1">
      <c r="A94" s="156"/>
      <c r="B94" s="269" t="s">
        <v>225</v>
      </c>
      <c r="C94" s="113">
        <v>16.0</v>
      </c>
      <c r="D94" s="156"/>
      <c r="E94" s="239" t="s">
        <v>80</v>
      </c>
      <c r="F94" s="138">
        <v>9.6</v>
      </c>
      <c r="G94" s="106"/>
      <c r="H94" s="168"/>
      <c r="I94" s="168"/>
      <c r="J94" s="107"/>
      <c r="K94" s="282"/>
      <c r="L94" s="282"/>
      <c r="M94" s="363"/>
      <c r="N94" s="363"/>
      <c r="O94" s="261"/>
      <c r="P94" s="261"/>
      <c r="Q94" s="261"/>
      <c r="R94" s="277"/>
      <c r="S94" s="228"/>
      <c r="T94" s="228"/>
      <c r="U94" s="228"/>
      <c r="V94" s="228"/>
    </row>
    <row r="95" outlineLevel="1">
      <c r="A95" s="278" t="s">
        <v>229</v>
      </c>
      <c r="B95" s="269" t="s">
        <v>227</v>
      </c>
      <c r="C95" s="113" t="s">
        <v>351</v>
      </c>
      <c r="D95" s="279">
        <v>49.0</v>
      </c>
      <c r="E95" s="239" t="s">
        <v>176</v>
      </c>
      <c r="F95" s="138">
        <v>2.4</v>
      </c>
      <c r="G95" s="416"/>
      <c r="H95" s="164"/>
      <c r="I95" s="164"/>
      <c r="J95" s="104"/>
      <c r="K95" s="282"/>
      <c r="L95" s="282"/>
      <c r="M95" s="363"/>
      <c r="N95" s="363"/>
      <c r="O95" s="145">
        <v>0.0</v>
      </c>
      <c r="P95" s="145">
        <v>1.0</v>
      </c>
      <c r="Q95" s="145">
        <v>1.0</v>
      </c>
      <c r="R95" s="277"/>
      <c r="S95" s="228"/>
      <c r="T95" s="228"/>
      <c r="U95" s="228"/>
      <c r="V95" s="228"/>
    </row>
    <row r="96" outlineLevel="1">
      <c r="A96" s="156"/>
      <c r="B96" s="269" t="s">
        <v>225</v>
      </c>
      <c r="C96" s="113">
        <v>22.0</v>
      </c>
      <c r="D96" s="156"/>
      <c r="E96" s="239" t="s">
        <v>274</v>
      </c>
      <c r="F96" s="138">
        <v>10.799999999999999</v>
      </c>
      <c r="G96" s="106"/>
      <c r="H96" s="168"/>
      <c r="I96" s="168"/>
      <c r="J96" s="107"/>
      <c r="K96" s="282"/>
      <c r="L96" s="282"/>
      <c r="M96" s="363"/>
      <c r="N96" s="363"/>
      <c r="O96" s="261"/>
      <c r="P96" s="261"/>
      <c r="Q96" s="261"/>
      <c r="R96" s="277"/>
      <c r="S96" s="228"/>
      <c r="T96" s="228"/>
      <c r="U96" s="228"/>
      <c r="V96" s="228"/>
    </row>
    <row r="97" outlineLevel="1">
      <c r="A97" s="278" t="s">
        <v>233</v>
      </c>
      <c r="B97" s="269" t="s">
        <v>227</v>
      </c>
      <c r="C97" s="113" t="s">
        <v>334</v>
      </c>
      <c r="D97" s="279">
        <v>49.0</v>
      </c>
      <c r="E97" s="239" t="s">
        <v>176</v>
      </c>
      <c r="F97" s="138">
        <v>2.4</v>
      </c>
      <c r="G97" s="416"/>
      <c r="H97" s="164"/>
      <c r="I97" s="164"/>
      <c r="J97" s="104"/>
      <c r="K97" s="282"/>
      <c r="L97" s="282"/>
      <c r="M97" s="363"/>
      <c r="N97" s="363"/>
      <c r="O97" s="145">
        <v>0.0</v>
      </c>
      <c r="P97" s="145">
        <v>1.0</v>
      </c>
      <c r="Q97" s="145">
        <v>1.0</v>
      </c>
      <c r="R97" s="277"/>
      <c r="S97" s="228"/>
      <c r="T97" s="228"/>
      <c r="U97" s="228"/>
      <c r="V97" s="228"/>
    </row>
    <row r="98" outlineLevel="1">
      <c r="A98" s="156"/>
      <c r="B98" s="269" t="s">
        <v>225</v>
      </c>
      <c r="C98" s="113">
        <v>26.0</v>
      </c>
      <c r="D98" s="156"/>
      <c r="E98" s="239" t="s">
        <v>86</v>
      </c>
      <c r="F98" s="138">
        <v>7.199999999999999</v>
      </c>
      <c r="G98" s="106"/>
      <c r="H98" s="168"/>
      <c r="I98" s="168"/>
      <c r="J98" s="107"/>
      <c r="K98" s="282"/>
      <c r="L98" s="282"/>
      <c r="M98" s="363"/>
      <c r="N98" s="363"/>
      <c r="O98" s="261"/>
      <c r="P98" s="261"/>
      <c r="Q98" s="261"/>
      <c r="R98" s="277"/>
      <c r="S98" s="117"/>
      <c r="T98" s="117"/>
      <c r="U98" s="117"/>
      <c r="V98" s="117"/>
    </row>
    <row r="99" outlineLevel="1">
      <c r="A99" s="278" t="s">
        <v>234</v>
      </c>
      <c r="B99" s="269" t="s">
        <v>227</v>
      </c>
      <c r="C99" s="239" t="s">
        <v>1281</v>
      </c>
      <c r="D99" s="279">
        <v>64.0</v>
      </c>
      <c r="E99" s="239" t="s">
        <v>213</v>
      </c>
      <c r="F99" s="138">
        <v>1.2</v>
      </c>
      <c r="G99" s="416"/>
      <c r="H99" s="164"/>
      <c r="I99" s="164"/>
      <c r="J99" s="104"/>
      <c r="K99" s="282"/>
      <c r="L99" s="282"/>
      <c r="M99" s="363"/>
      <c r="N99" s="363"/>
      <c r="O99" s="145">
        <v>0.0</v>
      </c>
      <c r="P99" s="145">
        <v>1.0</v>
      </c>
      <c r="Q99" s="145">
        <v>1.0</v>
      </c>
      <c r="R99" s="277"/>
      <c r="S99" s="117"/>
      <c r="T99" s="117"/>
      <c r="U99" s="117"/>
      <c r="V99" s="117"/>
    </row>
    <row r="100" outlineLevel="1">
      <c r="A100" s="156"/>
      <c r="B100" s="269" t="s">
        <v>225</v>
      </c>
      <c r="C100" s="113">
        <v>43.0</v>
      </c>
      <c r="D100" s="156"/>
      <c r="E100" s="239" t="s">
        <v>93</v>
      </c>
      <c r="F100" s="138">
        <v>8.4</v>
      </c>
      <c r="G100" s="106"/>
      <c r="H100" s="168"/>
      <c r="I100" s="168"/>
      <c r="J100" s="107"/>
      <c r="K100" s="282"/>
      <c r="L100" s="282"/>
      <c r="M100" s="363"/>
      <c r="N100" s="363"/>
      <c r="O100" s="261"/>
      <c r="P100" s="261"/>
      <c r="Q100" s="261"/>
      <c r="R100" s="277"/>
      <c r="S100" s="117"/>
      <c r="T100" s="117"/>
      <c r="U100" s="117"/>
      <c r="V100" s="117"/>
    </row>
    <row r="101">
      <c r="A101" s="223"/>
      <c r="B101" s="224"/>
      <c r="C101" s="225"/>
      <c r="D101" s="225"/>
      <c r="E101" s="227"/>
      <c r="F101" s="177"/>
      <c r="G101" s="177"/>
      <c r="H101" s="227"/>
      <c r="I101" s="227"/>
      <c r="J101" s="228"/>
      <c r="K101" s="228"/>
      <c r="L101" s="111"/>
      <c r="M101" s="111"/>
      <c r="N101" s="111"/>
      <c r="O101" s="117"/>
      <c r="P101" s="117"/>
      <c r="Q101" s="111"/>
      <c r="R101" s="111"/>
      <c r="S101" s="111"/>
      <c r="T101" s="111"/>
      <c r="U101" s="111"/>
      <c r="V101" s="111"/>
    </row>
    <row r="102">
      <c r="A102" s="284" t="s">
        <v>241</v>
      </c>
      <c r="B102" s="104"/>
      <c r="C102" s="265"/>
      <c r="D102" s="111"/>
      <c r="E102" s="111"/>
      <c r="F102" s="111"/>
      <c r="G102" s="111"/>
      <c r="H102" s="111"/>
      <c r="I102" s="111"/>
      <c r="J102" s="118"/>
      <c r="K102" s="111"/>
      <c r="L102" s="111"/>
      <c r="M102" s="111"/>
      <c r="N102" s="111"/>
      <c r="O102" s="111"/>
      <c r="P102" s="111"/>
      <c r="Q102" s="118"/>
      <c r="R102" s="111"/>
      <c r="S102" s="111"/>
      <c r="T102" s="111"/>
      <c r="U102" s="111"/>
      <c r="V102" s="111"/>
    </row>
    <row r="103" outlineLevel="1">
      <c r="A103" s="106"/>
      <c r="B103" s="107"/>
      <c r="C103" s="285" t="s">
        <v>235</v>
      </c>
      <c r="D103" s="285" t="s">
        <v>236</v>
      </c>
      <c r="E103" s="285" t="s">
        <v>49</v>
      </c>
      <c r="F103" s="285" t="s">
        <v>237</v>
      </c>
      <c r="G103" s="286"/>
      <c r="H103" s="227"/>
      <c r="I103" s="227"/>
      <c r="J103" s="228"/>
      <c r="K103" s="228"/>
      <c r="L103" s="111"/>
      <c r="M103" s="111"/>
      <c r="N103" s="111"/>
      <c r="O103" s="111"/>
      <c r="P103" s="111"/>
      <c r="Q103" s="111"/>
      <c r="R103" s="111"/>
      <c r="S103" s="111"/>
      <c r="T103" s="111"/>
      <c r="U103" s="111"/>
      <c r="V103" s="111"/>
    </row>
    <row r="104" outlineLevel="1">
      <c r="A104" s="287" t="s">
        <v>395</v>
      </c>
      <c r="B104" s="288" t="s">
        <v>216</v>
      </c>
      <c r="C104" s="113" t="str">
        <f t="array" ref="C104">INDEX('回避'!$C$3:$U$84, MATCH($A$1,'回避'!$A$3:$A$91,0), MATCH(C103,'回避'!$C$2:$F$2,0))</f>
        <v>3-17</v>
      </c>
      <c r="D104" s="113" t="str">
        <f t="array" ref="D104">INDEX('回避'!$C$3:$U$84, MATCH($A$1,'回避'!$A$3:$A$91,0), MATCH(D103,'回避'!$C$2:$F$2,0))</f>
        <v>6-17</v>
      </c>
      <c r="E104" s="113" t="str">
        <f t="array" ref="E104">INDEX('回避'!$C$3:$U$84, MATCH($A$1,'回避'!$A$3:$A$91,0), MATCH(E103,'回避'!$C$2:$F$2,0))</f>
        <v>26 (21)</v>
      </c>
      <c r="F104" s="113" t="str">
        <f t="array" ref="F104">INDEX('回避'!$C$3:$U$84, MATCH($A$1,'回避'!$A$3:$A$91,0), MATCH(F103,'回避'!$C$2:$F$2,0))</f>
        <v>35 (28)</v>
      </c>
      <c r="G104" s="272"/>
      <c r="H104" s="227"/>
      <c r="I104" s="227"/>
      <c r="J104" s="228"/>
      <c r="K104" s="228"/>
      <c r="L104" s="228"/>
      <c r="M104" s="111"/>
      <c r="N104" s="111"/>
      <c r="O104" s="111"/>
      <c r="P104" s="111"/>
      <c r="Q104" s="111"/>
      <c r="R104" s="111"/>
      <c r="S104" s="111"/>
      <c r="T104" s="111"/>
      <c r="U104" s="111"/>
      <c r="V104" s="111"/>
    </row>
    <row r="105" outlineLevel="1">
      <c r="A105" s="212"/>
      <c r="B105" s="288" t="s">
        <v>245</v>
      </c>
      <c r="C105" s="113" t="str">
        <f t="array" ref="C105">INDEX('回避'!$G$3:$U$84, MATCH($A$1,'回避'!$A$3:$A$91,0), MATCH(C103,'回避'!$G$2:$J$2,0))</f>
        <v>4-15</v>
      </c>
      <c r="D105" s="113" t="str">
        <f t="array" ref="D105">INDEX('回避'!$G$3:$U$84, MATCH($A$1,'回避'!$A$3:$A$91,0), MATCH(D103,'回避'!$G$2:$J$2,0))</f>
        <v>8-14</v>
      </c>
      <c r="E105" s="113" t="str">
        <f t="array" ref="E105">INDEX('回避'!$G$3:$U$84, MATCH($A$1,'回避'!$A$3:$A$91,0), MATCH(E103,'回避'!$G$2:$J$2,0))</f>
        <v>30</v>
      </c>
      <c r="F105" s="113">
        <f t="array" ref="F105">INDEX('回避'!$G$3:$U$84, MATCH($A$1,'回避'!$A$3:$A$91,0), MATCH(F103,'回避'!$G$2:$J$2,0))</f>
        <v>40</v>
      </c>
      <c r="G105" s="289"/>
      <c r="H105" s="227"/>
      <c r="I105" s="227"/>
      <c r="J105" s="228"/>
      <c r="K105" s="228"/>
      <c r="L105" s="228"/>
      <c r="M105" s="228"/>
      <c r="N105" s="228"/>
      <c r="O105" s="111"/>
      <c r="P105" s="111"/>
      <c r="Q105" s="111"/>
      <c r="R105" s="111"/>
      <c r="S105" s="111"/>
      <c r="T105" s="111"/>
      <c r="U105" s="111"/>
      <c r="V105" s="111"/>
    </row>
    <row r="106" outlineLevel="1">
      <c r="A106" s="106"/>
      <c r="B106" s="288" t="s">
        <v>246</v>
      </c>
      <c r="C106" s="113" t="str">
        <f t="array" ref="C106">INDEX('回避'!$K$3:$U$84, MATCH($A$1,'回避'!$A$3:$A$91,0), MATCH(C103,'回避'!$K$2:$N$2,0))</f>
        <v>5-16</v>
      </c>
      <c r="D106" s="113" t="str">
        <f t="array" ref="D106">INDEX('回避'!$K$3:$U$84, MATCH($A$1,'回避'!$A$3:$A$91,0), MATCH(D103,'回避'!$K$2:$N$2,0))</f>
        <v>9-14</v>
      </c>
      <c r="E106" s="113" t="str">
        <f t="array" ref="E106">INDEX('回避'!$K$3:$U$84, MATCH($A$1,'回避'!$A$3:$A$91,0), MATCH(E103,'回避'!$K$2:$N$2,0))</f>
        <v>35</v>
      </c>
      <c r="F106" s="113" t="str">
        <f t="array" ref="F106">INDEX('回避'!$K$3:$U$84, MATCH($A$1,'回避'!$A$3:$A$91,0), MATCH(F103,'回避'!$K$2:$N$2,0))</f>
        <v>53</v>
      </c>
      <c r="G106" s="289"/>
      <c r="H106" s="290"/>
      <c r="I106" s="290"/>
      <c r="J106" s="117"/>
      <c r="K106" s="117"/>
      <c r="L106" s="117"/>
      <c r="M106" s="117"/>
      <c r="N106" s="117"/>
      <c r="O106" s="111"/>
      <c r="P106" s="111"/>
      <c r="Q106" s="111"/>
      <c r="R106" s="111"/>
      <c r="S106" s="111"/>
      <c r="T106" s="111"/>
      <c r="U106" s="111"/>
      <c r="V106" s="111"/>
    </row>
    <row r="107" outlineLevel="1">
      <c r="A107" s="287" t="s">
        <v>396</v>
      </c>
      <c r="B107" s="288" t="s">
        <v>397</v>
      </c>
      <c r="C107" s="113" t="str">
        <f t="array" ref="C107">INDEX('回避'!$O$3:$U$84, MATCH($A$1,'回避'!$A$3:$A$91,0), MATCH(C103,'回避'!$O$2:$R$2,0))</f>
        <v>3-30</v>
      </c>
      <c r="D107" s="113" t="str">
        <f t="array" ref="D107">INDEX('回避'!$O$3:$U$84, MATCH($A$1,'回避'!$A$3:$A$91,0), MATCH(D103,'回避'!$O$2:$R$2,0))</f>
        <v>6-27</v>
      </c>
      <c r="E107" s="113" t="str">
        <f t="array" ref="E107">INDEX('回避'!$O$3:$U$84, MATCH($A$1,'回避'!$A$3:$A$91,0), MATCH(E103,'回避'!$O$2:$R$2,0))</f>
        <v>61</v>
      </c>
      <c r="F107" s="113" t="str">
        <f t="array" ref="F107">INDEX('回避'!$O$3:$U$84, MATCH($A$1,'回避'!$A$3:$A$91,0), MATCH(F103,'回避'!$O$2:$R$2,0))</f>
        <v/>
      </c>
      <c r="G107" s="177"/>
      <c r="H107" s="118"/>
      <c r="I107" s="118"/>
      <c r="J107" s="111"/>
      <c r="K107" s="111"/>
      <c r="L107" s="111"/>
      <c r="M107" s="111"/>
      <c r="N107" s="111"/>
      <c r="O107" s="228"/>
      <c r="P107" s="228"/>
      <c r="Q107" s="228"/>
      <c r="R107" s="228"/>
      <c r="S107" s="228"/>
      <c r="T107" s="228"/>
      <c r="U107" s="228"/>
      <c r="V107" s="228"/>
    </row>
    <row r="108" outlineLevel="1">
      <c r="A108" s="106"/>
      <c r="B108" s="288" t="s">
        <v>398</v>
      </c>
      <c r="C108" s="113" t="str">
        <f t="array" ref="C108">INDEX('回避'!$S$3:$U$84, MATCH($A$1,'回避'!$A$3:$A$91,0), MATCH(C103,'回避'!$S$2:$U$2,0))</f>
        <v>3-21</v>
      </c>
      <c r="D108" s="113" t="str">
        <f t="array" ref="D108">INDEX('回避'!$S$3:$U$84, MATCH($A$1,'回避'!$A$3:$A$91,0), MATCH(D103,'回避'!$S$2:$U$2,0))</f>
        <v>6-20</v>
      </c>
      <c r="E108" s="113" t="str">
        <f t="array" ref="E108">INDEX('回避'!$S$3:$U$84, MATCH($A$1,'回避'!$A$3:$A$91,0), MATCH(E103,'回避'!$S$2:$U$2,0))</f>
        <v>真横：103
真上：141
真下：86</v>
      </c>
      <c r="F108" s="289"/>
      <c r="G108" s="289"/>
      <c r="H108" s="118"/>
      <c r="I108" s="118"/>
      <c r="J108" s="117"/>
      <c r="K108" s="117"/>
      <c r="L108" s="117"/>
      <c r="M108" s="117"/>
      <c r="N108" s="111"/>
      <c r="O108" s="118"/>
      <c r="P108" s="118"/>
      <c r="Q108" s="118"/>
      <c r="R108" s="118"/>
      <c r="S108" s="118"/>
      <c r="T108" s="118"/>
      <c r="U108" s="118"/>
      <c r="V108" s="118"/>
    </row>
    <row r="109">
      <c r="A109" s="291"/>
      <c r="B109" s="292"/>
      <c r="C109" s="286"/>
      <c r="D109" s="286"/>
      <c r="E109" s="293"/>
      <c r="F109" s="286"/>
      <c r="G109" s="286"/>
      <c r="H109" s="286"/>
      <c r="I109" s="286"/>
      <c r="J109" s="111"/>
      <c r="K109" s="227"/>
      <c r="L109" s="227"/>
      <c r="M109" s="227"/>
      <c r="N109" s="227"/>
      <c r="O109" s="118"/>
      <c r="P109" s="118"/>
      <c r="Q109" s="118"/>
      <c r="R109" s="118"/>
      <c r="S109" s="118"/>
      <c r="T109" s="118"/>
      <c r="U109" s="118"/>
      <c r="V109" s="118"/>
    </row>
    <row r="110">
      <c r="A110" s="294" t="s">
        <v>238</v>
      </c>
      <c r="B110" s="104"/>
      <c r="C110" s="228"/>
      <c r="D110" s="117"/>
      <c r="E110" s="228"/>
      <c r="F110" s="114"/>
      <c r="G110" s="114"/>
      <c r="H110" s="117"/>
      <c r="I110" s="117"/>
      <c r="J110" s="118"/>
      <c r="K110" s="118"/>
      <c r="L110" s="118"/>
      <c r="M110" s="118"/>
      <c r="N110" s="118"/>
      <c r="O110" s="118"/>
      <c r="P110" s="118"/>
      <c r="Q110" s="118"/>
      <c r="R110" s="118"/>
      <c r="S110" s="118"/>
      <c r="T110" s="118"/>
      <c r="U110" s="118"/>
      <c r="V110" s="118"/>
    </row>
    <row r="111" outlineLevel="1">
      <c r="A111" s="106"/>
      <c r="B111" s="107"/>
      <c r="C111" s="295" t="s">
        <v>235</v>
      </c>
      <c r="D111" s="295" t="s">
        <v>49</v>
      </c>
      <c r="E111" s="295" t="s">
        <v>48</v>
      </c>
      <c r="F111" s="295" t="s">
        <v>50</v>
      </c>
      <c r="G111" s="296" t="s">
        <v>51</v>
      </c>
      <c r="H111" s="228"/>
      <c r="I111" s="228"/>
      <c r="J111" s="117"/>
      <c r="K111" s="297" t="str">
        <f>'テンプレート'!K116</f>
        <v>アイテム取得</v>
      </c>
      <c r="L111" s="109"/>
      <c r="M111" s="298" t="str">
        <f>'テンプレート'!M116</f>
        <v>取得フレーム</v>
      </c>
      <c r="N111" s="298" t="str">
        <f>'テンプレート'!N116</f>
        <v>全体フレーム</v>
      </c>
      <c r="O111" s="118"/>
      <c r="P111" s="118"/>
      <c r="Q111" s="118"/>
      <c r="R111" s="118"/>
      <c r="S111" s="118"/>
      <c r="T111" s="118"/>
      <c r="U111" s="118"/>
      <c r="V111" s="118"/>
    </row>
    <row r="112" outlineLevel="1">
      <c r="A112" s="299" t="s">
        <v>239</v>
      </c>
      <c r="B112" s="300" t="s">
        <v>240</v>
      </c>
      <c r="C112" s="301"/>
      <c r="D112" s="113">
        <f t="array" ref="D112">INDEX('崖行動・受け身'!$C$3:$C115, MATCH($A$1,'崖行動・受け身'!$A$3:$A$115,0), MATCH(D111,'崖行動・受け身'!$C$2,0))</f>
        <v>19</v>
      </c>
      <c r="E112" s="301"/>
      <c r="F112" s="301"/>
      <c r="G112" s="301"/>
      <c r="H112" s="228"/>
      <c r="I112" s="228"/>
      <c r="J112" s="111"/>
      <c r="K112" s="302" t="str">
        <f>'テンプレート'!K117</f>
        <v>小アイテム</v>
      </c>
      <c r="L112" s="303" t="str">
        <f>'テンプレート'!L117</f>
        <v>その場</v>
      </c>
      <c r="M112" s="113" t="s">
        <v>76</v>
      </c>
      <c r="N112" s="113">
        <v>7.0</v>
      </c>
      <c r="O112" s="118"/>
      <c r="P112" s="118"/>
      <c r="Q112" s="118"/>
      <c r="R112" s="118"/>
      <c r="S112" s="118"/>
      <c r="T112" s="118"/>
      <c r="U112" s="118"/>
      <c r="V112" s="118"/>
    </row>
    <row r="113" outlineLevel="1">
      <c r="A113" s="146"/>
      <c r="B113" s="300" t="s">
        <v>216</v>
      </c>
      <c r="C113" s="113" t="str">
        <f t="array" ref="C113">INDEX('崖行動・受け身'!$D$3:$E115, MATCH($A$1,'崖行動・受け身'!$A$3:$A$115,0), MATCH(C111,'崖行動・受け身'!$D$2:$E$2,0))</f>
        <v>1-31</v>
      </c>
      <c r="D113" s="113">
        <f t="array" ref="D113">INDEX('崖行動・受け身'!$D$3:$E115, MATCH($A$1,'崖行動・受け身'!$A$3:$A$115,0), MATCH(D111,'崖行動・受け身'!$D$2:$E$2,0))</f>
        <v>32</v>
      </c>
      <c r="E113" s="301"/>
      <c r="F113" s="301"/>
      <c r="G113" s="301"/>
      <c r="H113" s="228"/>
      <c r="I113" s="228"/>
      <c r="J113" s="117"/>
      <c r="K113" s="156"/>
      <c r="L113" s="303" t="str">
        <f>'テンプレート'!L118</f>
        <v>歩き</v>
      </c>
      <c r="M113" s="113" t="s">
        <v>76</v>
      </c>
      <c r="N113" s="113">
        <v>19.0</v>
      </c>
      <c r="O113" s="118"/>
      <c r="P113" s="118"/>
      <c r="Q113" s="118"/>
      <c r="R113" s="118"/>
      <c r="S113" s="118"/>
      <c r="T113" s="118"/>
      <c r="U113" s="118"/>
      <c r="V113" s="118"/>
    </row>
    <row r="114" outlineLevel="1">
      <c r="A114" s="146"/>
      <c r="B114" s="300" t="s">
        <v>241</v>
      </c>
      <c r="C114" s="113" t="str">
        <f t="array" ref="C114">INDEX('崖行動・受け身'!$F$3:$G$115, MATCH($A$1,'崖行動・受け身'!$A$3:$A$115,0), MATCH(C111,'崖行動・受け身'!$F$2:$G$2,0))</f>
        <v>1-26</v>
      </c>
      <c r="D114" s="113">
        <f t="array" ref="D114">INDEX('崖行動・受け身'!$F$3:$G$115, MATCH($A$1,'崖行動・受け身'!$A$3:$A$115,0), MATCH(D111,'崖行動・受け身'!$F$2:$G$2,0))</f>
        <v>45</v>
      </c>
      <c r="E114" s="301"/>
      <c r="F114" s="301"/>
      <c r="G114" s="301"/>
      <c r="H114" s="228"/>
      <c r="I114" s="228"/>
      <c r="J114" s="111"/>
      <c r="K114" s="304" t="str">
        <f>'テンプレート'!K119</f>
        <v>アイテム投擲</v>
      </c>
      <c r="L114" s="109"/>
      <c r="M114" s="298" t="str">
        <f>'テンプレート'!M119</f>
        <v>投擲フレーム</v>
      </c>
      <c r="N114" s="298" t="str">
        <f>'テンプレート'!N119</f>
        <v>全体フレーム</v>
      </c>
      <c r="O114" s="118"/>
      <c r="P114" s="118"/>
      <c r="Q114" s="118"/>
      <c r="R114" s="118"/>
      <c r="S114" s="118"/>
      <c r="T114" s="118"/>
      <c r="U114" s="118"/>
      <c r="V114" s="118"/>
    </row>
    <row r="115" outlineLevel="1">
      <c r="A115" s="146"/>
      <c r="B115" s="300" t="s">
        <v>242</v>
      </c>
      <c r="C115" s="113" t="str">
        <f t="array" ref="C115">INDEX('崖行動・受け身'!$H$3:$I$115, MATCH($A$1,'崖行動・受け身'!$A$3:$A$115,0), MATCH(C111,'崖行動・受け身'!$H$2:$I$2,0))</f>
        <v>1-12</v>
      </c>
      <c r="D115" s="113">
        <f t="array" ref="D115">INDEX('崖行動・受け身'!$H$3:$I$115, MATCH($A$1,'崖行動・受け身'!$A$3:$A$115,0), MATCH(D111,'崖行動・受け身'!$H$2:$I$2,0))</f>
        <v>14</v>
      </c>
      <c r="E115" s="301"/>
      <c r="F115" s="301"/>
      <c r="G115" s="301"/>
      <c r="H115" s="228"/>
      <c r="I115" s="228"/>
      <c r="J115" s="117"/>
      <c r="K115" s="305" t="str">
        <f>'テンプレート'!K120</f>
        <v>地上投擲</v>
      </c>
      <c r="L115" s="303" t="str">
        <f>'テンプレート'!L120</f>
        <v>前投げ</v>
      </c>
      <c r="M115" s="113" t="s">
        <v>80</v>
      </c>
      <c r="N115" s="113">
        <v>26.0</v>
      </c>
      <c r="O115" s="111"/>
      <c r="P115" s="111"/>
      <c r="Q115" s="111"/>
      <c r="R115" s="111"/>
      <c r="S115" s="111"/>
      <c r="T115" s="111"/>
      <c r="U115" s="111"/>
      <c r="V115" s="111"/>
    </row>
    <row r="116" outlineLevel="1">
      <c r="A116" s="156"/>
      <c r="B116" s="300" t="s">
        <v>243</v>
      </c>
      <c r="C116" s="113" t="str">
        <f t="array" ref="C116">INDEX('崖行動・受け身'!$J$3:$M$115, MATCH($A$1,'崖行動・受け身'!$A$3:$A$115,0), MATCH(C111,'崖行動・受け身'!$J$2:$M$2,0))</f>
        <v>1-20</v>
      </c>
      <c r="D116" s="113">
        <f t="array" ref="D116">INDEX('崖行動・受け身'!$J$3:$M$115, MATCH($A$1,'崖行動・受け身'!$A$3:$A$115,0), MATCH(D111,'崖行動・受け身'!$J$2:$M$2,0))</f>
        <v>55</v>
      </c>
      <c r="E116" s="113" t="str">
        <f t="array" ref="E116">INDEX('崖行動・受け身'!$J$3:$M$115, MATCH($A$1,'崖行動・受け身'!$A$3:$A$115,0), MATCH(E111,'崖行動・受け身'!$J$2:$M$2,0))</f>
        <v>18-20</v>
      </c>
      <c r="F116" s="113">
        <f t="array" ref="F116">INDEX('崖行動・受け身'!$J$3:$M$115, MATCH($A$1,'崖行動・受け身'!$A$3:$A$115,0), MATCH(F111,'崖行動・受け身'!$J$2:$M$2,0))</f>
        <v>9</v>
      </c>
      <c r="G116" s="113">
        <f>F116*1.2</f>
        <v>10.8</v>
      </c>
      <c r="H116" s="228"/>
      <c r="I116" s="228"/>
      <c r="J116" s="111"/>
      <c r="K116" s="146"/>
      <c r="L116" s="303" t="str">
        <f>'テンプレート'!L121</f>
        <v>後投げ</v>
      </c>
      <c r="M116" s="113" t="s">
        <v>232</v>
      </c>
      <c r="N116" s="113">
        <v>26.0</v>
      </c>
      <c r="O116" s="111"/>
      <c r="P116" s="111"/>
      <c r="Q116" s="111"/>
      <c r="R116" s="111"/>
      <c r="S116" s="111"/>
      <c r="T116" s="111"/>
      <c r="U116" s="111"/>
      <c r="V116" s="111"/>
    </row>
    <row r="117" outlineLevel="1">
      <c r="A117" s="299" t="s">
        <v>244</v>
      </c>
      <c r="B117" s="300" t="s">
        <v>216</v>
      </c>
      <c r="C117" s="113" t="str">
        <f t="array" ref="C117">INDEX('崖行動・受け身'!$N$3:$O$115, MATCH($A$1,'崖行動・受け身'!$A$3:$A$115,0), MATCH(C111,'崖行動・受け身'!$N$2:$O$2,0))</f>
        <v>1-20</v>
      </c>
      <c r="D117" s="113">
        <f t="array" ref="D117">INDEX('崖行動・受け身'!$N$3:$O$115, MATCH($A$1,'崖行動・受け身'!$A$3:$A$115,0), MATCH(D111,'崖行動・受け身'!$N$2:$O$2,0))</f>
        <v>26</v>
      </c>
      <c r="E117" s="301"/>
      <c r="F117" s="301"/>
      <c r="G117" s="301"/>
      <c r="H117" s="228"/>
      <c r="I117" s="228"/>
      <c r="J117" s="117"/>
      <c r="K117" s="146"/>
      <c r="L117" s="303" t="str">
        <f>'テンプレート'!L122</f>
        <v>上投げ</v>
      </c>
      <c r="M117" s="113" t="s">
        <v>232</v>
      </c>
      <c r="N117" s="113">
        <v>25.0</v>
      </c>
      <c r="O117" s="228"/>
      <c r="P117" s="228"/>
      <c r="Q117" s="228"/>
      <c r="R117" s="228"/>
      <c r="S117" s="228"/>
      <c r="T117" s="228"/>
      <c r="U117" s="228"/>
      <c r="V117" s="228"/>
    </row>
    <row r="118" outlineLevel="1">
      <c r="A118" s="146"/>
      <c r="B118" s="300" t="s">
        <v>245</v>
      </c>
      <c r="C118" s="113" t="str">
        <f t="array" ref="C118">INDEX('崖行動・受け身'!$P$3:$Q$115, MATCH($A$1,'崖行動・受け身'!$A$3:$A$115,0), MATCH(C111,'崖行動・受け身'!$P$2:$Q$2,0))</f>
        <v>1-20</v>
      </c>
      <c r="D118" s="113">
        <f t="array" ref="D118">INDEX('崖行動・受け身'!$P$3:$Q$115, MATCH($A$1,'崖行動・受け身'!$A$3:$A$115,0), MATCH(D111,'崖行動・受け身'!$P$2:$Q$2,0))</f>
        <v>40</v>
      </c>
      <c r="E118" s="301"/>
      <c r="F118" s="301"/>
      <c r="G118" s="301"/>
      <c r="H118" s="228"/>
      <c r="I118" s="228"/>
      <c r="J118" s="111"/>
      <c r="K118" s="146"/>
      <c r="L118" s="303" t="str">
        <f>'テンプレート'!L123</f>
        <v>下投げ</v>
      </c>
      <c r="M118" s="113" t="s">
        <v>93</v>
      </c>
      <c r="N118" s="113">
        <v>21.0</v>
      </c>
      <c r="O118" s="118"/>
      <c r="P118" s="118"/>
      <c r="Q118" s="118"/>
      <c r="R118" s="118"/>
      <c r="S118" s="118"/>
      <c r="T118" s="118"/>
      <c r="U118" s="118"/>
      <c r="V118" s="118"/>
    </row>
    <row r="119" outlineLevel="1">
      <c r="A119" s="156"/>
      <c r="B119" s="300" t="s">
        <v>246</v>
      </c>
      <c r="C119" s="113" t="str">
        <f t="array" ref="C119">INDEX('崖行動・受け身'!$R$3:$S$115, MATCH($A$1,'崖行動・受け身'!$A$3:$A$115,0), MATCH(C111,'崖行動・受け身'!$R$2:$S$2,0))</f>
        <v>1-20</v>
      </c>
      <c r="D119" s="113">
        <f t="array" ref="D119">INDEX('崖行動・受け身'!$R$3:$S$115, MATCH($A$1,'崖行動・受け身'!$A$3:$A$115,0), MATCH(D111,'崖行動・受け身'!$R$2:$S$2,0))</f>
        <v>40</v>
      </c>
      <c r="E119" s="301"/>
      <c r="F119" s="301"/>
      <c r="G119" s="301"/>
      <c r="H119" s="228"/>
      <c r="I119" s="228"/>
      <c r="J119" s="117"/>
      <c r="K119" s="146"/>
      <c r="L119" s="306" t="str">
        <f>'テンプレート'!L124</f>
        <v>ダッシュ</v>
      </c>
      <c r="M119" s="113" t="s">
        <v>150</v>
      </c>
      <c r="N119" s="113">
        <v>37.0</v>
      </c>
      <c r="O119" s="118"/>
      <c r="P119" s="118"/>
      <c r="Q119" s="118"/>
      <c r="R119" s="118"/>
      <c r="S119" s="118"/>
      <c r="T119" s="118"/>
      <c r="U119" s="118"/>
      <c r="V119" s="118"/>
    </row>
    <row r="120" outlineLevel="1">
      <c r="A120" s="299" t="s">
        <v>247</v>
      </c>
      <c r="B120" s="300" t="s">
        <v>248</v>
      </c>
      <c r="C120" s="301"/>
      <c r="D120" s="113" t="str">
        <f t="array" ref="D120">INDEX('起きあがり'!$C$3:$C115, MATCH($A$1,'起きあがり'!$A$3:$A$115,0), MATCH(D111,'起きあがり'!$C$2:$AD$2,0))</f>
        <v>25</v>
      </c>
      <c r="E120" s="301"/>
      <c r="F120" s="301"/>
      <c r="G120" s="301"/>
      <c r="H120" s="228"/>
      <c r="I120" s="228"/>
      <c r="J120" s="111"/>
      <c r="K120" s="156"/>
      <c r="L120" s="306" t="str">
        <f>'テンプレート'!L125</f>
        <v>その場捨て</v>
      </c>
      <c r="M120" s="113" t="s">
        <v>93</v>
      </c>
      <c r="N120" s="113">
        <v>23.0</v>
      </c>
      <c r="O120" s="118"/>
      <c r="P120" s="118"/>
      <c r="Q120" s="118"/>
      <c r="R120" s="118"/>
      <c r="S120" s="118"/>
      <c r="T120" s="118"/>
      <c r="U120" s="118"/>
      <c r="V120" s="118"/>
    </row>
    <row r="121" outlineLevel="1">
      <c r="A121" s="146"/>
      <c r="B121" s="300" t="s">
        <v>216</v>
      </c>
      <c r="C121" s="307" t="str">
        <f t="array" ref="C121">INDEX('起きあがり'!$D$3:$E115, MATCH($A$1,'起きあがり'!$A$3:$A$115,0), MATCH(C111,'起きあがり'!$D$2:$AD$2,0))</f>
        <v>1-22</v>
      </c>
      <c r="D121" s="308">
        <f t="array" ref="D121">INDEX('起きあがり'!$D$3:$E115, MATCH($A$1,'起きあがり'!$A$3:$A$115,0), MATCH(D111,'起きあがり'!$D$2:$AD$2,0))</f>
        <v>29</v>
      </c>
      <c r="E121" s="301"/>
      <c r="F121" s="301"/>
      <c r="G121" s="301"/>
      <c r="H121" s="228"/>
      <c r="I121" s="228"/>
      <c r="J121" s="117"/>
      <c r="K121" s="305" t="str">
        <f>'テンプレート'!K126</f>
        <v>空中投擲</v>
      </c>
      <c r="L121" s="303" t="str">
        <f>'テンプレート'!L126</f>
        <v>前投げ</v>
      </c>
      <c r="M121" s="113" t="s">
        <v>80</v>
      </c>
      <c r="N121" s="113">
        <v>24.0</v>
      </c>
      <c r="O121" s="118"/>
      <c r="P121" s="118"/>
      <c r="Q121" s="118"/>
      <c r="R121" s="118"/>
      <c r="S121" s="118"/>
      <c r="T121" s="118"/>
      <c r="U121" s="118"/>
      <c r="V121" s="118"/>
    </row>
    <row r="122" outlineLevel="1">
      <c r="A122" s="146"/>
      <c r="B122" s="300" t="s">
        <v>245</v>
      </c>
      <c r="C122" s="307" t="str">
        <f t="array" ref="C122">INDEX('起きあがり'!$F$3:$G$115, MATCH($A$1,'起きあがり'!$A$3:$A$115,0), MATCH(C111,'起きあがり'!$F$2:$AD$2,0))</f>
        <v>1-19</v>
      </c>
      <c r="D122" s="308">
        <f t="array" ref="D122">INDEX('起きあがり'!$F$3:$G$115, MATCH($A$1,'起きあがり'!$A$3:$A$115,0), MATCH(D111,'起きあがり'!$F$2:$AD$2,0))</f>
        <v>35</v>
      </c>
      <c r="E122" s="301"/>
      <c r="F122" s="301"/>
      <c r="G122" s="301"/>
      <c r="H122" s="228"/>
      <c r="I122" s="228"/>
      <c r="J122" s="111"/>
      <c r="K122" s="146"/>
      <c r="L122" s="303" t="str">
        <f>'テンプレート'!L127</f>
        <v>後投げ</v>
      </c>
      <c r="M122" s="113" t="s">
        <v>232</v>
      </c>
      <c r="N122" s="113">
        <v>24.0</v>
      </c>
      <c r="O122" s="118"/>
      <c r="P122" s="118"/>
      <c r="Q122" s="118"/>
      <c r="R122" s="118"/>
      <c r="S122" s="118"/>
      <c r="T122" s="118"/>
      <c r="U122" s="118"/>
      <c r="V122" s="118"/>
    </row>
    <row r="123" outlineLevel="1">
      <c r="A123" s="146"/>
      <c r="B123" s="300" t="s">
        <v>246</v>
      </c>
      <c r="C123" s="113" t="str">
        <f t="array" ref="C123">INDEX('起きあがり'!$H$3:$I$115, MATCH($A$1,'起きあがり'!$A$3:$A$115,0), MATCH(C111,'起きあがり'!$H$2:$AD$2,0))</f>
        <v>1-19</v>
      </c>
      <c r="D123" s="113">
        <f t="array" ref="D123">INDEX('起きあがり'!$H$3:$I$115, MATCH($A$1,'起きあがり'!$A$3:$A$115,0), MATCH(D111,'起きあがり'!$H$2:$AD$2,0))</f>
        <v>35</v>
      </c>
      <c r="E123" s="301"/>
      <c r="F123" s="301"/>
      <c r="G123" s="301"/>
      <c r="H123" s="228"/>
      <c r="I123" s="228"/>
      <c r="J123" s="117"/>
      <c r="K123" s="146"/>
      <c r="L123" s="303" t="str">
        <f>'テンプレート'!L128</f>
        <v>上投げ</v>
      </c>
      <c r="M123" s="113" t="s">
        <v>129</v>
      </c>
      <c r="N123" s="113">
        <v>23.0</v>
      </c>
      <c r="O123" s="118"/>
      <c r="P123" s="118"/>
      <c r="Q123" s="118"/>
      <c r="R123" s="118"/>
      <c r="S123" s="118"/>
      <c r="T123" s="118"/>
      <c r="U123" s="118"/>
      <c r="V123" s="118"/>
    </row>
    <row r="124" outlineLevel="1">
      <c r="A124" s="146"/>
      <c r="B124" s="300" t="s">
        <v>249</v>
      </c>
      <c r="C124" s="309" t="str">
        <f t="array" ref="C124">INDEX('起きあがり'!$J$3:$M$115, MATCH($A$1,'起きあがり'!$A$3:$A$115,0), MATCH(C111,'起きあがり'!$J$2:$AD$2,0))</f>
        <v>1-23</v>
      </c>
      <c r="D124" s="310">
        <f t="array" ref="D124">INDEX('起きあがり'!$J$3:$M$115, MATCH($A$1,'起きあがり'!$A$3:$A$115,0), MATCH(D111,'起きあがり'!$J$2:$AD$2,0))</f>
        <v>45</v>
      </c>
      <c r="E124" s="307" t="str">
        <f t="array" ref="E124">INDEX('起きあがり'!$J$3:$M$115, MATCH($A$1,'起きあがり'!$A$3:$A$115,0), MATCH(E111,'起きあがり'!$J$2:$AD$2,0))</f>
        <v>14-15</v>
      </c>
      <c r="F124" s="308">
        <f t="array" ref="F124">INDEX('起きあがり'!$J$3:$M$115, MATCH($A$1,'起きあがり'!$A$3:$A$115,0), MATCH(F111,'起きあがり'!$J$2:$AD$2,0))</f>
        <v>7</v>
      </c>
      <c r="G124" s="113">
        <f t="shared" ref="G124:G125" si="1">F124*1.2</f>
        <v>8.4</v>
      </c>
      <c r="H124" s="228"/>
      <c r="I124" s="228"/>
      <c r="J124" s="111"/>
      <c r="K124" s="156"/>
      <c r="L124" s="303" t="str">
        <f>'テンプレート'!L129</f>
        <v>下投げ</v>
      </c>
      <c r="M124" s="113" t="s">
        <v>93</v>
      </c>
      <c r="N124" s="113">
        <v>19.0</v>
      </c>
      <c r="O124" s="111"/>
      <c r="P124" s="111"/>
      <c r="Q124" s="111"/>
      <c r="R124" s="111"/>
      <c r="S124" s="111"/>
      <c r="T124" s="111"/>
      <c r="U124" s="111"/>
      <c r="V124" s="111"/>
    </row>
    <row r="125" outlineLevel="1">
      <c r="A125" s="156"/>
      <c r="B125" s="311" t="s">
        <v>250</v>
      </c>
      <c r="C125" s="156"/>
      <c r="D125" s="156"/>
      <c r="E125" s="307" t="str">
        <f t="array" ref="E125">INDEX('起きあがり'!$N$3:$O$115, MATCH($A$1,'起きあがり'!$A$3:$A$115,0), MATCH(E111,'起きあがり'!$N$2:$AD$2,0))</f>
        <v>22-23</v>
      </c>
      <c r="F125" s="308">
        <f t="array" ref="F125">INDEX('起きあがり'!$N$3:$O$115, MATCH($A$1,'起きあがり'!$A$3:$A$115,0), MATCH(F111,'起きあがり'!$N$2:$AD$2,0))</f>
        <v>7</v>
      </c>
      <c r="G125" s="113">
        <f t="shared" si="1"/>
        <v>8.4</v>
      </c>
      <c r="H125" s="228"/>
      <c r="I125" s="228"/>
      <c r="J125" s="111"/>
      <c r="K125" s="312" t="str">
        <f>'テンプレート'!K130</f>
        <v>踏み台ジャンプ</v>
      </c>
      <c r="L125" s="168"/>
      <c r="M125" s="298" t="str">
        <f>'テンプレート'!M130</f>
        <v>全体フレーム</v>
      </c>
      <c r="N125" s="114"/>
      <c r="O125" s="111"/>
      <c r="P125" s="111"/>
      <c r="Q125" s="111"/>
      <c r="R125" s="111"/>
      <c r="S125" s="111"/>
      <c r="T125" s="111"/>
      <c r="U125" s="111"/>
      <c r="V125" s="111"/>
    </row>
    <row r="126" outlineLevel="1">
      <c r="A126" s="299" t="s">
        <v>251</v>
      </c>
      <c r="B126" s="300" t="s">
        <v>248</v>
      </c>
      <c r="C126" s="301"/>
      <c r="D126" s="307" t="str">
        <f t="array" ref="D126">INDEX('起きあがり'!$C$3:$C115, MATCH($A$1,'起きあがり'!$A$3:$A$115,0), MATCH(D111,'起きあがり'!$C$2,0))</f>
        <v>25</v>
      </c>
      <c r="E126" s="301"/>
      <c r="F126" s="301"/>
      <c r="G126" s="301"/>
      <c r="H126" s="228"/>
      <c r="I126" s="228"/>
      <c r="J126" s="117"/>
      <c r="K126" s="313" t="str">
        <f>'テンプレート'!K131</f>
        <v>踏み</v>
      </c>
      <c r="L126" s="314" t="str">
        <f>'テンプレート'!L131</f>
        <v>踏み</v>
      </c>
      <c r="M126" s="113">
        <v>8.0</v>
      </c>
      <c r="N126" s="315"/>
      <c r="O126" s="111"/>
      <c r="P126" s="111"/>
      <c r="Q126" s="111"/>
      <c r="R126" s="111"/>
      <c r="S126" s="111"/>
      <c r="T126" s="111"/>
      <c r="U126" s="111"/>
      <c r="V126" s="111"/>
    </row>
    <row r="127" outlineLevel="1">
      <c r="A127" s="146"/>
      <c r="B127" s="300" t="s">
        <v>216</v>
      </c>
      <c r="C127" s="307" t="str">
        <f t="array" ref="C127">INDEX('起きあがり'!$P$3:$Q$115, MATCH($A$1,'起きあがり'!$A$3:$A$115,0), MATCH(C111,'起きあがり'!$P$2:$AD$2,0))</f>
        <v>1-22</v>
      </c>
      <c r="D127" s="308">
        <f t="array" ref="D127">INDEX('起きあがり'!$P$3:$Q$115, MATCH($A$1,'起きあがり'!$A$3:$A$115,0), MATCH(D111,'起きあがり'!$P$2:$AD$2,0))</f>
        <v>29</v>
      </c>
      <c r="E127" s="301"/>
      <c r="F127" s="301"/>
      <c r="G127" s="301"/>
      <c r="H127" s="228"/>
      <c r="I127" s="228"/>
      <c r="J127" s="111"/>
      <c r="K127" s="305" t="str">
        <f>'テンプレート'!K132</f>
        <v>踏まれ</v>
      </c>
      <c r="L127" s="314" t="str">
        <f>'テンプレート'!L132</f>
        <v>地上踏まれ</v>
      </c>
      <c r="M127" s="113" t="s">
        <v>76</v>
      </c>
      <c r="N127" s="315"/>
      <c r="O127" s="228"/>
      <c r="P127" s="228"/>
      <c r="Q127" s="228"/>
      <c r="R127" s="228"/>
      <c r="S127" s="228"/>
      <c r="T127" s="228"/>
      <c r="U127" s="228"/>
      <c r="V127" s="228"/>
    </row>
    <row r="128" outlineLevel="1">
      <c r="A128" s="146"/>
      <c r="B128" s="300" t="s">
        <v>245</v>
      </c>
      <c r="C128" s="307" t="str">
        <f t="array" ref="C128">INDEX('起きあがり'!$R$3:$S$115, MATCH($A$1,'起きあがり'!$A$3:$A$115,0), MATCH(C111,'起きあがり'!$R$2:$AD$2,0))</f>
        <v>1-19</v>
      </c>
      <c r="D128" s="308">
        <f t="array" ref="D128">INDEX('起きあがり'!$R$3:$S$115, MATCH($A$1,'起きあがり'!$A$3:$A$115,0), MATCH(D111,'起きあがり'!$R$2:$AD$2,0))</f>
        <v>35</v>
      </c>
      <c r="E128" s="301"/>
      <c r="F128" s="301"/>
      <c r="G128" s="301"/>
      <c r="H128" s="228"/>
      <c r="I128" s="228"/>
      <c r="J128" s="117"/>
      <c r="K128" s="146"/>
      <c r="L128" s="314" t="s">
        <v>693</v>
      </c>
      <c r="M128" s="113">
        <v>28.0</v>
      </c>
      <c r="N128" s="102"/>
      <c r="O128" s="118"/>
      <c r="P128" s="118"/>
      <c r="Q128" s="118"/>
      <c r="R128" s="118"/>
      <c r="S128" s="118"/>
      <c r="T128" s="118"/>
      <c r="U128" s="118"/>
      <c r="V128" s="118"/>
    </row>
    <row r="129" outlineLevel="1">
      <c r="A129" s="146"/>
      <c r="B129" s="300" t="s">
        <v>246</v>
      </c>
      <c r="C129" s="307" t="str">
        <f t="array" ref="C129">INDEX('起きあがり'!$T$3:$U$115, MATCH($A$1,'起きあがり'!$A$3:$A$115,0), MATCH(C111,'起きあがり'!$T$2:$AD$2,0))</f>
        <v>1-19</v>
      </c>
      <c r="D129" s="308">
        <f t="array" ref="D129">INDEX('起きあがり'!$T$3:$U$115, MATCH($A$1,'起きあがり'!$A$3:$A$115,0), MATCH(D111,'起きあがり'!$T$2:$AD$2,0))</f>
        <v>35</v>
      </c>
      <c r="E129" s="301"/>
      <c r="F129" s="301"/>
      <c r="G129" s="301"/>
      <c r="H129" s="228"/>
      <c r="I129" s="228"/>
      <c r="J129" s="111"/>
      <c r="K129" s="146"/>
      <c r="L129" s="314" t="str">
        <f>'テンプレート'!L134</f>
        <v>空中踏まれ</v>
      </c>
      <c r="M129" s="113">
        <v>11.0</v>
      </c>
      <c r="N129" s="102"/>
      <c r="O129" s="118"/>
      <c r="P129" s="118"/>
      <c r="Q129" s="118"/>
      <c r="R129" s="118"/>
      <c r="S129" s="118"/>
      <c r="T129" s="118"/>
      <c r="U129" s="118"/>
      <c r="V129" s="118"/>
    </row>
    <row r="130" outlineLevel="1">
      <c r="A130" s="146"/>
      <c r="B130" s="300" t="s">
        <v>249</v>
      </c>
      <c r="C130" s="309" t="str">
        <f t="array" ref="C130">INDEX('起きあがり'!$V$3:$Y$115, MATCH($A$1,'起きあがり'!$A$3:$A$115,0), MATCH(C111,'起きあがり'!$V$2:$AD$2,0))</f>
        <v>1-24</v>
      </c>
      <c r="D130" s="310">
        <f t="array" ref="D130">INDEX('起きあがり'!$V$3:$Y$115, MATCH($A$1,'起きあがり'!$A$3:$A$115,0), MATCH(D111,'起きあがり'!$V$2:$AD$2,0))</f>
        <v>45</v>
      </c>
      <c r="E130" s="307" t="str">
        <f t="array" ref="E130">INDEX('起きあがり'!$V$3:$Y$115, MATCH($A$1,'起きあがり'!$A$3:$A$115,0), MATCH(E111,'起きあがり'!$V$2:$AD$2,0))</f>
        <v>14-15</v>
      </c>
      <c r="F130" s="308">
        <f t="array" ref="F130">INDEX('起きあがり'!$V$3:$Y$115, MATCH($A$1,'起きあがり'!$A$3:$A$115,0), MATCH(F111,'起きあがり'!$V$2:$AD$2,0))</f>
        <v>7</v>
      </c>
      <c r="G130" s="113">
        <f t="shared" ref="G130:G131" si="2">F130*1.2</f>
        <v>8.4</v>
      </c>
      <c r="H130" s="228"/>
      <c r="I130" s="228"/>
      <c r="J130" s="117"/>
      <c r="K130" s="146"/>
      <c r="L130" s="314" t="str">
        <f>'テンプレート'!L135</f>
        <v>空中落下</v>
      </c>
      <c r="M130" s="113">
        <v>42.0</v>
      </c>
      <c r="N130" s="102"/>
      <c r="O130" s="118"/>
      <c r="P130" s="118"/>
      <c r="Q130" s="118"/>
      <c r="R130" s="118"/>
      <c r="S130" s="118"/>
      <c r="T130" s="118"/>
      <c r="U130" s="118"/>
      <c r="V130" s="118"/>
    </row>
    <row r="131" outlineLevel="1">
      <c r="A131" s="156"/>
      <c r="B131" s="311" t="s">
        <v>250</v>
      </c>
      <c r="C131" s="156"/>
      <c r="D131" s="156"/>
      <c r="E131" s="307" t="str">
        <f t="array" ref="E131">INDEX('起きあがり'!$Z$3:$AA$115, MATCH($A$1,'起きあがり'!$A$3:$A$115,0), MATCH(E111,'起きあがり'!$Z$2:$AD$2,0))</f>
        <v>23-24</v>
      </c>
      <c r="F131" s="308">
        <f t="array" ref="F131">INDEX('起きあがり'!$Z$3:$AA$115, MATCH($A$1,'起きあがり'!$A$3:$A$115,0), MATCH(F111,'起きあがり'!$Z$2:$AD$2,0))</f>
        <v>7</v>
      </c>
      <c r="G131" s="113">
        <f t="shared" si="2"/>
        <v>8.4</v>
      </c>
      <c r="H131" s="228"/>
      <c r="I131" s="228"/>
      <c r="J131" s="117"/>
      <c r="K131" s="304" t="str">
        <f>'テンプレート'!K136</f>
        <v>倒れダメージ</v>
      </c>
      <c r="L131" s="110"/>
      <c r="M131" s="298" t="str">
        <f>'テンプレート'!M136</f>
        <v>全体フレーム</v>
      </c>
      <c r="N131" s="102"/>
      <c r="O131" s="118"/>
      <c r="P131" s="118"/>
      <c r="Q131" s="118"/>
      <c r="R131" s="118"/>
      <c r="S131" s="118"/>
      <c r="T131" s="118"/>
      <c r="U131" s="118"/>
      <c r="V131" s="118"/>
    </row>
    <row r="132" outlineLevel="1">
      <c r="A132" s="299" t="s">
        <v>252</v>
      </c>
      <c r="B132" s="300" t="s">
        <v>253</v>
      </c>
      <c r="C132" s="307" t="str">
        <f t="array" ref="C132">INDEX('転倒'!$C$3:$D115, MATCH($A$1,'転倒'!$A$3:$A$115,0), MATCH(C111,'転倒'!$C$2:$AC$2,0))</f>
        <v>1-5</v>
      </c>
      <c r="D132" s="308">
        <f t="array" ref="D132">INDEX('転倒'!$C$3:$D115, MATCH($A$1,'転倒'!$A$3:$A$115,0), MATCH(D111,'転倒'!$C$2:$AC$2,0))</f>
        <v>29</v>
      </c>
      <c r="E132" s="301"/>
      <c r="F132" s="301"/>
      <c r="G132" s="301"/>
      <c r="H132" s="228"/>
      <c r="I132" s="228"/>
      <c r="J132" s="111"/>
      <c r="K132" s="313" t="str">
        <f>'テンプレート'!K137</f>
        <v>あお向け倒れ</v>
      </c>
      <c r="L132" s="306" t="str">
        <f>'テンプレート'!L137</f>
        <v>モーション大</v>
      </c>
      <c r="M132" s="113">
        <v>39.0</v>
      </c>
      <c r="N132" s="315"/>
      <c r="O132" s="118"/>
      <c r="P132" s="118"/>
      <c r="Q132" s="118"/>
      <c r="R132" s="118"/>
      <c r="S132" s="118"/>
      <c r="T132" s="118"/>
      <c r="U132" s="118"/>
      <c r="V132" s="118"/>
    </row>
    <row r="133" outlineLevel="1">
      <c r="A133" s="146"/>
      <c r="B133" s="300" t="s">
        <v>254</v>
      </c>
      <c r="C133" s="307" t="str">
        <f t="array" ref="C133">INDEX('転倒'!$E$3:$F115, MATCH($A$1,'転倒'!$A$3:$A$115,0), MATCH(C111,'転倒'!$E$2:$AC$2,0))</f>
        <v>1-5</v>
      </c>
      <c r="D133" s="308">
        <f t="array" ref="D133">INDEX('転倒'!$E$3:$F115, MATCH($A$1,'転倒'!$A$3:$A$115,0), MATCH(D111,'転倒'!$E$2:$AC$2,0))</f>
        <v>39</v>
      </c>
      <c r="E133" s="301"/>
      <c r="F133" s="301"/>
      <c r="G133" s="301"/>
      <c r="H133" s="228"/>
      <c r="I133" s="228"/>
      <c r="J133" s="117"/>
      <c r="K133" s="313" t="str">
        <f>'テンプレート'!K138</f>
        <v>うつ伏せ倒れ</v>
      </c>
      <c r="L133" s="306" t="str">
        <f>'テンプレート'!L138</f>
        <v>モーション大</v>
      </c>
      <c r="M133" s="113" t="s">
        <v>118</v>
      </c>
      <c r="N133" s="315"/>
      <c r="O133" s="118"/>
      <c r="P133" s="118"/>
      <c r="Q133" s="118"/>
      <c r="R133" s="118"/>
      <c r="S133" s="118"/>
      <c r="T133" s="118"/>
      <c r="U133" s="118"/>
      <c r="V133" s="118"/>
    </row>
    <row r="134" outlineLevel="1">
      <c r="A134" s="146"/>
      <c r="B134" s="300" t="s">
        <v>216</v>
      </c>
      <c r="C134" s="307" t="str">
        <f t="array" ref="C134">INDEX('転倒'!$G$3:$H$115, MATCH($A$1,'転倒'!$A$3:$A$115,0), MATCH(C111,'転倒'!$G$2:$AC$2,0))</f>
        <v>1-16</v>
      </c>
      <c r="D134" s="308">
        <f t="array" ref="D134">INDEX('転倒'!$G$3:$H$115, MATCH($A$1,'転倒'!$A$3:$A$115,0), MATCH(D111,'転倒'!$G$2:$AC$2,0))</f>
        <v>21</v>
      </c>
      <c r="E134" s="301"/>
      <c r="F134" s="301"/>
      <c r="G134" s="301"/>
      <c r="H134" s="228"/>
      <c r="I134" s="228"/>
      <c r="J134" s="111"/>
      <c r="K134" s="304" t="str">
        <f>'テンプレート'!K139</f>
        <v/>
      </c>
      <c r="L134" s="110"/>
      <c r="M134" s="298" t="str">
        <f>'テンプレート'!M139</f>
        <v/>
      </c>
      <c r="N134" s="102"/>
      <c r="O134" s="118"/>
      <c r="P134" s="118"/>
      <c r="Q134" s="118"/>
      <c r="R134" s="118"/>
      <c r="S134" s="118"/>
      <c r="T134" s="118"/>
      <c r="U134" s="118"/>
      <c r="V134" s="118"/>
    </row>
    <row r="135" outlineLevel="1">
      <c r="A135" s="146"/>
      <c r="B135" s="300" t="s">
        <v>245</v>
      </c>
      <c r="C135" s="307" t="str">
        <f t="array" ref="C135">INDEX('転倒'!$I$3:$J$115, MATCH($A$1,'転倒'!$A$3:$A$115,0), MATCH(C111,'転倒'!$I$2:$AC$2,0))</f>
        <v>1-9</v>
      </c>
      <c r="D135" s="308">
        <f t="array" ref="D135">INDEX('転倒'!$I$3:$J$115, MATCH($A$1,'転倒'!$A$3:$A$115,0), MATCH(D111,'転倒'!$I$2:$AC$2,0))</f>
        <v>28</v>
      </c>
      <c r="E135" s="301"/>
      <c r="F135" s="301"/>
      <c r="G135" s="301"/>
      <c r="H135" s="228"/>
      <c r="I135" s="228"/>
      <c r="J135" s="228"/>
      <c r="K135" s="316"/>
      <c r="L135" s="317" t="str">
        <f>'テンプレート'!L140</f>
        <v/>
      </c>
      <c r="M135" s="113" t="s">
        <v>76</v>
      </c>
      <c r="N135" s="102"/>
      <c r="O135" s="118"/>
      <c r="P135" s="118"/>
      <c r="Q135" s="118"/>
      <c r="R135" s="118"/>
      <c r="S135" s="118"/>
      <c r="T135" s="118"/>
      <c r="U135" s="118"/>
      <c r="V135" s="118"/>
    </row>
    <row r="136" outlineLevel="1">
      <c r="A136" s="146"/>
      <c r="B136" s="300" t="s">
        <v>246</v>
      </c>
      <c r="C136" s="307" t="str">
        <f t="array" ref="C136">INDEX('転倒'!$K$3:$L$115, MATCH($A$1,'転倒'!$A$3:$A$115,0), MATCH(C111,'転倒'!$K$2:$AC$2,0))</f>
        <v>1-9</v>
      </c>
      <c r="D136" s="308">
        <f t="array" ref="D136">INDEX('転倒'!$K$3:$L$115, MATCH($A$1,'転倒'!$A$3:$A$115,0), MATCH(D111,'転倒'!$K$2:$AC$2,0))</f>
        <v>28</v>
      </c>
      <c r="E136" s="301"/>
      <c r="F136" s="301"/>
      <c r="G136" s="301"/>
      <c r="H136" s="228"/>
      <c r="I136" s="228"/>
      <c r="J136" s="228"/>
      <c r="K136" s="318"/>
      <c r="L136" s="118"/>
      <c r="M136" s="118"/>
      <c r="N136" s="102"/>
      <c r="O136" s="118"/>
      <c r="P136" s="118"/>
      <c r="Q136" s="118"/>
      <c r="R136" s="118"/>
      <c r="S136" s="118"/>
      <c r="T136" s="118"/>
      <c r="U136" s="118"/>
      <c r="V136" s="118"/>
    </row>
    <row r="137" outlineLevel="1">
      <c r="A137" s="146"/>
      <c r="B137" s="300" t="s">
        <v>249</v>
      </c>
      <c r="C137" s="309" t="str">
        <f t="array" ref="C137">INDEX('転倒'!$M$3:$P$115, MATCH($A$1,'転倒'!$A$3:$A$115,0), MATCH(C111,'転倒'!$M$2:$AC$2,0))</f>
        <v>1-7</v>
      </c>
      <c r="D137" s="310">
        <f t="array" ref="D137">INDEX('転倒'!$M$3:$P$115, MATCH($A$1,'転倒'!$A$3:$A$115,0), MATCH(D111,'転倒'!$M$2:$AC$2,0))</f>
        <v>49</v>
      </c>
      <c r="E137" s="307" t="str">
        <f t="array" ref="E137">INDEX('転倒'!$M$3:$P$115, MATCH($A$1,'転倒'!$A$3:$A$115,0), MATCH(E111,'転倒'!$M$2:$AC$2,0))</f>
        <v>19-20</v>
      </c>
      <c r="F137" s="308">
        <f t="array" ref="F137">INDEX('転倒'!$M$3:$P$115, MATCH($A$1,'転倒'!$A$3:$A$115,0), MATCH(F111,'転倒'!$M$2:$AC$2,0))</f>
        <v>5</v>
      </c>
      <c r="G137" s="113">
        <f t="shared" ref="G137:G138" si="3">F137*1.2</f>
        <v>6</v>
      </c>
      <c r="H137" s="228"/>
      <c r="I137" s="228"/>
      <c r="J137" s="228"/>
      <c r="K137" s="118"/>
      <c r="L137" s="118"/>
      <c r="M137" s="118"/>
      <c r="N137" s="102"/>
      <c r="O137" s="102"/>
      <c r="P137" s="102"/>
      <c r="Q137" s="102"/>
      <c r="R137" s="118"/>
      <c r="S137" s="118"/>
      <c r="T137" s="118"/>
      <c r="U137" s="118"/>
      <c r="V137" s="118"/>
    </row>
    <row r="138" outlineLevel="1">
      <c r="A138" s="156"/>
      <c r="B138" s="311" t="s">
        <v>250</v>
      </c>
      <c r="C138" s="156"/>
      <c r="D138" s="156"/>
      <c r="E138" s="307" t="str">
        <f t="array" ref="E138">INDEX('転倒'!$Q$3:$R$115, MATCH($A$1,'転倒'!$A$3:$A$115,0), MATCH(E111,'転倒'!$Q$2:$AC$2,0))</f>
        <v>27-28</v>
      </c>
      <c r="F138" s="308">
        <f t="array" ref="F138">INDEX('転倒'!$Q$3:$R$115, MATCH($A$1,'転倒'!$A$3:$A$115,0), MATCH(F111,'転倒'!$Q$2:$AC$2,0))</f>
        <v>5</v>
      </c>
      <c r="G138" s="113">
        <f t="shared" si="3"/>
        <v>6</v>
      </c>
      <c r="H138" s="228"/>
      <c r="I138" s="228"/>
      <c r="J138" s="228"/>
      <c r="K138" s="118"/>
      <c r="L138" s="118"/>
      <c r="M138" s="118"/>
      <c r="N138" s="102"/>
      <c r="O138" s="102"/>
      <c r="P138" s="102"/>
      <c r="Q138" s="102"/>
      <c r="R138" s="118"/>
      <c r="S138" s="118"/>
      <c r="T138" s="118"/>
      <c r="U138" s="118"/>
      <c r="V138" s="118"/>
    </row>
    <row r="139" outlineLevel="1">
      <c r="A139" s="319"/>
      <c r="B139" s="320"/>
      <c r="C139" s="321"/>
      <c r="D139" s="321"/>
      <c r="E139" s="322"/>
      <c r="F139" s="322"/>
      <c r="G139" s="114"/>
      <c r="H139" s="228"/>
      <c r="I139" s="228"/>
      <c r="J139" s="228"/>
      <c r="K139" s="118"/>
      <c r="L139" s="118"/>
      <c r="M139" s="118"/>
      <c r="N139" s="102"/>
      <c r="O139" s="102"/>
      <c r="P139" s="102"/>
      <c r="Q139" s="102"/>
      <c r="R139" s="118"/>
      <c r="S139" s="118"/>
      <c r="T139" s="118"/>
      <c r="U139" s="118"/>
      <c r="V139" s="118"/>
    </row>
    <row r="140" outlineLevel="1">
      <c r="A140" s="323" t="s">
        <v>255</v>
      </c>
      <c r="B140" s="109"/>
      <c r="C140" s="321"/>
      <c r="D140" s="321"/>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256</v>
      </c>
      <c r="B141" s="109"/>
      <c r="C141" s="325" t="s">
        <v>257</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258</v>
      </c>
      <c r="B142" s="327" t="s">
        <v>216</v>
      </c>
      <c r="C142" s="328" t="str">
        <f t="array" ref="C142">INDEX('アイテム'!$C$3:$D$114, MATCH($A$1,'アイテム'!$A$3:$A$114,0), MATCH(C141,'アイテム'!$C$2:$AQ$2,0))</f>
        <v>2</v>
      </c>
      <c r="D142" s="328">
        <f t="array" ref="D142">INDEX('アイテム'!$C$3:$D$114, MATCH($A$1,'アイテム'!$A$3:$A$114,0), MATCH(D141,'アイテム'!$C$2:$AQ$2,0))</f>
        <v>7</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219</v>
      </c>
      <c r="C143" s="328" t="str">
        <f t="array" ref="C143">INDEX('アイテム'!$E$3:$F$114, MATCH($A$1,'アイテム'!$A$3:$A$114,0), MATCH(C141,'アイテム'!$C$2:$AQ$2,0))</f>
        <v>2</v>
      </c>
      <c r="D143" s="328">
        <f t="array" ref="D143">INDEX('アイテム'!$E$3:$F$114, MATCH($A$1,'アイテム'!$A$3:$A$114,0), MATCH(D141,'アイテム'!$C$2:$AQ$2,0))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329" t="s">
        <v>259</v>
      </c>
      <c r="B144" s="327" t="s">
        <v>216</v>
      </c>
      <c r="C144" s="328">
        <f t="array" ref="C144">INDEX('アイテム'!$AA$3:$AB$114, MATCH($A$1,'アイテム'!$A$3:$A$114,0), MATCH(C141,'アイテム'!$C$2:$AQ$2,0))</f>
        <v>3</v>
      </c>
      <c r="D144" s="328" t="str">
        <f t="array" ref="D144">INDEX('アイテム'!$AA$3:$AB$114, MATCH($A$1,'アイテム'!$A$3:$A$114,0), MATCH(D141,'アイテム'!$C$2:$AQ$2,0))</f>
        <v>12</v>
      </c>
      <c r="E144" s="322"/>
      <c r="F144" s="322"/>
      <c r="G144" s="114"/>
      <c r="H144" s="228"/>
      <c r="I144" s="228"/>
      <c r="J144" s="228"/>
      <c r="K144" s="118"/>
      <c r="L144" s="118"/>
      <c r="M144" s="118"/>
      <c r="N144" s="102"/>
      <c r="O144" s="102"/>
      <c r="P144" s="102"/>
      <c r="Q144" s="102"/>
      <c r="R144" s="118"/>
      <c r="S144" s="118"/>
      <c r="T144" s="118"/>
      <c r="U144" s="118"/>
      <c r="V144" s="118"/>
    </row>
    <row r="145" outlineLevel="1">
      <c r="A145" s="324" t="s">
        <v>260</v>
      </c>
      <c r="B145" s="109"/>
      <c r="C145" s="325" t="s">
        <v>261</v>
      </c>
      <c r="D145" s="325" t="s">
        <v>49</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262</v>
      </c>
      <c r="B146" s="327" t="s">
        <v>226</v>
      </c>
      <c r="C146" s="328" t="str">
        <f t="array" ref="C146">INDEX('アイテム'!$G$3:$H$114, MATCH($A$1,'アイテム'!$A$3:$A$114,0), MATCH(C141,'アイテム'!$C$2:$AQ$2,0))</f>
        <v>8</v>
      </c>
      <c r="D146" s="328">
        <f t="array" ref="D146">INDEX('アイテム'!$G$3:$H$114, MATCH($A$1,'アイテム'!$A$3:$A$114,0), MATCH(D141,'アイテム'!$C$2:$AQ$2,0))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229</v>
      </c>
      <c r="C147" s="328" t="str">
        <f t="array" ref="C147">INDEX('アイテム'!$I$3:$J$114, MATCH($A$1,'アイテム'!$A$3:$A$114,0), MATCH(C141,'アイテム'!$C$2:$AQ$2,0))</f>
        <v>11</v>
      </c>
      <c r="D147" s="328">
        <f t="array" ref="D147">INDEX('アイテム'!$I$3:$J$114, MATCH($A$1,'アイテム'!$A$3:$A$114,0), MATCH(D141,'アイテム'!$C$2:$AQ$2,0))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233</v>
      </c>
      <c r="C148" s="328" t="str">
        <f t="array" ref="C148">INDEX('アイテム'!$K$3:$L$114, MATCH($A$1,'アイテム'!$A$3:$A$114,0), MATCH(C141,'アイテム'!$C$2:$AQ$2,0))</f>
        <v>11</v>
      </c>
      <c r="D148" s="328">
        <f t="array" ref="D148">INDEX('アイテム'!$K$3:$L$114, MATCH($A$1,'アイテム'!$A$3:$A$114,0), MATCH(D141,'アイテム'!$C$2:$AQ$2,0))</f>
        <v>23</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234</v>
      </c>
      <c r="C149" s="328" t="str">
        <f t="array" ref="C149">INDEX('アイテム'!$M$3:$N$114, MATCH($A$1,'アイテム'!$A$3:$A$114,0), MATCH(C141,'アイテム'!$C$2:$AQ$2,0))</f>
        <v>7</v>
      </c>
      <c r="D149" s="328">
        <f t="array" ref="D149">INDEX('アイテム'!$M$3:$N$114, MATCH($A$1,'アイテム'!$A$3:$A$114,0), MATCH(D141,'アイテム'!$C$2:$AQ$2,0))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219</v>
      </c>
      <c r="C150" s="328" t="str">
        <f t="array" ref="C150">INDEX('アイテム'!$O$3:$P$114, MATCH($A$1,'アイテム'!$A$3:$A$114,0), MATCH(C141,'アイテム'!$C$2:$AQ$2,0))</f>
        <v>5</v>
      </c>
      <c r="D150" s="328">
        <f t="array" ref="D150">INDEX('アイテム'!$O$3:$P$114, MATCH($A$1,'アイテム'!$A$3:$A$114,0), MATCH(D141,'アイテム'!$C$2:$AQ$2,0))</f>
        <v>29</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263</v>
      </c>
      <c r="C151" s="328" t="str">
        <f t="array" ref="C151">INDEX('アイテム'!$Q$3:$R$114, MATCH($A$1,'アイテム'!$A$3:$A$114,0), MATCH(C141,'アイテム'!$C$2:$AQ$2,0))</f>
        <v>7</v>
      </c>
      <c r="D151" s="328">
        <f t="array" ref="D151">INDEX('アイテム'!$Q$3:$R$114, MATCH($A$1,'アイテム'!$A$3:$A$114,0), MATCH(D141,'アイテム'!$C$2:$AQ$2,0))</f>
        <v>23</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264</v>
      </c>
      <c r="B152" s="327" t="s">
        <v>226</v>
      </c>
      <c r="C152" s="328" t="str">
        <f t="array" ref="C152">INDEX('アイテム'!$S$3:$T$114, MATCH($A$1,'アイテム'!$A$3:$A$114,0), MATCH(C141,'アイテム'!$C$2:$AQ$2,0))</f>
        <v>8</v>
      </c>
      <c r="D152" s="328">
        <f t="array" ref="D152">INDEX('アイテム'!$S$3:$T$114, MATCH($A$1,'アイテム'!$A$3:$A$114,0), MATCH(D141,'アイテム'!$C$2:$AQ$2,0))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t="str">
        <f t="array" ref="C153">INDEX('アイテム'!$U$3:$V$114, MATCH($A$1,'アイテム'!$A$3:$A$114,0), MATCH(C141,'アイテム'!$C$2:$AQ$2,0))</f>
        <v>11</v>
      </c>
      <c r="D153" s="328">
        <f t="array" ref="D153">INDEX('アイテム'!$U$3:$V$114, MATCH($A$1,'アイテム'!$A$3:$A$114,0), MATCH(D141,'アイテム'!$C$2:$AQ$2,0))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t="str">
        <f t="array" ref="C154">INDEX('アイテム'!$W$3:$X$114, MATCH($A$1,'アイテム'!$A$3:$A$114,0), MATCH(C141,'アイテム'!$C$2:$AQ$2,0))</f>
        <v>11</v>
      </c>
      <c r="D154" s="328">
        <f t="array" ref="D154">INDEX('アイテム'!$W$3:$X$114, MATCH($A$1,'アイテム'!$A$3:$A$114,0), MATCH(D141,'アイテム'!$C$2:$AQ$2,0))</f>
        <v>23</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t="str">
        <f t="array" ref="C155">INDEX('アイテム'!$Y$3:$Z$114, MATCH($A$1,'アイテム'!$A$3:$A$114,0), MATCH(C141,'アイテム'!$C$2:$AQ$2,0))</f>
        <v>7</v>
      </c>
      <c r="D155" s="328">
        <f t="array" ref="D155">INDEX('アイテム'!$Y$3:$Z$114, MATCH($A$1,'アイテム'!$A$3:$A$114,0), MATCH(D141,'アイテム'!$C$2:$AQ$2,0))</f>
        <v>19</v>
      </c>
      <c r="E155" s="322"/>
      <c r="F155" s="322"/>
      <c r="G155" s="114"/>
      <c r="H155" s="228"/>
      <c r="I155" s="228"/>
      <c r="J155" s="228"/>
      <c r="K155" s="118"/>
      <c r="L155" s="118"/>
      <c r="M155" s="118"/>
      <c r="N155" s="102"/>
      <c r="O155" s="102"/>
      <c r="P155" s="102"/>
      <c r="Q155" s="102"/>
      <c r="R155" s="118"/>
      <c r="S155" s="118"/>
      <c r="T155" s="118"/>
      <c r="U155" s="118"/>
      <c r="V155" s="118"/>
    </row>
    <row r="156" outlineLevel="1">
      <c r="A156" s="326" t="s">
        <v>265</v>
      </c>
      <c r="B156" s="327" t="s">
        <v>226</v>
      </c>
      <c r="C156" s="328">
        <f t="array" ref="C156">INDEX('アイテム'!$AC$3:$AD$114, MATCH($A$1,'アイテム'!$A$3:$A$114,0), MATCH(C141,'アイテム'!$C$2:$AQ$2,0))</f>
        <v>14</v>
      </c>
      <c r="D156" s="328" t="str">
        <f t="array" ref="D156">INDEX('アイテム'!$AC$3:$AD$114, MATCH($A$1,'アイテム'!$A$3:$A$114,0), MATCH(D141,'アイテム'!$C$2:$AQ$2,0))</f>
        <v>30</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229</v>
      </c>
      <c r="C157" s="328">
        <f t="array" ref="C157">INDEX('アイテム'!$AE$3:$AF$114, MATCH($A$1,'アイテム'!$A$3:$A$114,0), MATCH(C141,'アイテム'!$C$2:$AQ$2,0))</f>
        <v>17</v>
      </c>
      <c r="D157" s="328" t="str">
        <f t="array" ref="D157">INDEX('アイテム'!$AE$3:$AF$114, MATCH($A$1,'アイテム'!$A$3:$A$114,0), MATCH(D141,'アイテム'!$C$2:$AQ$2,0))</f>
        <v>30</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233</v>
      </c>
      <c r="C158" s="328">
        <f t="array" ref="C158">INDEX('アイテム'!$AG$3:$AH$114, MATCH($A$1,'アイテム'!$A$3:$A$114,0), MATCH(C141,'アイテム'!$C$2:$AQ$2,0))</f>
        <v>11</v>
      </c>
      <c r="D158" s="328" t="str">
        <f t="array" ref="D158">INDEX('アイテム'!$AG$3:$AH$114, MATCH($A$1,'アイテム'!$A$3:$A$114,0), MATCH(D141,'アイテム'!$C$2:$AQ$2,0))</f>
        <v>22</v>
      </c>
      <c r="E158" s="322"/>
      <c r="F158" s="322"/>
      <c r="G158" s="114"/>
      <c r="H158" s="228"/>
      <c r="I158" s="228"/>
      <c r="J158" s="228"/>
      <c r="K158" s="118"/>
      <c r="L158" s="118"/>
      <c r="M158" s="118"/>
      <c r="N158" s="102"/>
      <c r="O158" s="102"/>
      <c r="P158" s="102"/>
      <c r="Q158" s="102"/>
      <c r="R158" s="118"/>
      <c r="S158" s="118"/>
      <c r="T158" s="118"/>
      <c r="U158" s="118"/>
      <c r="V158" s="118"/>
    </row>
    <row r="159" outlineLevel="1">
      <c r="A159" s="156"/>
      <c r="B159" s="327" t="s">
        <v>234</v>
      </c>
      <c r="C159" s="328">
        <f t="array" ref="C159">INDEX('アイテム'!$AI$3:$AJ$114, MATCH($A$1,'アイテム'!$A$3:$A$114,0), MATCH(C141,'アイテム'!$C$2:$AQ$2,0))</f>
        <v>12</v>
      </c>
      <c r="D159" s="328" t="str">
        <f t="array" ref="D159">INDEX('アイテム'!$AI$3:$AJ$114, MATCH($A$1,'アイテム'!$A$3:$A$114,0), MATCH(D141,'アイテム'!$C$2:$AQ$2,0))</f>
        <v>22</v>
      </c>
      <c r="E159" s="322"/>
      <c r="F159" s="322"/>
      <c r="G159" s="114"/>
      <c r="H159" s="228"/>
      <c r="I159" s="228"/>
      <c r="J159" s="228"/>
      <c r="K159" s="118"/>
      <c r="L159" s="118"/>
      <c r="M159" s="118"/>
      <c r="N159" s="102"/>
      <c r="O159" s="102"/>
      <c r="P159" s="102"/>
      <c r="Q159" s="102"/>
      <c r="R159" s="118"/>
      <c r="S159" s="118"/>
      <c r="T159" s="118"/>
      <c r="U159" s="118"/>
      <c r="V159" s="118"/>
    </row>
  </sheetData>
  <mergeCells count="142">
    <mergeCell ref="R45:V46"/>
    <mergeCell ref="R47:V47"/>
    <mergeCell ref="I48:I49"/>
    <mergeCell ref="J48:J49"/>
    <mergeCell ref="R48:V49"/>
    <mergeCell ref="J50:J55"/>
    <mergeCell ref="R50:V55"/>
    <mergeCell ref="I50:I55"/>
    <mergeCell ref="I56:I57"/>
    <mergeCell ref="J56:J57"/>
    <mergeCell ref="H60:J60"/>
    <mergeCell ref="H61:J61"/>
    <mergeCell ref="F62:F63"/>
    <mergeCell ref="G62:G63"/>
    <mergeCell ref="U74:U84"/>
    <mergeCell ref="V74:V84"/>
    <mergeCell ref="R56:V57"/>
    <mergeCell ref="U61:U63"/>
    <mergeCell ref="V61:V63"/>
    <mergeCell ref="U65:U66"/>
    <mergeCell ref="V65:V66"/>
    <mergeCell ref="U68:U72"/>
    <mergeCell ref="V68:V72"/>
    <mergeCell ref="H62:J63"/>
    <mergeCell ref="H64:J64"/>
    <mergeCell ref="H65:J66"/>
    <mergeCell ref="H67:J67"/>
    <mergeCell ref="H68:J72"/>
    <mergeCell ref="H73:J73"/>
    <mergeCell ref="H74:J84"/>
    <mergeCell ref="K112:K113"/>
    <mergeCell ref="K115:K120"/>
    <mergeCell ref="K121:K124"/>
    <mergeCell ref="K125:L125"/>
    <mergeCell ref="K127:K130"/>
    <mergeCell ref="K131:L131"/>
    <mergeCell ref="K134:L134"/>
    <mergeCell ref="G92:J92"/>
    <mergeCell ref="G93:J94"/>
    <mergeCell ref="G95:J96"/>
    <mergeCell ref="G97:J98"/>
    <mergeCell ref="G99:J100"/>
    <mergeCell ref="K111:L111"/>
    <mergeCell ref="K114:L114"/>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4:J34"/>
    <mergeCell ref="H35:J37"/>
    <mergeCell ref="U35:U37"/>
    <mergeCell ref="H26:J26"/>
    <mergeCell ref="H27:J27"/>
    <mergeCell ref="H28:J29"/>
    <mergeCell ref="U28:U29"/>
    <mergeCell ref="H30:J32"/>
    <mergeCell ref="U30:U32"/>
    <mergeCell ref="H33:J33"/>
    <mergeCell ref="A38:A39"/>
    <mergeCell ref="D38:D39"/>
    <mergeCell ref="H38:J39"/>
    <mergeCell ref="U38:U39"/>
    <mergeCell ref="A40:A41"/>
    <mergeCell ref="D40:D41"/>
    <mergeCell ref="H40:J41"/>
    <mergeCell ref="U40:U41"/>
    <mergeCell ref="R44:V44"/>
    <mergeCell ref="I45:I46"/>
    <mergeCell ref="J45:J46"/>
    <mergeCell ref="A99:A100"/>
    <mergeCell ref="A102:B103"/>
    <mergeCell ref="A104:A106"/>
    <mergeCell ref="A107:A108"/>
    <mergeCell ref="A110:B111"/>
    <mergeCell ref="A112:A116"/>
    <mergeCell ref="A117:A119"/>
    <mergeCell ref="A152:A155"/>
    <mergeCell ref="A156:A159"/>
    <mergeCell ref="A126:A131"/>
    <mergeCell ref="A132:A138"/>
    <mergeCell ref="A140:B140"/>
    <mergeCell ref="A141:B141"/>
    <mergeCell ref="A142:A143"/>
    <mergeCell ref="A145:B145"/>
    <mergeCell ref="A146:A151"/>
    <mergeCell ref="A24:B25"/>
    <mergeCell ref="A26:A27"/>
    <mergeCell ref="A28:A29"/>
    <mergeCell ref="D28:D29"/>
    <mergeCell ref="A30:A32"/>
    <mergeCell ref="D30:D32"/>
    <mergeCell ref="A35:A37"/>
    <mergeCell ref="D50:D55"/>
    <mergeCell ref="D56:D57"/>
    <mergeCell ref="A43:B44"/>
    <mergeCell ref="A45:A46"/>
    <mergeCell ref="D45:D46"/>
    <mergeCell ref="A48:A49"/>
    <mergeCell ref="D48:D49"/>
    <mergeCell ref="A50:A55"/>
    <mergeCell ref="A56:A57"/>
    <mergeCell ref="A59:B59"/>
    <mergeCell ref="A60:B60"/>
    <mergeCell ref="A61:A63"/>
    <mergeCell ref="E62:E63"/>
    <mergeCell ref="A64:B64"/>
    <mergeCell ref="A65:A66"/>
    <mergeCell ref="A67:B67"/>
    <mergeCell ref="A68:A72"/>
    <mergeCell ref="D68:D72"/>
    <mergeCell ref="A73:B73"/>
    <mergeCell ref="A74:A84"/>
    <mergeCell ref="A86:B87"/>
    <mergeCell ref="A89:A91"/>
    <mergeCell ref="A92:B92"/>
    <mergeCell ref="A93:A94"/>
    <mergeCell ref="D93:D94"/>
    <mergeCell ref="A95:A96"/>
    <mergeCell ref="D95:D96"/>
    <mergeCell ref="A97:A98"/>
    <mergeCell ref="D97:D98"/>
    <mergeCell ref="D99:D100"/>
    <mergeCell ref="A120:A125"/>
    <mergeCell ref="C124:C125"/>
    <mergeCell ref="D124:D125"/>
    <mergeCell ref="C130:C131"/>
    <mergeCell ref="D130:D131"/>
    <mergeCell ref="C137:C138"/>
    <mergeCell ref="D137:D138"/>
  </mergeCells>
  <conditionalFormatting sqref="K1:K15 K17:K60 K62:K73 K85:K135">
    <cfRule type="containsText" dxfId="0" priority="1" operator="containsText" text="361">
      <formula>NOT(ISERROR(SEARCH(("361"),(K1))))</formula>
    </cfRule>
  </conditionalFormatting>
  <conditionalFormatting sqref="K1:K15 K17:K60 K62:K73 K85:K135">
    <cfRule type="containsText" dxfId="1" priority="2" operator="containsText" text="363">
      <formula>NOT(ISERROR(SEARCH(("363"),(K1))))</formula>
    </cfRule>
  </conditionalFormatting>
  <conditionalFormatting sqref="K1:K15 K17:K60 K62:K73 K85:K135">
    <cfRule type="containsText" dxfId="1" priority="3" operator="containsText" text="365">
      <formula>NOT(ISERROR(SEARCH(("365"),(K1))))</formula>
    </cfRule>
  </conditionalFormatting>
  <conditionalFormatting sqref="K1:K15 K17:K60 K62:K73 K85:K135">
    <cfRule type="containsText" dxfId="1" priority="4" operator="containsText" text="366">
      <formula>NOT(ISERROR(SEARCH(("366"),(K1))))</formula>
    </cfRule>
  </conditionalFormatting>
  <conditionalFormatting sqref="K1:K15 K17:K60 K62:K73 K85:K135">
    <cfRule type="containsText" dxfId="1" priority="5" operator="containsText" text="367">
      <formula>NOT(ISERROR(SEARCH(("367"),(K1))))</formula>
    </cfRule>
  </conditionalFormatting>
  <conditionalFormatting sqref="P93:P100">
    <cfRule type="cellIs" dxfId="2" priority="6" operator="equal">
      <formula>"敵のみ"</formula>
    </cfRule>
  </conditionalFormatting>
  <conditionalFormatting sqref="C93:C100">
    <cfRule type="cellIs" dxfId="3" priority="7" operator="equal">
      <formula>"-"</formula>
    </cfRule>
  </conditionalFormatting>
  <conditionalFormatting sqref="O1:O60 O62:O73 O75:O159 P100">
    <cfRule type="cellIs" dxfId="4" priority="8" operator="greaterThan">
      <formula>0</formula>
    </cfRule>
  </conditionalFormatting>
  <conditionalFormatting sqref="P1:Q60 P62:Q73 P75:Q159">
    <cfRule type="cellIs" dxfId="5" priority="9" operator="lessThan">
      <formula>1</formula>
    </cfRule>
  </conditionalFormatting>
  <conditionalFormatting sqref="P1:Q60 P62:Q73 P75:Q159">
    <cfRule type="cellIs" dxfId="4" priority="10" operator="greaterThan">
      <formula>1</formula>
    </cfRule>
  </conditionalFormatting>
  <conditionalFormatting sqref="N25:N60 N62:N73 N85:N100">
    <cfRule type="cellIs" dxfId="6" priority="11" operator="greaterThan">
      <formula>0</formula>
    </cfRule>
  </conditionalFormatting>
  <conditionalFormatting sqref="N1:N15 N17:N60 N62:N73 N85:N159">
    <cfRule type="containsText" dxfId="6" priority="12" operator="containsText" text="/">
      <formula>NOT(ISERROR(SEARCH(("/"),(N1))))</formula>
    </cfRule>
  </conditionalFormatting>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5BF2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938" t="s">
        <v>1282</v>
      </c>
      <c r="B1" s="939"/>
      <c r="C1" s="940" t="str">
        <f>IMAGE(VLOOKUP($A$1,Fighters!A2:AI114,12,FALSE),1)</f>
        <v>#REF!</v>
      </c>
      <c r="D1" s="941"/>
      <c r="E1" s="941"/>
      <c r="F1" s="941"/>
      <c r="G1" s="942"/>
      <c r="H1" s="943"/>
      <c r="I1" s="941"/>
      <c r="J1" s="942"/>
      <c r="K1" s="944"/>
      <c r="L1" s="941"/>
      <c r="M1" s="942"/>
      <c r="N1" s="945"/>
      <c r="O1" s="945"/>
      <c r="P1" s="945"/>
      <c r="Q1" s="945"/>
      <c r="R1" s="946"/>
      <c r="S1" s="946"/>
      <c r="T1" s="946"/>
      <c r="U1" s="946"/>
      <c r="V1" s="946"/>
    </row>
    <row r="2">
      <c r="A2" s="947" t="str">
        <f>VLOOKUP($A$1,Fighters!$A$2:$AI$81,6,FALSE)</f>
        <v>#f5bf2d</v>
      </c>
      <c r="B2" s="939"/>
      <c r="C2" s="948"/>
      <c r="G2" s="949"/>
      <c r="H2" s="950"/>
      <c r="I2" s="951"/>
      <c r="J2" s="952"/>
      <c r="K2" s="950"/>
      <c r="L2" s="951"/>
      <c r="M2" s="952"/>
      <c r="N2" s="945"/>
      <c r="O2" s="945"/>
      <c r="P2" s="945"/>
      <c r="Q2" s="945"/>
      <c r="R2" s="946"/>
      <c r="S2" s="946"/>
      <c r="T2" s="946"/>
      <c r="U2" s="946"/>
      <c r="V2" s="946"/>
    </row>
    <row r="3">
      <c r="A3" s="947" t="str">
        <f>VLOOKUP($A$1,Fighters!$A$2:$AI$81,14,FALSE)</f>
        <v>13'. デイジー</v>
      </c>
      <c r="B3" s="939"/>
      <c r="C3" s="948"/>
      <c r="G3" s="949"/>
      <c r="H3" s="953"/>
      <c r="I3" s="953"/>
      <c r="J3" s="953"/>
      <c r="K3" s="954"/>
      <c r="L3" s="954"/>
      <c r="M3" s="954"/>
      <c r="N3" s="945"/>
      <c r="O3" s="945"/>
      <c r="P3" s="945"/>
      <c r="Q3" s="945"/>
      <c r="R3" s="955"/>
      <c r="S3" s="946"/>
      <c r="T3" s="946"/>
      <c r="U3" s="946"/>
      <c r="V3" s="946"/>
    </row>
    <row r="4">
      <c r="A4" s="947" t="str">
        <f>VLOOKUP($A$1,Fighters!$A$2:$AI$81,13,FALSE)</f>
        <v>0</v>
      </c>
      <c r="B4" s="939"/>
      <c r="C4" s="948"/>
      <c r="G4" s="949"/>
      <c r="H4" s="956"/>
      <c r="I4" s="956"/>
      <c r="J4" s="953"/>
      <c r="K4" s="954"/>
      <c r="L4" s="954"/>
      <c r="M4" s="954"/>
      <c r="N4" s="945"/>
      <c r="O4" s="945"/>
      <c r="P4" s="945"/>
      <c r="Q4" s="945"/>
      <c r="R4" s="955"/>
      <c r="S4" s="946"/>
      <c r="T4" s="946"/>
      <c r="U4" s="946"/>
      <c r="V4" s="946"/>
    </row>
    <row r="5" ht="16.5" customHeight="1">
      <c r="A5" s="938"/>
      <c r="B5" s="939"/>
      <c r="C5" s="948"/>
      <c r="G5" s="949"/>
      <c r="H5" s="957"/>
      <c r="I5" s="957"/>
      <c r="J5" s="958"/>
      <c r="K5" s="959"/>
      <c r="L5" s="960"/>
      <c r="M5" s="960"/>
      <c r="N5" s="945"/>
      <c r="O5" s="945"/>
      <c r="P5" s="945"/>
      <c r="Q5" s="945"/>
      <c r="R5" s="955"/>
      <c r="S5" s="946"/>
      <c r="T5" s="946"/>
      <c r="U5" s="946"/>
      <c r="V5" s="946"/>
    </row>
    <row r="6">
      <c r="A6" s="939"/>
      <c r="B6" s="939"/>
      <c r="C6" s="948"/>
      <c r="G6" s="949"/>
      <c r="H6" s="956"/>
      <c r="I6" s="961" t="s">
        <v>39</v>
      </c>
      <c r="J6" s="959"/>
      <c r="K6" s="962"/>
      <c r="L6" s="960"/>
      <c r="M6" s="960"/>
      <c r="N6" s="945"/>
      <c r="O6" s="945"/>
      <c r="P6" s="945"/>
      <c r="Q6" s="945"/>
      <c r="R6" s="955"/>
      <c r="S6" s="946"/>
      <c r="T6" s="946"/>
      <c r="U6" s="946"/>
      <c r="V6" s="946"/>
    </row>
    <row r="7">
      <c r="A7" s="939"/>
      <c r="B7" s="939"/>
      <c r="C7" s="948"/>
      <c r="G7" s="949"/>
      <c r="H7" s="957"/>
      <c r="I7" s="957"/>
      <c r="J7" s="959"/>
      <c r="K7" s="962"/>
      <c r="L7" s="960"/>
      <c r="M7" s="960"/>
      <c r="N7" s="945"/>
      <c r="O7" s="945"/>
      <c r="P7" s="945"/>
      <c r="Q7" s="945"/>
      <c r="R7" s="955"/>
      <c r="S7" s="946"/>
      <c r="T7" s="946"/>
      <c r="U7" s="946"/>
      <c r="V7" s="946"/>
    </row>
    <row r="8">
      <c r="A8" s="939"/>
      <c r="B8" s="939"/>
      <c r="C8" s="948"/>
      <c r="G8" s="949"/>
      <c r="H8" s="963">
        <v>44379.83357116898</v>
      </c>
      <c r="I8" s="941"/>
      <c r="J8" s="942"/>
      <c r="K8" s="959"/>
      <c r="L8" s="960"/>
      <c r="M8" s="960"/>
      <c r="N8" s="945"/>
      <c r="O8" s="945"/>
      <c r="P8" s="945"/>
      <c r="Q8" s="945"/>
      <c r="R8" s="955"/>
      <c r="S8" s="946"/>
      <c r="T8" s="946"/>
      <c r="U8" s="946"/>
      <c r="V8" s="946"/>
    </row>
    <row r="9">
      <c r="A9" s="939"/>
      <c r="B9" s="939"/>
      <c r="C9" s="948"/>
      <c r="G9" s="949"/>
      <c r="H9" s="950"/>
      <c r="I9" s="951"/>
      <c r="J9" s="952"/>
      <c r="K9" s="946"/>
      <c r="L9" s="945"/>
      <c r="M9" s="945"/>
      <c r="N9" s="945"/>
      <c r="O9" s="945"/>
      <c r="P9" s="945"/>
      <c r="Q9" s="945"/>
      <c r="R9" s="955"/>
      <c r="S9" s="946"/>
      <c r="T9" s="946"/>
      <c r="U9" s="946"/>
      <c r="V9" s="946"/>
    </row>
    <row r="10">
      <c r="A10" s="939"/>
      <c r="B10" s="939"/>
      <c r="C10" s="948"/>
      <c r="G10" s="949"/>
      <c r="H10" s="964"/>
      <c r="I10" s="964"/>
      <c r="J10" s="946"/>
      <c r="K10" s="946"/>
      <c r="L10" s="945"/>
      <c r="M10" s="945"/>
      <c r="N10" s="945"/>
      <c r="O10" s="945"/>
      <c r="P10" s="945"/>
      <c r="Q10" s="945"/>
      <c r="R10" s="955"/>
      <c r="S10" s="946"/>
      <c r="T10" s="946"/>
      <c r="U10" s="946"/>
      <c r="V10" s="946"/>
    </row>
    <row r="11">
      <c r="A11" s="965" t="s">
        <v>40</v>
      </c>
      <c r="B11" s="942"/>
      <c r="C11" s="948"/>
      <c r="G11" s="949"/>
      <c r="H11" s="957"/>
      <c r="I11" s="957"/>
      <c r="J11" s="946"/>
      <c r="K11" s="946"/>
      <c r="L11" s="945"/>
      <c r="M11" s="945"/>
      <c r="N11" s="945"/>
      <c r="O11" s="945"/>
      <c r="P11" s="945"/>
      <c r="Q11" s="945"/>
      <c r="R11" s="955"/>
      <c r="S11" s="946"/>
      <c r="T11" s="946"/>
      <c r="U11" s="946"/>
      <c r="V11" s="946"/>
    </row>
    <row r="12">
      <c r="A12" s="950"/>
      <c r="B12" s="952"/>
      <c r="C12" s="950"/>
      <c r="D12" s="951"/>
      <c r="E12" s="951"/>
      <c r="F12" s="951"/>
      <c r="G12" s="952"/>
      <c r="H12" s="966"/>
      <c r="I12" s="966"/>
      <c r="J12" s="939"/>
      <c r="K12" s="939"/>
      <c r="L12" s="945"/>
      <c r="M12" s="945"/>
      <c r="N12" s="945"/>
      <c r="O12" s="945"/>
      <c r="P12" s="945"/>
      <c r="Q12" s="945"/>
      <c r="R12" s="955"/>
      <c r="S12" s="946"/>
      <c r="T12" s="946"/>
      <c r="U12" s="946"/>
      <c r="V12" s="94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89 [64th]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1.826 [58th]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0.924 [63rd]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57F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0.17391 [13th]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30.03 [66th]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1.595 [60th]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0.111 [36th]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14.5 [66th]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1.029 [48th]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40F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0.12 [2nd]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30.03 [63rd]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1.19 [87th]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1.904 [87th]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 [81st]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176</v>
      </c>
      <c r="D26" s="701" t="s">
        <v>105</v>
      </c>
      <c r="E26" s="139" t="s">
        <v>176</v>
      </c>
      <c r="F26" s="138">
        <v>2.4</v>
      </c>
      <c r="G26" s="139" t="s">
        <v>60</v>
      </c>
      <c r="H26" s="151" t="s">
        <v>1283</v>
      </c>
      <c r="I26" s="110"/>
      <c r="J26" s="109"/>
      <c r="K26" s="138"/>
      <c r="L26" s="282"/>
      <c r="M26" s="363"/>
      <c r="N26" s="363"/>
      <c r="O26" s="145">
        <v>0.0</v>
      </c>
      <c r="P26" s="145">
        <v>1.0</v>
      </c>
      <c r="Q26" s="145">
        <v>1.0</v>
      </c>
      <c r="R26" s="100"/>
      <c r="S26" s="100"/>
      <c r="T26" s="100"/>
      <c r="U26" s="145" t="s">
        <v>69</v>
      </c>
      <c r="V26" s="100"/>
    </row>
    <row r="27" outlineLevel="1">
      <c r="A27" s="156"/>
      <c r="B27" s="147" t="s">
        <v>63</v>
      </c>
      <c r="C27" s="701" t="s">
        <v>64</v>
      </c>
      <c r="D27" s="467" t="s">
        <v>99</v>
      </c>
      <c r="E27" s="216" t="s">
        <v>204</v>
      </c>
      <c r="F27" s="138">
        <v>3.5999999999999996</v>
      </c>
      <c r="G27" s="216" t="s">
        <v>147</v>
      </c>
      <c r="H27" s="159"/>
      <c r="I27" s="110"/>
      <c r="J27" s="109"/>
      <c r="K27" s="282"/>
      <c r="L27" s="282"/>
      <c r="M27" s="363"/>
      <c r="N27" s="363"/>
      <c r="O27" s="145">
        <v>0.0</v>
      </c>
      <c r="P27" s="145">
        <v>1.0</v>
      </c>
      <c r="Q27" s="145">
        <v>1.0</v>
      </c>
      <c r="R27" s="100"/>
      <c r="S27" s="100"/>
      <c r="T27" s="100"/>
      <c r="U27" s="145" t="s">
        <v>76</v>
      </c>
      <c r="V27" s="100"/>
    </row>
    <row r="28" outlineLevel="1">
      <c r="A28" s="133" t="s">
        <v>77</v>
      </c>
      <c r="B28" s="147" t="s">
        <v>125</v>
      </c>
      <c r="C28" s="467" t="s">
        <v>543</v>
      </c>
      <c r="D28" s="455" t="s">
        <v>79</v>
      </c>
      <c r="E28" s="467" t="s">
        <v>73</v>
      </c>
      <c r="F28" s="138">
        <v>4.8</v>
      </c>
      <c r="G28" s="450" t="s">
        <v>88</v>
      </c>
      <c r="H28" s="163" t="s">
        <v>1204</v>
      </c>
      <c r="I28" s="164"/>
      <c r="J28" s="104"/>
      <c r="K28" s="138"/>
      <c r="L28" s="282"/>
      <c r="M28" s="363"/>
      <c r="N28" s="363"/>
      <c r="O28" s="145">
        <v>0.0</v>
      </c>
      <c r="P28" s="145">
        <v>1.0</v>
      </c>
      <c r="Q28" s="145">
        <v>1.0</v>
      </c>
      <c r="R28" s="100"/>
      <c r="S28" s="100"/>
      <c r="T28" s="100"/>
      <c r="U28" s="166" t="s">
        <v>69</v>
      </c>
      <c r="V28" s="100"/>
    </row>
    <row r="29" outlineLevel="1">
      <c r="A29" s="156"/>
      <c r="B29" s="147" t="s">
        <v>131</v>
      </c>
      <c r="C29" s="467" t="s">
        <v>894</v>
      </c>
      <c r="D29" s="107"/>
      <c r="E29" s="467" t="s">
        <v>86</v>
      </c>
      <c r="F29" s="138">
        <v>7.199999999999999</v>
      </c>
      <c r="G29" s="467" t="s">
        <v>102</v>
      </c>
      <c r="H29" s="106"/>
      <c r="I29" s="168"/>
      <c r="J29" s="107"/>
      <c r="K29" s="282"/>
      <c r="L29" s="282"/>
      <c r="M29" s="363"/>
      <c r="N29" s="363"/>
      <c r="O29" s="145">
        <v>0.0</v>
      </c>
      <c r="P29" s="145">
        <v>1.0</v>
      </c>
      <c r="Q29" s="145">
        <v>1.0</v>
      </c>
      <c r="R29" s="100"/>
      <c r="S29" s="100"/>
      <c r="T29" s="100"/>
      <c r="U29" s="156"/>
      <c r="V29" s="100"/>
    </row>
    <row r="30" outlineLevel="1">
      <c r="A30" s="133" t="s">
        <v>89</v>
      </c>
      <c r="B30" s="147" t="s">
        <v>152</v>
      </c>
      <c r="C30" s="467" t="s">
        <v>93</v>
      </c>
      <c r="D30" s="455" t="s">
        <v>224</v>
      </c>
      <c r="E30" s="467" t="s">
        <v>93</v>
      </c>
      <c r="F30" s="138">
        <v>8.4</v>
      </c>
      <c r="G30" s="467" t="s">
        <v>95</v>
      </c>
      <c r="H30" s="456"/>
      <c r="I30" s="164"/>
      <c r="J30" s="104"/>
      <c r="K30" s="138"/>
      <c r="L30" s="282"/>
      <c r="M30" s="363"/>
      <c r="N30" s="363"/>
      <c r="O30" s="145">
        <v>0.0</v>
      </c>
      <c r="P30" s="145">
        <v>1.0</v>
      </c>
      <c r="Q30" s="145">
        <v>1.0</v>
      </c>
      <c r="R30" s="100"/>
      <c r="S30" s="100"/>
      <c r="T30" s="100"/>
      <c r="U30" s="166" t="s">
        <v>96</v>
      </c>
      <c r="V30" s="100"/>
    </row>
    <row r="31" outlineLevel="1">
      <c r="A31" s="146"/>
      <c r="B31" s="147"/>
      <c r="C31" s="467" t="s">
        <v>518</v>
      </c>
      <c r="D31" s="210"/>
      <c r="E31" s="467" t="s">
        <v>1205</v>
      </c>
      <c r="F31" s="138" t="s">
        <v>1206</v>
      </c>
      <c r="G31" s="467" t="s">
        <v>1207</v>
      </c>
      <c r="H31" s="212"/>
      <c r="J31" s="210"/>
      <c r="K31" s="138"/>
      <c r="L31" s="282"/>
      <c r="M31" s="363"/>
      <c r="N31" s="363"/>
      <c r="O31" s="145">
        <v>0.0</v>
      </c>
      <c r="P31" s="145">
        <v>1.0</v>
      </c>
      <c r="Q31" s="145">
        <v>1.0</v>
      </c>
      <c r="R31" s="100"/>
      <c r="S31" s="100"/>
      <c r="T31" s="100"/>
      <c r="U31" s="146"/>
      <c r="V31" s="100"/>
    </row>
    <row r="32" outlineLevel="1">
      <c r="A32" s="156"/>
      <c r="B32" s="147" t="s">
        <v>84</v>
      </c>
      <c r="C32" s="467" t="s">
        <v>1208</v>
      </c>
      <c r="D32" s="107"/>
      <c r="E32" s="467" t="s">
        <v>86</v>
      </c>
      <c r="F32" s="138">
        <v>7.199999999999999</v>
      </c>
      <c r="G32" s="467" t="s">
        <v>102</v>
      </c>
      <c r="H32" s="106"/>
      <c r="I32" s="168"/>
      <c r="J32" s="107"/>
      <c r="K32" s="138"/>
      <c r="L32" s="282"/>
      <c r="M32" s="363"/>
      <c r="N32" s="363"/>
      <c r="O32" s="145">
        <v>0.0</v>
      </c>
      <c r="P32" s="145">
        <v>1.0</v>
      </c>
      <c r="Q32" s="145">
        <v>1.0</v>
      </c>
      <c r="R32" s="100"/>
      <c r="S32" s="100"/>
      <c r="T32" s="100"/>
      <c r="U32" s="156"/>
      <c r="V32" s="100"/>
    </row>
    <row r="33" outlineLevel="1">
      <c r="A33" s="170" t="s">
        <v>97</v>
      </c>
      <c r="B33" s="160"/>
      <c r="C33" s="467" t="s">
        <v>505</v>
      </c>
      <c r="D33" s="467" t="s">
        <v>79</v>
      </c>
      <c r="E33" s="467" t="s">
        <v>1209</v>
      </c>
      <c r="F33" s="138" t="s">
        <v>1210</v>
      </c>
      <c r="G33" s="467" t="s">
        <v>1211</v>
      </c>
      <c r="H33" s="151" t="s">
        <v>1284</v>
      </c>
      <c r="I33" s="110"/>
      <c r="J33" s="109"/>
      <c r="K33" s="282"/>
      <c r="L33" s="282"/>
      <c r="M33" s="363"/>
      <c r="N33" s="363"/>
      <c r="O33" s="145">
        <v>0.0</v>
      </c>
      <c r="P33" s="145">
        <v>1.0</v>
      </c>
      <c r="Q33" s="145">
        <v>1.0</v>
      </c>
      <c r="R33" s="100"/>
      <c r="S33" s="100"/>
      <c r="T33" s="100"/>
      <c r="U33" s="145" t="s">
        <v>62</v>
      </c>
      <c r="V33" s="100"/>
    </row>
    <row r="34" outlineLevel="1">
      <c r="A34" s="170" t="s">
        <v>103</v>
      </c>
      <c r="B34" s="160"/>
      <c r="C34" s="216" t="s">
        <v>518</v>
      </c>
      <c r="D34" s="216" t="s">
        <v>173</v>
      </c>
      <c r="E34" s="216" t="s">
        <v>93</v>
      </c>
      <c r="F34" s="138">
        <v>8.4</v>
      </c>
      <c r="G34" s="216" t="s">
        <v>95</v>
      </c>
      <c r="H34" s="140"/>
      <c r="I34" s="110"/>
      <c r="J34" s="109"/>
      <c r="K34" s="145"/>
      <c r="L34" s="363"/>
      <c r="M34" s="363"/>
      <c r="N34" s="363"/>
      <c r="O34" s="145">
        <v>0.0</v>
      </c>
      <c r="P34" s="145">
        <v>1.0</v>
      </c>
      <c r="Q34" s="145">
        <v>1.0</v>
      </c>
      <c r="R34" s="100"/>
      <c r="S34" s="100"/>
      <c r="T34" s="100"/>
      <c r="U34" s="145" t="s">
        <v>69</v>
      </c>
      <c r="V34" s="100"/>
    </row>
    <row r="35" outlineLevel="1">
      <c r="A35" s="133" t="s">
        <v>109</v>
      </c>
      <c r="B35" s="147" t="s">
        <v>1213</v>
      </c>
      <c r="C35" s="216" t="s">
        <v>460</v>
      </c>
      <c r="D35" s="216" t="s">
        <v>146</v>
      </c>
      <c r="E35" s="216" t="s">
        <v>466</v>
      </c>
      <c r="F35" s="138">
        <v>21.599999999999998</v>
      </c>
      <c r="G35" s="216" t="s">
        <v>407</v>
      </c>
      <c r="H35" s="283" t="s">
        <v>1214</v>
      </c>
      <c r="I35" s="164"/>
      <c r="J35" s="104"/>
      <c r="K35" s="282"/>
      <c r="L35" s="282"/>
      <c r="M35" s="363"/>
      <c r="N35" s="363"/>
      <c r="O35" s="145">
        <v>0.0</v>
      </c>
      <c r="P35" s="145">
        <v>1.0</v>
      </c>
      <c r="Q35" s="145">
        <v>1.0</v>
      </c>
      <c r="R35" s="100"/>
      <c r="S35" s="100"/>
      <c r="T35" s="100"/>
      <c r="U35" s="166" t="s">
        <v>95</v>
      </c>
      <c r="V35" s="100"/>
    </row>
    <row r="36" outlineLevel="1">
      <c r="A36" s="146"/>
      <c r="B36" s="147" t="s">
        <v>1215</v>
      </c>
      <c r="C36" s="216" t="s">
        <v>460</v>
      </c>
      <c r="D36" s="216" t="s">
        <v>146</v>
      </c>
      <c r="E36" s="216" t="s">
        <v>386</v>
      </c>
      <c r="F36" s="138">
        <v>18.0</v>
      </c>
      <c r="G36" s="216" t="s">
        <v>121</v>
      </c>
      <c r="H36" s="212"/>
      <c r="J36" s="210"/>
      <c r="K36" s="282"/>
      <c r="L36" s="282"/>
      <c r="M36" s="363"/>
      <c r="N36" s="363"/>
      <c r="O36" s="145">
        <v>0.0</v>
      </c>
      <c r="P36" s="145">
        <v>1.0</v>
      </c>
      <c r="Q36" s="145">
        <v>1.0</v>
      </c>
      <c r="R36" s="100"/>
      <c r="S36" s="100"/>
      <c r="T36" s="100"/>
      <c r="U36" s="146"/>
      <c r="V36" s="100"/>
    </row>
    <row r="37" outlineLevel="1">
      <c r="A37" s="156"/>
      <c r="B37" s="147" t="s">
        <v>1216</v>
      </c>
      <c r="C37" s="216" t="s">
        <v>460</v>
      </c>
      <c r="D37" s="216" t="s">
        <v>146</v>
      </c>
      <c r="E37" s="216" t="s">
        <v>1217</v>
      </c>
      <c r="F37" s="138">
        <v>16.2</v>
      </c>
      <c r="G37" s="216" t="s">
        <v>275</v>
      </c>
      <c r="H37" s="106"/>
      <c r="I37" s="168"/>
      <c r="J37" s="107"/>
      <c r="K37" s="282"/>
      <c r="L37" s="282"/>
      <c r="M37" s="363"/>
      <c r="N37" s="363"/>
      <c r="O37" s="145">
        <v>0.0</v>
      </c>
      <c r="P37" s="145">
        <v>1.0</v>
      </c>
      <c r="Q37" s="145">
        <v>1.0</v>
      </c>
      <c r="R37" s="100"/>
      <c r="S37" s="100"/>
      <c r="T37" s="100"/>
      <c r="U37" s="156"/>
      <c r="V37" s="100"/>
    </row>
    <row r="38" ht="20.25" customHeight="1" outlineLevel="1">
      <c r="A38" s="133" t="s">
        <v>116</v>
      </c>
      <c r="B38" s="160"/>
      <c r="C38" s="467" t="s">
        <v>325</v>
      </c>
      <c r="D38" s="455" t="s">
        <v>393</v>
      </c>
      <c r="E38" s="467" t="s">
        <v>1218</v>
      </c>
      <c r="F38" s="138" t="s">
        <v>1219</v>
      </c>
      <c r="G38" s="467" t="s">
        <v>1220</v>
      </c>
      <c r="H38" s="175" t="s">
        <v>1221</v>
      </c>
      <c r="I38" s="164"/>
      <c r="J38" s="104"/>
      <c r="K38" s="363"/>
      <c r="L38" s="363"/>
      <c r="M38" s="363"/>
      <c r="N38" s="363"/>
      <c r="O38" s="145">
        <v>4.0</v>
      </c>
      <c r="P38" s="145">
        <v>1.0</v>
      </c>
      <c r="Q38" s="145">
        <v>1.0</v>
      </c>
      <c r="R38" s="100"/>
      <c r="S38" s="100"/>
      <c r="T38" s="100"/>
      <c r="U38" s="166" t="s">
        <v>62</v>
      </c>
      <c r="V38" s="100"/>
    </row>
    <row r="39" ht="20.25" customHeight="1" outlineLevel="1">
      <c r="A39" s="156"/>
      <c r="B39" s="147" t="s">
        <v>84</v>
      </c>
      <c r="C39" s="216" t="s">
        <v>156</v>
      </c>
      <c r="D39" s="107"/>
      <c r="E39" s="467" t="s">
        <v>1222</v>
      </c>
      <c r="F39" s="138" t="s">
        <v>1223</v>
      </c>
      <c r="G39" s="467" t="s">
        <v>1224</v>
      </c>
      <c r="H39" s="106"/>
      <c r="I39" s="168"/>
      <c r="J39" s="107"/>
      <c r="K39" s="363"/>
      <c r="L39" s="363"/>
      <c r="M39" s="363"/>
      <c r="N39" s="363"/>
      <c r="O39" s="145">
        <v>4.0</v>
      </c>
      <c r="P39" s="145">
        <v>1.0</v>
      </c>
      <c r="Q39" s="145">
        <v>1.0</v>
      </c>
      <c r="R39" s="100"/>
      <c r="S39" s="100"/>
      <c r="T39" s="100"/>
      <c r="U39" s="156"/>
      <c r="V39" s="100"/>
    </row>
    <row r="40" outlineLevel="1">
      <c r="A40" s="133" t="s">
        <v>124</v>
      </c>
      <c r="B40" s="147" t="s">
        <v>655</v>
      </c>
      <c r="C40" s="216" t="s">
        <v>1225</v>
      </c>
      <c r="D40" s="455" t="s">
        <v>289</v>
      </c>
      <c r="E40" s="216" t="s">
        <v>176</v>
      </c>
      <c r="F40" s="138">
        <v>2.4</v>
      </c>
      <c r="G40" s="467" t="s">
        <v>60</v>
      </c>
      <c r="H40" s="163" t="s">
        <v>130</v>
      </c>
      <c r="I40" s="164"/>
      <c r="J40" s="104"/>
      <c r="K40" s="282"/>
      <c r="L40" s="282"/>
      <c r="M40" s="363"/>
      <c r="N40" s="363"/>
      <c r="O40" s="145">
        <v>0.0</v>
      </c>
      <c r="P40" s="145">
        <v>1.0</v>
      </c>
      <c r="Q40" s="145">
        <v>1.0</v>
      </c>
      <c r="R40" s="100"/>
      <c r="S40" s="100"/>
      <c r="T40" s="100"/>
      <c r="U40" s="166" t="s">
        <v>62</v>
      </c>
      <c r="V40" s="100"/>
    </row>
    <row r="41" outlineLevel="1">
      <c r="A41" s="156"/>
      <c r="B41" s="147" t="s">
        <v>365</v>
      </c>
      <c r="C41" s="216" t="s">
        <v>574</v>
      </c>
      <c r="D41" s="107"/>
      <c r="E41" s="467" t="s">
        <v>204</v>
      </c>
      <c r="F41" s="138">
        <v>3.5999999999999996</v>
      </c>
      <c r="G41" s="467" t="s">
        <v>60</v>
      </c>
      <c r="H41" s="106"/>
      <c r="I41" s="168"/>
      <c r="J41" s="107"/>
      <c r="K41" s="282"/>
      <c r="L41" s="282"/>
      <c r="M41" s="363"/>
      <c r="N41" s="363"/>
      <c r="O41" s="145">
        <v>0.0</v>
      </c>
      <c r="P41" s="145">
        <v>1.0</v>
      </c>
      <c r="Q41" s="145">
        <v>1.0</v>
      </c>
      <c r="R41" s="100"/>
      <c r="S41" s="100"/>
      <c r="T41" s="100"/>
      <c r="U41" s="156"/>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372" t="str">
        <f>'テンプレート'!R56</f>
        <v>備考</v>
      </c>
      <c r="S44" s="110"/>
      <c r="T44" s="110"/>
      <c r="U44" s="110"/>
      <c r="V44" s="110"/>
    </row>
    <row r="45" outlineLevel="1">
      <c r="A45" s="188" t="s">
        <v>144</v>
      </c>
      <c r="B45" s="373"/>
      <c r="C45" s="239" t="s">
        <v>713</v>
      </c>
      <c r="D45" s="452" t="s">
        <v>541</v>
      </c>
      <c r="E45" s="401" t="s">
        <v>228</v>
      </c>
      <c r="F45" s="193">
        <v>15.6</v>
      </c>
      <c r="G45" s="193">
        <v>13.26</v>
      </c>
      <c r="H45" s="138" t="s">
        <v>75</v>
      </c>
      <c r="I45" s="454" t="str">
        <f t="array" ref="I45">INDEX('空中攻撃'!$O$3:$AA$109, MATCH($A$1,'空中攻撃'!$A$3:$A$109,0), MATCH(A45,'空中攻撃'!$O$2:$S$2,0))</f>
        <v>7</v>
      </c>
      <c r="J45" s="455" t="s">
        <v>1226</v>
      </c>
      <c r="K45" s="138"/>
      <c r="L45" s="282"/>
      <c r="M45" s="363"/>
      <c r="N45" s="363"/>
      <c r="O45" s="145">
        <v>0.0</v>
      </c>
      <c r="P45" s="145">
        <v>1.0</v>
      </c>
      <c r="Q45" s="145">
        <v>1.0</v>
      </c>
      <c r="R45" s="619"/>
      <c r="S45" s="164"/>
      <c r="T45" s="164"/>
      <c r="U45" s="164"/>
      <c r="V45" s="104"/>
    </row>
    <row r="46" outlineLevel="1">
      <c r="A46" s="156"/>
      <c r="B46" s="373" t="s">
        <v>84</v>
      </c>
      <c r="C46" s="239" t="s">
        <v>1227</v>
      </c>
      <c r="D46" s="107"/>
      <c r="E46" s="239" t="s">
        <v>911</v>
      </c>
      <c r="F46" s="193" t="s">
        <v>912</v>
      </c>
      <c r="G46" s="193" t="s">
        <v>913</v>
      </c>
      <c r="H46" s="138" t="s">
        <v>914</v>
      </c>
      <c r="I46" s="156"/>
      <c r="J46" s="107"/>
      <c r="K46" s="138"/>
      <c r="L46" s="282"/>
      <c r="M46" s="363"/>
      <c r="N46" s="363"/>
      <c r="O46" s="145">
        <v>0.0</v>
      </c>
      <c r="P46" s="145">
        <v>1.0</v>
      </c>
      <c r="Q46" s="145">
        <v>1.0</v>
      </c>
      <c r="R46" s="106"/>
      <c r="S46" s="168"/>
      <c r="T46" s="168"/>
      <c r="U46" s="168"/>
      <c r="V46" s="107"/>
    </row>
    <row r="47" outlineLevel="1">
      <c r="A47" s="213" t="s">
        <v>151</v>
      </c>
      <c r="B47" s="373"/>
      <c r="C47" s="239" t="s">
        <v>645</v>
      </c>
      <c r="D47" s="774">
        <v>57.0</v>
      </c>
      <c r="E47" s="239" t="s">
        <v>1228</v>
      </c>
      <c r="F47" s="193" t="s">
        <v>1229</v>
      </c>
      <c r="G47" s="193" t="s">
        <v>1230</v>
      </c>
      <c r="H47" s="138" t="s">
        <v>318</v>
      </c>
      <c r="I47" s="621" t="str">
        <f t="array" ref="I47">INDEX('空中攻撃'!$O$3:$AA$109, MATCH($A$1,'空中攻撃'!$A$3:$A$109,0), MATCH(A47,'空中攻撃'!$O$2:$S$2,0))</f>
        <v>13</v>
      </c>
      <c r="J47" s="467" t="s">
        <v>738</v>
      </c>
      <c r="K47" s="138"/>
      <c r="L47" s="282"/>
      <c r="M47" s="363"/>
      <c r="N47" s="363"/>
      <c r="O47" s="145">
        <v>0.0</v>
      </c>
      <c r="P47" s="145">
        <v>1.0</v>
      </c>
      <c r="Q47" s="145">
        <v>1.0</v>
      </c>
      <c r="R47" s="622"/>
      <c r="S47" s="110"/>
      <c r="T47" s="110"/>
      <c r="U47" s="110"/>
      <c r="V47" s="109"/>
    </row>
    <row r="48" outlineLevel="1">
      <c r="A48" s="188" t="s">
        <v>157</v>
      </c>
      <c r="B48" s="373"/>
      <c r="C48" s="239" t="s">
        <v>217</v>
      </c>
      <c r="D48" s="452">
        <v>53.0</v>
      </c>
      <c r="E48" s="239" t="s">
        <v>129</v>
      </c>
      <c r="F48" s="193">
        <v>14.399999999999999</v>
      </c>
      <c r="G48" s="193">
        <v>12.24</v>
      </c>
      <c r="H48" s="138" t="s">
        <v>75</v>
      </c>
      <c r="I48" s="454">
        <f t="array" ref="I48">INDEX('空中攻撃'!$O$3:$AA$109, MATCH($A$1,'空中攻撃'!$A$3:$A$109,0), MATCH(A48,'空中攻撃'!$O$2:$S$2,0))</f>
        <v>11</v>
      </c>
      <c r="J48" s="455" t="s">
        <v>1231</v>
      </c>
      <c r="K48" s="138"/>
      <c r="L48" s="282"/>
      <c r="M48" s="363"/>
      <c r="N48" s="363"/>
      <c r="O48" s="145">
        <v>0.0</v>
      </c>
      <c r="P48" s="145">
        <v>1.0</v>
      </c>
      <c r="Q48" s="145">
        <v>1.0</v>
      </c>
      <c r="R48" s="619"/>
      <c r="S48" s="164"/>
      <c r="T48" s="164"/>
      <c r="U48" s="164"/>
      <c r="V48" s="104"/>
    </row>
    <row r="49" outlineLevel="1">
      <c r="A49" s="156"/>
      <c r="B49" s="373" t="s">
        <v>84</v>
      </c>
      <c r="C49" s="239" t="s">
        <v>741</v>
      </c>
      <c r="D49" s="107"/>
      <c r="E49" s="239" t="s">
        <v>93</v>
      </c>
      <c r="F49" s="193">
        <v>8.4</v>
      </c>
      <c r="G49" s="193">
        <v>7.140000000000001</v>
      </c>
      <c r="H49" s="138" t="s">
        <v>60</v>
      </c>
      <c r="I49" s="156"/>
      <c r="J49" s="107"/>
      <c r="K49" s="138"/>
      <c r="L49" s="282"/>
      <c r="M49" s="363"/>
      <c r="N49" s="363"/>
      <c r="O49" s="145">
        <v>0.0</v>
      </c>
      <c r="P49" s="145">
        <v>1.0</v>
      </c>
      <c r="Q49" s="145">
        <v>1.0</v>
      </c>
      <c r="R49" s="106"/>
      <c r="S49" s="168"/>
      <c r="T49" s="168"/>
      <c r="U49" s="168"/>
      <c r="V49" s="107"/>
    </row>
    <row r="50" outlineLevel="1">
      <c r="A50" s="188" t="s">
        <v>162</v>
      </c>
      <c r="B50" s="373" t="s">
        <v>125</v>
      </c>
      <c r="C50" s="239" t="s">
        <v>128</v>
      </c>
      <c r="D50" s="452" t="s">
        <v>146</v>
      </c>
      <c r="E50" s="239" t="s">
        <v>73</v>
      </c>
      <c r="F50" s="193">
        <v>4.8</v>
      </c>
      <c r="G50" s="193">
        <v>4.08</v>
      </c>
      <c r="H50" s="138" t="s">
        <v>60</v>
      </c>
      <c r="I50" s="454" t="str">
        <f t="array" ref="I50">INDEX('空中攻撃'!$O$3:$AA$109, MATCH($A$1,'空中攻撃'!$A$3:$A$109,0), MATCH(A50,'空中攻撃'!$O$2:$S$2,0))</f>
        <v>7</v>
      </c>
      <c r="J50" s="455" t="s">
        <v>1232</v>
      </c>
      <c r="K50" s="282"/>
      <c r="L50" s="282"/>
      <c r="M50" s="363"/>
      <c r="N50" s="363"/>
      <c r="O50" s="145">
        <v>0.0</v>
      </c>
      <c r="P50" s="145">
        <v>1.2</v>
      </c>
      <c r="Q50" s="145">
        <v>0.5</v>
      </c>
      <c r="R50" s="619"/>
      <c r="S50" s="164"/>
      <c r="T50" s="164"/>
      <c r="U50" s="164"/>
      <c r="V50" s="104"/>
    </row>
    <row r="51" outlineLevel="1">
      <c r="A51" s="146"/>
      <c r="B51" s="373" t="s">
        <v>1233</v>
      </c>
      <c r="C51" s="239" t="s">
        <v>232</v>
      </c>
      <c r="D51" s="210"/>
      <c r="E51" s="239" t="s">
        <v>73</v>
      </c>
      <c r="F51" s="193">
        <v>4.8</v>
      </c>
      <c r="G51" s="193">
        <v>4.08</v>
      </c>
      <c r="H51" s="138" t="s">
        <v>60</v>
      </c>
      <c r="I51" s="146"/>
      <c r="J51" s="210"/>
      <c r="K51" s="282"/>
      <c r="L51" s="282"/>
      <c r="M51" s="363"/>
      <c r="N51" s="363"/>
      <c r="O51" s="145">
        <v>0.0</v>
      </c>
      <c r="P51" s="145">
        <v>1.2</v>
      </c>
      <c r="Q51" s="145">
        <v>0.5</v>
      </c>
      <c r="R51" s="212"/>
      <c r="V51" s="210"/>
    </row>
    <row r="52" outlineLevel="1">
      <c r="A52" s="146"/>
      <c r="B52" s="373" t="s">
        <v>1234</v>
      </c>
      <c r="C52" s="239" t="s">
        <v>373</v>
      </c>
      <c r="D52" s="210"/>
      <c r="E52" s="239" t="s">
        <v>73</v>
      </c>
      <c r="F52" s="193">
        <v>4.8</v>
      </c>
      <c r="G52" s="193">
        <v>4.08</v>
      </c>
      <c r="H52" s="138" t="s">
        <v>60</v>
      </c>
      <c r="I52" s="146"/>
      <c r="J52" s="210"/>
      <c r="K52" s="282"/>
      <c r="L52" s="282"/>
      <c r="M52" s="363"/>
      <c r="N52" s="363"/>
      <c r="O52" s="145">
        <v>0.0</v>
      </c>
      <c r="P52" s="145">
        <v>1.2</v>
      </c>
      <c r="Q52" s="145">
        <v>0.5</v>
      </c>
      <c r="R52" s="212"/>
      <c r="V52" s="210"/>
    </row>
    <row r="53" outlineLevel="1">
      <c r="A53" s="146"/>
      <c r="B53" s="373" t="s">
        <v>131</v>
      </c>
      <c r="C53" s="239" t="s">
        <v>386</v>
      </c>
      <c r="D53" s="210"/>
      <c r="E53" s="239" t="s">
        <v>86</v>
      </c>
      <c r="F53" s="193">
        <v>7.199999999999999</v>
      </c>
      <c r="G53" s="193">
        <v>6.12</v>
      </c>
      <c r="H53" s="138" t="s">
        <v>60</v>
      </c>
      <c r="I53" s="146"/>
      <c r="J53" s="210"/>
      <c r="K53" s="282"/>
      <c r="L53" s="282"/>
      <c r="M53" s="363"/>
      <c r="N53" s="363"/>
      <c r="O53" s="145">
        <v>0.0</v>
      </c>
      <c r="P53" s="145">
        <v>1.0</v>
      </c>
      <c r="Q53" s="145">
        <v>1.0</v>
      </c>
      <c r="R53" s="212"/>
      <c r="V53" s="210"/>
    </row>
    <row r="54" outlineLevel="1">
      <c r="A54" s="146"/>
      <c r="B54" s="373" t="s">
        <v>1235</v>
      </c>
      <c r="C54" s="239" t="s">
        <v>454</v>
      </c>
      <c r="D54" s="210"/>
      <c r="E54" s="239" t="s">
        <v>86</v>
      </c>
      <c r="F54" s="193">
        <v>7.199999999999999</v>
      </c>
      <c r="G54" s="193">
        <v>6.12</v>
      </c>
      <c r="H54" s="138" t="s">
        <v>60</v>
      </c>
      <c r="I54" s="146"/>
      <c r="J54" s="210"/>
      <c r="K54" s="282"/>
      <c r="L54" s="282"/>
      <c r="M54" s="363"/>
      <c r="N54" s="363"/>
      <c r="O54" s="145"/>
      <c r="P54" s="145"/>
      <c r="Q54" s="145"/>
      <c r="R54" s="212"/>
      <c r="V54" s="210"/>
    </row>
    <row r="55" outlineLevel="1">
      <c r="A55" s="156"/>
      <c r="B55" s="373" t="s">
        <v>1234</v>
      </c>
      <c r="C55" s="239" t="s">
        <v>653</v>
      </c>
      <c r="D55" s="107"/>
      <c r="E55" s="239" t="s">
        <v>86</v>
      </c>
      <c r="F55" s="193">
        <v>7.199999999999999</v>
      </c>
      <c r="G55" s="193">
        <v>6.12</v>
      </c>
      <c r="H55" s="138" t="s">
        <v>60</v>
      </c>
      <c r="I55" s="156"/>
      <c r="J55" s="107"/>
      <c r="K55" s="282"/>
      <c r="L55" s="282"/>
      <c r="M55" s="363"/>
      <c r="N55" s="363"/>
      <c r="O55" s="145">
        <v>0.0</v>
      </c>
      <c r="P55" s="145">
        <v>1.0</v>
      </c>
      <c r="Q55" s="145">
        <v>1.0</v>
      </c>
      <c r="R55" s="106"/>
      <c r="S55" s="168"/>
      <c r="T55" s="168"/>
      <c r="U55" s="168"/>
      <c r="V55" s="107"/>
    </row>
    <row r="56" outlineLevel="1">
      <c r="A56" s="188" t="s">
        <v>166</v>
      </c>
      <c r="B56" s="373" t="s">
        <v>903</v>
      </c>
      <c r="C56" s="239" t="s">
        <v>1236</v>
      </c>
      <c r="D56" s="452">
        <v>38.0</v>
      </c>
      <c r="E56" s="239" t="s">
        <v>1237</v>
      </c>
      <c r="F56" s="193" t="s">
        <v>1238</v>
      </c>
      <c r="G56" s="193" t="s">
        <v>1239</v>
      </c>
      <c r="H56" s="138" t="s">
        <v>931</v>
      </c>
      <c r="I56" s="454">
        <f t="array" ref="I56">INDEX('空中攻撃'!$O$3:$AA$109, MATCH($A$1,'空中攻撃'!$A$3:$A$109,0), MATCH(A56,'空中攻撃'!$O$2:$S$2,0))</f>
        <v>8</v>
      </c>
      <c r="J56" s="455" t="s">
        <v>1240</v>
      </c>
      <c r="K56" s="282"/>
      <c r="L56" s="282"/>
      <c r="M56" s="363"/>
      <c r="N56" s="363"/>
      <c r="O56" s="145">
        <v>0.0</v>
      </c>
      <c r="P56" s="145">
        <v>1.0</v>
      </c>
      <c r="Q56" s="145">
        <v>1.0</v>
      </c>
      <c r="R56" s="163"/>
      <c r="S56" s="164"/>
      <c r="T56" s="164"/>
      <c r="U56" s="164"/>
      <c r="V56" s="104"/>
    </row>
    <row r="57" outlineLevel="1">
      <c r="A57" s="156"/>
      <c r="B57" s="373" t="s">
        <v>520</v>
      </c>
      <c r="C57" s="239" t="s">
        <v>574</v>
      </c>
      <c r="D57" s="107"/>
      <c r="E57" s="239" t="s">
        <v>150</v>
      </c>
      <c r="F57" s="193">
        <v>6.0</v>
      </c>
      <c r="G57" s="193">
        <v>5.1</v>
      </c>
      <c r="H57" s="138" t="s">
        <v>60</v>
      </c>
      <c r="I57" s="156"/>
      <c r="J57" s="107"/>
      <c r="K57" s="282"/>
      <c r="L57" s="282"/>
      <c r="M57" s="363"/>
      <c r="N57" s="363"/>
      <c r="O57" s="145">
        <v>0.0</v>
      </c>
      <c r="P57" s="145">
        <v>1.0</v>
      </c>
      <c r="Q57" s="145">
        <v>1.0</v>
      </c>
      <c r="R57" s="106"/>
      <c r="S57" s="168"/>
      <c r="T57" s="168"/>
      <c r="U57" s="168"/>
      <c r="V57" s="107"/>
    </row>
    <row r="58">
      <c r="A58" s="223"/>
      <c r="B58" s="224"/>
      <c r="C58" s="225"/>
      <c r="D58" s="225"/>
      <c r="E58" s="226"/>
      <c r="F58" s="226"/>
      <c r="G58" s="226"/>
      <c r="H58" s="227"/>
      <c r="I58" s="227"/>
      <c r="J58" s="228"/>
      <c r="K58" s="228"/>
      <c r="L58" s="228"/>
      <c r="M58" s="228"/>
      <c r="N58" s="228"/>
      <c r="O58" s="228"/>
      <c r="P58" s="228"/>
      <c r="Q58" s="118"/>
      <c r="R58" s="118"/>
      <c r="S58" s="118"/>
      <c r="T58" s="118"/>
      <c r="U58" s="118"/>
      <c r="V58" s="118"/>
    </row>
    <row r="59">
      <c r="A59" s="229" t="s">
        <v>177</v>
      </c>
      <c r="B59" s="109"/>
      <c r="C59" s="225"/>
      <c r="D59" s="225"/>
      <c r="E59" s="226"/>
      <c r="F59" s="226"/>
      <c r="G59" s="226"/>
      <c r="H59" s="227"/>
      <c r="I59" s="227"/>
      <c r="J59" s="228"/>
      <c r="K59" s="228"/>
      <c r="L59" s="228"/>
      <c r="M59" s="228"/>
      <c r="N59" s="228"/>
      <c r="O59" s="228"/>
      <c r="P59" s="228"/>
      <c r="Q59" s="118"/>
      <c r="R59" s="118"/>
      <c r="S59" s="118"/>
      <c r="T59" s="118"/>
      <c r="U59" s="118"/>
      <c r="V59" s="118"/>
    </row>
    <row r="60" outlineLevel="1">
      <c r="A60" s="230" t="s">
        <v>1241</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outlineLevel="1">
      <c r="A61" s="237" t="s">
        <v>184</v>
      </c>
      <c r="B61" s="243" t="s">
        <v>1242</v>
      </c>
      <c r="C61" s="239" t="s">
        <v>1243</v>
      </c>
      <c r="D61" s="113" t="s">
        <v>335</v>
      </c>
      <c r="E61" s="409"/>
      <c r="F61" s="281"/>
      <c r="G61" s="409"/>
      <c r="H61" s="140" t="s">
        <v>1244</v>
      </c>
      <c r="I61" s="110"/>
      <c r="J61" s="109"/>
      <c r="K61" s="281"/>
      <c r="L61" s="281"/>
      <c r="M61" s="281"/>
      <c r="N61" s="281"/>
      <c r="O61" s="281"/>
      <c r="P61" s="281"/>
      <c r="Q61" s="281"/>
      <c r="R61" s="281"/>
      <c r="S61" s="281"/>
      <c r="T61" s="281"/>
      <c r="U61" s="166" t="s">
        <v>186</v>
      </c>
      <c r="V61" s="166" t="b">
        <v>1</v>
      </c>
    </row>
    <row r="62" outlineLevel="1">
      <c r="A62" s="146"/>
      <c r="B62" s="663" t="s">
        <v>243</v>
      </c>
      <c r="C62" s="239" t="s">
        <v>1245</v>
      </c>
      <c r="D62" s="113" t="s">
        <v>424</v>
      </c>
      <c r="E62" s="367" t="s">
        <v>651</v>
      </c>
      <c r="F62" s="394">
        <v>4.2</v>
      </c>
      <c r="G62" s="367" t="s">
        <v>170</v>
      </c>
      <c r="H62" s="283" t="s">
        <v>1246</v>
      </c>
      <c r="I62" s="164"/>
      <c r="J62" s="104"/>
      <c r="K62" s="282"/>
      <c r="L62" s="282"/>
      <c r="M62" s="363"/>
      <c r="N62" s="363"/>
      <c r="O62" s="138">
        <v>1.0</v>
      </c>
      <c r="P62" s="138">
        <v>1.0</v>
      </c>
      <c r="Q62" s="138">
        <v>1.0</v>
      </c>
      <c r="R62" s="145" t="b">
        <v>0</v>
      </c>
      <c r="S62" s="145" t="b">
        <v>0</v>
      </c>
      <c r="T62" s="145" t="b">
        <v>1</v>
      </c>
      <c r="U62" s="146"/>
      <c r="V62" s="146"/>
    </row>
    <row r="63" outlineLevel="1">
      <c r="A63" s="146"/>
      <c r="B63" s="663" t="s">
        <v>1247</v>
      </c>
      <c r="C63" s="239" t="s">
        <v>1248</v>
      </c>
      <c r="D63" s="113" t="s">
        <v>777</v>
      </c>
      <c r="E63" s="156"/>
      <c r="F63" s="156"/>
      <c r="G63" s="156"/>
      <c r="H63" s="106"/>
      <c r="I63" s="168"/>
      <c r="J63" s="107"/>
      <c r="K63" s="282"/>
      <c r="L63" s="282"/>
      <c r="M63" s="363"/>
      <c r="N63" s="363"/>
      <c r="O63" s="138"/>
      <c r="P63" s="138"/>
      <c r="Q63" s="138"/>
      <c r="R63" s="145" t="b">
        <v>0</v>
      </c>
      <c r="S63" s="145" t="b">
        <v>0</v>
      </c>
      <c r="T63" s="145" t="b">
        <v>0</v>
      </c>
      <c r="U63" s="156"/>
      <c r="V63" s="156"/>
    </row>
    <row r="64" outlineLevel="1">
      <c r="A64" s="230" t="s">
        <v>1285</v>
      </c>
      <c r="B64" s="109"/>
      <c r="C64" s="231" t="s">
        <v>48</v>
      </c>
      <c r="D64" s="231" t="s">
        <v>49</v>
      </c>
      <c r="E64" s="232" t="s">
        <v>50</v>
      </c>
      <c r="F64" s="233" t="s">
        <v>51</v>
      </c>
      <c r="G64" s="232" t="s">
        <v>52</v>
      </c>
      <c r="H64" s="382" t="s">
        <v>53</v>
      </c>
      <c r="I64" s="110"/>
      <c r="J64" s="109"/>
      <c r="K64" s="235" t="s">
        <v>137</v>
      </c>
      <c r="L64" s="235" t="s">
        <v>138</v>
      </c>
      <c r="M64" s="235" t="s">
        <v>139</v>
      </c>
      <c r="N64" s="235" t="s">
        <v>140</v>
      </c>
      <c r="O64" s="236" t="s">
        <v>141</v>
      </c>
      <c r="P64" s="235" t="s">
        <v>142</v>
      </c>
      <c r="Q64" s="236" t="s">
        <v>143</v>
      </c>
      <c r="R64" s="235" t="s">
        <v>179</v>
      </c>
      <c r="S64" s="236" t="s">
        <v>180</v>
      </c>
      <c r="T64" s="236" t="s">
        <v>181</v>
      </c>
      <c r="U64" s="236" t="s">
        <v>182</v>
      </c>
      <c r="V64" s="236" t="s">
        <v>183</v>
      </c>
    </row>
    <row r="65" ht="32.25" customHeight="1" outlineLevel="1">
      <c r="A65" s="237" t="s">
        <v>184</v>
      </c>
      <c r="B65" s="243" t="s">
        <v>1147</v>
      </c>
      <c r="C65" s="239" t="s">
        <v>1250</v>
      </c>
      <c r="D65" s="216" t="s">
        <v>1251</v>
      </c>
      <c r="E65" s="239" t="s">
        <v>209</v>
      </c>
      <c r="F65" s="138">
        <v>0.0</v>
      </c>
      <c r="G65" s="281"/>
      <c r="H65" s="283" t="s">
        <v>1252</v>
      </c>
      <c r="I65" s="164"/>
      <c r="J65" s="104"/>
      <c r="K65" s="282"/>
      <c r="L65" s="282"/>
      <c r="M65" s="363"/>
      <c r="N65" s="363"/>
      <c r="O65" s="138">
        <v>0.0</v>
      </c>
      <c r="P65" s="138">
        <v>1.0</v>
      </c>
      <c r="Q65" s="138">
        <v>1.0</v>
      </c>
      <c r="R65" s="145" t="b">
        <v>0</v>
      </c>
      <c r="S65" s="145" t="b">
        <v>0</v>
      </c>
      <c r="T65" s="145"/>
      <c r="U65" s="166" t="s">
        <v>186</v>
      </c>
      <c r="V65" s="166" t="b">
        <v>1</v>
      </c>
    </row>
    <row r="66" ht="32.25" customHeight="1" outlineLevel="1">
      <c r="A66" s="156"/>
      <c r="B66" s="243" t="s">
        <v>1253</v>
      </c>
      <c r="C66" s="239" t="s">
        <v>64</v>
      </c>
      <c r="D66" s="365" t="s">
        <v>876</v>
      </c>
      <c r="E66" s="239" t="s">
        <v>129</v>
      </c>
      <c r="F66" s="138">
        <v>14.399999999999999</v>
      </c>
      <c r="G66" s="239" t="s">
        <v>88</v>
      </c>
      <c r="H66" s="106"/>
      <c r="I66" s="168"/>
      <c r="J66" s="107"/>
      <c r="K66" s="138"/>
      <c r="L66" s="138"/>
      <c r="M66" s="145"/>
      <c r="N66" s="145"/>
      <c r="O66" s="138">
        <v>6.0</v>
      </c>
      <c r="P66" s="138">
        <v>1.0</v>
      </c>
      <c r="Q66" s="138">
        <v>1.0</v>
      </c>
      <c r="R66" s="145" t="b">
        <v>0</v>
      </c>
      <c r="S66" s="145" t="b">
        <v>0</v>
      </c>
      <c r="T66" s="145"/>
      <c r="U66" s="156"/>
      <c r="V66" s="156"/>
    </row>
    <row r="67" outlineLevel="1">
      <c r="A67" s="230" t="s">
        <v>1286</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outlineLevel="1">
      <c r="A68" s="237" t="s">
        <v>184</v>
      </c>
      <c r="B68" s="402" t="s">
        <v>152</v>
      </c>
      <c r="C68" s="239" t="s">
        <v>277</v>
      </c>
      <c r="D68" s="400"/>
      <c r="E68" s="239" t="s">
        <v>204</v>
      </c>
      <c r="F68" s="138">
        <v>3.5999999999999996</v>
      </c>
      <c r="G68" s="239" t="s">
        <v>147</v>
      </c>
      <c r="H68" s="283" t="s">
        <v>1255</v>
      </c>
      <c r="I68" s="164"/>
      <c r="J68" s="104"/>
      <c r="K68" s="138"/>
      <c r="L68" s="138"/>
      <c r="M68" s="145"/>
      <c r="N68" s="145"/>
      <c r="O68" s="138">
        <v>0.0</v>
      </c>
      <c r="P68" s="138">
        <v>1.0</v>
      </c>
      <c r="Q68" s="138">
        <v>1.0</v>
      </c>
      <c r="R68" s="145" t="b">
        <v>1</v>
      </c>
      <c r="S68" s="145" t="b">
        <v>1</v>
      </c>
      <c r="T68" s="145"/>
      <c r="U68" s="166" t="s">
        <v>1256</v>
      </c>
      <c r="V68" s="166" t="b">
        <v>1</v>
      </c>
    </row>
    <row r="69" outlineLevel="1">
      <c r="A69" s="146"/>
      <c r="B69" s="402" t="s">
        <v>604</v>
      </c>
      <c r="C69" s="244" t="s">
        <v>1257</v>
      </c>
      <c r="D69" s="146"/>
      <c r="E69" s="239" t="s">
        <v>213</v>
      </c>
      <c r="F69" s="138">
        <v>1.2</v>
      </c>
      <c r="G69" s="239" t="s">
        <v>170</v>
      </c>
      <c r="H69" s="212"/>
      <c r="J69" s="210"/>
      <c r="K69" s="138"/>
      <c r="L69" s="138"/>
      <c r="M69" s="145"/>
      <c r="N69" s="145"/>
      <c r="O69" s="138">
        <v>0.0</v>
      </c>
      <c r="P69" s="138">
        <v>1.0</v>
      </c>
      <c r="Q69" s="138">
        <v>1.0</v>
      </c>
      <c r="R69" s="145" t="b">
        <v>1</v>
      </c>
      <c r="S69" s="145" t="b">
        <v>0</v>
      </c>
      <c r="T69" s="145"/>
      <c r="U69" s="146"/>
      <c r="V69" s="146"/>
    </row>
    <row r="70" outlineLevel="1">
      <c r="A70" s="146"/>
      <c r="B70" s="402" t="s">
        <v>606</v>
      </c>
      <c r="C70" s="364" t="s">
        <v>1258</v>
      </c>
      <c r="D70" s="146"/>
      <c r="E70" s="239" t="s">
        <v>213</v>
      </c>
      <c r="F70" s="138">
        <v>1.2</v>
      </c>
      <c r="G70" s="239" t="s">
        <v>170</v>
      </c>
      <c r="H70" s="212"/>
      <c r="J70" s="210"/>
      <c r="K70" s="138"/>
      <c r="L70" s="138"/>
      <c r="M70" s="145"/>
      <c r="N70" s="145"/>
      <c r="O70" s="138"/>
      <c r="P70" s="138"/>
      <c r="Q70" s="138"/>
      <c r="R70" s="145" t="b">
        <v>0</v>
      </c>
      <c r="S70" s="145" t="b">
        <v>0</v>
      </c>
      <c r="T70" s="145" t="b">
        <v>0</v>
      </c>
      <c r="U70" s="146"/>
      <c r="V70" s="146"/>
    </row>
    <row r="71" outlineLevel="1">
      <c r="A71" s="146"/>
      <c r="B71" s="402" t="s">
        <v>202</v>
      </c>
      <c r="C71" s="239" t="s">
        <v>523</v>
      </c>
      <c r="D71" s="146"/>
      <c r="E71" s="239" t="s">
        <v>73</v>
      </c>
      <c r="F71" s="138">
        <v>4.8</v>
      </c>
      <c r="G71" s="239" t="s">
        <v>75</v>
      </c>
      <c r="H71" s="212"/>
      <c r="J71" s="210"/>
      <c r="K71" s="138"/>
      <c r="L71" s="138"/>
      <c r="M71" s="145"/>
      <c r="N71" s="145"/>
      <c r="O71" s="138">
        <v>0.0</v>
      </c>
      <c r="P71" s="138">
        <v>1.0</v>
      </c>
      <c r="Q71" s="138">
        <v>1.0</v>
      </c>
      <c r="R71" s="145" t="b">
        <v>1</v>
      </c>
      <c r="S71" s="145" t="b">
        <v>0</v>
      </c>
      <c r="T71" s="145"/>
      <c r="U71" s="146"/>
      <c r="V71" s="146"/>
    </row>
    <row r="72" outlineLevel="1">
      <c r="A72" s="156"/>
      <c r="B72" s="402" t="s">
        <v>1259</v>
      </c>
      <c r="C72" s="239" t="s">
        <v>1260</v>
      </c>
      <c r="D72" s="156"/>
      <c r="E72" s="239" t="s">
        <v>176</v>
      </c>
      <c r="F72" s="138">
        <v>2.4</v>
      </c>
      <c r="G72" s="239" t="s">
        <v>60</v>
      </c>
      <c r="H72" s="106"/>
      <c r="I72" s="168"/>
      <c r="J72" s="107"/>
      <c r="K72" s="138"/>
      <c r="L72" s="138"/>
      <c r="M72" s="145"/>
      <c r="N72" s="145"/>
      <c r="O72" s="138">
        <v>0.0</v>
      </c>
      <c r="P72" s="138">
        <v>1.0</v>
      </c>
      <c r="Q72" s="138">
        <v>1.0</v>
      </c>
      <c r="R72" s="145" t="b">
        <v>1</v>
      </c>
      <c r="S72" s="145" t="b">
        <v>0</v>
      </c>
      <c r="T72" s="145"/>
      <c r="U72" s="156"/>
      <c r="V72" s="156"/>
    </row>
    <row r="73" outlineLevel="1">
      <c r="A73" s="230" t="s">
        <v>1261</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474" t="s">
        <v>332</v>
      </c>
      <c r="B74" s="626"/>
      <c r="C74" s="239" t="s">
        <v>1262</v>
      </c>
      <c r="D74" s="365" t="s">
        <v>118</v>
      </c>
      <c r="E74" s="409"/>
      <c r="F74" s="409"/>
      <c r="G74" s="409"/>
      <c r="H74" s="163" t="s">
        <v>1263</v>
      </c>
      <c r="I74" s="164"/>
      <c r="J74" s="104"/>
      <c r="K74" s="281"/>
      <c r="L74" s="281"/>
      <c r="M74" s="281"/>
      <c r="N74" s="281"/>
      <c r="O74" s="281"/>
      <c r="P74" s="281"/>
      <c r="Q74" s="281"/>
      <c r="R74" s="281"/>
      <c r="S74" s="281"/>
      <c r="T74" s="281"/>
      <c r="U74" s="166" t="b">
        <v>0</v>
      </c>
      <c r="V74" s="166" t="b">
        <v>0</v>
      </c>
    </row>
    <row r="75" outlineLevel="1">
      <c r="A75" s="146"/>
      <c r="B75" s="624" t="s">
        <v>397</v>
      </c>
      <c r="C75" s="409"/>
      <c r="D75" s="409"/>
      <c r="E75" s="239" t="s">
        <v>1264</v>
      </c>
      <c r="F75" s="113" t="s">
        <v>1265</v>
      </c>
      <c r="G75" s="113" t="s">
        <v>1266</v>
      </c>
      <c r="H75" s="212"/>
      <c r="J75" s="210"/>
      <c r="K75" s="113"/>
      <c r="L75" s="113"/>
      <c r="M75" s="113"/>
      <c r="N75" s="113"/>
      <c r="O75" s="138">
        <v>0.0</v>
      </c>
      <c r="P75" s="138">
        <v>1.0</v>
      </c>
      <c r="Q75" s="138">
        <v>1.0</v>
      </c>
      <c r="R75" s="145" t="b">
        <v>1</v>
      </c>
      <c r="S75" s="145" t="b">
        <v>0</v>
      </c>
      <c r="T75" s="937" t="s">
        <v>255</v>
      </c>
      <c r="U75" s="146"/>
      <c r="V75" s="146"/>
    </row>
    <row r="76" outlineLevel="1">
      <c r="A76" s="146"/>
      <c r="B76" s="624" t="s">
        <v>1267</v>
      </c>
      <c r="C76" s="409"/>
      <c r="D76" s="409"/>
      <c r="E76" s="239" t="s">
        <v>1264</v>
      </c>
      <c r="F76" s="113" t="s">
        <v>1265</v>
      </c>
      <c r="G76" s="113" t="s">
        <v>1266</v>
      </c>
      <c r="H76" s="212"/>
      <c r="J76" s="210"/>
      <c r="K76" s="113"/>
      <c r="L76" s="113"/>
      <c r="M76" s="113"/>
      <c r="N76" s="113"/>
      <c r="O76" s="138">
        <v>0.0</v>
      </c>
      <c r="P76" s="138">
        <v>1.0</v>
      </c>
      <c r="Q76" s="138">
        <v>1.0</v>
      </c>
      <c r="R76" s="145" t="b">
        <v>1</v>
      </c>
      <c r="S76" s="145" t="b">
        <v>0</v>
      </c>
      <c r="T76" s="937" t="s">
        <v>255</v>
      </c>
      <c r="U76" s="146"/>
      <c r="V76" s="146"/>
    </row>
    <row r="77" outlineLevel="1">
      <c r="A77" s="146"/>
      <c r="B77" s="624" t="s">
        <v>1268</v>
      </c>
      <c r="C77" s="409"/>
      <c r="D77" s="409"/>
      <c r="E77" s="239" t="s">
        <v>1264</v>
      </c>
      <c r="F77" s="113" t="s">
        <v>1265</v>
      </c>
      <c r="G77" s="113" t="s">
        <v>1266</v>
      </c>
      <c r="H77" s="212"/>
      <c r="J77" s="210"/>
      <c r="K77" s="113"/>
      <c r="L77" s="113"/>
      <c r="M77" s="113"/>
      <c r="N77" s="113"/>
      <c r="O77" s="138">
        <v>0.0</v>
      </c>
      <c r="P77" s="138">
        <v>1.0</v>
      </c>
      <c r="Q77" s="138">
        <v>1.0</v>
      </c>
      <c r="R77" s="145" t="b">
        <v>1</v>
      </c>
      <c r="S77" s="145" t="b">
        <v>0</v>
      </c>
      <c r="T77" s="937" t="s">
        <v>255</v>
      </c>
      <c r="U77" s="146"/>
      <c r="V77" s="146"/>
    </row>
    <row r="78" outlineLevel="1">
      <c r="A78" s="146"/>
      <c r="B78" s="624" t="s">
        <v>1269</v>
      </c>
      <c r="C78" s="409"/>
      <c r="D78" s="409"/>
      <c r="E78" s="239" t="s">
        <v>1264</v>
      </c>
      <c r="F78" s="113" t="s">
        <v>1265</v>
      </c>
      <c r="G78" s="113" t="s">
        <v>1266</v>
      </c>
      <c r="H78" s="212"/>
      <c r="J78" s="210"/>
      <c r="K78" s="113"/>
      <c r="L78" s="113"/>
      <c r="M78" s="113"/>
      <c r="N78" s="113"/>
      <c r="O78" s="138">
        <v>0.0</v>
      </c>
      <c r="P78" s="138">
        <v>1.0</v>
      </c>
      <c r="Q78" s="138">
        <v>1.0</v>
      </c>
      <c r="R78" s="145" t="b">
        <v>1</v>
      </c>
      <c r="S78" s="145" t="b">
        <v>0</v>
      </c>
      <c r="T78" s="937" t="s">
        <v>255</v>
      </c>
      <c r="U78" s="146"/>
      <c r="V78" s="146"/>
    </row>
    <row r="79" outlineLevel="1">
      <c r="A79" s="146"/>
      <c r="B79" s="624" t="s">
        <v>1270</v>
      </c>
      <c r="C79" s="409"/>
      <c r="D79" s="409"/>
      <c r="E79" s="239" t="s">
        <v>1264</v>
      </c>
      <c r="F79" s="113" t="s">
        <v>1265</v>
      </c>
      <c r="G79" s="113" t="s">
        <v>1266</v>
      </c>
      <c r="H79" s="212"/>
      <c r="J79" s="210"/>
      <c r="K79" s="113"/>
      <c r="L79" s="113"/>
      <c r="M79" s="113"/>
      <c r="N79" s="113"/>
      <c r="O79" s="138">
        <v>0.0</v>
      </c>
      <c r="P79" s="138">
        <v>1.0</v>
      </c>
      <c r="Q79" s="138">
        <v>1.0</v>
      </c>
      <c r="R79" s="145" t="b">
        <v>1</v>
      </c>
      <c r="S79" s="145" t="b">
        <v>0</v>
      </c>
      <c r="T79" s="937" t="s">
        <v>255</v>
      </c>
      <c r="U79" s="146"/>
      <c r="V79" s="146"/>
    </row>
    <row r="80" outlineLevel="1">
      <c r="A80" s="146"/>
      <c r="B80" s="624" t="s">
        <v>1271</v>
      </c>
      <c r="C80" s="409"/>
      <c r="D80" s="409"/>
      <c r="E80" s="239" t="s">
        <v>673</v>
      </c>
      <c r="F80" s="113" t="s">
        <v>674</v>
      </c>
      <c r="G80" s="113" t="s">
        <v>759</v>
      </c>
      <c r="H80" s="212"/>
      <c r="J80" s="210"/>
      <c r="K80" s="113"/>
      <c r="L80" s="113"/>
      <c r="M80" s="113"/>
      <c r="N80" s="113"/>
      <c r="O80" s="138">
        <v>0.0</v>
      </c>
      <c r="P80" s="138">
        <v>1.0</v>
      </c>
      <c r="Q80" s="138">
        <v>1.0</v>
      </c>
      <c r="R80" s="145" t="b">
        <v>1</v>
      </c>
      <c r="S80" s="145" t="b">
        <v>0</v>
      </c>
      <c r="T80" s="937" t="s">
        <v>255</v>
      </c>
      <c r="U80" s="146"/>
      <c r="V80" s="146"/>
    </row>
    <row r="81" outlineLevel="1">
      <c r="A81" s="146"/>
      <c r="B81" s="624" t="s">
        <v>1272</v>
      </c>
      <c r="C81" s="409"/>
      <c r="D81" s="409"/>
      <c r="E81" s="239" t="s">
        <v>785</v>
      </c>
      <c r="F81" s="113" t="s">
        <v>786</v>
      </c>
      <c r="G81" s="113" t="s">
        <v>1273</v>
      </c>
      <c r="H81" s="212"/>
      <c r="J81" s="210"/>
      <c r="K81" s="113"/>
      <c r="L81" s="113"/>
      <c r="M81" s="113"/>
      <c r="N81" s="113"/>
      <c r="O81" s="138">
        <v>0.0</v>
      </c>
      <c r="P81" s="138">
        <v>1.0</v>
      </c>
      <c r="Q81" s="138">
        <v>1.0</v>
      </c>
      <c r="R81" s="145" t="b">
        <v>1</v>
      </c>
      <c r="S81" s="145" t="b">
        <v>0</v>
      </c>
      <c r="T81" s="937" t="s">
        <v>255</v>
      </c>
      <c r="U81" s="146"/>
      <c r="V81" s="146"/>
    </row>
    <row r="82" outlineLevel="1">
      <c r="A82" s="146"/>
      <c r="B82" s="624" t="s">
        <v>1274</v>
      </c>
      <c r="C82" s="409"/>
      <c r="D82" s="409"/>
      <c r="E82" s="239" t="s">
        <v>1275</v>
      </c>
      <c r="F82" s="113" t="s">
        <v>1276</v>
      </c>
      <c r="G82" s="113" t="s">
        <v>1277</v>
      </c>
      <c r="H82" s="212"/>
      <c r="J82" s="210"/>
      <c r="K82" s="113"/>
      <c r="L82" s="113"/>
      <c r="M82" s="113"/>
      <c r="N82" s="113"/>
      <c r="O82" s="138">
        <v>0.0</v>
      </c>
      <c r="P82" s="138">
        <v>1.0</v>
      </c>
      <c r="Q82" s="138">
        <v>1.0</v>
      </c>
      <c r="R82" s="145" t="b">
        <v>1</v>
      </c>
      <c r="S82" s="145" t="b">
        <v>0</v>
      </c>
      <c r="T82" s="937" t="s">
        <v>255</v>
      </c>
      <c r="U82" s="146"/>
      <c r="V82" s="146"/>
    </row>
    <row r="83" outlineLevel="1">
      <c r="A83" s="146"/>
      <c r="B83" s="624" t="s">
        <v>1278</v>
      </c>
      <c r="C83" s="409"/>
      <c r="D83" s="409"/>
      <c r="E83" s="967" t="s">
        <v>1279</v>
      </c>
      <c r="F83" s="967"/>
      <c r="G83" s="967"/>
      <c r="H83" s="212"/>
      <c r="J83" s="210"/>
      <c r="K83" s="113"/>
      <c r="L83" s="113"/>
      <c r="M83" s="113"/>
      <c r="N83" s="113"/>
      <c r="O83" s="138">
        <v>0.0</v>
      </c>
      <c r="P83" s="138">
        <v>1.0</v>
      </c>
      <c r="Q83" s="138">
        <v>1.0</v>
      </c>
      <c r="R83" s="145" t="b">
        <v>1</v>
      </c>
      <c r="S83" s="145" t="b">
        <v>0</v>
      </c>
      <c r="T83" s="937" t="s">
        <v>255</v>
      </c>
      <c r="U83" s="146"/>
      <c r="V83" s="146"/>
    </row>
    <row r="84" outlineLevel="1">
      <c r="A84" s="156"/>
      <c r="B84" s="624" t="s">
        <v>1280</v>
      </c>
      <c r="C84" s="409"/>
      <c r="D84" s="409"/>
      <c r="E84" s="967" t="s">
        <v>1264</v>
      </c>
      <c r="F84" s="967"/>
      <c r="G84" s="967"/>
      <c r="H84" s="106"/>
      <c r="I84" s="168"/>
      <c r="J84" s="107"/>
      <c r="K84" s="113"/>
      <c r="L84" s="113"/>
      <c r="M84" s="113"/>
      <c r="N84" s="113"/>
      <c r="O84" s="138">
        <v>0.0</v>
      </c>
      <c r="P84" s="138">
        <v>1.0</v>
      </c>
      <c r="Q84" s="138">
        <v>1.0</v>
      </c>
      <c r="R84" s="145" t="b">
        <v>1</v>
      </c>
      <c r="S84" s="145" t="b">
        <v>0</v>
      </c>
      <c r="T84" s="937" t="s">
        <v>255</v>
      </c>
      <c r="U84" s="156"/>
      <c r="V84" s="156"/>
    </row>
    <row r="85">
      <c r="A85" s="223"/>
      <c r="B85" s="224"/>
      <c r="C85" s="225"/>
      <c r="D85" s="225"/>
      <c r="E85" s="226"/>
      <c r="F85" s="226"/>
      <c r="G85" s="226"/>
      <c r="H85" s="227"/>
      <c r="I85" s="227"/>
      <c r="J85" s="228"/>
      <c r="K85" s="228"/>
      <c r="L85" s="228"/>
      <c r="M85" s="228"/>
      <c r="N85" s="228"/>
      <c r="O85" s="228"/>
      <c r="P85" s="228"/>
      <c r="Q85" s="118"/>
      <c r="R85" s="118"/>
      <c r="S85" s="118"/>
      <c r="T85" s="118"/>
      <c r="U85" s="118"/>
      <c r="V85" s="118"/>
    </row>
    <row r="86">
      <c r="A86" s="264" t="s">
        <v>211</v>
      </c>
      <c r="B86" s="104"/>
      <c r="C86" s="227"/>
      <c r="D86" s="227"/>
      <c r="E86" s="228"/>
      <c r="F86" s="265"/>
      <c r="G86" s="265"/>
      <c r="H86" s="228"/>
      <c r="I86" s="228"/>
      <c r="J86" s="228"/>
      <c r="K86" s="228"/>
      <c r="L86" s="228"/>
      <c r="M86" s="228"/>
      <c r="N86" s="118"/>
      <c r="O86" s="118"/>
      <c r="P86" s="118"/>
      <c r="Q86" s="228"/>
      <c r="R86" s="228"/>
      <c r="S86" s="228"/>
      <c r="T86" s="228"/>
      <c r="U86" s="228"/>
      <c r="V86" s="228"/>
    </row>
    <row r="87" outlineLevel="1">
      <c r="A87" s="106"/>
      <c r="B87" s="107"/>
      <c r="C87" s="266" t="s">
        <v>48</v>
      </c>
      <c r="D87" s="266" t="s">
        <v>49</v>
      </c>
      <c r="E87" s="266" t="s">
        <v>50</v>
      </c>
      <c r="F87" s="267" t="s">
        <v>51</v>
      </c>
      <c r="G87" s="227"/>
      <c r="H87" s="227"/>
      <c r="I87" s="227"/>
      <c r="J87" s="228"/>
      <c r="K87" s="228"/>
      <c r="L87" s="228"/>
      <c r="M87" s="228"/>
      <c r="N87" s="228"/>
      <c r="O87" s="228"/>
      <c r="P87" s="228"/>
      <c r="Q87" s="228"/>
      <c r="R87" s="228"/>
      <c r="S87" s="228"/>
      <c r="T87" s="228"/>
      <c r="U87" s="228"/>
      <c r="V87" s="228"/>
    </row>
    <row r="88" outlineLevel="1">
      <c r="A88" s="268" t="s">
        <v>212</v>
      </c>
      <c r="B88" s="269" t="s">
        <v>212</v>
      </c>
      <c r="C88" s="239" t="s">
        <v>213</v>
      </c>
      <c r="D88" s="239" t="s">
        <v>86</v>
      </c>
      <c r="E88" s="239" t="s">
        <v>214</v>
      </c>
      <c r="F88" s="138">
        <v>1.56</v>
      </c>
      <c r="G88" s="227"/>
      <c r="H88" s="227"/>
      <c r="I88" s="227"/>
      <c r="J88" s="228"/>
      <c r="K88" s="228"/>
      <c r="L88" s="228"/>
      <c r="M88" s="228"/>
      <c r="N88" s="228"/>
      <c r="O88" s="228"/>
      <c r="P88" s="228"/>
      <c r="Q88" s="228"/>
      <c r="R88" s="228"/>
      <c r="S88" s="228"/>
      <c r="T88" s="228"/>
      <c r="U88" s="228"/>
      <c r="V88" s="228"/>
    </row>
    <row r="89" outlineLevel="1">
      <c r="A89" s="270" t="s">
        <v>215</v>
      </c>
      <c r="B89" s="269" t="s">
        <v>216</v>
      </c>
      <c r="C89" s="239" t="s">
        <v>217</v>
      </c>
      <c r="D89" s="239" t="s">
        <v>224</v>
      </c>
      <c r="E89" s="271"/>
      <c r="F89" s="272"/>
      <c r="G89" s="272"/>
      <c r="H89" s="227"/>
      <c r="I89" s="227"/>
      <c r="J89" s="228"/>
      <c r="K89" s="228"/>
      <c r="L89" s="228"/>
      <c r="M89" s="228"/>
      <c r="N89" s="228"/>
      <c r="O89" s="228"/>
      <c r="P89" s="228"/>
      <c r="Q89" s="228"/>
      <c r="R89" s="228"/>
      <c r="S89" s="228"/>
      <c r="T89" s="228"/>
      <c r="U89" s="228"/>
      <c r="V89" s="228"/>
    </row>
    <row r="90" outlineLevel="1">
      <c r="A90" s="212"/>
      <c r="B90" s="269" t="s">
        <v>219</v>
      </c>
      <c r="C90" s="239" t="s">
        <v>220</v>
      </c>
      <c r="D90" s="239" t="s">
        <v>393</v>
      </c>
      <c r="E90" s="271"/>
      <c r="F90" s="272"/>
      <c r="G90" s="272"/>
      <c r="H90" s="227"/>
      <c r="I90" s="227"/>
      <c r="J90" s="228"/>
      <c r="K90" s="228"/>
      <c r="L90" s="228"/>
      <c r="M90" s="228"/>
      <c r="N90" s="228"/>
      <c r="O90" s="228"/>
      <c r="P90" s="228"/>
      <c r="Q90" s="228"/>
      <c r="R90" s="228"/>
      <c r="S90" s="228"/>
      <c r="T90" s="228"/>
      <c r="U90" s="228"/>
      <c r="V90" s="228"/>
    </row>
    <row r="91" outlineLevel="1">
      <c r="A91" s="106"/>
      <c r="B91" s="269" t="s">
        <v>222</v>
      </c>
      <c r="C91" s="239" t="s">
        <v>223</v>
      </c>
      <c r="D91" s="239" t="s">
        <v>118</v>
      </c>
      <c r="E91" s="227"/>
      <c r="F91" s="272"/>
      <c r="G91" s="272"/>
      <c r="H91" s="227"/>
      <c r="I91" s="227"/>
      <c r="J91" s="228"/>
      <c r="K91" s="228"/>
      <c r="L91" s="228"/>
      <c r="M91" s="228"/>
      <c r="N91" s="228"/>
      <c r="O91" s="228"/>
      <c r="P91" s="228"/>
      <c r="Q91" s="228"/>
      <c r="R91" s="228"/>
      <c r="S91" s="228"/>
      <c r="T91" s="228"/>
      <c r="U91" s="228"/>
      <c r="V91" s="228"/>
    </row>
    <row r="92" outlineLevel="1">
      <c r="A92" s="273" t="s">
        <v>225</v>
      </c>
      <c r="B92" s="109"/>
      <c r="C92" s="266" t="s">
        <v>48</v>
      </c>
      <c r="D92" s="266" t="s">
        <v>49</v>
      </c>
      <c r="E92" s="266" t="s">
        <v>50</v>
      </c>
      <c r="F92" s="267" t="s">
        <v>51</v>
      </c>
      <c r="G92" s="274" t="s">
        <v>53</v>
      </c>
      <c r="H92" s="110"/>
      <c r="I92" s="110"/>
      <c r="J92" s="109"/>
      <c r="K92" s="275" t="str">
        <f>'テンプレート'!K97</f>
        <v>ベクトル</v>
      </c>
      <c r="L92" s="275" t="str">
        <f>'テンプレート'!L97</f>
        <v>KBG (R.E.)</v>
      </c>
      <c r="M92" s="275" t="str">
        <f>'テンプレート'!M97</f>
        <v>BKB (R.A.)</v>
      </c>
      <c r="N92" s="275" t="str">
        <f>'テンプレート'!N97</f>
        <v>FKB (R.F.)</v>
      </c>
      <c r="O92" s="276" t="str">
        <f>'テンプレート'!O97</f>
        <v>盾削り値</v>
      </c>
      <c r="P92" s="275" t="str">
        <f>'テンプレート'!P97</f>
        <v>ﾋｯﾄｽﾄｯﾌﾟ</v>
      </c>
      <c r="Q92" s="276" t="str">
        <f>'テンプレート'!Q97</f>
        <v>ずらし</v>
      </c>
      <c r="R92" s="277"/>
      <c r="S92" s="277"/>
      <c r="T92" s="277"/>
      <c r="U92" s="277"/>
      <c r="V92" s="277"/>
    </row>
    <row r="93" outlineLevel="1">
      <c r="A93" s="278" t="s">
        <v>226</v>
      </c>
      <c r="B93" s="269" t="s">
        <v>227</v>
      </c>
      <c r="C93" s="113" t="s">
        <v>295</v>
      </c>
      <c r="D93" s="279">
        <v>39.0</v>
      </c>
      <c r="E93" s="239" t="s">
        <v>176</v>
      </c>
      <c r="F93" s="138">
        <v>2.4</v>
      </c>
      <c r="G93" s="416"/>
      <c r="H93" s="164"/>
      <c r="I93" s="164"/>
      <c r="J93" s="104"/>
      <c r="K93" s="282"/>
      <c r="L93" s="282"/>
      <c r="M93" s="363"/>
      <c r="N93" s="363"/>
      <c r="O93" s="145">
        <v>0.0</v>
      </c>
      <c r="P93" s="145">
        <v>1.0</v>
      </c>
      <c r="Q93" s="145">
        <v>1.0</v>
      </c>
      <c r="R93" s="277"/>
      <c r="S93" s="228"/>
      <c r="T93" s="228"/>
      <c r="U93" s="228"/>
      <c r="V93" s="228"/>
    </row>
    <row r="94" outlineLevel="1">
      <c r="A94" s="156"/>
      <c r="B94" s="269" t="s">
        <v>225</v>
      </c>
      <c r="C94" s="113">
        <v>16.0</v>
      </c>
      <c r="D94" s="156"/>
      <c r="E94" s="239" t="s">
        <v>80</v>
      </c>
      <c r="F94" s="138">
        <v>9.6</v>
      </c>
      <c r="G94" s="106"/>
      <c r="H94" s="168"/>
      <c r="I94" s="168"/>
      <c r="J94" s="107"/>
      <c r="K94" s="282"/>
      <c r="L94" s="282"/>
      <c r="M94" s="363"/>
      <c r="N94" s="363"/>
      <c r="O94" s="261"/>
      <c r="P94" s="261"/>
      <c r="Q94" s="261"/>
      <c r="R94" s="277"/>
      <c r="S94" s="228"/>
      <c r="T94" s="228"/>
      <c r="U94" s="228"/>
      <c r="V94" s="228"/>
    </row>
    <row r="95" outlineLevel="1">
      <c r="A95" s="278" t="s">
        <v>229</v>
      </c>
      <c r="B95" s="269" t="s">
        <v>227</v>
      </c>
      <c r="C95" s="113" t="s">
        <v>351</v>
      </c>
      <c r="D95" s="279">
        <v>49.0</v>
      </c>
      <c r="E95" s="239" t="s">
        <v>176</v>
      </c>
      <c r="F95" s="138">
        <v>2.4</v>
      </c>
      <c r="G95" s="416"/>
      <c r="H95" s="164"/>
      <c r="I95" s="164"/>
      <c r="J95" s="104"/>
      <c r="K95" s="282"/>
      <c r="L95" s="282"/>
      <c r="M95" s="363"/>
      <c r="N95" s="363"/>
      <c r="O95" s="145">
        <v>0.0</v>
      </c>
      <c r="P95" s="145">
        <v>1.0</v>
      </c>
      <c r="Q95" s="145">
        <v>1.0</v>
      </c>
      <c r="R95" s="277"/>
      <c r="S95" s="228"/>
      <c r="T95" s="228"/>
      <c r="U95" s="228"/>
      <c r="V95" s="228"/>
    </row>
    <row r="96" outlineLevel="1">
      <c r="A96" s="156"/>
      <c r="B96" s="269" t="s">
        <v>225</v>
      </c>
      <c r="C96" s="113">
        <v>22.0</v>
      </c>
      <c r="D96" s="156"/>
      <c r="E96" s="239" t="s">
        <v>274</v>
      </c>
      <c r="F96" s="138">
        <v>10.799999999999999</v>
      </c>
      <c r="G96" s="106"/>
      <c r="H96" s="168"/>
      <c r="I96" s="168"/>
      <c r="J96" s="107"/>
      <c r="K96" s="282"/>
      <c r="L96" s="282"/>
      <c r="M96" s="363"/>
      <c r="N96" s="363"/>
      <c r="O96" s="261"/>
      <c r="P96" s="261"/>
      <c r="Q96" s="261"/>
      <c r="R96" s="277"/>
      <c r="S96" s="228"/>
      <c r="T96" s="228"/>
      <c r="U96" s="228"/>
      <c r="V96" s="228"/>
    </row>
    <row r="97" outlineLevel="1">
      <c r="A97" s="278" t="s">
        <v>233</v>
      </c>
      <c r="B97" s="269" t="s">
        <v>227</v>
      </c>
      <c r="C97" s="113" t="s">
        <v>334</v>
      </c>
      <c r="D97" s="279">
        <v>49.0</v>
      </c>
      <c r="E97" s="239" t="s">
        <v>176</v>
      </c>
      <c r="F97" s="138">
        <v>2.4</v>
      </c>
      <c r="G97" s="416"/>
      <c r="H97" s="164"/>
      <c r="I97" s="164"/>
      <c r="J97" s="104"/>
      <c r="K97" s="282"/>
      <c r="L97" s="282"/>
      <c r="M97" s="363"/>
      <c r="N97" s="363"/>
      <c r="O97" s="145">
        <v>0.0</v>
      </c>
      <c r="P97" s="145">
        <v>1.0</v>
      </c>
      <c r="Q97" s="145">
        <v>1.0</v>
      </c>
      <c r="R97" s="277"/>
      <c r="S97" s="228"/>
      <c r="T97" s="228"/>
      <c r="U97" s="228"/>
      <c r="V97" s="228"/>
    </row>
    <row r="98" outlineLevel="1">
      <c r="A98" s="156"/>
      <c r="B98" s="269" t="s">
        <v>225</v>
      </c>
      <c r="C98" s="113">
        <v>26.0</v>
      </c>
      <c r="D98" s="156"/>
      <c r="E98" s="239" t="s">
        <v>86</v>
      </c>
      <c r="F98" s="138">
        <v>7.199999999999999</v>
      </c>
      <c r="G98" s="106"/>
      <c r="H98" s="168"/>
      <c r="I98" s="168"/>
      <c r="J98" s="107"/>
      <c r="K98" s="282"/>
      <c r="L98" s="282"/>
      <c r="M98" s="363"/>
      <c r="N98" s="363"/>
      <c r="O98" s="261"/>
      <c r="P98" s="261"/>
      <c r="Q98" s="261"/>
      <c r="R98" s="277"/>
      <c r="S98" s="117"/>
      <c r="T98" s="117"/>
      <c r="U98" s="117"/>
      <c r="V98" s="117"/>
    </row>
    <row r="99" outlineLevel="1">
      <c r="A99" s="278" t="s">
        <v>234</v>
      </c>
      <c r="B99" s="269" t="s">
        <v>227</v>
      </c>
      <c r="C99" s="239" t="s">
        <v>1281</v>
      </c>
      <c r="D99" s="279">
        <v>64.0</v>
      </c>
      <c r="E99" s="239" t="s">
        <v>213</v>
      </c>
      <c r="F99" s="138">
        <v>1.2</v>
      </c>
      <c r="G99" s="416"/>
      <c r="H99" s="164"/>
      <c r="I99" s="164"/>
      <c r="J99" s="104"/>
      <c r="K99" s="282"/>
      <c r="L99" s="282"/>
      <c r="M99" s="363"/>
      <c r="N99" s="363"/>
      <c r="O99" s="145">
        <v>0.0</v>
      </c>
      <c r="P99" s="145">
        <v>1.0</v>
      </c>
      <c r="Q99" s="145">
        <v>1.0</v>
      </c>
      <c r="R99" s="277"/>
      <c r="S99" s="117"/>
      <c r="T99" s="117"/>
      <c r="U99" s="117"/>
      <c r="V99" s="117"/>
    </row>
    <row r="100" outlineLevel="1">
      <c r="A100" s="156"/>
      <c r="B100" s="269" t="s">
        <v>225</v>
      </c>
      <c r="C100" s="113">
        <v>43.0</v>
      </c>
      <c r="D100" s="156"/>
      <c r="E100" s="239" t="s">
        <v>93</v>
      </c>
      <c r="F100" s="138">
        <v>8.4</v>
      </c>
      <c r="G100" s="106"/>
      <c r="H100" s="168"/>
      <c r="I100" s="168"/>
      <c r="J100" s="107"/>
      <c r="K100" s="282"/>
      <c r="L100" s="282"/>
      <c r="M100" s="363"/>
      <c r="N100" s="363"/>
      <c r="O100" s="261"/>
      <c r="P100" s="261"/>
      <c r="Q100" s="261"/>
      <c r="R100" s="277"/>
      <c r="S100" s="117"/>
      <c r="T100" s="117"/>
      <c r="U100" s="117"/>
      <c r="V100" s="117"/>
    </row>
    <row r="101">
      <c r="A101" s="223"/>
      <c r="B101" s="224"/>
      <c r="C101" s="225"/>
      <c r="D101" s="225"/>
      <c r="E101" s="227"/>
      <c r="F101" s="177"/>
      <c r="G101" s="177"/>
      <c r="H101" s="227"/>
      <c r="I101" s="227"/>
      <c r="J101" s="228"/>
      <c r="K101" s="228"/>
      <c r="L101" s="111"/>
      <c r="M101" s="111"/>
      <c r="N101" s="111"/>
      <c r="O101" s="117"/>
      <c r="P101" s="117"/>
      <c r="Q101" s="111"/>
      <c r="R101" s="111"/>
      <c r="S101" s="111"/>
      <c r="T101" s="111"/>
      <c r="U101" s="111"/>
      <c r="V101" s="111"/>
    </row>
    <row r="102">
      <c r="A102" s="284" t="s">
        <v>241</v>
      </c>
      <c r="B102" s="104"/>
      <c r="C102" s="265"/>
      <c r="D102" s="111"/>
      <c r="E102" s="111"/>
      <c r="F102" s="111"/>
      <c r="G102" s="111"/>
      <c r="H102" s="111"/>
      <c r="I102" s="111"/>
      <c r="J102" s="118"/>
      <c r="K102" s="111"/>
      <c r="L102" s="111"/>
      <c r="M102" s="111"/>
      <c r="N102" s="111"/>
      <c r="O102" s="111"/>
      <c r="P102" s="111"/>
      <c r="Q102" s="118"/>
      <c r="R102" s="111"/>
      <c r="S102" s="111"/>
      <c r="T102" s="111"/>
      <c r="U102" s="111"/>
      <c r="V102" s="111"/>
    </row>
    <row r="103" outlineLevel="1">
      <c r="A103" s="106"/>
      <c r="B103" s="107"/>
      <c r="C103" s="285" t="s">
        <v>235</v>
      </c>
      <c r="D103" s="285" t="s">
        <v>236</v>
      </c>
      <c r="E103" s="285" t="s">
        <v>49</v>
      </c>
      <c r="F103" s="285" t="s">
        <v>237</v>
      </c>
      <c r="G103" s="286"/>
      <c r="H103" s="227"/>
      <c r="I103" s="227"/>
      <c r="J103" s="228"/>
      <c r="K103" s="228"/>
      <c r="L103" s="111"/>
      <c r="M103" s="111"/>
      <c r="N103" s="111"/>
      <c r="O103" s="111"/>
      <c r="P103" s="111"/>
      <c r="Q103" s="111"/>
      <c r="R103" s="111"/>
      <c r="S103" s="111"/>
      <c r="T103" s="111"/>
      <c r="U103" s="111"/>
      <c r="V103" s="111"/>
    </row>
    <row r="104" outlineLevel="1">
      <c r="A104" s="287" t="s">
        <v>395</v>
      </c>
      <c r="B104" s="288" t="s">
        <v>216</v>
      </c>
      <c r="C104" s="113" t="str">
        <f t="array" ref="C104">INDEX('回避'!$C$3:$U$84, MATCH($A$1,'回避'!$A$3:$A$91,0), MATCH(C103,'回避'!$C$2:$F$2,0))</f>
        <v>3-17</v>
      </c>
      <c r="D104" s="113" t="str">
        <f t="array" ref="D104">INDEX('回避'!$C$3:$U$84, MATCH($A$1,'回避'!$A$3:$A$91,0), MATCH(D103,'回避'!$C$2:$F$2,0))</f>
        <v>6-17</v>
      </c>
      <c r="E104" s="113" t="str">
        <f t="array" ref="E104">INDEX('回避'!$C$3:$U$84, MATCH($A$1,'回避'!$A$3:$A$91,0), MATCH(E103,'回避'!$C$2:$F$2,0))</f>
        <v>26 (21)</v>
      </c>
      <c r="F104" s="113" t="str">
        <f t="array" ref="F104">INDEX('回避'!$C$3:$U$84, MATCH($A$1,'回避'!$A$3:$A$91,0), MATCH(F103,'回避'!$C$2:$F$2,0))</f>
        <v>35 (28)</v>
      </c>
      <c r="G104" s="272"/>
      <c r="H104" s="227"/>
      <c r="I104" s="227"/>
      <c r="J104" s="228"/>
      <c r="K104" s="228"/>
      <c r="L104" s="228"/>
      <c r="M104" s="111"/>
      <c r="N104" s="111"/>
      <c r="O104" s="111"/>
      <c r="P104" s="111"/>
      <c r="Q104" s="111"/>
      <c r="R104" s="111"/>
      <c r="S104" s="111"/>
      <c r="T104" s="111"/>
      <c r="U104" s="111"/>
      <c r="V104" s="111"/>
    </row>
    <row r="105" outlineLevel="1">
      <c r="A105" s="212"/>
      <c r="B105" s="288" t="s">
        <v>245</v>
      </c>
      <c r="C105" s="113" t="str">
        <f t="array" ref="C105">INDEX('回避'!$G$3:$U$84, MATCH($A$1,'回避'!$A$3:$A$91,0), MATCH(C103,'回避'!$G$2:$J$2,0))</f>
        <v>4-15</v>
      </c>
      <c r="D105" s="113" t="str">
        <f t="array" ref="D105">INDEX('回避'!$G$3:$U$84, MATCH($A$1,'回避'!$A$3:$A$91,0), MATCH(D103,'回避'!$G$2:$J$2,0))</f>
        <v>8-14</v>
      </c>
      <c r="E105" s="113" t="str">
        <f t="array" ref="E105">INDEX('回避'!$G$3:$U$84, MATCH($A$1,'回避'!$A$3:$A$91,0), MATCH(E103,'回避'!$G$2:$J$2,0))</f>
        <v>30</v>
      </c>
      <c r="F105" s="113">
        <f t="array" ref="F105">INDEX('回避'!$G$3:$U$84, MATCH($A$1,'回避'!$A$3:$A$91,0), MATCH(F103,'回避'!$G$2:$J$2,0))</f>
        <v>40</v>
      </c>
      <c r="G105" s="289"/>
      <c r="H105" s="227"/>
      <c r="I105" s="227"/>
      <c r="J105" s="228"/>
      <c r="K105" s="228"/>
      <c r="L105" s="228"/>
      <c r="M105" s="228"/>
      <c r="N105" s="228"/>
      <c r="O105" s="111"/>
      <c r="P105" s="111"/>
      <c r="Q105" s="111"/>
      <c r="R105" s="111"/>
      <c r="S105" s="111"/>
      <c r="T105" s="111"/>
      <c r="U105" s="111"/>
      <c r="V105" s="111"/>
    </row>
    <row r="106" outlineLevel="1">
      <c r="A106" s="106"/>
      <c r="B106" s="288" t="s">
        <v>246</v>
      </c>
      <c r="C106" s="113" t="str">
        <f t="array" ref="C106">INDEX('回避'!$K$3:$U$84, MATCH($A$1,'回避'!$A$3:$A$91,0), MATCH(C103,'回避'!$K$2:$N$2,0))</f>
        <v>5-16</v>
      </c>
      <c r="D106" s="113" t="str">
        <f t="array" ref="D106">INDEX('回避'!$K$3:$U$84, MATCH($A$1,'回避'!$A$3:$A$91,0), MATCH(D103,'回避'!$K$2:$N$2,0))</f>
        <v>9-14</v>
      </c>
      <c r="E106" s="113" t="str">
        <f t="array" ref="E106">INDEX('回避'!$K$3:$U$84, MATCH($A$1,'回避'!$A$3:$A$91,0), MATCH(E103,'回避'!$K$2:$N$2,0))</f>
        <v>35</v>
      </c>
      <c r="F106" s="113" t="str">
        <f t="array" ref="F106">INDEX('回避'!$K$3:$U$84, MATCH($A$1,'回避'!$A$3:$A$91,0), MATCH(F103,'回避'!$K$2:$N$2,0))</f>
        <v>53</v>
      </c>
      <c r="G106" s="289"/>
      <c r="H106" s="290"/>
      <c r="I106" s="290"/>
      <c r="J106" s="117"/>
      <c r="K106" s="117"/>
      <c r="L106" s="117"/>
      <c r="M106" s="117"/>
      <c r="N106" s="117"/>
      <c r="O106" s="111"/>
      <c r="P106" s="111"/>
      <c r="Q106" s="111"/>
      <c r="R106" s="111"/>
      <c r="S106" s="111"/>
      <c r="T106" s="111"/>
      <c r="U106" s="111"/>
      <c r="V106" s="111"/>
    </row>
    <row r="107" outlineLevel="1">
      <c r="A107" s="287" t="s">
        <v>396</v>
      </c>
      <c r="B107" s="288" t="s">
        <v>397</v>
      </c>
      <c r="C107" s="113" t="str">
        <f t="array" ref="C107">INDEX('回避'!$O$3:$U$84, MATCH($A$1,'回避'!$A$3:$A$91,0), MATCH(C103,'回避'!$O$2:$R$2,0))</f>
        <v>3-30</v>
      </c>
      <c r="D107" s="113" t="str">
        <f t="array" ref="D107">INDEX('回避'!$O$3:$U$84, MATCH($A$1,'回避'!$A$3:$A$91,0), MATCH(D103,'回避'!$O$2:$R$2,0))</f>
        <v>6-27</v>
      </c>
      <c r="E107" s="113" t="str">
        <f t="array" ref="E107">INDEX('回避'!$O$3:$U$84, MATCH($A$1,'回避'!$A$3:$A$91,0), MATCH(E103,'回避'!$O$2:$R$2,0))</f>
        <v>61</v>
      </c>
      <c r="F107" s="113" t="str">
        <f t="array" ref="F107">INDEX('回避'!$O$3:$U$84, MATCH($A$1,'回避'!$A$3:$A$91,0), MATCH(F103,'回避'!$O$2:$R$2,0))</f>
        <v/>
      </c>
      <c r="G107" s="177"/>
      <c r="H107" s="118"/>
      <c r="I107" s="118"/>
      <c r="J107" s="111"/>
      <c r="K107" s="111"/>
      <c r="L107" s="111"/>
      <c r="M107" s="111"/>
      <c r="N107" s="111"/>
      <c r="O107" s="228"/>
      <c r="P107" s="228"/>
      <c r="Q107" s="228"/>
      <c r="R107" s="228"/>
      <c r="S107" s="228"/>
      <c r="T107" s="228"/>
      <c r="U107" s="228"/>
      <c r="V107" s="228"/>
    </row>
    <row r="108" outlineLevel="1">
      <c r="A108" s="106"/>
      <c r="B108" s="288" t="s">
        <v>398</v>
      </c>
      <c r="C108" s="113" t="str">
        <f t="array" ref="C108">INDEX('回避'!$S$3:$U$84, MATCH($A$1,'回避'!$A$3:$A$91,0), MATCH(C103,'回避'!$S$2:$U$2,0))</f>
        <v>3-21</v>
      </c>
      <c r="D108" s="113" t="str">
        <f t="array" ref="D108">INDEX('回避'!$S$3:$U$84, MATCH($A$1,'回避'!$A$3:$A$91,0), MATCH(D103,'回避'!$S$2:$U$2,0))</f>
        <v>6-20</v>
      </c>
      <c r="E108" s="113" t="str">
        <f t="array" ref="E108">INDEX('回避'!$S$3:$U$84, MATCH($A$1,'回避'!$A$3:$A$91,0), MATCH(E103,'回避'!$S$2:$U$2,0))</f>
        <v>真横：103
真上：141
真下：86</v>
      </c>
      <c r="F108" s="289"/>
      <c r="G108" s="289"/>
      <c r="H108" s="118"/>
      <c r="I108" s="118"/>
      <c r="J108" s="117"/>
      <c r="K108" s="117"/>
      <c r="L108" s="117"/>
      <c r="M108" s="117"/>
      <c r="N108" s="111"/>
      <c r="O108" s="118"/>
      <c r="P108" s="118"/>
      <c r="Q108" s="118"/>
      <c r="R108" s="118"/>
      <c r="S108" s="118"/>
      <c r="T108" s="118"/>
      <c r="U108" s="118"/>
      <c r="V108" s="118"/>
    </row>
    <row r="109">
      <c r="A109" s="291"/>
      <c r="B109" s="292"/>
      <c r="C109" s="286"/>
      <c r="D109" s="286"/>
      <c r="E109" s="293"/>
      <c r="F109" s="286"/>
      <c r="G109" s="286"/>
      <c r="H109" s="286"/>
      <c r="I109" s="286"/>
      <c r="J109" s="111"/>
      <c r="K109" s="227"/>
      <c r="L109" s="227"/>
      <c r="M109" s="227"/>
      <c r="N109" s="227"/>
      <c r="O109" s="118"/>
      <c r="P109" s="118"/>
      <c r="Q109" s="118"/>
      <c r="R109" s="118"/>
      <c r="S109" s="118"/>
      <c r="T109" s="118"/>
      <c r="U109" s="118"/>
      <c r="V109" s="118"/>
    </row>
    <row r="110">
      <c r="A110" s="294" t="s">
        <v>238</v>
      </c>
      <c r="B110" s="104"/>
      <c r="C110" s="228"/>
      <c r="D110" s="117"/>
      <c r="E110" s="228"/>
      <c r="F110" s="114"/>
      <c r="G110" s="114"/>
      <c r="H110" s="117"/>
      <c r="I110" s="117"/>
      <c r="J110" s="118"/>
      <c r="K110" s="118"/>
      <c r="L110" s="118"/>
      <c r="M110" s="118"/>
      <c r="N110" s="118"/>
      <c r="O110" s="118"/>
      <c r="P110" s="118"/>
      <c r="Q110" s="118"/>
      <c r="R110" s="118"/>
      <c r="S110" s="118"/>
      <c r="T110" s="118"/>
      <c r="U110" s="118"/>
      <c r="V110" s="118"/>
    </row>
    <row r="111" outlineLevel="1">
      <c r="A111" s="106"/>
      <c r="B111" s="107"/>
      <c r="C111" s="295" t="s">
        <v>235</v>
      </c>
      <c r="D111" s="295" t="s">
        <v>49</v>
      </c>
      <c r="E111" s="295" t="s">
        <v>48</v>
      </c>
      <c r="F111" s="295" t="s">
        <v>50</v>
      </c>
      <c r="G111" s="296" t="s">
        <v>51</v>
      </c>
      <c r="H111" s="228"/>
      <c r="I111" s="228"/>
      <c r="J111" s="117"/>
      <c r="K111" s="297" t="str">
        <f>'テンプレート'!K116</f>
        <v>アイテム取得</v>
      </c>
      <c r="L111" s="109"/>
      <c r="M111" s="298" t="str">
        <f>'テンプレート'!M116</f>
        <v>取得フレーム</v>
      </c>
      <c r="N111" s="298" t="str">
        <f>'テンプレート'!N116</f>
        <v>全体フレーム</v>
      </c>
      <c r="O111" s="118"/>
      <c r="P111" s="118"/>
      <c r="Q111" s="118"/>
      <c r="R111" s="118"/>
      <c r="S111" s="118"/>
      <c r="T111" s="118"/>
      <c r="U111" s="118"/>
      <c r="V111" s="118"/>
    </row>
    <row r="112" outlineLevel="1">
      <c r="A112" s="299" t="s">
        <v>239</v>
      </c>
      <c r="B112" s="300" t="s">
        <v>240</v>
      </c>
      <c r="C112" s="301"/>
      <c r="D112" s="113">
        <f t="array" ref="D112">INDEX('崖行動・受け身'!$C$3:$C115, MATCH($A$1,'崖行動・受け身'!$A$3:$A$115,0), MATCH(D111,'崖行動・受け身'!$C$2,0))</f>
        <v>19</v>
      </c>
      <c r="E112" s="301"/>
      <c r="F112" s="301"/>
      <c r="G112" s="301"/>
      <c r="H112" s="228"/>
      <c r="I112" s="228"/>
      <c r="J112" s="111"/>
      <c r="K112" s="302" t="str">
        <f>'テンプレート'!K117</f>
        <v>小アイテム</v>
      </c>
      <c r="L112" s="303" t="str">
        <f>'テンプレート'!L117</f>
        <v>その場</v>
      </c>
      <c r="M112" s="113" t="s">
        <v>76</v>
      </c>
      <c r="N112" s="113">
        <v>7.0</v>
      </c>
      <c r="O112" s="118"/>
      <c r="P112" s="118"/>
      <c r="Q112" s="118"/>
      <c r="R112" s="118"/>
      <c r="S112" s="118"/>
      <c r="T112" s="118"/>
      <c r="U112" s="118"/>
      <c r="V112" s="118"/>
    </row>
    <row r="113" outlineLevel="1">
      <c r="A113" s="146"/>
      <c r="B113" s="300" t="s">
        <v>216</v>
      </c>
      <c r="C113" s="113" t="str">
        <f t="array" ref="C113">INDEX('崖行動・受け身'!$D$3:$E115, MATCH($A$1,'崖行動・受け身'!$A$3:$A$115,0), MATCH(C111,'崖行動・受け身'!$D$2:$E$2,0))</f>
        <v>1-31</v>
      </c>
      <c r="D113" s="113">
        <f t="array" ref="D113">INDEX('崖行動・受け身'!$D$3:$E115, MATCH($A$1,'崖行動・受け身'!$A$3:$A$115,0), MATCH(D111,'崖行動・受け身'!$D$2:$E$2,0))</f>
        <v>32</v>
      </c>
      <c r="E113" s="301"/>
      <c r="F113" s="301"/>
      <c r="G113" s="301"/>
      <c r="H113" s="228"/>
      <c r="I113" s="228"/>
      <c r="J113" s="117"/>
      <c r="K113" s="156"/>
      <c r="L113" s="303" t="str">
        <f>'テンプレート'!L118</f>
        <v>歩き</v>
      </c>
      <c r="M113" s="113" t="s">
        <v>76</v>
      </c>
      <c r="N113" s="113">
        <v>19.0</v>
      </c>
      <c r="O113" s="118"/>
      <c r="P113" s="118"/>
      <c r="Q113" s="118"/>
      <c r="R113" s="118"/>
      <c r="S113" s="118"/>
      <c r="T113" s="118"/>
      <c r="U113" s="118"/>
      <c r="V113" s="118"/>
    </row>
    <row r="114" outlineLevel="1">
      <c r="A114" s="146"/>
      <c r="B114" s="300" t="s">
        <v>241</v>
      </c>
      <c r="C114" s="113" t="str">
        <f t="array" ref="C114">INDEX('崖行動・受け身'!$F$3:$G$115, MATCH($A$1,'崖行動・受け身'!$A$3:$A$115,0), MATCH(C111,'崖行動・受け身'!$F$2:$G$2,0))</f>
        <v>1-26</v>
      </c>
      <c r="D114" s="113">
        <f t="array" ref="D114">INDEX('崖行動・受け身'!$F$3:$G$115, MATCH($A$1,'崖行動・受け身'!$A$3:$A$115,0), MATCH(D111,'崖行動・受け身'!$F$2:$G$2,0))</f>
        <v>45</v>
      </c>
      <c r="E114" s="301"/>
      <c r="F114" s="301"/>
      <c r="G114" s="301"/>
      <c r="H114" s="228"/>
      <c r="I114" s="228"/>
      <c r="J114" s="111"/>
      <c r="K114" s="304" t="str">
        <f>'テンプレート'!K119</f>
        <v>アイテム投擲</v>
      </c>
      <c r="L114" s="109"/>
      <c r="M114" s="298" t="str">
        <f>'テンプレート'!M119</f>
        <v>投擲フレーム</v>
      </c>
      <c r="N114" s="298" t="str">
        <f>'テンプレート'!N119</f>
        <v>全体フレーム</v>
      </c>
      <c r="O114" s="118"/>
      <c r="P114" s="118"/>
      <c r="Q114" s="118"/>
      <c r="R114" s="118"/>
      <c r="S114" s="118"/>
      <c r="T114" s="118"/>
      <c r="U114" s="118"/>
      <c r="V114" s="118"/>
    </row>
    <row r="115" outlineLevel="1">
      <c r="A115" s="146"/>
      <c r="B115" s="300" t="s">
        <v>242</v>
      </c>
      <c r="C115" s="113" t="str">
        <f t="array" ref="C115">INDEX('崖行動・受け身'!$H$3:$I$115, MATCH($A$1,'崖行動・受け身'!$A$3:$A$115,0), MATCH(C111,'崖行動・受け身'!$H$2:$I$2,0))</f>
        <v>1-12</v>
      </c>
      <c r="D115" s="113">
        <f t="array" ref="D115">INDEX('崖行動・受け身'!$H$3:$I$115, MATCH($A$1,'崖行動・受け身'!$A$3:$A$115,0), MATCH(D111,'崖行動・受け身'!$H$2:$I$2,0))</f>
        <v>14</v>
      </c>
      <c r="E115" s="301"/>
      <c r="F115" s="301"/>
      <c r="G115" s="301"/>
      <c r="H115" s="228"/>
      <c r="I115" s="228"/>
      <c r="J115" s="117"/>
      <c r="K115" s="305" t="str">
        <f>'テンプレート'!K120</f>
        <v>地上投擲</v>
      </c>
      <c r="L115" s="303" t="str">
        <f>'テンプレート'!L120</f>
        <v>前投げ</v>
      </c>
      <c r="M115" s="113" t="s">
        <v>80</v>
      </c>
      <c r="N115" s="113">
        <v>26.0</v>
      </c>
      <c r="O115" s="111"/>
      <c r="P115" s="111"/>
      <c r="Q115" s="111"/>
      <c r="R115" s="111"/>
      <c r="S115" s="111"/>
      <c r="T115" s="111"/>
      <c r="U115" s="111"/>
      <c r="V115" s="111"/>
    </row>
    <row r="116" outlineLevel="1">
      <c r="A116" s="156"/>
      <c r="B116" s="300" t="s">
        <v>243</v>
      </c>
      <c r="C116" s="113" t="str">
        <f t="array" ref="C116">INDEX('崖行動・受け身'!$J$3:$M$115, MATCH($A$1,'崖行動・受け身'!$A$3:$A$115,0), MATCH(C111,'崖行動・受け身'!$J$2:$M$2,0))</f>
        <v>1-20</v>
      </c>
      <c r="D116" s="113">
        <f t="array" ref="D116">INDEX('崖行動・受け身'!$J$3:$M$115, MATCH($A$1,'崖行動・受け身'!$A$3:$A$115,0), MATCH(D111,'崖行動・受け身'!$J$2:$M$2,0))</f>
        <v>55</v>
      </c>
      <c r="E116" s="113" t="str">
        <f t="array" ref="E116">INDEX('崖行動・受け身'!$J$3:$M$115, MATCH($A$1,'崖行動・受け身'!$A$3:$A$115,0), MATCH(E111,'崖行動・受け身'!$J$2:$M$2,0))</f>
        <v>18-20</v>
      </c>
      <c r="F116" s="113">
        <f t="array" ref="F116">INDEX('崖行動・受け身'!$J$3:$M$115, MATCH($A$1,'崖行動・受け身'!$A$3:$A$115,0), MATCH(F111,'崖行動・受け身'!$J$2:$M$2,0))</f>
        <v>9</v>
      </c>
      <c r="G116" s="113">
        <f>F116*1.2</f>
        <v>10.8</v>
      </c>
      <c r="H116" s="228"/>
      <c r="I116" s="228"/>
      <c r="J116" s="111"/>
      <c r="K116" s="146"/>
      <c r="L116" s="303" t="str">
        <f>'テンプレート'!L121</f>
        <v>後投げ</v>
      </c>
      <c r="M116" s="113" t="s">
        <v>232</v>
      </c>
      <c r="N116" s="113">
        <v>26.0</v>
      </c>
      <c r="O116" s="111"/>
      <c r="P116" s="111"/>
      <c r="Q116" s="111"/>
      <c r="R116" s="111"/>
      <c r="S116" s="111"/>
      <c r="T116" s="111"/>
      <c r="U116" s="111"/>
      <c r="V116" s="111"/>
    </row>
    <row r="117" outlineLevel="1">
      <c r="A117" s="299" t="s">
        <v>244</v>
      </c>
      <c r="B117" s="300" t="s">
        <v>216</v>
      </c>
      <c r="C117" s="113" t="str">
        <f t="array" ref="C117">INDEX('崖行動・受け身'!$N$3:$O$115, MATCH($A$1,'崖行動・受け身'!$A$3:$A$115,0), MATCH(C111,'崖行動・受け身'!$N$2:$O$2,0))</f>
        <v>1-20</v>
      </c>
      <c r="D117" s="113">
        <f t="array" ref="D117">INDEX('崖行動・受け身'!$N$3:$O$115, MATCH($A$1,'崖行動・受け身'!$A$3:$A$115,0), MATCH(D111,'崖行動・受け身'!$N$2:$O$2,0))</f>
        <v>26</v>
      </c>
      <c r="E117" s="301"/>
      <c r="F117" s="301"/>
      <c r="G117" s="301"/>
      <c r="H117" s="228"/>
      <c r="I117" s="228"/>
      <c r="J117" s="117"/>
      <c r="K117" s="146"/>
      <c r="L117" s="303" t="str">
        <f>'テンプレート'!L122</f>
        <v>上投げ</v>
      </c>
      <c r="M117" s="113" t="s">
        <v>232</v>
      </c>
      <c r="N117" s="113">
        <v>25.0</v>
      </c>
      <c r="O117" s="228"/>
      <c r="P117" s="228"/>
      <c r="Q117" s="228"/>
      <c r="R117" s="228"/>
      <c r="S117" s="228"/>
      <c r="T117" s="228"/>
      <c r="U117" s="228"/>
      <c r="V117" s="228"/>
    </row>
    <row r="118" outlineLevel="1">
      <c r="A118" s="146"/>
      <c r="B118" s="300" t="s">
        <v>245</v>
      </c>
      <c r="C118" s="113" t="str">
        <f t="array" ref="C118">INDEX('崖行動・受け身'!$P$3:$Q$115, MATCH($A$1,'崖行動・受け身'!$A$3:$A$115,0), MATCH(C111,'崖行動・受け身'!$P$2:$Q$2,0))</f>
        <v>1-20</v>
      </c>
      <c r="D118" s="113">
        <f t="array" ref="D118">INDEX('崖行動・受け身'!$P$3:$Q$115, MATCH($A$1,'崖行動・受け身'!$A$3:$A$115,0), MATCH(D111,'崖行動・受け身'!$P$2:$Q$2,0))</f>
        <v>40</v>
      </c>
      <c r="E118" s="301"/>
      <c r="F118" s="301"/>
      <c r="G118" s="301"/>
      <c r="H118" s="228"/>
      <c r="I118" s="228"/>
      <c r="J118" s="111"/>
      <c r="K118" s="146"/>
      <c r="L118" s="303" t="str">
        <f>'テンプレート'!L123</f>
        <v>下投げ</v>
      </c>
      <c r="M118" s="113" t="s">
        <v>93</v>
      </c>
      <c r="N118" s="113">
        <v>21.0</v>
      </c>
      <c r="O118" s="118"/>
      <c r="P118" s="118"/>
      <c r="Q118" s="118"/>
      <c r="R118" s="118"/>
      <c r="S118" s="118"/>
      <c r="T118" s="118"/>
      <c r="U118" s="118"/>
      <c r="V118" s="118"/>
    </row>
    <row r="119" outlineLevel="1">
      <c r="A119" s="156"/>
      <c r="B119" s="300" t="s">
        <v>246</v>
      </c>
      <c r="C119" s="113" t="str">
        <f t="array" ref="C119">INDEX('崖行動・受け身'!$R$3:$S$115, MATCH($A$1,'崖行動・受け身'!$A$3:$A$115,0), MATCH(C111,'崖行動・受け身'!$R$2:$S$2,0))</f>
        <v>1-20</v>
      </c>
      <c r="D119" s="113">
        <f t="array" ref="D119">INDEX('崖行動・受け身'!$R$3:$S$115, MATCH($A$1,'崖行動・受け身'!$A$3:$A$115,0), MATCH(D111,'崖行動・受け身'!$R$2:$S$2,0))</f>
        <v>40</v>
      </c>
      <c r="E119" s="301"/>
      <c r="F119" s="301"/>
      <c r="G119" s="301"/>
      <c r="H119" s="228"/>
      <c r="I119" s="228"/>
      <c r="J119" s="117"/>
      <c r="K119" s="146"/>
      <c r="L119" s="306" t="str">
        <f>'テンプレート'!L124</f>
        <v>ダッシュ</v>
      </c>
      <c r="M119" s="113" t="s">
        <v>150</v>
      </c>
      <c r="N119" s="113">
        <v>37.0</v>
      </c>
      <c r="O119" s="118"/>
      <c r="P119" s="118"/>
      <c r="Q119" s="118"/>
      <c r="R119" s="118"/>
      <c r="S119" s="118"/>
      <c r="T119" s="118"/>
      <c r="U119" s="118"/>
      <c r="V119" s="118"/>
    </row>
    <row r="120" outlineLevel="1">
      <c r="A120" s="299" t="s">
        <v>247</v>
      </c>
      <c r="B120" s="300" t="s">
        <v>248</v>
      </c>
      <c r="C120" s="301"/>
      <c r="D120" s="113" t="str">
        <f t="array" ref="D120">INDEX('起きあがり'!$C$3:$C115, MATCH($A$1,'起きあがり'!$A$3:$A$115,0), MATCH(D111,'起きあがり'!$C$2:$AD$2,0))</f>
        <v>25</v>
      </c>
      <c r="E120" s="301"/>
      <c r="F120" s="301"/>
      <c r="G120" s="301"/>
      <c r="H120" s="228"/>
      <c r="I120" s="228"/>
      <c r="J120" s="111"/>
      <c r="K120" s="156"/>
      <c r="L120" s="306" t="str">
        <f>'テンプレート'!L125</f>
        <v>その場捨て</v>
      </c>
      <c r="M120" s="113" t="s">
        <v>93</v>
      </c>
      <c r="N120" s="113">
        <v>23.0</v>
      </c>
      <c r="O120" s="118"/>
      <c r="P120" s="118"/>
      <c r="Q120" s="118"/>
      <c r="R120" s="118"/>
      <c r="S120" s="118"/>
      <c r="T120" s="118"/>
      <c r="U120" s="118"/>
      <c r="V120" s="118"/>
    </row>
    <row r="121" outlineLevel="1">
      <c r="A121" s="146"/>
      <c r="B121" s="300" t="s">
        <v>216</v>
      </c>
      <c r="C121" s="307" t="str">
        <f t="array" ref="C121">INDEX('起きあがり'!$D$3:$E115, MATCH($A$1,'起きあがり'!$A$3:$A$115,0), MATCH(C111,'起きあがり'!$D$2:$AD$2,0))</f>
        <v>1-22</v>
      </c>
      <c r="D121" s="308">
        <f t="array" ref="D121">INDEX('起きあがり'!$D$3:$E115, MATCH($A$1,'起きあがり'!$A$3:$A$115,0), MATCH(D111,'起きあがり'!$D$2:$AD$2,0))</f>
        <v>29</v>
      </c>
      <c r="E121" s="301"/>
      <c r="F121" s="301"/>
      <c r="G121" s="301"/>
      <c r="H121" s="228"/>
      <c r="I121" s="228"/>
      <c r="J121" s="117"/>
      <c r="K121" s="305" t="str">
        <f>'テンプレート'!K126</f>
        <v>空中投擲</v>
      </c>
      <c r="L121" s="303" t="str">
        <f>'テンプレート'!L126</f>
        <v>前投げ</v>
      </c>
      <c r="M121" s="113" t="s">
        <v>80</v>
      </c>
      <c r="N121" s="113">
        <v>24.0</v>
      </c>
      <c r="O121" s="118"/>
      <c r="P121" s="118"/>
      <c r="Q121" s="118"/>
      <c r="R121" s="118"/>
      <c r="S121" s="118"/>
      <c r="T121" s="118"/>
      <c r="U121" s="118"/>
      <c r="V121" s="118"/>
    </row>
    <row r="122" outlineLevel="1">
      <c r="A122" s="146"/>
      <c r="B122" s="300" t="s">
        <v>245</v>
      </c>
      <c r="C122" s="307" t="str">
        <f t="array" ref="C122">INDEX('起きあがり'!$F$3:$G$115, MATCH($A$1,'起きあがり'!$A$3:$A$115,0), MATCH(C111,'起きあがり'!$F$2:$AD$2,0))</f>
        <v>1-19</v>
      </c>
      <c r="D122" s="308">
        <f t="array" ref="D122">INDEX('起きあがり'!$F$3:$G$115, MATCH($A$1,'起きあがり'!$A$3:$A$115,0), MATCH(D111,'起きあがり'!$F$2:$AD$2,0))</f>
        <v>35</v>
      </c>
      <c r="E122" s="301"/>
      <c r="F122" s="301"/>
      <c r="G122" s="301"/>
      <c r="H122" s="228"/>
      <c r="I122" s="228"/>
      <c r="J122" s="111"/>
      <c r="K122" s="146"/>
      <c r="L122" s="303" t="str">
        <f>'テンプレート'!L127</f>
        <v>後投げ</v>
      </c>
      <c r="M122" s="113" t="s">
        <v>232</v>
      </c>
      <c r="N122" s="113">
        <v>24.0</v>
      </c>
      <c r="O122" s="118"/>
      <c r="P122" s="118"/>
      <c r="Q122" s="118"/>
      <c r="R122" s="118"/>
      <c r="S122" s="118"/>
      <c r="T122" s="118"/>
      <c r="U122" s="118"/>
      <c r="V122" s="118"/>
    </row>
    <row r="123" outlineLevel="1">
      <c r="A123" s="146"/>
      <c r="B123" s="300" t="s">
        <v>246</v>
      </c>
      <c r="C123" s="113" t="str">
        <f t="array" ref="C123">INDEX('起きあがり'!$H$3:$I$115, MATCH($A$1,'起きあがり'!$A$3:$A$115,0), MATCH(C111,'起きあがり'!$H$2:$AD$2,0))</f>
        <v>1-19</v>
      </c>
      <c r="D123" s="113">
        <f t="array" ref="D123">INDEX('起きあがり'!$H$3:$I$115, MATCH($A$1,'起きあがり'!$A$3:$A$115,0), MATCH(D111,'起きあがり'!$H$2:$AD$2,0))</f>
        <v>35</v>
      </c>
      <c r="E123" s="301"/>
      <c r="F123" s="301"/>
      <c r="G123" s="301"/>
      <c r="H123" s="228"/>
      <c r="I123" s="228"/>
      <c r="J123" s="117"/>
      <c r="K123" s="146"/>
      <c r="L123" s="303" t="str">
        <f>'テンプレート'!L128</f>
        <v>上投げ</v>
      </c>
      <c r="M123" s="113" t="s">
        <v>129</v>
      </c>
      <c r="N123" s="113">
        <v>23.0</v>
      </c>
      <c r="O123" s="118"/>
      <c r="P123" s="118"/>
      <c r="Q123" s="118"/>
      <c r="R123" s="118"/>
      <c r="S123" s="118"/>
      <c r="T123" s="118"/>
      <c r="U123" s="118"/>
      <c r="V123" s="118"/>
    </row>
    <row r="124" outlineLevel="1">
      <c r="A124" s="146"/>
      <c r="B124" s="300" t="s">
        <v>249</v>
      </c>
      <c r="C124" s="309" t="str">
        <f t="array" ref="C124">INDEX('起きあがり'!$J$3:$M$115, MATCH($A$1,'起きあがり'!$A$3:$A$115,0), MATCH(C111,'起きあがり'!$J$2:$AD$2,0))</f>
        <v>1-23</v>
      </c>
      <c r="D124" s="310">
        <f t="array" ref="D124">INDEX('起きあがり'!$J$3:$M$115, MATCH($A$1,'起きあがり'!$A$3:$A$115,0), MATCH(D111,'起きあがり'!$J$2:$AD$2,0))</f>
        <v>45</v>
      </c>
      <c r="E124" s="307" t="str">
        <f t="array" ref="E124">INDEX('起きあがり'!$J$3:$M$115, MATCH($A$1,'起きあがり'!$A$3:$A$115,0), MATCH(E111,'起きあがり'!$J$2:$AD$2,0))</f>
        <v>14-15</v>
      </c>
      <c r="F124" s="308">
        <f t="array" ref="F124">INDEX('起きあがり'!$J$3:$M$115, MATCH($A$1,'起きあがり'!$A$3:$A$115,0), MATCH(F111,'起きあがり'!$J$2:$AD$2,0))</f>
        <v>7</v>
      </c>
      <c r="G124" s="113">
        <f t="shared" ref="G124:G125" si="1">F124*1.2</f>
        <v>8.4</v>
      </c>
      <c r="H124" s="228"/>
      <c r="I124" s="228"/>
      <c r="J124" s="111"/>
      <c r="K124" s="156"/>
      <c r="L124" s="303" t="str">
        <f>'テンプレート'!L129</f>
        <v>下投げ</v>
      </c>
      <c r="M124" s="113" t="s">
        <v>93</v>
      </c>
      <c r="N124" s="113">
        <v>19.0</v>
      </c>
      <c r="O124" s="111"/>
      <c r="P124" s="111"/>
      <c r="Q124" s="111"/>
      <c r="R124" s="111"/>
      <c r="S124" s="111"/>
      <c r="T124" s="111"/>
      <c r="U124" s="111"/>
      <c r="V124" s="111"/>
    </row>
    <row r="125" outlineLevel="1">
      <c r="A125" s="156"/>
      <c r="B125" s="311" t="s">
        <v>250</v>
      </c>
      <c r="C125" s="156"/>
      <c r="D125" s="156"/>
      <c r="E125" s="307" t="str">
        <f t="array" ref="E125">INDEX('起きあがり'!$N$3:$O$115, MATCH($A$1,'起きあがり'!$A$3:$A$115,0), MATCH(E111,'起きあがり'!$N$2:$AD$2,0))</f>
        <v>22-23</v>
      </c>
      <c r="F125" s="308">
        <f t="array" ref="F125">INDEX('起きあがり'!$N$3:$O$115, MATCH($A$1,'起きあがり'!$A$3:$A$115,0), MATCH(F111,'起きあがり'!$N$2:$AD$2,0))</f>
        <v>7</v>
      </c>
      <c r="G125" s="113">
        <f t="shared" si="1"/>
        <v>8.4</v>
      </c>
      <c r="H125" s="228"/>
      <c r="I125" s="228"/>
      <c r="J125" s="111"/>
      <c r="K125" s="312" t="str">
        <f>'テンプレート'!K130</f>
        <v>踏み台ジャンプ</v>
      </c>
      <c r="L125" s="168"/>
      <c r="M125" s="298" t="str">
        <f>'テンプレート'!M130</f>
        <v>全体フレーム</v>
      </c>
      <c r="N125" s="114"/>
      <c r="O125" s="111"/>
      <c r="P125" s="111"/>
      <c r="Q125" s="111"/>
      <c r="R125" s="111"/>
      <c r="S125" s="111"/>
      <c r="T125" s="111"/>
      <c r="U125" s="111"/>
      <c r="V125" s="111"/>
    </row>
    <row r="126" outlineLevel="1">
      <c r="A126" s="299" t="s">
        <v>251</v>
      </c>
      <c r="B126" s="300" t="s">
        <v>248</v>
      </c>
      <c r="C126" s="301"/>
      <c r="D126" s="307" t="str">
        <f t="array" ref="D126">INDEX('起きあがり'!$C$3:$C115, MATCH($A$1,'起きあがり'!$A$3:$A$115,0), MATCH(D111,'起きあがり'!$C$2,0))</f>
        <v>25</v>
      </c>
      <c r="E126" s="301"/>
      <c r="F126" s="301"/>
      <c r="G126" s="301"/>
      <c r="H126" s="228"/>
      <c r="I126" s="228"/>
      <c r="J126" s="117"/>
      <c r="K126" s="313" t="str">
        <f>'テンプレート'!K131</f>
        <v>踏み</v>
      </c>
      <c r="L126" s="314" t="str">
        <f>'テンプレート'!L131</f>
        <v>踏み</v>
      </c>
      <c r="M126" s="113">
        <v>8.0</v>
      </c>
      <c r="N126" s="315"/>
      <c r="O126" s="111"/>
      <c r="P126" s="111"/>
      <c r="Q126" s="111"/>
      <c r="R126" s="111"/>
      <c r="S126" s="111"/>
      <c r="T126" s="111"/>
      <c r="U126" s="111"/>
      <c r="V126" s="111"/>
    </row>
    <row r="127" outlineLevel="1">
      <c r="A127" s="146"/>
      <c r="B127" s="300" t="s">
        <v>216</v>
      </c>
      <c r="C127" s="307" t="str">
        <f t="array" ref="C127">INDEX('起きあがり'!$P$3:$Q$115, MATCH($A$1,'起きあがり'!$A$3:$A$115,0), MATCH(C111,'起きあがり'!$P$2:$AD$2,0))</f>
        <v>1-22</v>
      </c>
      <c r="D127" s="308">
        <f t="array" ref="D127">INDEX('起きあがり'!$P$3:$Q$115, MATCH($A$1,'起きあがり'!$A$3:$A$115,0), MATCH(D111,'起きあがり'!$P$2:$AD$2,0))</f>
        <v>29</v>
      </c>
      <c r="E127" s="301"/>
      <c r="F127" s="301"/>
      <c r="G127" s="301"/>
      <c r="H127" s="228"/>
      <c r="I127" s="228"/>
      <c r="J127" s="111"/>
      <c r="K127" s="305" t="str">
        <f>'テンプレート'!K132</f>
        <v>踏まれ</v>
      </c>
      <c r="L127" s="314" t="str">
        <f>'テンプレート'!L132</f>
        <v>地上踏まれ</v>
      </c>
      <c r="M127" s="113" t="s">
        <v>76</v>
      </c>
      <c r="N127" s="315"/>
      <c r="O127" s="228"/>
      <c r="P127" s="228"/>
      <c r="Q127" s="228"/>
      <c r="R127" s="228"/>
      <c r="S127" s="228"/>
      <c r="T127" s="228"/>
      <c r="U127" s="228"/>
      <c r="V127" s="228"/>
    </row>
    <row r="128" outlineLevel="1">
      <c r="A128" s="146"/>
      <c r="B128" s="300" t="s">
        <v>245</v>
      </c>
      <c r="C128" s="307" t="str">
        <f t="array" ref="C128">INDEX('起きあがり'!$R$3:$S$115, MATCH($A$1,'起きあがり'!$A$3:$A$115,0), MATCH(C111,'起きあがり'!$R$2:$AD$2,0))</f>
        <v>1-19</v>
      </c>
      <c r="D128" s="308">
        <f t="array" ref="D128">INDEX('起きあがり'!$R$3:$S$115, MATCH($A$1,'起きあがり'!$A$3:$A$115,0), MATCH(D111,'起きあがり'!$R$2:$AD$2,0))</f>
        <v>35</v>
      </c>
      <c r="E128" s="301"/>
      <c r="F128" s="301"/>
      <c r="G128" s="301"/>
      <c r="H128" s="228"/>
      <c r="I128" s="228"/>
      <c r="J128" s="117"/>
      <c r="K128" s="146"/>
      <c r="L128" s="314" t="s">
        <v>693</v>
      </c>
      <c r="M128" s="113">
        <v>28.0</v>
      </c>
      <c r="N128" s="102"/>
      <c r="O128" s="118"/>
      <c r="P128" s="118"/>
      <c r="Q128" s="118"/>
      <c r="R128" s="118"/>
      <c r="S128" s="118"/>
      <c r="T128" s="118"/>
      <c r="U128" s="118"/>
      <c r="V128" s="118"/>
    </row>
    <row r="129" outlineLevel="1">
      <c r="A129" s="146"/>
      <c r="B129" s="300" t="s">
        <v>246</v>
      </c>
      <c r="C129" s="307" t="str">
        <f t="array" ref="C129">INDEX('起きあがり'!$T$3:$U$115, MATCH($A$1,'起きあがり'!$A$3:$A$115,0), MATCH(C111,'起きあがり'!$T$2:$AD$2,0))</f>
        <v>1-19</v>
      </c>
      <c r="D129" s="308">
        <f t="array" ref="D129">INDEX('起きあがり'!$T$3:$U$115, MATCH($A$1,'起きあがり'!$A$3:$A$115,0), MATCH(D111,'起きあがり'!$T$2:$AD$2,0))</f>
        <v>35</v>
      </c>
      <c r="E129" s="301"/>
      <c r="F129" s="301"/>
      <c r="G129" s="301"/>
      <c r="H129" s="228"/>
      <c r="I129" s="228"/>
      <c r="J129" s="111"/>
      <c r="K129" s="146"/>
      <c r="L129" s="314" t="str">
        <f>'テンプレート'!L134</f>
        <v>空中踏まれ</v>
      </c>
      <c r="M129" s="113">
        <v>11.0</v>
      </c>
      <c r="N129" s="102"/>
      <c r="O129" s="118"/>
      <c r="P129" s="118"/>
      <c r="Q129" s="118"/>
      <c r="R129" s="118"/>
      <c r="S129" s="118"/>
      <c r="T129" s="118"/>
      <c r="U129" s="118"/>
      <c r="V129" s="118"/>
    </row>
    <row r="130" outlineLevel="1">
      <c r="A130" s="146"/>
      <c r="B130" s="300" t="s">
        <v>249</v>
      </c>
      <c r="C130" s="309" t="str">
        <f t="array" ref="C130">INDEX('起きあがり'!$V$3:$Y$115, MATCH($A$1,'起きあがり'!$A$3:$A$115,0), MATCH(C111,'起きあがり'!$V$2:$AD$2,0))</f>
        <v>1-24</v>
      </c>
      <c r="D130" s="310">
        <f t="array" ref="D130">INDEX('起きあがり'!$V$3:$Y$115, MATCH($A$1,'起きあがり'!$A$3:$A$115,0), MATCH(D111,'起きあがり'!$V$2:$AD$2,0))</f>
        <v>45</v>
      </c>
      <c r="E130" s="307" t="str">
        <f t="array" ref="E130">INDEX('起きあがり'!$V$3:$Y$115, MATCH($A$1,'起きあがり'!$A$3:$A$115,0), MATCH(E111,'起きあがり'!$V$2:$AD$2,0))</f>
        <v>14-15</v>
      </c>
      <c r="F130" s="308">
        <f t="array" ref="F130">INDEX('起きあがり'!$V$3:$Y$115, MATCH($A$1,'起きあがり'!$A$3:$A$115,0), MATCH(F111,'起きあがり'!$V$2:$AD$2,0))</f>
        <v>7</v>
      </c>
      <c r="G130" s="113">
        <f t="shared" ref="G130:G131" si="2">F130*1.2</f>
        <v>8.4</v>
      </c>
      <c r="H130" s="228"/>
      <c r="I130" s="228"/>
      <c r="J130" s="117"/>
      <c r="K130" s="146"/>
      <c r="L130" s="314" t="str">
        <f>'テンプレート'!L135</f>
        <v>空中落下</v>
      </c>
      <c r="M130" s="113">
        <v>42.0</v>
      </c>
      <c r="N130" s="102"/>
      <c r="O130" s="118"/>
      <c r="P130" s="118"/>
      <c r="Q130" s="118"/>
      <c r="R130" s="118"/>
      <c r="S130" s="118"/>
      <c r="T130" s="118"/>
      <c r="U130" s="118"/>
      <c r="V130" s="118"/>
    </row>
    <row r="131" outlineLevel="1">
      <c r="A131" s="156"/>
      <c r="B131" s="311" t="s">
        <v>250</v>
      </c>
      <c r="C131" s="156"/>
      <c r="D131" s="156"/>
      <c r="E131" s="307" t="str">
        <f t="array" ref="E131">INDEX('起きあがり'!$Z$3:$AA$115, MATCH($A$1,'起きあがり'!$A$3:$A$115,0), MATCH(E111,'起きあがり'!$Z$2:$AD$2,0))</f>
        <v>23-24</v>
      </c>
      <c r="F131" s="308">
        <f t="array" ref="F131">INDEX('起きあがり'!$Z$3:$AA$115, MATCH($A$1,'起きあがり'!$A$3:$A$115,0), MATCH(F111,'起きあがり'!$Z$2:$AD$2,0))</f>
        <v>7</v>
      </c>
      <c r="G131" s="113">
        <f t="shared" si="2"/>
        <v>8.4</v>
      </c>
      <c r="H131" s="228"/>
      <c r="I131" s="228"/>
      <c r="J131" s="117"/>
      <c r="K131" s="304" t="str">
        <f>'テンプレート'!K136</f>
        <v>倒れダメージ</v>
      </c>
      <c r="L131" s="110"/>
      <c r="M131" s="298" t="str">
        <f>'テンプレート'!M136</f>
        <v>全体フレーム</v>
      </c>
      <c r="N131" s="102"/>
      <c r="O131" s="118"/>
      <c r="P131" s="118"/>
      <c r="Q131" s="118"/>
      <c r="R131" s="118"/>
      <c r="S131" s="118"/>
      <c r="T131" s="118"/>
      <c r="U131" s="118"/>
      <c r="V131" s="118"/>
    </row>
    <row r="132" outlineLevel="1">
      <c r="A132" s="299" t="s">
        <v>252</v>
      </c>
      <c r="B132" s="300" t="s">
        <v>253</v>
      </c>
      <c r="C132" s="307" t="str">
        <f t="array" ref="C132">INDEX('転倒'!$C$3:$D115, MATCH($A$1,'転倒'!$A$3:$A$115,0), MATCH(C111,'転倒'!$C$2:$AC$2,0))</f>
        <v>1-5</v>
      </c>
      <c r="D132" s="308">
        <f t="array" ref="D132">INDEX('転倒'!$C$3:$D115, MATCH($A$1,'転倒'!$A$3:$A$115,0), MATCH(D111,'転倒'!$C$2:$AC$2,0))</f>
        <v>29</v>
      </c>
      <c r="E132" s="301"/>
      <c r="F132" s="301"/>
      <c r="G132" s="301"/>
      <c r="H132" s="228"/>
      <c r="I132" s="228"/>
      <c r="J132" s="111"/>
      <c r="K132" s="313" t="str">
        <f>'テンプレート'!K137</f>
        <v>あお向け倒れ</v>
      </c>
      <c r="L132" s="306" t="str">
        <f>'テンプレート'!L137</f>
        <v>モーション大</v>
      </c>
      <c r="M132" s="113">
        <v>39.0</v>
      </c>
      <c r="N132" s="315"/>
      <c r="O132" s="118"/>
      <c r="P132" s="118"/>
      <c r="Q132" s="118"/>
      <c r="R132" s="118"/>
      <c r="S132" s="118"/>
      <c r="T132" s="118"/>
      <c r="U132" s="118"/>
      <c r="V132" s="118"/>
    </row>
    <row r="133" outlineLevel="1">
      <c r="A133" s="146"/>
      <c r="B133" s="300" t="s">
        <v>254</v>
      </c>
      <c r="C133" s="307" t="str">
        <f t="array" ref="C133">INDEX('転倒'!$E$3:$F115, MATCH($A$1,'転倒'!$A$3:$A$115,0), MATCH(C111,'転倒'!$E$2:$AC$2,0))</f>
        <v>1-5</v>
      </c>
      <c r="D133" s="308">
        <f t="array" ref="D133">INDEX('転倒'!$E$3:$F115, MATCH($A$1,'転倒'!$A$3:$A$115,0), MATCH(D111,'転倒'!$E$2:$AC$2,0))</f>
        <v>39</v>
      </c>
      <c r="E133" s="301"/>
      <c r="F133" s="301"/>
      <c r="G133" s="301"/>
      <c r="H133" s="228"/>
      <c r="I133" s="228"/>
      <c r="J133" s="117"/>
      <c r="K133" s="313" t="str">
        <f>'テンプレート'!K138</f>
        <v>うつ伏せ倒れ</v>
      </c>
      <c r="L133" s="306" t="str">
        <f>'テンプレート'!L138</f>
        <v>モーション大</v>
      </c>
      <c r="M133" s="113" t="s">
        <v>118</v>
      </c>
      <c r="N133" s="315"/>
      <c r="O133" s="118"/>
      <c r="P133" s="118"/>
      <c r="Q133" s="118"/>
      <c r="R133" s="118"/>
      <c r="S133" s="118"/>
      <c r="T133" s="118"/>
      <c r="U133" s="118"/>
      <c r="V133" s="118"/>
    </row>
    <row r="134" outlineLevel="1">
      <c r="A134" s="146"/>
      <c r="B134" s="300" t="s">
        <v>216</v>
      </c>
      <c r="C134" s="307" t="str">
        <f t="array" ref="C134">INDEX('転倒'!$G$3:$H$115, MATCH($A$1,'転倒'!$A$3:$A$115,0), MATCH(C111,'転倒'!$G$2:$AC$2,0))</f>
        <v>1-16</v>
      </c>
      <c r="D134" s="308">
        <f t="array" ref="D134">INDEX('転倒'!$G$3:$H$115, MATCH($A$1,'転倒'!$A$3:$A$115,0), MATCH(D111,'転倒'!$G$2:$AC$2,0))</f>
        <v>21</v>
      </c>
      <c r="E134" s="301"/>
      <c r="F134" s="301"/>
      <c r="G134" s="301"/>
      <c r="H134" s="228"/>
      <c r="I134" s="228"/>
      <c r="J134" s="111"/>
      <c r="K134" s="304" t="str">
        <f>'テンプレート'!K139</f>
        <v/>
      </c>
      <c r="L134" s="110"/>
      <c r="M134" s="298" t="str">
        <f>'テンプレート'!M139</f>
        <v/>
      </c>
      <c r="N134" s="102"/>
      <c r="O134" s="118"/>
      <c r="P134" s="118"/>
      <c r="Q134" s="118"/>
      <c r="R134" s="118"/>
      <c r="S134" s="118"/>
      <c r="T134" s="118"/>
      <c r="U134" s="118"/>
      <c r="V134" s="118"/>
    </row>
    <row r="135" outlineLevel="1">
      <c r="A135" s="146"/>
      <c r="B135" s="300" t="s">
        <v>245</v>
      </c>
      <c r="C135" s="307" t="str">
        <f t="array" ref="C135">INDEX('転倒'!$I$3:$J$115, MATCH($A$1,'転倒'!$A$3:$A$115,0), MATCH(C111,'転倒'!$I$2:$AC$2,0))</f>
        <v>1-9</v>
      </c>
      <c r="D135" s="308">
        <f t="array" ref="D135">INDEX('転倒'!$I$3:$J$115, MATCH($A$1,'転倒'!$A$3:$A$115,0), MATCH(D111,'転倒'!$I$2:$AC$2,0))</f>
        <v>28</v>
      </c>
      <c r="E135" s="301"/>
      <c r="F135" s="301"/>
      <c r="G135" s="301"/>
      <c r="H135" s="228"/>
      <c r="I135" s="228"/>
      <c r="J135" s="228"/>
      <c r="K135" s="316"/>
      <c r="L135" s="317" t="str">
        <f>'テンプレート'!L140</f>
        <v/>
      </c>
      <c r="M135" s="113" t="s">
        <v>76</v>
      </c>
      <c r="N135" s="102"/>
      <c r="O135" s="118"/>
      <c r="P135" s="118"/>
      <c r="Q135" s="118"/>
      <c r="R135" s="118"/>
      <c r="S135" s="118"/>
      <c r="T135" s="118"/>
      <c r="U135" s="118"/>
      <c r="V135" s="118"/>
    </row>
    <row r="136" outlineLevel="1">
      <c r="A136" s="146"/>
      <c r="B136" s="300" t="s">
        <v>246</v>
      </c>
      <c r="C136" s="307" t="str">
        <f t="array" ref="C136">INDEX('転倒'!$K$3:$L$115, MATCH($A$1,'転倒'!$A$3:$A$115,0), MATCH(C111,'転倒'!$K$2:$AC$2,0))</f>
        <v>1-9</v>
      </c>
      <c r="D136" s="308">
        <f t="array" ref="D136">INDEX('転倒'!$K$3:$L$115, MATCH($A$1,'転倒'!$A$3:$A$115,0), MATCH(D111,'転倒'!$K$2:$AC$2,0))</f>
        <v>28</v>
      </c>
      <c r="E136" s="301"/>
      <c r="F136" s="301"/>
      <c r="G136" s="301"/>
      <c r="H136" s="228"/>
      <c r="I136" s="228"/>
      <c r="J136" s="228"/>
      <c r="K136" s="318"/>
      <c r="L136" s="118"/>
      <c r="M136" s="118"/>
      <c r="N136" s="102"/>
      <c r="O136" s="118"/>
      <c r="P136" s="118"/>
      <c r="Q136" s="118"/>
      <c r="R136" s="118"/>
      <c r="S136" s="118"/>
      <c r="T136" s="118"/>
      <c r="U136" s="118"/>
      <c r="V136" s="118"/>
    </row>
    <row r="137" outlineLevel="1">
      <c r="A137" s="146"/>
      <c r="B137" s="300" t="s">
        <v>249</v>
      </c>
      <c r="C137" s="309" t="str">
        <f t="array" ref="C137">INDEX('転倒'!$M$3:$P$115, MATCH($A$1,'転倒'!$A$3:$A$115,0), MATCH(C111,'転倒'!$M$2:$AC$2,0))</f>
        <v>1-7</v>
      </c>
      <c r="D137" s="310">
        <f t="array" ref="D137">INDEX('転倒'!$M$3:$P$115, MATCH($A$1,'転倒'!$A$3:$A$115,0), MATCH(D111,'転倒'!$M$2:$AC$2,0))</f>
        <v>49</v>
      </c>
      <c r="E137" s="307" t="str">
        <f t="array" ref="E137">INDEX('転倒'!$M$3:$P$115, MATCH($A$1,'転倒'!$A$3:$A$115,0), MATCH(E111,'転倒'!$M$2:$AC$2,0))</f>
        <v>19-20</v>
      </c>
      <c r="F137" s="308">
        <f t="array" ref="F137">INDEX('転倒'!$M$3:$P$115, MATCH($A$1,'転倒'!$A$3:$A$115,0), MATCH(F111,'転倒'!$M$2:$AC$2,0))</f>
        <v>5</v>
      </c>
      <c r="G137" s="113">
        <f t="shared" ref="G137:G138" si="3">F137*1.2</f>
        <v>6</v>
      </c>
      <c r="H137" s="228"/>
      <c r="I137" s="228"/>
      <c r="J137" s="228"/>
      <c r="K137" s="118"/>
      <c r="L137" s="118"/>
      <c r="M137" s="118"/>
      <c r="N137" s="102"/>
      <c r="O137" s="102"/>
      <c r="P137" s="102"/>
      <c r="Q137" s="102"/>
      <c r="R137" s="118"/>
      <c r="S137" s="118"/>
      <c r="T137" s="118"/>
      <c r="U137" s="118"/>
      <c r="V137" s="118"/>
    </row>
    <row r="138" outlineLevel="1">
      <c r="A138" s="156"/>
      <c r="B138" s="311" t="s">
        <v>250</v>
      </c>
      <c r="C138" s="156"/>
      <c r="D138" s="156"/>
      <c r="E138" s="307" t="str">
        <f t="array" ref="E138">INDEX('転倒'!$Q$3:$R$115, MATCH($A$1,'転倒'!$A$3:$A$115,0), MATCH(E111,'転倒'!$Q$2:$AC$2,0))</f>
        <v>27-28</v>
      </c>
      <c r="F138" s="308">
        <f t="array" ref="F138">INDEX('転倒'!$Q$3:$R$115, MATCH($A$1,'転倒'!$A$3:$A$115,0), MATCH(F111,'転倒'!$Q$2:$AC$2,0))</f>
        <v>5</v>
      </c>
      <c r="G138" s="113">
        <f t="shared" si="3"/>
        <v>6</v>
      </c>
      <c r="H138" s="228"/>
      <c r="I138" s="228"/>
      <c r="J138" s="228"/>
      <c r="K138" s="118"/>
      <c r="L138" s="118"/>
      <c r="M138" s="118"/>
      <c r="N138" s="102"/>
      <c r="O138" s="102"/>
      <c r="P138" s="102"/>
      <c r="Q138" s="102"/>
      <c r="R138" s="118"/>
      <c r="S138" s="118"/>
      <c r="T138" s="118"/>
      <c r="U138" s="118"/>
      <c r="V138" s="118"/>
    </row>
    <row r="139" outlineLevel="1">
      <c r="A139" s="319"/>
      <c r="B139" s="320"/>
      <c r="C139" s="321"/>
      <c r="D139" s="321"/>
      <c r="E139" s="322"/>
      <c r="F139" s="322"/>
      <c r="G139" s="114"/>
      <c r="H139" s="228"/>
      <c r="I139" s="228"/>
      <c r="J139" s="228"/>
      <c r="K139" s="118"/>
      <c r="L139" s="118"/>
      <c r="M139" s="118"/>
      <c r="N139" s="102"/>
      <c r="O139" s="102"/>
      <c r="P139" s="102"/>
      <c r="Q139" s="102"/>
      <c r="R139" s="118"/>
      <c r="S139" s="118"/>
      <c r="T139" s="118"/>
      <c r="U139" s="118"/>
      <c r="V139" s="118"/>
    </row>
    <row r="140" outlineLevel="1">
      <c r="A140" s="323" t="s">
        <v>255</v>
      </c>
      <c r="B140" s="109"/>
      <c r="C140" s="321"/>
      <c r="D140" s="321"/>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256</v>
      </c>
      <c r="B141" s="109"/>
      <c r="C141" s="325" t="s">
        <v>257</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258</v>
      </c>
      <c r="B142" s="327" t="s">
        <v>216</v>
      </c>
      <c r="C142" s="328" t="str">
        <f t="array" ref="C142">INDEX('アイテム'!$C$3:$D$114, MATCH($A$1,'アイテム'!$A$3:$A$114,0), MATCH(C141,'アイテム'!$C$2:$AQ$2,0))</f>
        <v>2</v>
      </c>
      <c r="D142" s="328">
        <f t="array" ref="D142">INDEX('アイテム'!$C$3:$D$114, MATCH($A$1,'アイテム'!$A$3:$A$114,0), MATCH(D141,'アイテム'!$C$2:$AQ$2,0))</f>
        <v>7</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219</v>
      </c>
      <c r="C143" s="328" t="str">
        <f t="array" ref="C143">INDEX('アイテム'!$E$3:$F$114, MATCH($A$1,'アイテム'!$A$3:$A$114,0), MATCH(C141,'アイテム'!$C$2:$AQ$2,0))</f>
        <v>2</v>
      </c>
      <c r="D143" s="328">
        <f t="array" ref="D143">INDEX('アイテム'!$E$3:$F$114, MATCH($A$1,'アイテム'!$A$3:$A$114,0), MATCH(D141,'アイテム'!$C$2:$AQ$2,0))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329" t="s">
        <v>259</v>
      </c>
      <c r="B144" s="327" t="s">
        <v>216</v>
      </c>
      <c r="C144" s="328">
        <f t="array" ref="C144">INDEX('アイテム'!$AA$3:$AB$114, MATCH($A$1,'アイテム'!$A$3:$A$114,0), MATCH(C141,'アイテム'!$C$2:$AQ$2,0))</f>
        <v>3</v>
      </c>
      <c r="D144" s="328" t="str">
        <f t="array" ref="D144">INDEX('アイテム'!$AA$3:$AB$114, MATCH($A$1,'アイテム'!$A$3:$A$114,0), MATCH(D141,'アイテム'!$C$2:$AQ$2,0))</f>
        <v>12</v>
      </c>
      <c r="E144" s="322"/>
      <c r="F144" s="322"/>
      <c r="G144" s="114"/>
      <c r="H144" s="228"/>
      <c r="I144" s="228"/>
      <c r="J144" s="228"/>
      <c r="K144" s="118"/>
      <c r="L144" s="118"/>
      <c r="M144" s="118"/>
      <c r="N144" s="102"/>
      <c r="O144" s="102"/>
      <c r="P144" s="102"/>
      <c r="Q144" s="102"/>
      <c r="R144" s="118"/>
      <c r="S144" s="118"/>
      <c r="T144" s="118"/>
      <c r="U144" s="118"/>
      <c r="V144" s="118"/>
    </row>
    <row r="145" outlineLevel="1">
      <c r="A145" s="324" t="s">
        <v>260</v>
      </c>
      <c r="B145" s="109"/>
      <c r="C145" s="325" t="s">
        <v>261</v>
      </c>
      <c r="D145" s="325" t="s">
        <v>49</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262</v>
      </c>
      <c r="B146" s="327" t="s">
        <v>226</v>
      </c>
      <c r="C146" s="328" t="str">
        <f t="array" ref="C146">INDEX('アイテム'!$G$3:$H$114, MATCH($A$1,'アイテム'!$A$3:$A$114,0), MATCH(C141,'アイテム'!$C$2:$AQ$2,0))</f>
        <v>8</v>
      </c>
      <c r="D146" s="328">
        <f t="array" ref="D146">INDEX('アイテム'!$G$3:$H$114, MATCH($A$1,'アイテム'!$A$3:$A$114,0), MATCH(D141,'アイテム'!$C$2:$AQ$2,0))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229</v>
      </c>
      <c r="C147" s="328" t="str">
        <f t="array" ref="C147">INDEX('アイテム'!$I$3:$J$114, MATCH($A$1,'アイテム'!$A$3:$A$114,0), MATCH(C141,'アイテム'!$C$2:$AQ$2,0))</f>
        <v>11</v>
      </c>
      <c r="D147" s="328">
        <f t="array" ref="D147">INDEX('アイテム'!$I$3:$J$114, MATCH($A$1,'アイテム'!$A$3:$A$114,0), MATCH(D141,'アイテム'!$C$2:$AQ$2,0))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233</v>
      </c>
      <c r="C148" s="328" t="str">
        <f t="array" ref="C148">INDEX('アイテム'!$K$3:$L$114, MATCH($A$1,'アイテム'!$A$3:$A$114,0), MATCH(C141,'アイテム'!$C$2:$AQ$2,0))</f>
        <v>11</v>
      </c>
      <c r="D148" s="328">
        <f t="array" ref="D148">INDEX('アイテム'!$K$3:$L$114, MATCH($A$1,'アイテム'!$A$3:$A$114,0), MATCH(D141,'アイテム'!$C$2:$AQ$2,0))</f>
        <v>23</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234</v>
      </c>
      <c r="C149" s="328" t="str">
        <f t="array" ref="C149">INDEX('アイテム'!$M$3:$N$114, MATCH($A$1,'アイテム'!$A$3:$A$114,0), MATCH(C141,'アイテム'!$C$2:$AQ$2,0))</f>
        <v>7</v>
      </c>
      <c r="D149" s="328">
        <f t="array" ref="D149">INDEX('アイテム'!$M$3:$N$114, MATCH($A$1,'アイテム'!$A$3:$A$114,0), MATCH(D141,'アイテム'!$C$2:$AQ$2,0))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219</v>
      </c>
      <c r="C150" s="328" t="str">
        <f t="array" ref="C150">INDEX('アイテム'!$O$3:$P$114, MATCH($A$1,'アイテム'!$A$3:$A$114,0), MATCH(C141,'アイテム'!$C$2:$AQ$2,0))</f>
        <v>5</v>
      </c>
      <c r="D150" s="328">
        <f t="array" ref="D150">INDEX('アイテム'!$O$3:$P$114, MATCH($A$1,'アイテム'!$A$3:$A$114,0), MATCH(D141,'アイテム'!$C$2:$AQ$2,0))</f>
        <v>29</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263</v>
      </c>
      <c r="C151" s="328" t="str">
        <f t="array" ref="C151">INDEX('アイテム'!$Q$3:$R$114, MATCH($A$1,'アイテム'!$A$3:$A$114,0), MATCH(C141,'アイテム'!$C$2:$AQ$2,0))</f>
        <v>7</v>
      </c>
      <c r="D151" s="328">
        <f t="array" ref="D151">INDEX('アイテム'!$Q$3:$R$114, MATCH($A$1,'アイテム'!$A$3:$A$114,0), MATCH(D141,'アイテム'!$C$2:$AQ$2,0))</f>
        <v>23</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264</v>
      </c>
      <c r="B152" s="327" t="s">
        <v>226</v>
      </c>
      <c r="C152" s="328" t="str">
        <f t="array" ref="C152">INDEX('アイテム'!$S$3:$T$114, MATCH($A$1,'アイテム'!$A$3:$A$114,0), MATCH(C141,'アイテム'!$C$2:$AQ$2,0))</f>
        <v>8</v>
      </c>
      <c r="D152" s="328">
        <f t="array" ref="D152">INDEX('アイテム'!$S$3:$T$114, MATCH($A$1,'アイテム'!$A$3:$A$114,0), MATCH(D141,'アイテム'!$C$2:$AQ$2,0))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t="str">
        <f t="array" ref="C153">INDEX('アイテム'!$U$3:$V$114, MATCH($A$1,'アイテム'!$A$3:$A$114,0), MATCH(C141,'アイテム'!$C$2:$AQ$2,0))</f>
        <v>11</v>
      </c>
      <c r="D153" s="328">
        <f t="array" ref="D153">INDEX('アイテム'!$U$3:$V$114, MATCH($A$1,'アイテム'!$A$3:$A$114,0), MATCH(D141,'アイテム'!$C$2:$AQ$2,0))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t="str">
        <f t="array" ref="C154">INDEX('アイテム'!$W$3:$X$114, MATCH($A$1,'アイテム'!$A$3:$A$114,0), MATCH(C141,'アイテム'!$C$2:$AQ$2,0))</f>
        <v>11</v>
      </c>
      <c r="D154" s="328">
        <f t="array" ref="D154">INDEX('アイテム'!$W$3:$X$114, MATCH($A$1,'アイテム'!$A$3:$A$114,0), MATCH(D141,'アイテム'!$C$2:$AQ$2,0))</f>
        <v>23</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t="str">
        <f t="array" ref="C155">INDEX('アイテム'!$Y$3:$Z$114, MATCH($A$1,'アイテム'!$A$3:$A$114,0), MATCH(C141,'アイテム'!$C$2:$AQ$2,0))</f>
        <v>7</v>
      </c>
      <c r="D155" s="328">
        <f t="array" ref="D155">INDEX('アイテム'!$Y$3:$Z$114, MATCH($A$1,'アイテム'!$A$3:$A$114,0), MATCH(D141,'アイテム'!$C$2:$AQ$2,0))</f>
        <v>19</v>
      </c>
      <c r="E155" s="322"/>
      <c r="F155" s="322"/>
      <c r="G155" s="114"/>
      <c r="H155" s="228"/>
      <c r="I155" s="228"/>
      <c r="J155" s="228"/>
      <c r="K155" s="118"/>
      <c r="L155" s="118"/>
      <c r="M155" s="118"/>
      <c r="N155" s="102"/>
      <c r="O155" s="102"/>
      <c r="P155" s="102"/>
      <c r="Q155" s="102"/>
      <c r="R155" s="118"/>
      <c r="S155" s="118"/>
      <c r="T155" s="118"/>
      <c r="U155" s="118"/>
      <c r="V155" s="118"/>
    </row>
    <row r="156" outlineLevel="1">
      <c r="A156" s="326" t="s">
        <v>265</v>
      </c>
      <c r="B156" s="327" t="s">
        <v>226</v>
      </c>
      <c r="C156" s="328">
        <f t="array" ref="C156">INDEX('アイテム'!$AC$3:$AD$114, MATCH($A$1,'アイテム'!$A$3:$A$114,0), MATCH(C141,'アイテム'!$C$2:$AQ$2,0))</f>
        <v>14</v>
      </c>
      <c r="D156" s="328" t="str">
        <f t="array" ref="D156">INDEX('アイテム'!$AC$3:$AD$114, MATCH($A$1,'アイテム'!$A$3:$A$114,0), MATCH(D141,'アイテム'!$C$2:$AQ$2,0))</f>
        <v>30</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229</v>
      </c>
      <c r="C157" s="328">
        <f t="array" ref="C157">INDEX('アイテム'!$AE$3:$AF$114, MATCH($A$1,'アイテム'!$A$3:$A$114,0), MATCH(C141,'アイテム'!$C$2:$AQ$2,0))</f>
        <v>17</v>
      </c>
      <c r="D157" s="328" t="str">
        <f t="array" ref="D157">INDEX('アイテム'!$AE$3:$AF$114, MATCH($A$1,'アイテム'!$A$3:$A$114,0), MATCH(D141,'アイテム'!$C$2:$AQ$2,0))</f>
        <v>30</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233</v>
      </c>
      <c r="C158" s="328">
        <f t="array" ref="C158">INDEX('アイテム'!$AG$3:$AH$114, MATCH($A$1,'アイテム'!$A$3:$A$114,0), MATCH(C141,'アイテム'!$C$2:$AQ$2,0))</f>
        <v>11</v>
      </c>
      <c r="D158" s="328" t="str">
        <f t="array" ref="D158">INDEX('アイテム'!$AG$3:$AH$114, MATCH($A$1,'アイテム'!$A$3:$A$114,0), MATCH(D141,'アイテム'!$C$2:$AQ$2,0))</f>
        <v>22</v>
      </c>
      <c r="E158" s="322"/>
      <c r="F158" s="322"/>
      <c r="G158" s="114"/>
      <c r="H158" s="228"/>
      <c r="I158" s="228"/>
      <c r="J158" s="228"/>
      <c r="K158" s="118"/>
      <c r="L158" s="118"/>
      <c r="M158" s="118"/>
      <c r="N158" s="102"/>
      <c r="O158" s="102"/>
      <c r="P158" s="102"/>
      <c r="Q158" s="102"/>
      <c r="R158" s="118"/>
      <c r="S158" s="118"/>
      <c r="T158" s="118"/>
      <c r="U158" s="118"/>
      <c r="V158" s="118"/>
    </row>
    <row r="159" outlineLevel="1">
      <c r="A159" s="156"/>
      <c r="B159" s="327" t="s">
        <v>234</v>
      </c>
      <c r="C159" s="328">
        <f t="array" ref="C159">INDEX('アイテム'!$AI$3:$AJ$114, MATCH($A$1,'アイテム'!$A$3:$A$114,0), MATCH(C141,'アイテム'!$C$2:$AQ$2,0))</f>
        <v>12</v>
      </c>
      <c r="D159" s="328" t="str">
        <f t="array" ref="D159">INDEX('アイテム'!$AI$3:$AJ$114, MATCH($A$1,'アイテム'!$A$3:$A$114,0), MATCH(D141,'アイテム'!$C$2:$AQ$2,0))</f>
        <v>22</v>
      </c>
      <c r="E159" s="322"/>
      <c r="F159" s="322"/>
      <c r="G159" s="114"/>
      <c r="H159" s="228"/>
      <c r="I159" s="228"/>
      <c r="J159" s="228"/>
      <c r="K159" s="118"/>
      <c r="L159" s="118"/>
      <c r="M159" s="118"/>
      <c r="N159" s="102"/>
      <c r="O159" s="102"/>
      <c r="P159" s="102"/>
      <c r="Q159" s="102"/>
      <c r="R159" s="118"/>
      <c r="S159" s="118"/>
      <c r="T159" s="118"/>
      <c r="U159" s="118"/>
      <c r="V159" s="118"/>
    </row>
  </sheetData>
  <mergeCells count="142">
    <mergeCell ref="R45:V46"/>
    <mergeCell ref="R47:V47"/>
    <mergeCell ref="I48:I49"/>
    <mergeCell ref="J48:J49"/>
    <mergeCell ref="R48:V49"/>
    <mergeCell ref="J50:J55"/>
    <mergeCell ref="R50:V55"/>
    <mergeCell ref="I50:I55"/>
    <mergeCell ref="I56:I57"/>
    <mergeCell ref="J56:J57"/>
    <mergeCell ref="H60:J60"/>
    <mergeCell ref="H61:J61"/>
    <mergeCell ref="F62:F63"/>
    <mergeCell ref="G62:G63"/>
    <mergeCell ref="U74:U84"/>
    <mergeCell ref="V74:V84"/>
    <mergeCell ref="R56:V57"/>
    <mergeCell ref="U61:U63"/>
    <mergeCell ref="V61:V63"/>
    <mergeCell ref="U65:U66"/>
    <mergeCell ref="V65:V66"/>
    <mergeCell ref="U68:U72"/>
    <mergeCell ref="V68:V72"/>
    <mergeCell ref="H62:J63"/>
    <mergeCell ref="H64:J64"/>
    <mergeCell ref="H65:J66"/>
    <mergeCell ref="H67:J67"/>
    <mergeCell ref="H68:J72"/>
    <mergeCell ref="H73:J73"/>
    <mergeCell ref="H74:J84"/>
    <mergeCell ref="K112:K113"/>
    <mergeCell ref="K115:K120"/>
    <mergeCell ref="K121:K124"/>
    <mergeCell ref="K125:L125"/>
    <mergeCell ref="K127:K130"/>
    <mergeCell ref="K131:L131"/>
    <mergeCell ref="K134:L134"/>
    <mergeCell ref="G92:J92"/>
    <mergeCell ref="G93:J94"/>
    <mergeCell ref="G95:J96"/>
    <mergeCell ref="G97:J98"/>
    <mergeCell ref="G99:J100"/>
    <mergeCell ref="K111:L111"/>
    <mergeCell ref="K114:L114"/>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4:J34"/>
    <mergeCell ref="H35:J37"/>
    <mergeCell ref="U35:U37"/>
    <mergeCell ref="H26:J26"/>
    <mergeCell ref="H27:J27"/>
    <mergeCell ref="H28:J29"/>
    <mergeCell ref="U28:U29"/>
    <mergeCell ref="H30:J32"/>
    <mergeCell ref="U30:U32"/>
    <mergeCell ref="H33:J33"/>
    <mergeCell ref="A38:A39"/>
    <mergeCell ref="D38:D39"/>
    <mergeCell ref="H38:J39"/>
    <mergeCell ref="U38:U39"/>
    <mergeCell ref="A40:A41"/>
    <mergeCell ref="D40:D41"/>
    <mergeCell ref="H40:J41"/>
    <mergeCell ref="U40:U41"/>
    <mergeCell ref="R44:V44"/>
    <mergeCell ref="I45:I46"/>
    <mergeCell ref="J45:J46"/>
    <mergeCell ref="A99:A100"/>
    <mergeCell ref="A102:B103"/>
    <mergeCell ref="A104:A106"/>
    <mergeCell ref="A107:A108"/>
    <mergeCell ref="A110:B111"/>
    <mergeCell ref="A112:A116"/>
    <mergeCell ref="A117:A119"/>
    <mergeCell ref="A152:A155"/>
    <mergeCell ref="A156:A159"/>
    <mergeCell ref="A126:A131"/>
    <mergeCell ref="A132:A138"/>
    <mergeCell ref="A140:B140"/>
    <mergeCell ref="A141:B141"/>
    <mergeCell ref="A142:A143"/>
    <mergeCell ref="A145:B145"/>
    <mergeCell ref="A146:A151"/>
    <mergeCell ref="A24:B25"/>
    <mergeCell ref="A26:A27"/>
    <mergeCell ref="A28:A29"/>
    <mergeCell ref="D28:D29"/>
    <mergeCell ref="A30:A32"/>
    <mergeCell ref="D30:D32"/>
    <mergeCell ref="A35:A37"/>
    <mergeCell ref="D50:D55"/>
    <mergeCell ref="D56:D57"/>
    <mergeCell ref="A43:B44"/>
    <mergeCell ref="A45:A46"/>
    <mergeCell ref="D45:D46"/>
    <mergeCell ref="A48:A49"/>
    <mergeCell ref="D48:D49"/>
    <mergeCell ref="A50:A55"/>
    <mergeCell ref="A56:A57"/>
    <mergeCell ref="A59:B59"/>
    <mergeCell ref="A60:B60"/>
    <mergeCell ref="A61:A63"/>
    <mergeCell ref="E62:E63"/>
    <mergeCell ref="A64:B64"/>
    <mergeCell ref="A65:A66"/>
    <mergeCell ref="A67:B67"/>
    <mergeCell ref="A68:A72"/>
    <mergeCell ref="D68:D72"/>
    <mergeCell ref="A73:B73"/>
    <mergeCell ref="A74:A84"/>
    <mergeCell ref="A86:B87"/>
    <mergeCell ref="A89:A91"/>
    <mergeCell ref="A92:B92"/>
    <mergeCell ref="A93:A94"/>
    <mergeCell ref="D93:D94"/>
    <mergeCell ref="A95:A96"/>
    <mergeCell ref="D95:D96"/>
    <mergeCell ref="A97:A98"/>
    <mergeCell ref="D97:D98"/>
    <mergeCell ref="D99:D100"/>
    <mergeCell ref="A120:A125"/>
    <mergeCell ref="C124:C125"/>
    <mergeCell ref="D124:D125"/>
    <mergeCell ref="C130:C131"/>
    <mergeCell ref="D130:D131"/>
    <mergeCell ref="C137:C138"/>
    <mergeCell ref="D137:D138"/>
  </mergeCells>
  <conditionalFormatting sqref="K1:K15 K17:K60 K62:K73 K85:K135">
    <cfRule type="containsText" dxfId="0" priority="1" operator="containsText" text="361">
      <formula>NOT(ISERROR(SEARCH(("361"),(K1))))</formula>
    </cfRule>
  </conditionalFormatting>
  <conditionalFormatting sqref="K1:K15 K17:K60 K62:K73 K85:K135">
    <cfRule type="containsText" dxfId="1" priority="2" operator="containsText" text="363">
      <formula>NOT(ISERROR(SEARCH(("363"),(K1))))</formula>
    </cfRule>
  </conditionalFormatting>
  <conditionalFormatting sqref="K1:K15 K17:K60 K62:K73 K85:K135">
    <cfRule type="containsText" dxfId="1" priority="3" operator="containsText" text="365">
      <formula>NOT(ISERROR(SEARCH(("365"),(K1))))</formula>
    </cfRule>
  </conditionalFormatting>
  <conditionalFormatting sqref="K1:K15 K17:K60 K62:K73 K85:K135">
    <cfRule type="containsText" dxfId="1" priority="4" operator="containsText" text="366">
      <formula>NOT(ISERROR(SEARCH(("366"),(K1))))</formula>
    </cfRule>
  </conditionalFormatting>
  <conditionalFormatting sqref="K1:K15 K17:K60 K62:K73 K85:K135">
    <cfRule type="containsText" dxfId="1" priority="5" operator="containsText" text="367">
      <formula>NOT(ISERROR(SEARCH(("367"),(K1))))</formula>
    </cfRule>
  </conditionalFormatting>
  <conditionalFormatting sqref="P93:P100">
    <cfRule type="cellIs" dxfId="2" priority="6" operator="equal">
      <formula>"敵のみ"</formula>
    </cfRule>
  </conditionalFormatting>
  <conditionalFormatting sqref="C93:C100">
    <cfRule type="cellIs" dxfId="3" priority="7" operator="equal">
      <formula>"-"</formula>
    </cfRule>
  </conditionalFormatting>
  <conditionalFormatting sqref="O1:O60 O62:O73 O75:O159 P100">
    <cfRule type="cellIs" dxfId="4" priority="8" operator="greaterThan">
      <formula>0</formula>
    </cfRule>
  </conditionalFormatting>
  <conditionalFormatting sqref="P1:Q60 P62:Q73 P75:Q159">
    <cfRule type="cellIs" dxfId="5" priority="9" operator="lessThan">
      <formula>1</formula>
    </cfRule>
  </conditionalFormatting>
  <conditionalFormatting sqref="P1:Q60 P62:Q73 P75:Q159">
    <cfRule type="cellIs" dxfId="4" priority="10" operator="greaterThan">
      <formula>1</formula>
    </cfRule>
  </conditionalFormatting>
  <conditionalFormatting sqref="N25:N60 N62:N73 N85:N100">
    <cfRule type="cellIs" dxfId="6" priority="11" operator="greaterThan">
      <formula>0</formula>
    </cfRule>
  </conditionalFormatting>
  <conditionalFormatting sqref="N1:N15 N17:N60 N62:N73 N85:N159">
    <cfRule type="containsText" dxfId="6" priority="12" operator="containsText" text="/">
      <formula>NOT(ISERROR(SEARCH(("/"),(N1))))</formula>
    </cfRule>
  </conditionalFormatting>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4745E"/>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968">
        <v>14.0</v>
      </c>
      <c r="B1" s="969"/>
      <c r="C1" s="970" t="str">
        <f>IMAGE(VLOOKUP($A$1,Fighters!A2:AI114,12,FALSE),1)</f>
        <v>#REF!</v>
      </c>
      <c r="D1" s="971"/>
      <c r="E1" s="971"/>
      <c r="F1" s="971"/>
      <c r="G1" s="972"/>
      <c r="H1" s="973"/>
      <c r="I1" s="971"/>
      <c r="J1" s="972"/>
      <c r="K1" s="974"/>
      <c r="L1" s="971"/>
      <c r="M1" s="972"/>
      <c r="N1" s="975"/>
      <c r="O1" s="975"/>
      <c r="P1" s="975"/>
      <c r="Q1" s="975"/>
      <c r="R1" s="976"/>
      <c r="S1" s="976"/>
      <c r="T1" s="976"/>
      <c r="U1" s="976"/>
      <c r="V1" s="976"/>
    </row>
    <row r="2">
      <c r="A2" s="977" t="str">
        <f>VLOOKUP($A$1,Fighters!$A$2:$AI$81,6,FALSE)</f>
        <v>#44745e</v>
      </c>
      <c r="B2" s="969"/>
      <c r="C2" s="978"/>
      <c r="G2" s="979"/>
      <c r="H2" s="980"/>
      <c r="I2" s="981"/>
      <c r="J2" s="982"/>
      <c r="K2" s="980"/>
      <c r="L2" s="981"/>
      <c r="M2" s="982"/>
      <c r="N2" s="975"/>
      <c r="O2" s="975"/>
      <c r="P2" s="975"/>
      <c r="Q2" s="975"/>
      <c r="R2" s="976"/>
      <c r="S2" s="976"/>
      <c r="T2" s="976"/>
      <c r="U2" s="976"/>
      <c r="V2" s="976"/>
    </row>
    <row r="3">
      <c r="A3" s="977" t="str">
        <f>VLOOKUP($A$1,Fighters!$A$2:$AI$81,14,FALSE)</f>
        <v>14. クッパ</v>
      </c>
      <c r="B3" s="969"/>
      <c r="C3" s="978"/>
      <c r="G3" s="979"/>
      <c r="H3" s="983"/>
      <c r="I3" s="983"/>
      <c r="J3" s="983"/>
      <c r="K3" s="984"/>
      <c r="L3" s="984"/>
      <c r="M3" s="984"/>
      <c r="N3" s="975"/>
      <c r="O3" s="975"/>
      <c r="P3" s="975"/>
      <c r="Q3" s="975"/>
      <c r="R3" s="985"/>
      <c r="S3" s="976"/>
      <c r="T3" s="976"/>
      <c r="U3" s="976"/>
      <c r="V3" s="976"/>
    </row>
    <row r="4">
      <c r="A4" s="977" t="str">
        <f>VLOOKUP($A$1,Fighters!$A$2:$AI$81,13,FALSE)</f>
        <v>1</v>
      </c>
      <c r="B4" s="969"/>
      <c r="C4" s="978"/>
      <c r="G4" s="979"/>
      <c r="H4" s="986"/>
      <c r="I4" s="986"/>
      <c r="J4" s="983"/>
      <c r="K4" s="984"/>
      <c r="L4" s="984"/>
      <c r="M4" s="984"/>
      <c r="N4" s="975"/>
      <c r="O4" s="975"/>
      <c r="P4" s="975"/>
      <c r="Q4" s="975"/>
      <c r="R4" s="985"/>
      <c r="S4" s="976"/>
      <c r="T4" s="976"/>
      <c r="U4" s="976"/>
      <c r="V4" s="976"/>
    </row>
    <row r="5" ht="16.5" customHeight="1">
      <c r="A5" s="968"/>
      <c r="B5" s="969"/>
      <c r="C5" s="978"/>
      <c r="G5" s="979"/>
      <c r="H5" s="987"/>
      <c r="I5" s="987"/>
      <c r="J5" s="988"/>
      <c r="K5" s="989"/>
      <c r="L5" s="990"/>
      <c r="M5" s="990"/>
      <c r="N5" s="975"/>
      <c r="O5" s="975"/>
      <c r="P5" s="975"/>
      <c r="Q5" s="975"/>
      <c r="R5" s="985"/>
      <c r="S5" s="976"/>
      <c r="T5" s="976"/>
      <c r="U5" s="976"/>
      <c r="V5" s="976"/>
    </row>
    <row r="6">
      <c r="A6" s="969"/>
      <c r="B6" s="969"/>
      <c r="C6" s="978"/>
      <c r="G6" s="979"/>
      <c r="H6" s="986"/>
      <c r="I6" s="991" t="s">
        <v>39</v>
      </c>
      <c r="J6" s="989"/>
      <c r="K6" s="992"/>
      <c r="L6" s="990"/>
      <c r="M6" s="990"/>
      <c r="N6" s="975"/>
      <c r="O6" s="975"/>
      <c r="P6" s="975"/>
      <c r="Q6" s="975"/>
      <c r="R6" s="985"/>
      <c r="S6" s="976"/>
      <c r="T6" s="976"/>
      <c r="U6" s="976"/>
      <c r="V6" s="976"/>
    </row>
    <row r="7">
      <c r="A7" s="969"/>
      <c r="B7" s="969"/>
      <c r="C7" s="978"/>
      <c r="G7" s="979"/>
      <c r="H7" s="987"/>
      <c r="I7" s="987"/>
      <c r="J7" s="989"/>
      <c r="K7" s="992"/>
      <c r="L7" s="990"/>
      <c r="M7" s="990"/>
      <c r="N7" s="975"/>
      <c r="O7" s="975"/>
      <c r="P7" s="975"/>
      <c r="Q7" s="975"/>
      <c r="R7" s="985"/>
      <c r="S7" s="976"/>
      <c r="T7" s="976"/>
      <c r="U7" s="976"/>
      <c r="V7" s="976"/>
    </row>
    <row r="8">
      <c r="A8" s="969"/>
      <c r="B8" s="969"/>
      <c r="C8" s="978"/>
      <c r="G8" s="979"/>
      <c r="H8" s="993">
        <v>44379.83373690972</v>
      </c>
      <c r="I8" s="971"/>
      <c r="J8" s="972"/>
      <c r="K8" s="989"/>
      <c r="L8" s="990"/>
      <c r="M8" s="990"/>
      <c r="N8" s="975"/>
      <c r="O8" s="975"/>
      <c r="P8" s="975"/>
      <c r="Q8" s="975"/>
      <c r="R8" s="985"/>
      <c r="S8" s="976"/>
      <c r="T8" s="976"/>
      <c r="U8" s="976"/>
      <c r="V8" s="976"/>
    </row>
    <row r="9">
      <c r="A9" s="969"/>
      <c r="B9" s="969"/>
      <c r="C9" s="978"/>
      <c r="G9" s="979"/>
      <c r="H9" s="980"/>
      <c r="I9" s="981"/>
      <c r="J9" s="982"/>
      <c r="K9" s="976"/>
      <c r="L9" s="975"/>
      <c r="M9" s="975"/>
      <c r="N9" s="975"/>
      <c r="O9" s="975"/>
      <c r="P9" s="975"/>
      <c r="Q9" s="975"/>
      <c r="R9" s="985"/>
      <c r="S9" s="976"/>
      <c r="T9" s="976"/>
      <c r="U9" s="976"/>
      <c r="V9" s="976"/>
    </row>
    <row r="10">
      <c r="A10" s="969"/>
      <c r="B10" s="969"/>
      <c r="C10" s="978"/>
      <c r="G10" s="979"/>
      <c r="H10" s="994"/>
      <c r="I10" s="994"/>
      <c r="J10" s="976"/>
      <c r="K10" s="976"/>
      <c r="L10" s="975"/>
      <c r="M10" s="975"/>
      <c r="N10" s="975"/>
      <c r="O10" s="975"/>
      <c r="P10" s="975"/>
      <c r="Q10" s="975"/>
      <c r="R10" s="985"/>
      <c r="S10" s="976"/>
      <c r="T10" s="976"/>
      <c r="U10" s="976"/>
      <c r="V10" s="976"/>
    </row>
    <row r="11">
      <c r="A11" s="995" t="s">
        <v>40</v>
      </c>
      <c r="B11" s="972"/>
      <c r="C11" s="978"/>
      <c r="G11" s="979"/>
      <c r="H11" s="987"/>
      <c r="I11" s="987"/>
      <c r="J11" s="976"/>
      <c r="K11" s="976"/>
      <c r="L11" s="975"/>
      <c r="M11" s="975"/>
      <c r="N11" s="975"/>
      <c r="O11" s="975"/>
      <c r="P11" s="975"/>
      <c r="Q11" s="975"/>
      <c r="R11" s="985"/>
      <c r="S11" s="976"/>
      <c r="T11" s="976"/>
      <c r="U11" s="976"/>
      <c r="V11" s="976"/>
    </row>
    <row r="12">
      <c r="A12" s="980"/>
      <c r="B12" s="982"/>
      <c r="C12" s="980"/>
      <c r="D12" s="981"/>
      <c r="E12" s="981"/>
      <c r="F12" s="981"/>
      <c r="G12" s="982"/>
      <c r="H12" s="996"/>
      <c r="I12" s="996"/>
      <c r="J12" s="969"/>
      <c r="K12" s="969"/>
      <c r="L12" s="975"/>
      <c r="M12" s="975"/>
      <c r="N12" s="975"/>
      <c r="O12" s="975"/>
      <c r="P12" s="975"/>
      <c r="Q12" s="975"/>
      <c r="R12" s="985"/>
      <c r="S12" s="976"/>
      <c r="T12" s="976"/>
      <c r="U12" s="976"/>
      <c r="V12" s="97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135 [1st]</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2.255 [6th]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0.901 [72nd]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0.11528 [75th]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 [39th]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6F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1.971 [22nd]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22F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0.104 [60th]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15.7 [48th]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13F [73rd]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1.155 [20th]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32.61 [48th]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1.77 [20th]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2.832 [20th]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0.125 [13th]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319</v>
      </c>
      <c r="D26" s="139" t="s">
        <v>92</v>
      </c>
      <c r="E26" s="139" t="s">
        <v>73</v>
      </c>
      <c r="F26" s="138">
        <v>4.8</v>
      </c>
      <c r="G26" s="139" t="s">
        <v>75</v>
      </c>
      <c r="H26" s="140" t="s">
        <v>1287</v>
      </c>
      <c r="I26" s="110"/>
      <c r="J26" s="109"/>
      <c r="K26" s="138"/>
      <c r="L26" s="282"/>
      <c r="M26" s="363"/>
      <c r="N26" s="363"/>
      <c r="O26" s="145">
        <v>0.0</v>
      </c>
      <c r="P26" s="145">
        <v>1.0</v>
      </c>
      <c r="Q26" s="145">
        <v>1.0</v>
      </c>
      <c r="R26" s="100"/>
      <c r="S26" s="100"/>
      <c r="T26" s="100"/>
      <c r="U26" s="145" t="s">
        <v>69</v>
      </c>
      <c r="V26" s="100"/>
    </row>
    <row r="27" outlineLevel="1">
      <c r="A27" s="156"/>
      <c r="B27" s="147" t="s">
        <v>63</v>
      </c>
      <c r="C27" s="467" t="s">
        <v>835</v>
      </c>
      <c r="D27" s="467" t="s">
        <v>92</v>
      </c>
      <c r="E27" s="450" t="s">
        <v>93</v>
      </c>
      <c r="F27" s="138">
        <v>8.4</v>
      </c>
      <c r="G27" s="139" t="s">
        <v>95</v>
      </c>
      <c r="H27" s="140" t="s">
        <v>1288</v>
      </c>
      <c r="I27" s="110"/>
      <c r="J27" s="109"/>
      <c r="K27" s="282"/>
      <c r="L27" s="282"/>
      <c r="M27" s="363"/>
      <c r="N27" s="363"/>
      <c r="O27" s="145">
        <v>0.0</v>
      </c>
      <c r="P27" s="145">
        <v>1.0</v>
      </c>
      <c r="Q27" s="145">
        <v>1.0</v>
      </c>
      <c r="R27" s="100"/>
      <c r="S27" s="100"/>
      <c r="T27" s="100"/>
      <c r="U27" s="145" t="s">
        <v>76</v>
      </c>
      <c r="V27" s="100"/>
    </row>
    <row r="28" outlineLevel="1">
      <c r="A28" s="133" t="s">
        <v>77</v>
      </c>
      <c r="B28" s="160"/>
      <c r="C28" s="467" t="s">
        <v>580</v>
      </c>
      <c r="D28" s="455" t="s">
        <v>300</v>
      </c>
      <c r="E28" s="467" t="s">
        <v>129</v>
      </c>
      <c r="F28" s="138">
        <v>14.399999999999999</v>
      </c>
      <c r="G28" s="139" t="s">
        <v>88</v>
      </c>
      <c r="H28" s="456"/>
      <c r="I28" s="164"/>
      <c r="J28" s="104"/>
      <c r="K28" s="138"/>
      <c r="L28" s="282"/>
      <c r="M28" s="363"/>
      <c r="N28" s="363"/>
      <c r="O28" s="145">
        <v>1.0</v>
      </c>
      <c r="P28" s="145">
        <v>1.0</v>
      </c>
      <c r="Q28" s="145">
        <v>1.0</v>
      </c>
      <c r="R28" s="100"/>
      <c r="S28" s="100"/>
      <c r="T28" s="100"/>
      <c r="U28" s="166" t="s">
        <v>69</v>
      </c>
      <c r="V28" s="100"/>
    </row>
    <row r="29" outlineLevel="1">
      <c r="A29" s="156"/>
      <c r="B29" s="147" t="s">
        <v>84</v>
      </c>
      <c r="C29" s="467" t="s">
        <v>1289</v>
      </c>
      <c r="D29" s="107"/>
      <c r="E29" s="467" t="s">
        <v>128</v>
      </c>
      <c r="F29" s="138">
        <v>12.0</v>
      </c>
      <c r="G29" s="139" t="s">
        <v>121</v>
      </c>
      <c r="H29" s="106"/>
      <c r="I29" s="168"/>
      <c r="J29" s="107"/>
      <c r="K29" s="282"/>
      <c r="L29" s="282"/>
      <c r="M29" s="363"/>
      <c r="N29" s="363"/>
      <c r="O29" s="145">
        <v>1.0</v>
      </c>
      <c r="P29" s="145">
        <v>1.0</v>
      </c>
      <c r="Q29" s="145">
        <v>1.0</v>
      </c>
      <c r="R29" s="100"/>
      <c r="S29" s="100"/>
      <c r="T29" s="100"/>
      <c r="U29" s="156"/>
      <c r="V29" s="100"/>
    </row>
    <row r="30" outlineLevel="1">
      <c r="A30" s="170" t="s">
        <v>89</v>
      </c>
      <c r="B30" s="147" t="s">
        <v>90</v>
      </c>
      <c r="C30" s="467" t="s">
        <v>1290</v>
      </c>
      <c r="D30" s="467" t="s">
        <v>79</v>
      </c>
      <c r="E30" s="450" t="s">
        <v>228</v>
      </c>
      <c r="F30" s="138">
        <v>15.6</v>
      </c>
      <c r="G30" s="139" t="s">
        <v>407</v>
      </c>
      <c r="H30" s="151" t="s">
        <v>1291</v>
      </c>
      <c r="I30" s="110"/>
      <c r="J30" s="109"/>
      <c r="K30" s="138"/>
      <c r="L30" s="282"/>
      <c r="M30" s="363"/>
      <c r="N30" s="363"/>
      <c r="O30" s="145">
        <v>0.0</v>
      </c>
      <c r="P30" s="145">
        <v>1.0</v>
      </c>
      <c r="Q30" s="145">
        <v>1.0</v>
      </c>
      <c r="R30" s="100"/>
      <c r="S30" s="100"/>
      <c r="T30" s="100"/>
      <c r="U30" s="145" t="s">
        <v>96</v>
      </c>
      <c r="V30" s="100"/>
    </row>
    <row r="31" outlineLevel="1">
      <c r="A31" s="170" t="s">
        <v>97</v>
      </c>
      <c r="B31" s="160"/>
      <c r="C31" s="216" t="s">
        <v>1292</v>
      </c>
      <c r="D31" s="216" t="s">
        <v>628</v>
      </c>
      <c r="E31" s="216" t="s">
        <v>232</v>
      </c>
      <c r="F31" s="138">
        <v>13.2</v>
      </c>
      <c r="G31" s="139" t="s">
        <v>121</v>
      </c>
      <c r="H31" s="140" t="s">
        <v>1293</v>
      </c>
      <c r="I31" s="110"/>
      <c r="J31" s="109"/>
      <c r="K31" s="282"/>
      <c r="L31" s="282"/>
      <c r="M31" s="363"/>
      <c r="N31" s="363"/>
      <c r="O31" s="145">
        <v>0.0</v>
      </c>
      <c r="P31" s="145">
        <v>1.0</v>
      </c>
      <c r="Q31" s="145">
        <v>1.0</v>
      </c>
      <c r="R31" s="100"/>
      <c r="S31" s="100"/>
      <c r="T31" s="100"/>
      <c r="U31" s="145" t="s">
        <v>62</v>
      </c>
      <c r="V31" s="100"/>
    </row>
    <row r="32" ht="36.75" customHeight="1" outlineLevel="1">
      <c r="A32" s="133" t="s">
        <v>103</v>
      </c>
      <c r="B32" s="147" t="s">
        <v>125</v>
      </c>
      <c r="C32" s="216" t="s">
        <v>627</v>
      </c>
      <c r="D32" s="195" t="s">
        <v>146</v>
      </c>
      <c r="E32" s="216" t="s">
        <v>93</v>
      </c>
      <c r="F32" s="138">
        <v>8.4</v>
      </c>
      <c r="G32" s="139" t="s">
        <v>95</v>
      </c>
      <c r="H32" s="283" t="s">
        <v>1294</v>
      </c>
      <c r="I32" s="164"/>
      <c r="J32" s="104"/>
      <c r="K32" s="145"/>
      <c r="L32" s="363"/>
      <c r="M32" s="363"/>
      <c r="N32" s="363"/>
      <c r="O32" s="145">
        <v>0.0</v>
      </c>
      <c r="P32" s="145">
        <v>1.0</v>
      </c>
      <c r="Q32" s="145">
        <v>1.0</v>
      </c>
      <c r="R32" s="100"/>
      <c r="S32" s="100"/>
      <c r="T32" s="100"/>
      <c r="U32" s="166" t="s">
        <v>62</v>
      </c>
      <c r="V32" s="100"/>
    </row>
    <row r="33" ht="36.75" customHeight="1" outlineLevel="1">
      <c r="A33" s="156"/>
      <c r="B33" s="147" t="s">
        <v>131</v>
      </c>
      <c r="C33" s="216" t="s">
        <v>460</v>
      </c>
      <c r="D33" s="107"/>
      <c r="E33" s="216" t="s">
        <v>80</v>
      </c>
      <c r="F33" s="138">
        <v>9.6</v>
      </c>
      <c r="G33" s="139" t="s">
        <v>123</v>
      </c>
      <c r="H33" s="106"/>
      <c r="I33" s="168"/>
      <c r="J33" s="107"/>
      <c r="K33" s="363"/>
      <c r="L33" s="363"/>
      <c r="M33" s="363"/>
      <c r="N33" s="363"/>
      <c r="O33" s="145">
        <v>0.0</v>
      </c>
      <c r="P33" s="145">
        <v>1.0</v>
      </c>
      <c r="Q33" s="145">
        <v>1.0</v>
      </c>
      <c r="R33" s="100"/>
      <c r="S33" s="100"/>
      <c r="T33" s="100"/>
      <c r="U33" s="156"/>
      <c r="V33" s="100"/>
    </row>
    <row r="34" ht="32.25" customHeight="1" outlineLevel="1">
      <c r="A34" s="133" t="s">
        <v>109</v>
      </c>
      <c r="B34" s="147"/>
      <c r="C34" s="216" t="s">
        <v>288</v>
      </c>
      <c r="D34" s="195" t="s">
        <v>777</v>
      </c>
      <c r="E34" s="216" t="s">
        <v>1295</v>
      </c>
      <c r="F34" s="138" t="s">
        <v>1296</v>
      </c>
      <c r="G34" s="139" t="s">
        <v>1297</v>
      </c>
      <c r="H34" s="163" t="s">
        <v>1298</v>
      </c>
      <c r="I34" s="164"/>
      <c r="J34" s="104"/>
      <c r="K34" s="282"/>
      <c r="L34" s="282"/>
      <c r="M34" s="363"/>
      <c r="N34" s="363"/>
      <c r="O34" s="145">
        <v>0.0</v>
      </c>
      <c r="P34" s="145">
        <v>1.0</v>
      </c>
      <c r="Q34" s="145">
        <v>1.0</v>
      </c>
      <c r="R34" s="100"/>
      <c r="S34" s="100"/>
      <c r="T34" s="100"/>
      <c r="U34" s="166" t="s">
        <v>75</v>
      </c>
      <c r="V34" s="100"/>
    </row>
    <row r="35" ht="32.25" customHeight="1" outlineLevel="1">
      <c r="A35" s="156"/>
      <c r="B35" s="147" t="s">
        <v>84</v>
      </c>
      <c r="C35" s="216" t="s">
        <v>1299</v>
      </c>
      <c r="D35" s="107"/>
      <c r="E35" s="216" t="s">
        <v>1300</v>
      </c>
      <c r="F35" s="138" t="s">
        <v>1301</v>
      </c>
      <c r="G35" s="139" t="s">
        <v>1302</v>
      </c>
      <c r="H35" s="106"/>
      <c r="I35" s="168"/>
      <c r="J35" s="107"/>
      <c r="K35" s="282"/>
      <c r="L35" s="282"/>
      <c r="M35" s="363"/>
      <c r="N35" s="363"/>
      <c r="O35" s="145">
        <v>0.0</v>
      </c>
      <c r="P35" s="145">
        <v>1.0</v>
      </c>
      <c r="Q35" s="145">
        <v>1.0</v>
      </c>
      <c r="R35" s="100"/>
      <c r="S35" s="100"/>
      <c r="T35" s="100"/>
      <c r="U35" s="156"/>
      <c r="V35" s="100"/>
    </row>
    <row r="36" ht="31.5" customHeight="1" outlineLevel="1">
      <c r="A36" s="133" t="s">
        <v>116</v>
      </c>
      <c r="B36" s="160"/>
      <c r="C36" s="216" t="s">
        <v>1303</v>
      </c>
      <c r="D36" s="195" t="s">
        <v>600</v>
      </c>
      <c r="E36" s="216" t="s">
        <v>1304</v>
      </c>
      <c r="F36" s="138" t="s">
        <v>1305</v>
      </c>
      <c r="G36" s="139" t="s">
        <v>1306</v>
      </c>
      <c r="H36" s="163" t="s">
        <v>1307</v>
      </c>
      <c r="I36" s="164"/>
      <c r="J36" s="104"/>
      <c r="K36" s="363"/>
      <c r="L36" s="363"/>
      <c r="M36" s="363"/>
      <c r="N36" s="363"/>
      <c r="O36" s="145">
        <v>0.0</v>
      </c>
      <c r="P36" s="145">
        <v>1.0</v>
      </c>
      <c r="Q36" s="145">
        <v>1.0</v>
      </c>
      <c r="R36" s="100"/>
      <c r="S36" s="100"/>
      <c r="T36" s="100"/>
      <c r="U36" s="166" t="s">
        <v>62</v>
      </c>
      <c r="V36" s="100"/>
    </row>
    <row r="37" ht="31.5" customHeight="1" outlineLevel="1">
      <c r="A37" s="156"/>
      <c r="B37" s="147" t="s">
        <v>664</v>
      </c>
      <c r="C37" s="216" t="s">
        <v>79</v>
      </c>
      <c r="D37" s="107"/>
      <c r="E37" s="216" t="s">
        <v>129</v>
      </c>
      <c r="F37" s="138">
        <v>14.399999999999999</v>
      </c>
      <c r="G37" s="139" t="s">
        <v>123</v>
      </c>
      <c r="H37" s="106"/>
      <c r="I37" s="168"/>
      <c r="J37" s="107"/>
      <c r="K37" s="363"/>
      <c r="L37" s="363"/>
      <c r="M37" s="363"/>
      <c r="N37" s="363"/>
      <c r="O37" s="145">
        <v>0.0</v>
      </c>
      <c r="P37" s="145">
        <v>1.0</v>
      </c>
      <c r="Q37" s="145">
        <v>1.0</v>
      </c>
      <c r="R37" s="100"/>
      <c r="S37" s="100"/>
      <c r="T37" s="100"/>
      <c r="U37" s="156"/>
      <c r="V37" s="100"/>
    </row>
    <row r="38" outlineLevel="1">
      <c r="A38" s="133" t="s">
        <v>124</v>
      </c>
      <c r="B38" s="147" t="s">
        <v>125</v>
      </c>
      <c r="C38" s="216" t="s">
        <v>383</v>
      </c>
      <c r="D38" s="195" t="s">
        <v>765</v>
      </c>
      <c r="E38" s="216" t="s">
        <v>153</v>
      </c>
      <c r="F38" s="138">
        <v>19.2</v>
      </c>
      <c r="G38" s="139" t="s">
        <v>88</v>
      </c>
      <c r="H38" s="163" t="s">
        <v>1308</v>
      </c>
      <c r="I38" s="164"/>
      <c r="J38" s="104"/>
      <c r="K38" s="282"/>
      <c r="L38" s="282"/>
      <c r="M38" s="363"/>
      <c r="N38" s="363"/>
      <c r="O38" s="145">
        <v>0.0</v>
      </c>
      <c r="P38" s="145">
        <v>1.0</v>
      </c>
      <c r="Q38" s="145">
        <v>1.0</v>
      </c>
      <c r="R38" s="100"/>
      <c r="S38" s="100"/>
      <c r="T38" s="100"/>
      <c r="U38" s="166" t="s">
        <v>62</v>
      </c>
      <c r="V38" s="100"/>
    </row>
    <row r="39" outlineLevel="1">
      <c r="A39" s="156"/>
      <c r="B39" s="147" t="s">
        <v>131</v>
      </c>
      <c r="C39" s="216" t="s">
        <v>380</v>
      </c>
      <c r="D39" s="107"/>
      <c r="E39" s="216" t="s">
        <v>386</v>
      </c>
      <c r="F39" s="138">
        <v>18.0</v>
      </c>
      <c r="G39" s="139" t="s">
        <v>121</v>
      </c>
      <c r="H39" s="106"/>
      <c r="I39" s="168"/>
      <c r="J39" s="107"/>
      <c r="K39" s="282"/>
      <c r="L39" s="282"/>
      <c r="M39" s="363"/>
      <c r="N39" s="363"/>
      <c r="O39" s="145">
        <v>0.0</v>
      </c>
      <c r="P39" s="145">
        <v>1.0</v>
      </c>
      <c r="Q39" s="145">
        <v>1.0</v>
      </c>
      <c r="R39" s="100"/>
      <c r="S39" s="100"/>
      <c r="T39" s="100"/>
      <c r="U39" s="156"/>
      <c r="V39" s="100"/>
    </row>
    <row r="40">
      <c r="A40" s="118"/>
      <c r="B40" s="176"/>
      <c r="C40" s="118"/>
      <c r="D40" s="118"/>
      <c r="E40" s="118"/>
      <c r="F40" s="177"/>
      <c r="G40" s="177"/>
      <c r="H40" s="118"/>
      <c r="I40" s="118"/>
      <c r="J40" s="118"/>
      <c r="K40" s="118"/>
      <c r="L40" s="118"/>
      <c r="M40" s="118"/>
      <c r="N40" s="118"/>
      <c r="O40" s="118"/>
      <c r="P40" s="118"/>
      <c r="Q40" s="118"/>
      <c r="R40" s="118"/>
      <c r="S40" s="118"/>
      <c r="T40" s="118"/>
      <c r="U40" s="118"/>
      <c r="V40" s="118"/>
    </row>
    <row r="41">
      <c r="A41" s="178" t="str">
        <f>'テンプレート'!A55</f>
        <v>空中攻撃</v>
      </c>
      <c r="B41" s="104"/>
      <c r="C41" s="179"/>
      <c r="D41" s="179"/>
      <c r="E41" s="179"/>
      <c r="F41" s="180"/>
      <c r="G41" s="179"/>
      <c r="H41" s="180"/>
      <c r="I41" s="180"/>
      <c r="J41" s="181"/>
      <c r="K41" s="180"/>
      <c r="L41" s="180"/>
      <c r="M41" s="180"/>
      <c r="N41" s="180"/>
      <c r="O41" s="180"/>
      <c r="P41" s="180"/>
      <c r="Q41" s="180"/>
      <c r="R41" s="180"/>
      <c r="S41" s="180"/>
      <c r="T41" s="180"/>
      <c r="U41" s="180"/>
      <c r="V41" s="180"/>
    </row>
    <row r="42" outlineLevel="1">
      <c r="A42" s="106"/>
      <c r="B42" s="107"/>
      <c r="C42" s="182" t="str">
        <f>'テンプレート'!C56</f>
        <v>判定持続</v>
      </c>
      <c r="D42" s="183" t="str">
        <f>'テンプレート'!D56</f>
        <v>全体フレーム</v>
      </c>
      <c r="E42" s="182" t="str">
        <f>'テンプレート'!E56</f>
        <v>基礎ダメージ</v>
      </c>
      <c r="F42" s="184" t="str">
        <f>'テンプレート'!F56</f>
        <v>ダメージ (1v1)</v>
      </c>
      <c r="G42" s="184" t="str">
        <f>'テンプレート'!G56</f>
        <v>ダメ (1v1+小J)</v>
      </c>
      <c r="H42" s="185" t="str">
        <f>'テンプレート'!H56</f>
        <v>ガード硬直</v>
      </c>
      <c r="I42" s="184" t="str">
        <f>'テンプレート'!I56</f>
        <v>着地隙</v>
      </c>
      <c r="J42" s="184" t="s">
        <v>136</v>
      </c>
      <c r="K42" s="184" t="str">
        <f>'テンプレート'!K56</f>
        <v>ベクトル</v>
      </c>
      <c r="L42" s="184" t="str">
        <f>'テンプレート'!L56</f>
        <v>KBG (R.E.)</v>
      </c>
      <c r="M42" s="184" t="str">
        <f>'テンプレート'!M56</f>
        <v>BKB (R.A.)</v>
      </c>
      <c r="N42" s="184" t="str">
        <f>'テンプレート'!N56</f>
        <v>FKB (R.F.)</v>
      </c>
      <c r="O42" s="186" t="str">
        <f>'テンプレート'!O56</f>
        <v>盾削り値</v>
      </c>
      <c r="P42" s="184" t="str">
        <f>'テンプレート'!P56</f>
        <v>ﾋｯﾄｽﾄｯﾌﾟ</v>
      </c>
      <c r="Q42" s="186" t="str">
        <f>'テンプレート'!Q56</f>
        <v>ずらし</v>
      </c>
      <c r="R42" s="372" t="str">
        <f>'テンプレート'!R56</f>
        <v>備考</v>
      </c>
      <c r="S42" s="110"/>
      <c r="T42" s="110"/>
      <c r="U42" s="110"/>
      <c r="V42" s="110"/>
    </row>
    <row r="43" outlineLevel="1">
      <c r="A43" s="188" t="s">
        <v>144</v>
      </c>
      <c r="B43" s="373" t="s">
        <v>1309</v>
      </c>
      <c r="C43" s="239" t="s">
        <v>1310</v>
      </c>
      <c r="D43" s="452" t="s">
        <v>111</v>
      </c>
      <c r="E43" s="401" t="s">
        <v>86</v>
      </c>
      <c r="F43" s="193">
        <v>7.199999999999999</v>
      </c>
      <c r="G43" s="193">
        <v>6.12</v>
      </c>
      <c r="H43" s="138" t="s">
        <v>60</v>
      </c>
      <c r="I43" s="454" t="str">
        <f t="array" ref="I43">INDEX('空中攻撃'!$O$3:$AA$109, MATCH($A$1,'空中攻撃'!$A$3:$A$109,0), MATCH(A43,'空中攻撃'!$O$2:$S$2,0))</f>
        <v>15</v>
      </c>
      <c r="J43" s="195" t="s">
        <v>1311</v>
      </c>
      <c r="K43" s="376"/>
      <c r="L43" s="377"/>
      <c r="M43" s="825"/>
      <c r="N43" s="825"/>
      <c r="O43" s="199">
        <v>0.0</v>
      </c>
      <c r="P43" s="199">
        <v>1.0</v>
      </c>
      <c r="Q43" s="199">
        <v>1.0</v>
      </c>
      <c r="R43" s="456"/>
      <c r="S43" s="164"/>
      <c r="T43" s="164"/>
      <c r="U43" s="164"/>
      <c r="V43" s="104"/>
    </row>
    <row r="44" outlineLevel="1">
      <c r="A44" s="146"/>
      <c r="B44" s="373" t="s">
        <v>1312</v>
      </c>
      <c r="C44" s="239" t="s">
        <v>1313</v>
      </c>
      <c r="D44" s="210"/>
      <c r="E44" s="401" t="s">
        <v>86</v>
      </c>
      <c r="F44" s="193">
        <v>7.199999999999999</v>
      </c>
      <c r="G44" s="193">
        <v>6.12</v>
      </c>
      <c r="H44" s="138" t="s">
        <v>60</v>
      </c>
      <c r="I44" s="146"/>
      <c r="J44" s="210"/>
      <c r="K44" s="376"/>
      <c r="L44" s="377"/>
      <c r="M44" s="825"/>
      <c r="N44" s="825"/>
      <c r="O44" s="199">
        <v>0.0</v>
      </c>
      <c r="P44" s="199">
        <v>1.0</v>
      </c>
      <c r="Q44" s="199">
        <v>1.0</v>
      </c>
      <c r="R44" s="212"/>
      <c r="V44" s="210"/>
    </row>
    <row r="45" outlineLevel="1">
      <c r="A45" s="146"/>
      <c r="B45" s="373" t="s">
        <v>1314</v>
      </c>
      <c r="C45" s="239" t="s">
        <v>1315</v>
      </c>
      <c r="D45" s="210"/>
      <c r="E45" s="401" t="s">
        <v>86</v>
      </c>
      <c r="F45" s="193">
        <v>7.199999999999999</v>
      </c>
      <c r="G45" s="193">
        <v>6.12</v>
      </c>
      <c r="H45" s="138" t="s">
        <v>60</v>
      </c>
      <c r="I45" s="146"/>
      <c r="J45" s="210"/>
      <c r="K45" s="376"/>
      <c r="L45" s="377"/>
      <c r="M45" s="825"/>
      <c r="N45" s="825"/>
      <c r="O45" s="199">
        <v>0.0</v>
      </c>
      <c r="P45" s="199">
        <v>1.0</v>
      </c>
      <c r="Q45" s="199">
        <v>1.0</v>
      </c>
      <c r="R45" s="212"/>
      <c r="V45" s="210"/>
    </row>
    <row r="46" outlineLevel="1">
      <c r="A46" s="156"/>
      <c r="B46" s="373" t="s">
        <v>1316</v>
      </c>
      <c r="C46" s="239" t="s">
        <v>1315</v>
      </c>
      <c r="D46" s="107"/>
      <c r="E46" s="239" t="s">
        <v>86</v>
      </c>
      <c r="F46" s="193">
        <v>7.199999999999999</v>
      </c>
      <c r="G46" s="193">
        <v>6.12</v>
      </c>
      <c r="H46" s="138" t="s">
        <v>60</v>
      </c>
      <c r="I46" s="156"/>
      <c r="J46" s="107"/>
      <c r="K46" s="376"/>
      <c r="L46" s="377"/>
      <c r="M46" s="825"/>
      <c r="N46" s="825"/>
      <c r="O46" s="199">
        <v>0.0</v>
      </c>
      <c r="P46" s="199">
        <v>1.0</v>
      </c>
      <c r="Q46" s="199">
        <v>1.0</v>
      </c>
      <c r="R46" s="106"/>
      <c r="S46" s="168"/>
      <c r="T46" s="168"/>
      <c r="U46" s="168"/>
      <c r="V46" s="107"/>
    </row>
    <row r="47" outlineLevel="1">
      <c r="A47" s="213" t="s">
        <v>151</v>
      </c>
      <c r="B47" s="373"/>
      <c r="C47" s="239" t="s">
        <v>1317</v>
      </c>
      <c r="D47" s="774">
        <v>41.0</v>
      </c>
      <c r="E47" s="239" t="s">
        <v>1318</v>
      </c>
      <c r="F47" s="193" t="s">
        <v>1319</v>
      </c>
      <c r="G47" s="193" t="s">
        <v>1320</v>
      </c>
      <c r="H47" s="138" t="s">
        <v>1321</v>
      </c>
      <c r="I47" s="621" t="str">
        <f t="array" ref="I47">INDEX('空中攻撃'!$O$3:$AA$109, MATCH($A$1,'空中攻撃'!$A$3:$A$109,0), MATCH(A47,'空中攻撃'!$O$2:$S$2,0))</f>
        <v>14</v>
      </c>
      <c r="J47" s="467" t="s">
        <v>1322</v>
      </c>
      <c r="K47" s="376"/>
      <c r="L47" s="377"/>
      <c r="M47" s="825"/>
      <c r="N47" s="825"/>
      <c r="O47" s="199">
        <v>0.0</v>
      </c>
      <c r="P47" s="199">
        <v>1.0</v>
      </c>
      <c r="Q47" s="199">
        <v>1.0</v>
      </c>
      <c r="R47" s="159"/>
      <c r="S47" s="110"/>
      <c r="T47" s="110"/>
      <c r="U47" s="110"/>
      <c r="V47" s="109"/>
    </row>
    <row r="48" outlineLevel="1">
      <c r="A48" s="213" t="s">
        <v>157</v>
      </c>
      <c r="B48" s="373"/>
      <c r="C48" s="239" t="s">
        <v>1323</v>
      </c>
      <c r="D48" s="774">
        <v>44.0</v>
      </c>
      <c r="E48" s="239" t="s">
        <v>296</v>
      </c>
      <c r="F48" s="193">
        <v>22.8</v>
      </c>
      <c r="G48" s="193">
        <v>19.38</v>
      </c>
      <c r="H48" s="138" t="s">
        <v>95</v>
      </c>
      <c r="I48" s="621">
        <f t="array" ref="I48">INDEX('空中攻撃'!$O$3:$AA$109, MATCH($A$1,'空中攻撃'!$A$3:$A$109,0), MATCH(A48,'空中攻撃'!$O$2:$S$2,0))</f>
        <v>24</v>
      </c>
      <c r="J48" s="467" t="s">
        <v>1324</v>
      </c>
      <c r="K48" s="376"/>
      <c r="L48" s="377"/>
      <c r="M48" s="825"/>
      <c r="N48" s="825"/>
      <c r="O48" s="199">
        <v>0.0</v>
      </c>
      <c r="P48" s="199">
        <v>1.0</v>
      </c>
      <c r="Q48" s="199">
        <v>1.0</v>
      </c>
      <c r="R48" s="159"/>
      <c r="S48" s="110"/>
      <c r="T48" s="110"/>
      <c r="U48" s="110"/>
      <c r="V48" s="109"/>
    </row>
    <row r="49" outlineLevel="1">
      <c r="A49" s="213" t="s">
        <v>162</v>
      </c>
      <c r="B49" s="373"/>
      <c r="C49" s="239" t="s">
        <v>1325</v>
      </c>
      <c r="D49" s="774" t="s">
        <v>393</v>
      </c>
      <c r="E49" s="239" t="s">
        <v>386</v>
      </c>
      <c r="F49" s="193">
        <v>18.0</v>
      </c>
      <c r="G49" s="193">
        <v>15.3</v>
      </c>
      <c r="H49" s="138" t="s">
        <v>75</v>
      </c>
      <c r="I49" s="621" t="str">
        <f t="array" ref="I49">INDEX('空中攻撃'!$O$3:$AA$109, MATCH($A$1,'空中攻撃'!$A$3:$A$109,0), MATCH(A49,'空中攻撃'!$O$2:$S$2,0))</f>
        <v>17</v>
      </c>
      <c r="J49" s="467" t="s">
        <v>1326</v>
      </c>
      <c r="K49" s="377"/>
      <c r="L49" s="377"/>
      <c r="M49" s="825"/>
      <c r="N49" s="825"/>
      <c r="O49" s="199">
        <v>0.0</v>
      </c>
      <c r="P49" s="199">
        <v>1.0</v>
      </c>
      <c r="Q49" s="199">
        <v>1.0</v>
      </c>
      <c r="R49" s="151" t="s">
        <v>1327</v>
      </c>
      <c r="S49" s="110"/>
      <c r="T49" s="110"/>
      <c r="U49" s="110"/>
      <c r="V49" s="109"/>
    </row>
    <row r="50" ht="27.75" customHeight="1" outlineLevel="1">
      <c r="A50" s="188" t="s">
        <v>166</v>
      </c>
      <c r="B50" s="373" t="s">
        <v>155</v>
      </c>
      <c r="C50" s="239" t="s">
        <v>1328</v>
      </c>
      <c r="D50" s="452">
        <v>77.0</v>
      </c>
      <c r="E50" s="239" t="s">
        <v>153</v>
      </c>
      <c r="F50" s="193">
        <v>19.2</v>
      </c>
      <c r="G50" s="193">
        <v>16.32</v>
      </c>
      <c r="H50" s="138" t="s">
        <v>102</v>
      </c>
      <c r="I50" s="454">
        <f t="array" ref="I50">INDEX('空中攻撃'!$O$3:$AA$109, MATCH($A$1,'空中攻撃'!$A$3:$A$109,0), MATCH(A50,'空中攻撃'!$O$2:$S$2,0))</f>
        <v>34</v>
      </c>
      <c r="J50" s="455" t="s">
        <v>1329</v>
      </c>
      <c r="K50" s="377"/>
      <c r="L50" s="377"/>
      <c r="M50" s="825"/>
      <c r="N50" s="825"/>
      <c r="O50" s="199">
        <v>0.0</v>
      </c>
      <c r="P50" s="199">
        <v>1.0</v>
      </c>
      <c r="Q50" s="199">
        <v>1.0</v>
      </c>
      <c r="R50" s="163" t="s">
        <v>1330</v>
      </c>
      <c r="S50" s="164"/>
      <c r="T50" s="164"/>
      <c r="U50" s="164"/>
      <c r="V50" s="104"/>
    </row>
    <row r="51" ht="27.75" customHeight="1" outlineLevel="1">
      <c r="A51" s="146"/>
      <c r="B51" s="373" t="s">
        <v>84</v>
      </c>
      <c r="C51" s="239" t="s">
        <v>1331</v>
      </c>
      <c r="D51" s="210"/>
      <c r="E51" s="239" t="s">
        <v>153</v>
      </c>
      <c r="F51" s="193">
        <v>19.2</v>
      </c>
      <c r="G51" s="193">
        <v>16.32</v>
      </c>
      <c r="H51" s="138" t="s">
        <v>102</v>
      </c>
      <c r="I51" s="146"/>
      <c r="J51" s="210"/>
      <c r="K51" s="377"/>
      <c r="L51" s="377"/>
      <c r="M51" s="825"/>
      <c r="N51" s="825"/>
      <c r="O51" s="199">
        <v>0.0</v>
      </c>
      <c r="P51" s="199">
        <v>1.0</v>
      </c>
      <c r="Q51" s="199">
        <v>1.0</v>
      </c>
      <c r="R51" s="212"/>
      <c r="V51" s="210"/>
    </row>
    <row r="52" ht="27.75" customHeight="1" outlineLevel="1">
      <c r="A52" s="156"/>
      <c r="B52" s="373" t="s">
        <v>174</v>
      </c>
      <c r="C52" s="239" t="s">
        <v>1332</v>
      </c>
      <c r="D52" s="107"/>
      <c r="E52" s="239" t="s">
        <v>176</v>
      </c>
      <c r="F52" s="193">
        <v>2.4</v>
      </c>
      <c r="G52" s="193">
        <v>2.04</v>
      </c>
      <c r="H52" s="138" t="s">
        <v>60</v>
      </c>
      <c r="I52" s="156"/>
      <c r="J52" s="107"/>
      <c r="K52" s="377"/>
      <c r="L52" s="377"/>
      <c r="M52" s="825"/>
      <c r="N52" s="825"/>
      <c r="O52" s="199">
        <v>0.0</v>
      </c>
      <c r="P52" s="199">
        <v>1.0</v>
      </c>
      <c r="Q52" s="199">
        <v>1.0</v>
      </c>
      <c r="R52" s="106"/>
      <c r="S52" s="168"/>
      <c r="T52" s="168"/>
      <c r="U52" s="168"/>
      <c r="V52" s="107"/>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
        <v>177</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
        <v>1333</v>
      </c>
      <c r="B55" s="109"/>
      <c r="C55" s="231" t="s">
        <v>48</v>
      </c>
      <c r="D55" s="231" t="s">
        <v>49</v>
      </c>
      <c r="E55" s="232" t="s">
        <v>50</v>
      </c>
      <c r="F55" s="233" t="s">
        <v>51</v>
      </c>
      <c r="G55" s="232" t="s">
        <v>52</v>
      </c>
      <c r="H55" s="382" t="s">
        <v>53</v>
      </c>
      <c r="I55" s="110"/>
      <c r="J55" s="109"/>
      <c r="K55" s="235" t="s">
        <v>137</v>
      </c>
      <c r="L55" s="235" t="s">
        <v>138</v>
      </c>
      <c r="M55" s="235" t="s">
        <v>139</v>
      </c>
      <c r="N55" s="235" t="s">
        <v>140</v>
      </c>
      <c r="O55" s="236" t="s">
        <v>141</v>
      </c>
      <c r="P55" s="235" t="s">
        <v>142</v>
      </c>
      <c r="Q55" s="236" t="s">
        <v>143</v>
      </c>
      <c r="R55" s="235" t="s">
        <v>179</v>
      </c>
      <c r="S55" s="236" t="s">
        <v>180</v>
      </c>
      <c r="T55" s="236" t="s">
        <v>181</v>
      </c>
      <c r="U55" s="236" t="s">
        <v>182</v>
      </c>
      <c r="V55" s="236" t="s">
        <v>183</v>
      </c>
    </row>
    <row r="56" outlineLevel="1">
      <c r="A56" s="237" t="s">
        <v>184</v>
      </c>
      <c r="B56" s="243" t="s">
        <v>1072</v>
      </c>
      <c r="C56" s="239" t="s">
        <v>1334</v>
      </c>
      <c r="D56" s="455" t="s">
        <v>428</v>
      </c>
      <c r="E56" s="239" t="s">
        <v>700</v>
      </c>
      <c r="F56" s="138">
        <v>2.16</v>
      </c>
      <c r="G56" s="139" t="s">
        <v>170</v>
      </c>
      <c r="H56" s="163" t="s">
        <v>1335</v>
      </c>
      <c r="I56" s="164"/>
      <c r="J56" s="104"/>
      <c r="K56" s="282"/>
      <c r="L56" s="282"/>
      <c r="M56" s="363"/>
      <c r="N56" s="363"/>
      <c r="O56" s="138">
        <v>0.0</v>
      </c>
      <c r="P56" s="138">
        <v>1.0</v>
      </c>
      <c r="Q56" s="138">
        <v>0.8</v>
      </c>
      <c r="R56" s="145" t="b">
        <v>1</v>
      </c>
      <c r="S56" s="145" t="b">
        <v>0</v>
      </c>
      <c r="T56" s="145" t="b">
        <v>1</v>
      </c>
      <c r="U56" s="166" t="s">
        <v>186</v>
      </c>
      <c r="V56" s="166" t="b">
        <v>1</v>
      </c>
    </row>
    <row r="57" outlineLevel="1">
      <c r="A57" s="146"/>
      <c r="B57" s="663" t="s">
        <v>1336</v>
      </c>
      <c r="C57" s="239" t="s">
        <v>1337</v>
      </c>
      <c r="D57" s="107"/>
      <c r="E57" s="239" t="s">
        <v>700</v>
      </c>
      <c r="F57" s="138">
        <v>2.16</v>
      </c>
      <c r="G57" s="139" t="s">
        <v>170</v>
      </c>
      <c r="H57" s="212"/>
      <c r="J57" s="210"/>
      <c r="K57" s="282"/>
      <c r="L57" s="282"/>
      <c r="M57" s="363"/>
      <c r="N57" s="363"/>
      <c r="O57" s="138">
        <v>0.0</v>
      </c>
      <c r="P57" s="138">
        <v>0.0</v>
      </c>
      <c r="Q57" s="138">
        <v>0.0</v>
      </c>
      <c r="R57" s="145" t="b">
        <v>0</v>
      </c>
      <c r="S57" s="145" t="b">
        <v>0</v>
      </c>
      <c r="T57" s="145" t="b">
        <v>1</v>
      </c>
      <c r="U57" s="146"/>
      <c r="V57" s="146"/>
    </row>
    <row r="58" outlineLevel="1">
      <c r="A58" s="146"/>
      <c r="B58" s="663" t="s">
        <v>677</v>
      </c>
      <c r="C58" s="409"/>
      <c r="D58" s="467" t="s">
        <v>271</v>
      </c>
      <c r="E58" s="409"/>
      <c r="F58" s="409"/>
      <c r="G58" s="409"/>
      <c r="H58" s="106"/>
      <c r="I58" s="168"/>
      <c r="J58" s="107"/>
      <c r="K58" s="282"/>
      <c r="L58" s="282"/>
      <c r="M58" s="363"/>
      <c r="N58" s="363"/>
      <c r="O58" s="138"/>
      <c r="P58" s="138"/>
      <c r="Q58" s="138"/>
      <c r="R58" s="145" t="b">
        <v>0</v>
      </c>
      <c r="S58" s="145" t="b">
        <v>0</v>
      </c>
      <c r="T58" s="145" t="b">
        <v>0</v>
      </c>
      <c r="U58" s="156"/>
      <c r="V58" s="156"/>
    </row>
    <row r="59" outlineLevel="1">
      <c r="A59" s="230" t="s">
        <v>1338</v>
      </c>
      <c r="B59" s="109"/>
      <c r="C59" s="231" t="s">
        <v>48</v>
      </c>
      <c r="D59" s="231" t="s">
        <v>49</v>
      </c>
      <c r="E59" s="232" t="s">
        <v>50</v>
      </c>
      <c r="F59" s="233" t="s">
        <v>51</v>
      </c>
      <c r="G59" s="232" t="s">
        <v>52</v>
      </c>
      <c r="H59" s="382" t="s">
        <v>53</v>
      </c>
      <c r="I59" s="110"/>
      <c r="J59" s="109"/>
      <c r="K59" s="235" t="s">
        <v>137</v>
      </c>
      <c r="L59" s="235" t="s">
        <v>138</v>
      </c>
      <c r="M59" s="235" t="s">
        <v>139</v>
      </c>
      <c r="N59" s="235" t="s">
        <v>140</v>
      </c>
      <c r="O59" s="236" t="s">
        <v>141</v>
      </c>
      <c r="P59" s="235" t="s">
        <v>142</v>
      </c>
      <c r="Q59" s="236" t="s">
        <v>143</v>
      </c>
      <c r="R59" s="235" t="s">
        <v>179</v>
      </c>
      <c r="S59" s="236" t="s">
        <v>180</v>
      </c>
      <c r="T59" s="236" t="s">
        <v>181</v>
      </c>
      <c r="U59" s="236" t="s">
        <v>182</v>
      </c>
      <c r="V59" s="236" t="s">
        <v>183</v>
      </c>
    </row>
    <row r="60" ht="30.75" customHeight="1" outlineLevel="1">
      <c r="A60" s="237" t="s">
        <v>184</v>
      </c>
      <c r="B60" s="243" t="s">
        <v>215</v>
      </c>
      <c r="C60" s="239" t="s">
        <v>86</v>
      </c>
      <c r="D60" s="239" t="s">
        <v>634</v>
      </c>
      <c r="E60" s="409"/>
      <c r="F60" s="409"/>
      <c r="G60" s="409"/>
      <c r="H60" s="283" t="s">
        <v>1339</v>
      </c>
      <c r="I60" s="164"/>
      <c r="J60" s="104"/>
      <c r="K60" s="281"/>
      <c r="L60" s="281"/>
      <c r="M60" s="281"/>
      <c r="N60" s="281"/>
      <c r="O60" s="281"/>
      <c r="P60" s="281"/>
      <c r="Q60" s="281"/>
      <c r="R60" s="281"/>
      <c r="S60" s="281"/>
      <c r="T60" s="281"/>
      <c r="U60" s="166" t="s">
        <v>186</v>
      </c>
      <c r="V60" s="166" t="b">
        <v>1</v>
      </c>
    </row>
    <row r="61" ht="30.75" customHeight="1" outlineLevel="1">
      <c r="A61" s="146"/>
      <c r="B61" s="243" t="s">
        <v>1340</v>
      </c>
      <c r="C61" s="239" t="s">
        <v>1341</v>
      </c>
      <c r="D61" s="409"/>
      <c r="E61" s="239" t="s">
        <v>386</v>
      </c>
      <c r="F61" s="138">
        <v>18.0</v>
      </c>
      <c r="G61" s="139" t="s">
        <v>82</v>
      </c>
      <c r="H61" s="212"/>
      <c r="J61" s="210"/>
      <c r="K61" s="281"/>
      <c r="L61" s="281"/>
      <c r="M61" s="281"/>
      <c r="N61" s="281"/>
      <c r="O61" s="281"/>
      <c r="P61" s="281"/>
      <c r="Q61" s="281"/>
      <c r="R61" s="281"/>
      <c r="S61" s="281"/>
      <c r="T61" s="281"/>
      <c r="U61" s="146"/>
      <c r="V61" s="146"/>
    </row>
    <row r="62" ht="30.75" customHeight="1" outlineLevel="1">
      <c r="A62" s="146"/>
      <c r="B62" s="243" t="s">
        <v>1342</v>
      </c>
      <c r="C62" s="239" t="s">
        <v>274</v>
      </c>
      <c r="D62" s="239" t="s">
        <v>185</v>
      </c>
      <c r="E62" s="139" t="s">
        <v>1343</v>
      </c>
      <c r="F62" s="138" t="s">
        <v>1344</v>
      </c>
      <c r="G62" s="139" t="s">
        <v>1345</v>
      </c>
      <c r="H62" s="106"/>
      <c r="I62" s="168"/>
      <c r="J62" s="107"/>
      <c r="K62" s="138"/>
      <c r="L62" s="138"/>
      <c r="M62" s="145"/>
      <c r="N62" s="145"/>
      <c r="O62" s="138">
        <v>0.0</v>
      </c>
      <c r="P62" s="138">
        <v>1.0</v>
      </c>
      <c r="Q62" s="138">
        <v>1.0</v>
      </c>
      <c r="R62" s="145" t="b">
        <v>1</v>
      </c>
      <c r="S62" s="145" t="b">
        <v>1</v>
      </c>
      <c r="T62" s="145"/>
      <c r="U62" s="156"/>
      <c r="V62" s="156"/>
    </row>
    <row r="63" outlineLevel="1">
      <c r="A63" s="230" t="s">
        <v>1346</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396" t="s">
        <v>332</v>
      </c>
      <c r="B64" s="402" t="s">
        <v>199</v>
      </c>
      <c r="C64" s="239" t="s">
        <v>1347</v>
      </c>
      <c r="D64" s="367" t="s">
        <v>1348</v>
      </c>
      <c r="E64" s="239" t="s">
        <v>213</v>
      </c>
      <c r="F64" s="138">
        <v>1.2</v>
      </c>
      <c r="G64" s="139" t="s">
        <v>170</v>
      </c>
      <c r="H64" s="283" t="s">
        <v>1349</v>
      </c>
      <c r="I64" s="164"/>
      <c r="J64" s="104"/>
      <c r="K64" s="138"/>
      <c r="L64" s="138"/>
      <c r="M64" s="145"/>
      <c r="N64" s="145"/>
      <c r="O64" s="138">
        <v>0.0</v>
      </c>
      <c r="P64" s="138">
        <v>1.0</v>
      </c>
      <c r="Q64" s="138">
        <v>0.8</v>
      </c>
      <c r="R64" s="145" t="b">
        <v>1</v>
      </c>
      <c r="S64" s="145" t="b">
        <v>1</v>
      </c>
      <c r="T64" s="145"/>
      <c r="U64" s="166" t="b">
        <v>0</v>
      </c>
      <c r="V64" s="166" t="b">
        <v>0</v>
      </c>
    </row>
    <row r="65" outlineLevel="1">
      <c r="A65" s="156"/>
      <c r="B65" s="402" t="s">
        <v>202</v>
      </c>
      <c r="C65" s="239" t="s">
        <v>118</v>
      </c>
      <c r="D65" s="156"/>
      <c r="E65" s="239" t="s">
        <v>86</v>
      </c>
      <c r="F65" s="138">
        <v>7.199999999999999</v>
      </c>
      <c r="G65" s="139" t="s">
        <v>102</v>
      </c>
      <c r="H65" s="212"/>
      <c r="J65" s="210"/>
      <c r="K65" s="138"/>
      <c r="L65" s="138"/>
      <c r="M65" s="145"/>
      <c r="N65" s="145"/>
      <c r="O65" s="138">
        <v>0.0</v>
      </c>
      <c r="P65" s="138">
        <v>1.0</v>
      </c>
      <c r="Q65" s="138">
        <v>1.0</v>
      </c>
      <c r="R65" s="145" t="b">
        <v>1</v>
      </c>
      <c r="S65" s="145" t="b">
        <v>1</v>
      </c>
      <c r="T65" s="145"/>
      <c r="U65" s="146"/>
      <c r="V65" s="146"/>
    </row>
    <row r="66" outlineLevel="1">
      <c r="A66" s="396" t="s">
        <v>344</v>
      </c>
      <c r="B66" s="402" t="s">
        <v>125</v>
      </c>
      <c r="C66" s="239" t="s">
        <v>217</v>
      </c>
      <c r="D66" s="400"/>
      <c r="E66" s="239" t="s">
        <v>93</v>
      </c>
      <c r="F66" s="138">
        <v>8.4</v>
      </c>
      <c r="G66" s="139" t="s">
        <v>95</v>
      </c>
      <c r="H66" s="212"/>
      <c r="J66" s="210"/>
      <c r="K66" s="138"/>
      <c r="L66" s="138"/>
      <c r="M66" s="145"/>
      <c r="N66" s="145"/>
      <c r="O66" s="138">
        <v>3.0</v>
      </c>
      <c r="P66" s="138">
        <v>1.0</v>
      </c>
      <c r="Q66" s="138">
        <v>1.0</v>
      </c>
      <c r="R66" s="145" t="b">
        <v>1</v>
      </c>
      <c r="S66" s="145" t="b">
        <v>0</v>
      </c>
      <c r="T66" s="145"/>
      <c r="U66" s="146"/>
      <c r="V66" s="146"/>
    </row>
    <row r="67" outlineLevel="1">
      <c r="A67" s="146"/>
      <c r="B67" s="402" t="s">
        <v>1350</v>
      </c>
      <c r="C67" s="239" t="s">
        <v>1351</v>
      </c>
      <c r="D67" s="146"/>
      <c r="E67" s="239" t="s">
        <v>213</v>
      </c>
      <c r="F67" s="138">
        <v>1.2</v>
      </c>
      <c r="G67" s="139" t="s">
        <v>170</v>
      </c>
      <c r="H67" s="212"/>
      <c r="J67" s="210"/>
      <c r="K67" s="138"/>
      <c r="L67" s="138"/>
      <c r="M67" s="145"/>
      <c r="N67" s="145"/>
      <c r="O67" s="138">
        <v>0.0</v>
      </c>
      <c r="P67" s="138">
        <v>1.0</v>
      </c>
      <c r="Q67" s="138">
        <v>1.0</v>
      </c>
      <c r="R67" s="145" t="b">
        <v>1</v>
      </c>
      <c r="S67" s="145" t="b">
        <v>0</v>
      </c>
      <c r="T67" s="145"/>
      <c r="U67" s="146"/>
      <c r="V67" s="146"/>
    </row>
    <row r="68" outlineLevel="1">
      <c r="A68" s="156"/>
      <c r="B68" s="402" t="s">
        <v>1352</v>
      </c>
      <c r="C68" s="239" t="s">
        <v>1353</v>
      </c>
      <c r="D68" s="156"/>
      <c r="E68" s="239" t="s">
        <v>176</v>
      </c>
      <c r="F68" s="138">
        <v>2.4</v>
      </c>
      <c r="G68" s="139" t="s">
        <v>60</v>
      </c>
      <c r="H68" s="106"/>
      <c r="I68" s="168"/>
      <c r="J68" s="107"/>
      <c r="K68" s="138"/>
      <c r="L68" s="138"/>
      <c r="M68" s="145"/>
      <c r="N68" s="145"/>
      <c r="O68" s="138">
        <v>0.0</v>
      </c>
      <c r="P68" s="138">
        <v>1.0</v>
      </c>
      <c r="Q68" s="138">
        <v>1.0</v>
      </c>
      <c r="R68" s="145" t="b">
        <v>1</v>
      </c>
      <c r="S68" s="145" t="b">
        <v>0</v>
      </c>
      <c r="T68" s="145"/>
      <c r="U68" s="156"/>
      <c r="V68" s="156"/>
    </row>
    <row r="69" outlineLevel="1">
      <c r="A69" s="230" t="s">
        <v>1354</v>
      </c>
      <c r="B69" s="109"/>
      <c r="C69" s="231" t="s">
        <v>48</v>
      </c>
      <c r="D69" s="231" t="s">
        <v>49</v>
      </c>
      <c r="E69" s="232" t="s">
        <v>50</v>
      </c>
      <c r="F69" s="233" t="s">
        <v>51</v>
      </c>
      <c r="G69" s="232" t="s">
        <v>52</v>
      </c>
      <c r="H69" s="382" t="s">
        <v>53</v>
      </c>
      <c r="I69" s="110"/>
      <c r="J69" s="109"/>
      <c r="K69" s="235" t="s">
        <v>137</v>
      </c>
      <c r="L69" s="235" t="s">
        <v>138</v>
      </c>
      <c r="M69" s="235" t="s">
        <v>139</v>
      </c>
      <c r="N69" s="235" t="s">
        <v>140</v>
      </c>
      <c r="O69" s="236" t="s">
        <v>141</v>
      </c>
      <c r="P69" s="235" t="s">
        <v>142</v>
      </c>
      <c r="Q69" s="236" t="s">
        <v>143</v>
      </c>
      <c r="R69" s="235" t="s">
        <v>179</v>
      </c>
      <c r="S69" s="236" t="s">
        <v>180</v>
      </c>
      <c r="T69" s="236" t="s">
        <v>181</v>
      </c>
      <c r="U69" s="236" t="s">
        <v>182</v>
      </c>
      <c r="V69" s="236" t="s">
        <v>183</v>
      </c>
    </row>
    <row r="70" outlineLevel="1">
      <c r="A70" s="474" t="s">
        <v>332</v>
      </c>
      <c r="B70" s="624" t="s">
        <v>125</v>
      </c>
      <c r="C70" s="239" t="s">
        <v>232</v>
      </c>
      <c r="D70" s="367" t="s">
        <v>1355</v>
      </c>
      <c r="E70" s="239" t="s">
        <v>73</v>
      </c>
      <c r="F70" s="138">
        <v>4.8</v>
      </c>
      <c r="G70" s="139" t="s">
        <v>75</v>
      </c>
      <c r="H70" s="163" t="s">
        <v>1356</v>
      </c>
      <c r="I70" s="164"/>
      <c r="J70" s="104"/>
      <c r="K70" s="138"/>
      <c r="L70" s="138"/>
      <c r="M70" s="145"/>
      <c r="N70" s="145"/>
      <c r="O70" s="138">
        <v>0.0</v>
      </c>
      <c r="P70" s="138">
        <v>1.0</v>
      </c>
      <c r="Q70" s="138">
        <v>1.0</v>
      </c>
      <c r="R70" s="145" t="b">
        <v>0</v>
      </c>
      <c r="S70" s="145" t="b">
        <v>0</v>
      </c>
      <c r="T70" s="145"/>
      <c r="U70" s="166" t="b">
        <v>0</v>
      </c>
      <c r="V70" s="166" t="b">
        <v>0</v>
      </c>
    </row>
    <row r="71" outlineLevel="1">
      <c r="A71" s="156"/>
      <c r="B71" s="624" t="s">
        <v>131</v>
      </c>
      <c r="C71" s="239" t="s">
        <v>492</v>
      </c>
      <c r="D71" s="156"/>
      <c r="E71" s="239" t="s">
        <v>718</v>
      </c>
      <c r="F71" s="138">
        <v>24.0</v>
      </c>
      <c r="G71" s="139" t="s">
        <v>1008</v>
      </c>
      <c r="H71" s="212"/>
      <c r="J71" s="210"/>
      <c r="K71" s="138"/>
      <c r="L71" s="138"/>
      <c r="M71" s="145"/>
      <c r="N71" s="145"/>
      <c r="O71" s="138">
        <v>5.0</v>
      </c>
      <c r="P71" s="138">
        <v>1.0</v>
      </c>
      <c r="Q71" s="138">
        <v>1.0</v>
      </c>
      <c r="R71" s="145" t="b">
        <v>1</v>
      </c>
      <c r="S71" s="145" t="b">
        <v>0</v>
      </c>
      <c r="T71" s="145"/>
      <c r="U71" s="146"/>
      <c r="V71" s="146"/>
    </row>
    <row r="72" outlineLevel="1">
      <c r="A72" s="474" t="s">
        <v>344</v>
      </c>
      <c r="B72" s="624" t="s">
        <v>155</v>
      </c>
      <c r="C72" s="239" t="s">
        <v>523</v>
      </c>
      <c r="D72" s="400"/>
      <c r="E72" s="239" t="s">
        <v>718</v>
      </c>
      <c r="F72" s="138">
        <v>24.0</v>
      </c>
      <c r="G72" s="139" t="s">
        <v>1008</v>
      </c>
      <c r="H72" s="212"/>
      <c r="J72" s="210"/>
      <c r="K72" s="138"/>
      <c r="L72" s="138"/>
      <c r="M72" s="145"/>
      <c r="N72" s="145"/>
      <c r="O72" s="138">
        <v>0.0</v>
      </c>
      <c r="P72" s="138">
        <v>1.0</v>
      </c>
      <c r="Q72" s="138">
        <v>1.0</v>
      </c>
      <c r="R72" s="145" t="b">
        <v>1</v>
      </c>
      <c r="S72" s="145" t="b">
        <v>0</v>
      </c>
      <c r="T72" s="145"/>
      <c r="U72" s="146"/>
      <c r="V72" s="146"/>
    </row>
    <row r="73" outlineLevel="1">
      <c r="A73" s="156"/>
      <c r="B73" s="624" t="s">
        <v>84</v>
      </c>
      <c r="C73" s="239" t="s">
        <v>1357</v>
      </c>
      <c r="D73" s="156"/>
      <c r="E73" s="239" t="s">
        <v>718</v>
      </c>
      <c r="F73" s="138">
        <v>24.0</v>
      </c>
      <c r="G73" s="139" t="s">
        <v>1008</v>
      </c>
      <c r="H73" s="212"/>
      <c r="J73" s="210"/>
      <c r="K73" s="138"/>
      <c r="L73" s="282"/>
      <c r="M73" s="363"/>
      <c r="N73" s="363"/>
      <c r="O73" s="138"/>
      <c r="P73" s="138"/>
      <c r="Q73" s="138"/>
      <c r="R73" s="145" t="b">
        <v>0</v>
      </c>
      <c r="S73" s="145" t="b">
        <v>0</v>
      </c>
      <c r="T73" s="145" t="b">
        <v>0</v>
      </c>
      <c r="U73" s="146"/>
      <c r="V73" s="146"/>
    </row>
    <row r="74" outlineLevel="1">
      <c r="A74" s="259" t="s">
        <v>184</v>
      </c>
      <c r="B74" s="624" t="s">
        <v>174</v>
      </c>
      <c r="C74" s="239" t="s">
        <v>175</v>
      </c>
      <c r="D74" s="239" t="s">
        <v>300</v>
      </c>
      <c r="E74" s="239" t="s">
        <v>232</v>
      </c>
      <c r="F74" s="138">
        <v>13.2</v>
      </c>
      <c r="G74" s="139" t="s">
        <v>121</v>
      </c>
      <c r="H74" s="106"/>
      <c r="I74" s="168"/>
      <c r="J74" s="107"/>
      <c r="K74" s="138"/>
      <c r="L74" s="282"/>
      <c r="M74" s="363"/>
      <c r="N74" s="363"/>
      <c r="O74" s="138">
        <v>5.0</v>
      </c>
      <c r="P74" s="138">
        <v>1.0</v>
      </c>
      <c r="Q74" s="138">
        <v>1.0</v>
      </c>
      <c r="R74" s="145" t="b">
        <v>1</v>
      </c>
      <c r="S74" s="145" t="b">
        <v>1</v>
      </c>
      <c r="T74" s="145"/>
      <c r="U74" s="156"/>
      <c r="V74" s="156"/>
    </row>
    <row r="75">
      <c r="A75" s="223"/>
      <c r="B75" s="224"/>
      <c r="C75" s="225"/>
      <c r="D75" s="225"/>
      <c r="E75" s="226"/>
      <c r="F75" s="226"/>
      <c r="G75" s="226"/>
      <c r="H75" s="227"/>
      <c r="I75" s="227"/>
      <c r="J75" s="228"/>
      <c r="K75" s="228"/>
      <c r="L75" s="228"/>
      <c r="M75" s="228"/>
      <c r="N75" s="228"/>
      <c r="O75" s="228"/>
      <c r="P75" s="228"/>
      <c r="Q75" s="118"/>
      <c r="R75" s="118"/>
      <c r="S75" s="118"/>
      <c r="T75" s="118"/>
      <c r="U75" s="118"/>
      <c r="V75" s="118"/>
    </row>
    <row r="76">
      <c r="A76" s="264" t="s">
        <v>211</v>
      </c>
      <c r="B76" s="104"/>
      <c r="C76" s="227"/>
      <c r="D76" s="227"/>
      <c r="E76" s="228"/>
      <c r="F76" s="265"/>
      <c r="G76" s="265"/>
      <c r="H76" s="228"/>
      <c r="I76" s="228"/>
      <c r="J76" s="228"/>
      <c r="K76" s="228"/>
      <c r="L76" s="228"/>
      <c r="M76" s="228"/>
      <c r="N76" s="118"/>
      <c r="O76" s="118"/>
      <c r="P76" s="118"/>
      <c r="Q76" s="228"/>
      <c r="R76" s="228"/>
      <c r="S76" s="228"/>
      <c r="T76" s="228"/>
      <c r="U76" s="228"/>
      <c r="V76" s="228"/>
    </row>
    <row r="77" outlineLevel="1">
      <c r="A77" s="106"/>
      <c r="B77" s="107"/>
      <c r="C77" s="266" t="s">
        <v>48</v>
      </c>
      <c r="D77" s="266" t="s">
        <v>49</v>
      </c>
      <c r="E77" s="266" t="s">
        <v>50</v>
      </c>
      <c r="F77" s="267" t="s">
        <v>51</v>
      </c>
      <c r="G77" s="227"/>
      <c r="H77" s="227"/>
      <c r="I77" s="227"/>
      <c r="J77" s="228"/>
      <c r="K77" s="228"/>
      <c r="L77" s="228"/>
      <c r="M77" s="228"/>
      <c r="N77" s="228"/>
      <c r="O77" s="228"/>
      <c r="P77" s="228"/>
      <c r="Q77" s="228"/>
      <c r="R77" s="228"/>
      <c r="S77" s="228"/>
      <c r="T77" s="228"/>
      <c r="U77" s="228"/>
      <c r="V77" s="228"/>
    </row>
    <row r="78" outlineLevel="1">
      <c r="A78" s="268" t="s">
        <v>212</v>
      </c>
      <c r="B78" s="269" t="s">
        <v>212</v>
      </c>
      <c r="C78" s="239" t="s">
        <v>176</v>
      </c>
      <c r="D78" s="239" t="s">
        <v>93</v>
      </c>
      <c r="E78" s="239" t="s">
        <v>381</v>
      </c>
      <c r="F78" s="138">
        <v>1.92</v>
      </c>
      <c r="G78" s="227"/>
      <c r="H78" s="227"/>
      <c r="I78" s="227"/>
      <c r="J78" s="228"/>
      <c r="K78" s="228"/>
      <c r="L78" s="228"/>
      <c r="M78" s="228"/>
      <c r="N78" s="228"/>
      <c r="O78" s="228"/>
      <c r="P78" s="228"/>
      <c r="Q78" s="228"/>
      <c r="R78" s="228"/>
      <c r="S78" s="228"/>
      <c r="T78" s="228"/>
      <c r="U78" s="228"/>
      <c r="V78" s="228"/>
    </row>
    <row r="79" outlineLevel="1">
      <c r="A79" s="270" t="s">
        <v>215</v>
      </c>
      <c r="B79" s="269" t="s">
        <v>216</v>
      </c>
      <c r="C79" s="239" t="s">
        <v>161</v>
      </c>
      <c r="D79" s="239" t="s">
        <v>628</v>
      </c>
      <c r="E79" s="271"/>
      <c r="F79" s="272"/>
      <c r="G79" s="272"/>
      <c r="H79" s="227"/>
      <c r="I79" s="227"/>
      <c r="J79" s="228"/>
      <c r="K79" s="228"/>
      <c r="L79" s="228"/>
      <c r="M79" s="228"/>
      <c r="N79" s="228"/>
      <c r="O79" s="228"/>
      <c r="P79" s="228"/>
      <c r="Q79" s="228"/>
      <c r="R79" s="228"/>
      <c r="S79" s="228"/>
      <c r="T79" s="228"/>
      <c r="U79" s="228"/>
      <c r="V79" s="228"/>
    </row>
    <row r="80" outlineLevel="1">
      <c r="A80" s="212"/>
      <c r="B80" s="269" t="s">
        <v>219</v>
      </c>
      <c r="C80" s="239" t="s">
        <v>382</v>
      </c>
      <c r="D80" s="239" t="s">
        <v>541</v>
      </c>
      <c r="E80" s="271"/>
      <c r="F80" s="272"/>
      <c r="G80" s="272"/>
      <c r="H80" s="227"/>
      <c r="I80" s="227"/>
      <c r="J80" s="228"/>
      <c r="K80" s="228"/>
      <c r="L80" s="228"/>
      <c r="M80" s="228"/>
      <c r="N80" s="228"/>
      <c r="O80" s="228"/>
      <c r="P80" s="228"/>
      <c r="Q80" s="228"/>
      <c r="R80" s="228"/>
      <c r="S80" s="228"/>
      <c r="T80" s="228"/>
      <c r="U80" s="228"/>
      <c r="V80" s="228"/>
    </row>
    <row r="81" outlineLevel="1">
      <c r="A81" s="106"/>
      <c r="B81" s="269" t="s">
        <v>222</v>
      </c>
      <c r="C81" s="239" t="s">
        <v>383</v>
      </c>
      <c r="D81" s="239" t="s">
        <v>127</v>
      </c>
      <c r="E81" s="227"/>
      <c r="F81" s="272"/>
      <c r="G81" s="272"/>
      <c r="H81" s="227"/>
      <c r="I81" s="227"/>
      <c r="J81" s="228"/>
      <c r="K81" s="228"/>
      <c r="L81" s="228"/>
      <c r="M81" s="228"/>
      <c r="N81" s="228"/>
      <c r="O81" s="228"/>
      <c r="P81" s="228"/>
      <c r="Q81" s="228"/>
      <c r="R81" s="228"/>
      <c r="S81" s="228"/>
      <c r="T81" s="228"/>
      <c r="U81" s="228"/>
      <c r="V81" s="228"/>
    </row>
    <row r="82" outlineLevel="1">
      <c r="A82" s="273" t="s">
        <v>225</v>
      </c>
      <c r="B82" s="109"/>
      <c r="C82" s="266" t="s">
        <v>48</v>
      </c>
      <c r="D82" s="266" t="s">
        <v>49</v>
      </c>
      <c r="E82" s="266" t="s">
        <v>50</v>
      </c>
      <c r="F82" s="267" t="s">
        <v>51</v>
      </c>
      <c r="G82" s="274" t="s">
        <v>53</v>
      </c>
      <c r="H82" s="110"/>
      <c r="I82" s="110"/>
      <c r="J82" s="109"/>
      <c r="K82" s="275" t="str">
        <f>'テンプレート'!K97</f>
        <v>ベクトル</v>
      </c>
      <c r="L82" s="275" t="str">
        <f>'テンプレート'!L97</f>
        <v>KBG (R.E.)</v>
      </c>
      <c r="M82" s="275" t="str">
        <f>'テンプレート'!M97</f>
        <v>BKB (R.A.)</v>
      </c>
      <c r="N82" s="275" t="str">
        <f>'テンプレート'!N97</f>
        <v>FKB (R.F.)</v>
      </c>
      <c r="O82" s="276" t="str">
        <f>'テンプレート'!O97</f>
        <v>盾削り値</v>
      </c>
      <c r="P82" s="275" t="str">
        <f>'テンプレート'!P97</f>
        <v>ﾋｯﾄｽﾄｯﾌﾟ</v>
      </c>
      <c r="Q82" s="276" t="str">
        <f>'テンプレート'!Q97</f>
        <v>ずらし</v>
      </c>
      <c r="R82" s="277"/>
      <c r="S82" s="277"/>
      <c r="T82" s="277"/>
      <c r="U82" s="277"/>
      <c r="V82" s="277"/>
    </row>
    <row r="83" outlineLevel="1">
      <c r="A83" s="278" t="s">
        <v>226</v>
      </c>
      <c r="B83" s="269" t="s">
        <v>227</v>
      </c>
      <c r="C83" s="281"/>
      <c r="D83" s="279">
        <v>58.0</v>
      </c>
      <c r="E83" s="281"/>
      <c r="F83" s="281"/>
      <c r="G83" s="416"/>
      <c r="H83" s="164"/>
      <c r="I83" s="164"/>
      <c r="J83" s="104"/>
      <c r="K83" s="281"/>
      <c r="L83" s="281"/>
      <c r="M83" s="281"/>
      <c r="N83" s="281"/>
      <c r="O83" s="281"/>
      <c r="P83" s="281"/>
      <c r="Q83" s="281"/>
      <c r="R83" s="277"/>
      <c r="S83" s="228"/>
      <c r="T83" s="228"/>
      <c r="U83" s="228"/>
      <c r="V83" s="228"/>
    </row>
    <row r="84" outlineLevel="1">
      <c r="A84" s="156"/>
      <c r="B84" s="269" t="s">
        <v>225</v>
      </c>
      <c r="C84" s="113">
        <v>36.0</v>
      </c>
      <c r="D84" s="156"/>
      <c r="E84" s="239" t="s">
        <v>129</v>
      </c>
      <c r="F84" s="138">
        <v>14.399999999999999</v>
      </c>
      <c r="G84" s="106"/>
      <c r="H84" s="168"/>
      <c r="I84" s="168"/>
      <c r="J84" s="107"/>
      <c r="K84" s="282"/>
      <c r="L84" s="282"/>
      <c r="M84" s="363"/>
      <c r="N84" s="363"/>
      <c r="O84" s="261"/>
      <c r="P84" s="261"/>
      <c r="Q84" s="261"/>
      <c r="R84" s="277"/>
      <c r="S84" s="228"/>
      <c r="T84" s="228"/>
      <c r="U84" s="228"/>
      <c r="V84" s="228"/>
    </row>
    <row r="85" outlineLevel="1">
      <c r="A85" s="278" t="s">
        <v>229</v>
      </c>
      <c r="B85" s="269" t="s">
        <v>227</v>
      </c>
      <c r="C85" s="281"/>
      <c r="D85" s="279">
        <v>38.0</v>
      </c>
      <c r="E85" s="281"/>
      <c r="F85" s="281"/>
      <c r="G85" s="416"/>
      <c r="H85" s="164"/>
      <c r="I85" s="164"/>
      <c r="J85" s="104"/>
      <c r="K85" s="281"/>
      <c r="L85" s="281"/>
      <c r="M85" s="281"/>
      <c r="N85" s="281"/>
      <c r="O85" s="281"/>
      <c r="P85" s="281"/>
      <c r="Q85" s="281"/>
      <c r="R85" s="277"/>
      <c r="S85" s="228"/>
      <c r="T85" s="228"/>
      <c r="U85" s="228"/>
      <c r="V85" s="228"/>
    </row>
    <row r="86" outlineLevel="1">
      <c r="A86" s="156"/>
      <c r="B86" s="269" t="s">
        <v>225</v>
      </c>
      <c r="C86" s="113">
        <v>19.0</v>
      </c>
      <c r="D86" s="156"/>
      <c r="E86" s="239" t="s">
        <v>129</v>
      </c>
      <c r="F86" s="138">
        <v>14.399999999999999</v>
      </c>
      <c r="G86" s="106"/>
      <c r="H86" s="168"/>
      <c r="I86" s="168"/>
      <c r="J86" s="107"/>
      <c r="K86" s="282"/>
      <c r="L86" s="282"/>
      <c r="M86" s="363"/>
      <c r="N86" s="363"/>
      <c r="O86" s="261"/>
      <c r="P86" s="261"/>
      <c r="Q86" s="261"/>
      <c r="R86" s="277"/>
      <c r="S86" s="228"/>
      <c r="T86" s="228"/>
      <c r="U86" s="228"/>
      <c r="V86" s="228"/>
    </row>
    <row r="87" outlineLevel="1">
      <c r="A87" s="278" t="s">
        <v>233</v>
      </c>
      <c r="B87" s="269" t="s">
        <v>1358</v>
      </c>
      <c r="C87" s="239" t="s">
        <v>1359</v>
      </c>
      <c r="D87" s="367" t="s">
        <v>936</v>
      </c>
      <c r="E87" s="239" t="s">
        <v>1098</v>
      </c>
      <c r="F87" s="138">
        <v>0.6</v>
      </c>
      <c r="G87" s="413" t="s">
        <v>1360</v>
      </c>
      <c r="H87" s="164"/>
      <c r="I87" s="164"/>
      <c r="J87" s="104"/>
      <c r="K87" s="282"/>
      <c r="L87" s="282"/>
      <c r="M87" s="363"/>
      <c r="N87" s="363"/>
      <c r="O87" s="145">
        <v>0.0</v>
      </c>
      <c r="P87" s="145">
        <v>1.0</v>
      </c>
      <c r="Q87" s="145">
        <v>1.0</v>
      </c>
      <c r="R87" s="277"/>
      <c r="S87" s="228"/>
      <c r="T87" s="228"/>
      <c r="U87" s="228"/>
      <c r="V87" s="228"/>
    </row>
    <row r="88" outlineLevel="1">
      <c r="A88" s="146"/>
      <c r="B88" s="269" t="s">
        <v>1361</v>
      </c>
      <c r="C88" s="239" t="s">
        <v>1362</v>
      </c>
      <c r="D88" s="146"/>
      <c r="E88" s="239" t="s">
        <v>176</v>
      </c>
      <c r="F88" s="138">
        <v>2.4</v>
      </c>
      <c r="G88" s="212"/>
      <c r="J88" s="210"/>
      <c r="K88" s="282"/>
      <c r="L88" s="282"/>
      <c r="M88" s="363"/>
      <c r="N88" s="363"/>
      <c r="O88" s="145">
        <v>0.0</v>
      </c>
      <c r="P88" s="145">
        <v>1.0</v>
      </c>
      <c r="Q88" s="145">
        <v>1.0</v>
      </c>
      <c r="R88" s="277"/>
      <c r="S88" s="117"/>
      <c r="T88" s="117"/>
      <c r="U88" s="117"/>
      <c r="V88" s="117"/>
    </row>
    <row r="89" outlineLevel="1">
      <c r="A89" s="146"/>
      <c r="B89" s="269" t="s">
        <v>1363</v>
      </c>
      <c r="C89" s="239" t="s">
        <v>1364</v>
      </c>
      <c r="D89" s="146"/>
      <c r="E89" s="239" t="s">
        <v>73</v>
      </c>
      <c r="F89" s="138">
        <v>4.8</v>
      </c>
      <c r="G89" s="212"/>
      <c r="J89" s="210"/>
      <c r="K89" s="282"/>
      <c r="L89" s="282"/>
      <c r="M89" s="363"/>
      <c r="N89" s="363"/>
      <c r="O89" s="261"/>
      <c r="P89" s="261"/>
      <c r="Q89" s="261"/>
      <c r="R89" s="277"/>
      <c r="S89" s="117"/>
      <c r="T89" s="117"/>
      <c r="U89" s="117"/>
      <c r="V89" s="117"/>
    </row>
    <row r="90" outlineLevel="1">
      <c r="A90" s="156"/>
      <c r="B90" s="269" t="s">
        <v>225</v>
      </c>
      <c r="C90" s="239" t="s">
        <v>600</v>
      </c>
      <c r="D90" s="156"/>
      <c r="E90" s="239" t="s">
        <v>86</v>
      </c>
      <c r="F90" s="138">
        <v>7.199999999999999</v>
      </c>
      <c r="G90" s="106"/>
      <c r="H90" s="168"/>
      <c r="I90" s="168"/>
      <c r="J90" s="107"/>
      <c r="K90" s="282"/>
      <c r="L90" s="282"/>
      <c r="M90" s="363"/>
      <c r="N90" s="363"/>
      <c r="O90" s="261"/>
      <c r="P90" s="261"/>
      <c r="Q90" s="261"/>
      <c r="R90" s="277"/>
      <c r="S90" s="117"/>
      <c r="T90" s="117"/>
      <c r="U90" s="117"/>
      <c r="V90" s="117"/>
    </row>
    <row r="91" outlineLevel="1">
      <c r="A91" s="278" t="s">
        <v>234</v>
      </c>
      <c r="B91" s="269" t="s">
        <v>227</v>
      </c>
      <c r="C91" s="239" t="s">
        <v>1365</v>
      </c>
      <c r="D91" s="367">
        <v>84.0</v>
      </c>
      <c r="E91" s="239" t="s">
        <v>128</v>
      </c>
      <c r="F91" s="138">
        <v>12.0</v>
      </c>
      <c r="G91" s="416"/>
      <c r="H91" s="164"/>
      <c r="I91" s="164"/>
      <c r="J91" s="104"/>
      <c r="K91" s="282"/>
      <c r="L91" s="282"/>
      <c r="M91" s="363"/>
      <c r="N91" s="363"/>
      <c r="O91" s="145">
        <v>0.0</v>
      </c>
      <c r="P91" s="145">
        <v>1.0</v>
      </c>
      <c r="Q91" s="145">
        <v>1.0</v>
      </c>
      <c r="R91" s="277"/>
      <c r="S91" s="117"/>
      <c r="T91" s="117"/>
      <c r="U91" s="117"/>
      <c r="V91" s="117"/>
    </row>
    <row r="92" outlineLevel="1">
      <c r="A92" s="156"/>
      <c r="B92" s="269" t="s">
        <v>225</v>
      </c>
      <c r="C92" s="239" t="s">
        <v>79</v>
      </c>
      <c r="D92" s="156"/>
      <c r="E92" s="239" t="s">
        <v>73</v>
      </c>
      <c r="F92" s="138">
        <v>4.8</v>
      </c>
      <c r="G92" s="106"/>
      <c r="H92" s="168"/>
      <c r="I92" s="168"/>
      <c r="J92" s="107"/>
      <c r="K92" s="282"/>
      <c r="L92" s="282"/>
      <c r="M92" s="363"/>
      <c r="N92" s="363"/>
      <c r="O92" s="261"/>
      <c r="P92" s="281"/>
      <c r="Q92" s="261"/>
      <c r="R92" s="277"/>
      <c r="S92" s="117"/>
      <c r="T92" s="117"/>
      <c r="U92" s="117"/>
      <c r="V92" s="117"/>
    </row>
    <row r="93">
      <c r="A93" s="223"/>
      <c r="B93" s="224"/>
      <c r="C93" s="225"/>
      <c r="D93" s="225"/>
      <c r="E93" s="227"/>
      <c r="F93" s="177"/>
      <c r="G93" s="177"/>
      <c r="H93" s="227"/>
      <c r="I93" s="227"/>
      <c r="J93" s="228"/>
      <c r="K93" s="228"/>
      <c r="L93" s="111"/>
      <c r="M93" s="111"/>
      <c r="N93" s="111"/>
      <c r="O93" s="117"/>
      <c r="P93" s="117"/>
      <c r="Q93" s="111"/>
      <c r="R93" s="111"/>
      <c r="S93" s="111"/>
      <c r="T93" s="111"/>
      <c r="U93" s="111"/>
      <c r="V93" s="111"/>
    </row>
    <row r="94">
      <c r="A94" s="284" t="s">
        <v>241</v>
      </c>
      <c r="B94" s="104"/>
      <c r="C94" s="265"/>
      <c r="D94" s="111"/>
      <c r="E94" s="111"/>
      <c r="F94" s="111"/>
      <c r="G94" s="111"/>
      <c r="H94" s="111"/>
      <c r="I94" s="111"/>
      <c r="J94" s="118"/>
      <c r="K94" s="111"/>
      <c r="L94" s="111"/>
      <c r="M94" s="111"/>
      <c r="N94" s="111"/>
      <c r="O94" s="111"/>
      <c r="P94" s="111"/>
      <c r="Q94" s="118"/>
      <c r="R94" s="111"/>
      <c r="S94" s="111"/>
      <c r="T94" s="111"/>
      <c r="U94" s="111"/>
      <c r="V94" s="111"/>
    </row>
    <row r="95" outlineLevel="1">
      <c r="A95" s="106"/>
      <c r="B95" s="107"/>
      <c r="C95" s="285" t="s">
        <v>235</v>
      </c>
      <c r="D95" s="285" t="s">
        <v>236</v>
      </c>
      <c r="E95" s="285" t="s">
        <v>49</v>
      </c>
      <c r="F95" s="285" t="s">
        <v>237</v>
      </c>
      <c r="G95" s="286"/>
      <c r="H95" s="227"/>
      <c r="I95" s="227"/>
      <c r="J95" s="228"/>
      <c r="K95" s="228"/>
      <c r="L95" s="111"/>
      <c r="M95" s="111"/>
      <c r="N95" s="111"/>
      <c r="O95" s="111"/>
      <c r="P95" s="111"/>
      <c r="Q95" s="111"/>
      <c r="R95" s="111"/>
      <c r="S95" s="111"/>
      <c r="T95" s="111"/>
      <c r="U95" s="111"/>
      <c r="V95" s="111"/>
    </row>
    <row r="96" outlineLevel="1">
      <c r="A96" s="287" t="s">
        <v>395</v>
      </c>
      <c r="B96" s="288" t="s">
        <v>216</v>
      </c>
      <c r="C96" s="113" t="str">
        <f t="array" ref="C96">INDEX('回避'!$C$3:$U$84, MATCH($A$1,'回避'!$A$3:$A$91,0), MATCH(C95,'回避'!$C$2:$F$2,0))</f>
        <v>3-18</v>
      </c>
      <c r="D96" s="113" t="str">
        <f t="array" ref="D96">INDEX('回避'!$C$3:$U$84, MATCH($A$1,'回避'!$A$3:$A$91,0), MATCH(D95,'回避'!$C$2:$F$2,0))</f>
        <v>6-18</v>
      </c>
      <c r="E96" s="113" t="str">
        <f t="array" ref="E96">INDEX('回避'!$C$3:$U$84, MATCH($A$1,'回避'!$A$3:$A$91,0), MATCH(E95,'回避'!$C$2:$F$2,0))</f>
        <v>28 (23)</v>
      </c>
      <c r="F96" s="113" t="str">
        <f t="array" ref="F96">INDEX('回避'!$C$3:$U$84, MATCH($A$1,'回避'!$A$3:$A$91,0), MATCH(F95,'回避'!$C$2:$F$2,0))</f>
        <v>37 (31)</v>
      </c>
      <c r="G96" s="272"/>
      <c r="H96" s="290"/>
      <c r="I96" s="227"/>
      <c r="J96" s="228"/>
      <c r="K96" s="228"/>
      <c r="L96" s="228"/>
      <c r="M96" s="111"/>
      <c r="N96" s="111"/>
      <c r="O96" s="111"/>
      <c r="P96" s="111"/>
      <c r="Q96" s="111"/>
      <c r="R96" s="111"/>
      <c r="S96" s="111"/>
      <c r="T96" s="111"/>
      <c r="U96" s="111"/>
      <c r="V96" s="111"/>
    </row>
    <row r="97" outlineLevel="1">
      <c r="A97" s="212"/>
      <c r="B97" s="288" t="s">
        <v>245</v>
      </c>
      <c r="C97" s="113" t="str">
        <f t="array" ref="C97">INDEX('回避'!$G$3:$U$84, MATCH($A$1,'回避'!$A$3:$A$91,0), MATCH(C95,'回避'!$G$2:$J$2,0))</f>
        <v>4-16</v>
      </c>
      <c r="D97" s="113" t="str">
        <f t="array" ref="D97">INDEX('回避'!$G$3:$U$84, MATCH($A$1,'回避'!$A$3:$A$91,0), MATCH(D95,'回避'!$G$2:$J$2,0))</f>
        <v>8-15</v>
      </c>
      <c r="E97" s="113" t="str">
        <f t="array" ref="E97">INDEX('回避'!$G$3:$U$84, MATCH($A$1,'回避'!$A$3:$A$91,0), MATCH(E95,'回避'!$G$2:$J$2,0))</f>
        <v>32</v>
      </c>
      <c r="F97" s="113">
        <f t="array" ref="F97">INDEX('回避'!$G$3:$U$84, MATCH($A$1,'回避'!$A$3:$A$91,0), MATCH(F95,'回避'!$G$2:$J$2,0))</f>
        <v>42</v>
      </c>
      <c r="G97" s="289"/>
      <c r="H97" s="290"/>
      <c r="I97" s="290"/>
      <c r="J97" s="228"/>
      <c r="K97" s="228"/>
      <c r="L97" s="228"/>
      <c r="M97" s="228"/>
      <c r="N97" s="228"/>
      <c r="O97" s="111"/>
      <c r="P97" s="111"/>
      <c r="Q97" s="111"/>
      <c r="R97" s="111"/>
      <c r="S97" s="111"/>
      <c r="T97" s="111"/>
      <c r="U97" s="111"/>
      <c r="V97" s="111"/>
    </row>
    <row r="98" outlineLevel="1">
      <c r="A98" s="106"/>
      <c r="B98" s="288" t="s">
        <v>246</v>
      </c>
      <c r="C98" s="113" t="str">
        <f t="array" ref="C98">INDEX('回避'!$K$3:$U$84, MATCH($A$1,'回避'!$A$3:$A$91,0), MATCH(C95,'回避'!$K$2:$N$2,0))</f>
        <v>5-17</v>
      </c>
      <c r="D98" s="113" t="str">
        <f t="array" ref="D98">INDEX('回避'!$K$3:$U$84, MATCH($A$1,'回避'!$A$3:$A$91,0), MATCH(D95,'回避'!$K$2:$N$2,0))</f>
        <v>9-15</v>
      </c>
      <c r="E98" s="113" t="str">
        <f t="array" ref="E98">INDEX('回避'!$K$3:$U$84, MATCH($A$1,'回避'!$A$3:$A$91,0), MATCH(E95,'回避'!$K$2:$N$2,0))</f>
        <v>37</v>
      </c>
      <c r="F98" s="113" t="str">
        <f t="array" ref="F98">INDEX('回避'!$K$3:$U$84, MATCH($A$1,'回避'!$A$3:$A$91,0), MATCH(F95,'回避'!$K$2:$N$2,0))</f>
        <v>56</v>
      </c>
      <c r="G98" s="289"/>
      <c r="H98" s="290"/>
      <c r="I98" s="290"/>
      <c r="J98" s="117"/>
      <c r="K98" s="117"/>
      <c r="L98" s="117"/>
      <c r="M98" s="117"/>
      <c r="N98" s="117"/>
      <c r="O98" s="111"/>
      <c r="P98" s="111"/>
      <c r="Q98" s="111"/>
      <c r="R98" s="111"/>
      <c r="S98" s="111"/>
      <c r="T98" s="111"/>
      <c r="U98" s="111"/>
      <c r="V98" s="111"/>
    </row>
    <row r="99" outlineLevel="1">
      <c r="A99" s="287" t="s">
        <v>396</v>
      </c>
      <c r="B99" s="288" t="s">
        <v>397</v>
      </c>
      <c r="C99" s="113" t="str">
        <f t="array" ref="C99">INDEX('回避'!$O$3:$U$84, MATCH($A$1,'回避'!$A$3:$A$91,0), MATCH(C95,'回避'!$O$2:$R$2,0))</f>
        <v>4-32</v>
      </c>
      <c r="D99" s="113" t="str">
        <f t="array" ref="D99">INDEX('回避'!$O$3:$U$84, MATCH($A$1,'回避'!$A$3:$A$91,0), MATCH(D95,'回避'!$O$2:$R$2,0))</f>
        <v>7-29</v>
      </c>
      <c r="E99" s="113" t="str">
        <f t="array" ref="E99">INDEX('回避'!$O$3:$U$84, MATCH($A$1,'回避'!$A$3:$A$91,0), MATCH(E95,'回避'!$O$2:$R$2,0))</f>
        <v>46</v>
      </c>
      <c r="F99" s="177"/>
      <c r="G99" s="177"/>
      <c r="H99" s="118"/>
      <c r="I99" s="118"/>
      <c r="J99" s="111"/>
      <c r="K99" s="111"/>
      <c r="L99" s="111"/>
      <c r="M99" s="111"/>
      <c r="N99" s="111"/>
      <c r="O99" s="228"/>
      <c r="P99" s="228"/>
      <c r="Q99" s="228"/>
      <c r="R99" s="228"/>
      <c r="S99" s="228"/>
      <c r="T99" s="228"/>
      <c r="U99" s="228"/>
      <c r="V99" s="228"/>
    </row>
    <row r="100" outlineLevel="1">
      <c r="A100" s="106"/>
      <c r="B100" s="288" t="s">
        <v>398</v>
      </c>
      <c r="C100" s="113" t="str">
        <f t="array" ref="C100">INDEX('回避'!$S$3:$U$84, MATCH($A$1,'回避'!$A$3:$A$91,0), MATCH(C95,'回避'!$S$2:$U$2,0))</f>
        <v>4-22</v>
      </c>
      <c r="D100" s="113" t="str">
        <f t="array" ref="D100">INDEX('回避'!$S$3:$U$84, MATCH($A$1,'回避'!$A$3:$A$91,0), MATCH(D95,'回避'!$S$2:$U$2,0))</f>
        <v>7-21</v>
      </c>
      <c r="E100" s="113" t="str">
        <f t="array" ref="E100">INDEX('回避'!$S$3:$U$84, MATCH($A$1,'回避'!$A$3:$A$91,0), MATCH(E95,'回避'!$S$2:$U$2,0))</f>
        <v>真横：75
真上：95
真下：63</v>
      </c>
      <c r="F100" s="289"/>
      <c r="G100" s="289"/>
      <c r="H100" s="118"/>
      <c r="I100" s="118"/>
      <c r="J100" s="117"/>
      <c r="K100" s="117"/>
      <c r="L100" s="117"/>
      <c r="M100" s="117"/>
      <c r="N100" s="111"/>
      <c r="O100" s="118"/>
      <c r="P100" s="118"/>
      <c r="Q100" s="118"/>
      <c r="R100" s="118"/>
      <c r="S100" s="118"/>
      <c r="T100" s="118"/>
      <c r="U100" s="118"/>
      <c r="V100" s="118"/>
    </row>
    <row r="101">
      <c r="A101" s="291"/>
      <c r="B101" s="292"/>
      <c r="C101" s="286"/>
      <c r="D101" s="286"/>
      <c r="E101" s="293"/>
      <c r="F101" s="286"/>
      <c r="G101" s="286"/>
      <c r="H101" s="286"/>
      <c r="I101" s="286"/>
      <c r="J101" s="111"/>
      <c r="K101" s="227"/>
      <c r="L101" s="227"/>
      <c r="M101" s="227"/>
      <c r="N101" s="227"/>
      <c r="O101" s="118"/>
      <c r="P101" s="118"/>
      <c r="Q101" s="118"/>
      <c r="R101" s="118"/>
      <c r="S101" s="118"/>
      <c r="T101" s="118"/>
      <c r="U101" s="118"/>
      <c r="V101" s="118"/>
    </row>
    <row r="102">
      <c r="A102" s="294" t="s">
        <v>238</v>
      </c>
      <c r="B102" s="104"/>
      <c r="C102" s="228"/>
      <c r="D102" s="117"/>
      <c r="E102" s="228"/>
      <c r="F102" s="114"/>
      <c r="G102" s="114"/>
      <c r="H102" s="117"/>
      <c r="I102" s="117"/>
      <c r="J102" s="118"/>
      <c r="K102" s="118"/>
      <c r="L102" s="118"/>
      <c r="M102" s="118"/>
      <c r="N102" s="118"/>
      <c r="O102" s="118"/>
      <c r="P102" s="118"/>
      <c r="Q102" s="118"/>
      <c r="R102" s="118"/>
      <c r="S102" s="118"/>
      <c r="T102" s="118"/>
      <c r="U102" s="118"/>
      <c r="V102" s="118"/>
    </row>
    <row r="103" outlineLevel="1">
      <c r="A103" s="106"/>
      <c r="B103" s="107"/>
      <c r="C103" s="295" t="s">
        <v>235</v>
      </c>
      <c r="D103" s="295" t="s">
        <v>49</v>
      </c>
      <c r="E103" s="295" t="s">
        <v>48</v>
      </c>
      <c r="F103" s="295" t="s">
        <v>50</v>
      </c>
      <c r="G103" s="296" t="s">
        <v>51</v>
      </c>
      <c r="H103" s="228"/>
      <c r="I103" s="228"/>
      <c r="J103" s="117"/>
      <c r="K103" s="297" t="str">
        <f>'テンプレート'!K116</f>
        <v>アイテム取得</v>
      </c>
      <c r="L103" s="109"/>
      <c r="M103" s="298" t="str">
        <f>'テンプレート'!M116</f>
        <v>取得フレーム</v>
      </c>
      <c r="N103" s="298" t="str">
        <f>'テンプレート'!N116</f>
        <v>全体フレーム</v>
      </c>
      <c r="O103" s="118"/>
      <c r="P103" s="118"/>
      <c r="Q103" s="118"/>
      <c r="R103" s="118"/>
      <c r="S103" s="118"/>
      <c r="T103" s="118"/>
      <c r="U103" s="118"/>
      <c r="V103" s="118"/>
    </row>
    <row r="104" outlineLevel="1">
      <c r="A104" s="299" t="s">
        <v>239</v>
      </c>
      <c r="B104" s="300" t="s">
        <v>240</v>
      </c>
      <c r="C104" s="301"/>
      <c r="D104" s="113">
        <f t="array" ref="D104">INDEX('崖行動・受け身'!$C$3:$C108, MATCH($A$1,'崖行動・受け身'!$A$3:$A$115,0), MATCH(D103,'崖行動・受け身'!$C$2,0))</f>
        <v>19</v>
      </c>
      <c r="E104" s="301"/>
      <c r="F104" s="301"/>
      <c r="G104" s="301"/>
      <c r="H104" s="228"/>
      <c r="I104" s="228"/>
      <c r="J104" s="111"/>
      <c r="K104" s="302" t="str">
        <f>'テンプレート'!K117</f>
        <v>小アイテム</v>
      </c>
      <c r="L104" s="303" t="str">
        <f>'テンプレート'!L117</f>
        <v>その場</v>
      </c>
      <c r="M104" s="113" t="s">
        <v>76</v>
      </c>
      <c r="N104" s="113">
        <v>7.0</v>
      </c>
      <c r="O104" s="118"/>
      <c r="P104" s="118"/>
      <c r="Q104" s="118"/>
      <c r="R104" s="118"/>
      <c r="S104" s="118"/>
      <c r="T104" s="118"/>
      <c r="U104" s="118"/>
      <c r="V104" s="118"/>
    </row>
    <row r="105" outlineLevel="1">
      <c r="A105" s="146"/>
      <c r="B105" s="300" t="s">
        <v>216</v>
      </c>
      <c r="C105" s="113" t="str">
        <f t="array" ref="C105">INDEX('崖行動・受け身'!$D$3:$E108, MATCH($A$1,'崖行動・受け身'!$A$3:$A$115,0), MATCH(C103,'崖行動・受け身'!$D$2:$E$2,0))</f>
        <v>1-33</v>
      </c>
      <c r="D105" s="113">
        <f t="array" ref="D105">INDEX('崖行動・受け身'!$D$3:$E108, MATCH($A$1,'崖行動・受け身'!$A$3:$A$115,0), MATCH(D103,'崖行動・受け身'!$D$2:$E$2,0))</f>
        <v>34</v>
      </c>
      <c r="E105" s="301"/>
      <c r="F105" s="301"/>
      <c r="G105" s="301"/>
      <c r="H105" s="228"/>
      <c r="I105" s="228"/>
      <c r="J105" s="117"/>
      <c r="K105" s="156"/>
      <c r="L105" s="303" t="str">
        <f>'テンプレート'!L118</f>
        <v>歩き</v>
      </c>
      <c r="M105" s="113" t="s">
        <v>76</v>
      </c>
      <c r="N105" s="113">
        <v>19.0</v>
      </c>
      <c r="O105" s="118"/>
      <c r="P105" s="118"/>
      <c r="Q105" s="118"/>
      <c r="R105" s="118"/>
      <c r="S105" s="118"/>
      <c r="T105" s="118"/>
      <c r="U105" s="118"/>
      <c r="V105" s="118"/>
    </row>
    <row r="106" outlineLevel="1">
      <c r="A106" s="146"/>
      <c r="B106" s="300" t="s">
        <v>241</v>
      </c>
      <c r="C106" s="113" t="str">
        <f t="array" ref="C106">INDEX('崖行動・受け身'!$F$3:$G$115, MATCH($A$1,'崖行動・受け身'!$A$3:$A$115,0), MATCH(C103,'崖行動・受け身'!$F$2:$G$2,0))</f>
        <v>1-24</v>
      </c>
      <c r="D106" s="113">
        <f t="array" ref="D106">INDEX('崖行動・受け身'!$F$3:$G$115, MATCH($A$1,'崖行動・受け身'!$A$3:$A$115,0), MATCH(D103,'崖行動・受け身'!$F$2:$G$2,0))</f>
        <v>45</v>
      </c>
      <c r="E106" s="301"/>
      <c r="F106" s="301"/>
      <c r="G106" s="301"/>
      <c r="H106" s="228"/>
      <c r="I106" s="228"/>
      <c r="J106" s="111"/>
      <c r="K106" s="304" t="str">
        <f>'テンプレート'!K119</f>
        <v>アイテム投擲</v>
      </c>
      <c r="L106" s="109"/>
      <c r="M106" s="298" t="str">
        <f>'テンプレート'!M119</f>
        <v>投擲フレーム</v>
      </c>
      <c r="N106" s="298" t="str">
        <f>'テンプレート'!N119</f>
        <v>全体フレーム</v>
      </c>
      <c r="O106" s="118"/>
      <c r="P106" s="118"/>
      <c r="Q106" s="118"/>
      <c r="R106" s="118"/>
      <c r="S106" s="118"/>
      <c r="T106" s="118"/>
      <c r="U106" s="118"/>
      <c r="V106" s="118"/>
    </row>
    <row r="107" outlineLevel="1">
      <c r="A107" s="146"/>
      <c r="B107" s="300" t="s">
        <v>242</v>
      </c>
      <c r="C107" s="113" t="str">
        <f t="array" ref="C107">INDEX('崖行動・受け身'!$H$3:$I$115, MATCH($A$1,'崖行動・受け身'!$A$3:$A$115,0), MATCH(C103,'崖行動・受け身'!$H$2:$I$2,0))</f>
        <v>1-12</v>
      </c>
      <c r="D107" s="113">
        <f t="array" ref="D107">INDEX('崖行動・受け身'!$H$3:$I$115, MATCH($A$1,'崖行動・受け身'!$A$3:$A$115,0), MATCH(D103,'崖行動・受け身'!$H$2:$I$2,0))</f>
        <v>14</v>
      </c>
      <c r="E107" s="301"/>
      <c r="F107" s="301"/>
      <c r="G107" s="301"/>
      <c r="H107" s="228"/>
      <c r="I107" s="228"/>
      <c r="J107" s="117"/>
      <c r="K107" s="305" t="str">
        <f>'テンプレート'!K120</f>
        <v>地上投擲</v>
      </c>
      <c r="L107" s="303" t="str">
        <f>'テンプレート'!L120</f>
        <v>前投げ</v>
      </c>
      <c r="M107" s="113" t="s">
        <v>128</v>
      </c>
      <c r="N107" s="113">
        <v>29.0</v>
      </c>
      <c r="O107" s="111"/>
      <c r="P107" s="111"/>
      <c r="Q107" s="111"/>
      <c r="R107" s="111"/>
      <c r="S107" s="111"/>
      <c r="T107" s="111"/>
      <c r="U107" s="111"/>
      <c r="V107" s="111"/>
    </row>
    <row r="108" outlineLevel="1">
      <c r="A108" s="156"/>
      <c r="B108" s="300" t="s">
        <v>243</v>
      </c>
      <c r="C108" s="113" t="str">
        <f t="array" ref="C108">INDEX('崖行動・受け身'!$J$3:$M$115, MATCH($A$1,'崖行動・受け身'!$A$3:$A$115,0), MATCH(C103,'崖行動・受け身'!$J$2:$M$2,0))</f>
        <v>1-24</v>
      </c>
      <c r="D108" s="113">
        <f t="array" ref="D108">INDEX('崖行動・受け身'!$J$3:$M$115, MATCH($A$1,'崖行動・受け身'!$A$3:$A$115,0), MATCH(D103,'崖行動・受け身'!$J$2:$M$2,0))</f>
        <v>55</v>
      </c>
      <c r="E108" s="113" t="str">
        <f t="array" ref="E108">INDEX('崖行動・受け身'!$J$3:$M$115, MATCH($A$1,'崖行動・受け身'!$A$3:$A$115,0), MATCH(E103,'崖行動・受け身'!$J$2:$M$2,0))</f>
        <v>22-24</v>
      </c>
      <c r="F108" s="113">
        <f t="array" ref="F108">INDEX('崖行動・受け身'!$J$3:$M$115, MATCH($A$1,'崖行動・受け身'!$A$3:$A$115,0), MATCH(F103,'崖行動・受け身'!$J$2:$M$2,0))</f>
        <v>10</v>
      </c>
      <c r="G108" s="113">
        <f>F108*1.2</f>
        <v>12</v>
      </c>
      <c r="H108" s="228"/>
      <c r="I108" s="228"/>
      <c r="J108" s="111"/>
      <c r="K108" s="146"/>
      <c r="L108" s="303" t="str">
        <f>'テンプレート'!L121</f>
        <v>後投げ</v>
      </c>
      <c r="M108" s="113" t="s">
        <v>228</v>
      </c>
      <c r="N108" s="113">
        <v>29.0</v>
      </c>
      <c r="O108" s="111"/>
      <c r="P108" s="111"/>
      <c r="Q108" s="111"/>
      <c r="R108" s="111"/>
      <c r="S108" s="111"/>
      <c r="T108" s="111"/>
      <c r="U108" s="111"/>
      <c r="V108" s="111"/>
    </row>
    <row r="109" outlineLevel="1">
      <c r="A109" s="299" t="s">
        <v>244</v>
      </c>
      <c r="B109" s="300" t="s">
        <v>216</v>
      </c>
      <c r="C109" s="113" t="str">
        <f t="array" ref="C109">INDEX('崖行動・受け身'!$N$3:$O$115, MATCH($A$1,'崖行動・受け身'!$A$3:$A$115,0), MATCH(C103,'崖行動・受け身'!$N$2:$O$2,0))</f>
        <v>1-20</v>
      </c>
      <c r="D109" s="113">
        <f t="array" ref="D109">INDEX('崖行動・受け身'!$N$3:$O$115, MATCH($A$1,'崖行動・受け身'!$A$3:$A$115,0), MATCH(D103,'崖行動・受け身'!$N$2:$O$2,0))</f>
        <v>26</v>
      </c>
      <c r="E109" s="301"/>
      <c r="F109" s="301"/>
      <c r="G109" s="301"/>
      <c r="H109" s="228"/>
      <c r="I109" s="228"/>
      <c r="J109" s="117"/>
      <c r="K109" s="146"/>
      <c r="L109" s="303" t="str">
        <f>'テンプレート'!L122</f>
        <v>上投げ</v>
      </c>
      <c r="M109" s="113" t="s">
        <v>394</v>
      </c>
      <c r="N109" s="113">
        <v>29.0</v>
      </c>
      <c r="O109" s="228"/>
      <c r="P109" s="228"/>
      <c r="Q109" s="228"/>
      <c r="R109" s="228"/>
      <c r="S109" s="228"/>
      <c r="T109" s="228"/>
      <c r="U109" s="228"/>
      <c r="V109" s="228"/>
    </row>
    <row r="110" outlineLevel="1">
      <c r="A110" s="146"/>
      <c r="B110" s="300" t="s">
        <v>245</v>
      </c>
      <c r="C110" s="113" t="str">
        <f t="array" ref="C110">INDEX('崖行動・受け身'!$P$3:$Q$115, MATCH($A$1,'崖行動・受け身'!$A$3:$A$115,0), MATCH(C103,'崖行動・受け身'!$P$2:$Q$2,0))</f>
        <v>1-20</v>
      </c>
      <c r="D110" s="113">
        <f t="array" ref="D110">INDEX('崖行動・受け身'!$P$3:$Q$115, MATCH($A$1,'崖行動・受け身'!$A$3:$A$115,0), MATCH(D103,'崖行動・受け身'!$P$2:$Q$2,0))</f>
        <v>40</v>
      </c>
      <c r="E110" s="301"/>
      <c r="F110" s="301"/>
      <c r="G110" s="301"/>
      <c r="H110" s="228"/>
      <c r="I110" s="228"/>
      <c r="J110" s="111"/>
      <c r="K110" s="146"/>
      <c r="L110" s="303" t="str">
        <f>'テンプレート'!L123</f>
        <v>下投げ</v>
      </c>
      <c r="M110" s="113" t="s">
        <v>80</v>
      </c>
      <c r="N110" s="113">
        <v>21.0</v>
      </c>
      <c r="O110" s="118"/>
      <c r="P110" s="118"/>
      <c r="Q110" s="118"/>
      <c r="R110" s="118"/>
      <c r="S110" s="118"/>
      <c r="T110" s="118"/>
      <c r="U110" s="118"/>
      <c r="V110" s="118"/>
    </row>
    <row r="111" outlineLevel="1">
      <c r="A111" s="156"/>
      <c r="B111" s="300" t="s">
        <v>246</v>
      </c>
      <c r="C111" s="113" t="str">
        <f t="array" ref="C111">INDEX('崖行動・受け身'!$R$3:$S$115, MATCH($A$1,'崖行動・受け身'!$A$3:$A$115,0), MATCH(C103,'崖行動・受け身'!$R$2:$S$2,0))</f>
        <v>1-20</v>
      </c>
      <c r="D111" s="113">
        <f t="array" ref="D111">INDEX('崖行動・受け身'!$R$3:$S$115, MATCH($A$1,'崖行動・受け身'!$A$3:$A$115,0), MATCH(D103,'崖行動・受け身'!$R$2:$S$2,0))</f>
        <v>40</v>
      </c>
      <c r="E111" s="301"/>
      <c r="F111" s="301"/>
      <c r="G111" s="301"/>
      <c r="H111" s="228"/>
      <c r="I111" s="228"/>
      <c r="J111" s="117"/>
      <c r="K111" s="146"/>
      <c r="L111" s="306" t="str">
        <f>'テンプレート'!L124</f>
        <v>ダッシュ</v>
      </c>
      <c r="M111" s="113" t="s">
        <v>93</v>
      </c>
      <c r="N111" s="113">
        <v>39.0</v>
      </c>
      <c r="O111" s="118"/>
      <c r="P111" s="118"/>
      <c r="Q111" s="118"/>
      <c r="R111" s="118"/>
      <c r="S111" s="118"/>
      <c r="T111" s="118"/>
      <c r="U111" s="118"/>
      <c r="V111" s="118"/>
    </row>
    <row r="112" outlineLevel="1">
      <c r="A112" s="299" t="s">
        <v>247</v>
      </c>
      <c r="B112" s="300" t="s">
        <v>248</v>
      </c>
      <c r="C112" s="301"/>
      <c r="D112" s="113" t="str">
        <f t="array" ref="D112">INDEX('起きあがり'!$C$3:$C108, MATCH($A$1,'起きあがり'!$A$3:$A$115,0), MATCH(D103,'起きあがり'!$C$2:$AD$2,0))</f>
        <v>25</v>
      </c>
      <c r="E112" s="301"/>
      <c r="F112" s="301"/>
      <c r="G112" s="301"/>
      <c r="H112" s="228"/>
      <c r="I112" s="228"/>
      <c r="J112" s="111"/>
      <c r="K112" s="156"/>
      <c r="L112" s="306" t="str">
        <f>'テンプレート'!L125</f>
        <v>その場捨て</v>
      </c>
      <c r="M112" s="113" t="s">
        <v>93</v>
      </c>
      <c r="N112" s="113">
        <v>23.0</v>
      </c>
      <c r="O112" s="118"/>
      <c r="P112" s="118"/>
      <c r="Q112" s="118"/>
      <c r="R112" s="118"/>
      <c r="S112" s="118"/>
      <c r="T112" s="118"/>
      <c r="U112" s="118"/>
      <c r="V112" s="118"/>
    </row>
    <row r="113" outlineLevel="1">
      <c r="A113" s="146"/>
      <c r="B113" s="300" t="s">
        <v>216</v>
      </c>
      <c r="C113" s="307" t="str">
        <f t="array" ref="C113">INDEX('起きあがり'!$D$3:$E108, MATCH($A$1,'起きあがり'!$A$3:$A$115,0), MATCH(C103,'起きあがり'!$D$2:$AD$2,0))</f>
        <v>1-22</v>
      </c>
      <c r="D113" s="308">
        <f t="array" ref="D113">INDEX('起きあがり'!$D$3:$E108, MATCH($A$1,'起きあがり'!$A$3:$A$115,0), MATCH(D103,'起きあがり'!$D$2:$AD$2,0))</f>
        <v>29</v>
      </c>
      <c r="E113" s="301"/>
      <c r="F113" s="301"/>
      <c r="G113" s="301"/>
      <c r="H113" s="228"/>
      <c r="I113" s="228"/>
      <c r="J113" s="117"/>
      <c r="K113" s="305" t="str">
        <f>'テンプレート'!K126</f>
        <v>空中投擲</v>
      </c>
      <c r="L113" s="303" t="str">
        <f>'テンプレート'!L126</f>
        <v>前投げ</v>
      </c>
      <c r="M113" s="113" t="s">
        <v>128</v>
      </c>
      <c r="N113" s="113">
        <v>29.0</v>
      </c>
      <c r="O113" s="118"/>
      <c r="P113" s="118"/>
      <c r="Q113" s="118"/>
      <c r="R113" s="118"/>
      <c r="S113" s="118"/>
      <c r="T113" s="118"/>
      <c r="U113" s="118"/>
      <c r="V113" s="118"/>
    </row>
    <row r="114" outlineLevel="1">
      <c r="A114" s="146"/>
      <c r="B114" s="300" t="s">
        <v>245</v>
      </c>
      <c r="C114" s="307" t="str">
        <f t="array" ref="C114">INDEX('起きあがり'!$F$3:$G$115, MATCH($A$1,'起きあがり'!$A$3:$A$115,0), MATCH(C103,'起きあがり'!$F$2:$AD$2,0))</f>
        <v>1-19</v>
      </c>
      <c r="D114" s="308">
        <f t="array" ref="D114">INDEX('起きあがり'!$F$3:$G$115, MATCH($A$1,'起きあがり'!$A$3:$A$115,0), MATCH(D103,'起きあがり'!$F$2:$AD$2,0))</f>
        <v>35</v>
      </c>
      <c r="E114" s="301"/>
      <c r="F114" s="301"/>
      <c r="G114" s="301"/>
      <c r="H114" s="228"/>
      <c r="I114" s="228"/>
      <c r="J114" s="111"/>
      <c r="K114" s="146"/>
      <c r="L114" s="303" t="str">
        <f>'テンプレート'!L127</f>
        <v>後投げ</v>
      </c>
      <c r="M114" s="113" t="s">
        <v>228</v>
      </c>
      <c r="N114" s="113">
        <v>29.0</v>
      </c>
      <c r="O114" s="118"/>
      <c r="P114" s="118"/>
      <c r="Q114" s="118"/>
      <c r="R114" s="118"/>
      <c r="S114" s="118"/>
      <c r="T114" s="118"/>
      <c r="U114" s="118"/>
      <c r="V114" s="118"/>
    </row>
    <row r="115" outlineLevel="1">
      <c r="A115" s="146"/>
      <c r="B115" s="300" t="s">
        <v>246</v>
      </c>
      <c r="C115" s="113" t="str">
        <f t="array" ref="C115">INDEX('起きあがり'!$H$3:$I$115, MATCH($A$1,'起きあがり'!$A$3:$A$115,0), MATCH(C103,'起きあがり'!$H$2:$AD$2,0))</f>
        <v>1-27</v>
      </c>
      <c r="D115" s="113">
        <f t="array" ref="D115">INDEX('起きあがり'!$H$3:$I$115, MATCH($A$1,'起きあがり'!$A$3:$A$115,0), MATCH(D103,'起きあがり'!$H$2:$AD$2,0))</f>
        <v>35</v>
      </c>
      <c r="E115" s="301"/>
      <c r="F115" s="301"/>
      <c r="G115" s="301"/>
      <c r="H115" s="228"/>
      <c r="I115" s="228"/>
      <c r="J115" s="117"/>
      <c r="K115" s="146"/>
      <c r="L115" s="303" t="str">
        <f>'テンプレート'!L128</f>
        <v>上投げ</v>
      </c>
      <c r="M115" s="113" t="s">
        <v>386</v>
      </c>
      <c r="N115" s="113">
        <v>29.0</v>
      </c>
      <c r="O115" s="118"/>
      <c r="P115" s="118"/>
      <c r="Q115" s="118"/>
      <c r="R115" s="118"/>
      <c r="S115" s="118"/>
      <c r="T115" s="118"/>
      <c r="U115" s="118"/>
      <c r="V115" s="118"/>
    </row>
    <row r="116" outlineLevel="1">
      <c r="A116" s="146"/>
      <c r="B116" s="300" t="s">
        <v>249</v>
      </c>
      <c r="C116" s="309" t="str">
        <f t="array" ref="C116">INDEX('起きあがり'!$J$3:$M$115, MATCH($A$1,'起きあがり'!$A$3:$A$115,0), MATCH(C103,'起きあがり'!$J$2:$AD$2,0))</f>
        <v>1-23</v>
      </c>
      <c r="D116" s="310">
        <f t="array" ref="D116">INDEX('起きあがり'!$J$3:$M$115, MATCH($A$1,'起きあがり'!$A$3:$A$115,0), MATCH(D103,'起きあがり'!$J$2:$AD$2,0))</f>
        <v>45</v>
      </c>
      <c r="E116" s="307" t="str">
        <f t="array" ref="E116">INDEX('起きあがり'!$J$3:$M$115, MATCH($A$1,'起きあがり'!$A$3:$A$115,0), MATCH(E103,'起きあがり'!$J$2:$AD$2,0))</f>
        <v>19-20</v>
      </c>
      <c r="F116" s="308">
        <f t="array" ref="F116">INDEX('起きあがり'!$J$3:$M$115, MATCH($A$1,'起きあがり'!$A$3:$A$115,0), MATCH(F103,'起きあがり'!$J$2:$AD$2,0))</f>
        <v>7</v>
      </c>
      <c r="G116" s="113">
        <f t="shared" ref="G116:G117" si="1">F116*1.2</f>
        <v>8.4</v>
      </c>
      <c r="H116" s="228"/>
      <c r="I116" s="228"/>
      <c r="J116" s="111"/>
      <c r="K116" s="156"/>
      <c r="L116" s="303" t="str">
        <f>'テンプレート'!L129</f>
        <v>下投げ</v>
      </c>
      <c r="M116" s="113" t="s">
        <v>80</v>
      </c>
      <c r="N116" s="113">
        <v>21.0</v>
      </c>
      <c r="O116" s="111"/>
      <c r="P116" s="111"/>
      <c r="Q116" s="111"/>
      <c r="R116" s="111"/>
      <c r="S116" s="111"/>
      <c r="T116" s="111"/>
      <c r="U116" s="111"/>
      <c r="V116" s="111"/>
    </row>
    <row r="117" outlineLevel="1">
      <c r="A117" s="156"/>
      <c r="B117" s="311" t="s">
        <v>250</v>
      </c>
      <c r="C117" s="156"/>
      <c r="D117" s="156"/>
      <c r="E117" s="307" t="str">
        <f t="array" ref="E117">INDEX('起きあがり'!$N$3:$O$115, MATCH($A$1,'起きあがり'!$A$3:$A$115,0), MATCH(E103,'起きあがり'!$N$2:$AD$2,0))</f>
        <v>22-23</v>
      </c>
      <c r="F117" s="308">
        <f t="array" ref="F117">INDEX('起きあがり'!$N$3:$O$115, MATCH($A$1,'起きあがり'!$A$3:$A$115,0), MATCH(F103,'起きあがり'!$N$2:$AD$2,0))</f>
        <v>7</v>
      </c>
      <c r="G117" s="113">
        <f t="shared" si="1"/>
        <v>8.4</v>
      </c>
      <c r="H117" s="228"/>
      <c r="I117" s="228"/>
      <c r="J117" s="111"/>
      <c r="K117" s="312" t="str">
        <f>'テンプレート'!K130</f>
        <v>踏み台ジャンプ</v>
      </c>
      <c r="L117" s="168"/>
      <c r="M117" s="298" t="str">
        <f>'テンプレート'!M130</f>
        <v>全体フレーム</v>
      </c>
      <c r="N117" s="114"/>
      <c r="O117" s="111"/>
      <c r="P117" s="111"/>
      <c r="Q117" s="111"/>
      <c r="R117" s="111"/>
      <c r="S117" s="111"/>
      <c r="T117" s="111"/>
      <c r="U117" s="111"/>
      <c r="V117" s="111"/>
    </row>
    <row r="118" outlineLevel="1">
      <c r="A118" s="299" t="s">
        <v>251</v>
      </c>
      <c r="B118" s="300" t="s">
        <v>248</v>
      </c>
      <c r="C118" s="301"/>
      <c r="D118" s="307" t="str">
        <f t="array" ref="D118">INDEX('起きあがり'!$C$3:$C108, MATCH($A$1,'起きあがり'!$A$3:$A$115,0), MATCH(D103,'起きあがり'!$C$2,0))</f>
        <v>25</v>
      </c>
      <c r="E118" s="301"/>
      <c r="F118" s="301"/>
      <c r="G118" s="301"/>
      <c r="H118" s="228"/>
      <c r="I118" s="228"/>
      <c r="J118" s="117"/>
      <c r="K118" s="313" t="str">
        <f>'テンプレート'!K131</f>
        <v>踏み</v>
      </c>
      <c r="L118" s="314" t="str">
        <f>'テンプレート'!L131</f>
        <v>踏み</v>
      </c>
      <c r="M118" s="113">
        <v>8.0</v>
      </c>
      <c r="N118" s="315"/>
      <c r="O118" s="111"/>
      <c r="P118" s="111"/>
      <c r="Q118" s="111"/>
      <c r="R118" s="111"/>
      <c r="S118" s="111"/>
      <c r="T118" s="111"/>
      <c r="U118" s="111"/>
      <c r="V118" s="111"/>
    </row>
    <row r="119" outlineLevel="1">
      <c r="A119" s="146"/>
      <c r="B119" s="300" t="s">
        <v>216</v>
      </c>
      <c r="C119" s="307" t="str">
        <f t="array" ref="C119">INDEX('起きあがり'!$P$3:$Q$115, MATCH($A$1,'起きあがり'!$A$3:$A$115,0), MATCH(C103,'起きあがり'!$P$2:$AD$2,0))</f>
        <v>1-22</v>
      </c>
      <c r="D119" s="308">
        <f t="array" ref="D119">INDEX('起きあがり'!$P$3:$Q$115, MATCH($A$1,'起きあがり'!$A$3:$A$115,0), MATCH(D103,'起きあがり'!$P$2:$AD$2,0))</f>
        <v>29</v>
      </c>
      <c r="E119" s="301"/>
      <c r="F119" s="301"/>
      <c r="G119" s="301"/>
      <c r="H119" s="228"/>
      <c r="I119" s="228"/>
      <c r="J119" s="111"/>
      <c r="K119" s="305" t="str">
        <f>'テンプレート'!K132</f>
        <v>踏まれ</v>
      </c>
      <c r="L119" s="314" t="str">
        <f>'テンプレート'!L132</f>
        <v>地上踏まれ</v>
      </c>
      <c r="M119" s="113" t="s">
        <v>76</v>
      </c>
      <c r="N119" s="315"/>
      <c r="O119" s="228"/>
      <c r="P119" s="228"/>
      <c r="Q119" s="228"/>
      <c r="R119" s="228"/>
      <c r="S119" s="228"/>
      <c r="T119" s="228"/>
      <c r="U119" s="228"/>
      <c r="V119" s="228"/>
    </row>
    <row r="120" outlineLevel="1">
      <c r="A120" s="146"/>
      <c r="B120" s="300" t="s">
        <v>245</v>
      </c>
      <c r="C120" s="307" t="str">
        <f t="array" ref="C120">INDEX('起きあがり'!$R$3:$S$115, MATCH($A$1,'起きあがり'!$A$3:$A$115,0), MATCH(C103,'起きあがり'!$R$2:$AD$2,0))</f>
        <v>1-27</v>
      </c>
      <c r="D120" s="308">
        <f t="array" ref="D120">INDEX('起きあがり'!$R$3:$S$115, MATCH($A$1,'起きあがり'!$A$3:$A$115,0), MATCH(D103,'起きあがり'!$R$2:$AD$2,0))</f>
        <v>35</v>
      </c>
      <c r="E120" s="301"/>
      <c r="F120" s="301"/>
      <c r="G120" s="301"/>
      <c r="H120" s="228"/>
      <c r="I120" s="228"/>
      <c r="J120" s="117"/>
      <c r="K120" s="146"/>
      <c r="L120" s="314" t="s">
        <v>693</v>
      </c>
      <c r="M120" s="113">
        <v>28.0</v>
      </c>
      <c r="N120" s="102"/>
      <c r="O120" s="118"/>
      <c r="P120" s="118"/>
      <c r="Q120" s="118"/>
      <c r="R120" s="118"/>
      <c r="S120" s="118"/>
      <c r="T120" s="118"/>
      <c r="U120" s="118"/>
      <c r="V120" s="118"/>
    </row>
    <row r="121" outlineLevel="1">
      <c r="A121" s="146"/>
      <c r="B121" s="300" t="s">
        <v>246</v>
      </c>
      <c r="C121" s="307" t="str">
        <f t="array" ref="C121">INDEX('起きあがり'!$T$3:$U$115, MATCH($A$1,'起きあがり'!$A$3:$A$115,0), MATCH(C103,'起きあがり'!$T$2:$AD$2,0))</f>
        <v>1-19</v>
      </c>
      <c r="D121" s="308">
        <f t="array" ref="D121">INDEX('起きあがり'!$T$3:$U$115, MATCH($A$1,'起きあがり'!$A$3:$A$115,0), MATCH(D103,'起きあがり'!$T$2:$AD$2,0))</f>
        <v>35</v>
      </c>
      <c r="E121" s="301"/>
      <c r="F121" s="301"/>
      <c r="G121" s="301"/>
      <c r="H121" s="228"/>
      <c r="I121" s="228"/>
      <c r="J121" s="111"/>
      <c r="K121" s="146"/>
      <c r="L121" s="314" t="str">
        <f>'テンプレート'!L134</f>
        <v>空中踏まれ</v>
      </c>
      <c r="M121" s="113">
        <v>8.0</v>
      </c>
      <c r="N121" s="102"/>
      <c r="O121" s="118"/>
      <c r="P121" s="118"/>
      <c r="Q121" s="118"/>
      <c r="R121" s="118"/>
      <c r="S121" s="118"/>
      <c r="T121" s="118"/>
      <c r="U121" s="118"/>
      <c r="V121" s="118"/>
    </row>
    <row r="122" outlineLevel="1">
      <c r="A122" s="146"/>
      <c r="B122" s="300" t="s">
        <v>249</v>
      </c>
      <c r="C122" s="309" t="str">
        <f t="array" ref="C122">INDEX('起きあがり'!$V$3:$Y$115, MATCH($A$1,'起きあがり'!$A$3:$A$115,0), MATCH(C103,'起きあがり'!$V$2:$AD$2,0))</f>
        <v>1-23</v>
      </c>
      <c r="D122" s="310">
        <f t="array" ref="D122">INDEX('起きあがり'!$V$3:$Y$115, MATCH($A$1,'起きあがり'!$A$3:$A$115,0), MATCH(D103,'起きあがり'!$V$2:$AD$2,0))</f>
        <v>45</v>
      </c>
      <c r="E122" s="307" t="str">
        <f t="array" ref="E122">INDEX('起きあがり'!$V$3:$Y$115, MATCH($A$1,'起きあがり'!$A$3:$A$115,0), MATCH(E103,'起きあがり'!$V$2:$AD$2,0))</f>
        <v>19-20</v>
      </c>
      <c r="F122" s="308">
        <f t="array" ref="F122">INDEX('起きあがり'!$V$3:$Y$115, MATCH($A$1,'起きあがり'!$A$3:$A$115,0), MATCH(F103,'起きあがり'!$V$2:$AD$2,0))</f>
        <v>7</v>
      </c>
      <c r="G122" s="113">
        <f t="shared" ref="G122:G123" si="2">F122*1.2</f>
        <v>8.4</v>
      </c>
      <c r="H122" s="228"/>
      <c r="I122" s="228"/>
      <c r="J122" s="117"/>
      <c r="K122" s="146"/>
      <c r="L122" s="314" t="str">
        <f>'テンプレート'!L135</f>
        <v>空中落下</v>
      </c>
      <c r="M122" s="113">
        <v>39.0</v>
      </c>
      <c r="N122" s="102"/>
      <c r="O122" s="118"/>
      <c r="P122" s="118"/>
      <c r="Q122" s="118"/>
      <c r="R122" s="118"/>
      <c r="S122" s="118"/>
      <c r="T122" s="118"/>
      <c r="U122" s="118"/>
      <c r="V122" s="118"/>
    </row>
    <row r="123" outlineLevel="1">
      <c r="A123" s="156"/>
      <c r="B123" s="311" t="s">
        <v>250</v>
      </c>
      <c r="C123" s="156"/>
      <c r="D123" s="156"/>
      <c r="E123" s="307" t="str">
        <f t="array" ref="E123">INDEX('起きあがり'!$Z$3:$AA$115, MATCH($A$1,'起きあがり'!$A$3:$A$115,0), MATCH(E103,'起きあがり'!$Z$2:$AD$2,0))</f>
        <v>22-23</v>
      </c>
      <c r="F123" s="308">
        <f t="array" ref="F123">INDEX('起きあがり'!$Z$3:$AA$115, MATCH($A$1,'起きあがり'!$A$3:$A$115,0), MATCH(F103,'起きあがり'!$Z$2:$AD$2,0))</f>
        <v>7</v>
      </c>
      <c r="G123" s="113">
        <f t="shared" si="2"/>
        <v>8.4</v>
      </c>
      <c r="H123" s="228"/>
      <c r="I123" s="228"/>
      <c r="J123" s="117"/>
      <c r="K123" s="304" t="str">
        <f>'テンプレート'!K136</f>
        <v>倒れダメージ</v>
      </c>
      <c r="L123" s="110"/>
      <c r="M123" s="298" t="str">
        <f>'テンプレート'!M136</f>
        <v>全体フレーム</v>
      </c>
      <c r="N123" s="102"/>
      <c r="O123" s="118"/>
      <c r="P123" s="118"/>
      <c r="Q123" s="118"/>
      <c r="R123" s="118"/>
      <c r="S123" s="118"/>
      <c r="T123" s="118"/>
      <c r="U123" s="118"/>
      <c r="V123" s="118"/>
    </row>
    <row r="124" outlineLevel="1">
      <c r="A124" s="299" t="s">
        <v>252</v>
      </c>
      <c r="B124" s="300" t="s">
        <v>253</v>
      </c>
      <c r="C124" s="307" t="str">
        <f t="array" ref="C124">INDEX('転倒'!$C$3:$D108, MATCH($A$1,'転倒'!$A$3:$A$115,0), MATCH(C103,'転倒'!$C$2:$AC$2,0))</f>
        <v>1-5</v>
      </c>
      <c r="D124" s="308">
        <f t="array" ref="D124">INDEX('転倒'!$C$3:$D108, MATCH($A$1,'転倒'!$A$3:$A$115,0), MATCH(D103,'転倒'!$C$2:$AC$2,0))</f>
        <v>29</v>
      </c>
      <c r="E124" s="301"/>
      <c r="F124" s="301"/>
      <c r="G124" s="301"/>
      <c r="H124" s="228"/>
      <c r="I124" s="228"/>
      <c r="J124" s="111"/>
      <c r="K124" s="313" t="str">
        <f>'テンプレート'!K137</f>
        <v>あお向け倒れ</v>
      </c>
      <c r="L124" s="306" t="str">
        <f>'テンプレート'!L137</f>
        <v>モーション大</v>
      </c>
      <c r="M124" s="113">
        <v>39.0</v>
      </c>
      <c r="N124" s="315"/>
      <c r="O124" s="118"/>
      <c r="P124" s="118"/>
      <c r="Q124" s="118"/>
      <c r="R124" s="118"/>
      <c r="S124" s="118"/>
      <c r="T124" s="118"/>
      <c r="U124" s="118"/>
      <c r="V124" s="118"/>
    </row>
    <row r="125" outlineLevel="1">
      <c r="A125" s="146"/>
      <c r="B125" s="300" t="s">
        <v>254</v>
      </c>
      <c r="C125" s="307" t="str">
        <f t="array" ref="C125">INDEX('転倒'!$E$3:$F108, MATCH($A$1,'転倒'!$A$3:$A$115,0), MATCH(C103,'転倒'!$E$2:$AC$2,0))</f>
        <v>1-5</v>
      </c>
      <c r="D125" s="308">
        <f t="array" ref="D125">INDEX('転倒'!$E$3:$F108, MATCH($A$1,'転倒'!$A$3:$A$115,0), MATCH(D103,'転倒'!$E$2:$AC$2,0))</f>
        <v>39</v>
      </c>
      <c r="E125" s="301"/>
      <c r="F125" s="301"/>
      <c r="G125" s="301"/>
      <c r="H125" s="228"/>
      <c r="I125" s="228"/>
      <c r="J125" s="117"/>
      <c r="K125" s="313" t="str">
        <f>'テンプレート'!K138</f>
        <v>うつ伏せ倒れ</v>
      </c>
      <c r="L125" s="306" t="str">
        <f>'テンプレート'!L138</f>
        <v>モーション大</v>
      </c>
      <c r="M125" s="113" t="s">
        <v>118</v>
      </c>
      <c r="N125" s="315"/>
      <c r="O125" s="118"/>
      <c r="P125" s="118"/>
      <c r="Q125" s="118"/>
      <c r="R125" s="118"/>
      <c r="S125" s="118"/>
      <c r="T125" s="118"/>
      <c r="U125" s="118"/>
      <c r="V125" s="118"/>
    </row>
    <row r="126" outlineLevel="1">
      <c r="A126" s="146"/>
      <c r="B126" s="300" t="s">
        <v>216</v>
      </c>
      <c r="C126" s="307" t="str">
        <f t="array" ref="C126">INDEX('転倒'!$G$3:$H$115, MATCH($A$1,'転倒'!$A$3:$A$115,0), MATCH(C103,'転倒'!$G$2:$AC$2,0))</f>
        <v>1-16</v>
      </c>
      <c r="D126" s="308">
        <f t="array" ref="D126">INDEX('転倒'!$G$3:$H$115, MATCH($A$1,'転倒'!$A$3:$A$115,0), MATCH(D103,'転倒'!$G$2:$AC$2,0))</f>
        <v>21</v>
      </c>
      <c r="E126" s="301"/>
      <c r="F126" s="301"/>
      <c r="G126" s="301"/>
      <c r="H126" s="228"/>
      <c r="I126" s="228"/>
      <c r="J126" s="111"/>
      <c r="K126" s="304" t="str">
        <f>'テンプレート'!K139</f>
        <v/>
      </c>
      <c r="L126" s="110"/>
      <c r="M126" s="298" t="str">
        <f>'テンプレート'!M139</f>
        <v/>
      </c>
      <c r="N126" s="102"/>
      <c r="O126" s="118"/>
      <c r="P126" s="118"/>
      <c r="Q126" s="118"/>
      <c r="R126" s="118"/>
      <c r="S126" s="118"/>
      <c r="T126" s="118"/>
      <c r="U126" s="118"/>
      <c r="V126" s="118"/>
    </row>
    <row r="127" outlineLevel="1">
      <c r="A127" s="146"/>
      <c r="B127" s="300" t="s">
        <v>245</v>
      </c>
      <c r="C127" s="307" t="str">
        <f t="array" ref="C127">INDEX('転倒'!$I$3:$J$115, MATCH($A$1,'転倒'!$A$3:$A$115,0), MATCH(C103,'転倒'!$I$2:$AC$2,0))</f>
        <v>1-9</v>
      </c>
      <c r="D127" s="308">
        <f t="array" ref="D127">INDEX('転倒'!$I$3:$J$115, MATCH($A$1,'転倒'!$A$3:$A$115,0), MATCH(D103,'転倒'!$I$2:$AC$2,0))</f>
        <v>28</v>
      </c>
      <c r="E127" s="301"/>
      <c r="F127" s="301"/>
      <c r="G127" s="301"/>
      <c r="H127" s="228"/>
      <c r="I127" s="228"/>
      <c r="J127" s="228"/>
      <c r="K127" s="316"/>
      <c r="L127" s="317" t="str">
        <f>'テンプレート'!L140</f>
        <v/>
      </c>
      <c r="M127" s="113" t="s">
        <v>76</v>
      </c>
      <c r="N127" s="102"/>
      <c r="O127" s="118"/>
      <c r="P127" s="118"/>
      <c r="Q127" s="118"/>
      <c r="R127" s="118"/>
      <c r="S127" s="118"/>
      <c r="T127" s="118"/>
      <c r="U127" s="118"/>
      <c r="V127" s="118"/>
    </row>
    <row r="128" outlineLevel="1">
      <c r="A128" s="146"/>
      <c r="B128" s="300" t="s">
        <v>246</v>
      </c>
      <c r="C128" s="307" t="str">
        <f t="array" ref="C128">INDEX('転倒'!$K$3:$L$115, MATCH($A$1,'転倒'!$A$3:$A$115,0), MATCH(C103,'転倒'!$K$2:$AC$2,0))</f>
        <v>1-9</v>
      </c>
      <c r="D128" s="308">
        <f t="array" ref="D128">INDEX('転倒'!$K$3:$L$115, MATCH($A$1,'転倒'!$A$3:$A$115,0), MATCH(D103,'転倒'!$K$2:$AC$2,0))</f>
        <v>28</v>
      </c>
      <c r="E128" s="301"/>
      <c r="F128" s="301"/>
      <c r="G128" s="301"/>
      <c r="H128" s="228"/>
      <c r="I128" s="228"/>
      <c r="J128" s="228"/>
      <c r="K128" s="318"/>
      <c r="L128" s="118"/>
      <c r="M128" s="118"/>
      <c r="N128" s="102"/>
      <c r="O128" s="118"/>
      <c r="P128" s="118"/>
      <c r="Q128" s="118"/>
      <c r="R128" s="118"/>
      <c r="S128" s="118"/>
      <c r="T128" s="118"/>
      <c r="U128" s="118"/>
      <c r="V128" s="118"/>
    </row>
    <row r="129" outlineLevel="1">
      <c r="A129" s="146"/>
      <c r="B129" s="300" t="s">
        <v>249</v>
      </c>
      <c r="C129" s="309" t="str">
        <f t="array" ref="C129">INDEX('転倒'!$M$3:$P$115, MATCH($A$1,'転倒'!$A$3:$A$115,0), MATCH(C103,'転倒'!$M$2:$AC$2,0))</f>
        <v>1-7</v>
      </c>
      <c r="D129" s="310">
        <f t="array" ref="D129">INDEX('転倒'!$M$3:$P$115, MATCH($A$1,'転倒'!$A$3:$A$115,0), MATCH(D103,'転倒'!$M$2:$AC$2,0))</f>
        <v>49</v>
      </c>
      <c r="E129" s="307" t="str">
        <f t="array" ref="E129">INDEX('転倒'!$M$3:$P$115, MATCH($A$1,'転倒'!$A$3:$A$115,0), MATCH(E103,'転倒'!$M$2:$AC$2,0))</f>
        <v>19-20</v>
      </c>
      <c r="F129" s="308">
        <f t="array" ref="F129">INDEX('転倒'!$M$3:$P$115, MATCH($A$1,'転倒'!$A$3:$A$115,0), MATCH(F103,'転倒'!$M$2:$AC$2,0))</f>
        <v>5</v>
      </c>
      <c r="G129" s="113">
        <f t="shared" ref="G129:G130" si="3">F129*1.2</f>
        <v>6</v>
      </c>
      <c r="H129" s="228"/>
      <c r="I129" s="228"/>
      <c r="J129" s="228"/>
      <c r="K129" s="118"/>
      <c r="L129" s="118"/>
      <c r="M129" s="118"/>
      <c r="N129" s="102"/>
      <c r="O129" s="102"/>
      <c r="P129" s="102"/>
      <c r="Q129" s="102"/>
      <c r="R129" s="118"/>
      <c r="S129" s="118"/>
      <c r="T129" s="118"/>
      <c r="U129" s="118"/>
      <c r="V129" s="118"/>
    </row>
    <row r="130" outlineLevel="1">
      <c r="A130" s="156"/>
      <c r="B130" s="311" t="s">
        <v>250</v>
      </c>
      <c r="C130" s="156"/>
      <c r="D130" s="156"/>
      <c r="E130" s="307" t="str">
        <f t="array" ref="E130">INDEX('転倒'!$Q$3:$R$115, MATCH($A$1,'転倒'!$A$3:$A$115,0), MATCH(E103,'転倒'!$Q$2:$AC$2,0))</f>
        <v>23-24</v>
      </c>
      <c r="F130" s="308">
        <f t="array" ref="F130">INDEX('転倒'!$Q$3:$R$115, MATCH($A$1,'転倒'!$A$3:$A$115,0), MATCH(F103,'転倒'!$Q$2:$AC$2,0))</f>
        <v>5</v>
      </c>
      <c r="G130" s="113">
        <f t="shared" si="3"/>
        <v>6</v>
      </c>
      <c r="H130" s="228"/>
      <c r="I130" s="228"/>
      <c r="J130" s="228"/>
      <c r="K130" s="118"/>
      <c r="L130" s="118"/>
      <c r="M130" s="118"/>
      <c r="N130" s="102"/>
      <c r="O130" s="102"/>
      <c r="P130" s="102"/>
      <c r="Q130" s="102"/>
      <c r="R130" s="118"/>
      <c r="S130" s="118"/>
      <c r="T130" s="118"/>
      <c r="U130" s="118"/>
      <c r="V130" s="118"/>
    </row>
    <row r="131" outlineLevel="1">
      <c r="A131" s="319"/>
      <c r="B131" s="320"/>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3" t="s">
        <v>255</v>
      </c>
      <c r="B132" s="109"/>
      <c r="C132" s="321"/>
      <c r="D132" s="321"/>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256</v>
      </c>
      <c r="B133" s="109"/>
      <c r="C133" s="325" t="s">
        <v>257</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258</v>
      </c>
      <c r="B134" s="327" t="s">
        <v>216</v>
      </c>
      <c r="C134" s="328" t="str">
        <f t="array" ref="C134">INDEX('アイテム'!$C$3:$D$114, MATCH($A$1,'アイテム'!$A$3:$A$114,0), MATCH(C133,'アイテム'!$C$2:$AQ$2,0))</f>
        <v>2</v>
      </c>
      <c r="D134" s="328">
        <f t="array" ref="D134">INDEX('アイテム'!$C$3:$D$114, MATCH($A$1,'アイテム'!$A$3:$A$114,0), MATCH(D133,'アイテム'!$C$2:$AQ$2,0))</f>
        <v>7</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219</v>
      </c>
      <c r="C135" s="328" t="str">
        <f t="array" ref="C135">INDEX('アイテム'!$E$3:$F$114, MATCH($A$1,'アイテム'!$A$3:$A$114,0), MATCH(C133,'アイテム'!$C$2:$AQ$2,0))</f>
        <v>2</v>
      </c>
      <c r="D135" s="328">
        <f t="array" ref="D135">INDEX('アイテム'!$E$3:$F$114, MATCH($A$1,'アイテム'!$A$3:$A$114,0), MATCH(D133,'アイテム'!$C$2:$AQ$2,0))</f>
        <v>19</v>
      </c>
      <c r="E135" s="322"/>
      <c r="F135" s="322"/>
      <c r="G135" s="114"/>
      <c r="H135" s="228"/>
      <c r="I135" s="228"/>
      <c r="J135" s="228"/>
      <c r="K135" s="118"/>
      <c r="L135" s="118"/>
      <c r="M135" s="118"/>
      <c r="N135" s="102"/>
      <c r="O135" s="102"/>
      <c r="P135" s="102"/>
      <c r="Q135" s="102"/>
      <c r="R135" s="118"/>
      <c r="S135" s="118"/>
      <c r="T135" s="118"/>
      <c r="U135" s="118"/>
      <c r="V135" s="118"/>
    </row>
    <row r="136" outlineLevel="1">
      <c r="A136" s="329" t="s">
        <v>259</v>
      </c>
      <c r="B136" s="327" t="s">
        <v>216</v>
      </c>
      <c r="C136" s="328">
        <f t="array" ref="C136">INDEX('アイテム'!$AA$3:$AB$114, MATCH($A$1,'アイテム'!$A$3:$A$114,0), MATCH(C133,'アイテム'!$C$2:$AQ$2,0))</f>
        <v>3</v>
      </c>
      <c r="D136" s="328" t="str">
        <f t="array" ref="D136">INDEX('アイテム'!$AA$3:$AB$114, MATCH($A$1,'アイテム'!$A$3:$A$114,0), MATCH(D133,'アイテム'!$C$2:$AQ$2,0))</f>
        <v>12</v>
      </c>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260</v>
      </c>
      <c r="B137" s="109"/>
      <c r="C137" s="325" t="s">
        <v>261</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262</v>
      </c>
      <c r="B138" s="327" t="s">
        <v>226</v>
      </c>
      <c r="C138" s="328" t="str">
        <f t="array" ref="C138">INDEX('アイテム'!$G$3:$H$114, MATCH($A$1,'アイテム'!$A$3:$A$114,0), MATCH(C133,'アイテム'!$C$2:$AQ$2,0))</f>
        <v>10</v>
      </c>
      <c r="D138" s="328">
        <f t="array" ref="D138">INDEX('アイテム'!$G$3:$H$114, MATCH($A$1,'アイテム'!$A$3:$A$114,0), MATCH(D133,'アイテム'!$C$2:$AQ$2,0))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t="str">
        <f t="array" ref="C139">INDEX('アイテム'!$I$3:$J$114, MATCH($A$1,'アイテム'!$A$3:$A$114,0), MATCH(C133,'アイテム'!$C$2:$AQ$2,0))</f>
        <v>13</v>
      </c>
      <c r="D139" s="328">
        <f t="array" ref="D139">INDEX('アイテム'!$I$3:$J$114, MATCH($A$1,'アイテム'!$A$3:$A$114,0), MATCH(D133,'アイテム'!$C$2:$AQ$2,0))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t="str">
        <f t="array" ref="C140">INDEX('アイテム'!$K$3:$L$114, MATCH($A$1,'アイテム'!$A$3:$A$114,0), MATCH(C133,'アイテム'!$C$2:$AQ$2,0))</f>
        <v>17</v>
      </c>
      <c r="D140" s="328">
        <f t="array" ref="D140">INDEX('アイテム'!$K$3:$L$114, MATCH($A$1,'アイテム'!$A$3:$A$114,0), MATCH(D133,'アイテム'!$C$2:$AQ$2,0))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234</v>
      </c>
      <c r="C141" s="328" t="str">
        <f t="array" ref="C141">INDEX('アイテム'!$M$3:$N$114, MATCH($A$1,'アイテム'!$A$3:$A$114,0), MATCH(C133,'アイテム'!$C$2:$AQ$2,0))</f>
        <v>8</v>
      </c>
      <c r="D141" s="328">
        <f t="array" ref="D141">INDEX('アイテム'!$M$3:$N$114, MATCH($A$1,'アイテム'!$A$3:$A$114,0), MATCH(D133,'アイテム'!$C$2:$AQ$2,0))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219</v>
      </c>
      <c r="C142" s="328" t="str">
        <f t="array" ref="C142">INDEX('アイテム'!$O$3:$P$114, MATCH($A$1,'アイテム'!$A$3:$A$114,0), MATCH(C133,'アイテム'!$C$2:$AQ$2,0))</f>
        <v>7</v>
      </c>
      <c r="D142" s="328">
        <f t="array" ref="D142">INDEX('アイテム'!$O$3:$P$114, MATCH($A$1,'アイテム'!$A$3:$A$114,0), MATCH(D133,'アイテム'!$C$2:$AQ$2,0))</f>
        <v>29</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263</v>
      </c>
      <c r="C143" s="328" t="str">
        <f t="array" ref="C143">INDEX('アイテム'!$Q$3:$R$114, MATCH($A$1,'アイテム'!$A$3:$A$114,0), MATCH(C133,'アイテム'!$C$2:$AQ$2,0))</f>
        <v>7</v>
      </c>
      <c r="D143" s="328">
        <f t="array" ref="D143">INDEX('アイテム'!$Q$3:$R$114, MATCH($A$1,'アイテム'!$A$3:$A$114,0), MATCH(D133,'アイテム'!$C$2:$AQ$2,0))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264</v>
      </c>
      <c r="B144" s="327" t="s">
        <v>226</v>
      </c>
      <c r="C144" s="328" t="str">
        <f t="array" ref="C144">INDEX('アイテム'!$S$3:$T$114, MATCH($A$1,'アイテム'!$A$3:$A$114,0), MATCH(C133,'アイテム'!$C$2:$AQ$2,0))</f>
        <v>10</v>
      </c>
      <c r="D144" s="328">
        <f t="array" ref="D144">INDEX('アイテム'!$S$3:$T$114, MATCH($A$1,'アイテム'!$A$3:$A$114,0), MATCH(D133,'アイテム'!$C$2:$AQ$2,0))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INDEX('アイテム'!$U$3:$V$114, MATCH($A$1,'アイテム'!$A$3:$A$114,0), MATCH(C133,'アイテム'!$C$2:$AQ$2,0))</f>
        <v>13</v>
      </c>
      <c r="D145" s="328">
        <f t="array" ref="D145">INDEX('アイテム'!$U$3:$V$114, MATCH($A$1,'アイテム'!$A$3:$A$114,0), MATCH(D133,'アイテム'!$C$2:$AQ$2,0))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INDEX('アイテム'!$W$3:$X$114, MATCH($A$1,'アイテム'!$A$3:$A$114,0), MATCH(C133,'アイテム'!$C$2:$AQ$2,0))</f>
        <v>17</v>
      </c>
      <c r="D146" s="328">
        <f t="array" ref="D146">INDEX('アイテム'!$W$3:$X$114, MATCH($A$1,'アイテム'!$A$3:$A$114,0), MATCH(D133,'アイテム'!$C$2:$AQ$2,0))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t="str">
        <f t="array" ref="C147">INDEX('アイテム'!$Y$3:$Z$114, MATCH($A$1,'アイテム'!$A$3:$A$114,0), MATCH(C133,'アイテム'!$C$2:$AQ$2,0))</f>
        <v>8</v>
      </c>
      <c r="D147" s="328">
        <f t="array" ref="D147">INDEX('アイテム'!$Y$3:$Z$114, MATCH($A$1,'アイテム'!$A$3:$A$114,0), MATCH(D133,'アイテム'!$C$2:$AQ$2,0))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265</v>
      </c>
      <c r="B148" s="327" t="s">
        <v>226</v>
      </c>
      <c r="C148" s="328">
        <f t="array" ref="C148">INDEX('アイテム'!$AC$3:$AD$114, MATCH($A$1,'アイテム'!$A$3:$A$114,0), MATCH(C133,'アイテム'!$C$2:$AQ$2,0))</f>
        <v>16</v>
      </c>
      <c r="D148" s="328" t="str">
        <f t="array" ref="D148">INDEX('アイテム'!$AC$3:$AD$114, MATCH($A$1,'アイテム'!$A$3:$A$114,0), MATCH(D133,'アイテム'!$C$2:$AQ$2,0))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f t="array" ref="C149">INDEX('アイテム'!$AE$3:$AF$114, MATCH($A$1,'アイテム'!$A$3:$A$114,0), MATCH(C133,'アイテム'!$C$2:$AQ$2,0))</f>
        <v>15</v>
      </c>
      <c r="D149" s="328" t="str">
        <f t="array" ref="D149">INDEX('アイテム'!$AE$3:$AF$114, MATCH($A$1,'アイテム'!$A$3:$A$114,0), MATCH(D133,'アイテム'!$C$2:$AQ$2,0))</f>
        <v>30</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f t="array" ref="C150">INDEX('アイテム'!$AG$3:$AH$114, MATCH($A$1,'アイテム'!$A$3:$A$114,0), MATCH(C133,'アイテム'!$C$2:$AQ$2,0))</f>
        <v>11</v>
      </c>
      <c r="D150" s="328" t="str">
        <f t="array" ref="D150">INDEX('アイテム'!$AG$3:$AH$114, MATCH($A$1,'アイテム'!$A$3:$A$114,0), MATCH(D133,'アイテム'!$C$2:$AQ$2,0))</f>
        <v>22</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f t="array" ref="C151">INDEX('アイテム'!$AI$3:$AJ$114, MATCH($A$1,'アイテム'!$A$3:$A$114,0), MATCH(C133,'アイテム'!$C$2:$AQ$2,0))</f>
        <v>13</v>
      </c>
      <c r="D151" s="328" t="str">
        <f t="array" ref="D151">INDEX('アイテム'!$AI$3:$AJ$114, MATCH($A$1,'アイテム'!$A$3:$A$114,0), MATCH(D133,'アイテム'!$C$2:$AQ$2,0))</f>
        <v>22</v>
      </c>
      <c r="E151" s="322"/>
      <c r="F151" s="322"/>
      <c r="G151" s="114"/>
      <c r="H151" s="228"/>
      <c r="I151" s="228"/>
      <c r="J151" s="228"/>
      <c r="K151" s="118"/>
      <c r="L151" s="118"/>
      <c r="M151" s="118"/>
      <c r="N151" s="102"/>
      <c r="O151" s="102"/>
      <c r="P151" s="102"/>
      <c r="Q151" s="102"/>
      <c r="R151" s="118"/>
      <c r="S151" s="118"/>
      <c r="T151" s="118"/>
      <c r="U151" s="118"/>
      <c r="V151" s="118"/>
    </row>
  </sheetData>
  <mergeCells count="137">
    <mergeCell ref="H32:J33"/>
    <mergeCell ref="H34:J35"/>
    <mergeCell ref="H36:J37"/>
    <mergeCell ref="H38:J39"/>
    <mergeCell ref="I43:I46"/>
    <mergeCell ref="J43:J46"/>
    <mergeCell ref="I50:I52"/>
    <mergeCell ref="J50:J52"/>
    <mergeCell ref="H55:J55"/>
    <mergeCell ref="H56:J58"/>
    <mergeCell ref="H59:J59"/>
    <mergeCell ref="H60:J62"/>
    <mergeCell ref="H63:J63"/>
    <mergeCell ref="H64:J68"/>
    <mergeCell ref="H69:J69"/>
    <mergeCell ref="H70:J74"/>
    <mergeCell ref="G82:J82"/>
    <mergeCell ref="G83:J84"/>
    <mergeCell ref="G85:J86"/>
    <mergeCell ref="G87:J90"/>
    <mergeCell ref="G91:J92"/>
    <mergeCell ref="K123:L123"/>
    <mergeCell ref="K126:L126"/>
    <mergeCell ref="K103:L103"/>
    <mergeCell ref="K104:K105"/>
    <mergeCell ref="K106:L106"/>
    <mergeCell ref="K107:K112"/>
    <mergeCell ref="K113:K116"/>
    <mergeCell ref="K117:L117"/>
    <mergeCell ref="K119:K122"/>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9"/>
    <mergeCell ref="U28:U29"/>
    <mergeCell ref="H30:J30"/>
    <mergeCell ref="H31:J31"/>
    <mergeCell ref="U32:U33"/>
    <mergeCell ref="D36:D37"/>
    <mergeCell ref="D38:D39"/>
    <mergeCell ref="A66:A68"/>
    <mergeCell ref="D66:D68"/>
    <mergeCell ref="A72:A73"/>
    <mergeCell ref="D72:D73"/>
    <mergeCell ref="U34:U35"/>
    <mergeCell ref="U36:U37"/>
    <mergeCell ref="U38:U39"/>
    <mergeCell ref="R42:V42"/>
    <mergeCell ref="R43:V46"/>
    <mergeCell ref="R47:V47"/>
    <mergeCell ref="R48:V48"/>
    <mergeCell ref="U64:U68"/>
    <mergeCell ref="U70:U74"/>
    <mergeCell ref="V70:V74"/>
    <mergeCell ref="R49:V49"/>
    <mergeCell ref="R50:V52"/>
    <mergeCell ref="U56:U58"/>
    <mergeCell ref="V56:V58"/>
    <mergeCell ref="U60:U62"/>
    <mergeCell ref="V60:V62"/>
    <mergeCell ref="V64:V68"/>
    <mergeCell ref="C116:C117"/>
    <mergeCell ref="C129:C130"/>
    <mergeCell ref="A124:A130"/>
    <mergeCell ref="A132:B132"/>
    <mergeCell ref="A133:B133"/>
    <mergeCell ref="A134:A135"/>
    <mergeCell ref="A137:B137"/>
    <mergeCell ref="A138:A143"/>
    <mergeCell ref="A144:A147"/>
    <mergeCell ref="A148:A151"/>
    <mergeCell ref="A99:A100"/>
    <mergeCell ref="A104:A108"/>
    <mergeCell ref="A109:A111"/>
    <mergeCell ref="A112:A117"/>
    <mergeCell ref="D116:D117"/>
    <mergeCell ref="A118:A123"/>
    <mergeCell ref="D129:D130"/>
    <mergeCell ref="A24:B25"/>
    <mergeCell ref="A26:A27"/>
    <mergeCell ref="A28:A29"/>
    <mergeCell ref="D28:D29"/>
    <mergeCell ref="A32:A33"/>
    <mergeCell ref="D32:D33"/>
    <mergeCell ref="D34:D35"/>
    <mergeCell ref="A34:A35"/>
    <mergeCell ref="A36:A37"/>
    <mergeCell ref="A38:A39"/>
    <mergeCell ref="A41:B42"/>
    <mergeCell ref="A43:A46"/>
    <mergeCell ref="D43:D46"/>
    <mergeCell ref="D50:D52"/>
    <mergeCell ref="D64:D65"/>
    <mergeCell ref="D70:D71"/>
    <mergeCell ref="D83:D84"/>
    <mergeCell ref="D85:D86"/>
    <mergeCell ref="D87:D90"/>
    <mergeCell ref="D91:D92"/>
    <mergeCell ref="A50:A52"/>
    <mergeCell ref="A54:B54"/>
    <mergeCell ref="A55:B55"/>
    <mergeCell ref="A56:A58"/>
    <mergeCell ref="D56:D57"/>
    <mergeCell ref="A59:B59"/>
    <mergeCell ref="A63:B63"/>
    <mergeCell ref="A60:A62"/>
    <mergeCell ref="A64:A65"/>
    <mergeCell ref="A69:B69"/>
    <mergeCell ref="A70:A71"/>
    <mergeCell ref="A76:B77"/>
    <mergeCell ref="A79:A81"/>
    <mergeCell ref="A82:B82"/>
    <mergeCell ref="A83:A84"/>
    <mergeCell ref="A85:A86"/>
    <mergeCell ref="A87:A90"/>
    <mergeCell ref="A91:A92"/>
    <mergeCell ref="A94:B95"/>
    <mergeCell ref="A96:A98"/>
    <mergeCell ref="A102:B103"/>
    <mergeCell ref="C122:C123"/>
    <mergeCell ref="D122:D123"/>
  </mergeCells>
  <conditionalFormatting sqref="K1:K15 K17:K59 K62:K82 K84 K86:K127">
    <cfRule type="containsText" dxfId="0" priority="1" operator="containsText" text="361">
      <formula>NOT(ISERROR(SEARCH(("361"),(K1))))</formula>
    </cfRule>
  </conditionalFormatting>
  <conditionalFormatting sqref="K1:K15 K17:K59 K62:K82 K84 K86:K127">
    <cfRule type="containsText" dxfId="1" priority="2" operator="containsText" text="363">
      <formula>NOT(ISERROR(SEARCH(("363"),(K1))))</formula>
    </cfRule>
  </conditionalFormatting>
  <conditionalFormatting sqref="K1:K15 K17:K59 K62:K82 K84 K86:K127">
    <cfRule type="containsText" dxfId="1" priority="3" operator="containsText" text="365">
      <formula>NOT(ISERROR(SEARCH(("365"),(K1))))</formula>
    </cfRule>
  </conditionalFormatting>
  <conditionalFormatting sqref="K1:K15 K17:K59 K62:K82 K84 K86:K127">
    <cfRule type="containsText" dxfId="1" priority="4" operator="containsText" text="366">
      <formula>NOT(ISERROR(SEARCH(("366"),(K1))))</formula>
    </cfRule>
  </conditionalFormatting>
  <conditionalFormatting sqref="K1:K15 K17:K59 K62:K82 K84 K86:K127">
    <cfRule type="containsText" dxfId="1" priority="5" operator="containsText" text="367">
      <formula>NOT(ISERROR(SEARCH(("367"),(K1))))</formula>
    </cfRule>
  </conditionalFormatting>
  <conditionalFormatting sqref="P84 P86:P91">
    <cfRule type="cellIs" dxfId="2" priority="6" operator="equal">
      <formula>"敵のみ"</formula>
    </cfRule>
  </conditionalFormatting>
  <conditionalFormatting sqref="C84 C86:C92">
    <cfRule type="cellIs" dxfId="3" priority="7" operator="equal">
      <formula>"-"</formula>
    </cfRule>
  </conditionalFormatting>
  <conditionalFormatting sqref="O1:O59 O62:O82 O84 O86:O151">
    <cfRule type="cellIs" dxfId="4" priority="8" operator="greaterThan">
      <formula>0</formula>
    </cfRule>
  </conditionalFormatting>
  <conditionalFormatting sqref="P1:Q59 P62:Q82 P84:Q84 P86:P91 Q86:Q151 P93:P151">
    <cfRule type="cellIs" dxfId="5" priority="9" operator="lessThan">
      <formula>1</formula>
    </cfRule>
  </conditionalFormatting>
  <conditionalFormatting sqref="P1:Q59 P62:Q82 P84:Q84 P86:P91 Q86:Q151 P93:P151">
    <cfRule type="cellIs" dxfId="4" priority="10" operator="greaterThan">
      <formula>1</formula>
    </cfRule>
  </conditionalFormatting>
  <conditionalFormatting sqref="N25:N59 N62:N82 N84 N86:N92">
    <cfRule type="cellIs" dxfId="6" priority="11" operator="greaterThan">
      <formula>0</formula>
    </cfRule>
  </conditionalFormatting>
  <conditionalFormatting sqref="N1:N15 N17:N59 N62:N82 N84 N86:N151">
    <cfRule type="containsText" dxfId="6" priority="12" operator="containsText" text="/">
      <formula>NOT(ISERROR(SEARCH(("/"),(N1))))</formula>
    </cfRule>
  </conditionalFormatting>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2EAE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997">
        <v>15.0</v>
      </c>
      <c r="B1" s="998"/>
      <c r="C1" s="999" t="str">
        <f>IMAGE(VLOOKUP($A$1,Fighters!A2:AI114,12,FALSE),1)</f>
        <v>#REF!</v>
      </c>
      <c r="D1" s="1000"/>
      <c r="E1" s="1000"/>
      <c r="F1" s="1000"/>
      <c r="G1" s="1001"/>
      <c r="H1" s="1002"/>
      <c r="I1" s="1000"/>
      <c r="J1" s="1001"/>
      <c r="K1" s="1003"/>
      <c r="L1" s="1000"/>
      <c r="M1" s="1001"/>
      <c r="N1" s="1004"/>
      <c r="O1" s="1004"/>
      <c r="P1" s="1004"/>
      <c r="Q1" s="1004"/>
      <c r="R1" s="1005"/>
      <c r="S1" s="1005"/>
      <c r="T1" s="1005"/>
      <c r="U1" s="1005"/>
      <c r="V1" s="1005"/>
    </row>
    <row r="2">
      <c r="A2" s="1006" t="str">
        <f>VLOOKUP($A$1,Fighters!$A$2:$AI$81,6,FALSE)</f>
        <v>#72eaed</v>
      </c>
      <c r="B2" s="998"/>
      <c r="C2" s="1007"/>
      <c r="G2" s="1008"/>
      <c r="H2" s="1009"/>
      <c r="I2" s="1010"/>
      <c r="J2" s="1011"/>
      <c r="K2" s="1009"/>
      <c r="L2" s="1010"/>
      <c r="M2" s="1011"/>
      <c r="N2" s="1004"/>
      <c r="O2" s="1004"/>
      <c r="P2" s="1004"/>
      <c r="Q2" s="1004"/>
      <c r="R2" s="1005"/>
      <c r="S2" s="1005"/>
      <c r="T2" s="1005"/>
      <c r="U2" s="1005"/>
      <c r="V2" s="1005"/>
    </row>
    <row r="3">
      <c r="A3" s="1006" t="str">
        <f>VLOOKUP($A$1,Fighters!$A$2:$AI$81,14,FALSE)</f>
        <v>15. アイスクライマー</v>
      </c>
      <c r="B3" s="998"/>
      <c r="C3" s="1007"/>
      <c r="G3" s="1008"/>
      <c r="H3" s="1012"/>
      <c r="I3" s="1012"/>
      <c r="J3" s="1012"/>
      <c r="K3" s="1013"/>
      <c r="L3" s="1013"/>
      <c r="M3" s="1013"/>
      <c r="N3" s="1004"/>
      <c r="O3" s="1004"/>
      <c r="P3" s="1004"/>
      <c r="Q3" s="1004"/>
      <c r="R3" s="1014"/>
      <c r="S3" s="1005"/>
      <c r="T3" s="1005"/>
      <c r="U3" s="1005"/>
      <c r="V3" s="1005"/>
    </row>
    <row r="4">
      <c r="A4" s="1006" t="str">
        <f>VLOOKUP($A$1,Fighters!$A$2:$AI$81,13,FALSE)</f>
        <v>0</v>
      </c>
      <c r="B4" s="998"/>
      <c r="C4" s="1007"/>
      <c r="G4" s="1008"/>
      <c r="H4" s="1015"/>
      <c r="I4" s="1015"/>
      <c r="J4" s="1012"/>
      <c r="K4" s="1013"/>
      <c r="L4" s="1013"/>
      <c r="M4" s="1013"/>
      <c r="N4" s="1004"/>
      <c r="O4" s="1004"/>
      <c r="P4" s="1004"/>
      <c r="Q4" s="1004"/>
      <c r="R4" s="1014"/>
      <c r="S4" s="1005"/>
      <c r="T4" s="1005"/>
      <c r="U4" s="1005"/>
      <c r="V4" s="1005"/>
    </row>
    <row r="5" ht="16.5" customHeight="1">
      <c r="A5" s="997"/>
      <c r="B5" s="998"/>
      <c r="C5" s="1007"/>
      <c r="G5" s="1008"/>
      <c r="H5" s="1016"/>
      <c r="I5" s="1016"/>
      <c r="J5" s="1017"/>
      <c r="K5" s="1018"/>
      <c r="L5" s="1019"/>
      <c r="M5" s="1019"/>
      <c r="N5" s="1004"/>
      <c r="O5" s="1004"/>
      <c r="P5" s="1004"/>
      <c r="Q5" s="1004"/>
      <c r="R5" s="1014"/>
      <c r="S5" s="1005"/>
      <c r="T5" s="1005"/>
      <c r="U5" s="1005"/>
      <c r="V5" s="1005"/>
    </row>
    <row r="6">
      <c r="A6" s="998"/>
      <c r="B6" s="998"/>
      <c r="C6" s="1007"/>
      <c r="G6" s="1008"/>
      <c r="H6" s="1015"/>
      <c r="I6" s="1020" t="s">
        <v>39</v>
      </c>
      <c r="J6" s="1018"/>
      <c r="K6" s="1021"/>
      <c r="L6" s="1019"/>
      <c r="M6" s="1019"/>
      <c r="N6" s="1004"/>
      <c r="O6" s="1004"/>
      <c r="P6" s="1004"/>
      <c r="Q6" s="1004"/>
      <c r="R6" s="1014"/>
      <c r="S6" s="1005"/>
      <c r="T6" s="1005"/>
      <c r="U6" s="1005"/>
      <c r="V6" s="1005"/>
    </row>
    <row r="7">
      <c r="A7" s="998"/>
      <c r="B7" s="998"/>
      <c r="C7" s="1007"/>
      <c r="G7" s="1008"/>
      <c r="H7" s="1016"/>
      <c r="I7" s="1016"/>
      <c r="J7" s="1018"/>
      <c r="K7" s="1021"/>
      <c r="L7" s="1019"/>
      <c r="M7" s="1019"/>
      <c r="N7" s="1004"/>
      <c r="O7" s="1004"/>
      <c r="P7" s="1004"/>
      <c r="Q7" s="1004"/>
      <c r="R7" s="1014"/>
      <c r="S7" s="1005"/>
      <c r="T7" s="1005"/>
      <c r="U7" s="1005"/>
      <c r="V7" s="1005"/>
    </row>
    <row r="8">
      <c r="A8" s="998"/>
      <c r="B8" s="998"/>
      <c r="C8" s="1007"/>
      <c r="G8" s="1008"/>
      <c r="H8" s="1022">
        <v>44535.30500302083</v>
      </c>
      <c r="I8" s="1000"/>
      <c r="J8" s="1001"/>
      <c r="K8" s="1018"/>
      <c r="L8" s="1019"/>
      <c r="M8" s="1019"/>
      <c r="N8" s="1004"/>
      <c r="O8" s="1004"/>
      <c r="P8" s="1004"/>
      <c r="Q8" s="1004"/>
      <c r="R8" s="1014"/>
      <c r="S8" s="1005"/>
      <c r="T8" s="1005"/>
      <c r="U8" s="1005"/>
      <c r="V8" s="1005"/>
    </row>
    <row r="9">
      <c r="A9" s="998"/>
      <c r="B9" s="998"/>
      <c r="C9" s="1007"/>
      <c r="G9" s="1008"/>
      <c r="H9" s="1009"/>
      <c r="I9" s="1010"/>
      <c r="J9" s="1011"/>
      <c r="K9" s="1005"/>
      <c r="L9" s="1004"/>
      <c r="M9" s="1004"/>
      <c r="N9" s="1004"/>
      <c r="O9" s="1004"/>
      <c r="P9" s="1004"/>
      <c r="Q9" s="1004"/>
      <c r="R9" s="1014"/>
      <c r="S9" s="1005"/>
      <c r="T9" s="1005"/>
      <c r="U9" s="1005"/>
      <c r="V9" s="1005"/>
    </row>
    <row r="10">
      <c r="A10" s="998"/>
      <c r="B10" s="998"/>
      <c r="C10" s="1007"/>
      <c r="G10" s="1008"/>
      <c r="H10" s="1023"/>
      <c r="I10" s="1023"/>
      <c r="J10" s="1005"/>
      <c r="K10" s="1005"/>
      <c r="L10" s="1004"/>
      <c r="M10" s="1004"/>
      <c r="N10" s="1004"/>
      <c r="O10" s="1004"/>
      <c r="P10" s="1004"/>
      <c r="Q10" s="1004"/>
      <c r="R10" s="1014"/>
      <c r="S10" s="1005"/>
      <c r="T10" s="1005"/>
      <c r="U10" s="1005"/>
      <c r="V10" s="1005"/>
    </row>
    <row r="11">
      <c r="A11" s="1024" t="s">
        <v>40</v>
      </c>
      <c r="B11" s="1001"/>
      <c r="C11" s="1007"/>
      <c r="G11" s="1008"/>
      <c r="H11" s="1016"/>
      <c r="I11" s="1016"/>
      <c r="J11" s="1005"/>
      <c r="K11" s="1005"/>
      <c r="L11" s="1004"/>
      <c r="M11" s="1004"/>
      <c r="N11" s="1004"/>
      <c r="O11" s="1004"/>
      <c r="P11" s="1004"/>
      <c r="Q11" s="1004"/>
      <c r="R11" s="1014"/>
      <c r="S11" s="1005"/>
      <c r="T11" s="1005"/>
      <c r="U11" s="1005"/>
      <c r="V11" s="1005"/>
    </row>
    <row r="12">
      <c r="A12" s="1009"/>
      <c r="B12" s="1011"/>
      <c r="C12" s="1009"/>
      <c r="D12" s="1010"/>
      <c r="E12" s="1010"/>
      <c r="F12" s="1010"/>
      <c r="G12" s="1011"/>
      <c r="H12" s="1025"/>
      <c r="I12" s="1025"/>
      <c r="J12" s="998"/>
      <c r="K12" s="998"/>
      <c r="L12" s="1004"/>
      <c r="M12" s="1004"/>
      <c r="N12" s="1004"/>
      <c r="O12" s="1004"/>
      <c r="P12" s="1004"/>
      <c r="Q12" s="1004"/>
      <c r="R12" s="1014"/>
      <c r="S12" s="1005"/>
      <c r="T12" s="1005"/>
      <c r="U12" s="1005"/>
      <c r="V12" s="1005"/>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92 [53rd]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1.68 [81st]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1.008 [55th]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62F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0.12496 [69th]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34.69 [25th]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1.53 [72nd]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0.077 [87th]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16.75 [32nd]</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13F [73rd]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0.83 [86th]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34.69 [32nd]</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 [80th]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2.08 [80th]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0.082 [62nd]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20"/>
      <c r="B24" s="121"/>
      <c r="C24" s="120"/>
      <c r="D24" s="121"/>
      <c r="E24" s="108" t="s">
        <v>1366</v>
      </c>
      <c r="F24" s="109"/>
      <c r="G24" s="123"/>
      <c r="H24" s="121"/>
      <c r="I24" s="121"/>
      <c r="J24" s="121"/>
      <c r="K24" s="121"/>
      <c r="L24" s="124"/>
      <c r="M24" s="124"/>
      <c r="N24" s="125"/>
      <c r="O24" s="125"/>
      <c r="P24" s="125"/>
      <c r="Q24" s="126"/>
      <c r="R24" s="124"/>
      <c r="S24" s="124"/>
      <c r="T24" s="124"/>
      <c r="U24" s="124"/>
      <c r="V24" s="124"/>
    </row>
    <row r="25">
      <c r="A25" s="120"/>
      <c r="B25" s="121"/>
      <c r="C25" s="120"/>
      <c r="D25" s="121"/>
      <c r="E25" s="112" t="s">
        <v>1367</v>
      </c>
      <c r="F25" s="113" t="s">
        <v>102</v>
      </c>
      <c r="G25" s="123"/>
      <c r="H25" s="121"/>
      <c r="I25" s="121"/>
      <c r="J25" s="121"/>
      <c r="K25" s="121"/>
      <c r="L25" s="124"/>
      <c r="M25" s="124"/>
      <c r="N25" s="125"/>
      <c r="O25" s="125"/>
      <c r="P25" s="125"/>
      <c r="Q25" s="126"/>
      <c r="R25" s="124"/>
      <c r="S25" s="124"/>
      <c r="T25" s="124"/>
      <c r="U25" s="124"/>
      <c r="V25" s="124"/>
    </row>
    <row r="26">
      <c r="A26" s="120"/>
      <c r="B26" s="121"/>
      <c r="C26" s="120"/>
      <c r="D26" s="1026"/>
      <c r="E26" s="112" t="s">
        <v>1368</v>
      </c>
      <c r="F26" s="365" t="s">
        <v>1369</v>
      </c>
      <c r="G26" s="123"/>
      <c r="H26" s="121"/>
      <c r="I26" s="121"/>
      <c r="J26" s="121"/>
      <c r="K26" s="121"/>
      <c r="L26" s="124"/>
      <c r="M26" s="124"/>
      <c r="N26" s="125"/>
      <c r="O26" s="125"/>
      <c r="P26" s="125"/>
      <c r="Q26" s="126"/>
      <c r="R26" s="124"/>
      <c r="S26" s="124"/>
      <c r="T26" s="124"/>
      <c r="U26" s="124"/>
      <c r="V26" s="124"/>
    </row>
    <row r="27">
      <c r="A27" s="120"/>
      <c r="B27" s="121"/>
      <c r="C27" s="120"/>
      <c r="D27" s="1026"/>
      <c r="E27" s="112" t="s">
        <v>1370</v>
      </c>
      <c r="F27" s="365" t="s">
        <v>1369</v>
      </c>
      <c r="G27" s="123"/>
      <c r="H27" s="121"/>
      <c r="I27" s="121"/>
      <c r="J27" s="121"/>
      <c r="K27" s="121"/>
      <c r="L27" s="124"/>
      <c r="M27" s="124"/>
      <c r="N27" s="125"/>
      <c r="O27" s="125"/>
      <c r="P27" s="125"/>
      <c r="Q27" s="126"/>
      <c r="R27" s="124"/>
      <c r="S27" s="124"/>
      <c r="T27" s="124"/>
      <c r="U27" s="124"/>
      <c r="V27" s="124"/>
    </row>
    <row r="28">
      <c r="A28" s="120"/>
      <c r="B28" s="121"/>
      <c r="C28" s="120"/>
      <c r="D28" s="1026"/>
      <c r="E28" s="112" t="s">
        <v>1371</v>
      </c>
      <c r="F28" s="113" t="s">
        <v>1372</v>
      </c>
      <c r="G28" s="123"/>
      <c r="H28" s="121"/>
      <c r="I28" s="121"/>
      <c r="J28" s="121"/>
      <c r="K28" s="121"/>
      <c r="L28" s="124"/>
      <c r="M28" s="124"/>
      <c r="N28" s="125"/>
      <c r="O28" s="125"/>
      <c r="P28" s="125"/>
      <c r="Q28" s="126"/>
      <c r="R28" s="124"/>
      <c r="S28" s="124"/>
      <c r="T28" s="124"/>
      <c r="U28" s="124"/>
      <c r="V28" s="124"/>
    </row>
    <row r="29">
      <c r="A29" s="120"/>
      <c r="B29" s="121"/>
      <c r="C29" s="120"/>
      <c r="D29" s="121"/>
      <c r="E29" s="121"/>
      <c r="F29" s="114"/>
      <c r="G29" s="123"/>
      <c r="H29" s="121"/>
      <c r="I29" s="121"/>
      <c r="J29" s="121"/>
      <c r="K29" s="121"/>
      <c r="L29" s="124"/>
      <c r="M29" s="124"/>
      <c r="N29" s="125"/>
      <c r="O29" s="125"/>
      <c r="P29" s="125"/>
      <c r="Q29" s="126"/>
      <c r="R29" s="124"/>
      <c r="S29" s="124"/>
      <c r="T29" s="124"/>
      <c r="U29" s="124"/>
      <c r="V29" s="124"/>
    </row>
    <row r="30">
      <c r="A30" s="119" t="s">
        <v>47</v>
      </c>
      <c r="B30" s="104"/>
      <c r="C30" s="120"/>
      <c r="D30" s="121"/>
      <c r="E30" s="121"/>
      <c r="F30" s="122"/>
      <c r="G30" s="123"/>
      <c r="H30" s="121"/>
      <c r="I30" s="121"/>
      <c r="J30" s="121"/>
      <c r="K30" s="121"/>
      <c r="L30" s="124"/>
      <c r="M30" s="124"/>
      <c r="N30" s="125"/>
      <c r="O30" s="125"/>
      <c r="P30" s="125"/>
      <c r="Q30" s="126"/>
      <c r="R30" s="124"/>
      <c r="S30" s="124"/>
      <c r="T30" s="124"/>
      <c r="U30" s="124"/>
      <c r="V30" s="124"/>
    </row>
    <row r="31" outlineLevel="1">
      <c r="A31" s="106"/>
      <c r="B31" s="107"/>
      <c r="C31" s="127" t="s">
        <v>48</v>
      </c>
      <c r="D31" s="128" t="s">
        <v>49</v>
      </c>
      <c r="E31" s="128" t="s">
        <v>50</v>
      </c>
      <c r="F31" s="129" t="s">
        <v>51</v>
      </c>
      <c r="G31" s="128" t="s">
        <v>52</v>
      </c>
      <c r="H31" s="130" t="s">
        <v>53</v>
      </c>
      <c r="I31" s="110"/>
      <c r="J31" s="109"/>
      <c r="K31" s="131" t="s">
        <v>137</v>
      </c>
      <c r="L31" s="131" t="s">
        <v>138</v>
      </c>
      <c r="M31" s="131" t="s">
        <v>139</v>
      </c>
      <c r="N31" s="131" t="s">
        <v>140</v>
      </c>
      <c r="O31" s="132" t="s">
        <v>141</v>
      </c>
      <c r="P31" s="131" t="s">
        <v>142</v>
      </c>
      <c r="Q31" s="132" t="s">
        <v>143</v>
      </c>
      <c r="R31" s="100"/>
      <c r="S31" s="100"/>
      <c r="T31" s="100"/>
      <c r="U31" s="127" t="s">
        <v>54</v>
      </c>
      <c r="V31" s="100"/>
    </row>
    <row r="32" outlineLevel="1">
      <c r="A32" s="133" t="s">
        <v>266</v>
      </c>
      <c r="B32" s="134" t="s">
        <v>55</v>
      </c>
      <c r="C32" s="139" t="s">
        <v>717</v>
      </c>
      <c r="D32" s="139" t="s">
        <v>105</v>
      </c>
      <c r="E32" s="139" t="s">
        <v>176</v>
      </c>
      <c r="F32" s="138">
        <v>2.4</v>
      </c>
      <c r="G32" s="139" t="s">
        <v>60</v>
      </c>
      <c r="H32" s="173" t="s">
        <v>1373</v>
      </c>
      <c r="I32" s="110"/>
      <c r="J32" s="109"/>
      <c r="K32" s="138"/>
      <c r="L32" s="282"/>
      <c r="M32" s="363"/>
      <c r="N32" s="363"/>
      <c r="O32" s="145">
        <v>0.0</v>
      </c>
      <c r="P32" s="145">
        <v>1.0</v>
      </c>
      <c r="Q32" s="145">
        <v>1.0</v>
      </c>
      <c r="R32" s="100"/>
      <c r="S32" s="100"/>
      <c r="T32" s="100"/>
      <c r="U32" s="145" t="s">
        <v>62</v>
      </c>
      <c r="V32" s="100"/>
    </row>
    <row r="33" outlineLevel="1">
      <c r="A33" s="156"/>
      <c r="B33" s="147" t="s">
        <v>63</v>
      </c>
      <c r="C33" s="216" t="s">
        <v>717</v>
      </c>
      <c r="D33" s="216" t="s">
        <v>99</v>
      </c>
      <c r="E33" s="216" t="s">
        <v>651</v>
      </c>
      <c r="F33" s="138">
        <v>4.2</v>
      </c>
      <c r="G33" s="139" t="s">
        <v>147</v>
      </c>
      <c r="H33" s="173"/>
      <c r="I33" s="110"/>
      <c r="J33" s="109"/>
      <c r="K33" s="282"/>
      <c r="L33" s="282"/>
      <c r="M33" s="363"/>
      <c r="N33" s="363"/>
      <c r="O33" s="145"/>
      <c r="P33" s="145"/>
      <c r="Q33" s="145"/>
      <c r="R33" s="100"/>
      <c r="S33" s="100"/>
      <c r="T33" s="100"/>
      <c r="U33" s="145" t="s">
        <v>69</v>
      </c>
      <c r="V33" s="100"/>
    </row>
    <row r="34" outlineLevel="1">
      <c r="A34" s="170" t="s">
        <v>77</v>
      </c>
      <c r="B34" s="160"/>
      <c r="C34" s="450" t="s">
        <v>272</v>
      </c>
      <c r="D34" s="450" t="s">
        <v>118</v>
      </c>
      <c r="E34" s="216" t="s">
        <v>86</v>
      </c>
      <c r="F34" s="138">
        <v>7.199999999999999</v>
      </c>
      <c r="G34" s="139" t="s">
        <v>102</v>
      </c>
      <c r="H34" s="173"/>
      <c r="I34" s="110"/>
      <c r="J34" s="109"/>
      <c r="K34" s="138"/>
      <c r="L34" s="282"/>
      <c r="M34" s="363"/>
      <c r="N34" s="363"/>
      <c r="O34" s="145">
        <v>0.0</v>
      </c>
      <c r="P34" s="145">
        <v>1.0</v>
      </c>
      <c r="Q34" s="145">
        <v>1.0</v>
      </c>
      <c r="R34" s="100"/>
      <c r="S34" s="100"/>
      <c r="T34" s="100"/>
      <c r="U34" s="145" t="s">
        <v>69</v>
      </c>
      <c r="V34" s="100"/>
    </row>
    <row r="35" outlineLevel="1">
      <c r="A35" s="170" t="s">
        <v>89</v>
      </c>
      <c r="B35" s="147" t="s">
        <v>90</v>
      </c>
      <c r="C35" s="216" t="s">
        <v>220</v>
      </c>
      <c r="D35" s="216" t="s">
        <v>964</v>
      </c>
      <c r="E35" s="216" t="s">
        <v>274</v>
      </c>
      <c r="F35" s="138">
        <v>10.799999999999999</v>
      </c>
      <c r="G35" s="139" t="s">
        <v>275</v>
      </c>
      <c r="H35" s="173"/>
      <c r="I35" s="110"/>
      <c r="J35" s="109"/>
      <c r="K35" s="138"/>
      <c r="L35" s="282"/>
      <c r="M35" s="363"/>
      <c r="N35" s="363"/>
      <c r="O35" s="145">
        <v>0.0</v>
      </c>
      <c r="P35" s="145">
        <v>1.0</v>
      </c>
      <c r="Q35" s="145">
        <v>1.0</v>
      </c>
      <c r="R35" s="100"/>
      <c r="S35" s="100"/>
      <c r="T35" s="100"/>
      <c r="U35" s="145" t="s">
        <v>96</v>
      </c>
      <c r="V35" s="100"/>
    </row>
    <row r="36" outlineLevel="1">
      <c r="A36" s="133" t="s">
        <v>97</v>
      </c>
      <c r="B36" s="147" t="s">
        <v>655</v>
      </c>
      <c r="C36" s="214" t="s">
        <v>1374</v>
      </c>
      <c r="D36" s="195" t="s">
        <v>541</v>
      </c>
      <c r="E36" s="216" t="s">
        <v>1375</v>
      </c>
      <c r="F36" s="138">
        <v>0.96</v>
      </c>
      <c r="G36" s="139" t="s">
        <v>170</v>
      </c>
      <c r="H36" s="175" t="s">
        <v>1376</v>
      </c>
      <c r="I36" s="164"/>
      <c r="J36" s="104"/>
      <c r="K36" s="282"/>
      <c r="L36" s="282"/>
      <c r="M36" s="363"/>
      <c r="N36" s="363"/>
      <c r="O36" s="145">
        <v>0.0</v>
      </c>
      <c r="P36" s="145">
        <v>1.0</v>
      </c>
      <c r="Q36" s="145">
        <v>1.0</v>
      </c>
      <c r="R36" s="100"/>
      <c r="S36" s="100"/>
      <c r="T36" s="100"/>
      <c r="U36" s="166" t="s">
        <v>62</v>
      </c>
      <c r="V36" s="100"/>
    </row>
    <row r="37" outlineLevel="1">
      <c r="A37" s="156"/>
      <c r="B37" s="147" t="s">
        <v>365</v>
      </c>
      <c r="C37" s="214" t="s">
        <v>105</v>
      </c>
      <c r="D37" s="107"/>
      <c r="E37" s="216" t="s">
        <v>73</v>
      </c>
      <c r="F37" s="138">
        <v>4.8</v>
      </c>
      <c r="G37" s="139" t="s">
        <v>75</v>
      </c>
      <c r="H37" s="106"/>
      <c r="I37" s="168"/>
      <c r="J37" s="107"/>
      <c r="K37" s="145"/>
      <c r="L37" s="363"/>
      <c r="M37" s="363"/>
      <c r="N37" s="363"/>
      <c r="O37" s="145">
        <v>0.0</v>
      </c>
      <c r="P37" s="145">
        <v>1.0</v>
      </c>
      <c r="Q37" s="145">
        <v>1.0</v>
      </c>
      <c r="R37" s="100"/>
      <c r="S37" s="100"/>
      <c r="T37" s="100"/>
      <c r="U37" s="156"/>
      <c r="V37" s="100"/>
    </row>
    <row r="38" outlineLevel="1">
      <c r="A38" s="170" t="s">
        <v>103</v>
      </c>
      <c r="B38" s="160"/>
      <c r="C38" s="216" t="s">
        <v>563</v>
      </c>
      <c r="D38" s="216" t="s">
        <v>164</v>
      </c>
      <c r="E38" s="216" t="s">
        <v>86</v>
      </c>
      <c r="F38" s="138">
        <v>7.199999999999999</v>
      </c>
      <c r="G38" s="139" t="s">
        <v>102</v>
      </c>
      <c r="H38" s="173"/>
      <c r="I38" s="110"/>
      <c r="J38" s="109"/>
      <c r="K38" s="145"/>
      <c r="L38" s="363"/>
      <c r="M38" s="363"/>
      <c r="N38" s="363"/>
      <c r="O38" s="145">
        <v>0.0</v>
      </c>
      <c r="P38" s="145">
        <v>1.0</v>
      </c>
      <c r="Q38" s="145">
        <v>1.0</v>
      </c>
      <c r="R38" s="100"/>
      <c r="S38" s="100"/>
      <c r="T38" s="100"/>
      <c r="U38" s="145" t="s">
        <v>62</v>
      </c>
      <c r="V38" s="100"/>
    </row>
    <row r="39" outlineLevel="1">
      <c r="A39" s="170" t="s">
        <v>109</v>
      </c>
      <c r="B39" s="147"/>
      <c r="C39" s="216" t="s">
        <v>382</v>
      </c>
      <c r="D39" s="216" t="s">
        <v>374</v>
      </c>
      <c r="E39" s="216" t="s">
        <v>129</v>
      </c>
      <c r="F39" s="138">
        <v>14.399999999999999</v>
      </c>
      <c r="G39" s="139" t="s">
        <v>123</v>
      </c>
      <c r="H39" s="173" t="s">
        <v>442</v>
      </c>
      <c r="I39" s="110"/>
      <c r="J39" s="109"/>
      <c r="K39" s="282"/>
      <c r="L39" s="282"/>
      <c r="M39" s="363"/>
      <c r="N39" s="363"/>
      <c r="O39" s="145">
        <v>0.0</v>
      </c>
      <c r="P39" s="145">
        <v>1.0</v>
      </c>
      <c r="Q39" s="145">
        <v>1.0</v>
      </c>
      <c r="R39" s="100"/>
      <c r="S39" s="100"/>
      <c r="T39" s="100"/>
      <c r="U39" s="145" t="s">
        <v>102</v>
      </c>
      <c r="V39" s="100"/>
    </row>
    <row r="40" outlineLevel="1">
      <c r="A40" s="133" t="s">
        <v>116</v>
      </c>
      <c r="B40" s="147" t="s">
        <v>1377</v>
      </c>
      <c r="C40" s="216" t="s">
        <v>1378</v>
      </c>
      <c r="D40" s="195" t="s">
        <v>185</v>
      </c>
      <c r="E40" s="216" t="s">
        <v>232</v>
      </c>
      <c r="F40" s="138">
        <v>13.2</v>
      </c>
      <c r="G40" s="139" t="s">
        <v>123</v>
      </c>
      <c r="H40" s="175" t="s">
        <v>1379</v>
      </c>
      <c r="I40" s="164"/>
      <c r="J40" s="104"/>
      <c r="K40" s="363"/>
      <c r="L40" s="363"/>
      <c r="M40" s="363"/>
      <c r="N40" s="363"/>
      <c r="O40" s="145">
        <v>0.0</v>
      </c>
      <c r="P40" s="145">
        <v>1.0</v>
      </c>
      <c r="Q40" s="145">
        <v>1.0</v>
      </c>
      <c r="R40" s="100"/>
      <c r="S40" s="100"/>
      <c r="T40" s="100"/>
      <c r="U40" s="166" t="s">
        <v>275</v>
      </c>
      <c r="V40" s="100"/>
    </row>
    <row r="41" outlineLevel="1">
      <c r="A41" s="156"/>
      <c r="B41" s="147" t="s">
        <v>1380</v>
      </c>
      <c r="C41" s="216" t="s">
        <v>1378</v>
      </c>
      <c r="D41" s="107"/>
      <c r="E41" s="216" t="s">
        <v>274</v>
      </c>
      <c r="F41" s="138">
        <v>10.8</v>
      </c>
      <c r="G41" s="139" t="s">
        <v>95</v>
      </c>
      <c r="H41" s="106"/>
      <c r="I41" s="168"/>
      <c r="J41" s="107"/>
      <c r="K41" s="363"/>
      <c r="L41" s="363"/>
      <c r="M41" s="363"/>
      <c r="N41" s="363"/>
      <c r="O41" s="145"/>
      <c r="P41" s="145"/>
      <c r="Q41" s="145"/>
      <c r="R41" s="100"/>
      <c r="S41" s="100"/>
      <c r="T41" s="100"/>
      <c r="U41" s="156"/>
      <c r="V41" s="100"/>
    </row>
    <row r="42" outlineLevel="1">
      <c r="A42" s="170" t="s">
        <v>124</v>
      </c>
      <c r="B42" s="147"/>
      <c r="C42" s="216" t="s">
        <v>835</v>
      </c>
      <c r="D42" s="216" t="s">
        <v>628</v>
      </c>
      <c r="E42" s="216" t="s">
        <v>228</v>
      </c>
      <c r="F42" s="138">
        <v>15.6</v>
      </c>
      <c r="G42" s="139" t="s">
        <v>275</v>
      </c>
      <c r="H42" s="173" t="s">
        <v>442</v>
      </c>
      <c r="I42" s="110"/>
      <c r="J42" s="109"/>
      <c r="K42" s="282"/>
      <c r="L42" s="282"/>
      <c r="M42" s="363"/>
      <c r="N42" s="363"/>
      <c r="O42" s="145">
        <v>0.0</v>
      </c>
      <c r="P42" s="145">
        <v>1.0</v>
      </c>
      <c r="Q42" s="145">
        <v>1.0</v>
      </c>
      <c r="R42" s="100"/>
      <c r="S42" s="100"/>
      <c r="T42" s="100"/>
      <c r="U42" s="145" t="s">
        <v>62</v>
      </c>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
        <v>135</v>
      </c>
      <c r="J45" s="184" t="s">
        <v>136</v>
      </c>
      <c r="K45" s="184" t="s">
        <v>137</v>
      </c>
      <c r="L45" s="184" t="s">
        <v>138</v>
      </c>
      <c r="M45" s="184" t="s">
        <v>139</v>
      </c>
      <c r="N45" s="184" t="s">
        <v>140</v>
      </c>
      <c r="O45" s="186" t="s">
        <v>141</v>
      </c>
      <c r="P45" s="184" t="s">
        <v>142</v>
      </c>
      <c r="Q45" s="186" t="s">
        <v>143</v>
      </c>
      <c r="R45" s="187" t="s">
        <v>53</v>
      </c>
      <c r="S45" s="110"/>
      <c r="T45" s="110"/>
      <c r="U45" s="110"/>
      <c r="V45" s="110"/>
    </row>
    <row r="46" outlineLevel="1">
      <c r="A46" s="213" t="s">
        <v>144</v>
      </c>
      <c r="B46" s="373"/>
      <c r="C46" s="239" t="s">
        <v>983</v>
      </c>
      <c r="D46" s="467" t="s">
        <v>146</v>
      </c>
      <c r="E46" s="401" t="s">
        <v>93</v>
      </c>
      <c r="F46" s="193">
        <v>8.4</v>
      </c>
      <c r="G46" s="193">
        <v>7.140000000000001</v>
      </c>
      <c r="H46" s="138" t="s">
        <v>60</v>
      </c>
      <c r="I46" s="621" t="s">
        <v>93</v>
      </c>
      <c r="J46" s="467" t="s">
        <v>1381</v>
      </c>
      <c r="K46" s="138"/>
      <c r="L46" s="282"/>
      <c r="M46" s="363"/>
      <c r="N46" s="363"/>
      <c r="O46" s="145">
        <v>0.0</v>
      </c>
      <c r="P46" s="145">
        <v>1.0</v>
      </c>
      <c r="Q46" s="145">
        <v>1.0</v>
      </c>
      <c r="R46" s="1027"/>
      <c r="S46" s="110"/>
      <c r="T46" s="110"/>
      <c r="U46" s="110"/>
      <c r="V46" s="109"/>
    </row>
    <row r="47" outlineLevel="1">
      <c r="A47" s="213" t="s">
        <v>151</v>
      </c>
      <c r="B47" s="373"/>
      <c r="C47" s="239" t="s">
        <v>334</v>
      </c>
      <c r="D47" s="467" t="s">
        <v>402</v>
      </c>
      <c r="E47" s="239" t="s">
        <v>129</v>
      </c>
      <c r="F47" s="138">
        <v>14.399999999999999</v>
      </c>
      <c r="G47" s="138">
        <v>12.24</v>
      </c>
      <c r="H47" s="138" t="s">
        <v>75</v>
      </c>
      <c r="I47" s="621" t="s">
        <v>128</v>
      </c>
      <c r="J47" s="467" t="s">
        <v>1382</v>
      </c>
      <c r="K47" s="138"/>
      <c r="L47" s="282"/>
      <c r="M47" s="363"/>
      <c r="N47" s="363"/>
      <c r="O47" s="145">
        <v>0.0</v>
      </c>
      <c r="P47" s="145">
        <v>1.0</v>
      </c>
      <c r="Q47" s="145">
        <v>1.0</v>
      </c>
      <c r="R47" s="1027" t="s">
        <v>1383</v>
      </c>
      <c r="S47" s="110"/>
      <c r="T47" s="110"/>
      <c r="U47" s="110"/>
      <c r="V47" s="109"/>
    </row>
    <row r="48" outlineLevel="1">
      <c r="A48" s="213" t="s">
        <v>157</v>
      </c>
      <c r="B48" s="373"/>
      <c r="C48" s="239" t="s">
        <v>563</v>
      </c>
      <c r="D48" s="216" t="s">
        <v>193</v>
      </c>
      <c r="E48" s="239" t="s">
        <v>128</v>
      </c>
      <c r="F48" s="138">
        <v>12.0</v>
      </c>
      <c r="G48" s="138">
        <v>10.2</v>
      </c>
      <c r="H48" s="138" t="s">
        <v>147</v>
      </c>
      <c r="I48" s="621">
        <v>7.0</v>
      </c>
      <c r="J48" s="467" t="s">
        <v>1384</v>
      </c>
      <c r="K48" s="138"/>
      <c r="L48" s="282"/>
      <c r="M48" s="363"/>
      <c r="N48" s="363"/>
      <c r="O48" s="145">
        <v>0.0</v>
      </c>
      <c r="P48" s="145">
        <v>1.0</v>
      </c>
      <c r="Q48" s="145">
        <v>1.0</v>
      </c>
      <c r="R48" s="1027"/>
      <c r="S48" s="110"/>
      <c r="T48" s="110"/>
      <c r="U48" s="110"/>
      <c r="V48" s="109"/>
    </row>
    <row r="49" outlineLevel="1">
      <c r="A49" s="213" t="s">
        <v>162</v>
      </c>
      <c r="B49" s="373"/>
      <c r="C49" s="239" t="s">
        <v>733</v>
      </c>
      <c r="D49" s="216" t="s">
        <v>193</v>
      </c>
      <c r="E49" s="239" t="s">
        <v>274</v>
      </c>
      <c r="F49" s="138">
        <v>10.799999999999999</v>
      </c>
      <c r="G49" s="138">
        <v>9.18</v>
      </c>
      <c r="H49" s="138" t="s">
        <v>147</v>
      </c>
      <c r="I49" s="621" t="s">
        <v>119</v>
      </c>
      <c r="J49" s="467" t="s">
        <v>1385</v>
      </c>
      <c r="K49" s="282"/>
      <c r="L49" s="282"/>
      <c r="M49" s="363"/>
      <c r="N49" s="363"/>
      <c r="O49" s="145">
        <v>0.0</v>
      </c>
      <c r="P49" s="145">
        <v>1.0</v>
      </c>
      <c r="Q49" s="145">
        <v>1.0</v>
      </c>
      <c r="R49" s="1027"/>
      <c r="S49" s="110"/>
      <c r="T49" s="110"/>
      <c r="U49" s="110"/>
      <c r="V49" s="109"/>
    </row>
    <row r="50" outlineLevel="1">
      <c r="A50" s="213" t="s">
        <v>166</v>
      </c>
      <c r="B50" s="373"/>
      <c r="C50" s="239" t="s">
        <v>1386</v>
      </c>
      <c r="D50" s="216" t="s">
        <v>748</v>
      </c>
      <c r="E50" s="239" t="s">
        <v>80</v>
      </c>
      <c r="F50" s="138">
        <v>9.6</v>
      </c>
      <c r="G50" s="138">
        <v>8.16</v>
      </c>
      <c r="H50" s="138" t="s">
        <v>147</v>
      </c>
      <c r="I50" s="621">
        <v>20.0</v>
      </c>
      <c r="J50" s="467" t="s">
        <v>1387</v>
      </c>
      <c r="K50" s="282"/>
      <c r="L50" s="282"/>
      <c r="M50" s="363"/>
      <c r="N50" s="363"/>
      <c r="O50" s="145">
        <v>0.0</v>
      </c>
      <c r="P50" s="145">
        <v>1.0</v>
      </c>
      <c r="Q50" s="145">
        <v>1.0</v>
      </c>
      <c r="R50" s="151" t="s">
        <v>1388</v>
      </c>
      <c r="S50" s="110"/>
      <c r="T50" s="110"/>
      <c r="U50" s="110"/>
      <c r="V50" s="109"/>
    </row>
    <row r="51">
      <c r="A51" s="223"/>
      <c r="B51" s="224"/>
      <c r="C51" s="225"/>
      <c r="D51" s="225"/>
      <c r="E51" s="226"/>
      <c r="F51" s="226"/>
      <c r="G51" s="226"/>
      <c r="H51" s="227"/>
      <c r="I51" s="227"/>
      <c r="J51" s="228"/>
      <c r="K51" s="228"/>
      <c r="L51" s="228"/>
      <c r="M51" s="228"/>
      <c r="N51" s="228"/>
      <c r="O51" s="228"/>
      <c r="P51" s="228"/>
      <c r="Q51" s="118"/>
      <c r="R51" s="118"/>
      <c r="S51" s="118"/>
      <c r="T51" s="118"/>
      <c r="U51" s="118"/>
      <c r="V51" s="118"/>
    </row>
    <row r="52">
      <c r="A52" s="229" t="s">
        <v>177</v>
      </c>
      <c r="B52" s="109"/>
      <c r="C52" s="225"/>
      <c r="D52" s="225"/>
      <c r="E52" s="226"/>
      <c r="F52" s="226"/>
      <c r="G52" s="226"/>
      <c r="H52" s="227"/>
      <c r="I52" s="227"/>
      <c r="J52" s="228"/>
      <c r="K52" s="228"/>
      <c r="L52" s="228"/>
      <c r="M52" s="228"/>
      <c r="N52" s="228"/>
      <c r="O52" s="228"/>
      <c r="P52" s="228"/>
      <c r="Q52" s="118"/>
      <c r="R52" s="118"/>
      <c r="S52" s="118"/>
      <c r="T52" s="118"/>
      <c r="U52" s="118"/>
      <c r="V52" s="118"/>
    </row>
    <row r="53" outlineLevel="1">
      <c r="A53" s="230" t="s">
        <v>1389</v>
      </c>
      <c r="B53" s="109"/>
      <c r="C53" s="231" t="s">
        <v>48</v>
      </c>
      <c r="D53" s="231" t="s">
        <v>49</v>
      </c>
      <c r="E53" s="232" t="s">
        <v>50</v>
      </c>
      <c r="F53" s="233" t="s">
        <v>51</v>
      </c>
      <c r="G53" s="232" t="s">
        <v>52</v>
      </c>
      <c r="H53" s="382" t="s">
        <v>53</v>
      </c>
      <c r="I53" s="110"/>
      <c r="J53" s="109"/>
      <c r="K53" s="235" t="s">
        <v>137</v>
      </c>
      <c r="L53" s="235" t="s">
        <v>138</v>
      </c>
      <c r="M53" s="235" t="s">
        <v>139</v>
      </c>
      <c r="N53" s="235" t="s">
        <v>140</v>
      </c>
      <c r="O53" s="236" t="s">
        <v>141</v>
      </c>
      <c r="P53" s="235" t="s">
        <v>142</v>
      </c>
      <c r="Q53" s="236" t="s">
        <v>143</v>
      </c>
      <c r="R53" s="235" t="s">
        <v>179</v>
      </c>
      <c r="S53" s="236" t="s">
        <v>180</v>
      </c>
      <c r="T53" s="236" t="s">
        <v>181</v>
      </c>
      <c r="U53" s="236" t="s">
        <v>182</v>
      </c>
      <c r="V53" s="236" t="s">
        <v>183</v>
      </c>
    </row>
    <row r="54" outlineLevel="1">
      <c r="A54" s="237" t="s">
        <v>184</v>
      </c>
      <c r="B54" s="243" t="s">
        <v>125</v>
      </c>
      <c r="C54" s="239" t="s">
        <v>466</v>
      </c>
      <c r="D54" s="195" t="s">
        <v>300</v>
      </c>
      <c r="E54" s="239" t="s">
        <v>651</v>
      </c>
      <c r="F54" s="138">
        <v>4.2</v>
      </c>
      <c r="G54" s="139" t="s">
        <v>170</v>
      </c>
      <c r="H54" s="163" t="s">
        <v>1390</v>
      </c>
      <c r="I54" s="164"/>
      <c r="J54" s="104"/>
      <c r="K54" s="282"/>
      <c r="L54" s="282"/>
      <c r="M54" s="363"/>
      <c r="N54" s="363"/>
      <c r="O54" s="138">
        <v>0.0</v>
      </c>
      <c r="P54" s="138">
        <v>1.0</v>
      </c>
      <c r="Q54" s="138">
        <v>1.0</v>
      </c>
      <c r="R54" s="145" t="b">
        <v>1</v>
      </c>
      <c r="S54" s="145" t="b">
        <v>1</v>
      </c>
      <c r="T54" s="145"/>
      <c r="U54" s="166" t="s">
        <v>186</v>
      </c>
      <c r="V54" s="166" t="b">
        <v>1</v>
      </c>
    </row>
    <row r="55" outlineLevel="1">
      <c r="A55" s="146"/>
      <c r="B55" s="243" t="s">
        <v>131</v>
      </c>
      <c r="C55" s="239" t="s">
        <v>1391</v>
      </c>
      <c r="D55" s="210"/>
      <c r="E55" s="239" t="s">
        <v>651</v>
      </c>
      <c r="F55" s="138">
        <v>4.2</v>
      </c>
      <c r="G55" s="139" t="s">
        <v>170</v>
      </c>
      <c r="H55" s="212"/>
      <c r="J55" s="210"/>
      <c r="K55" s="282"/>
      <c r="L55" s="282"/>
      <c r="M55" s="363"/>
      <c r="N55" s="363"/>
      <c r="O55" s="138"/>
      <c r="P55" s="138"/>
      <c r="Q55" s="138"/>
      <c r="R55" s="145" t="b">
        <v>0</v>
      </c>
      <c r="S55" s="145" t="b">
        <v>0</v>
      </c>
      <c r="T55" s="145" t="b">
        <v>0</v>
      </c>
      <c r="U55" s="146"/>
      <c r="V55" s="146"/>
    </row>
    <row r="56" outlineLevel="1">
      <c r="A56" s="146"/>
      <c r="B56" s="243" t="s">
        <v>432</v>
      </c>
      <c r="C56" s="239" t="s">
        <v>1392</v>
      </c>
      <c r="D56" s="210"/>
      <c r="E56" s="409"/>
      <c r="F56" s="409"/>
      <c r="G56" s="665"/>
      <c r="H56" s="212"/>
      <c r="J56" s="210"/>
      <c r="K56" s="282"/>
      <c r="L56" s="282"/>
      <c r="M56" s="363"/>
      <c r="N56" s="363"/>
      <c r="O56" s="138"/>
      <c r="P56" s="138"/>
      <c r="Q56" s="138"/>
      <c r="R56" s="145" t="b">
        <v>0</v>
      </c>
      <c r="S56" s="145" t="b">
        <v>0</v>
      </c>
      <c r="T56" s="145" t="b">
        <v>0</v>
      </c>
      <c r="U56" s="146"/>
      <c r="V56" s="146"/>
    </row>
    <row r="57" outlineLevel="1">
      <c r="A57" s="146"/>
      <c r="B57" s="243" t="s">
        <v>174</v>
      </c>
      <c r="C57" s="409"/>
      <c r="D57" s="239" t="s">
        <v>153</v>
      </c>
      <c r="E57" s="409"/>
      <c r="F57" s="409"/>
      <c r="G57" s="409"/>
      <c r="H57" s="106"/>
      <c r="I57" s="168"/>
      <c r="J57" s="107"/>
      <c r="K57" s="282"/>
      <c r="L57" s="282"/>
      <c r="M57" s="363"/>
      <c r="N57" s="363"/>
      <c r="O57" s="138"/>
      <c r="P57" s="138"/>
      <c r="Q57" s="138"/>
      <c r="R57" s="145" t="b">
        <v>0</v>
      </c>
      <c r="S57" s="145" t="b">
        <v>0</v>
      </c>
      <c r="T57" s="145" t="b">
        <v>1</v>
      </c>
      <c r="U57" s="156"/>
      <c r="V57" s="156"/>
    </row>
    <row r="58" outlineLevel="1">
      <c r="A58" s="230" t="s">
        <v>1393</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184</v>
      </c>
      <c r="B59" s="243" t="s">
        <v>1394</v>
      </c>
      <c r="C59" s="239" t="s">
        <v>1395</v>
      </c>
      <c r="D59" s="367" t="s">
        <v>428</v>
      </c>
      <c r="E59" s="239" t="s">
        <v>58</v>
      </c>
      <c r="F59" s="138">
        <v>2.64</v>
      </c>
      <c r="G59" s="139" t="s">
        <v>60</v>
      </c>
      <c r="H59" s="386" t="s">
        <v>1396</v>
      </c>
      <c r="I59" s="164"/>
      <c r="J59" s="104"/>
      <c r="K59" s="282"/>
      <c r="L59" s="282"/>
      <c r="M59" s="363"/>
      <c r="N59" s="363"/>
      <c r="O59" s="138">
        <v>0.0</v>
      </c>
      <c r="P59" s="138">
        <v>1.0</v>
      </c>
      <c r="Q59" s="138">
        <v>1.0</v>
      </c>
      <c r="R59" s="145" t="b">
        <v>1</v>
      </c>
      <c r="S59" s="145" t="b">
        <v>1</v>
      </c>
      <c r="T59" s="145"/>
      <c r="U59" s="166" t="b">
        <v>0</v>
      </c>
      <c r="V59" s="166" t="b">
        <v>1</v>
      </c>
    </row>
    <row r="60" outlineLevel="1">
      <c r="A60" s="146"/>
      <c r="B60" s="243" t="s">
        <v>1397</v>
      </c>
      <c r="C60" s="239" t="s">
        <v>1398</v>
      </c>
      <c r="D60" s="156"/>
      <c r="E60" s="239" t="s">
        <v>73</v>
      </c>
      <c r="F60" s="138">
        <v>4.8</v>
      </c>
      <c r="G60" s="139" t="s">
        <v>75</v>
      </c>
      <c r="H60" s="212"/>
      <c r="J60" s="210"/>
      <c r="K60" s="282"/>
      <c r="L60" s="282"/>
      <c r="M60" s="363"/>
      <c r="N60" s="363"/>
      <c r="O60" s="138"/>
      <c r="P60" s="138"/>
      <c r="Q60" s="138"/>
      <c r="R60" s="145" t="b">
        <v>0</v>
      </c>
      <c r="S60" s="145" t="b">
        <v>0</v>
      </c>
      <c r="T60" s="145" t="b">
        <v>0</v>
      </c>
      <c r="U60" s="146"/>
      <c r="V60" s="146"/>
    </row>
    <row r="61" outlineLevel="1">
      <c r="A61" s="146"/>
      <c r="B61" s="243" t="s">
        <v>1399</v>
      </c>
      <c r="C61" s="239" t="s">
        <v>128</v>
      </c>
      <c r="D61" s="367" t="s">
        <v>428</v>
      </c>
      <c r="E61" s="239" t="s">
        <v>214</v>
      </c>
      <c r="F61" s="138">
        <v>1.56</v>
      </c>
      <c r="G61" s="139" t="s">
        <v>60</v>
      </c>
      <c r="H61" s="212"/>
      <c r="J61" s="210"/>
      <c r="K61" s="138"/>
      <c r="L61" s="138"/>
      <c r="M61" s="145"/>
      <c r="N61" s="145"/>
      <c r="O61" s="138">
        <v>0.0</v>
      </c>
      <c r="P61" s="138">
        <v>1.0</v>
      </c>
      <c r="Q61" s="138">
        <v>1.0</v>
      </c>
      <c r="R61" s="145" t="b">
        <v>1</v>
      </c>
      <c r="S61" s="145" t="b">
        <v>1</v>
      </c>
      <c r="T61" s="145"/>
      <c r="U61" s="146"/>
      <c r="V61" s="146"/>
    </row>
    <row r="62" outlineLevel="1">
      <c r="A62" s="146"/>
      <c r="B62" s="243" t="s">
        <v>1400</v>
      </c>
      <c r="C62" s="239" t="s">
        <v>228</v>
      </c>
      <c r="D62" s="146"/>
      <c r="E62" s="239" t="s">
        <v>214</v>
      </c>
      <c r="F62" s="138">
        <v>1.56</v>
      </c>
      <c r="G62" s="139" t="s">
        <v>60</v>
      </c>
      <c r="H62" s="212"/>
      <c r="J62" s="210"/>
      <c r="K62" s="138"/>
      <c r="L62" s="138"/>
      <c r="M62" s="145"/>
      <c r="N62" s="145"/>
      <c r="O62" s="138"/>
      <c r="P62" s="138"/>
      <c r="Q62" s="138"/>
      <c r="R62" s="145" t="b">
        <v>0</v>
      </c>
      <c r="S62" s="145" t="b">
        <v>0</v>
      </c>
      <c r="T62" s="145" t="b">
        <v>0</v>
      </c>
      <c r="U62" s="146"/>
      <c r="V62" s="146"/>
    </row>
    <row r="63" outlineLevel="1">
      <c r="A63" s="146"/>
      <c r="B63" s="243" t="s">
        <v>1401</v>
      </c>
      <c r="C63" s="239" t="s">
        <v>386</v>
      </c>
      <c r="D63" s="146"/>
      <c r="E63" s="239" t="s">
        <v>214</v>
      </c>
      <c r="F63" s="138">
        <v>1.56</v>
      </c>
      <c r="G63" s="139" t="s">
        <v>60</v>
      </c>
      <c r="H63" s="212"/>
      <c r="J63" s="210"/>
      <c r="K63" s="138"/>
      <c r="L63" s="138"/>
      <c r="M63" s="145"/>
      <c r="N63" s="145"/>
      <c r="O63" s="138"/>
      <c r="P63" s="138"/>
      <c r="Q63" s="138"/>
      <c r="R63" s="145" t="b">
        <v>0</v>
      </c>
      <c r="S63" s="145" t="b">
        <v>0</v>
      </c>
      <c r="T63" s="145" t="b">
        <v>0</v>
      </c>
      <c r="U63" s="146"/>
      <c r="V63" s="146"/>
    </row>
    <row r="64" outlineLevel="1">
      <c r="A64" s="146"/>
      <c r="B64" s="243" t="s">
        <v>1402</v>
      </c>
      <c r="C64" s="239" t="s">
        <v>466</v>
      </c>
      <c r="D64" s="146"/>
      <c r="E64" s="239" t="s">
        <v>214</v>
      </c>
      <c r="F64" s="138">
        <v>1.56</v>
      </c>
      <c r="G64" s="139" t="s">
        <v>60</v>
      </c>
      <c r="H64" s="212"/>
      <c r="J64" s="210"/>
      <c r="K64" s="138"/>
      <c r="L64" s="138"/>
      <c r="M64" s="145"/>
      <c r="N64" s="145"/>
      <c r="O64" s="138"/>
      <c r="P64" s="138"/>
      <c r="Q64" s="138"/>
      <c r="R64" s="145" t="b">
        <v>0</v>
      </c>
      <c r="S64" s="145" t="b">
        <v>0</v>
      </c>
      <c r="T64" s="145" t="b">
        <v>0</v>
      </c>
      <c r="U64" s="146"/>
      <c r="V64" s="146"/>
    </row>
    <row r="65" outlineLevel="1">
      <c r="A65" s="146"/>
      <c r="B65" s="243" t="s">
        <v>1403</v>
      </c>
      <c r="C65" s="239" t="s">
        <v>65</v>
      </c>
      <c r="D65" s="146"/>
      <c r="E65" s="239" t="s">
        <v>214</v>
      </c>
      <c r="F65" s="138">
        <v>1.56</v>
      </c>
      <c r="G65" s="139" t="s">
        <v>60</v>
      </c>
      <c r="H65" s="212"/>
      <c r="J65" s="210"/>
      <c r="K65" s="138"/>
      <c r="L65" s="138"/>
      <c r="M65" s="145"/>
      <c r="N65" s="145"/>
      <c r="O65" s="138"/>
      <c r="P65" s="138"/>
      <c r="Q65" s="138"/>
      <c r="R65" s="145" t="b">
        <v>0</v>
      </c>
      <c r="S65" s="145" t="b">
        <v>0</v>
      </c>
      <c r="T65" s="145" t="b">
        <v>0</v>
      </c>
      <c r="U65" s="146"/>
      <c r="V65" s="146"/>
    </row>
    <row r="66" outlineLevel="1">
      <c r="A66" s="146"/>
      <c r="B66" s="243" t="s">
        <v>1404</v>
      </c>
      <c r="C66" s="239" t="s">
        <v>268</v>
      </c>
      <c r="D66" s="146"/>
      <c r="E66" s="239" t="s">
        <v>214</v>
      </c>
      <c r="F66" s="138">
        <v>1.56</v>
      </c>
      <c r="G66" s="139" t="s">
        <v>60</v>
      </c>
      <c r="H66" s="212"/>
      <c r="J66" s="210"/>
      <c r="K66" s="138"/>
      <c r="L66" s="138"/>
      <c r="M66" s="145"/>
      <c r="N66" s="145"/>
      <c r="O66" s="138"/>
      <c r="P66" s="138"/>
      <c r="Q66" s="138"/>
      <c r="R66" s="145" t="b">
        <v>0</v>
      </c>
      <c r="S66" s="145" t="b">
        <v>0</v>
      </c>
      <c r="T66" s="145" t="b">
        <v>0</v>
      </c>
      <c r="U66" s="146"/>
      <c r="V66" s="146"/>
    </row>
    <row r="67" outlineLevel="1">
      <c r="A67" s="146"/>
      <c r="B67" s="243" t="s">
        <v>1405</v>
      </c>
      <c r="C67" s="239" t="s">
        <v>593</v>
      </c>
      <c r="D67" s="146"/>
      <c r="E67" s="239" t="s">
        <v>214</v>
      </c>
      <c r="F67" s="138">
        <v>1.56</v>
      </c>
      <c r="G67" s="139" t="s">
        <v>60</v>
      </c>
      <c r="H67" s="212"/>
      <c r="J67" s="210"/>
      <c r="K67" s="138"/>
      <c r="L67" s="138"/>
      <c r="M67" s="145"/>
      <c r="N67" s="145"/>
      <c r="O67" s="138"/>
      <c r="P67" s="138"/>
      <c r="Q67" s="138"/>
      <c r="R67" s="145" t="b">
        <v>0</v>
      </c>
      <c r="S67" s="145" t="b">
        <v>0</v>
      </c>
      <c r="T67" s="145" t="b">
        <v>0</v>
      </c>
      <c r="U67" s="146"/>
      <c r="V67" s="146"/>
    </row>
    <row r="68" outlineLevel="1">
      <c r="A68" s="146"/>
      <c r="B68" s="243" t="s">
        <v>1406</v>
      </c>
      <c r="C68" s="239" t="s">
        <v>964</v>
      </c>
      <c r="D68" s="146"/>
      <c r="E68" s="239" t="s">
        <v>214</v>
      </c>
      <c r="F68" s="138">
        <v>1.56</v>
      </c>
      <c r="G68" s="139" t="s">
        <v>60</v>
      </c>
      <c r="H68" s="212"/>
      <c r="J68" s="210"/>
      <c r="K68" s="138"/>
      <c r="L68" s="138"/>
      <c r="M68" s="145"/>
      <c r="N68" s="145"/>
      <c r="O68" s="138"/>
      <c r="P68" s="138"/>
      <c r="Q68" s="138"/>
      <c r="R68" s="145" t="b">
        <v>0</v>
      </c>
      <c r="S68" s="145" t="b">
        <v>0</v>
      </c>
      <c r="T68" s="145" t="b">
        <v>0</v>
      </c>
      <c r="U68" s="146"/>
      <c r="V68" s="146"/>
    </row>
    <row r="69" outlineLevel="1">
      <c r="A69" s="146"/>
      <c r="B69" s="243" t="s">
        <v>1407</v>
      </c>
      <c r="C69" s="239" t="s">
        <v>79</v>
      </c>
      <c r="D69" s="146"/>
      <c r="E69" s="239" t="s">
        <v>214</v>
      </c>
      <c r="F69" s="138">
        <v>1.56</v>
      </c>
      <c r="G69" s="139" t="s">
        <v>60</v>
      </c>
      <c r="H69" s="212"/>
      <c r="J69" s="210"/>
      <c r="K69" s="138"/>
      <c r="L69" s="138"/>
      <c r="M69" s="145"/>
      <c r="N69" s="145"/>
      <c r="O69" s="138"/>
      <c r="P69" s="138"/>
      <c r="Q69" s="138"/>
      <c r="R69" s="145" t="b">
        <v>0</v>
      </c>
      <c r="S69" s="145" t="b">
        <v>0</v>
      </c>
      <c r="T69" s="145" t="b">
        <v>0</v>
      </c>
      <c r="U69" s="146"/>
      <c r="V69" s="146"/>
    </row>
    <row r="70" outlineLevel="1">
      <c r="A70" s="146"/>
      <c r="B70" s="243" t="s">
        <v>1408</v>
      </c>
      <c r="C70" s="239" t="s">
        <v>221</v>
      </c>
      <c r="D70" s="146"/>
      <c r="E70" s="239" t="s">
        <v>214</v>
      </c>
      <c r="F70" s="138">
        <v>1.56</v>
      </c>
      <c r="G70" s="139" t="s">
        <v>60</v>
      </c>
      <c r="H70" s="212"/>
      <c r="J70" s="210"/>
      <c r="K70" s="138"/>
      <c r="L70" s="138"/>
      <c r="M70" s="145"/>
      <c r="N70" s="145"/>
      <c r="O70" s="138"/>
      <c r="P70" s="138"/>
      <c r="Q70" s="138"/>
      <c r="R70" s="145" t="b">
        <v>0</v>
      </c>
      <c r="S70" s="145" t="b">
        <v>0</v>
      </c>
      <c r="T70" s="145" t="b">
        <v>0</v>
      </c>
      <c r="U70" s="146"/>
      <c r="V70" s="146"/>
    </row>
    <row r="71" outlineLevel="1">
      <c r="A71" s="146"/>
      <c r="B71" s="243" t="s">
        <v>1409</v>
      </c>
      <c r="C71" s="239" t="s">
        <v>1410</v>
      </c>
      <c r="D71" s="156"/>
      <c r="E71" s="139" t="s">
        <v>176</v>
      </c>
      <c r="F71" s="138">
        <v>2.4</v>
      </c>
      <c r="G71" s="139" t="s">
        <v>60</v>
      </c>
      <c r="H71" s="106"/>
      <c r="I71" s="168"/>
      <c r="J71" s="107"/>
      <c r="K71" s="138"/>
      <c r="L71" s="138"/>
      <c r="M71" s="145"/>
      <c r="N71" s="145"/>
      <c r="O71" s="138"/>
      <c r="P71" s="138"/>
      <c r="Q71" s="138"/>
      <c r="R71" s="145" t="b">
        <v>0</v>
      </c>
      <c r="S71" s="145" t="b">
        <v>0</v>
      </c>
      <c r="T71" s="145" t="b">
        <v>0</v>
      </c>
      <c r="U71" s="156"/>
      <c r="V71" s="156"/>
    </row>
    <row r="72" outlineLevel="1">
      <c r="A72" s="230" t="s">
        <v>1411</v>
      </c>
      <c r="B72" s="109"/>
      <c r="C72" s="231" t="s">
        <v>48</v>
      </c>
      <c r="D72" s="231" t="s">
        <v>49</v>
      </c>
      <c r="E72" s="232" t="s">
        <v>50</v>
      </c>
      <c r="F72" s="233" t="s">
        <v>51</v>
      </c>
      <c r="G72" s="232" t="s">
        <v>52</v>
      </c>
      <c r="H72" s="382"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236" t="s">
        <v>183</v>
      </c>
    </row>
    <row r="73" ht="93.0" customHeight="1" outlineLevel="1">
      <c r="A73" s="237" t="s">
        <v>184</v>
      </c>
      <c r="B73" s="870"/>
      <c r="C73" s="365" t="s">
        <v>1412</v>
      </c>
      <c r="D73" s="409"/>
      <c r="E73" s="239" t="s">
        <v>153</v>
      </c>
      <c r="F73" s="138">
        <v>19.2</v>
      </c>
      <c r="G73" s="139" t="s">
        <v>82</v>
      </c>
      <c r="H73" s="175" t="s">
        <v>1413</v>
      </c>
      <c r="I73" s="164"/>
      <c r="J73" s="104"/>
      <c r="K73" s="138"/>
      <c r="L73" s="138"/>
      <c r="M73" s="145"/>
      <c r="N73" s="145"/>
      <c r="O73" s="138">
        <v>0.0</v>
      </c>
      <c r="P73" s="138">
        <v>1.0</v>
      </c>
      <c r="Q73" s="138">
        <v>1.0</v>
      </c>
      <c r="R73" s="145" t="b">
        <v>1</v>
      </c>
      <c r="S73" s="145" t="b">
        <v>1</v>
      </c>
      <c r="T73" s="145"/>
      <c r="U73" s="166" t="s">
        <v>1414</v>
      </c>
      <c r="V73" s="166" t="b">
        <v>0</v>
      </c>
    </row>
    <row r="74" ht="93.0" customHeight="1" outlineLevel="1">
      <c r="A74" s="146"/>
      <c r="B74" s="402" t="s">
        <v>1415</v>
      </c>
      <c r="C74" s="409"/>
      <c r="D74" s="365" t="s">
        <v>1416</v>
      </c>
      <c r="E74" s="409"/>
      <c r="F74" s="409"/>
      <c r="G74" s="409"/>
      <c r="H74" s="106"/>
      <c r="I74" s="168"/>
      <c r="J74" s="107"/>
      <c r="K74" s="138"/>
      <c r="L74" s="138"/>
      <c r="M74" s="145"/>
      <c r="N74" s="145"/>
      <c r="O74" s="138">
        <v>0.0</v>
      </c>
      <c r="P74" s="138">
        <v>1.0</v>
      </c>
      <c r="Q74" s="138">
        <v>1.0</v>
      </c>
      <c r="R74" s="145" t="b">
        <v>1</v>
      </c>
      <c r="S74" s="145" t="b">
        <v>1</v>
      </c>
      <c r="T74" s="145"/>
      <c r="U74" s="156"/>
      <c r="V74" s="156"/>
    </row>
    <row r="75" outlineLevel="1">
      <c r="A75" s="230" t="s">
        <v>1417</v>
      </c>
      <c r="B75" s="109"/>
      <c r="C75" s="231" t="s">
        <v>48</v>
      </c>
      <c r="D75" s="231" t="s">
        <v>49</v>
      </c>
      <c r="E75" s="232" t="s">
        <v>50</v>
      </c>
      <c r="F75" s="233" t="s">
        <v>51</v>
      </c>
      <c r="G75" s="232" t="s">
        <v>52</v>
      </c>
      <c r="H75" s="382" t="s">
        <v>53</v>
      </c>
      <c r="I75" s="110"/>
      <c r="J75" s="109"/>
      <c r="K75" s="235" t="s">
        <v>137</v>
      </c>
      <c r="L75" s="235" t="s">
        <v>138</v>
      </c>
      <c r="M75" s="235" t="s">
        <v>139</v>
      </c>
      <c r="N75" s="235" t="s">
        <v>140</v>
      </c>
      <c r="O75" s="236" t="s">
        <v>141</v>
      </c>
      <c r="P75" s="235" t="s">
        <v>142</v>
      </c>
      <c r="Q75" s="236" t="s">
        <v>143</v>
      </c>
      <c r="R75" s="235" t="s">
        <v>179</v>
      </c>
      <c r="S75" s="236" t="s">
        <v>180</v>
      </c>
      <c r="T75" s="236" t="s">
        <v>181</v>
      </c>
      <c r="U75" s="236" t="s">
        <v>182</v>
      </c>
      <c r="V75" s="236" t="s">
        <v>183</v>
      </c>
    </row>
    <row r="76" outlineLevel="1">
      <c r="A76" s="237" t="s">
        <v>184</v>
      </c>
      <c r="B76" s="626"/>
      <c r="C76" s="239" t="s">
        <v>1418</v>
      </c>
      <c r="D76" s="367" t="s">
        <v>1419</v>
      </c>
      <c r="E76" s="239" t="s">
        <v>700</v>
      </c>
      <c r="F76" s="138">
        <v>2.16</v>
      </c>
      <c r="G76" s="139" t="s">
        <v>170</v>
      </c>
      <c r="H76" s="550"/>
      <c r="I76" s="164"/>
      <c r="J76" s="104"/>
      <c r="K76" s="138"/>
      <c r="L76" s="138"/>
      <c r="M76" s="145"/>
      <c r="N76" s="145"/>
      <c r="O76" s="138">
        <v>0.0</v>
      </c>
      <c r="P76" s="138">
        <v>1.0</v>
      </c>
      <c r="Q76" s="138">
        <v>1.0</v>
      </c>
      <c r="R76" s="145" t="b">
        <v>1</v>
      </c>
      <c r="S76" s="145" t="b">
        <v>1</v>
      </c>
      <c r="T76" s="145" t="b">
        <v>1</v>
      </c>
      <c r="U76" s="166" t="s">
        <v>186</v>
      </c>
      <c r="V76" s="166" t="b">
        <v>1</v>
      </c>
    </row>
    <row r="77" outlineLevel="1">
      <c r="A77" s="146"/>
      <c r="B77" s="624" t="s">
        <v>187</v>
      </c>
      <c r="C77" s="239" t="s">
        <v>1420</v>
      </c>
      <c r="D77" s="146"/>
      <c r="E77" s="239" t="s">
        <v>213</v>
      </c>
      <c r="F77" s="138">
        <v>1.2</v>
      </c>
      <c r="G77" s="139" t="s">
        <v>170</v>
      </c>
      <c r="H77" s="212"/>
      <c r="J77" s="210"/>
      <c r="K77" s="138"/>
      <c r="L77" s="138"/>
      <c r="M77" s="145"/>
      <c r="N77" s="145"/>
      <c r="O77" s="138"/>
      <c r="P77" s="138"/>
      <c r="Q77" s="138"/>
      <c r="R77" s="145" t="b">
        <v>0</v>
      </c>
      <c r="S77" s="145" t="b">
        <v>0</v>
      </c>
      <c r="T77" s="145" t="b">
        <v>0</v>
      </c>
      <c r="U77" s="146"/>
      <c r="V77" s="146"/>
    </row>
    <row r="78" outlineLevel="1">
      <c r="A78" s="156"/>
      <c r="B78" s="624" t="s">
        <v>189</v>
      </c>
      <c r="C78" s="239" t="s">
        <v>1421</v>
      </c>
      <c r="D78" s="156"/>
      <c r="E78" s="239" t="s">
        <v>213</v>
      </c>
      <c r="F78" s="138">
        <v>1.2</v>
      </c>
      <c r="G78" s="139" t="s">
        <v>170</v>
      </c>
      <c r="H78" s="106"/>
      <c r="I78" s="168"/>
      <c r="J78" s="107"/>
      <c r="K78" s="138"/>
      <c r="L78" s="138"/>
      <c r="M78" s="145"/>
      <c r="N78" s="145"/>
      <c r="O78" s="138">
        <v>0.0</v>
      </c>
      <c r="P78" s="138">
        <v>1.0</v>
      </c>
      <c r="Q78" s="138">
        <v>1.0</v>
      </c>
      <c r="R78" s="145" t="b">
        <v>0</v>
      </c>
      <c r="S78" s="145" t="b">
        <v>0</v>
      </c>
      <c r="T78" s="145" t="b">
        <v>1</v>
      </c>
      <c r="U78" s="156"/>
      <c r="V78" s="156"/>
    </row>
    <row r="79">
      <c r="A79" s="223"/>
      <c r="B79" s="224"/>
      <c r="C79" s="225"/>
      <c r="D79" s="225"/>
      <c r="E79" s="226"/>
      <c r="F79" s="226"/>
      <c r="G79" s="226"/>
      <c r="H79" s="227"/>
      <c r="I79" s="227"/>
      <c r="J79" s="228"/>
      <c r="K79" s="228"/>
      <c r="L79" s="228"/>
      <c r="M79" s="228"/>
      <c r="N79" s="228"/>
      <c r="O79" s="228"/>
      <c r="P79" s="228"/>
      <c r="Q79" s="118"/>
      <c r="R79" s="118"/>
      <c r="S79" s="118"/>
      <c r="T79" s="118"/>
      <c r="U79" s="118"/>
      <c r="V79" s="118"/>
    </row>
    <row r="80">
      <c r="A80" s="264" t="str">
        <f>'テンプレート'!A91</f>
        <v>つかみ・投げ</v>
      </c>
      <c r="B80" s="104"/>
      <c r="C80" s="227"/>
      <c r="D80" s="227"/>
      <c r="E80" s="228"/>
      <c r="F80" s="265"/>
      <c r="G80" s="265"/>
      <c r="H80" s="228"/>
      <c r="I80" s="228"/>
      <c r="J80" s="228"/>
      <c r="K80" s="228"/>
      <c r="L80" s="228"/>
      <c r="M80" s="228"/>
      <c r="N80" s="118"/>
      <c r="O80" s="118"/>
      <c r="P80" s="118"/>
      <c r="Q80" s="228"/>
      <c r="R80" s="228"/>
      <c r="S80" s="228"/>
      <c r="T80" s="228"/>
      <c r="U80" s="228"/>
      <c r="V80" s="228"/>
    </row>
    <row r="81" outlineLevel="1">
      <c r="A81" s="106"/>
      <c r="B81" s="107"/>
      <c r="C81" s="266" t="str">
        <f>'テンプレート'!C92</f>
        <v>判定持続</v>
      </c>
      <c r="D81" s="266" t="str">
        <f>'テンプレート'!D92</f>
        <v>全体フレーム</v>
      </c>
      <c r="E81" s="266" t="str">
        <f>'テンプレート'!E92</f>
        <v>基礎ダメージ</v>
      </c>
      <c r="F81" s="267" t="str">
        <f>'テンプレート'!F92</f>
        <v>ダメージ (1v1)</v>
      </c>
      <c r="G81" s="227"/>
      <c r="H81" s="227"/>
      <c r="I81" s="227"/>
      <c r="J81" s="228"/>
      <c r="K81" s="228"/>
      <c r="L81" s="228"/>
      <c r="M81" s="228"/>
      <c r="N81" s="228"/>
      <c r="O81" s="228"/>
      <c r="P81" s="228"/>
      <c r="Q81" s="228"/>
      <c r="R81" s="228"/>
      <c r="S81" s="228"/>
      <c r="T81" s="228"/>
      <c r="U81" s="228"/>
      <c r="V81" s="228"/>
    </row>
    <row r="82" outlineLevel="1">
      <c r="A82" s="268" t="str">
        <f>'テンプレート'!A93</f>
        <v>つかみ攻撃</v>
      </c>
      <c r="B82" s="269" t="str">
        <f>'テンプレート'!B93</f>
        <v>つかみ攻撃</v>
      </c>
      <c r="C82" s="113" t="s">
        <v>213</v>
      </c>
      <c r="D82" s="113" t="s">
        <v>86</v>
      </c>
      <c r="E82" s="113" t="s">
        <v>213</v>
      </c>
      <c r="F82" s="138">
        <f>E82*1.2</f>
        <v>1.2</v>
      </c>
      <c r="G82" s="1028"/>
      <c r="H82" s="1028"/>
      <c r="I82" s="1028"/>
      <c r="J82" s="228"/>
      <c r="K82" s="228"/>
      <c r="L82" s="228"/>
      <c r="M82" s="228"/>
      <c r="N82" s="228"/>
      <c r="O82" s="228"/>
      <c r="P82" s="228"/>
      <c r="Q82" s="228"/>
      <c r="R82" s="228"/>
      <c r="S82" s="228"/>
      <c r="T82" s="228"/>
      <c r="U82" s="228"/>
      <c r="V82" s="228"/>
    </row>
    <row r="83" outlineLevel="1">
      <c r="A83" s="270" t="str">
        <f>'テンプレート'!A94</f>
        <v>つかみ</v>
      </c>
      <c r="B83" s="269" t="str">
        <f>'テンプレート'!B94</f>
        <v>その場</v>
      </c>
      <c r="C83" s="113" t="s">
        <v>518</v>
      </c>
      <c r="D83" s="113" t="s">
        <v>118</v>
      </c>
      <c r="E83" s="271"/>
      <c r="F83" s="272"/>
      <c r="G83" s="272"/>
      <c r="H83" s="227"/>
      <c r="I83" s="227"/>
      <c r="J83" s="228"/>
      <c r="K83" s="228"/>
      <c r="L83" s="228"/>
      <c r="M83" s="228"/>
      <c r="N83" s="228"/>
      <c r="O83" s="228"/>
      <c r="P83" s="228"/>
      <c r="Q83" s="228"/>
      <c r="R83" s="228"/>
      <c r="S83" s="228"/>
      <c r="T83" s="228"/>
      <c r="U83" s="228"/>
      <c r="V83" s="228"/>
    </row>
    <row r="84" outlineLevel="1">
      <c r="A84" s="212"/>
      <c r="B84" s="269" t="str">
        <f>'テンプレート'!B95</f>
        <v>ダッシュ</v>
      </c>
      <c r="C84" s="113" t="s">
        <v>223</v>
      </c>
      <c r="D84" s="113" t="s">
        <v>111</v>
      </c>
      <c r="E84" s="271"/>
      <c r="F84" s="272"/>
      <c r="G84" s="272"/>
      <c r="H84" s="1028"/>
      <c r="I84" s="176"/>
      <c r="J84" s="1029"/>
      <c r="K84" s="228"/>
      <c r="L84" s="228"/>
      <c r="M84" s="228"/>
      <c r="N84" s="228"/>
      <c r="O84" s="228"/>
      <c r="P84" s="228"/>
      <c r="Q84" s="228"/>
      <c r="R84" s="228"/>
      <c r="S84" s="228"/>
      <c r="T84" s="228"/>
      <c r="U84" s="228"/>
      <c r="V84" s="228"/>
    </row>
    <row r="85" outlineLevel="1">
      <c r="A85" s="106"/>
      <c r="B85" s="269" t="str">
        <f>'テンプレート'!B96</f>
        <v>ふりむき</v>
      </c>
      <c r="C85" s="113" t="s">
        <v>223</v>
      </c>
      <c r="D85" s="113" t="s">
        <v>628</v>
      </c>
      <c r="E85" s="227"/>
      <c r="F85" s="272"/>
      <c r="G85" s="272"/>
      <c r="H85" s="227"/>
      <c r="I85" s="227"/>
      <c r="J85" s="228"/>
      <c r="K85" s="228"/>
      <c r="L85" s="228"/>
      <c r="M85" s="228"/>
      <c r="N85" s="228"/>
      <c r="O85" s="228"/>
      <c r="P85" s="228"/>
      <c r="Q85" s="228"/>
      <c r="R85" s="228"/>
      <c r="S85" s="228"/>
      <c r="T85" s="228"/>
      <c r="U85" s="228"/>
      <c r="V85" s="228"/>
    </row>
    <row r="86" outlineLevel="1">
      <c r="A86" s="273" t="str">
        <f>'テンプレート'!A97</f>
        <v>投げ</v>
      </c>
      <c r="B86" s="109"/>
      <c r="C86" s="266" t="str">
        <f>'テンプレート'!C97</f>
        <v>判定持続</v>
      </c>
      <c r="D86" s="266" t="str">
        <f>'テンプレート'!D97</f>
        <v>全体フレーム</v>
      </c>
      <c r="E86" s="266" t="str">
        <f>'テンプレート'!E97</f>
        <v>基礎ダメージ</v>
      </c>
      <c r="F86" s="266" t="str">
        <f>'テンプレート'!F97</f>
        <v>ダメージ (1v1)</v>
      </c>
      <c r="G86" s="669" t="str">
        <f>'テンプレート'!G97</f>
        <v>備考</v>
      </c>
      <c r="H86" s="110"/>
      <c r="I86" s="110"/>
      <c r="J86" s="109"/>
      <c r="K86" s="275" t="str">
        <f>'テンプレート'!K97</f>
        <v>ベクトル</v>
      </c>
      <c r="L86" s="275" t="str">
        <f>'テンプレート'!L97</f>
        <v>KBG (R.E.)</v>
      </c>
      <c r="M86" s="275" t="str">
        <f>'テンプレート'!M97</f>
        <v>BKB (R.A.)</v>
      </c>
      <c r="N86" s="275" t="str">
        <f>'テンプレート'!N97</f>
        <v>FKB (R.F.)</v>
      </c>
      <c r="O86" s="276" t="str">
        <f>'テンプレート'!O97</f>
        <v>盾削り値</v>
      </c>
      <c r="P86" s="275" t="str">
        <f>'テンプレート'!P97</f>
        <v>ﾋｯﾄｽﾄｯﾌﾟ</v>
      </c>
      <c r="Q86" s="276" t="str">
        <f>'テンプレート'!Q97</f>
        <v>ずらし</v>
      </c>
      <c r="R86" s="277"/>
      <c r="S86" s="277"/>
      <c r="T86" s="277"/>
      <c r="U86" s="277"/>
      <c r="V86" s="277"/>
    </row>
    <row r="87" outlineLevel="1">
      <c r="A87" s="278" t="str">
        <f>'テンプレート'!A98</f>
        <v>前投げ</v>
      </c>
      <c r="B87" s="269" t="str">
        <f>'テンプレート'!B98</f>
        <v>打撃</v>
      </c>
      <c r="C87" s="113" t="s">
        <v>268</v>
      </c>
      <c r="D87" s="279" t="s">
        <v>185</v>
      </c>
      <c r="E87" s="239" t="s">
        <v>204</v>
      </c>
      <c r="F87" s="138">
        <f t="shared" ref="F87:F88" si="1">IFERROR(E87*1.2, "-")</f>
        <v>3.6</v>
      </c>
      <c r="G87" s="283" t="s">
        <v>1422</v>
      </c>
      <c r="H87" s="164"/>
      <c r="I87" s="164"/>
      <c r="J87" s="104"/>
      <c r="K87" s="282"/>
      <c r="L87" s="363"/>
      <c r="M87" s="363"/>
      <c r="N87" s="145">
        <v>0.0</v>
      </c>
      <c r="O87" s="145">
        <v>1.0</v>
      </c>
      <c r="P87" s="145">
        <v>1.0</v>
      </c>
      <c r="Q87" s="277"/>
      <c r="R87" s="228"/>
      <c r="S87" s="228"/>
      <c r="T87" s="228"/>
      <c r="U87" s="228"/>
    </row>
    <row r="88" outlineLevel="1">
      <c r="A88" s="156"/>
      <c r="B88" s="269" t="str">
        <f>'テンプレート'!B99</f>
        <v>投げ</v>
      </c>
      <c r="C88" s="113" t="s">
        <v>92</v>
      </c>
      <c r="D88" s="156"/>
      <c r="E88" s="239" t="s">
        <v>150</v>
      </c>
      <c r="F88" s="138">
        <f t="shared" si="1"/>
        <v>6</v>
      </c>
      <c r="G88" s="106"/>
      <c r="H88" s="168"/>
      <c r="I88" s="168"/>
      <c r="J88" s="107"/>
      <c r="K88" s="282"/>
      <c r="L88" s="363"/>
      <c r="M88" s="363"/>
      <c r="N88" s="261"/>
      <c r="O88" s="261"/>
      <c r="P88" s="261"/>
      <c r="Q88" s="277"/>
      <c r="R88" s="228"/>
      <c r="S88" s="228"/>
      <c r="T88" s="228"/>
      <c r="U88" s="228"/>
    </row>
    <row r="89" outlineLevel="1">
      <c r="A89" s="278" t="str">
        <f>'テンプレート'!A100</f>
        <v>後投げ</v>
      </c>
      <c r="B89" s="269" t="str">
        <f>'テンプレート'!B100</f>
        <v>打撃</v>
      </c>
      <c r="C89" s="261"/>
      <c r="D89" s="279" t="s">
        <v>118</v>
      </c>
      <c r="E89" s="261"/>
      <c r="F89" s="261"/>
      <c r="G89" s="283" t="s">
        <v>1422</v>
      </c>
      <c r="H89" s="164"/>
      <c r="I89" s="164"/>
      <c r="J89" s="104"/>
      <c r="K89" s="261"/>
      <c r="L89" s="261"/>
      <c r="M89" s="261"/>
      <c r="N89" s="261"/>
      <c r="O89" s="261"/>
      <c r="P89" s="261"/>
      <c r="Q89" s="277"/>
      <c r="R89" s="228"/>
      <c r="S89" s="228"/>
      <c r="T89" s="228"/>
      <c r="U89" s="228"/>
    </row>
    <row r="90" outlineLevel="1">
      <c r="A90" s="156"/>
      <c r="B90" s="269" t="str">
        <f>'テンプレート'!B101</f>
        <v>投げ</v>
      </c>
      <c r="C90" s="113" t="s">
        <v>466</v>
      </c>
      <c r="D90" s="156"/>
      <c r="E90" s="239" t="s">
        <v>86</v>
      </c>
      <c r="F90" s="138">
        <f t="shared" ref="F90:F92" si="2">IFERROR(E90*1.2, "-")</f>
        <v>7.2</v>
      </c>
      <c r="G90" s="106"/>
      <c r="H90" s="168"/>
      <c r="I90" s="168"/>
      <c r="J90" s="107"/>
      <c r="K90" s="282"/>
      <c r="L90" s="363"/>
      <c r="M90" s="363"/>
      <c r="N90" s="261"/>
      <c r="O90" s="261"/>
      <c r="P90" s="261"/>
      <c r="Q90" s="277"/>
      <c r="R90" s="228"/>
      <c r="S90" s="228"/>
      <c r="T90" s="228"/>
      <c r="U90" s="228"/>
    </row>
    <row r="91" outlineLevel="1">
      <c r="A91" s="278" t="str">
        <f>'テンプレート'!A102</f>
        <v>上投げ</v>
      </c>
      <c r="B91" s="269" t="str">
        <f>'テンプレート'!B102</f>
        <v>打撃</v>
      </c>
      <c r="C91" s="113" t="s">
        <v>610</v>
      </c>
      <c r="D91" s="279" t="s">
        <v>634</v>
      </c>
      <c r="E91" s="239" t="s">
        <v>204</v>
      </c>
      <c r="F91" s="138">
        <f t="shared" si="2"/>
        <v>3.6</v>
      </c>
      <c r="G91" s="283" t="s">
        <v>1422</v>
      </c>
      <c r="H91" s="164"/>
      <c r="I91" s="164"/>
      <c r="J91" s="104"/>
      <c r="K91" s="282"/>
      <c r="L91" s="363"/>
      <c r="M91" s="363"/>
      <c r="N91" s="145">
        <v>0.0</v>
      </c>
      <c r="O91" s="145">
        <v>1.0</v>
      </c>
      <c r="P91" s="145">
        <v>1.0</v>
      </c>
      <c r="Q91" s="277"/>
      <c r="R91" s="228"/>
      <c r="S91" s="228"/>
      <c r="T91" s="228"/>
      <c r="U91" s="228"/>
    </row>
    <row r="92" outlineLevel="1">
      <c r="A92" s="156"/>
      <c r="B92" s="269" t="str">
        <f>'テンプレート'!B103</f>
        <v>投げ</v>
      </c>
      <c r="C92" s="113" t="s">
        <v>105</v>
      </c>
      <c r="D92" s="156"/>
      <c r="E92" s="239" t="s">
        <v>150</v>
      </c>
      <c r="F92" s="138">
        <f t="shared" si="2"/>
        <v>6</v>
      </c>
      <c r="G92" s="106"/>
      <c r="H92" s="168"/>
      <c r="I92" s="168"/>
      <c r="J92" s="107"/>
      <c r="K92" s="282"/>
      <c r="L92" s="363"/>
      <c r="M92" s="363"/>
      <c r="N92" s="261"/>
      <c r="O92" s="261"/>
      <c r="P92" s="261"/>
      <c r="Q92" s="277"/>
      <c r="R92" s="117"/>
      <c r="S92" s="117"/>
      <c r="T92" s="117"/>
      <c r="U92" s="117"/>
    </row>
    <row r="93" outlineLevel="1">
      <c r="A93" s="278" t="str">
        <f>'テンプレート'!A104</f>
        <v>下投げ</v>
      </c>
      <c r="B93" s="269" t="str">
        <f>'テンプレート'!B104</f>
        <v>打撃</v>
      </c>
      <c r="C93" s="261"/>
      <c r="D93" s="279" t="s">
        <v>185</v>
      </c>
      <c r="E93" s="261"/>
      <c r="F93" s="261"/>
      <c r="G93" s="283" t="s">
        <v>1422</v>
      </c>
      <c r="H93" s="164"/>
      <c r="I93" s="164"/>
      <c r="J93" s="104"/>
      <c r="K93" s="261"/>
      <c r="L93" s="261"/>
      <c r="M93" s="261"/>
      <c r="N93" s="261"/>
      <c r="O93" s="261"/>
      <c r="P93" s="261"/>
      <c r="Q93" s="277"/>
      <c r="R93" s="117"/>
      <c r="S93" s="117"/>
      <c r="T93" s="117"/>
      <c r="U93" s="117"/>
    </row>
    <row r="94" outlineLevel="1">
      <c r="A94" s="156"/>
      <c r="B94" s="269" t="str">
        <f>'テンプレート'!B105</f>
        <v>投げ</v>
      </c>
      <c r="C94" s="113" t="s">
        <v>79</v>
      </c>
      <c r="D94" s="156"/>
      <c r="E94" s="239" t="s">
        <v>86</v>
      </c>
      <c r="F94" s="138">
        <f>IFERROR(E94*1.2, "-")</f>
        <v>7.2</v>
      </c>
      <c r="G94" s="106"/>
      <c r="H94" s="168"/>
      <c r="I94" s="168"/>
      <c r="J94" s="107"/>
      <c r="K94" s="282"/>
      <c r="L94" s="363"/>
      <c r="M94" s="363"/>
      <c r="N94" s="261"/>
      <c r="O94" s="261"/>
      <c r="P94" s="261"/>
      <c r="Q94" s="277"/>
      <c r="R94" s="117"/>
      <c r="S94" s="117"/>
      <c r="T94" s="117"/>
      <c r="U94" s="117"/>
    </row>
    <row r="95">
      <c r="A95" s="223"/>
      <c r="B95" s="224"/>
      <c r="C95" s="225"/>
      <c r="D95" s="225"/>
      <c r="E95" s="227"/>
      <c r="F95" s="177"/>
      <c r="G95" s="177"/>
      <c r="H95" s="227"/>
      <c r="I95" s="227"/>
      <c r="J95" s="228"/>
      <c r="K95" s="228"/>
      <c r="L95" s="111"/>
      <c r="M95" s="111"/>
      <c r="N95" s="111"/>
      <c r="O95" s="117"/>
      <c r="P95" s="117"/>
      <c r="Q95" s="111"/>
      <c r="R95" s="111"/>
      <c r="S95" s="111"/>
      <c r="T95" s="111"/>
      <c r="U95" s="111"/>
      <c r="V95" s="111"/>
    </row>
    <row r="96">
      <c r="A96" s="284" t="str">
        <f>'テンプレート'!A107</f>
        <v>回避</v>
      </c>
      <c r="B96" s="104"/>
      <c r="C96" s="265"/>
      <c r="D96" s="111"/>
      <c r="E96" s="111"/>
      <c r="F96" s="111"/>
      <c r="G96" s="111"/>
      <c r="H96" s="111"/>
      <c r="I96" s="111"/>
      <c r="J96" s="118"/>
      <c r="K96" s="111"/>
      <c r="L96" s="111"/>
      <c r="M96" s="111"/>
      <c r="N96" s="111"/>
      <c r="O96" s="111"/>
      <c r="P96" s="111"/>
      <c r="Q96" s="118"/>
      <c r="R96" s="111"/>
      <c r="S96" s="111"/>
      <c r="T96" s="111"/>
      <c r="U96" s="111"/>
      <c r="V96" s="111"/>
    </row>
    <row r="97" outlineLevel="1">
      <c r="A97" s="106"/>
      <c r="B97" s="107"/>
      <c r="C97" s="285" t="s">
        <v>235</v>
      </c>
      <c r="D97" s="285" t="s">
        <v>236</v>
      </c>
      <c r="E97" s="285" t="s">
        <v>49</v>
      </c>
      <c r="F97" s="285" t="s">
        <v>237</v>
      </c>
      <c r="G97" s="286"/>
      <c r="H97" s="227"/>
      <c r="I97" s="227"/>
      <c r="J97" s="228"/>
      <c r="K97" s="228"/>
      <c r="L97" s="111"/>
      <c r="M97" s="111"/>
      <c r="N97" s="111"/>
      <c r="O97" s="111"/>
      <c r="P97" s="111"/>
      <c r="Q97" s="111"/>
      <c r="R97" s="111"/>
      <c r="S97" s="111"/>
      <c r="T97" s="111"/>
      <c r="U97" s="111"/>
      <c r="V97" s="111"/>
    </row>
    <row r="98" outlineLevel="1">
      <c r="A98" s="287" t="str">
        <f>'テンプレート'!A109</f>
        <v>地上回避</v>
      </c>
      <c r="B98" s="288" t="str">
        <f>'テンプレート'!B109</f>
        <v>その場</v>
      </c>
      <c r="C98" s="113" t="str">
        <f t="array" ref="C98">INDEX('回避'!$C$3:$U$84, MATCH($A$1,'回避'!$A$3:$A$91,0), MATCH(C97,'回避'!$C$2:$F$2,0))</f>
        <v>3-17</v>
      </c>
      <c r="D98" s="113" t="str">
        <f t="array" ref="D98">INDEX('回避'!$C$3:$U$84, MATCH($A$1,'回避'!$A$3:$A$91,0), MATCH(D97,'回避'!$C$2:$F$2,0))</f>
        <v>6-17</v>
      </c>
      <c r="E98" s="113" t="str">
        <f t="array" ref="E98">INDEX('回避'!$C$3:$U$84, MATCH($A$1,'回避'!$A$3:$A$91,0), MATCH(E97,'回避'!$C$2:$F$2,0))</f>
        <v>25 (20)</v>
      </c>
      <c r="F98" s="113" t="str">
        <f t="array" ref="F98">INDEX('回避'!$C$3:$U$84, MATCH($A$1,'回避'!$A$3:$A$91,0), MATCH(F97,'回避'!$C$2:$F$2,0))</f>
        <v>33 (27)</v>
      </c>
      <c r="G98" s="272"/>
      <c r="H98" s="227"/>
      <c r="I98" s="227"/>
      <c r="J98" s="228"/>
      <c r="K98" s="228"/>
      <c r="L98" s="228"/>
      <c r="M98" s="111"/>
      <c r="N98" s="111"/>
      <c r="O98" s="111"/>
      <c r="P98" s="111"/>
      <c r="Q98" s="111"/>
      <c r="R98" s="111"/>
      <c r="S98" s="111"/>
      <c r="T98" s="111"/>
      <c r="U98" s="111"/>
      <c r="V98" s="111"/>
    </row>
    <row r="99" outlineLevel="1">
      <c r="A99" s="212"/>
      <c r="B99" s="288" t="str">
        <f>'テンプレート'!B110</f>
        <v>前方</v>
      </c>
      <c r="C99" s="113" t="str">
        <f t="array" ref="C99">INDEX('回避'!$G$3:$U$84, MATCH($A$1,'回避'!$A$3:$A$91,0), MATCH(C97,'回避'!$G$2:$J$2,0))</f>
        <v>4-15</v>
      </c>
      <c r="D99" s="113" t="str">
        <f t="array" ref="D99">INDEX('回避'!$G$3:$U$84, MATCH($A$1,'回避'!$A$3:$A$91,0), MATCH(D97,'回避'!$G$2:$J$2,0))</f>
        <v>8-14</v>
      </c>
      <c r="E99" s="113" t="str">
        <f t="array" ref="E99">INDEX('回避'!$G$3:$U$84, MATCH($A$1,'回避'!$A$3:$A$91,0), MATCH(E97,'回避'!$G$2:$J$2,0))</f>
        <v>29</v>
      </c>
      <c r="F99" s="113">
        <f t="array" ref="F99">INDEX('回避'!$G$3:$U$84, MATCH($A$1,'回避'!$A$3:$A$91,0), MATCH(F97,'回避'!$G$2:$J$2,0))</f>
        <v>38</v>
      </c>
      <c r="G99" s="289"/>
      <c r="H99" s="227"/>
      <c r="I99" s="227"/>
      <c r="J99" s="228"/>
      <c r="K99" s="228"/>
      <c r="L99" s="228"/>
      <c r="M99" s="228"/>
      <c r="N99" s="228"/>
      <c r="O99" s="111"/>
      <c r="P99" s="111"/>
      <c r="Q99" s="111"/>
      <c r="R99" s="111"/>
      <c r="S99" s="111"/>
      <c r="T99" s="111"/>
      <c r="U99" s="111"/>
      <c r="V99" s="111"/>
    </row>
    <row r="100" outlineLevel="1">
      <c r="A100" s="106"/>
      <c r="B100" s="288" t="str">
        <f>'テンプレート'!B111</f>
        <v>後方</v>
      </c>
      <c r="C100" s="113" t="str">
        <f t="array" ref="C100">INDEX('回避'!$K$3:$U$84, MATCH($A$1,'回避'!$A$3:$A$91,0), MATCH(C97,'回避'!$K$2:$N$2,0))</f>
        <v>5-16</v>
      </c>
      <c r="D100" s="113" t="str">
        <f t="array" ref="D100">INDEX('回避'!$K$3:$U$84, MATCH($A$1,'回避'!$A$3:$A$91,0), MATCH(D97,'回避'!$K$2:$N$2,0))</f>
        <v>9-14</v>
      </c>
      <c r="E100" s="113" t="str">
        <f t="array" ref="E100">INDEX('回避'!$K$3:$U$84, MATCH($A$1,'回避'!$A$3:$A$91,0), MATCH(E97,'回避'!$K$2:$N$2,0))</f>
        <v>34</v>
      </c>
      <c r="F100" s="113" t="str">
        <f t="array" ref="F100">INDEX('回避'!$K$3:$U$84, MATCH($A$1,'回避'!$A$3:$A$91,0), MATCH(F97,'回避'!$K$2:$N$2,0))</f>
        <v>51</v>
      </c>
      <c r="G100" s="289"/>
      <c r="H100" s="1028"/>
      <c r="I100" s="290"/>
      <c r="J100" s="117"/>
      <c r="K100" s="117"/>
      <c r="L100" s="117"/>
      <c r="M100" s="117"/>
      <c r="N100" s="117"/>
      <c r="O100" s="111"/>
      <c r="P100" s="111"/>
      <c r="Q100" s="111"/>
      <c r="R100" s="111"/>
      <c r="S100" s="111"/>
      <c r="T100" s="111"/>
      <c r="U100" s="111"/>
      <c r="V100" s="111"/>
    </row>
    <row r="101" outlineLevel="1">
      <c r="A101" s="287" t="str">
        <f>'テンプレート'!A112</f>
        <v>空中回避</v>
      </c>
      <c r="B101" s="288" t="str">
        <f>'テンプレート'!B112</f>
        <v>通常</v>
      </c>
      <c r="C101" s="113" t="str">
        <f t="array" ref="C101">INDEX('回避'!$O$3:$U$84, MATCH($A$1,'回避'!$A$3:$A$91,0), MATCH(C97,'回避'!$O$2:$R$2,0))</f>
        <v>3-28</v>
      </c>
      <c r="D101" s="113" t="str">
        <f t="array" ref="D101">INDEX('回避'!$O$3:$U$84, MATCH($A$1,'回避'!$A$3:$A$91,0), MATCH(D97,'回避'!$O$2:$R$2,0))</f>
        <v>6-26</v>
      </c>
      <c r="E101" s="113" t="str">
        <f t="array" ref="E101">INDEX('回避'!$O$3:$U$84, MATCH($A$1,'回避'!$A$3:$A$91,0), MATCH(E97,'回避'!$O$2:$R$2,0))</f>
        <v>58</v>
      </c>
      <c r="F101" s="177"/>
      <c r="G101" s="177"/>
      <c r="H101" s="118"/>
      <c r="I101" s="118"/>
      <c r="J101" s="111"/>
      <c r="K101" s="111"/>
      <c r="L101" s="111"/>
      <c r="M101" s="111"/>
      <c r="N101" s="111"/>
      <c r="O101" s="228"/>
      <c r="P101" s="228"/>
      <c r="Q101" s="228"/>
      <c r="R101" s="228"/>
      <c r="S101" s="228"/>
      <c r="T101" s="228"/>
      <c r="U101" s="228"/>
      <c r="V101" s="228"/>
    </row>
    <row r="102" outlineLevel="1">
      <c r="A102" s="106"/>
      <c r="B102" s="288" t="str">
        <f>'テンプレート'!B113</f>
        <v>移動</v>
      </c>
      <c r="C102" s="113" t="str">
        <f t="array" ref="C102">INDEX('回避'!$S$3:$U$84, MATCH($A$1,'回避'!$A$3:$A$91,0), MATCH(C97,'回避'!$S$2:$U$2,0))</f>
        <v>3-21</v>
      </c>
      <c r="D102" s="113" t="str">
        <f t="array" ref="D102">INDEX('回避'!$S$3:$U$84, MATCH($A$1,'回避'!$A$3:$A$91,0), MATCH(D97,'回避'!$S$2:$U$2,0))</f>
        <v>6-20</v>
      </c>
      <c r="E102" s="113" t="str">
        <f t="array" ref="E102">INDEX('回避'!$S$3:$U$84, MATCH($A$1,'回避'!$A$3:$A$91,0), MATCH(E97,'回避'!$S$2:$U$2,0))</f>
        <v>真横：96
真上：129
真下：81</v>
      </c>
      <c r="F102" s="289"/>
      <c r="G102" s="289"/>
      <c r="H102" s="118"/>
      <c r="I102" s="118"/>
      <c r="J102" s="117"/>
      <c r="K102" s="117"/>
      <c r="L102" s="117"/>
      <c r="M102" s="117"/>
      <c r="N102" s="111"/>
      <c r="O102" s="118"/>
      <c r="P102" s="118"/>
      <c r="Q102" s="118"/>
      <c r="R102" s="118"/>
      <c r="S102" s="118"/>
      <c r="T102" s="118"/>
      <c r="U102" s="118"/>
      <c r="V102" s="118"/>
    </row>
    <row r="103">
      <c r="A103" s="291"/>
      <c r="B103" s="292"/>
      <c r="C103" s="286"/>
      <c r="D103" s="286"/>
      <c r="E103" s="293"/>
      <c r="F103" s="286"/>
      <c r="G103" s="286"/>
      <c r="H103" s="286"/>
      <c r="I103" s="286"/>
      <c r="J103" s="111"/>
      <c r="K103" s="227"/>
      <c r="L103" s="227"/>
      <c r="M103" s="227"/>
      <c r="N103" s="227"/>
      <c r="O103" s="118"/>
      <c r="P103" s="118"/>
      <c r="Q103" s="118"/>
      <c r="R103" s="118"/>
      <c r="S103" s="118"/>
      <c r="T103" s="118"/>
      <c r="U103" s="118"/>
      <c r="V103" s="118"/>
    </row>
    <row r="104">
      <c r="A104" s="294" t="s">
        <v>238</v>
      </c>
      <c r="B104" s="104"/>
      <c r="C104" s="228"/>
      <c r="D104" s="117"/>
      <c r="E104" s="228"/>
      <c r="F104" s="114"/>
      <c r="G104" s="114"/>
      <c r="H104" s="117"/>
      <c r="I104" s="117"/>
      <c r="J104" s="118"/>
      <c r="K104" s="118"/>
      <c r="L104" s="118"/>
      <c r="M104" s="118"/>
      <c r="N104" s="118"/>
      <c r="O104" s="118"/>
      <c r="P104" s="118"/>
      <c r="Q104" s="118"/>
      <c r="R104" s="118"/>
      <c r="S104" s="118"/>
      <c r="T104" s="118"/>
      <c r="U104" s="118"/>
      <c r="V104" s="118"/>
    </row>
    <row r="105" outlineLevel="1">
      <c r="A105" s="106"/>
      <c r="B105" s="107"/>
      <c r="C105" s="295" t="s">
        <v>235</v>
      </c>
      <c r="D105" s="295" t="s">
        <v>49</v>
      </c>
      <c r="E105" s="295" t="s">
        <v>48</v>
      </c>
      <c r="F105" s="295" t="s">
        <v>50</v>
      </c>
      <c r="G105" s="296" t="s">
        <v>51</v>
      </c>
      <c r="H105" s="228"/>
      <c r="I105" s="228"/>
      <c r="J105" s="117"/>
      <c r="K105" s="297" t="str">
        <f>'テンプレート'!K116</f>
        <v>アイテム取得</v>
      </c>
      <c r="L105" s="109"/>
      <c r="M105" s="298" t="str">
        <f>'テンプレート'!M116</f>
        <v>取得フレーム</v>
      </c>
      <c r="N105" s="298" t="str">
        <f>'テンプレート'!N116</f>
        <v>全体フレーム</v>
      </c>
      <c r="O105" s="118"/>
      <c r="P105" s="118"/>
      <c r="Q105" s="118"/>
      <c r="R105" s="118"/>
      <c r="S105" s="118"/>
      <c r="T105" s="118"/>
      <c r="U105" s="118"/>
      <c r="V105" s="118"/>
    </row>
    <row r="106" outlineLevel="1">
      <c r="A106" s="299" t="s">
        <v>239</v>
      </c>
      <c r="B106" s="300" t="s">
        <v>240</v>
      </c>
      <c r="C106" s="301"/>
      <c r="D106" s="113">
        <f t="array" ref="D106">INDEX('崖行動・受け身'!$C$3:$C98, MATCH($A$1,'崖行動・受け身'!$A$3:$A$115,0), MATCH(D105,'崖行動・受け身'!$C$2,0))</f>
        <v>19</v>
      </c>
      <c r="E106" s="301"/>
      <c r="F106" s="301"/>
      <c r="G106" s="301"/>
      <c r="H106" s="228"/>
      <c r="I106" s="228"/>
      <c r="J106" s="111"/>
      <c r="K106" s="302" t="str">
        <f>'テンプレート'!K117</f>
        <v>小アイテム</v>
      </c>
      <c r="L106" s="303" t="str">
        <f>'テンプレート'!L117</f>
        <v>その場</v>
      </c>
      <c r="M106" s="113" t="str">
        <f t="array" ref="M106">INDEX('アイテム'!$C$3:$D$115, MATCH($A$1,'アイテム'!$A$3:$A$115,0), MATCH(M$105,'アイテム'!$C$2:$AK$2,0))</f>
        <v>2</v>
      </c>
      <c r="N106" s="113">
        <f t="array" ref="N106">INDEX('アイテム'!$C$3:$D$115, MATCH($A$1,'アイテム'!$A$3:$A$115,0), MATCH(N$105,'アイテム'!$C$2:$AK$2,0))</f>
        <v>7</v>
      </c>
      <c r="O106" s="118"/>
      <c r="P106" s="118"/>
      <c r="Q106" s="118"/>
      <c r="R106" s="118"/>
      <c r="S106" s="118"/>
      <c r="T106" s="118"/>
      <c r="U106" s="118"/>
      <c r="V106" s="118"/>
    </row>
    <row r="107" outlineLevel="1">
      <c r="A107" s="146"/>
      <c r="B107" s="300" t="s">
        <v>216</v>
      </c>
      <c r="C107" s="113" t="str">
        <f t="array" ref="C107">INDEX('崖行動・受け身'!$D$3:$E98, MATCH($A$1,'崖行動・受け身'!$A$3:$A$115,0), MATCH(C105,'崖行動・受け身'!$D$2:$E$2,0))</f>
        <v>1-33</v>
      </c>
      <c r="D107" s="113">
        <f t="array" ref="D107">INDEX('崖行動・受け身'!$D$3:$E98, MATCH($A$1,'崖行動・受け身'!$A$3:$A$115,0), MATCH(D105,'崖行動・受け身'!$D$2:$E$2,0))</f>
        <v>34</v>
      </c>
      <c r="E107" s="301"/>
      <c r="F107" s="301"/>
      <c r="G107" s="301"/>
      <c r="H107" s="228"/>
      <c r="I107" s="228"/>
      <c r="J107" s="117"/>
      <c r="K107" s="156"/>
      <c r="L107" s="303" t="str">
        <f>'テンプレート'!L118</f>
        <v>歩き</v>
      </c>
      <c r="M107" s="113" t="str">
        <f t="array" ref="M107">INDEX('アイテム'!$E$3:$F$115, MATCH($A$1,'アイテム'!$A$3:$A$115,0), MATCH(M$105,'アイテム'!$E$2:$AK$2,0))</f>
        <v>2</v>
      </c>
      <c r="N107" s="113">
        <f t="array" ref="N107">INDEX('アイテム'!$E$3:$F$115, MATCH($A$1,'アイテム'!$A$3:$A$115,0), MATCH(N$105,'アイテム'!$E$2:$AK$2,0))</f>
        <v>19</v>
      </c>
      <c r="O107" s="118"/>
      <c r="P107" s="118"/>
      <c r="Q107" s="118"/>
      <c r="R107" s="118"/>
      <c r="S107" s="118"/>
      <c r="T107" s="118"/>
      <c r="U107" s="118"/>
      <c r="V107" s="118"/>
    </row>
    <row r="108" outlineLevel="1">
      <c r="A108" s="146"/>
      <c r="B108" s="300" t="s">
        <v>241</v>
      </c>
      <c r="C108" s="113" t="str">
        <f t="array" ref="C108">INDEX('崖行動・受け身'!$F$3:$G$115, MATCH($A$1,'崖行動・受け身'!$A$3:$A$115,0), MATCH(C105,'崖行動・受け身'!$F$2:$G$2,0))</f>
        <v>1-26</v>
      </c>
      <c r="D108" s="113">
        <f t="array" ref="D108">INDEX('崖行動・受け身'!$F$3:$G$115, MATCH($A$1,'崖行動・受け身'!$A$3:$A$115,0), MATCH(D105,'崖行動・受け身'!$F$2:$G$2,0))</f>
        <v>45</v>
      </c>
      <c r="E108" s="301"/>
      <c r="F108" s="301"/>
      <c r="G108" s="301"/>
      <c r="H108" s="228"/>
      <c r="I108" s="228"/>
      <c r="J108" s="111"/>
      <c r="K108" s="304" t="str">
        <f>'テンプレート'!K119</f>
        <v>アイテム投擲</v>
      </c>
      <c r="L108" s="109"/>
      <c r="M108" s="298" t="str">
        <f>'テンプレート'!M119</f>
        <v>投擲フレーム</v>
      </c>
      <c r="N108" s="298" t="str">
        <f>'テンプレート'!N119</f>
        <v>全体フレーム</v>
      </c>
      <c r="O108" s="118"/>
      <c r="P108" s="118"/>
      <c r="Q108" s="118"/>
      <c r="R108" s="118"/>
      <c r="S108" s="118"/>
      <c r="T108" s="118"/>
      <c r="U108" s="118"/>
      <c r="V108" s="118"/>
    </row>
    <row r="109" outlineLevel="1">
      <c r="A109" s="146"/>
      <c r="B109" s="300" t="s">
        <v>242</v>
      </c>
      <c r="C109" s="113" t="str">
        <f t="array" ref="C109">INDEX('崖行動・受け身'!$H$3:$I$115, MATCH($A$1,'崖行動・受け身'!$A$3:$A$115,0), MATCH(C105,'崖行動・受け身'!$H$2:$I$2,0))</f>
        <v>1-12</v>
      </c>
      <c r="D109" s="113">
        <f t="array" ref="D109">INDEX('崖行動・受け身'!$H$3:$I$115, MATCH($A$1,'崖行動・受け身'!$A$3:$A$115,0), MATCH(D105,'崖行動・受け身'!$H$2:$I$2,0))</f>
        <v>14</v>
      </c>
      <c r="E109" s="301"/>
      <c r="F109" s="301"/>
      <c r="G109" s="301"/>
      <c r="H109" s="228"/>
      <c r="I109" s="228"/>
      <c r="J109" s="117"/>
      <c r="K109" s="1030" t="str">
        <f>'テンプレート'!K120</f>
        <v>地上投擲</v>
      </c>
      <c r="L109" s="303" t="str">
        <f>'テンプレート'!L120</f>
        <v>前投げ</v>
      </c>
      <c r="M109" s="113" t="str">
        <f t="array" ref="M109">INDEX('アイテム'!$G$3:$H$115, MATCH($A$1,'アイテム'!$A$3:$A$115,0), MATCH(M$108,'アイテム'!$G$2:$AK$2,0))</f>
        <v>8</v>
      </c>
      <c r="N109" s="113">
        <f t="array" ref="N109">INDEX('アイテム'!$G$3:$H$115, MATCH($A$1,'アイテム'!$A$3:$A$115,0), MATCH(N$108,'アイテム'!$G$2:$AK$2,0))</f>
        <v>24</v>
      </c>
      <c r="O109" s="111"/>
      <c r="P109" s="111"/>
      <c r="Q109" s="111"/>
      <c r="R109" s="111"/>
      <c r="S109" s="111"/>
      <c r="T109" s="111"/>
      <c r="U109" s="111"/>
      <c r="V109" s="111"/>
    </row>
    <row r="110" outlineLevel="1">
      <c r="A110" s="156"/>
      <c r="B110" s="300" t="s">
        <v>243</v>
      </c>
      <c r="C110" s="113" t="str">
        <f t="array" ref="C110">INDEX('崖行動・受け身'!$J$3:$M$115, MATCH($A$1,'崖行動・受け身'!$A$3:$A$115,0), MATCH(C105,'崖行動・受け身'!$J$2:$M$2,0))</f>
        <v>1-26</v>
      </c>
      <c r="D110" s="113">
        <f t="array" ref="D110">INDEX('崖行動・受け身'!$J$3:$M$115, MATCH($A$1,'崖行動・受け身'!$A$3:$A$115,0), MATCH(D105,'崖行動・受け身'!$J$2:$M$2,0))</f>
        <v>55</v>
      </c>
      <c r="E110" s="113" t="str">
        <f t="array" ref="E110">INDEX('崖行動・受け身'!$J$3:$M$115, MATCH($A$1,'崖行動・受け身'!$A$3:$A$115,0), MATCH(E105,'崖行動・受け身'!$J$2:$M$2,0))</f>
        <v>24-26</v>
      </c>
      <c r="F110" s="113">
        <f t="array" ref="F110">INDEX('崖行動・受け身'!$J$3:$M$115, MATCH($A$1,'崖行動・受け身'!$A$3:$A$115,0), MATCH(F105,'崖行動・受け身'!$J$2:$M$2,0))</f>
        <v>8</v>
      </c>
      <c r="G110" s="113">
        <f>F110*1.2</f>
        <v>9.6</v>
      </c>
      <c r="H110" s="228"/>
      <c r="I110" s="228"/>
      <c r="J110" s="111"/>
      <c r="K110" s="146"/>
      <c r="L110" s="303" t="str">
        <f>'テンプレート'!L121</f>
        <v>後投げ</v>
      </c>
      <c r="M110" s="113" t="str">
        <f t="array" ref="M110">INDEX('アイテム'!$I$3:$J$115, MATCH($A$1,'アイテム'!$A$3:$A$115,0), MATCH(M$108,'アイテム'!$I$2:$AK$2,0))</f>
        <v>9</v>
      </c>
      <c r="N110" s="113">
        <f t="array" ref="N110">INDEX('アイテム'!$I$3:$J$115, MATCH($A$1,'アイテム'!$A$3:$A$115,0), MATCH(N$108,'アイテム'!$I$2:$AK$2,0))</f>
        <v>24</v>
      </c>
      <c r="O110" s="111"/>
      <c r="P110" s="111"/>
      <c r="Q110" s="111"/>
      <c r="R110" s="111"/>
      <c r="S110" s="111"/>
      <c r="T110" s="111"/>
      <c r="U110" s="111"/>
      <c r="V110" s="111"/>
    </row>
    <row r="111" outlineLevel="1">
      <c r="A111" s="299" t="s">
        <v>244</v>
      </c>
      <c r="B111" s="300" t="s">
        <v>216</v>
      </c>
      <c r="C111" s="113" t="str">
        <f t="array" ref="C111">INDEX('崖行動・受け身'!$N$3:$O$115, MATCH($A$1,'崖行動・受け身'!$A$3:$A$115,0), MATCH(C105,'崖行動・受け身'!$N$2:$O$2,0))</f>
        <v>1-20</v>
      </c>
      <c r="D111" s="113">
        <f t="array" ref="D111">INDEX('崖行動・受け身'!$N$3:$O$115, MATCH($A$1,'崖行動・受け身'!$A$3:$A$115,0), MATCH(D105,'崖行動・受け身'!$N$2:$O$2,0))</f>
        <v>26</v>
      </c>
      <c r="E111" s="301"/>
      <c r="F111" s="301"/>
      <c r="G111" s="301"/>
      <c r="H111" s="228"/>
      <c r="I111" s="228"/>
      <c r="J111" s="117"/>
      <c r="K111" s="146"/>
      <c r="L111" s="303" t="str">
        <f>'テンプレート'!L122</f>
        <v>上投げ</v>
      </c>
      <c r="M111" s="113" t="str">
        <f t="array" ref="M111">INDEX('アイテム'!$K$3:$L$115, MATCH($A$1,'アイテム'!$A$3:$A$115,0), MATCH(M$108,'アイテム'!$K$2:$AK$2,0))</f>
        <v>11</v>
      </c>
      <c r="N111" s="113">
        <f t="array" ref="N111">INDEX('アイテム'!$K$3:$L$115, MATCH($A$1,'アイテム'!$A$3:$A$115,0), MATCH(N$108,'アイテム'!$K$2:$AK$2,0))</f>
        <v>23</v>
      </c>
      <c r="O111" s="228"/>
      <c r="P111" s="228"/>
      <c r="Q111" s="228"/>
      <c r="R111" s="228"/>
      <c r="S111" s="228"/>
      <c r="T111" s="228"/>
      <c r="U111" s="228"/>
      <c r="V111" s="228"/>
    </row>
    <row r="112" outlineLevel="1">
      <c r="A112" s="146"/>
      <c r="B112" s="300" t="s">
        <v>245</v>
      </c>
      <c r="C112" s="113" t="str">
        <f t="array" ref="C112">INDEX('崖行動・受け身'!$P$3:$Q$115, MATCH($A$1,'崖行動・受け身'!$A$3:$A$115,0), MATCH(C105,'崖行動・受け身'!$P$2:$Q$2,0))</f>
        <v>1-20</v>
      </c>
      <c r="D112" s="113">
        <f t="array" ref="D112">INDEX('崖行動・受け身'!$P$3:$Q$115, MATCH($A$1,'崖行動・受け身'!$A$3:$A$115,0), MATCH(D105,'崖行動・受け身'!$P$2:$Q$2,0))</f>
        <v>40</v>
      </c>
      <c r="E112" s="301"/>
      <c r="F112" s="301"/>
      <c r="G112" s="301"/>
      <c r="H112" s="228"/>
      <c r="I112" s="228"/>
      <c r="J112" s="111"/>
      <c r="K112" s="146"/>
      <c r="L112" s="303" t="str">
        <f>'テンプレート'!L123</f>
        <v>下投げ</v>
      </c>
      <c r="M112" s="113" t="str">
        <f t="array" ref="M112">INDEX('アイテム'!$M$3:$N$115, MATCH($A$1,'アイテム'!$A$3:$A$115,0), MATCH(M$108,'アイテム'!$M$2:$AK$2,0))</f>
        <v>6</v>
      </c>
      <c r="N112" s="113">
        <f t="array" ref="N112">INDEX('アイテム'!$M$3:$N$115, MATCH($A$1,'アイテム'!$A$3:$A$115,0), MATCH(N$108,'アイテム'!$M$2:$AK$2,0))</f>
        <v>19</v>
      </c>
      <c r="O112" s="118"/>
      <c r="P112" s="118"/>
      <c r="Q112" s="118"/>
      <c r="R112" s="118"/>
      <c r="S112" s="118"/>
      <c r="T112" s="118"/>
      <c r="U112" s="118"/>
      <c r="V112" s="118"/>
    </row>
    <row r="113" outlineLevel="1">
      <c r="A113" s="156"/>
      <c r="B113" s="300" t="s">
        <v>246</v>
      </c>
      <c r="C113" s="113" t="str">
        <f t="array" ref="C113">INDEX('崖行動・受け身'!$R$3:$S$115, MATCH($A$1,'崖行動・受け身'!$A$3:$A$115,0), MATCH(C105,'崖行動・受け身'!$R$2:$S$2,0))</f>
        <v>1-20</v>
      </c>
      <c r="D113" s="113">
        <f t="array" ref="D113">INDEX('崖行動・受け身'!$R$3:$S$115, MATCH($A$1,'崖行動・受け身'!$A$3:$A$115,0), MATCH(D105,'崖行動・受け身'!$R$2:$S$2,0))</f>
        <v>40</v>
      </c>
      <c r="E113" s="301"/>
      <c r="F113" s="301"/>
      <c r="G113" s="301"/>
      <c r="H113" s="228"/>
      <c r="I113" s="228"/>
      <c r="J113" s="117"/>
      <c r="K113" s="146"/>
      <c r="L113" s="306" t="str">
        <f>'テンプレート'!L124</f>
        <v>ダッシュ</v>
      </c>
      <c r="M113" s="113" t="str">
        <f t="array" ref="M113">INDEX('アイテム'!$O$3:$P$115, MATCH($A$1,'アイテム'!$A$3:$A$115,0), MATCH(M$108,'アイテム'!$O$2:$AK$2,0))</f>
        <v>4</v>
      </c>
      <c r="N113" s="113">
        <f t="array" ref="N113">INDEX('アイテム'!$O$3:$P$115, MATCH($A$1,'アイテム'!$A$3:$A$115,0), MATCH(N$108,'アイテム'!$O$2:$AK$2,0))</f>
        <v>29</v>
      </c>
      <c r="O113" s="118"/>
      <c r="P113" s="118"/>
      <c r="Q113" s="118"/>
      <c r="R113" s="118"/>
      <c r="S113" s="118"/>
      <c r="T113" s="118"/>
      <c r="U113" s="118"/>
      <c r="V113" s="118"/>
    </row>
    <row r="114" outlineLevel="1">
      <c r="A114" s="299" t="s">
        <v>247</v>
      </c>
      <c r="B114" s="300" t="s">
        <v>248</v>
      </c>
      <c r="C114" s="301"/>
      <c r="D114" s="113" t="str">
        <f t="array" ref="D114">INDEX('起きあがり'!$C$3:$C98, MATCH($A$1,'起きあがり'!$A$3:$A$115,0), MATCH(D105,'起きあがり'!$C$2:$AD$2,0))</f>
        <v>25</v>
      </c>
      <c r="E114" s="301"/>
      <c r="F114" s="301"/>
      <c r="G114" s="301"/>
      <c r="H114" s="228"/>
      <c r="I114" s="228"/>
      <c r="J114" s="111"/>
      <c r="K114" s="156"/>
      <c r="L114" s="306" t="str">
        <f>'テンプレート'!L125</f>
        <v>その場捨て</v>
      </c>
      <c r="M114" s="113" t="str">
        <f t="array" ref="M114">INDEX('アイテム'!$Q$3:$R$115, MATCH($A$1,'アイテム'!$A$3:$A$115,0), MATCH(M$108,'アイテム'!$Q$2:$AK$2,0))</f>
        <v>5</v>
      </c>
      <c r="N114" s="113">
        <f t="array" ref="N114">INDEX('アイテム'!$Q$3:$R$115, MATCH($A$1,'アイテム'!$A$3:$A$115,0), MATCH(N$108,'アイテム'!$Q$2:$AK$2,0))</f>
        <v>23</v>
      </c>
      <c r="O114" s="118"/>
      <c r="P114" s="118"/>
      <c r="Q114" s="118"/>
      <c r="R114" s="118"/>
      <c r="S114" s="118"/>
      <c r="T114" s="118"/>
      <c r="U114" s="118"/>
      <c r="V114" s="118"/>
    </row>
    <row r="115" outlineLevel="1">
      <c r="A115" s="146"/>
      <c r="B115" s="300" t="s">
        <v>216</v>
      </c>
      <c r="C115" s="307" t="str">
        <f t="array" ref="C115">INDEX('起きあがり'!$D$3:$E98, MATCH($A$1,'起きあがり'!$A$3:$A$115,0), MATCH(C105,'起きあがり'!$D$2:$AD$2,0))</f>
        <v>1-22</v>
      </c>
      <c r="D115" s="308">
        <f t="array" ref="D115">INDEX('起きあがり'!$D$3:$E98, MATCH($A$1,'起きあがり'!$A$3:$A$115,0), MATCH(D105,'起きあがり'!$D$2:$AD$2,0))</f>
        <v>29</v>
      </c>
      <c r="E115" s="301"/>
      <c r="F115" s="301"/>
      <c r="G115" s="301"/>
      <c r="H115" s="228"/>
      <c r="I115" s="228"/>
      <c r="J115" s="117"/>
      <c r="K115" s="1030" t="str">
        <f>'テンプレート'!K126</f>
        <v>空中投擲</v>
      </c>
      <c r="L115" s="303" t="str">
        <f>'テンプレート'!L126</f>
        <v>前投げ</v>
      </c>
      <c r="M115" s="113" t="str">
        <f t="array" ref="M115">INDEX('アイテム'!$S$3:$T$115, MATCH($A$1,'アイテム'!$A$3:$A$115,0), MATCH(M$108,'アイテム'!$S$2:$AK$2,0))</f>
        <v>8</v>
      </c>
      <c r="N115" s="113">
        <f t="array" ref="N115">INDEX('アイテム'!$S$3:$T$115, MATCH($A$1,'アイテム'!$A$3:$A$115,0), MATCH(N$108,'アイテム'!$S$2:$AK$2,0))</f>
        <v>24</v>
      </c>
      <c r="O115" s="118"/>
      <c r="P115" s="118"/>
      <c r="Q115" s="118"/>
      <c r="R115" s="118"/>
      <c r="S115" s="118"/>
      <c r="T115" s="118"/>
      <c r="U115" s="118"/>
      <c r="V115" s="118"/>
    </row>
    <row r="116" outlineLevel="1">
      <c r="A116" s="146"/>
      <c r="B116" s="300" t="s">
        <v>245</v>
      </c>
      <c r="C116" s="307" t="str">
        <f t="array" ref="C116">INDEX('起きあがり'!$F$3:$G$115, MATCH($A$1,'起きあがり'!$A$3:$A$115,0), MATCH(C105,'起きあがり'!$F$2:$AD$2,0))</f>
        <v>1-21</v>
      </c>
      <c r="D116" s="308">
        <f t="array" ref="D116">INDEX('起きあがり'!$F$3:$G$115, MATCH($A$1,'起きあがり'!$A$3:$A$115,0), MATCH(D105,'起きあがり'!$F$2:$AD$2,0))</f>
        <v>35</v>
      </c>
      <c r="E116" s="301"/>
      <c r="F116" s="301"/>
      <c r="G116" s="301"/>
      <c r="H116" s="228"/>
      <c r="I116" s="228"/>
      <c r="J116" s="111"/>
      <c r="K116" s="146"/>
      <c r="L116" s="303" t="str">
        <f>'テンプレート'!L127</f>
        <v>後投げ</v>
      </c>
      <c r="M116" s="113" t="str">
        <f t="array" ref="M116">INDEX('アイテム'!$U$3:$V$115, MATCH($A$1,'アイテム'!$A$3:$A$115,0), MATCH(M$108,'アイテム'!$U$2:$AK$2,0))</f>
        <v>9</v>
      </c>
      <c r="N116" s="113">
        <f t="array" ref="N116">INDEX('アイテム'!$U$3:$V$115, MATCH($A$1,'アイテム'!$A$3:$A$115,0), MATCH(N$108,'アイテム'!$U$2:$AK$2,0))</f>
        <v>24</v>
      </c>
      <c r="O116" s="118"/>
      <c r="P116" s="118"/>
      <c r="Q116" s="118"/>
      <c r="R116" s="118"/>
      <c r="S116" s="118"/>
      <c r="T116" s="118"/>
      <c r="U116" s="118"/>
      <c r="V116" s="118"/>
    </row>
    <row r="117" outlineLevel="1">
      <c r="A117" s="146"/>
      <c r="B117" s="300" t="s">
        <v>246</v>
      </c>
      <c r="C117" s="113" t="str">
        <f t="array" ref="C117">INDEX('起きあがり'!$H$3:$I$115, MATCH($A$1,'起きあがり'!$A$3:$A$115,0), MATCH(C105,'起きあがり'!$H$2:$AD$2,0))</f>
        <v>1-22</v>
      </c>
      <c r="D117" s="113">
        <f t="array" ref="D117">INDEX('起きあがり'!$H$3:$I$115, MATCH($A$1,'起きあがり'!$A$3:$A$115,0), MATCH(D105,'起きあがり'!$H$2:$AD$2,0))</f>
        <v>35</v>
      </c>
      <c r="E117" s="301"/>
      <c r="F117" s="301"/>
      <c r="G117" s="301"/>
      <c r="H117" s="228"/>
      <c r="I117" s="228"/>
      <c r="J117" s="117"/>
      <c r="K117" s="146"/>
      <c r="L117" s="303" t="str">
        <f>'テンプレート'!L128</f>
        <v>上投げ</v>
      </c>
      <c r="M117" s="113" t="str">
        <f t="array" ref="M117">INDEX('アイテム'!$W$3:$X$115, MATCH($A$1,'アイテム'!$A$3:$A$115,0), MATCH(M$108,'アイテム'!$W$2:$AK$2,0))</f>
        <v>11</v>
      </c>
      <c r="N117" s="113">
        <f t="array" ref="N117">INDEX('アイテム'!$W$3:$X$115, MATCH($A$1,'アイテム'!$A$3:$A$115,0), MATCH(N$108,'アイテム'!$W$2:$AK$2,0))</f>
        <v>23</v>
      </c>
      <c r="O117" s="118"/>
      <c r="P117" s="118"/>
      <c r="Q117" s="118"/>
      <c r="R117" s="118"/>
      <c r="S117" s="118"/>
      <c r="T117" s="118"/>
      <c r="U117" s="118"/>
      <c r="V117" s="118"/>
    </row>
    <row r="118" outlineLevel="1">
      <c r="A118" s="146"/>
      <c r="B118" s="300" t="s">
        <v>249</v>
      </c>
      <c r="C118" s="309" t="str">
        <f t="array" ref="C118">INDEX('起きあがり'!$J$3:$M$115, MATCH($A$1,'起きあがり'!$A$3:$A$115,0), MATCH(C105,'起きあがり'!$J$2:$AD$2,0))</f>
        <v>1-25</v>
      </c>
      <c r="D118" s="310">
        <f t="array" ref="D118">INDEX('起きあがり'!$J$3:$M$115, MATCH($A$1,'起きあがり'!$A$3:$A$115,0), MATCH(D105,'起きあがり'!$J$2:$AD$2,0))</f>
        <v>45</v>
      </c>
      <c r="E118" s="307" t="str">
        <f t="array" ref="E118">INDEX('起きあがり'!$J$3:$M$115, MATCH($A$1,'起きあがり'!$A$3:$A$115,0), MATCH(E105,'起きあがり'!$J$2:$AD$2,0))</f>
        <v>19-20</v>
      </c>
      <c r="F118" s="308">
        <f t="array" ref="F118">INDEX('起きあがり'!$J$3:$M$115, MATCH($A$1,'起きあがり'!$A$3:$A$115,0), MATCH(F105,'起きあがり'!$J$2:$AD$2,0))</f>
        <v>7</v>
      </c>
      <c r="G118" s="113">
        <f t="shared" ref="G118:G119" si="3">F118*1.2</f>
        <v>8.4</v>
      </c>
      <c r="H118" s="228"/>
      <c r="I118" s="228"/>
      <c r="J118" s="111"/>
      <c r="K118" s="156"/>
      <c r="L118" s="303" t="str">
        <f>'テンプレート'!L129</f>
        <v>下投げ</v>
      </c>
      <c r="M118" s="113" t="str">
        <f t="array" ref="M118">INDEX('アイテム'!$Y$3:$Z$115, MATCH($A$1,'アイテム'!$A$3:$A$115,0), MATCH(M$108,'アイテム'!$Y$2:$AK$2,0))</f>
        <v>6</v>
      </c>
      <c r="N118" s="113">
        <f t="array" ref="N118">INDEX('アイテム'!$Y$3:$Z$115, MATCH($A$1,'アイテム'!$A$3:$A$115,0), MATCH(N$108,'アイテム'!$Y$2:$AK$2,0))</f>
        <v>19</v>
      </c>
      <c r="O118" s="111"/>
      <c r="P118" s="111"/>
      <c r="Q118" s="111"/>
      <c r="R118" s="111"/>
      <c r="S118" s="111"/>
      <c r="T118" s="111"/>
      <c r="U118" s="111"/>
      <c r="V118" s="111"/>
    </row>
    <row r="119" outlineLevel="1">
      <c r="A119" s="156"/>
      <c r="B119" s="311" t="s">
        <v>250</v>
      </c>
      <c r="C119" s="156"/>
      <c r="D119" s="156"/>
      <c r="E119" s="307" t="str">
        <f t="array" ref="E119">INDEX('起きあがり'!$N$3:$O$115, MATCH($A$1,'起きあがり'!$A$3:$A$115,0), MATCH(E105,'起きあがり'!$N$2:$AD$2,0))</f>
        <v>24-25</v>
      </c>
      <c r="F119" s="308">
        <f t="array" ref="F119">INDEX('起きあがり'!$N$3:$O$115, MATCH($A$1,'起きあがり'!$A$3:$A$115,0), MATCH(F105,'起きあがり'!$N$2:$AD$2,0))</f>
        <v>7</v>
      </c>
      <c r="G119" s="113">
        <f t="shared" si="3"/>
        <v>8.4</v>
      </c>
      <c r="H119" s="228"/>
      <c r="I119" s="228"/>
      <c r="J119" s="111"/>
      <c r="K119" s="312" t="str">
        <f>'テンプレート'!K130</f>
        <v>踏み台ジャンプ</v>
      </c>
      <c r="L119" s="168"/>
      <c r="M119" s="298" t="str">
        <f>'テンプレート'!M130</f>
        <v>全体フレーム</v>
      </c>
      <c r="N119" s="114"/>
      <c r="O119" s="111"/>
      <c r="P119" s="111"/>
      <c r="Q119" s="111"/>
      <c r="R119" s="111"/>
      <c r="S119" s="111"/>
      <c r="T119" s="111"/>
      <c r="U119" s="111"/>
      <c r="V119" s="111"/>
    </row>
    <row r="120" outlineLevel="1">
      <c r="A120" s="299" t="s">
        <v>251</v>
      </c>
      <c r="B120" s="300" t="s">
        <v>248</v>
      </c>
      <c r="C120" s="301"/>
      <c r="D120" s="307" t="str">
        <f t="array" ref="D120">INDEX('起きあがり'!$C$3:$C98, MATCH($A$1,'起きあがり'!$A$3:$A$115,0), MATCH(D105,'起きあがり'!$C$2,0))</f>
        <v>25</v>
      </c>
      <c r="E120" s="301"/>
      <c r="F120" s="301"/>
      <c r="G120" s="301"/>
      <c r="H120" s="228"/>
      <c r="I120" s="228"/>
      <c r="J120" s="117"/>
      <c r="K120" s="313" t="str">
        <f>'テンプレート'!K131</f>
        <v>踏み</v>
      </c>
      <c r="L120" s="314" t="str">
        <f>'テンプレート'!L131</f>
        <v>踏み</v>
      </c>
      <c r="M120" s="113" t="str">
        <f t="array" ref="M120">INDEX('共通動作その他'!$C$3:$C$102, MATCH($A$1,'共通動作その他'!$A$3:$A$102,0), MATCH(M$119,'共通動作その他'!$C$2:$AA$2,0))</f>
        <v>-</v>
      </c>
      <c r="N120" s="315"/>
      <c r="O120" s="111"/>
      <c r="P120" s="111"/>
      <c r="Q120" s="111"/>
      <c r="R120" s="111"/>
      <c r="S120" s="111"/>
      <c r="T120" s="111"/>
      <c r="U120" s="111"/>
      <c r="V120" s="111"/>
    </row>
    <row r="121" outlineLevel="1">
      <c r="A121" s="146"/>
      <c r="B121" s="300" t="s">
        <v>216</v>
      </c>
      <c r="C121" s="307" t="str">
        <f t="array" ref="C121">INDEX('起きあがり'!$P$3:$Q$115, MATCH($A$1,'起きあがり'!$A$3:$A$115,0), MATCH(C105,'起きあがり'!$P$2:$AD$2,0))</f>
        <v>1-22</v>
      </c>
      <c r="D121" s="308">
        <f t="array" ref="D121">INDEX('起きあがり'!$P$3:$Q$115, MATCH($A$1,'起きあがり'!$A$3:$A$115,0), MATCH(D105,'起きあがり'!$P$2:$AD$2,0))</f>
        <v>29</v>
      </c>
      <c r="E121" s="301"/>
      <c r="F121" s="301"/>
      <c r="G121" s="301"/>
      <c r="H121" s="228"/>
      <c r="I121" s="228"/>
      <c r="J121" s="111"/>
      <c r="K121" s="305" t="str">
        <f>'テンプレート'!K132</f>
        <v>踏まれ</v>
      </c>
      <c r="L121" s="314" t="str">
        <f>'テンプレート'!L132</f>
        <v>地上踏まれ</v>
      </c>
      <c r="M121" s="113" t="str">
        <f t="array" ref="M121">INDEX('共通動作その他'!$D$3:$D$102, MATCH($A$1,'共通動作その他'!$A$3:$A$102,0), MATCH(M$119,'共通動作その他'!$D$2:$AA$2,0))</f>
        <v>-</v>
      </c>
      <c r="N121" s="315"/>
      <c r="O121" s="228"/>
      <c r="P121" s="228"/>
      <c r="Q121" s="228"/>
      <c r="R121" s="228"/>
      <c r="S121" s="228"/>
      <c r="T121" s="228"/>
      <c r="U121" s="228"/>
      <c r="V121" s="228"/>
    </row>
    <row r="122" outlineLevel="1">
      <c r="A122" s="146"/>
      <c r="B122" s="300" t="s">
        <v>245</v>
      </c>
      <c r="C122" s="307" t="str">
        <f t="array" ref="C122">INDEX('起きあがり'!$R$3:$S$115, MATCH($A$1,'起きあがり'!$A$3:$A$115,0), MATCH(C105,'起きあがり'!$R$2:$AD$2,0))</f>
        <v>1-19</v>
      </c>
      <c r="D122" s="308">
        <f t="array" ref="D122">INDEX('起きあがり'!$R$3:$S$115, MATCH($A$1,'起きあがり'!$A$3:$A$115,0), MATCH(D105,'起きあがり'!$R$2:$AD$2,0))</f>
        <v>35</v>
      </c>
      <c r="E122" s="301"/>
      <c r="F122" s="301"/>
      <c r="G122" s="301"/>
      <c r="H122" s="228"/>
      <c r="I122" s="228"/>
      <c r="J122" s="117"/>
      <c r="K122" s="146"/>
      <c r="L122" s="314" t="str">
        <f>'テンプレート'!L133</f>
        <v>地上硬直</v>
      </c>
      <c r="M122" s="113" t="str">
        <f t="array" ref="M122">INDEX('共通動作その他'!$E$3:$E$102, MATCH($A$1,'共通動作その他'!$A$3:$A$102,0), MATCH(M$119,'共通動作その他'!$E$2:$AA$2,0))</f>
        <v>-</v>
      </c>
      <c r="N122" s="102"/>
      <c r="O122" s="118"/>
      <c r="P122" s="118"/>
      <c r="Q122" s="118"/>
      <c r="R122" s="118"/>
      <c r="S122" s="118"/>
      <c r="T122" s="118"/>
      <c r="U122" s="118"/>
      <c r="V122" s="118"/>
    </row>
    <row r="123" outlineLevel="1">
      <c r="A123" s="146"/>
      <c r="B123" s="300" t="s">
        <v>246</v>
      </c>
      <c r="C123" s="307" t="str">
        <f t="array" ref="C123">INDEX('起きあがり'!$T$3:$U$115, MATCH($A$1,'起きあがり'!$A$3:$A$115,0), MATCH(C105,'起きあがり'!$T$2:$AD$2,0))</f>
        <v>1-24</v>
      </c>
      <c r="D123" s="308">
        <f t="array" ref="D123">INDEX('起きあがり'!$T$3:$U$115, MATCH($A$1,'起きあがり'!$A$3:$A$115,0), MATCH(D105,'起きあがり'!$T$2:$AD$2,0))</f>
        <v>35</v>
      </c>
      <c r="E123" s="301"/>
      <c r="F123" s="301"/>
      <c r="G123" s="301"/>
      <c r="H123" s="228"/>
      <c r="I123" s="228"/>
      <c r="J123" s="111"/>
      <c r="K123" s="146"/>
      <c r="L123" s="314" t="str">
        <f>'テンプレート'!L134</f>
        <v>空中踏まれ</v>
      </c>
      <c r="M123" s="113" t="str">
        <f t="array" ref="M123">INDEX('共通動作その他'!$F$3:$F$102, MATCH($A$1,'共通動作その他'!$A$3:$A$102,0), MATCH(M$119,'共通動作その他'!$F$2:$AA$2,0))</f>
        <v>-</v>
      </c>
      <c r="N123" s="102"/>
      <c r="O123" s="118"/>
      <c r="P123" s="118"/>
      <c r="Q123" s="118"/>
      <c r="R123" s="118"/>
      <c r="S123" s="118"/>
      <c r="T123" s="118"/>
      <c r="U123" s="118"/>
      <c r="V123" s="118"/>
    </row>
    <row r="124" outlineLevel="1">
      <c r="A124" s="146"/>
      <c r="B124" s="300" t="s">
        <v>249</v>
      </c>
      <c r="C124" s="309" t="str">
        <f t="array" ref="C124">INDEX('起きあがり'!$V$3:$Y$115, MATCH($A$1,'起きあがり'!$A$3:$A$115,0), MATCH(C105,'起きあがり'!$V$2:$AD$2,0))</f>
        <v>1-25</v>
      </c>
      <c r="D124" s="310">
        <f t="array" ref="D124">INDEX('起きあがり'!$V$3:$Y$115, MATCH($A$1,'起きあがり'!$A$3:$A$115,0), MATCH(D105,'起きあがり'!$V$2:$AD$2,0))</f>
        <v>45</v>
      </c>
      <c r="E124" s="307" t="str">
        <f t="array" ref="E124">INDEX('起きあがり'!$V$3:$Y$115, MATCH($A$1,'起きあがり'!$A$3:$A$115,0), MATCH(E105,'起きあがり'!$V$2:$AD$2,0))</f>
        <v>19-20</v>
      </c>
      <c r="F124" s="308">
        <f t="array" ref="F124">INDEX('起きあがり'!$V$3:$Y$115, MATCH($A$1,'起きあがり'!$A$3:$A$115,0), MATCH(F105,'起きあがり'!$V$2:$AD$2,0))</f>
        <v>7</v>
      </c>
      <c r="G124" s="113">
        <f t="shared" ref="G124:G125" si="4">F124*1.2</f>
        <v>8.4</v>
      </c>
      <c r="H124" s="228"/>
      <c r="I124" s="228"/>
      <c r="J124" s="117"/>
      <c r="K124" s="146"/>
      <c r="L124" s="314" t="str">
        <f>'テンプレート'!L135</f>
        <v>空中落下</v>
      </c>
      <c r="M124" s="113" t="str">
        <f t="array" ref="M124">INDEX('共通動作その他'!$G$3:$G$102, MATCH($A$1,'共通動作その他'!$A$3:$A$102,0), MATCH(M$119,'共通動作その他'!$G$2:$AA$2,0))</f>
        <v>-</v>
      </c>
      <c r="N124" s="102"/>
      <c r="O124" s="118"/>
      <c r="P124" s="118"/>
      <c r="Q124" s="118"/>
      <c r="R124" s="118"/>
      <c r="S124" s="118"/>
      <c r="T124" s="118"/>
      <c r="U124" s="118"/>
      <c r="V124" s="118"/>
    </row>
    <row r="125" outlineLevel="1">
      <c r="A125" s="156"/>
      <c r="B125" s="311" t="s">
        <v>250</v>
      </c>
      <c r="C125" s="156"/>
      <c r="D125" s="156"/>
      <c r="E125" s="307" t="str">
        <f t="array" ref="E125">INDEX('起きあがり'!$Z$3:$AA$115, MATCH($A$1,'起きあがり'!$A$3:$A$115,0), MATCH(E105,'起きあがり'!$Z$2:$AD$2,0))</f>
        <v>24-25</v>
      </c>
      <c r="F125" s="308">
        <f t="array" ref="F125">INDEX('起きあがり'!$Z$3:$AA$115, MATCH($A$1,'起きあがり'!$A$3:$A$115,0), MATCH(F105,'起きあがり'!$Z$2:$AD$2,0))</f>
        <v>7</v>
      </c>
      <c r="G125" s="113">
        <f t="shared" si="4"/>
        <v>8.4</v>
      </c>
      <c r="H125" s="228"/>
      <c r="I125" s="228"/>
      <c r="J125" s="117"/>
      <c r="K125" s="304" t="str">
        <f>'テンプレート'!K136</f>
        <v>倒れダメージ</v>
      </c>
      <c r="L125" s="110"/>
      <c r="M125" s="298" t="str">
        <f>'テンプレート'!M136</f>
        <v>全体フレーム</v>
      </c>
      <c r="N125" s="102"/>
      <c r="O125" s="118"/>
      <c r="P125" s="118"/>
      <c r="Q125" s="118"/>
      <c r="R125" s="118"/>
      <c r="S125" s="118"/>
      <c r="T125" s="118"/>
      <c r="U125" s="118"/>
      <c r="V125" s="118"/>
    </row>
    <row r="126" outlineLevel="1">
      <c r="A126" s="299" t="s">
        <v>252</v>
      </c>
      <c r="B126" s="300" t="s">
        <v>253</v>
      </c>
      <c r="C126" s="307" t="str">
        <f t="array" ref="C126">INDEX('転倒'!$C$3:$D98, MATCH($A$1,'転倒'!$A$3:$A$115,0), MATCH(C105,'転倒'!$C$2:$AC$2,0))</f>
        <v>1-5</v>
      </c>
      <c r="D126" s="308">
        <f t="array" ref="D126">INDEX('転倒'!$C$3:$D98, MATCH($A$1,'転倒'!$A$3:$A$115,0), MATCH(D105,'転倒'!$C$2:$AC$2,0))</f>
        <v>29</v>
      </c>
      <c r="E126" s="301"/>
      <c r="F126" s="301"/>
      <c r="G126" s="301"/>
      <c r="H126" s="228"/>
      <c r="I126" s="228"/>
      <c r="J126" s="111"/>
      <c r="K126" s="313" t="str">
        <f>'テンプレート'!K137</f>
        <v>あお向け倒れ</v>
      </c>
      <c r="L126" s="306" t="str">
        <f>'テンプレート'!L137</f>
        <v>モーション大</v>
      </c>
      <c r="M126" s="113" t="str">
        <f t="array" ref="M126">INDEX('共通動作その他'!$H$3:$H$102, MATCH($A$1,'共通動作その他'!$A$3:$A$102,0), MATCH(M$125,'共通動作その他'!$H$2:$AA$2,0))</f>
        <v>-</v>
      </c>
      <c r="N126" s="315"/>
      <c r="O126" s="118"/>
      <c r="P126" s="118"/>
      <c r="Q126" s="118"/>
      <c r="R126" s="118"/>
      <c r="S126" s="118"/>
      <c r="T126" s="118"/>
      <c r="U126" s="118"/>
      <c r="V126" s="118"/>
    </row>
    <row r="127" outlineLevel="1">
      <c r="A127" s="146"/>
      <c r="B127" s="300" t="s">
        <v>254</v>
      </c>
      <c r="C127" s="307" t="str">
        <f t="array" ref="C127">INDEX('転倒'!$E$3:$F98, MATCH($A$1,'転倒'!$A$3:$A$115,0), MATCH(C105,'転倒'!$E$2:$AC$2,0))</f>
        <v>1-5</v>
      </c>
      <c r="D127" s="308">
        <f t="array" ref="D127">INDEX('転倒'!$E$3:$F98, MATCH($A$1,'転倒'!$A$3:$A$115,0), MATCH(D105,'転倒'!$E$2:$AC$2,0))</f>
        <v>39</v>
      </c>
      <c r="E127" s="301"/>
      <c r="F127" s="301"/>
      <c r="G127" s="301"/>
      <c r="H127" s="228"/>
      <c r="I127" s="228"/>
      <c r="J127" s="117"/>
      <c r="K127" s="313" t="str">
        <f>'テンプレート'!K138</f>
        <v>うつ伏せ倒れ</v>
      </c>
      <c r="L127" s="306" t="str">
        <f>'テンプレート'!L138</f>
        <v>モーション大</v>
      </c>
      <c r="M127" s="113" t="str">
        <f t="array" ref="M127">INDEX('共通動作その他'!$I$3:$I$102, MATCH($A$1,'共通動作その他'!$A$3:$A$102,0), MATCH(M$125,'共通動作その他'!$I$2:$AA$2,0))</f>
        <v>-</v>
      </c>
      <c r="N127" s="315"/>
      <c r="O127" s="118"/>
      <c r="P127" s="118"/>
      <c r="Q127" s="118"/>
      <c r="R127" s="118"/>
      <c r="S127" s="118"/>
      <c r="T127" s="118"/>
      <c r="U127" s="118"/>
      <c r="V127" s="118"/>
    </row>
    <row r="128" outlineLevel="1">
      <c r="A128" s="146"/>
      <c r="B128" s="300" t="s">
        <v>216</v>
      </c>
      <c r="C128" s="307" t="str">
        <f t="array" ref="C128">INDEX('転倒'!$G$3:$H$115, MATCH($A$1,'転倒'!$A$3:$A$115,0), MATCH(C105,'転倒'!$G$2:$AC$2,0))</f>
        <v>1-16</v>
      </c>
      <c r="D128" s="308">
        <f t="array" ref="D128">INDEX('転倒'!$G$3:$H$115, MATCH($A$1,'転倒'!$A$3:$A$115,0), MATCH(D105,'転倒'!$G$2:$AC$2,0))</f>
        <v>21</v>
      </c>
      <c r="E128" s="301"/>
      <c r="F128" s="301"/>
      <c r="G128" s="301"/>
      <c r="H128" s="228"/>
      <c r="I128" s="228"/>
      <c r="J128" s="111"/>
      <c r="K128" s="304" t="str">
        <f>'テンプレート'!K139</f>
        <v/>
      </c>
      <c r="L128" s="110"/>
      <c r="M128" s="298" t="str">
        <f>'テンプレート'!M139</f>
        <v/>
      </c>
      <c r="N128" s="102"/>
      <c r="O128" s="118"/>
      <c r="P128" s="118"/>
      <c r="Q128" s="118"/>
      <c r="R128" s="118"/>
      <c r="S128" s="118"/>
      <c r="T128" s="118"/>
      <c r="U128" s="118"/>
      <c r="V128" s="118"/>
    </row>
    <row r="129" outlineLevel="1">
      <c r="A129" s="146"/>
      <c r="B129" s="300" t="s">
        <v>245</v>
      </c>
      <c r="C129" s="307" t="str">
        <f t="array" ref="C129">INDEX('転倒'!$I$3:$J$115, MATCH($A$1,'転倒'!$A$3:$A$115,0), MATCH(C105,'転倒'!$I$2:$AC$2,0))</f>
        <v>1-9</v>
      </c>
      <c r="D129" s="308">
        <f t="array" ref="D129">INDEX('転倒'!$I$3:$J$115, MATCH($A$1,'転倒'!$A$3:$A$115,0), MATCH(D105,'転倒'!$I$2:$AC$2,0))</f>
        <v>28</v>
      </c>
      <c r="E129" s="301"/>
      <c r="F129" s="301"/>
      <c r="G129" s="301"/>
      <c r="H129" s="228"/>
      <c r="I129" s="228"/>
      <c r="J129" s="228"/>
      <c r="K129" s="316" t="str">
        <f>'テンプレート'!K140</f>
        <v/>
      </c>
      <c r="L129" s="317" t="str">
        <f>'テンプレート'!L140</f>
        <v/>
      </c>
      <c r="M129" s="113" t="str">
        <f t="array" ref="M129">INDEX('共通動作その他'!$J$3:$J$102, MATCH($A$1,'共通動作その他'!$A$3:$A$102,0), MATCH(M$128,'共通動作その他'!$J$2:$AA$2,0))</f>
        <v>#N/A</v>
      </c>
      <c r="N129" s="102"/>
      <c r="O129" s="118"/>
      <c r="P129" s="118"/>
      <c r="Q129" s="118"/>
      <c r="R129" s="118"/>
      <c r="S129" s="118"/>
      <c r="T129" s="118"/>
      <c r="U129" s="118"/>
      <c r="V129" s="118"/>
    </row>
    <row r="130" outlineLevel="1">
      <c r="A130" s="146"/>
      <c r="B130" s="300" t="s">
        <v>246</v>
      </c>
      <c r="C130" s="307" t="str">
        <f t="array" ref="C130">INDEX('転倒'!$K$3:$L$115, MATCH($A$1,'転倒'!$A$3:$A$115,0), MATCH(C105,'転倒'!$K$2:$AC$2,0))</f>
        <v>1-9</v>
      </c>
      <c r="D130" s="308">
        <f t="array" ref="D130">INDEX('転倒'!$K$3:$L$115, MATCH($A$1,'転倒'!$A$3:$A$115,0), MATCH(D105,'転倒'!$K$2:$AC$2,0))</f>
        <v>28</v>
      </c>
      <c r="E130" s="301"/>
      <c r="F130" s="301"/>
      <c r="G130" s="301"/>
      <c r="H130" s="228"/>
      <c r="I130" s="228"/>
      <c r="J130" s="228"/>
      <c r="K130" s="102"/>
      <c r="L130" s="118"/>
      <c r="M130" s="118"/>
      <c r="N130" s="102"/>
      <c r="O130" s="118"/>
      <c r="P130" s="118"/>
      <c r="Q130" s="118"/>
      <c r="R130" s="118"/>
      <c r="S130" s="118"/>
      <c r="T130" s="118"/>
      <c r="U130" s="118"/>
      <c r="V130" s="118"/>
    </row>
    <row r="131" outlineLevel="1">
      <c r="A131" s="146"/>
      <c r="B131" s="300" t="s">
        <v>249</v>
      </c>
      <c r="C131" s="309" t="str">
        <f t="array" ref="C131">INDEX('転倒'!$M$3:$P$115, MATCH($A$1,'転倒'!$A$3:$A$115,0), MATCH(C105,'転倒'!$M$2:$AC$2,0))</f>
        <v>1-7</v>
      </c>
      <c r="D131" s="310">
        <f t="array" ref="D131">INDEX('転倒'!$M$3:$P$115, MATCH($A$1,'転倒'!$A$3:$A$115,0), MATCH(D105,'転倒'!$M$2:$AC$2,0))</f>
        <v>49</v>
      </c>
      <c r="E131" s="307" t="str">
        <f t="array" ref="E131">INDEX('転倒'!$M$3:$P$115, MATCH($A$1,'転倒'!$A$3:$A$115,0), MATCH(E105,'転倒'!$M$2:$AC$2,0))</f>
        <v>19-20</v>
      </c>
      <c r="F131" s="308">
        <f t="array" ref="F131">INDEX('転倒'!$M$3:$P$115, MATCH($A$1,'転倒'!$A$3:$A$115,0), MATCH(F105,'転倒'!$M$2:$AC$2,0))</f>
        <v>5</v>
      </c>
      <c r="G131" s="113">
        <f t="shared" ref="G131:G132" si="5">F131*1.2</f>
        <v>6</v>
      </c>
      <c r="H131" s="228"/>
      <c r="I131" s="228"/>
      <c r="J131" s="228"/>
      <c r="K131" s="118"/>
      <c r="L131" s="118"/>
      <c r="M131" s="118"/>
      <c r="N131" s="102"/>
      <c r="O131" s="102"/>
      <c r="P131" s="102"/>
      <c r="Q131" s="102"/>
      <c r="R131" s="118"/>
      <c r="S131" s="118"/>
      <c r="T131" s="118"/>
      <c r="U131" s="118"/>
      <c r="V131" s="118"/>
    </row>
    <row r="132" outlineLevel="1">
      <c r="A132" s="156"/>
      <c r="B132" s="311" t="s">
        <v>250</v>
      </c>
      <c r="C132" s="156"/>
      <c r="D132" s="156"/>
      <c r="E132" s="307" t="str">
        <f t="array" ref="E132">INDEX('転倒'!$Q$3:$R$115, MATCH($A$1,'転倒'!$A$3:$A$115,0), MATCH(E105,'転倒'!$Q$2:$AC$2,0))</f>
        <v>31-32</v>
      </c>
      <c r="F132" s="308">
        <f t="array" ref="F132">INDEX('転倒'!$Q$3:$R$115, MATCH($A$1,'転倒'!$A$3:$A$115,0), MATCH(F105,'転倒'!$Q$2:$AC$2,0))</f>
        <v>5</v>
      </c>
      <c r="G132" s="113">
        <f t="shared" si="5"/>
        <v>6</v>
      </c>
      <c r="H132" s="228"/>
      <c r="I132" s="228"/>
      <c r="J132" s="228"/>
      <c r="K132" s="118"/>
      <c r="L132" s="118"/>
      <c r="M132" s="118"/>
      <c r="N132" s="102"/>
      <c r="O132" s="102"/>
      <c r="P132" s="102"/>
      <c r="Q132" s="102"/>
      <c r="R132" s="118"/>
      <c r="S132" s="118"/>
      <c r="T132" s="118"/>
      <c r="U132" s="118"/>
      <c r="V132" s="118"/>
    </row>
    <row r="133" outlineLevel="1">
      <c r="A133" s="319"/>
      <c r="B133" s="320"/>
      <c r="C133" s="321"/>
      <c r="D133" s="321"/>
      <c r="E133" s="322"/>
      <c r="F133" s="322"/>
      <c r="G133" s="114"/>
      <c r="H133" s="228"/>
      <c r="I133" s="228"/>
      <c r="J133" s="228"/>
      <c r="K133" s="118"/>
      <c r="L133" s="118"/>
      <c r="M133" s="118"/>
      <c r="N133" s="102"/>
      <c r="O133" s="102"/>
      <c r="P133" s="102"/>
      <c r="Q133" s="102"/>
      <c r="R133" s="118"/>
      <c r="S133" s="118"/>
      <c r="T133" s="118"/>
      <c r="U133" s="118"/>
      <c r="V133" s="118"/>
    </row>
    <row r="134" outlineLevel="1">
      <c r="A134" s="323" t="s">
        <v>255</v>
      </c>
      <c r="B134" s="109"/>
      <c r="C134" s="321"/>
      <c r="D134" s="321"/>
      <c r="E134" s="322"/>
      <c r="F134" s="322"/>
      <c r="G134" s="114"/>
      <c r="H134" s="228"/>
      <c r="I134" s="228"/>
      <c r="J134" s="228"/>
      <c r="K134" s="118"/>
      <c r="L134" s="118"/>
      <c r="M134" s="118"/>
      <c r="N134" s="102"/>
      <c r="O134" s="102"/>
      <c r="P134" s="102"/>
      <c r="Q134" s="102"/>
      <c r="R134" s="118"/>
      <c r="S134" s="118"/>
      <c r="T134" s="118"/>
      <c r="U134" s="118"/>
      <c r="V134" s="118"/>
    </row>
    <row r="135" outlineLevel="1">
      <c r="A135" s="324" t="s">
        <v>256</v>
      </c>
      <c r="B135" s="109"/>
      <c r="C135" s="325" t="s">
        <v>257</v>
      </c>
      <c r="D135" s="325" t="s">
        <v>49</v>
      </c>
      <c r="E135" s="322"/>
      <c r="F135" s="322"/>
      <c r="G135" s="114"/>
      <c r="H135" s="228"/>
      <c r="I135" s="228"/>
      <c r="J135" s="228"/>
      <c r="K135" s="118"/>
      <c r="L135" s="118"/>
      <c r="M135" s="118"/>
      <c r="N135" s="102"/>
      <c r="O135" s="102"/>
      <c r="P135" s="102"/>
      <c r="Q135" s="102"/>
      <c r="R135" s="118"/>
      <c r="S135" s="118"/>
      <c r="T135" s="118"/>
      <c r="U135" s="118"/>
      <c r="V135" s="118"/>
    </row>
    <row r="136" outlineLevel="1">
      <c r="A136" s="326" t="s">
        <v>258</v>
      </c>
      <c r="B136" s="327" t="s">
        <v>216</v>
      </c>
      <c r="C136" s="328" t="str">
        <f t="array" ref="C136">INDEX('アイテム'!$C$3:$D$114, MATCH($A$1,'アイテム'!$A$3:$A$114,0), MATCH(C135,'アイテム'!$C$2:$AQ$2,0))</f>
        <v>2</v>
      </c>
      <c r="D136" s="328">
        <f t="array" ref="D136">INDEX('アイテム'!$C$3:$D$114, MATCH($A$1,'アイテム'!$A$3:$A$114,0), MATCH(D135,'アイテム'!$C$2:$AQ$2,0))</f>
        <v>7</v>
      </c>
      <c r="E136" s="322"/>
      <c r="F136" s="322"/>
      <c r="G136" s="114"/>
      <c r="H136" s="228"/>
      <c r="I136" s="228"/>
      <c r="J136" s="228"/>
      <c r="K136" s="118"/>
      <c r="L136" s="118"/>
      <c r="M136" s="118"/>
      <c r="N136" s="102"/>
      <c r="O136" s="102"/>
      <c r="P136" s="102"/>
      <c r="Q136" s="102"/>
      <c r="R136" s="118"/>
      <c r="S136" s="118"/>
      <c r="T136" s="118"/>
      <c r="U136" s="118"/>
      <c r="V136" s="118"/>
    </row>
    <row r="137" outlineLevel="1">
      <c r="A137" s="156"/>
      <c r="B137" s="327" t="s">
        <v>219</v>
      </c>
      <c r="C137" s="328" t="str">
        <f t="array" ref="C137">INDEX('アイテム'!$E$3:$F$114, MATCH($A$1,'アイテム'!$A$3:$A$114,0), MATCH(C135,'アイテム'!$C$2:$AQ$2,0))</f>
        <v>2</v>
      </c>
      <c r="D137" s="328">
        <f t="array" ref="D137">INDEX('アイテム'!$E$3:$F$114, MATCH($A$1,'アイテム'!$A$3:$A$114,0), MATCH(D135,'アイテム'!$C$2:$AQ$2,0))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329" t="s">
        <v>259</v>
      </c>
      <c r="B138" s="327" t="s">
        <v>216</v>
      </c>
      <c r="C138" s="328">
        <f t="array" ref="C138">INDEX('アイテム'!$AA$3:$AB$114, MATCH($A$1,'アイテム'!$A$3:$A$114,0), MATCH(C135,'アイテム'!$C$2:$AQ$2,0))</f>
        <v>3</v>
      </c>
      <c r="D138" s="328" t="str">
        <f t="array" ref="D138">INDEX('アイテム'!$AA$3:$AB$114, MATCH($A$1,'アイテム'!$A$3:$A$114,0), MATCH(D135,'アイテム'!$C$2:$AQ$2,0))</f>
        <v>12</v>
      </c>
      <c r="E138" s="322"/>
      <c r="F138" s="322"/>
      <c r="G138" s="114"/>
      <c r="H138" s="228"/>
      <c r="I138" s="228"/>
      <c r="J138" s="228"/>
      <c r="K138" s="118"/>
      <c r="L138" s="118"/>
      <c r="M138" s="118"/>
      <c r="N138" s="102"/>
      <c r="O138" s="102"/>
      <c r="P138" s="102"/>
      <c r="Q138" s="102"/>
      <c r="R138" s="118"/>
      <c r="S138" s="118"/>
      <c r="T138" s="118"/>
      <c r="U138" s="118"/>
      <c r="V138" s="118"/>
    </row>
    <row r="139" outlineLevel="1">
      <c r="A139" s="324" t="s">
        <v>260</v>
      </c>
      <c r="B139" s="109"/>
      <c r="C139" s="325" t="s">
        <v>261</v>
      </c>
      <c r="D139" s="325" t="s">
        <v>49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262</v>
      </c>
      <c r="B140" s="327" t="s">
        <v>226</v>
      </c>
      <c r="C140" s="328" t="str">
        <f t="array" ref="C140">INDEX('アイテム'!$G$3:$H$114, MATCH($A$1,'アイテム'!$A$3:$A$114,0), MATCH(C135,'アイテム'!$C$2:$AQ$2,0))</f>
        <v>8</v>
      </c>
      <c r="D140" s="328">
        <f t="array" ref="D140">INDEX('アイテム'!$G$3:$H$114, MATCH($A$1,'アイテム'!$A$3:$A$114,0), MATCH(D135,'アイテム'!$C$2:$AQ$2,0))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INDEX('アイテム'!$I$3:$J$114, MATCH($A$1,'アイテム'!$A$3:$A$114,0), MATCH(C135,'アイテム'!$C$2:$AQ$2,0))</f>
        <v>9</v>
      </c>
      <c r="D141" s="328">
        <f t="array" ref="D141">INDEX('アイテム'!$I$3:$J$114, MATCH($A$1,'アイテム'!$A$3:$A$114,0), MATCH(D135,'アイテム'!$C$2:$AQ$2,0))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INDEX('アイテム'!$K$3:$L$114, MATCH($A$1,'アイテム'!$A$3:$A$114,0), MATCH(C135,'アイテム'!$C$2:$AQ$2,0))</f>
        <v>11</v>
      </c>
      <c r="D142" s="328">
        <f t="array" ref="D142">INDEX('アイテム'!$K$3:$L$114, MATCH($A$1,'アイテム'!$A$3:$A$114,0), MATCH(D135,'アイテム'!$C$2:$AQ$2,0))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234</v>
      </c>
      <c r="C143" s="328" t="str">
        <f t="array" ref="C143">INDEX('アイテム'!$M$3:$N$114, MATCH($A$1,'アイテム'!$A$3:$A$114,0), MATCH(C135,'アイテム'!$C$2:$AQ$2,0))</f>
        <v>6</v>
      </c>
      <c r="D143" s="328">
        <f t="array" ref="D143">INDEX('アイテム'!$M$3:$N$114, MATCH($A$1,'アイテム'!$A$3:$A$114,0), MATCH(D135,'アイテム'!$C$2:$AQ$2,0))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219</v>
      </c>
      <c r="C144" s="328" t="str">
        <f t="array" ref="C144">INDEX('アイテム'!$O$3:$P$114, MATCH($A$1,'アイテム'!$A$3:$A$114,0), MATCH(C135,'アイテム'!$C$2:$AQ$2,0))</f>
        <v>4</v>
      </c>
      <c r="D144" s="328">
        <f t="array" ref="D144">INDEX('アイテム'!$O$3:$P$114, MATCH($A$1,'アイテム'!$A$3:$A$114,0), MATCH(D135,'アイテム'!$C$2:$AQ$2,0))</f>
        <v>29</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263</v>
      </c>
      <c r="C145" s="328" t="str">
        <f t="array" ref="C145">INDEX('アイテム'!$Q$3:$R$114, MATCH($A$1,'アイテム'!$A$3:$A$114,0), MATCH(C135,'アイテム'!$C$2:$AQ$2,0))</f>
        <v>5</v>
      </c>
      <c r="D145" s="328">
        <f t="array" ref="D145">INDEX('アイテム'!$Q$3:$R$114, MATCH($A$1,'アイテム'!$A$3:$A$114,0), MATCH(D135,'アイテム'!$C$2:$AQ$2,0))</f>
        <v>23</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264</v>
      </c>
      <c r="B146" s="327" t="s">
        <v>226</v>
      </c>
      <c r="C146" s="328" t="str">
        <f t="array" ref="C146">INDEX('アイテム'!$S$3:$T$114, MATCH($A$1,'アイテム'!$A$3:$A$114,0), MATCH(C135,'アイテム'!$C$2:$AQ$2,0))</f>
        <v>8</v>
      </c>
      <c r="D146" s="328">
        <f t="array" ref="D146">INDEX('アイテム'!$S$3:$T$114, MATCH($A$1,'アイテム'!$A$3:$A$114,0), MATCH(D135,'アイテム'!$C$2:$AQ$2,0))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229</v>
      </c>
      <c r="C147" s="328" t="str">
        <f t="array" ref="C147">INDEX('アイテム'!$U$3:$V$114, MATCH($A$1,'アイテム'!$A$3:$A$114,0), MATCH(C135,'アイテム'!$C$2:$AQ$2,0))</f>
        <v>9</v>
      </c>
      <c r="D147" s="328">
        <f t="array" ref="D147">INDEX('アイテム'!$U$3:$V$114, MATCH($A$1,'アイテム'!$A$3:$A$114,0), MATCH(D135,'アイテム'!$C$2:$AQ$2,0))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233</v>
      </c>
      <c r="C148" s="328" t="str">
        <f t="array" ref="C148">INDEX('アイテム'!$W$3:$X$114, MATCH($A$1,'アイテム'!$A$3:$A$114,0), MATCH(C135,'アイテム'!$C$2:$AQ$2,0))</f>
        <v>11</v>
      </c>
      <c r="D148" s="328">
        <f t="array" ref="D148">INDEX('アイテム'!$W$3:$X$114, MATCH($A$1,'アイテム'!$A$3:$A$114,0), MATCH(D135,'アイテム'!$C$2:$AQ$2,0))</f>
        <v>23</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234</v>
      </c>
      <c r="C149" s="328" t="str">
        <f t="array" ref="C149">INDEX('アイテム'!$Y$3:$Z$114, MATCH($A$1,'アイテム'!$A$3:$A$114,0), MATCH(C135,'アイテム'!$C$2:$AQ$2,0))</f>
        <v>6</v>
      </c>
      <c r="D149" s="328">
        <f t="array" ref="D149">INDEX('アイテム'!$Y$3:$Z$114, MATCH($A$1,'アイテム'!$A$3:$A$114,0), MATCH(D135,'アイテム'!$C$2:$AQ$2,0))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326" t="s">
        <v>265</v>
      </c>
      <c r="B150" s="327" t="s">
        <v>226</v>
      </c>
      <c r="C150" s="328">
        <f t="array" ref="C150">INDEX('アイテム'!$AC$3:$AD$114, MATCH($A$1,'アイテム'!$A$3:$A$114,0), MATCH(C135,'アイテム'!$C$2:$AQ$2,0))</f>
        <v>14</v>
      </c>
      <c r="D150" s="328" t="str">
        <f t="array" ref="D150">INDEX('アイテム'!$AC$3:$AD$114, MATCH($A$1,'アイテム'!$A$3:$A$114,0), MATCH(D135,'アイテム'!$C$2:$AQ$2,0))</f>
        <v>30</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229</v>
      </c>
      <c r="C151" s="328">
        <f t="array" ref="C151">INDEX('アイテム'!$AE$3:$AF$114, MATCH($A$1,'アイテム'!$A$3:$A$114,0), MATCH(C135,'アイテム'!$C$2:$AQ$2,0))</f>
        <v>14</v>
      </c>
      <c r="D151" s="328" t="str">
        <f t="array" ref="D151">INDEX('アイテム'!$AE$3:$AF$114, MATCH($A$1,'アイテム'!$A$3:$A$114,0), MATCH(D135,'アイテム'!$C$2:$AQ$2,0))</f>
        <v>30</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233</v>
      </c>
      <c r="C152" s="328">
        <f t="array" ref="C152">INDEX('アイテム'!$AG$3:$AH$114, MATCH($A$1,'アイテム'!$A$3:$A$114,0), MATCH(C135,'アイテム'!$C$2:$AQ$2,0))</f>
        <v>11</v>
      </c>
      <c r="D152" s="328" t="str">
        <f t="array" ref="D152">INDEX('アイテム'!$AG$3:$AH$114, MATCH($A$1,'アイテム'!$A$3:$A$114,0), MATCH(D135,'アイテム'!$C$2:$AQ$2,0))</f>
        <v>22</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234</v>
      </c>
      <c r="C153" s="328">
        <f t="array" ref="C153">INDEX('アイテム'!$AI$3:$AJ$114, MATCH($A$1,'アイテム'!$A$3:$A$114,0), MATCH(C135,'アイテム'!$C$2:$AQ$2,0))</f>
        <v>10</v>
      </c>
      <c r="D153" s="328" t="str">
        <f t="array" ref="D153">INDEX('アイテム'!$AI$3:$AJ$114, MATCH($A$1,'アイテム'!$A$3:$A$114,0), MATCH(D135,'アイテム'!$C$2:$AQ$2,0))</f>
        <v>22</v>
      </c>
      <c r="E153" s="322"/>
      <c r="F153" s="322"/>
      <c r="G153" s="114"/>
      <c r="H153" s="228"/>
      <c r="I153" s="228"/>
      <c r="J153" s="228"/>
      <c r="K153" s="118"/>
      <c r="L153" s="118"/>
      <c r="M153" s="118"/>
      <c r="N153" s="102"/>
      <c r="O153" s="102"/>
      <c r="P153" s="102"/>
      <c r="Q153" s="102"/>
      <c r="R153" s="118"/>
      <c r="S153" s="118"/>
      <c r="T153" s="118"/>
      <c r="U153" s="118"/>
      <c r="V153" s="118"/>
    </row>
  </sheetData>
  <mergeCells count="118">
    <mergeCell ref="H53:J53"/>
    <mergeCell ref="H54:J57"/>
    <mergeCell ref="R48:V48"/>
    <mergeCell ref="R49:V49"/>
    <mergeCell ref="R50:V50"/>
    <mergeCell ref="A52:B52"/>
    <mergeCell ref="A53:B53"/>
    <mergeCell ref="A54:A57"/>
    <mergeCell ref="D54:D56"/>
    <mergeCell ref="U59:U71"/>
    <mergeCell ref="V59:V71"/>
    <mergeCell ref="U54:U57"/>
    <mergeCell ref="V54:V57"/>
    <mergeCell ref="A58:B58"/>
    <mergeCell ref="H58:J58"/>
    <mergeCell ref="D59:D60"/>
    <mergeCell ref="H59:J71"/>
    <mergeCell ref="D61:D71"/>
    <mergeCell ref="H73:J74"/>
    <mergeCell ref="H75:J75"/>
    <mergeCell ref="A76:A78"/>
    <mergeCell ref="D76:D78"/>
    <mergeCell ref="H76:J78"/>
    <mergeCell ref="A59:A71"/>
    <mergeCell ref="A72:B72"/>
    <mergeCell ref="H72:J72"/>
    <mergeCell ref="A73:A74"/>
    <mergeCell ref="U73:U74"/>
    <mergeCell ref="V73:V74"/>
    <mergeCell ref="A75:B75"/>
    <mergeCell ref="G86:J86"/>
    <mergeCell ref="G87:J88"/>
    <mergeCell ref="A89:A90"/>
    <mergeCell ref="D89:D90"/>
    <mergeCell ref="G89:J90"/>
    <mergeCell ref="D91:D92"/>
    <mergeCell ref="G91:J92"/>
    <mergeCell ref="G93:J94"/>
    <mergeCell ref="K106:K107"/>
    <mergeCell ref="K108:L108"/>
    <mergeCell ref="K109:K114"/>
    <mergeCell ref="K115:K118"/>
    <mergeCell ref="K119:L119"/>
    <mergeCell ref="K121:K124"/>
    <mergeCell ref="K125:L125"/>
    <mergeCell ref="K128:L128"/>
    <mergeCell ref="A91:A92"/>
    <mergeCell ref="A93:A94"/>
    <mergeCell ref="D93:D94"/>
    <mergeCell ref="A96:B97"/>
    <mergeCell ref="A98:A100"/>
    <mergeCell ref="A104:B105"/>
    <mergeCell ref="K105:L105"/>
    <mergeCell ref="C124:C125"/>
    <mergeCell ref="D124:D125"/>
    <mergeCell ref="C118:C119"/>
    <mergeCell ref="C131:C132"/>
    <mergeCell ref="A126:A132"/>
    <mergeCell ref="A134:B134"/>
    <mergeCell ref="A135:B135"/>
    <mergeCell ref="A136:A137"/>
    <mergeCell ref="A139:B139"/>
    <mergeCell ref="A140:A145"/>
    <mergeCell ref="A146:A149"/>
    <mergeCell ref="A150:A153"/>
    <mergeCell ref="A101:A102"/>
    <mergeCell ref="A106:A110"/>
    <mergeCell ref="A111:A113"/>
    <mergeCell ref="A114:A119"/>
    <mergeCell ref="D118:D119"/>
    <mergeCell ref="A120:A125"/>
    <mergeCell ref="D131:D132"/>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E24:F24"/>
    <mergeCell ref="A30:B31"/>
    <mergeCell ref="H31:J31"/>
    <mergeCell ref="A32:A33"/>
    <mergeCell ref="H32:J32"/>
    <mergeCell ref="H33:J33"/>
    <mergeCell ref="H34:J34"/>
    <mergeCell ref="H35:J35"/>
    <mergeCell ref="A36:A37"/>
    <mergeCell ref="D36:D37"/>
    <mergeCell ref="H36:J37"/>
    <mergeCell ref="U36:U37"/>
    <mergeCell ref="H38:J38"/>
    <mergeCell ref="A40:A41"/>
    <mergeCell ref="D40:D41"/>
    <mergeCell ref="U40:U41"/>
    <mergeCell ref="H39:J39"/>
    <mergeCell ref="H40:J41"/>
    <mergeCell ref="H42:J42"/>
    <mergeCell ref="A44:B45"/>
    <mergeCell ref="R45:V45"/>
    <mergeCell ref="R46:V46"/>
    <mergeCell ref="R47:V47"/>
    <mergeCell ref="U76:U78"/>
    <mergeCell ref="V76:V78"/>
    <mergeCell ref="A80:B81"/>
    <mergeCell ref="A83:A85"/>
    <mergeCell ref="A86:B86"/>
    <mergeCell ref="A87:A88"/>
    <mergeCell ref="D87:D88"/>
  </mergeCells>
  <conditionalFormatting sqref="K1:K15 K17:K86 K95:K129">
    <cfRule type="containsText" dxfId="0" priority="1" operator="containsText" text="361">
      <formula>NOT(ISERROR(SEARCH(("361"),(K1))))</formula>
    </cfRule>
  </conditionalFormatting>
  <conditionalFormatting sqref="K1:K15 K17:K86 K95:K129">
    <cfRule type="containsText" dxfId="1" priority="2" operator="containsText" text="363">
      <formula>NOT(ISERROR(SEARCH(("363"),(K1))))</formula>
    </cfRule>
  </conditionalFormatting>
  <conditionalFormatting sqref="K1:K15 K17:K86 K95:K129">
    <cfRule type="containsText" dxfId="1" priority="3" operator="containsText" text="365">
      <formula>NOT(ISERROR(SEARCH(("365"),(K1))))</formula>
    </cfRule>
  </conditionalFormatting>
  <conditionalFormatting sqref="K1:K15 K17:K86 K95:K129">
    <cfRule type="containsText" dxfId="1" priority="4" operator="containsText" text="366">
      <formula>NOT(ISERROR(SEARCH(("366"),(K1))))</formula>
    </cfRule>
  </conditionalFormatting>
  <conditionalFormatting sqref="K1:K15 K17:K86 K95:K129">
    <cfRule type="containsText" dxfId="1" priority="5" operator="containsText" text="367">
      <formula>NOT(ISERROR(SEARCH(("367"),(K1))))</formula>
    </cfRule>
  </conditionalFormatting>
  <conditionalFormatting sqref="O87:O94">
    <cfRule type="cellIs" dxfId="2" priority="6" operator="equal">
      <formula>"敵のみ"</formula>
    </cfRule>
  </conditionalFormatting>
  <conditionalFormatting sqref="C87:C94">
    <cfRule type="cellIs" dxfId="3" priority="7" operator="equal">
      <formula>"-"</formula>
    </cfRule>
  </conditionalFormatting>
  <conditionalFormatting sqref="O1:O86 N87:N94 C89 E89:F89 K89:M89 O89:P89 C93 E93:F93 K93:M93 O93:O153 P93">
    <cfRule type="cellIs" dxfId="4" priority="8" operator="greaterThan">
      <formula>0</formula>
    </cfRule>
  </conditionalFormatting>
  <conditionalFormatting sqref="P1:P153 Q1:Q86 O87:O94 Q95:Q153">
    <cfRule type="cellIs" dxfId="5" priority="9" operator="lessThan">
      <formula>1</formula>
    </cfRule>
  </conditionalFormatting>
  <conditionalFormatting sqref="P1:P153 Q1:Q86 O87:O94 Q95:Q153">
    <cfRule type="cellIs" dxfId="4" priority="10" operator="greaterThan">
      <formula>1</formula>
    </cfRule>
  </conditionalFormatting>
  <conditionalFormatting sqref="N31:N86 M87:M94">
    <cfRule type="cellIs" dxfId="6" priority="11" operator="greaterThan">
      <formula>0</formula>
    </cfRule>
  </conditionalFormatting>
  <conditionalFormatting sqref="N1:N15 N17:N86 M87:M94 N95:N153">
    <cfRule type="containsText" dxfId="6" priority="12" operator="containsText" text="/">
      <formula>NOT(ISERROR(SEARCH(("/"),(N1))))</formula>
    </cfRule>
  </conditionalFormatting>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6FD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031">
        <v>16.0</v>
      </c>
      <c r="B1" s="1032"/>
      <c r="C1" s="1033" t="str">
        <f>IMAGE(VLOOKUP($A$1,Fighters!A2:AI114,12,FALSE),1)</f>
        <v>#REF!</v>
      </c>
      <c r="D1" s="1034"/>
      <c r="E1" s="1034"/>
      <c r="F1" s="1034"/>
      <c r="G1" s="1035"/>
      <c r="H1" s="1036"/>
      <c r="I1" s="1034"/>
      <c r="J1" s="1035"/>
      <c r="K1" s="1037"/>
      <c r="L1" s="1034"/>
      <c r="M1" s="1035"/>
      <c r="N1" s="1038"/>
      <c r="O1" s="1038"/>
      <c r="P1" s="1038"/>
      <c r="Q1" s="1038"/>
      <c r="R1" s="1039"/>
      <c r="S1" s="1039"/>
      <c r="T1" s="1039"/>
      <c r="U1" s="1039"/>
      <c r="V1" s="1039"/>
    </row>
    <row r="2">
      <c r="A2" s="1040" t="str">
        <f>VLOOKUP($A$1,Fighters!$A$2:$AI$81,6,FALSE)</f>
        <v>#756fd0</v>
      </c>
      <c r="B2" s="1032"/>
      <c r="C2" s="1041"/>
      <c r="G2" s="1042"/>
      <c r="H2" s="1043"/>
      <c r="I2" s="1044"/>
      <c r="J2" s="1045"/>
      <c r="K2" s="1043"/>
      <c r="L2" s="1044"/>
      <c r="M2" s="1045"/>
      <c r="N2" s="1038"/>
      <c r="O2" s="1038"/>
      <c r="P2" s="1038"/>
      <c r="Q2" s="1038"/>
      <c r="R2" s="1039"/>
      <c r="S2" s="1039"/>
      <c r="T2" s="1039"/>
      <c r="U2" s="1039"/>
      <c r="V2" s="1039"/>
    </row>
    <row r="3">
      <c r="A3" s="1040" t="str">
        <f>VLOOKUP($A$1,Fighters!$A$2:$AI$81,14,FALSE)</f>
        <v>16. シーク</v>
      </c>
      <c r="B3" s="1032"/>
      <c r="C3" s="1041"/>
      <c r="G3" s="1042"/>
      <c r="H3" s="1046"/>
      <c r="I3" s="1046"/>
      <c r="J3" s="1046"/>
      <c r="K3" s="1047"/>
      <c r="L3" s="1047"/>
      <c r="M3" s="1047"/>
      <c r="N3" s="1038"/>
      <c r="O3" s="1038"/>
      <c r="P3" s="1038"/>
      <c r="Q3" s="1038"/>
      <c r="R3" s="1048"/>
      <c r="S3" s="1039"/>
      <c r="T3" s="1039"/>
      <c r="U3" s="1039"/>
      <c r="V3" s="1039"/>
    </row>
    <row r="4">
      <c r="A4" s="1040" t="str">
        <f>VLOOKUP($A$1,Fighters!$A$2:$AI$81,13,FALSE)</f>
        <v>1</v>
      </c>
      <c r="B4" s="1032"/>
      <c r="C4" s="1041"/>
      <c r="G4" s="1042"/>
      <c r="H4" s="1049"/>
      <c r="I4" s="1049"/>
      <c r="J4" s="1046"/>
      <c r="K4" s="1047"/>
      <c r="L4" s="1047"/>
      <c r="M4" s="1047"/>
      <c r="N4" s="1038"/>
      <c r="O4" s="1038"/>
      <c r="P4" s="1038"/>
      <c r="Q4" s="1038"/>
      <c r="R4" s="1048"/>
      <c r="S4" s="1039"/>
      <c r="T4" s="1039"/>
      <c r="U4" s="1039"/>
      <c r="V4" s="1039"/>
    </row>
    <row r="5" ht="16.5" customHeight="1">
      <c r="A5" s="1031"/>
      <c r="B5" s="1032"/>
      <c r="C5" s="1041"/>
      <c r="G5" s="1042"/>
      <c r="H5" s="1050"/>
      <c r="I5" s="1050"/>
      <c r="J5" s="1051"/>
      <c r="K5" s="1052"/>
      <c r="L5" s="1053"/>
      <c r="M5" s="1053"/>
      <c r="N5" s="1038"/>
      <c r="O5" s="1038"/>
      <c r="P5" s="1038"/>
      <c r="Q5" s="1038"/>
      <c r="R5" s="1048"/>
      <c r="S5" s="1039"/>
      <c r="T5" s="1039"/>
      <c r="U5" s="1039"/>
      <c r="V5" s="1039"/>
    </row>
    <row r="6">
      <c r="A6" s="1032"/>
      <c r="B6" s="1032"/>
      <c r="C6" s="1041"/>
      <c r="G6" s="1042"/>
      <c r="H6" s="1049"/>
      <c r="I6" s="1054" t="s">
        <v>39</v>
      </c>
      <c r="J6" s="1052"/>
      <c r="K6" s="1055"/>
      <c r="L6" s="1053"/>
      <c r="M6" s="1053"/>
      <c r="N6" s="1038"/>
      <c r="O6" s="1038"/>
      <c r="P6" s="1038"/>
      <c r="Q6" s="1038"/>
      <c r="R6" s="1048"/>
      <c r="S6" s="1039"/>
      <c r="T6" s="1039"/>
      <c r="U6" s="1039"/>
      <c r="V6" s="1039"/>
    </row>
    <row r="7">
      <c r="A7" s="1032"/>
      <c r="B7" s="1032"/>
      <c r="C7" s="1041"/>
      <c r="G7" s="1042"/>
      <c r="H7" s="1050"/>
      <c r="I7" s="1050"/>
      <c r="J7" s="1052"/>
      <c r="K7" s="1055"/>
      <c r="L7" s="1053"/>
      <c r="M7" s="1053"/>
      <c r="N7" s="1038"/>
      <c r="O7" s="1038"/>
      <c r="P7" s="1038"/>
      <c r="Q7" s="1038"/>
      <c r="R7" s="1048"/>
      <c r="S7" s="1039"/>
      <c r="T7" s="1039"/>
      <c r="U7" s="1039"/>
      <c r="V7" s="1039"/>
    </row>
    <row r="8">
      <c r="A8" s="1032"/>
      <c r="B8" s="1032"/>
      <c r="C8" s="1041"/>
      <c r="G8" s="1042"/>
      <c r="H8" s="1056">
        <v>44379.84369925926</v>
      </c>
      <c r="I8" s="1034"/>
      <c r="J8" s="1035"/>
      <c r="K8" s="1052"/>
      <c r="L8" s="1053"/>
      <c r="M8" s="1053"/>
      <c r="N8" s="1038"/>
      <c r="O8" s="1038"/>
      <c r="P8" s="1038"/>
      <c r="Q8" s="1038"/>
      <c r="R8" s="1048"/>
      <c r="S8" s="1039"/>
      <c r="T8" s="1039"/>
      <c r="U8" s="1039"/>
      <c r="V8" s="1039"/>
    </row>
    <row r="9">
      <c r="A9" s="1032"/>
      <c r="B9" s="1032"/>
      <c r="C9" s="1041"/>
      <c r="G9" s="1042"/>
      <c r="H9" s="1043"/>
      <c r="I9" s="1044"/>
      <c r="J9" s="1045"/>
      <c r="K9" s="1039"/>
      <c r="L9" s="1038"/>
      <c r="M9" s="1038"/>
      <c r="N9" s="1038"/>
      <c r="O9" s="1038"/>
      <c r="P9" s="1038"/>
      <c r="Q9" s="1038"/>
      <c r="R9" s="1048"/>
      <c r="S9" s="1039"/>
      <c r="T9" s="1039"/>
      <c r="U9" s="1039"/>
      <c r="V9" s="1039"/>
    </row>
    <row r="10">
      <c r="A10" s="1032"/>
      <c r="B10" s="1032"/>
      <c r="C10" s="1041"/>
      <c r="G10" s="1042"/>
      <c r="H10" s="1057"/>
      <c r="I10" s="1057"/>
      <c r="J10" s="1039"/>
      <c r="K10" s="1039"/>
      <c r="L10" s="1038"/>
      <c r="M10" s="1038"/>
      <c r="N10" s="1038"/>
      <c r="O10" s="1038"/>
      <c r="P10" s="1038"/>
      <c r="Q10" s="1038"/>
      <c r="R10" s="1048"/>
      <c r="S10" s="1039"/>
      <c r="T10" s="1039"/>
      <c r="U10" s="1039"/>
      <c r="V10" s="1039"/>
    </row>
    <row r="11">
      <c r="A11" s="1058" t="s">
        <v>40</v>
      </c>
      <c r="B11" s="1035"/>
      <c r="C11" s="1041"/>
      <c r="G11" s="1042"/>
      <c r="H11" s="1050"/>
      <c r="I11" s="1050"/>
      <c r="J11" s="1039"/>
      <c r="K11" s="1039"/>
      <c r="L11" s="1038"/>
      <c r="M11" s="1038"/>
      <c r="N11" s="1038"/>
      <c r="O11" s="1038"/>
      <c r="P11" s="1038"/>
      <c r="Q11" s="1038"/>
      <c r="R11" s="1048"/>
      <c r="S11" s="1039"/>
      <c r="T11" s="1039"/>
      <c r="U11" s="1039"/>
      <c r="V11" s="1039"/>
    </row>
    <row r="12">
      <c r="A12" s="1043"/>
      <c r="B12" s="1045"/>
      <c r="C12" s="1043"/>
      <c r="D12" s="1044"/>
      <c r="E12" s="1044"/>
      <c r="F12" s="1044"/>
      <c r="G12" s="1045"/>
      <c r="H12" s="1059"/>
      <c r="I12" s="1059"/>
      <c r="J12" s="1032"/>
      <c r="K12" s="1032"/>
      <c r="L12" s="1038"/>
      <c r="M12" s="1038"/>
      <c r="N12" s="1038"/>
      <c r="O12" s="1038"/>
      <c r="P12" s="1038"/>
      <c r="Q12" s="1038"/>
      <c r="R12" s="1048"/>
      <c r="S12" s="1039"/>
      <c r="T12" s="1039"/>
      <c r="U12" s="1039"/>
      <c r="V12" s="103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78 [84th]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32F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2.178 [14th]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1.47 [5th]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47F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0.165 [24th]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39 [7th]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2.42 [4th]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0.106 [50th]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18.75 [7th]</v>
      </c>
      <c r="O19" s="99"/>
      <c r="P19" s="99"/>
      <c r="Q19" s="99"/>
      <c r="R19" s="99"/>
      <c r="S19" s="111"/>
      <c r="T19" s="111"/>
      <c r="U19" s="111"/>
      <c r="V19" s="111"/>
    </row>
    <row r="20" outlineLevel="1">
      <c r="A20" s="112" t="str">
        <f>'テンプレート'!A20</f>
        <v>カベ張りつき</v>
      </c>
      <c r="B20" s="115" t="b">
        <v>1</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7F [1st]</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1.155 [20th]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33F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40 [12th]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1.75 [24th]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 [24th]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0.15 [4th]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176</v>
      </c>
      <c r="D26" s="139" t="s">
        <v>394</v>
      </c>
      <c r="E26" s="139" t="s">
        <v>176</v>
      </c>
      <c r="F26" s="138">
        <v>2.4</v>
      </c>
      <c r="G26" s="139" t="s">
        <v>60</v>
      </c>
      <c r="H26" s="140" t="s">
        <v>1423</v>
      </c>
      <c r="I26" s="110"/>
      <c r="J26" s="109"/>
      <c r="K26" s="138" t="s">
        <v>1424</v>
      </c>
      <c r="L26" s="138" t="s">
        <v>1425</v>
      </c>
      <c r="M26" s="145" t="s">
        <v>1426</v>
      </c>
      <c r="N26" s="145">
        <v>0.0</v>
      </c>
      <c r="O26" s="145">
        <v>0.0</v>
      </c>
      <c r="P26" s="145"/>
      <c r="Q26" s="145"/>
      <c r="R26" s="100"/>
      <c r="S26" s="100"/>
      <c r="T26" s="100"/>
      <c r="U26" s="145" t="s">
        <v>69</v>
      </c>
      <c r="V26" s="100"/>
    </row>
    <row r="27" outlineLevel="1">
      <c r="A27" s="146"/>
      <c r="B27" s="147" t="s">
        <v>63</v>
      </c>
      <c r="C27" s="216" t="s">
        <v>204</v>
      </c>
      <c r="D27" s="467" t="s">
        <v>394</v>
      </c>
      <c r="E27" s="216" t="s">
        <v>381</v>
      </c>
      <c r="F27" s="138">
        <v>1.92</v>
      </c>
      <c r="G27" s="139" t="s">
        <v>60</v>
      </c>
      <c r="H27" s="140" t="s">
        <v>702</v>
      </c>
      <c r="I27" s="110"/>
      <c r="J27" s="109"/>
      <c r="K27" s="138" t="s">
        <v>1427</v>
      </c>
      <c r="L27" s="138" t="s">
        <v>1428</v>
      </c>
      <c r="M27" s="145" t="s">
        <v>1429</v>
      </c>
      <c r="N27" s="145">
        <v>0.0</v>
      </c>
      <c r="O27" s="145">
        <v>0.0</v>
      </c>
      <c r="P27" s="145"/>
      <c r="Q27" s="145"/>
      <c r="R27" s="100"/>
      <c r="S27" s="100"/>
      <c r="T27" s="100"/>
      <c r="U27" s="145" t="s">
        <v>76</v>
      </c>
      <c r="V27" s="100"/>
    </row>
    <row r="28" outlineLevel="1">
      <c r="A28" s="146"/>
      <c r="B28" s="147" t="s">
        <v>703</v>
      </c>
      <c r="C28" s="657"/>
      <c r="D28" s="216" t="s">
        <v>176</v>
      </c>
      <c r="E28" s="659"/>
      <c r="F28" s="658"/>
      <c r="G28" s="659"/>
      <c r="H28" s="159"/>
      <c r="I28" s="110"/>
      <c r="J28" s="109"/>
      <c r="K28" s="261"/>
      <c r="L28" s="261"/>
      <c r="M28" s="261"/>
      <c r="N28" s="261"/>
      <c r="O28" s="261"/>
      <c r="P28" s="261"/>
      <c r="Q28" s="261"/>
      <c r="R28" s="100"/>
      <c r="S28" s="100"/>
      <c r="T28" s="100"/>
      <c r="U28" s="145" t="s">
        <v>76</v>
      </c>
      <c r="V28" s="100"/>
    </row>
    <row r="29" outlineLevel="1">
      <c r="A29" s="146"/>
      <c r="B29" s="147" t="s">
        <v>704</v>
      </c>
      <c r="C29" s="216" t="s">
        <v>1430</v>
      </c>
      <c r="D29" s="216" t="s">
        <v>129</v>
      </c>
      <c r="E29" s="216" t="s">
        <v>1431</v>
      </c>
      <c r="F29" s="138">
        <v>0.36</v>
      </c>
      <c r="G29" s="450" t="s">
        <v>147</v>
      </c>
      <c r="H29" s="140" t="s">
        <v>1432</v>
      </c>
      <c r="I29" s="110"/>
      <c r="J29" s="109"/>
      <c r="K29" s="138">
        <v>361.0</v>
      </c>
      <c r="L29" s="138">
        <v>15.0</v>
      </c>
      <c r="M29" s="138">
        <v>12.0</v>
      </c>
      <c r="N29" s="138">
        <v>0.0</v>
      </c>
      <c r="O29" s="138">
        <v>0.0</v>
      </c>
      <c r="P29" s="145"/>
      <c r="Q29" s="145"/>
      <c r="R29" s="100"/>
      <c r="S29" s="100"/>
      <c r="T29" s="100"/>
      <c r="U29" s="145" t="s">
        <v>76</v>
      </c>
      <c r="V29" s="100"/>
    </row>
    <row r="30" outlineLevel="1">
      <c r="A30" s="156"/>
      <c r="B30" s="147" t="s">
        <v>708</v>
      </c>
      <c r="C30" s="467" t="s">
        <v>267</v>
      </c>
      <c r="D30" s="450" t="s">
        <v>193</v>
      </c>
      <c r="E30" s="216" t="s">
        <v>176</v>
      </c>
      <c r="F30" s="138">
        <v>2.4</v>
      </c>
      <c r="G30" s="467" t="s">
        <v>60</v>
      </c>
      <c r="H30" s="140" t="s">
        <v>411</v>
      </c>
      <c r="I30" s="110"/>
      <c r="J30" s="109"/>
      <c r="K30" s="138">
        <v>40.0</v>
      </c>
      <c r="L30" s="138">
        <v>132.0</v>
      </c>
      <c r="M30" s="138">
        <v>60.0</v>
      </c>
      <c r="N30" s="138">
        <v>0.0</v>
      </c>
      <c r="O30" s="138">
        <v>0.0</v>
      </c>
      <c r="P30" s="145"/>
      <c r="Q30" s="145"/>
      <c r="R30" s="100"/>
      <c r="S30" s="100"/>
      <c r="T30" s="100"/>
      <c r="U30" s="145" t="s">
        <v>76</v>
      </c>
      <c r="V30" s="100"/>
    </row>
    <row r="31" outlineLevel="1">
      <c r="A31" s="133" t="s">
        <v>77</v>
      </c>
      <c r="B31" s="160"/>
      <c r="C31" s="216" t="s">
        <v>267</v>
      </c>
      <c r="D31" s="195" t="s">
        <v>218</v>
      </c>
      <c r="E31" s="216" t="s">
        <v>93</v>
      </c>
      <c r="F31" s="138">
        <v>8.4</v>
      </c>
      <c r="G31" s="162" t="s">
        <v>121</v>
      </c>
      <c r="H31" s="163" t="s">
        <v>1433</v>
      </c>
      <c r="I31" s="164"/>
      <c r="J31" s="104"/>
      <c r="K31" s="138">
        <v>60.0</v>
      </c>
      <c r="L31" s="138">
        <v>90.0</v>
      </c>
      <c r="M31" s="138">
        <v>70.0</v>
      </c>
      <c r="N31" s="138">
        <v>0.0</v>
      </c>
      <c r="O31" s="138">
        <v>1.0</v>
      </c>
      <c r="P31" s="145"/>
      <c r="Q31" s="145"/>
      <c r="R31" s="100"/>
      <c r="S31" s="100"/>
      <c r="T31" s="100"/>
      <c r="U31" s="166" t="s">
        <v>69</v>
      </c>
      <c r="V31" s="100"/>
    </row>
    <row r="32" outlineLevel="1">
      <c r="A32" s="156"/>
      <c r="B32" s="147" t="s">
        <v>84</v>
      </c>
      <c r="C32" s="216" t="s">
        <v>319</v>
      </c>
      <c r="D32" s="107"/>
      <c r="E32" s="216" t="s">
        <v>150</v>
      </c>
      <c r="F32" s="138">
        <v>6.0</v>
      </c>
      <c r="G32" s="162" t="s">
        <v>123</v>
      </c>
      <c r="H32" s="106"/>
      <c r="I32" s="168"/>
      <c r="J32" s="107"/>
      <c r="K32" s="138">
        <v>361.0</v>
      </c>
      <c r="L32" s="138">
        <v>100.0</v>
      </c>
      <c r="M32" s="138">
        <v>20.0</v>
      </c>
      <c r="N32" s="138">
        <v>0.0</v>
      </c>
      <c r="O32" s="138">
        <v>1.0</v>
      </c>
      <c r="P32" s="145"/>
      <c r="Q32" s="145"/>
      <c r="R32" s="100"/>
      <c r="S32" s="100"/>
      <c r="T32" s="100"/>
      <c r="U32" s="156"/>
      <c r="V32" s="100"/>
    </row>
    <row r="33" outlineLevel="1">
      <c r="A33" s="170" t="s">
        <v>89</v>
      </c>
      <c r="B33" s="147"/>
      <c r="C33" s="216" t="s">
        <v>713</v>
      </c>
      <c r="D33" s="216" t="s">
        <v>268</v>
      </c>
      <c r="E33" s="216" t="s">
        <v>204</v>
      </c>
      <c r="F33" s="138">
        <v>3.5999999999999996</v>
      </c>
      <c r="G33" s="139" t="s">
        <v>147</v>
      </c>
      <c r="H33" s="159"/>
      <c r="I33" s="110"/>
      <c r="J33" s="109"/>
      <c r="K33" s="138" t="s">
        <v>1434</v>
      </c>
      <c r="L33" s="138" t="s">
        <v>1435</v>
      </c>
      <c r="M33" s="138">
        <v>20.0</v>
      </c>
      <c r="N33" s="138">
        <v>0.0</v>
      </c>
      <c r="O33" s="138">
        <v>0.0</v>
      </c>
      <c r="P33" s="145"/>
      <c r="Q33" s="145"/>
      <c r="R33" s="100"/>
      <c r="S33" s="100"/>
      <c r="T33" s="100"/>
      <c r="U33" s="145" t="s">
        <v>96</v>
      </c>
      <c r="V33" s="100"/>
    </row>
    <row r="34" outlineLevel="1">
      <c r="A34" s="133" t="s">
        <v>97</v>
      </c>
      <c r="B34" s="147" t="s">
        <v>125</v>
      </c>
      <c r="C34" s="216" t="s">
        <v>713</v>
      </c>
      <c r="D34" s="195" t="s">
        <v>964</v>
      </c>
      <c r="E34" s="216" t="s">
        <v>204</v>
      </c>
      <c r="F34" s="138">
        <v>3.5999999999999996</v>
      </c>
      <c r="G34" s="139" t="s">
        <v>147</v>
      </c>
      <c r="H34" s="456"/>
      <c r="I34" s="164"/>
      <c r="J34" s="104"/>
      <c r="K34" s="138" t="s">
        <v>1436</v>
      </c>
      <c r="L34" s="138">
        <v>80.0</v>
      </c>
      <c r="M34" s="138" t="s">
        <v>1437</v>
      </c>
      <c r="N34" s="138">
        <v>0.0</v>
      </c>
      <c r="O34" s="138">
        <v>0.0</v>
      </c>
      <c r="P34" s="145"/>
      <c r="Q34" s="145"/>
      <c r="R34" s="100"/>
      <c r="S34" s="100"/>
      <c r="T34" s="100"/>
      <c r="U34" s="166" t="s">
        <v>69</v>
      </c>
      <c r="V34" s="100"/>
    </row>
    <row r="35" outlineLevel="1">
      <c r="A35" s="156"/>
      <c r="B35" s="147" t="s">
        <v>131</v>
      </c>
      <c r="C35" s="216" t="s">
        <v>1303</v>
      </c>
      <c r="D35" s="107"/>
      <c r="E35" s="216" t="s">
        <v>73</v>
      </c>
      <c r="F35" s="138">
        <v>4.8</v>
      </c>
      <c r="G35" s="139" t="s">
        <v>75</v>
      </c>
      <c r="H35" s="106"/>
      <c r="I35" s="168"/>
      <c r="J35" s="107"/>
      <c r="K35" s="138">
        <v>60.0</v>
      </c>
      <c r="L35" s="138">
        <v>147.0</v>
      </c>
      <c r="M35" s="138">
        <v>25.0</v>
      </c>
      <c r="N35" s="138">
        <v>0.0</v>
      </c>
      <c r="O35" s="138">
        <v>0.0</v>
      </c>
      <c r="P35" s="145"/>
      <c r="Q35" s="145"/>
      <c r="R35" s="100"/>
      <c r="S35" s="100"/>
      <c r="T35" s="100"/>
      <c r="U35" s="156"/>
      <c r="V35" s="100"/>
    </row>
    <row r="36" outlineLevel="1">
      <c r="A36" s="170" t="s">
        <v>103</v>
      </c>
      <c r="B36" s="160"/>
      <c r="C36" s="216" t="s">
        <v>267</v>
      </c>
      <c r="D36" s="216" t="s">
        <v>876</v>
      </c>
      <c r="E36" s="216" t="s">
        <v>1438</v>
      </c>
      <c r="F36" s="138">
        <v>5.3999999999999995</v>
      </c>
      <c r="G36" s="139" t="s">
        <v>75</v>
      </c>
      <c r="H36" s="159"/>
      <c r="I36" s="110"/>
      <c r="J36" s="109"/>
      <c r="K36" s="138" t="s">
        <v>1439</v>
      </c>
      <c r="L36" s="138">
        <v>100.0</v>
      </c>
      <c r="M36" s="138">
        <v>37.0</v>
      </c>
      <c r="N36" s="138">
        <v>0.0</v>
      </c>
      <c r="O36" s="138">
        <v>0.0</v>
      </c>
      <c r="P36" s="145"/>
      <c r="Q36" s="145"/>
      <c r="R36" s="100"/>
      <c r="S36" s="100"/>
      <c r="T36" s="100"/>
      <c r="U36" s="145" t="s">
        <v>62</v>
      </c>
      <c r="V36" s="100"/>
    </row>
    <row r="37" outlineLevel="1">
      <c r="A37" s="133" t="s">
        <v>109</v>
      </c>
      <c r="B37" s="147" t="s">
        <v>125</v>
      </c>
      <c r="C37" s="216" t="s">
        <v>129</v>
      </c>
      <c r="D37" s="195" t="s">
        <v>393</v>
      </c>
      <c r="E37" s="216" t="s">
        <v>150</v>
      </c>
      <c r="F37" s="138">
        <v>6.0</v>
      </c>
      <c r="G37" s="139" t="s">
        <v>147</v>
      </c>
      <c r="H37" s="163" t="s">
        <v>553</v>
      </c>
      <c r="I37" s="164"/>
      <c r="J37" s="104"/>
      <c r="K37" s="138" t="s">
        <v>1440</v>
      </c>
      <c r="L37" s="138">
        <v>100.0</v>
      </c>
      <c r="M37" s="138">
        <v>0.0</v>
      </c>
      <c r="N37" s="138" t="s">
        <v>1441</v>
      </c>
      <c r="O37" s="138">
        <v>0.0</v>
      </c>
      <c r="P37" s="145"/>
      <c r="Q37" s="145"/>
      <c r="R37" s="100"/>
      <c r="S37" s="100"/>
      <c r="T37" s="100"/>
      <c r="U37" s="166" t="s">
        <v>75</v>
      </c>
      <c r="V37" s="100"/>
    </row>
    <row r="38" outlineLevel="1">
      <c r="A38" s="156"/>
      <c r="B38" s="147" t="s">
        <v>131</v>
      </c>
      <c r="C38" s="216" t="s">
        <v>351</v>
      </c>
      <c r="D38" s="107"/>
      <c r="E38" s="216" t="s">
        <v>80</v>
      </c>
      <c r="F38" s="138">
        <v>9.6</v>
      </c>
      <c r="G38" s="139" t="s">
        <v>102</v>
      </c>
      <c r="H38" s="106"/>
      <c r="I38" s="168"/>
      <c r="J38" s="107"/>
      <c r="K38" s="138">
        <v>361.0</v>
      </c>
      <c r="L38" s="138">
        <v>109.0</v>
      </c>
      <c r="M38" s="138">
        <v>60.0</v>
      </c>
      <c r="N38" s="138">
        <v>0.0</v>
      </c>
      <c r="O38" s="138">
        <v>0.0</v>
      </c>
      <c r="P38" s="145"/>
      <c r="Q38" s="145"/>
      <c r="R38" s="100"/>
      <c r="S38" s="100"/>
      <c r="T38" s="100"/>
      <c r="U38" s="156"/>
      <c r="V38" s="100"/>
    </row>
    <row r="39" outlineLevel="1">
      <c r="A39" s="133" t="s">
        <v>116</v>
      </c>
      <c r="B39" s="147" t="s">
        <v>125</v>
      </c>
      <c r="C39" s="216" t="s">
        <v>232</v>
      </c>
      <c r="D39" s="195" t="s">
        <v>634</v>
      </c>
      <c r="E39" s="216" t="s">
        <v>386</v>
      </c>
      <c r="F39" s="138">
        <v>18.0</v>
      </c>
      <c r="G39" s="139" t="s">
        <v>121</v>
      </c>
      <c r="H39" s="163" t="s">
        <v>1442</v>
      </c>
      <c r="I39" s="164"/>
      <c r="J39" s="104"/>
      <c r="K39" s="138">
        <v>93.0</v>
      </c>
      <c r="L39" s="138">
        <v>88.0</v>
      </c>
      <c r="M39" s="138">
        <v>52.0</v>
      </c>
      <c r="N39" s="138">
        <v>0.0</v>
      </c>
      <c r="O39" s="138">
        <v>0.0</v>
      </c>
      <c r="P39" s="145"/>
      <c r="Q39" s="145"/>
      <c r="R39" s="100"/>
      <c r="S39" s="100"/>
      <c r="T39" s="100"/>
      <c r="U39" s="166" t="s">
        <v>62</v>
      </c>
      <c r="V39" s="100"/>
    </row>
    <row r="40" outlineLevel="1">
      <c r="A40" s="156"/>
      <c r="B40" s="147" t="s">
        <v>131</v>
      </c>
      <c r="C40" s="216" t="s">
        <v>295</v>
      </c>
      <c r="D40" s="107"/>
      <c r="E40" s="216" t="s">
        <v>232</v>
      </c>
      <c r="F40" s="138">
        <v>13.2</v>
      </c>
      <c r="G40" s="139" t="s">
        <v>123</v>
      </c>
      <c r="H40" s="106"/>
      <c r="I40" s="168"/>
      <c r="J40" s="107"/>
      <c r="K40" s="138">
        <v>50.0</v>
      </c>
      <c r="L40" s="138">
        <v>100.0</v>
      </c>
      <c r="M40" s="138">
        <v>38.0</v>
      </c>
      <c r="N40" s="138">
        <v>0.0</v>
      </c>
      <c r="O40" s="138">
        <v>0.0</v>
      </c>
      <c r="P40" s="145"/>
      <c r="Q40" s="145"/>
      <c r="R40" s="100"/>
      <c r="S40" s="100"/>
      <c r="T40" s="100"/>
      <c r="U40" s="156"/>
      <c r="V40" s="100"/>
    </row>
    <row r="41" outlineLevel="1">
      <c r="A41" s="133" t="s">
        <v>124</v>
      </c>
      <c r="B41" s="147" t="s">
        <v>125</v>
      </c>
      <c r="C41" s="450" t="s">
        <v>518</v>
      </c>
      <c r="D41" s="379" t="s">
        <v>541</v>
      </c>
      <c r="E41" s="216" t="s">
        <v>73</v>
      </c>
      <c r="F41" s="138">
        <v>4.8</v>
      </c>
      <c r="G41" s="139" t="s">
        <v>147</v>
      </c>
      <c r="H41" s="163" t="s">
        <v>1443</v>
      </c>
      <c r="I41" s="164"/>
      <c r="J41" s="104"/>
      <c r="K41" s="138">
        <v>140.0</v>
      </c>
      <c r="L41" s="138">
        <v>100.0</v>
      </c>
      <c r="M41" s="138">
        <v>0.0</v>
      </c>
      <c r="N41" s="138">
        <v>35.0</v>
      </c>
      <c r="O41" s="138">
        <v>0.0</v>
      </c>
      <c r="P41" s="145"/>
      <c r="Q41" s="145"/>
      <c r="R41" s="100"/>
      <c r="S41" s="100"/>
      <c r="T41" s="100"/>
      <c r="U41" s="166" t="s">
        <v>62</v>
      </c>
      <c r="V41" s="100"/>
    </row>
    <row r="42" outlineLevel="1">
      <c r="A42" s="156"/>
      <c r="B42" s="147" t="s">
        <v>131</v>
      </c>
      <c r="C42" s="450" t="s">
        <v>561</v>
      </c>
      <c r="D42" s="107"/>
      <c r="E42" s="216" t="s">
        <v>86</v>
      </c>
      <c r="F42" s="138">
        <v>7.199999999999999</v>
      </c>
      <c r="G42" s="139" t="s">
        <v>75</v>
      </c>
      <c r="H42" s="106"/>
      <c r="I42" s="168"/>
      <c r="J42" s="107"/>
      <c r="K42" s="138">
        <v>43.0</v>
      </c>
      <c r="L42" s="138">
        <v>165.0</v>
      </c>
      <c r="M42" s="138">
        <v>35.0</v>
      </c>
      <c r="N42" s="138">
        <v>0.0</v>
      </c>
      <c r="O42" s="138">
        <v>0.0</v>
      </c>
      <c r="P42" s="145"/>
      <c r="Q42" s="145"/>
      <c r="R42" s="100"/>
      <c r="S42" s="100"/>
      <c r="T42" s="100"/>
      <c r="U42" s="156"/>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tr">
        <f>'テンプレート'!I56</f>
        <v>着地隙</v>
      </c>
      <c r="J45" s="184" t="s">
        <v>136</v>
      </c>
      <c r="K45" s="184" t="str">
        <f>'テンプレート'!K56</f>
        <v>ベクトル</v>
      </c>
      <c r="L45" s="184" t="str">
        <f>'テンプレート'!L56</f>
        <v>KBG (R.E.)</v>
      </c>
      <c r="M45" s="184" t="str">
        <f>'テンプレート'!M56</f>
        <v>BKB (R.A.)</v>
      </c>
      <c r="N45" s="184" t="str">
        <f>'テンプレート'!N56</f>
        <v>FKB (R.F.)</v>
      </c>
      <c r="O45" s="186" t="str">
        <f>'テンプレート'!O56</f>
        <v>盾削り値</v>
      </c>
      <c r="P45" s="184" t="str">
        <f>'テンプレート'!P56</f>
        <v>ﾋｯﾄｽﾄｯﾌﾟ</v>
      </c>
      <c r="Q45" s="186" t="str">
        <f>'テンプレート'!Q56</f>
        <v>ずらし</v>
      </c>
      <c r="R45" s="372" t="str">
        <f>'テンプレート'!R56</f>
        <v>備考</v>
      </c>
      <c r="S45" s="110"/>
      <c r="T45" s="110"/>
      <c r="U45" s="110"/>
      <c r="V45" s="110"/>
    </row>
    <row r="46" outlineLevel="1">
      <c r="A46" s="188" t="s">
        <v>144</v>
      </c>
      <c r="B46" s="373"/>
      <c r="C46" s="239" t="s">
        <v>1444</v>
      </c>
      <c r="D46" s="452" t="s">
        <v>185</v>
      </c>
      <c r="E46" s="239" t="s">
        <v>911</v>
      </c>
      <c r="F46" s="193" t="s">
        <v>912</v>
      </c>
      <c r="G46" s="193" t="s">
        <v>913</v>
      </c>
      <c r="H46" s="138" t="s">
        <v>914</v>
      </c>
      <c r="I46" s="454" t="str">
        <f t="array" ref="I46">INDEX('空中攻撃'!$O$3:$AA$109, MATCH($A$1,'空中攻撃'!$A$3:$A$109,0), MATCH(A46,'空中攻撃'!$O$2:$S$2,0))</f>
        <v>6</v>
      </c>
      <c r="J46" s="455" t="s">
        <v>1324</v>
      </c>
      <c r="K46" s="138">
        <v>361.0</v>
      </c>
      <c r="L46" s="138">
        <v>100.0</v>
      </c>
      <c r="M46" s="138">
        <v>30.0</v>
      </c>
      <c r="N46" s="138">
        <v>0.0</v>
      </c>
      <c r="O46" s="145">
        <v>0.0</v>
      </c>
      <c r="P46" s="145"/>
      <c r="Q46" s="145"/>
      <c r="R46" s="619"/>
      <c r="S46" s="164"/>
      <c r="T46" s="164"/>
      <c r="U46" s="164"/>
      <c r="V46" s="104"/>
    </row>
    <row r="47" outlineLevel="1">
      <c r="A47" s="156"/>
      <c r="B47" s="373" t="s">
        <v>84</v>
      </c>
      <c r="C47" s="239" t="s">
        <v>320</v>
      </c>
      <c r="D47" s="107"/>
      <c r="E47" s="239" t="s">
        <v>1445</v>
      </c>
      <c r="F47" s="138" t="s">
        <v>1446</v>
      </c>
      <c r="G47" s="138" t="s">
        <v>1447</v>
      </c>
      <c r="H47" s="138" t="s">
        <v>1448</v>
      </c>
      <c r="I47" s="156"/>
      <c r="J47" s="107"/>
      <c r="K47" s="138">
        <v>361.0</v>
      </c>
      <c r="L47" s="138">
        <v>100.0</v>
      </c>
      <c r="M47" s="138">
        <v>30.0</v>
      </c>
      <c r="N47" s="138">
        <v>0.0</v>
      </c>
      <c r="O47" s="145">
        <v>0.0</v>
      </c>
      <c r="P47" s="145"/>
      <c r="Q47" s="145"/>
      <c r="R47" s="106"/>
      <c r="S47" s="168"/>
      <c r="T47" s="168"/>
      <c r="U47" s="168"/>
      <c r="V47" s="107"/>
    </row>
    <row r="48" outlineLevel="1">
      <c r="A48" s="213" t="s">
        <v>151</v>
      </c>
      <c r="B48" s="373"/>
      <c r="C48" s="239" t="s">
        <v>91</v>
      </c>
      <c r="D48" s="774">
        <v>34.0</v>
      </c>
      <c r="E48" s="239" t="s">
        <v>1449</v>
      </c>
      <c r="F48" s="138" t="s">
        <v>1450</v>
      </c>
      <c r="G48" s="138" t="s">
        <v>1451</v>
      </c>
      <c r="H48" s="138" t="s">
        <v>923</v>
      </c>
      <c r="I48" s="621" t="str">
        <f t="array" ref="I48">INDEX('空中攻撃'!$O$3:$AA$109, MATCH($A$1,'空中攻撃'!$A$3:$A$109,0), MATCH(A48,'空中攻撃'!$O$2:$S$2,0))</f>
        <v>5</v>
      </c>
      <c r="J48" s="467" t="s">
        <v>965</v>
      </c>
      <c r="K48" s="138">
        <v>50.0</v>
      </c>
      <c r="L48" s="138">
        <v>127.0</v>
      </c>
      <c r="M48" s="138" t="s">
        <v>1452</v>
      </c>
      <c r="N48" s="138">
        <v>0.0</v>
      </c>
      <c r="O48" s="145">
        <v>0.0</v>
      </c>
      <c r="P48" s="145"/>
      <c r="Q48" s="145"/>
      <c r="R48" s="622"/>
      <c r="S48" s="110"/>
      <c r="T48" s="110"/>
      <c r="U48" s="110"/>
      <c r="V48" s="109"/>
    </row>
    <row r="49" outlineLevel="1">
      <c r="A49" s="188" t="s">
        <v>157</v>
      </c>
      <c r="B49" s="373"/>
      <c r="C49" s="239" t="s">
        <v>270</v>
      </c>
      <c r="D49" s="452">
        <v>37.0</v>
      </c>
      <c r="E49" s="239" t="s">
        <v>1453</v>
      </c>
      <c r="F49" s="138" t="s">
        <v>1454</v>
      </c>
      <c r="G49" s="138" t="s">
        <v>1455</v>
      </c>
      <c r="H49" s="138" t="s">
        <v>364</v>
      </c>
      <c r="I49" s="454">
        <f t="array" ref="I49">INDEX('空中攻撃'!$O$3:$AA$109, MATCH($A$1,'空中攻撃'!$A$3:$A$109,0), MATCH(A49,'空中攻撃'!$O$2:$S$2,0))</f>
        <v>7</v>
      </c>
      <c r="J49" s="455" t="s">
        <v>1322</v>
      </c>
      <c r="K49" s="138">
        <v>361.0</v>
      </c>
      <c r="L49" s="138">
        <v>98.0</v>
      </c>
      <c r="M49" s="138" t="s">
        <v>1456</v>
      </c>
      <c r="N49" s="138">
        <v>0.0</v>
      </c>
      <c r="O49" s="145">
        <v>0.0</v>
      </c>
      <c r="P49" s="145"/>
      <c r="Q49" s="145"/>
      <c r="R49" s="619"/>
      <c r="S49" s="164"/>
      <c r="T49" s="164"/>
      <c r="U49" s="164"/>
      <c r="V49" s="104"/>
    </row>
    <row r="50" outlineLevel="1">
      <c r="A50" s="156"/>
      <c r="B50" s="373" t="s">
        <v>84</v>
      </c>
      <c r="C50" s="239" t="s">
        <v>1457</v>
      </c>
      <c r="D50" s="107"/>
      <c r="E50" s="239" t="s">
        <v>86</v>
      </c>
      <c r="F50" s="138">
        <v>7.199999999999999</v>
      </c>
      <c r="G50" s="138">
        <v>6.12</v>
      </c>
      <c r="H50" s="138" t="s">
        <v>60</v>
      </c>
      <c r="I50" s="156"/>
      <c r="J50" s="107"/>
      <c r="K50" s="138">
        <v>361.0</v>
      </c>
      <c r="L50" s="138">
        <v>101.0</v>
      </c>
      <c r="M50" s="138">
        <v>10.0</v>
      </c>
      <c r="N50" s="138">
        <v>0.0</v>
      </c>
      <c r="O50" s="145">
        <v>0.0</v>
      </c>
      <c r="P50" s="145"/>
      <c r="Q50" s="145"/>
      <c r="R50" s="106"/>
      <c r="S50" s="168"/>
      <c r="T50" s="168"/>
      <c r="U50" s="168"/>
      <c r="V50" s="107"/>
    </row>
    <row r="51" outlineLevel="1">
      <c r="A51" s="188" t="s">
        <v>162</v>
      </c>
      <c r="B51" s="373" t="s">
        <v>199</v>
      </c>
      <c r="C51" s="239" t="s">
        <v>1458</v>
      </c>
      <c r="D51" s="452" t="s">
        <v>127</v>
      </c>
      <c r="E51" s="239" t="s">
        <v>213</v>
      </c>
      <c r="F51" s="138">
        <v>1.2</v>
      </c>
      <c r="G51" s="138">
        <v>1.02</v>
      </c>
      <c r="H51" s="138" t="s">
        <v>170</v>
      </c>
      <c r="I51" s="454" t="str">
        <f t="array" ref="I51">INDEX('空中攻撃'!$O$3:$AA$109, MATCH($A$1,'空中攻撃'!$A$3:$A$109,0), MATCH(A51,'空中攻撃'!$O$2:$S$2,0))</f>
        <v>13</v>
      </c>
      <c r="J51" s="379" t="s">
        <v>1459</v>
      </c>
      <c r="K51" s="138" t="s">
        <v>1460</v>
      </c>
      <c r="L51" s="138" t="s">
        <v>1461</v>
      </c>
      <c r="M51" s="138" t="s">
        <v>1462</v>
      </c>
      <c r="N51" s="138">
        <v>0.0</v>
      </c>
      <c r="O51" s="145">
        <v>0.0</v>
      </c>
      <c r="P51" s="145"/>
      <c r="Q51" s="145"/>
      <c r="R51" s="619"/>
      <c r="S51" s="164"/>
      <c r="T51" s="164"/>
      <c r="U51" s="164"/>
      <c r="V51" s="104"/>
    </row>
    <row r="52" outlineLevel="1">
      <c r="A52" s="156"/>
      <c r="B52" s="373" t="s">
        <v>202</v>
      </c>
      <c r="C52" s="239" t="s">
        <v>377</v>
      </c>
      <c r="D52" s="107"/>
      <c r="E52" s="239" t="s">
        <v>73</v>
      </c>
      <c r="F52" s="138">
        <v>4.8</v>
      </c>
      <c r="G52" s="138">
        <v>4.08</v>
      </c>
      <c r="H52" s="138" t="s">
        <v>60</v>
      </c>
      <c r="I52" s="156"/>
      <c r="J52" s="107"/>
      <c r="K52" s="138">
        <v>80.0</v>
      </c>
      <c r="L52" s="138">
        <v>138.0</v>
      </c>
      <c r="M52" s="138">
        <v>50.0</v>
      </c>
      <c r="N52" s="138">
        <v>0.0</v>
      </c>
      <c r="O52" s="145">
        <v>0.0</v>
      </c>
      <c r="P52" s="145"/>
      <c r="Q52" s="145"/>
      <c r="R52" s="106"/>
      <c r="S52" s="168"/>
      <c r="T52" s="168"/>
      <c r="U52" s="168"/>
      <c r="V52" s="107"/>
    </row>
    <row r="53" outlineLevel="1">
      <c r="A53" s="188" t="s">
        <v>166</v>
      </c>
      <c r="B53" s="373" t="s">
        <v>155</v>
      </c>
      <c r="C53" s="239" t="s">
        <v>548</v>
      </c>
      <c r="D53" s="452">
        <v>54.0</v>
      </c>
      <c r="E53" s="239" t="s">
        <v>128</v>
      </c>
      <c r="F53" s="138">
        <v>12.0</v>
      </c>
      <c r="G53" s="138">
        <v>10.2</v>
      </c>
      <c r="H53" s="138" t="s">
        <v>147</v>
      </c>
      <c r="I53" s="454">
        <f t="array" ref="I53">INDEX('空中攻撃'!$O$3:$AA$109, MATCH($A$1,'空中攻撃'!$A$3:$A$109,0), MATCH(A53,'空中攻撃'!$O$2:$S$2,0))</f>
        <v>22</v>
      </c>
      <c r="J53" s="455" t="s">
        <v>1463</v>
      </c>
      <c r="K53" s="138">
        <v>280.0</v>
      </c>
      <c r="L53" s="138">
        <v>90.0</v>
      </c>
      <c r="M53" s="138">
        <v>30.0</v>
      </c>
      <c r="N53" s="138">
        <v>0.0</v>
      </c>
      <c r="O53" s="145">
        <v>0.0</v>
      </c>
      <c r="P53" s="145"/>
      <c r="Q53" s="145"/>
      <c r="R53" s="163"/>
      <c r="S53" s="164"/>
      <c r="T53" s="164"/>
      <c r="U53" s="164"/>
      <c r="V53" s="104"/>
    </row>
    <row r="54" outlineLevel="1">
      <c r="A54" s="146"/>
      <c r="B54" s="373" t="s">
        <v>84</v>
      </c>
      <c r="C54" s="239" t="s">
        <v>1464</v>
      </c>
      <c r="D54" s="210"/>
      <c r="E54" s="239" t="s">
        <v>128</v>
      </c>
      <c r="F54" s="138">
        <v>12.0</v>
      </c>
      <c r="G54" s="138">
        <v>10.2</v>
      </c>
      <c r="H54" s="138" t="s">
        <v>147</v>
      </c>
      <c r="I54" s="146"/>
      <c r="J54" s="210"/>
      <c r="K54" s="138">
        <v>56.0</v>
      </c>
      <c r="L54" s="138">
        <v>78.0</v>
      </c>
      <c r="M54" s="138">
        <v>55.0</v>
      </c>
      <c r="N54" s="138">
        <v>0.0</v>
      </c>
      <c r="O54" s="145">
        <v>0.0</v>
      </c>
      <c r="P54" s="145"/>
      <c r="Q54" s="145"/>
      <c r="R54" s="212"/>
      <c r="V54" s="210"/>
    </row>
    <row r="55" outlineLevel="1">
      <c r="A55" s="156"/>
      <c r="B55" s="373" t="s">
        <v>174</v>
      </c>
      <c r="C55" s="239" t="s">
        <v>175</v>
      </c>
      <c r="D55" s="107"/>
      <c r="E55" s="239" t="s">
        <v>176</v>
      </c>
      <c r="F55" s="138">
        <v>2.4</v>
      </c>
      <c r="G55" s="138">
        <v>2.04</v>
      </c>
      <c r="H55" s="138" t="s">
        <v>60</v>
      </c>
      <c r="I55" s="156"/>
      <c r="J55" s="107"/>
      <c r="K55" s="138">
        <v>48.0</v>
      </c>
      <c r="L55" s="138">
        <v>50.0</v>
      </c>
      <c r="M55" s="138">
        <v>77.0</v>
      </c>
      <c r="N55" s="138">
        <v>0.0</v>
      </c>
      <c r="O55" s="145">
        <v>0.0</v>
      </c>
      <c r="P55" s="145"/>
      <c r="Q55" s="145"/>
      <c r="R55" s="106"/>
      <c r="S55" s="168"/>
      <c r="T55" s="168"/>
      <c r="U55" s="168"/>
      <c r="V55" s="107"/>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
        <v>177</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
        <v>1465</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332</v>
      </c>
      <c r="B59" s="243" t="s">
        <v>1466</v>
      </c>
      <c r="C59" s="239" t="s">
        <v>1467</v>
      </c>
      <c r="D59" s="195" t="s">
        <v>541</v>
      </c>
      <c r="E59" s="139" t="s">
        <v>1024</v>
      </c>
      <c r="F59" s="138">
        <v>1.7999999999999998</v>
      </c>
      <c r="G59" s="139" t="s">
        <v>170</v>
      </c>
      <c r="H59" s="386" t="s">
        <v>1468</v>
      </c>
      <c r="I59" s="164"/>
      <c r="J59" s="104"/>
      <c r="K59" s="138">
        <v>60.0</v>
      </c>
      <c r="L59" s="138">
        <v>167.0</v>
      </c>
      <c r="M59" s="145">
        <v>0.0</v>
      </c>
      <c r="N59" s="145">
        <v>0.0</v>
      </c>
      <c r="O59" s="138">
        <v>0.0</v>
      </c>
      <c r="P59" s="138"/>
      <c r="Q59" s="138"/>
      <c r="R59" s="145" t="b">
        <v>0</v>
      </c>
      <c r="S59" s="145" t="b">
        <v>0</v>
      </c>
      <c r="T59" s="145" t="b">
        <v>1</v>
      </c>
      <c r="U59" s="166" t="s">
        <v>186</v>
      </c>
      <c r="V59" s="166" t="b">
        <v>1</v>
      </c>
    </row>
    <row r="60" outlineLevel="1">
      <c r="A60" s="146"/>
      <c r="B60" s="243" t="s">
        <v>1469</v>
      </c>
      <c r="C60" s="239" t="s">
        <v>1470</v>
      </c>
      <c r="D60" s="107"/>
      <c r="E60" s="139" t="s">
        <v>1375</v>
      </c>
      <c r="F60" s="138">
        <v>0.96</v>
      </c>
      <c r="G60" s="139" t="s">
        <v>170</v>
      </c>
      <c r="H60" s="212"/>
      <c r="J60" s="210"/>
      <c r="K60" s="138">
        <v>60.0</v>
      </c>
      <c r="L60" s="138">
        <v>167.0</v>
      </c>
      <c r="M60" s="145">
        <v>0.0</v>
      </c>
      <c r="N60" s="145">
        <v>0.0</v>
      </c>
      <c r="O60" s="138">
        <v>0.0</v>
      </c>
      <c r="P60" s="138"/>
      <c r="Q60" s="138"/>
      <c r="R60" s="145" t="b">
        <v>0</v>
      </c>
      <c r="S60" s="145" t="b">
        <v>0</v>
      </c>
      <c r="T60" s="145" t="b">
        <v>1</v>
      </c>
      <c r="U60" s="146"/>
      <c r="V60" s="146"/>
    </row>
    <row r="61" outlineLevel="1">
      <c r="A61" s="237" t="s">
        <v>344</v>
      </c>
      <c r="B61" s="243" t="s">
        <v>1466</v>
      </c>
      <c r="C61" s="239" t="s">
        <v>1467</v>
      </c>
      <c r="D61" s="195" t="s">
        <v>221</v>
      </c>
      <c r="E61" s="139" t="s">
        <v>1024</v>
      </c>
      <c r="F61" s="138">
        <v>1.7999999999999998</v>
      </c>
      <c r="G61" s="139" t="s">
        <v>170</v>
      </c>
      <c r="H61" s="212"/>
      <c r="J61" s="210"/>
      <c r="K61" s="138">
        <v>60.0</v>
      </c>
      <c r="L61" s="138">
        <v>167.0</v>
      </c>
      <c r="M61" s="145">
        <v>0.0</v>
      </c>
      <c r="N61" s="145">
        <v>0.0</v>
      </c>
      <c r="O61" s="138">
        <v>0.0</v>
      </c>
      <c r="P61" s="138"/>
      <c r="Q61" s="138"/>
      <c r="R61" s="145" t="b">
        <v>0</v>
      </c>
      <c r="S61" s="145" t="b">
        <v>0</v>
      </c>
      <c r="T61" s="145" t="b">
        <v>1</v>
      </c>
      <c r="U61" s="146"/>
      <c r="V61" s="146"/>
    </row>
    <row r="62" outlineLevel="1">
      <c r="A62" s="146"/>
      <c r="B62" s="243" t="s">
        <v>1469</v>
      </c>
      <c r="C62" s="239" t="s">
        <v>1470</v>
      </c>
      <c r="D62" s="107"/>
      <c r="E62" s="139" t="s">
        <v>1375</v>
      </c>
      <c r="F62" s="138">
        <v>0.96</v>
      </c>
      <c r="G62" s="139" t="s">
        <v>170</v>
      </c>
      <c r="H62" s="106"/>
      <c r="I62" s="168"/>
      <c r="J62" s="107"/>
      <c r="K62" s="138">
        <v>60.0</v>
      </c>
      <c r="L62" s="138">
        <v>167.0</v>
      </c>
      <c r="M62" s="145">
        <v>0.0</v>
      </c>
      <c r="N62" s="145">
        <v>0.0</v>
      </c>
      <c r="O62" s="138">
        <v>0.0</v>
      </c>
      <c r="P62" s="138"/>
      <c r="Q62" s="138"/>
      <c r="R62" s="145" t="b">
        <v>0</v>
      </c>
      <c r="S62" s="145" t="b">
        <v>0</v>
      </c>
      <c r="T62" s="145" t="b">
        <v>1</v>
      </c>
      <c r="U62" s="156"/>
      <c r="V62" s="156"/>
    </row>
    <row r="63" outlineLevel="1">
      <c r="A63" s="230" t="s">
        <v>1471</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259" t="s">
        <v>184</v>
      </c>
      <c r="B64" s="243" t="s">
        <v>860</v>
      </c>
      <c r="C64" s="239" t="s">
        <v>1472</v>
      </c>
      <c r="D64" s="365" t="s">
        <v>1473</v>
      </c>
      <c r="E64" s="239" t="s">
        <v>213</v>
      </c>
      <c r="F64" s="138">
        <v>1.2</v>
      </c>
      <c r="G64" s="239" t="s">
        <v>170</v>
      </c>
      <c r="H64" s="386" t="s">
        <v>1474</v>
      </c>
      <c r="I64" s="164"/>
      <c r="J64" s="104"/>
      <c r="K64" s="281"/>
      <c r="L64" s="281"/>
      <c r="M64" s="281"/>
      <c r="N64" s="281"/>
      <c r="O64" s="281"/>
      <c r="P64" s="281"/>
      <c r="Q64" s="281"/>
      <c r="R64" s="281"/>
      <c r="S64" s="281"/>
      <c r="T64" s="281"/>
      <c r="U64" s="166" t="s">
        <v>186</v>
      </c>
      <c r="V64" s="166" t="b">
        <v>1</v>
      </c>
    </row>
    <row r="65" outlineLevel="1">
      <c r="A65" s="237" t="s">
        <v>332</v>
      </c>
      <c r="B65" s="243" t="s">
        <v>1475</v>
      </c>
      <c r="C65" s="239" t="s">
        <v>1476</v>
      </c>
      <c r="D65" s="379" t="s">
        <v>164</v>
      </c>
      <c r="E65" s="239" t="s">
        <v>1477</v>
      </c>
      <c r="F65" s="138" t="s">
        <v>1478</v>
      </c>
      <c r="G65" s="239" t="s">
        <v>170</v>
      </c>
      <c r="H65" s="212"/>
      <c r="J65" s="210"/>
      <c r="K65" s="281"/>
      <c r="L65" s="281"/>
      <c r="M65" s="281"/>
      <c r="N65" s="281"/>
      <c r="O65" s="281"/>
      <c r="P65" s="281"/>
      <c r="Q65" s="281"/>
      <c r="R65" s="281"/>
      <c r="S65" s="281"/>
      <c r="T65" s="281"/>
      <c r="U65" s="146"/>
      <c r="V65" s="146"/>
    </row>
    <row r="66" outlineLevel="1">
      <c r="A66" s="146"/>
      <c r="B66" s="243" t="s">
        <v>1479</v>
      </c>
      <c r="C66" s="365" t="s">
        <v>1480</v>
      </c>
      <c r="D66" s="107"/>
      <c r="E66" s="239" t="s">
        <v>1481</v>
      </c>
      <c r="F66" s="138">
        <v>15.12</v>
      </c>
      <c r="G66" s="239" t="s">
        <v>147</v>
      </c>
      <c r="H66" s="212"/>
      <c r="J66" s="210"/>
      <c r="K66" s="281"/>
      <c r="L66" s="281"/>
      <c r="M66" s="281"/>
      <c r="N66" s="281"/>
      <c r="O66" s="281"/>
      <c r="P66" s="281"/>
      <c r="Q66" s="281"/>
      <c r="R66" s="281"/>
      <c r="S66" s="281"/>
      <c r="T66" s="281"/>
      <c r="U66" s="146"/>
      <c r="V66" s="146"/>
    </row>
    <row r="67" outlineLevel="1">
      <c r="A67" s="156"/>
      <c r="B67" s="243" t="s">
        <v>1482</v>
      </c>
      <c r="C67" s="409"/>
      <c r="D67" s="467" t="s">
        <v>393</v>
      </c>
      <c r="E67" s="409"/>
      <c r="F67" s="409"/>
      <c r="G67" s="409"/>
      <c r="H67" s="212"/>
      <c r="J67" s="210"/>
      <c r="K67" s="281"/>
      <c r="L67" s="281"/>
      <c r="M67" s="281"/>
      <c r="N67" s="281"/>
      <c r="O67" s="281"/>
      <c r="P67" s="281"/>
      <c r="Q67" s="281"/>
      <c r="R67" s="281"/>
      <c r="S67" s="281"/>
      <c r="T67" s="281"/>
      <c r="U67" s="146"/>
      <c r="V67" s="146"/>
    </row>
    <row r="68" outlineLevel="1">
      <c r="A68" s="237" t="s">
        <v>344</v>
      </c>
      <c r="B68" s="243" t="s">
        <v>1475</v>
      </c>
      <c r="C68" s="239" t="s">
        <v>1476</v>
      </c>
      <c r="D68" s="379" t="s">
        <v>628</v>
      </c>
      <c r="E68" s="239" t="s">
        <v>1477</v>
      </c>
      <c r="F68" s="138" t="s">
        <v>1478</v>
      </c>
      <c r="G68" s="239" t="s">
        <v>170</v>
      </c>
      <c r="H68" s="212"/>
      <c r="J68" s="210"/>
      <c r="K68" s="281"/>
      <c r="L68" s="281"/>
      <c r="M68" s="281"/>
      <c r="N68" s="281"/>
      <c r="O68" s="281"/>
      <c r="P68" s="281"/>
      <c r="Q68" s="281"/>
      <c r="R68" s="281"/>
      <c r="S68" s="281"/>
      <c r="T68" s="281"/>
      <c r="U68" s="146"/>
      <c r="V68" s="146"/>
    </row>
    <row r="69" outlineLevel="1">
      <c r="A69" s="146"/>
      <c r="B69" s="243" t="s">
        <v>1479</v>
      </c>
      <c r="C69" s="365" t="s">
        <v>1480</v>
      </c>
      <c r="D69" s="107"/>
      <c r="E69" s="239" t="s">
        <v>1481</v>
      </c>
      <c r="F69" s="138">
        <v>15.12</v>
      </c>
      <c r="G69" s="239" t="s">
        <v>147</v>
      </c>
      <c r="H69" s="212"/>
      <c r="J69" s="210"/>
      <c r="K69" s="281"/>
      <c r="L69" s="281"/>
      <c r="M69" s="281"/>
      <c r="N69" s="281"/>
      <c r="O69" s="281"/>
      <c r="P69" s="281"/>
      <c r="Q69" s="281"/>
      <c r="R69" s="281"/>
      <c r="S69" s="281"/>
      <c r="T69" s="281"/>
      <c r="U69" s="146"/>
      <c r="V69" s="146"/>
    </row>
    <row r="70" outlineLevel="1">
      <c r="A70" s="156"/>
      <c r="B70" s="243" t="s">
        <v>1482</v>
      </c>
      <c r="C70" s="409"/>
      <c r="D70" s="467" t="s">
        <v>541</v>
      </c>
      <c r="E70" s="409"/>
      <c r="F70" s="409"/>
      <c r="G70" s="409"/>
      <c r="H70" s="212"/>
      <c r="J70" s="210"/>
      <c r="K70" s="281"/>
      <c r="L70" s="281"/>
      <c r="M70" s="281"/>
      <c r="N70" s="281"/>
      <c r="O70" s="281"/>
      <c r="P70" s="281"/>
      <c r="Q70" s="281"/>
      <c r="R70" s="281"/>
      <c r="S70" s="281"/>
      <c r="T70" s="281"/>
      <c r="U70" s="146"/>
      <c r="V70" s="146"/>
    </row>
    <row r="71" outlineLevel="1">
      <c r="A71" s="259" t="s">
        <v>483</v>
      </c>
      <c r="B71" s="243" t="s">
        <v>484</v>
      </c>
      <c r="C71" s="409"/>
      <c r="D71" s="409"/>
      <c r="E71" s="467" t="s">
        <v>1264</v>
      </c>
      <c r="F71" s="467" t="s">
        <v>1265</v>
      </c>
      <c r="G71" s="467" t="s">
        <v>1483</v>
      </c>
      <c r="H71" s="106"/>
      <c r="I71" s="168"/>
      <c r="J71" s="107"/>
      <c r="K71" s="281"/>
      <c r="L71" s="281"/>
      <c r="M71" s="281"/>
      <c r="N71" s="281"/>
      <c r="O71" s="281"/>
      <c r="P71" s="281"/>
      <c r="Q71" s="281"/>
      <c r="R71" s="281"/>
      <c r="S71" s="281"/>
      <c r="T71" s="281"/>
      <c r="U71" s="156"/>
      <c r="V71" s="156"/>
    </row>
    <row r="72" outlineLevel="1">
      <c r="A72" s="230" t="s">
        <v>1484</v>
      </c>
      <c r="B72" s="109"/>
      <c r="C72" s="231" t="s">
        <v>48</v>
      </c>
      <c r="D72" s="231" t="s">
        <v>49</v>
      </c>
      <c r="E72" s="232" t="s">
        <v>50</v>
      </c>
      <c r="F72" s="233" t="s">
        <v>51</v>
      </c>
      <c r="G72" s="232" t="s">
        <v>52</v>
      </c>
      <c r="H72" s="382"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236" t="s">
        <v>183</v>
      </c>
    </row>
    <row r="73" ht="39.0" customHeight="1" outlineLevel="1">
      <c r="A73" s="546" t="s">
        <v>184</v>
      </c>
      <c r="B73" s="402" t="s">
        <v>1485</v>
      </c>
      <c r="C73" s="239" t="s">
        <v>1486</v>
      </c>
      <c r="D73" s="367" t="s">
        <v>1487</v>
      </c>
      <c r="E73" s="239" t="s">
        <v>129</v>
      </c>
      <c r="F73" s="138">
        <v>14.399999999999999</v>
      </c>
      <c r="G73" s="139" t="s">
        <v>147</v>
      </c>
      <c r="H73" s="283" t="s">
        <v>1488</v>
      </c>
      <c r="I73" s="164"/>
      <c r="J73" s="104"/>
      <c r="K73" s="138">
        <v>55.0</v>
      </c>
      <c r="L73" s="138">
        <v>102.0</v>
      </c>
      <c r="M73" s="145">
        <v>50.0</v>
      </c>
      <c r="N73" s="145">
        <v>0.0</v>
      </c>
      <c r="O73" s="138">
        <v>0.0</v>
      </c>
      <c r="P73" s="138"/>
      <c r="Q73" s="138"/>
      <c r="R73" s="145" t="b">
        <v>0</v>
      </c>
      <c r="S73" s="145" t="b">
        <v>0</v>
      </c>
      <c r="T73" s="145" t="b">
        <v>1</v>
      </c>
      <c r="U73" s="166" t="b">
        <v>0</v>
      </c>
      <c r="V73" s="166" t="b">
        <v>0</v>
      </c>
    </row>
    <row r="74" ht="39.0" customHeight="1" outlineLevel="1">
      <c r="A74" s="156"/>
      <c r="B74" s="402" t="s">
        <v>1489</v>
      </c>
      <c r="C74" s="239" t="s">
        <v>1490</v>
      </c>
      <c r="D74" s="156"/>
      <c r="E74" s="239" t="s">
        <v>1491</v>
      </c>
      <c r="F74" s="138" t="s">
        <v>1492</v>
      </c>
      <c r="G74" s="139" t="s">
        <v>1493</v>
      </c>
      <c r="H74" s="106"/>
      <c r="I74" s="168"/>
      <c r="J74" s="107"/>
      <c r="K74" s="138" t="s">
        <v>1494</v>
      </c>
      <c r="L74" s="138">
        <v>100.0</v>
      </c>
      <c r="M74" s="145" t="s">
        <v>1495</v>
      </c>
      <c r="N74" s="145">
        <v>0.0</v>
      </c>
      <c r="O74" s="138">
        <v>0.0</v>
      </c>
      <c r="P74" s="138"/>
      <c r="Q74" s="138"/>
      <c r="R74" s="145" t="b">
        <v>1</v>
      </c>
      <c r="S74" s="145" t="b">
        <v>0</v>
      </c>
      <c r="T74" s="145"/>
      <c r="U74" s="156"/>
      <c r="V74" s="156"/>
    </row>
    <row r="75" outlineLevel="1">
      <c r="A75" s="230" t="s">
        <v>1496</v>
      </c>
      <c r="B75" s="109"/>
      <c r="C75" s="231" t="s">
        <v>48</v>
      </c>
      <c r="D75" s="231" t="s">
        <v>49</v>
      </c>
      <c r="E75" s="232" t="s">
        <v>50</v>
      </c>
      <c r="F75" s="233" t="s">
        <v>51</v>
      </c>
      <c r="G75" s="232" t="s">
        <v>52</v>
      </c>
      <c r="H75" s="382" t="s">
        <v>53</v>
      </c>
      <c r="I75" s="110"/>
      <c r="J75" s="109"/>
      <c r="K75" s="235" t="s">
        <v>137</v>
      </c>
      <c r="L75" s="235" t="s">
        <v>138</v>
      </c>
      <c r="M75" s="235" t="s">
        <v>139</v>
      </c>
      <c r="N75" s="235" t="s">
        <v>140</v>
      </c>
      <c r="O75" s="236" t="s">
        <v>141</v>
      </c>
      <c r="P75" s="235" t="s">
        <v>142</v>
      </c>
      <c r="Q75" s="236" t="s">
        <v>143</v>
      </c>
      <c r="R75" s="235" t="s">
        <v>179</v>
      </c>
      <c r="S75" s="236" t="s">
        <v>180</v>
      </c>
      <c r="T75" s="236" t="s">
        <v>181</v>
      </c>
      <c r="U75" s="236" t="s">
        <v>182</v>
      </c>
      <c r="V75" s="236" t="s">
        <v>183</v>
      </c>
    </row>
    <row r="76" ht="19.5" customHeight="1" outlineLevel="1">
      <c r="A76" s="237" t="s">
        <v>184</v>
      </c>
      <c r="B76" s="624" t="s">
        <v>1089</v>
      </c>
      <c r="C76" s="239" t="s">
        <v>1497</v>
      </c>
      <c r="D76" s="239" t="s">
        <v>146</v>
      </c>
      <c r="E76" s="367" t="s">
        <v>232</v>
      </c>
      <c r="F76" s="394">
        <v>13.2</v>
      </c>
      <c r="G76" s="549" t="s">
        <v>121</v>
      </c>
      <c r="H76" s="283" t="s">
        <v>1498</v>
      </c>
      <c r="I76" s="164"/>
      <c r="J76" s="104"/>
      <c r="K76" s="394">
        <v>361.0</v>
      </c>
      <c r="L76" s="394">
        <v>97.0</v>
      </c>
      <c r="M76" s="166">
        <v>26.0</v>
      </c>
      <c r="N76" s="166">
        <v>0.0</v>
      </c>
      <c r="O76" s="394">
        <v>0.0</v>
      </c>
      <c r="P76" s="394"/>
      <c r="Q76" s="394"/>
      <c r="R76" s="166" t="b">
        <v>1</v>
      </c>
      <c r="S76" s="166" t="b">
        <v>0</v>
      </c>
      <c r="T76" s="166"/>
      <c r="U76" s="166" t="s">
        <v>186</v>
      </c>
      <c r="V76" s="166" t="b">
        <v>1</v>
      </c>
    </row>
    <row r="77" ht="19.5" customHeight="1" outlineLevel="1">
      <c r="A77" s="146"/>
      <c r="B77" s="624" t="s">
        <v>1499</v>
      </c>
      <c r="C77" s="239" t="s">
        <v>1500</v>
      </c>
      <c r="D77" s="239" t="s">
        <v>413</v>
      </c>
      <c r="E77" s="156"/>
      <c r="F77" s="156"/>
      <c r="G77" s="107"/>
      <c r="H77" s="212"/>
      <c r="J77" s="210"/>
      <c r="K77" s="156"/>
      <c r="L77" s="156"/>
      <c r="M77" s="156"/>
      <c r="N77" s="156"/>
      <c r="O77" s="156"/>
      <c r="P77" s="156"/>
      <c r="Q77" s="156"/>
      <c r="R77" s="156"/>
      <c r="S77" s="156"/>
      <c r="T77" s="156"/>
      <c r="U77" s="146"/>
      <c r="V77" s="146"/>
    </row>
    <row r="78" ht="19.5" customHeight="1" outlineLevel="1">
      <c r="A78" s="146"/>
      <c r="B78" s="624" t="s">
        <v>470</v>
      </c>
      <c r="C78" s="409"/>
      <c r="D78" s="239" t="s">
        <v>993</v>
      </c>
      <c r="E78" s="281"/>
      <c r="F78" s="281"/>
      <c r="G78" s="409"/>
      <c r="H78" s="212"/>
      <c r="J78" s="210"/>
      <c r="K78" s="281"/>
      <c r="L78" s="281"/>
      <c r="M78" s="281"/>
      <c r="N78" s="281"/>
      <c r="O78" s="281"/>
      <c r="P78" s="281"/>
      <c r="Q78" s="281"/>
      <c r="R78" s="281"/>
      <c r="S78" s="281"/>
      <c r="T78" s="281"/>
      <c r="U78" s="146"/>
      <c r="V78" s="146"/>
    </row>
    <row r="79" ht="19.5" customHeight="1" outlineLevel="1">
      <c r="A79" s="156"/>
      <c r="B79" s="624" t="s">
        <v>1501</v>
      </c>
      <c r="C79" s="239" t="s">
        <v>1502</v>
      </c>
      <c r="D79" s="239" t="s">
        <v>185</v>
      </c>
      <c r="E79" s="239" t="s">
        <v>228</v>
      </c>
      <c r="F79" s="138">
        <v>15.6</v>
      </c>
      <c r="G79" s="139" t="s">
        <v>407</v>
      </c>
      <c r="H79" s="106"/>
      <c r="I79" s="168"/>
      <c r="J79" s="107"/>
      <c r="K79" s="138">
        <v>361.0</v>
      </c>
      <c r="L79" s="138">
        <v>97.0</v>
      </c>
      <c r="M79" s="138">
        <v>28.0</v>
      </c>
      <c r="N79" s="145">
        <v>0.0</v>
      </c>
      <c r="O79" s="138">
        <v>0.0</v>
      </c>
      <c r="P79" s="138"/>
      <c r="Q79" s="138"/>
      <c r="R79" s="145" t="b">
        <v>1</v>
      </c>
      <c r="S79" s="145"/>
      <c r="T79" s="145"/>
      <c r="U79" s="156"/>
      <c r="V79" s="156"/>
    </row>
    <row r="80">
      <c r="A80" s="223"/>
      <c r="B80" s="224"/>
      <c r="C80" s="225"/>
      <c r="D80" s="225"/>
      <c r="E80" s="226"/>
      <c r="F80" s="226"/>
      <c r="G80" s="226"/>
      <c r="H80" s="227"/>
      <c r="I80" s="227"/>
      <c r="J80" s="228"/>
      <c r="K80" s="228"/>
      <c r="L80" s="228"/>
      <c r="M80" s="228"/>
      <c r="N80" s="228"/>
      <c r="O80" s="228"/>
      <c r="P80" s="228"/>
      <c r="Q80" s="118"/>
      <c r="R80" s="118"/>
      <c r="S80" s="118"/>
      <c r="T80" s="118"/>
      <c r="U80" s="118"/>
      <c r="V80" s="118"/>
    </row>
    <row r="81">
      <c r="A81" s="264" t="s">
        <v>211</v>
      </c>
      <c r="B81" s="104"/>
      <c r="C81" s="227"/>
      <c r="D81" s="227"/>
      <c r="E81" s="228"/>
      <c r="F81" s="265"/>
      <c r="G81" s="265"/>
      <c r="H81" s="228"/>
      <c r="I81" s="228"/>
      <c r="J81" s="228"/>
      <c r="K81" s="228"/>
      <c r="L81" s="228"/>
      <c r="M81" s="228"/>
      <c r="N81" s="118"/>
      <c r="O81" s="118"/>
      <c r="P81" s="118"/>
      <c r="Q81" s="228"/>
      <c r="R81" s="228"/>
      <c r="S81" s="228"/>
      <c r="T81" s="228"/>
      <c r="U81" s="228"/>
      <c r="V81" s="228"/>
    </row>
    <row r="82" outlineLevel="1">
      <c r="A82" s="106"/>
      <c r="B82" s="107"/>
      <c r="C82" s="266" t="s">
        <v>48</v>
      </c>
      <c r="D82" s="266" t="s">
        <v>49</v>
      </c>
      <c r="E82" s="266" t="s">
        <v>50</v>
      </c>
      <c r="F82" s="267" t="s">
        <v>51</v>
      </c>
      <c r="G82" s="227"/>
      <c r="H82" s="227"/>
      <c r="I82" s="227"/>
      <c r="J82" s="228"/>
      <c r="K82" s="228"/>
      <c r="L82" s="228"/>
      <c r="M82" s="228"/>
      <c r="N82" s="228"/>
      <c r="O82" s="228"/>
      <c r="P82" s="228"/>
      <c r="Q82" s="228"/>
      <c r="R82" s="228"/>
      <c r="S82" s="228"/>
      <c r="T82" s="228"/>
      <c r="U82" s="228"/>
      <c r="V82" s="228"/>
    </row>
    <row r="83" outlineLevel="1">
      <c r="A83" s="268" t="s">
        <v>212</v>
      </c>
      <c r="B83" s="269" t="s">
        <v>212</v>
      </c>
      <c r="C83" s="239" t="s">
        <v>213</v>
      </c>
      <c r="D83" s="239" t="s">
        <v>150</v>
      </c>
      <c r="E83" s="239" t="s">
        <v>213</v>
      </c>
      <c r="F83" s="138">
        <v>1.2</v>
      </c>
      <c r="G83" s="227"/>
      <c r="H83" s="227"/>
      <c r="I83" s="227"/>
      <c r="J83" s="228"/>
      <c r="K83" s="228"/>
      <c r="L83" s="228"/>
      <c r="M83" s="228"/>
      <c r="N83" s="228"/>
      <c r="O83" s="228"/>
      <c r="P83" s="228"/>
      <c r="Q83" s="228"/>
      <c r="R83" s="228"/>
      <c r="S83" s="228"/>
      <c r="T83" s="228"/>
      <c r="U83" s="228"/>
      <c r="V83" s="228"/>
    </row>
    <row r="84" outlineLevel="1">
      <c r="A84" s="270" t="s">
        <v>215</v>
      </c>
      <c r="B84" s="269" t="s">
        <v>216</v>
      </c>
      <c r="C84" s="239" t="s">
        <v>217</v>
      </c>
      <c r="D84" s="239" t="s">
        <v>224</v>
      </c>
      <c r="E84" s="271"/>
      <c r="F84" s="272"/>
      <c r="G84" s="272"/>
      <c r="H84" s="227"/>
      <c r="I84" s="227"/>
      <c r="J84" s="228"/>
      <c r="K84" s="228"/>
      <c r="L84" s="228"/>
      <c r="M84" s="228"/>
      <c r="N84" s="228"/>
      <c r="O84" s="228"/>
      <c r="P84" s="228"/>
      <c r="Q84" s="228"/>
      <c r="R84" s="228"/>
      <c r="S84" s="228"/>
      <c r="T84" s="228"/>
      <c r="U84" s="228"/>
      <c r="V84" s="228"/>
    </row>
    <row r="85" outlineLevel="1">
      <c r="A85" s="212"/>
      <c r="B85" s="269" t="s">
        <v>219</v>
      </c>
      <c r="C85" s="239" t="s">
        <v>220</v>
      </c>
      <c r="D85" s="239" t="s">
        <v>393</v>
      </c>
      <c r="E85" s="271"/>
      <c r="F85" s="272"/>
      <c r="G85" s="272"/>
      <c r="H85" s="227"/>
      <c r="I85" s="227"/>
      <c r="J85" s="228"/>
      <c r="K85" s="228"/>
      <c r="L85" s="228"/>
      <c r="M85" s="228"/>
      <c r="N85" s="228"/>
      <c r="O85" s="228"/>
      <c r="P85" s="228"/>
      <c r="Q85" s="228"/>
      <c r="R85" s="228"/>
      <c r="S85" s="228"/>
      <c r="T85" s="228"/>
      <c r="U85" s="228"/>
      <c r="V85" s="228"/>
    </row>
    <row r="86" outlineLevel="1">
      <c r="A86" s="106"/>
      <c r="B86" s="269" t="s">
        <v>222</v>
      </c>
      <c r="C86" s="239" t="s">
        <v>299</v>
      </c>
      <c r="D86" s="239" t="s">
        <v>118</v>
      </c>
      <c r="E86" s="227"/>
      <c r="F86" s="272"/>
      <c r="G86" s="272"/>
      <c r="H86" s="227"/>
      <c r="I86" s="227"/>
      <c r="J86" s="228"/>
      <c r="K86" s="228"/>
      <c r="L86" s="228"/>
      <c r="M86" s="228"/>
      <c r="N86" s="228"/>
      <c r="O86" s="228"/>
      <c r="P86" s="228"/>
      <c r="Q86" s="228"/>
      <c r="R86" s="228"/>
      <c r="S86" s="228"/>
      <c r="T86" s="228"/>
      <c r="U86" s="228"/>
      <c r="V86" s="228"/>
    </row>
    <row r="87" outlineLevel="1">
      <c r="A87" s="273" t="s">
        <v>225</v>
      </c>
      <c r="B87" s="109"/>
      <c r="C87" s="266" t="s">
        <v>48</v>
      </c>
      <c r="D87" s="266" t="s">
        <v>49</v>
      </c>
      <c r="E87" s="266" t="s">
        <v>50</v>
      </c>
      <c r="F87" s="267" t="s">
        <v>51</v>
      </c>
      <c r="G87" s="274" t="s">
        <v>53</v>
      </c>
      <c r="H87" s="110"/>
      <c r="I87" s="110"/>
      <c r="J87" s="109"/>
      <c r="K87" s="275" t="s">
        <v>137</v>
      </c>
      <c r="L87" s="275" t="s">
        <v>138</v>
      </c>
      <c r="M87" s="275" t="s">
        <v>139</v>
      </c>
      <c r="N87" s="275" t="s">
        <v>140</v>
      </c>
      <c r="O87" s="276" t="s">
        <v>141</v>
      </c>
      <c r="P87" s="275" t="s">
        <v>142</v>
      </c>
      <c r="Q87" s="276" t="s">
        <v>143</v>
      </c>
      <c r="R87" s="277"/>
      <c r="S87" s="277"/>
      <c r="T87" s="277"/>
      <c r="U87" s="277"/>
      <c r="V87" s="277"/>
    </row>
    <row r="88" outlineLevel="1">
      <c r="A88" s="278" t="s">
        <v>226</v>
      </c>
      <c r="B88" s="269" t="s">
        <v>227</v>
      </c>
      <c r="C88" s="113" t="s">
        <v>351</v>
      </c>
      <c r="D88" s="279">
        <v>39.0</v>
      </c>
      <c r="E88" s="239" t="s">
        <v>150</v>
      </c>
      <c r="F88" s="138">
        <v>6.0</v>
      </c>
      <c r="G88" s="416"/>
      <c r="H88" s="164"/>
      <c r="I88" s="164"/>
      <c r="J88" s="104"/>
      <c r="K88" s="138">
        <v>361.0</v>
      </c>
      <c r="L88" s="138">
        <v>0.0</v>
      </c>
      <c r="M88" s="138">
        <v>10.0</v>
      </c>
      <c r="N88" s="138">
        <v>80.0</v>
      </c>
      <c r="O88" s="145">
        <v>1.0</v>
      </c>
      <c r="P88" s="145"/>
      <c r="Q88" s="145"/>
      <c r="R88" s="277"/>
      <c r="S88" s="228"/>
      <c r="T88" s="228"/>
      <c r="U88" s="228"/>
      <c r="V88" s="228"/>
    </row>
    <row r="89" outlineLevel="1">
      <c r="A89" s="156"/>
      <c r="B89" s="269" t="s">
        <v>225</v>
      </c>
      <c r="C89" s="113">
        <v>22.0</v>
      </c>
      <c r="D89" s="156"/>
      <c r="E89" s="239" t="s">
        <v>176</v>
      </c>
      <c r="F89" s="138">
        <v>2.4</v>
      </c>
      <c r="G89" s="106"/>
      <c r="H89" s="168"/>
      <c r="I89" s="168"/>
      <c r="J89" s="107"/>
      <c r="K89" s="138">
        <v>72.0</v>
      </c>
      <c r="L89" s="138">
        <v>79.0</v>
      </c>
      <c r="M89" s="138">
        <v>80.0</v>
      </c>
      <c r="N89" s="138">
        <v>0.0</v>
      </c>
      <c r="O89" s="261"/>
      <c r="P89" s="261"/>
      <c r="Q89" s="261"/>
      <c r="R89" s="277"/>
      <c r="S89" s="228"/>
      <c r="T89" s="228"/>
      <c r="U89" s="228"/>
      <c r="V89" s="228"/>
    </row>
    <row r="90" outlineLevel="1">
      <c r="A90" s="278" t="s">
        <v>229</v>
      </c>
      <c r="B90" s="269" t="s">
        <v>227</v>
      </c>
      <c r="C90" s="113" t="s">
        <v>561</v>
      </c>
      <c r="D90" s="279">
        <v>35.0</v>
      </c>
      <c r="E90" s="239" t="s">
        <v>150</v>
      </c>
      <c r="F90" s="138">
        <v>6.0</v>
      </c>
      <c r="G90" s="416"/>
      <c r="H90" s="164"/>
      <c r="I90" s="164"/>
      <c r="J90" s="104"/>
      <c r="K90" s="138">
        <v>130.0</v>
      </c>
      <c r="L90" s="138">
        <v>1.0</v>
      </c>
      <c r="M90" s="138">
        <v>10.0</v>
      </c>
      <c r="N90" s="138">
        <v>0.0</v>
      </c>
      <c r="O90" s="145">
        <v>1.0</v>
      </c>
      <c r="P90" s="145"/>
      <c r="Q90" s="145"/>
      <c r="R90" s="277"/>
      <c r="S90" s="228"/>
      <c r="T90" s="228"/>
      <c r="U90" s="228"/>
      <c r="V90" s="228"/>
    </row>
    <row r="91" outlineLevel="1">
      <c r="A91" s="156"/>
      <c r="B91" s="269" t="s">
        <v>225</v>
      </c>
      <c r="C91" s="113">
        <v>17.0</v>
      </c>
      <c r="D91" s="156"/>
      <c r="E91" s="239" t="s">
        <v>176</v>
      </c>
      <c r="F91" s="138">
        <v>2.4</v>
      </c>
      <c r="G91" s="106"/>
      <c r="H91" s="168"/>
      <c r="I91" s="168"/>
      <c r="J91" s="107"/>
      <c r="K91" s="138">
        <v>120.0</v>
      </c>
      <c r="L91" s="138">
        <v>50.0</v>
      </c>
      <c r="M91" s="138">
        <v>90.0</v>
      </c>
      <c r="N91" s="138">
        <v>0.0</v>
      </c>
      <c r="O91" s="261"/>
      <c r="P91" s="261"/>
      <c r="Q91" s="261"/>
      <c r="R91" s="277"/>
      <c r="S91" s="228"/>
      <c r="T91" s="228"/>
      <c r="U91" s="228"/>
      <c r="V91" s="228"/>
    </row>
    <row r="92" outlineLevel="1">
      <c r="A92" s="278" t="s">
        <v>233</v>
      </c>
      <c r="B92" s="269" t="s">
        <v>227</v>
      </c>
      <c r="C92" s="113" t="s">
        <v>334</v>
      </c>
      <c r="D92" s="279">
        <v>49.0</v>
      </c>
      <c r="E92" s="239" t="s">
        <v>204</v>
      </c>
      <c r="F92" s="138">
        <v>3.5999999999999996</v>
      </c>
      <c r="G92" s="416"/>
      <c r="H92" s="164"/>
      <c r="I92" s="164"/>
      <c r="J92" s="104"/>
      <c r="K92" s="138">
        <v>361.0</v>
      </c>
      <c r="L92" s="138">
        <v>0.0</v>
      </c>
      <c r="M92" s="138">
        <v>10.0</v>
      </c>
      <c r="N92" s="138">
        <v>90.0</v>
      </c>
      <c r="O92" s="145">
        <v>1.0</v>
      </c>
      <c r="P92" s="145"/>
      <c r="Q92" s="145"/>
      <c r="R92" s="277"/>
      <c r="S92" s="228"/>
      <c r="T92" s="228"/>
      <c r="U92" s="228"/>
      <c r="V92" s="228"/>
    </row>
    <row r="93" outlineLevel="1">
      <c r="A93" s="156"/>
      <c r="B93" s="269" t="s">
        <v>225</v>
      </c>
      <c r="C93" s="113">
        <v>21.0</v>
      </c>
      <c r="D93" s="156"/>
      <c r="E93" s="239" t="s">
        <v>204</v>
      </c>
      <c r="F93" s="138">
        <v>3.5999999999999996</v>
      </c>
      <c r="G93" s="106"/>
      <c r="H93" s="168"/>
      <c r="I93" s="168"/>
      <c r="J93" s="107"/>
      <c r="K93" s="138">
        <v>85.0</v>
      </c>
      <c r="L93" s="138">
        <v>62.0</v>
      </c>
      <c r="M93" s="138">
        <v>110.0</v>
      </c>
      <c r="N93" s="138">
        <v>0.0</v>
      </c>
      <c r="O93" s="261"/>
      <c r="P93" s="261"/>
      <c r="Q93" s="261"/>
      <c r="R93" s="277"/>
      <c r="S93" s="117"/>
      <c r="T93" s="117"/>
      <c r="U93" s="117"/>
      <c r="V93" s="117"/>
    </row>
    <row r="94" outlineLevel="1">
      <c r="A94" s="278" t="s">
        <v>234</v>
      </c>
      <c r="B94" s="269" t="s">
        <v>227</v>
      </c>
      <c r="C94" s="239" t="s">
        <v>1503</v>
      </c>
      <c r="D94" s="279">
        <v>53.0</v>
      </c>
      <c r="E94" s="239" t="s">
        <v>204</v>
      </c>
      <c r="F94" s="138">
        <v>3.5999999999999996</v>
      </c>
      <c r="G94" s="416"/>
      <c r="H94" s="164"/>
      <c r="I94" s="164"/>
      <c r="J94" s="104"/>
      <c r="K94" s="138">
        <v>361.0</v>
      </c>
      <c r="L94" s="138">
        <v>0.0</v>
      </c>
      <c r="M94" s="138">
        <v>10.0</v>
      </c>
      <c r="N94" s="138">
        <v>100.0</v>
      </c>
      <c r="O94" s="145">
        <v>1.0</v>
      </c>
      <c r="P94" s="145"/>
      <c r="Q94" s="145"/>
      <c r="R94" s="277"/>
      <c r="S94" s="117"/>
      <c r="T94" s="117"/>
      <c r="U94" s="117"/>
      <c r="V94" s="117"/>
    </row>
    <row r="95" outlineLevel="1">
      <c r="A95" s="156"/>
      <c r="B95" s="269" t="s">
        <v>225</v>
      </c>
      <c r="C95" s="113">
        <v>31.0</v>
      </c>
      <c r="D95" s="156"/>
      <c r="E95" s="239" t="s">
        <v>204</v>
      </c>
      <c r="F95" s="138">
        <v>3.5999999999999996</v>
      </c>
      <c r="G95" s="106"/>
      <c r="H95" s="168"/>
      <c r="I95" s="168"/>
      <c r="J95" s="107"/>
      <c r="K95" s="138">
        <v>77.0</v>
      </c>
      <c r="L95" s="138">
        <v>60.0</v>
      </c>
      <c r="M95" s="138">
        <v>95.0</v>
      </c>
      <c r="N95" s="138">
        <v>0.0</v>
      </c>
      <c r="O95" s="261"/>
      <c r="P95" s="261"/>
      <c r="Q95" s="261"/>
      <c r="R95" s="277"/>
      <c r="S95" s="117"/>
      <c r="T95" s="117"/>
      <c r="U95" s="117"/>
      <c r="V95" s="117"/>
    </row>
    <row r="96">
      <c r="A96" s="223"/>
      <c r="B96" s="224"/>
      <c r="C96" s="225"/>
      <c r="D96" s="225"/>
      <c r="E96" s="227"/>
      <c r="F96" s="177"/>
      <c r="G96" s="177"/>
      <c r="H96" s="227"/>
      <c r="I96" s="227"/>
      <c r="J96" s="228"/>
      <c r="K96" s="228"/>
      <c r="L96" s="111"/>
      <c r="M96" s="111"/>
      <c r="N96" s="111"/>
      <c r="O96" s="117"/>
      <c r="P96" s="117"/>
      <c r="Q96" s="111"/>
      <c r="R96" s="111"/>
      <c r="S96" s="111"/>
      <c r="T96" s="111"/>
      <c r="U96" s="111"/>
      <c r="V96" s="111"/>
    </row>
    <row r="97">
      <c r="A97" s="284" t="s">
        <v>241</v>
      </c>
      <c r="B97" s="104"/>
      <c r="C97" s="265"/>
      <c r="D97" s="111"/>
      <c r="E97" s="111"/>
      <c r="F97" s="111"/>
      <c r="G97" s="111"/>
      <c r="H97" s="99"/>
      <c r="I97" s="111"/>
      <c r="J97" s="118"/>
      <c r="K97" s="111"/>
      <c r="L97" s="111"/>
      <c r="M97" s="111"/>
      <c r="N97" s="111"/>
      <c r="O97" s="111"/>
      <c r="P97" s="111"/>
      <c r="Q97" s="118"/>
      <c r="R97" s="111"/>
      <c r="S97" s="111"/>
      <c r="T97" s="111"/>
      <c r="U97" s="111"/>
      <c r="V97" s="111"/>
    </row>
    <row r="98" outlineLevel="1">
      <c r="A98" s="106"/>
      <c r="B98" s="107"/>
      <c r="C98" s="285" t="s">
        <v>235</v>
      </c>
      <c r="D98" s="285" t="s">
        <v>236</v>
      </c>
      <c r="E98" s="285" t="s">
        <v>49</v>
      </c>
      <c r="F98" s="285" t="s">
        <v>237</v>
      </c>
      <c r="G98" s="286"/>
      <c r="H98" s="290"/>
      <c r="I98" s="290"/>
      <c r="J98" s="228"/>
      <c r="K98" s="228"/>
      <c r="L98" s="111"/>
      <c r="M98" s="111"/>
      <c r="N98" s="111"/>
      <c r="O98" s="111"/>
      <c r="P98" s="111"/>
      <c r="Q98" s="111"/>
      <c r="R98" s="111"/>
      <c r="S98" s="111"/>
      <c r="T98" s="111"/>
      <c r="U98" s="111"/>
      <c r="V98" s="111"/>
    </row>
    <row r="99" outlineLevel="1">
      <c r="A99" s="287" t="s">
        <v>395</v>
      </c>
      <c r="B99" s="288" t="s">
        <v>216</v>
      </c>
      <c r="C99" s="113" t="str">
        <f t="array" ref="C99">INDEX('回避'!$C$3:$U$84, MATCH($A$1,'回避'!$A$3:$A$91,0), MATCH(C98,'回避'!$C$2:$F$2,0))</f>
        <v>3-14</v>
      </c>
      <c r="D99" s="113" t="str">
        <f t="array" ref="D99">INDEX('回避'!$C$3:$U$84, MATCH($A$1,'回避'!$A$3:$A$91,0), MATCH(D98,'回避'!$C$2:$F$2,0))</f>
        <v>6-15</v>
      </c>
      <c r="E99" s="113" t="str">
        <f t="array" ref="E99">INDEX('回避'!$C$3:$U$84, MATCH($A$1,'回避'!$A$3:$A$91,0), MATCH(E98,'回避'!$C$2:$F$2,0))</f>
        <v>23 (18)</v>
      </c>
      <c r="F99" s="113" t="str">
        <f t="array" ref="F99">INDEX('回避'!$C$3:$U$84, MATCH($A$1,'回避'!$A$3:$A$91,0), MATCH(F98,'回避'!$C$2:$F$2,0))</f>
        <v>31 (24)</v>
      </c>
      <c r="G99" s="272"/>
      <c r="H99" s="290"/>
      <c r="I99" s="227"/>
      <c r="J99" s="228"/>
      <c r="K99" s="228"/>
      <c r="L99" s="228"/>
      <c r="M99" s="111"/>
      <c r="N99" s="111"/>
      <c r="O99" s="111"/>
      <c r="P99" s="111"/>
      <c r="Q99" s="111"/>
      <c r="R99" s="111"/>
      <c r="S99" s="111"/>
      <c r="T99" s="111"/>
      <c r="U99" s="111"/>
      <c r="V99" s="111"/>
    </row>
    <row r="100" outlineLevel="1">
      <c r="A100" s="212"/>
      <c r="B100" s="288" t="s">
        <v>245</v>
      </c>
      <c r="C100" s="113" t="str">
        <f t="array" ref="C100">INDEX('回避'!$G$3:$U$84, MATCH($A$1,'回避'!$A$3:$A$91,0), MATCH(C98,'回避'!$G$2:$J$2,0))</f>
        <v>4-12</v>
      </c>
      <c r="D100" s="113" t="str">
        <f t="array" ref="D100">INDEX('回避'!$G$3:$U$84, MATCH($A$1,'回避'!$A$3:$A$91,0), MATCH(D98,'回避'!$G$2:$J$2,0))</f>
        <v>8-12</v>
      </c>
      <c r="E100" s="113" t="str">
        <f t="array" ref="E100">INDEX('回避'!$G$3:$U$84, MATCH($A$1,'回避'!$A$3:$A$91,0), MATCH(E98,'回避'!$G$2:$J$2,0))</f>
        <v>26</v>
      </c>
      <c r="F100" s="113">
        <f t="array" ref="F100">INDEX('回避'!$G$3:$U$84, MATCH($A$1,'回避'!$A$3:$A$91,0), MATCH(F98,'回避'!$G$2:$J$2,0))</f>
        <v>35</v>
      </c>
      <c r="G100" s="289"/>
      <c r="H100" s="290"/>
      <c r="I100" s="479"/>
      <c r="J100" s="117"/>
      <c r="K100" s="228"/>
      <c r="L100" s="228"/>
      <c r="M100" s="228"/>
      <c r="N100" s="228"/>
      <c r="O100" s="111"/>
      <c r="P100" s="111"/>
      <c r="Q100" s="111"/>
      <c r="R100" s="111"/>
      <c r="S100" s="111"/>
      <c r="T100" s="111"/>
      <c r="U100" s="111"/>
      <c r="V100" s="111"/>
    </row>
    <row r="101" outlineLevel="1">
      <c r="A101" s="106"/>
      <c r="B101" s="288" t="s">
        <v>246</v>
      </c>
      <c r="C101" s="113" t="str">
        <f t="array" ref="C101">INDEX('回避'!$K$3:$U$84, MATCH($A$1,'回避'!$A$3:$A$91,0), MATCH(C98,'回避'!$K$2:$N$2,0))</f>
        <v>4-14</v>
      </c>
      <c r="D101" s="113" t="str">
        <f t="array" ref="D101">INDEX('回避'!$K$3:$U$84, MATCH($A$1,'回避'!$A$3:$A$91,0), MATCH(D98,'回避'!$K$2:$N$2,0))</f>
        <v>8-13</v>
      </c>
      <c r="E101" s="113" t="str">
        <f t="array" ref="E101">INDEX('回避'!$K$3:$U$84, MATCH($A$1,'回避'!$A$3:$A$91,0), MATCH(E98,'回避'!$K$2:$N$2,0))</f>
        <v>32</v>
      </c>
      <c r="F101" s="113" t="str">
        <f t="array" ref="F101">INDEX('回避'!$K$3:$U$84, MATCH($A$1,'回避'!$A$3:$A$91,0), MATCH(F98,'回避'!$K$2:$N$2,0))</f>
        <v>48</v>
      </c>
      <c r="G101" s="289"/>
      <c r="H101" s="290"/>
      <c r="I101" s="479"/>
      <c r="J101" s="117"/>
      <c r="K101" s="117"/>
      <c r="L101" s="117"/>
      <c r="M101" s="117"/>
      <c r="N101" s="117"/>
      <c r="O101" s="111"/>
      <c r="P101" s="111"/>
      <c r="Q101" s="111"/>
      <c r="R101" s="111"/>
      <c r="S101" s="111"/>
      <c r="T101" s="111"/>
      <c r="U101" s="111"/>
      <c r="V101" s="111"/>
    </row>
    <row r="102" outlineLevel="1">
      <c r="A102" s="287" t="s">
        <v>396</v>
      </c>
      <c r="B102" s="288" t="s">
        <v>397</v>
      </c>
      <c r="C102" s="113" t="str">
        <f t="array" ref="C102">INDEX('回避'!$O$3:$U$84, MATCH($A$1,'回避'!$A$3:$A$91,0), MATCH(C98,'回避'!$O$2:$R$2,0))</f>
        <v>2-26</v>
      </c>
      <c r="D102" s="113" t="str">
        <f t="array" ref="D102">INDEX('回避'!$O$3:$U$84, MATCH($A$1,'回避'!$A$3:$A$91,0), MATCH(D98,'回避'!$O$2:$R$2,0))</f>
        <v>5-24</v>
      </c>
      <c r="E102" s="113" t="str">
        <f t="array" ref="E102">INDEX('回避'!$O$3:$U$84, MATCH($A$1,'回避'!$A$3:$A$91,0), MATCH(E98,'回避'!$O$2:$R$2,0))</f>
        <v>44</v>
      </c>
      <c r="F102" s="177"/>
      <c r="G102" s="177"/>
      <c r="H102" s="290"/>
      <c r="I102" s="479"/>
      <c r="J102" s="117"/>
      <c r="K102" s="111"/>
      <c r="L102" s="111"/>
      <c r="M102" s="111"/>
      <c r="N102" s="111"/>
      <c r="O102" s="228"/>
      <c r="P102" s="228"/>
      <c r="Q102" s="228"/>
      <c r="R102" s="228"/>
      <c r="S102" s="228"/>
      <c r="T102" s="228"/>
      <c r="U102" s="228"/>
      <c r="V102" s="228"/>
    </row>
    <row r="103" outlineLevel="1">
      <c r="A103" s="106"/>
      <c r="B103" s="288" t="s">
        <v>398</v>
      </c>
      <c r="C103" s="113" t="str">
        <f t="array" ref="C103">INDEX('回避'!$S$3:$U$84, MATCH($A$1,'回避'!$A$3:$A$91,0), MATCH(C98,'回避'!$S$2:$U$2,0))</f>
        <v>2-19</v>
      </c>
      <c r="D103" s="113" t="str">
        <f t="array" ref="D103">INDEX('回避'!$S$3:$U$84, MATCH($A$1,'回避'!$A$3:$A$91,0), MATCH(D98,'回避'!$S$2:$U$2,0))</f>
        <v>5-18</v>
      </c>
      <c r="E103" s="113" t="str">
        <f t="array" ref="E103">INDEX('回避'!$S$3:$U$84, MATCH($A$1,'回避'!$A$3:$A$91,0), MATCH(E98,'回避'!$S$2:$U$2,0))</f>
        <v>真横：74
真上：93
真下：63</v>
      </c>
      <c r="F103" s="289"/>
      <c r="G103" s="289"/>
      <c r="H103" s="290"/>
      <c r="I103" s="479"/>
      <c r="J103" s="117"/>
      <c r="K103" s="117"/>
      <c r="L103" s="117"/>
      <c r="M103" s="117"/>
      <c r="N103" s="111"/>
      <c r="O103" s="118"/>
      <c r="P103" s="118"/>
      <c r="Q103" s="118"/>
      <c r="R103" s="118"/>
      <c r="S103" s="118"/>
      <c r="T103" s="118"/>
      <c r="U103" s="118"/>
      <c r="V103" s="118"/>
    </row>
    <row r="104">
      <c r="A104" s="291"/>
      <c r="B104" s="292"/>
      <c r="C104" s="286"/>
      <c r="D104" s="286"/>
      <c r="E104" s="293"/>
      <c r="F104" s="286"/>
      <c r="G104" s="286"/>
      <c r="H104" s="286"/>
      <c r="I104" s="286"/>
      <c r="J104" s="111"/>
      <c r="K104" s="227"/>
      <c r="L104" s="227"/>
      <c r="M104" s="227"/>
      <c r="N104" s="227"/>
      <c r="O104" s="118"/>
      <c r="P104" s="118"/>
      <c r="Q104" s="118"/>
      <c r="R104" s="118"/>
      <c r="S104" s="118"/>
      <c r="T104" s="118"/>
      <c r="U104" s="118"/>
      <c r="V104" s="118"/>
    </row>
    <row r="105">
      <c r="A105" s="294" t="s">
        <v>238</v>
      </c>
      <c r="B105" s="104"/>
      <c r="C105" s="228"/>
      <c r="D105" s="117"/>
      <c r="E105" s="228"/>
      <c r="F105" s="114"/>
      <c r="G105" s="114"/>
      <c r="H105" s="117"/>
      <c r="I105" s="117"/>
      <c r="J105" s="118"/>
      <c r="K105" s="118"/>
      <c r="L105" s="118"/>
      <c r="M105" s="118"/>
      <c r="N105" s="118"/>
      <c r="O105" s="118"/>
      <c r="P105" s="118"/>
      <c r="Q105" s="118"/>
      <c r="R105" s="118"/>
      <c r="S105" s="118"/>
      <c r="T105" s="118"/>
      <c r="U105" s="118"/>
      <c r="V105" s="118"/>
    </row>
    <row r="106" outlineLevel="1">
      <c r="A106" s="106"/>
      <c r="B106" s="107"/>
      <c r="C106" s="295" t="s">
        <v>235</v>
      </c>
      <c r="D106" s="295" t="s">
        <v>49</v>
      </c>
      <c r="E106" s="295" t="s">
        <v>48</v>
      </c>
      <c r="F106" s="295" t="s">
        <v>50</v>
      </c>
      <c r="G106" s="296" t="s">
        <v>51</v>
      </c>
      <c r="H106" s="228"/>
      <c r="I106" s="228"/>
      <c r="J106" s="117"/>
      <c r="K106" s="297"/>
      <c r="L106" s="109"/>
      <c r="M106" s="298"/>
      <c r="N106" s="298"/>
      <c r="O106" s="118"/>
      <c r="P106" s="118"/>
      <c r="Q106" s="118"/>
      <c r="R106" s="118"/>
      <c r="S106" s="118"/>
      <c r="T106" s="118"/>
      <c r="U106" s="118"/>
      <c r="V106" s="118"/>
    </row>
    <row r="107" outlineLevel="1">
      <c r="A107" s="299" t="s">
        <v>239</v>
      </c>
      <c r="B107" s="300" t="s">
        <v>240</v>
      </c>
      <c r="C107" s="301"/>
      <c r="D107" s="113">
        <f t="array" ref="D107">INDEX('崖行動・受け身'!$C$3:$C118, MATCH($A$1,'崖行動・受け身'!$A$3:$A$115,0), MATCH(D106,'崖行動・受け身'!$C$2,0))</f>
        <v>19</v>
      </c>
      <c r="E107" s="301"/>
      <c r="F107" s="301"/>
      <c r="G107" s="301"/>
      <c r="H107" s="228"/>
      <c r="I107" s="228"/>
      <c r="J107" s="111"/>
      <c r="K107" s="302"/>
      <c r="L107" s="303"/>
      <c r="M107" s="113"/>
      <c r="N107" s="113"/>
      <c r="O107" s="118"/>
      <c r="P107" s="118"/>
      <c r="Q107" s="118"/>
      <c r="R107" s="118"/>
      <c r="S107" s="118"/>
      <c r="T107" s="118"/>
      <c r="U107" s="118"/>
      <c r="V107" s="118"/>
    </row>
    <row r="108" outlineLevel="1">
      <c r="A108" s="146"/>
      <c r="B108" s="300" t="s">
        <v>216</v>
      </c>
      <c r="C108" s="113" t="str">
        <f t="array" ref="C108">INDEX('崖行動・受け身'!$D$3:$E118, MATCH($A$1,'崖行動・受け身'!$A$3:$A$115,0), MATCH(C106,'崖行動・受け身'!$D$2:$E$2,0))</f>
        <v>1-33</v>
      </c>
      <c r="D108" s="113">
        <f t="array" ref="D108">INDEX('崖行動・受け身'!$D$3:$E118, MATCH($A$1,'崖行動・受け身'!$A$3:$A$115,0), MATCH(D106,'崖行動・受け身'!$D$2:$E$2,0))</f>
        <v>34</v>
      </c>
      <c r="E108" s="301"/>
      <c r="F108" s="301"/>
      <c r="G108" s="301"/>
      <c r="H108" s="228"/>
      <c r="I108" s="228"/>
      <c r="J108" s="117"/>
      <c r="K108" s="156"/>
      <c r="L108" s="303"/>
      <c r="M108" s="113"/>
      <c r="N108" s="113"/>
      <c r="O108" s="118"/>
      <c r="P108" s="118"/>
      <c r="Q108" s="118"/>
      <c r="R108" s="118"/>
      <c r="S108" s="118"/>
      <c r="T108" s="118"/>
      <c r="U108" s="118"/>
      <c r="V108" s="118"/>
    </row>
    <row r="109" outlineLevel="1">
      <c r="A109" s="146"/>
      <c r="B109" s="300" t="s">
        <v>241</v>
      </c>
      <c r="C109" s="113" t="str">
        <f t="array" ref="C109">INDEX('崖行動・受け身'!$F$3:$G$115, MATCH($A$1,'崖行動・受け身'!$A$3:$A$115,0), MATCH(C106,'崖行動・受け身'!$F$2:$G$2,0))</f>
        <v>1-27</v>
      </c>
      <c r="D109" s="113">
        <f t="array" ref="D109">INDEX('崖行動・受け身'!$F$3:$G$115, MATCH($A$1,'崖行動・受け身'!$A$3:$A$115,0), MATCH(D106,'崖行動・受け身'!$F$2:$G$2,0))</f>
        <v>45</v>
      </c>
      <c r="E109" s="301"/>
      <c r="F109" s="301"/>
      <c r="G109" s="301"/>
      <c r="H109" s="228"/>
      <c r="I109" s="228"/>
      <c r="J109" s="111"/>
      <c r="K109" s="304" t="str">
        <f>'テンプレート'!K119</f>
        <v>アイテム投擲</v>
      </c>
      <c r="L109" s="109"/>
      <c r="M109" s="298" t="str">
        <f>'テンプレート'!M119</f>
        <v>投擲フレーム</v>
      </c>
      <c r="N109" s="298" t="str">
        <f>'テンプレート'!N119</f>
        <v>全体フレーム</v>
      </c>
      <c r="O109" s="118"/>
      <c r="P109" s="118"/>
      <c r="Q109" s="118"/>
      <c r="R109" s="118"/>
      <c r="S109" s="118"/>
      <c r="T109" s="118"/>
      <c r="U109" s="118"/>
      <c r="V109" s="118"/>
    </row>
    <row r="110" outlineLevel="1">
      <c r="A110" s="146"/>
      <c r="B110" s="300" t="s">
        <v>242</v>
      </c>
      <c r="C110" s="113" t="str">
        <f t="array" ref="C110">INDEX('崖行動・受け身'!$H$3:$I$115, MATCH($A$1,'崖行動・受け身'!$A$3:$A$115,0), MATCH(C106,'崖行動・受け身'!$H$2:$I$2,0))</f>
        <v>1-12</v>
      </c>
      <c r="D110" s="113">
        <f t="array" ref="D110">INDEX('崖行動・受け身'!$H$3:$I$115, MATCH($A$1,'崖行動・受け身'!$A$3:$A$115,0), MATCH(D106,'崖行動・受け身'!$H$2:$I$2,0))</f>
        <v>14</v>
      </c>
      <c r="E110" s="301"/>
      <c r="F110" s="301"/>
      <c r="G110" s="301"/>
      <c r="H110" s="228"/>
      <c r="I110" s="228"/>
      <c r="J110" s="117"/>
      <c r="K110" s="305" t="str">
        <f>'テンプレート'!K120</f>
        <v>地上投擲</v>
      </c>
      <c r="L110" s="303" t="str">
        <f>'テンプレート'!L120</f>
        <v>前投げ</v>
      </c>
      <c r="M110" s="113" t="s">
        <v>80</v>
      </c>
      <c r="N110" s="113">
        <v>24.0</v>
      </c>
      <c r="O110" s="111"/>
      <c r="P110" s="111"/>
      <c r="Q110" s="111"/>
      <c r="R110" s="111"/>
      <c r="S110" s="111"/>
      <c r="T110" s="111"/>
      <c r="U110" s="111"/>
      <c r="V110" s="111"/>
    </row>
    <row r="111" outlineLevel="1">
      <c r="A111" s="156"/>
      <c r="B111" s="300" t="s">
        <v>243</v>
      </c>
      <c r="C111" s="113" t="str">
        <f t="array" ref="C111">INDEX('崖行動・受け身'!$J$3:$M$115, MATCH($A$1,'崖行動・受け身'!$A$3:$A$115,0), MATCH(C106,'崖行動・受け身'!$J$2:$M$2,0))</f>
        <v>1-23</v>
      </c>
      <c r="D111" s="113">
        <f t="array" ref="D111">INDEX('崖行動・受け身'!$J$3:$M$115, MATCH($A$1,'崖行動・受け身'!$A$3:$A$115,0), MATCH(D106,'崖行動・受け身'!$J$2:$M$2,0))</f>
        <v>55</v>
      </c>
      <c r="E111" s="113" t="str">
        <f t="array" ref="E111">INDEX('崖行動・受け身'!$J$3:$M$115, MATCH($A$1,'崖行動・受け身'!$A$3:$A$115,0), MATCH(E106,'崖行動・受け身'!$J$2:$M$2,0))</f>
        <v>21-23</v>
      </c>
      <c r="F111" s="113">
        <f t="array" ref="F111">INDEX('崖行動・受け身'!$J$3:$M$115, MATCH($A$1,'崖行動・受け身'!$A$3:$A$115,0), MATCH(F106,'崖行動・受け身'!$J$2:$M$2,0))</f>
        <v>9</v>
      </c>
      <c r="G111" s="113">
        <f>F111*1.2</f>
        <v>10.8</v>
      </c>
      <c r="H111" s="228"/>
      <c r="I111" s="228"/>
      <c r="J111" s="111"/>
      <c r="K111" s="146"/>
      <c r="L111" s="303" t="str">
        <f>'テンプレート'!L121</f>
        <v>後投げ</v>
      </c>
      <c r="M111" s="113" t="s">
        <v>232</v>
      </c>
      <c r="N111" s="113">
        <v>24.0</v>
      </c>
      <c r="O111" s="111"/>
      <c r="P111" s="111"/>
      <c r="Q111" s="111"/>
      <c r="R111" s="111"/>
      <c r="S111" s="111"/>
      <c r="T111" s="111"/>
      <c r="U111" s="111"/>
      <c r="V111" s="111"/>
    </row>
    <row r="112" outlineLevel="1">
      <c r="A112" s="299" t="s">
        <v>244</v>
      </c>
      <c r="B112" s="300" t="s">
        <v>216</v>
      </c>
      <c r="C112" s="113" t="str">
        <f t="array" ref="C112">INDEX('崖行動・受け身'!$N$3:$O$115, MATCH($A$1,'崖行動・受け身'!$A$3:$A$115,0), MATCH(C106,'崖行動・受け身'!$N$2:$O$2,0))</f>
        <v>1-20</v>
      </c>
      <c r="D112" s="113">
        <f t="array" ref="D112">INDEX('崖行動・受け身'!$N$3:$O$115, MATCH($A$1,'崖行動・受け身'!$A$3:$A$115,0), MATCH(D106,'崖行動・受け身'!$N$2:$O$2,0))</f>
        <v>26</v>
      </c>
      <c r="E112" s="301"/>
      <c r="F112" s="301"/>
      <c r="G112" s="301"/>
      <c r="H112" s="228"/>
      <c r="I112" s="228"/>
      <c r="J112" s="117"/>
      <c r="K112" s="146"/>
      <c r="L112" s="303" t="str">
        <f>'テンプレート'!L122</f>
        <v>上投げ</v>
      </c>
      <c r="M112" s="113" t="s">
        <v>232</v>
      </c>
      <c r="N112" s="113">
        <v>23.0</v>
      </c>
      <c r="O112" s="228"/>
      <c r="P112" s="228"/>
      <c r="Q112" s="228"/>
      <c r="R112" s="228"/>
      <c r="S112" s="228"/>
      <c r="T112" s="228"/>
      <c r="U112" s="228"/>
      <c r="V112" s="228"/>
    </row>
    <row r="113" outlineLevel="1">
      <c r="A113" s="146"/>
      <c r="B113" s="300" t="s">
        <v>245</v>
      </c>
      <c r="C113" s="113" t="str">
        <f t="array" ref="C113">INDEX('崖行動・受け身'!$P$3:$Q$115, MATCH($A$1,'崖行動・受け身'!$A$3:$A$115,0), MATCH(C106,'崖行動・受け身'!$P$2:$Q$2,0))</f>
        <v>1-20</v>
      </c>
      <c r="D113" s="113">
        <f t="array" ref="D113">INDEX('崖行動・受け身'!$P$3:$Q$115, MATCH($A$1,'崖行動・受け身'!$A$3:$A$115,0), MATCH(D106,'崖行動・受け身'!$P$2:$Q$2,0))</f>
        <v>40</v>
      </c>
      <c r="E113" s="301"/>
      <c r="F113" s="301"/>
      <c r="G113" s="301"/>
      <c r="H113" s="228"/>
      <c r="I113" s="228"/>
      <c r="J113" s="111"/>
      <c r="K113" s="146"/>
      <c r="L113" s="303" t="str">
        <f>'テンプレート'!L123</f>
        <v>下投げ</v>
      </c>
      <c r="M113" s="113" t="s">
        <v>80</v>
      </c>
      <c r="N113" s="113">
        <v>19.0</v>
      </c>
      <c r="O113" s="118"/>
      <c r="P113" s="118"/>
      <c r="Q113" s="118"/>
      <c r="R113" s="118"/>
      <c r="S113" s="118"/>
      <c r="T113" s="118"/>
      <c r="U113" s="118"/>
      <c r="V113" s="118"/>
    </row>
    <row r="114" outlineLevel="1">
      <c r="A114" s="156"/>
      <c r="B114" s="300" t="s">
        <v>246</v>
      </c>
      <c r="C114" s="113" t="str">
        <f t="array" ref="C114">INDEX('崖行動・受け身'!$R$3:$S$115, MATCH($A$1,'崖行動・受け身'!$A$3:$A$115,0), MATCH(C106,'崖行動・受け身'!$R$2:$S$2,0))</f>
        <v>1-20</v>
      </c>
      <c r="D114" s="113">
        <f t="array" ref="D114">INDEX('崖行動・受け身'!$R$3:$S$115, MATCH($A$1,'崖行動・受け身'!$A$3:$A$115,0), MATCH(D106,'崖行動・受け身'!$R$2:$S$2,0))</f>
        <v>40</v>
      </c>
      <c r="E114" s="301"/>
      <c r="F114" s="301"/>
      <c r="G114" s="301"/>
      <c r="H114" s="228"/>
      <c r="I114" s="228"/>
      <c r="J114" s="117"/>
      <c r="K114" s="146"/>
      <c r="L114" s="306" t="str">
        <f>'テンプレート'!L124</f>
        <v>ダッシュ</v>
      </c>
      <c r="M114" s="113" t="s">
        <v>86</v>
      </c>
      <c r="N114" s="113">
        <v>37.0</v>
      </c>
      <c r="O114" s="118"/>
      <c r="P114" s="118"/>
      <c r="Q114" s="118"/>
      <c r="R114" s="118"/>
      <c r="S114" s="118"/>
      <c r="T114" s="118"/>
      <c r="U114" s="118"/>
      <c r="V114" s="118"/>
    </row>
    <row r="115" outlineLevel="1">
      <c r="A115" s="299" t="s">
        <v>247</v>
      </c>
      <c r="B115" s="300" t="s">
        <v>248</v>
      </c>
      <c r="C115" s="301"/>
      <c r="D115" s="113" t="str">
        <f t="array" ref="D115">INDEX('起きあがり'!$C$3:$C118, MATCH($A$1,'起きあがり'!$A$3:$A$115,0), MATCH(D106,'起きあがり'!$C$2:$AD$2,0))</f>
        <v>25</v>
      </c>
      <c r="E115" s="301"/>
      <c r="F115" s="301"/>
      <c r="G115" s="301"/>
      <c r="H115" s="228"/>
      <c r="I115" s="228"/>
      <c r="J115" s="111"/>
      <c r="K115" s="156"/>
      <c r="L115" s="306" t="str">
        <f>'テンプレート'!L125</f>
        <v>その場捨て</v>
      </c>
      <c r="M115" s="113" t="s">
        <v>86</v>
      </c>
      <c r="N115" s="113">
        <v>23.0</v>
      </c>
      <c r="O115" s="118"/>
      <c r="P115" s="118"/>
      <c r="Q115" s="118"/>
      <c r="R115" s="118"/>
      <c r="S115" s="118"/>
      <c r="T115" s="118"/>
      <c r="U115" s="118"/>
      <c r="V115" s="118"/>
    </row>
    <row r="116" outlineLevel="1">
      <c r="A116" s="146"/>
      <c r="B116" s="300" t="s">
        <v>216</v>
      </c>
      <c r="C116" s="307" t="str">
        <f t="array" ref="C116">INDEX('起きあがり'!$D$3:$E118, MATCH($A$1,'起きあがり'!$A$3:$A$115,0), MATCH(C106,'起きあがり'!$D$2:$AD$2,0))</f>
        <v>1-22</v>
      </c>
      <c r="D116" s="308">
        <f t="array" ref="D116">INDEX('起きあがり'!$D$3:$E118, MATCH($A$1,'起きあがり'!$A$3:$A$115,0), MATCH(D106,'起きあがり'!$D$2:$AD$2,0))</f>
        <v>29</v>
      </c>
      <c r="E116" s="301"/>
      <c r="F116" s="301"/>
      <c r="G116" s="301"/>
      <c r="H116" s="228"/>
      <c r="I116" s="228"/>
      <c r="J116" s="117"/>
      <c r="K116" s="305" t="str">
        <f>'テンプレート'!K126</f>
        <v>空中投擲</v>
      </c>
      <c r="L116" s="303" t="str">
        <f>'テンプレート'!L126</f>
        <v>前投げ</v>
      </c>
      <c r="M116" s="113" t="s">
        <v>80</v>
      </c>
      <c r="N116" s="113">
        <v>24.0</v>
      </c>
      <c r="O116" s="118"/>
      <c r="P116" s="118"/>
      <c r="Q116" s="118"/>
      <c r="R116" s="118"/>
      <c r="S116" s="118"/>
      <c r="T116" s="118"/>
      <c r="U116" s="118"/>
      <c r="V116" s="118"/>
    </row>
    <row r="117" outlineLevel="1">
      <c r="A117" s="146"/>
      <c r="B117" s="300" t="s">
        <v>245</v>
      </c>
      <c r="C117" s="307" t="str">
        <f t="array" ref="C117">INDEX('起きあがり'!$F$3:$G$115, MATCH($A$1,'起きあがり'!$A$3:$A$115,0), MATCH(C106,'起きあがり'!$F$2:$AD$2,0))</f>
        <v>1-19</v>
      </c>
      <c r="D117" s="308">
        <f t="array" ref="D117">INDEX('起きあがり'!$F$3:$G$115, MATCH($A$1,'起きあがり'!$A$3:$A$115,0), MATCH(D106,'起きあがり'!$F$2:$AD$2,0))</f>
        <v>35</v>
      </c>
      <c r="E117" s="301"/>
      <c r="F117" s="301"/>
      <c r="G117" s="301"/>
      <c r="H117" s="228"/>
      <c r="I117" s="228"/>
      <c r="J117" s="111"/>
      <c r="K117" s="146"/>
      <c r="L117" s="303" t="str">
        <f>'テンプレート'!L127</f>
        <v>後投げ</v>
      </c>
      <c r="M117" s="113" t="s">
        <v>232</v>
      </c>
      <c r="N117" s="113">
        <v>24.0</v>
      </c>
      <c r="O117" s="118"/>
      <c r="P117" s="118"/>
      <c r="Q117" s="118"/>
      <c r="R117" s="118"/>
      <c r="S117" s="118"/>
      <c r="T117" s="118"/>
      <c r="U117" s="118"/>
      <c r="V117" s="118"/>
    </row>
    <row r="118" outlineLevel="1">
      <c r="A118" s="146"/>
      <c r="B118" s="300" t="s">
        <v>246</v>
      </c>
      <c r="C118" s="113" t="str">
        <f t="array" ref="C118">INDEX('起きあがり'!$H$3:$I$115, MATCH($A$1,'起きあがり'!$A$3:$A$115,0), MATCH(C106,'起きあがり'!$H$2:$AD$2,0))</f>
        <v>1-22</v>
      </c>
      <c r="D118" s="113">
        <f t="array" ref="D118">INDEX('起きあがり'!$H$3:$I$115, MATCH($A$1,'起きあがり'!$A$3:$A$115,0), MATCH(D106,'起きあがり'!$H$2:$AD$2,0))</f>
        <v>35</v>
      </c>
      <c r="E118" s="301"/>
      <c r="F118" s="301"/>
      <c r="G118" s="301"/>
      <c r="H118" s="228"/>
      <c r="I118" s="228"/>
      <c r="J118" s="117"/>
      <c r="K118" s="146"/>
      <c r="L118" s="303" t="str">
        <f>'テンプレート'!L128</f>
        <v>上投げ</v>
      </c>
      <c r="M118" s="113" t="s">
        <v>129</v>
      </c>
      <c r="N118" s="113">
        <v>23.0</v>
      </c>
      <c r="O118" s="118"/>
      <c r="P118" s="118"/>
      <c r="Q118" s="118"/>
      <c r="R118" s="118"/>
      <c r="S118" s="118"/>
      <c r="T118" s="118"/>
      <c r="U118" s="118"/>
      <c r="V118" s="118"/>
    </row>
    <row r="119" outlineLevel="1">
      <c r="A119" s="146"/>
      <c r="B119" s="300" t="s">
        <v>249</v>
      </c>
      <c r="C119" s="309" t="str">
        <f t="array" ref="C119">INDEX('起きあがり'!$J$3:$M$115, MATCH($A$1,'起きあがり'!$A$3:$A$115,0), MATCH(C106,'起きあがり'!$J$2:$AD$2,0))</f>
        <v>1-23</v>
      </c>
      <c r="D119" s="310">
        <f t="array" ref="D119">INDEX('起きあがり'!$J$3:$M$115, MATCH($A$1,'起きあがり'!$A$3:$A$115,0), MATCH(D106,'起きあがり'!$J$2:$AD$2,0))</f>
        <v>45</v>
      </c>
      <c r="E119" s="307" t="str">
        <f t="array" ref="E119">INDEX('起きあがり'!$J$3:$M$115, MATCH($A$1,'起きあがり'!$A$3:$A$115,0), MATCH(E106,'起きあがり'!$J$2:$AD$2,0))</f>
        <v>14-15</v>
      </c>
      <c r="F119" s="308">
        <f t="array" ref="F119">INDEX('起きあがり'!$J$3:$M$115, MATCH($A$1,'起きあがり'!$A$3:$A$115,0), MATCH(F106,'起きあがり'!$J$2:$AD$2,0))</f>
        <v>7</v>
      </c>
      <c r="G119" s="113">
        <f t="shared" ref="G119:G120" si="1">F119*1.2</f>
        <v>8.4</v>
      </c>
      <c r="H119" s="228"/>
      <c r="I119" s="228"/>
      <c r="J119" s="111"/>
      <c r="K119" s="156"/>
      <c r="L119" s="303" t="str">
        <f>'テンプレート'!L129</f>
        <v>下投げ</v>
      </c>
      <c r="M119" s="113" t="s">
        <v>93</v>
      </c>
      <c r="N119" s="113">
        <v>19.0</v>
      </c>
      <c r="O119" s="111"/>
      <c r="P119" s="111"/>
      <c r="Q119" s="111"/>
      <c r="R119" s="111"/>
      <c r="S119" s="111"/>
      <c r="T119" s="111"/>
      <c r="U119" s="111"/>
      <c r="V119" s="111"/>
    </row>
    <row r="120" outlineLevel="1">
      <c r="A120" s="156"/>
      <c r="B120" s="311" t="s">
        <v>250</v>
      </c>
      <c r="C120" s="156"/>
      <c r="D120" s="156"/>
      <c r="E120" s="307" t="str">
        <f t="array" ref="E120">INDEX('起きあがり'!$N$3:$O$115, MATCH($A$1,'起きあがり'!$A$3:$A$115,0), MATCH(E106,'起きあがり'!$N$2:$AD$2,0))</f>
        <v>22-23</v>
      </c>
      <c r="F120" s="308">
        <f t="array" ref="F120">INDEX('起きあがり'!$N$3:$O$115, MATCH($A$1,'起きあがり'!$A$3:$A$115,0), MATCH(F106,'起きあがり'!$N$2:$AD$2,0))</f>
        <v>7</v>
      </c>
      <c r="G120" s="113">
        <f t="shared" si="1"/>
        <v>8.4</v>
      </c>
      <c r="H120" s="228"/>
      <c r="I120" s="228"/>
      <c r="J120" s="111"/>
      <c r="K120" s="312" t="str">
        <f>'テンプレート'!K130</f>
        <v>踏み台ジャンプ</v>
      </c>
      <c r="L120" s="168"/>
      <c r="M120" s="298" t="str">
        <f>'テンプレート'!M130</f>
        <v>全体フレーム</v>
      </c>
      <c r="N120" s="114"/>
      <c r="O120" s="111"/>
      <c r="P120" s="111"/>
      <c r="Q120" s="111"/>
      <c r="R120" s="111"/>
      <c r="S120" s="111"/>
      <c r="T120" s="111"/>
      <c r="U120" s="111"/>
      <c r="V120" s="111"/>
    </row>
    <row r="121" outlineLevel="1">
      <c r="A121" s="299" t="s">
        <v>251</v>
      </c>
      <c r="B121" s="300" t="s">
        <v>248</v>
      </c>
      <c r="C121" s="301"/>
      <c r="D121" s="307" t="str">
        <f t="array" ref="D121">INDEX('起きあがり'!$C$3:$C118, MATCH($A$1,'起きあがり'!$A$3:$A$115,0), MATCH(D106,'起きあがり'!$C$2,0))</f>
        <v>25</v>
      </c>
      <c r="E121" s="301"/>
      <c r="F121" s="301"/>
      <c r="G121" s="301"/>
      <c r="H121" s="228"/>
      <c r="I121" s="228"/>
      <c r="J121" s="117"/>
      <c r="K121" s="313" t="str">
        <f>'テンプレート'!K131</f>
        <v>踏み</v>
      </c>
      <c r="L121" s="314" t="str">
        <f>'テンプレート'!L131</f>
        <v>踏み</v>
      </c>
      <c r="M121" s="113">
        <v>8.0</v>
      </c>
      <c r="N121" s="315"/>
      <c r="O121" s="111"/>
      <c r="P121" s="111"/>
      <c r="Q121" s="111"/>
      <c r="R121" s="111"/>
      <c r="S121" s="111"/>
      <c r="T121" s="111"/>
      <c r="U121" s="111"/>
      <c r="V121" s="111"/>
    </row>
    <row r="122" outlineLevel="1">
      <c r="A122" s="146"/>
      <c r="B122" s="300" t="s">
        <v>216</v>
      </c>
      <c r="C122" s="307" t="str">
        <f t="array" ref="C122">INDEX('起きあがり'!$P$3:$Q$115, MATCH($A$1,'起きあがり'!$A$3:$A$115,0), MATCH(C106,'起きあがり'!$P$2:$AD$2,0))</f>
        <v>1-22</v>
      </c>
      <c r="D122" s="308">
        <f t="array" ref="D122">INDEX('起きあがり'!$P$3:$Q$115, MATCH($A$1,'起きあがり'!$A$3:$A$115,0), MATCH(D106,'起きあがり'!$P$2:$AD$2,0))</f>
        <v>29</v>
      </c>
      <c r="E122" s="301"/>
      <c r="F122" s="301"/>
      <c r="G122" s="301"/>
      <c r="H122" s="228"/>
      <c r="I122" s="228"/>
      <c r="J122" s="111"/>
      <c r="K122" s="305" t="str">
        <f>'テンプレート'!K132</f>
        <v>踏まれ</v>
      </c>
      <c r="L122" s="314" t="str">
        <f>'テンプレート'!L132</f>
        <v>地上踏まれ</v>
      </c>
      <c r="M122" s="113" t="s">
        <v>76</v>
      </c>
      <c r="N122" s="315"/>
      <c r="O122" s="228"/>
      <c r="P122" s="228"/>
      <c r="Q122" s="228"/>
      <c r="R122" s="228"/>
      <c r="S122" s="228"/>
      <c r="T122" s="228"/>
      <c r="U122" s="228"/>
      <c r="V122" s="228"/>
    </row>
    <row r="123" outlineLevel="1">
      <c r="A123" s="146"/>
      <c r="B123" s="300" t="s">
        <v>245</v>
      </c>
      <c r="C123" s="307" t="str">
        <f t="array" ref="C123">INDEX('起きあがり'!$R$3:$S$115, MATCH($A$1,'起きあがり'!$A$3:$A$115,0), MATCH(C106,'起きあがり'!$R$2:$AD$2,0))</f>
        <v>1-19</v>
      </c>
      <c r="D123" s="308">
        <f t="array" ref="D123">INDEX('起きあがり'!$R$3:$S$115, MATCH($A$1,'起きあがり'!$A$3:$A$115,0), MATCH(D106,'起きあがり'!$R$2:$AD$2,0))</f>
        <v>35</v>
      </c>
      <c r="E123" s="301"/>
      <c r="F123" s="301"/>
      <c r="G123" s="301"/>
      <c r="H123" s="228"/>
      <c r="I123" s="228"/>
      <c r="J123" s="117"/>
      <c r="K123" s="146"/>
      <c r="L123" s="314" t="s">
        <v>693</v>
      </c>
      <c r="M123" s="113">
        <v>28.0</v>
      </c>
      <c r="N123" s="102"/>
      <c r="O123" s="118"/>
      <c r="P123" s="118"/>
      <c r="Q123" s="118"/>
      <c r="R123" s="118"/>
      <c r="S123" s="118"/>
      <c r="T123" s="118"/>
      <c r="U123" s="118"/>
      <c r="V123" s="118"/>
    </row>
    <row r="124" outlineLevel="1">
      <c r="A124" s="146"/>
      <c r="B124" s="300" t="s">
        <v>246</v>
      </c>
      <c r="C124" s="307" t="str">
        <f t="array" ref="C124">INDEX('起きあがり'!$T$3:$U$115, MATCH($A$1,'起きあがり'!$A$3:$A$115,0), MATCH(C106,'起きあがり'!$T$2:$AD$2,0))</f>
        <v>1-19</v>
      </c>
      <c r="D124" s="308">
        <f t="array" ref="D124">INDEX('起きあがり'!$T$3:$U$115, MATCH($A$1,'起きあがり'!$A$3:$A$115,0), MATCH(D106,'起きあがり'!$T$2:$AD$2,0))</f>
        <v>35</v>
      </c>
      <c r="E124" s="301"/>
      <c r="F124" s="301"/>
      <c r="G124" s="301"/>
      <c r="H124" s="228"/>
      <c r="I124" s="228"/>
      <c r="J124" s="111"/>
      <c r="K124" s="146"/>
      <c r="L124" s="314" t="str">
        <f>'テンプレート'!L134</f>
        <v>空中踏まれ</v>
      </c>
      <c r="M124" s="113">
        <v>8.0</v>
      </c>
      <c r="N124" s="102"/>
      <c r="O124" s="118"/>
      <c r="P124" s="118"/>
      <c r="Q124" s="118"/>
      <c r="R124" s="118"/>
      <c r="S124" s="118"/>
      <c r="T124" s="118"/>
      <c r="U124" s="118"/>
      <c r="V124" s="118"/>
    </row>
    <row r="125" outlineLevel="1">
      <c r="A125" s="146"/>
      <c r="B125" s="300" t="s">
        <v>249</v>
      </c>
      <c r="C125" s="309" t="str">
        <f t="array" ref="C125">INDEX('起きあがり'!$V$3:$Y$115, MATCH($A$1,'起きあがり'!$A$3:$A$115,0), MATCH(C106,'起きあがり'!$V$2:$AD$2,0))</f>
        <v>1-22</v>
      </c>
      <c r="D125" s="310">
        <f t="array" ref="D125">INDEX('起きあがり'!$V$3:$Y$115, MATCH($A$1,'起きあがり'!$A$3:$A$115,0), MATCH(D106,'起きあがり'!$V$2:$AD$2,0))</f>
        <v>45</v>
      </c>
      <c r="E125" s="307" t="str">
        <f t="array" ref="E125">INDEX('起きあがり'!$V$3:$Y$115, MATCH($A$1,'起きあがり'!$A$3:$A$115,0), MATCH(E106,'起きあがり'!$V$2:$AD$2,0))</f>
        <v>16-17</v>
      </c>
      <c r="F125" s="308">
        <f t="array" ref="F125">INDEX('起きあがり'!$V$3:$Y$115, MATCH($A$1,'起きあがり'!$A$3:$A$115,0), MATCH(F106,'起きあがり'!$V$2:$AD$2,0))</f>
        <v>7</v>
      </c>
      <c r="G125" s="113">
        <f t="shared" ref="G125:G126" si="2">F125*1.2</f>
        <v>8.4</v>
      </c>
      <c r="H125" s="228"/>
      <c r="I125" s="228"/>
      <c r="J125" s="117"/>
      <c r="K125" s="146"/>
      <c r="L125" s="314" t="str">
        <f>'テンプレート'!L135</f>
        <v>空中落下</v>
      </c>
      <c r="M125" s="113">
        <v>33.0</v>
      </c>
      <c r="N125" s="102"/>
      <c r="O125" s="118"/>
      <c r="P125" s="118"/>
      <c r="Q125" s="118"/>
      <c r="R125" s="118"/>
      <c r="S125" s="118"/>
      <c r="T125" s="118"/>
      <c r="U125" s="118"/>
      <c r="V125" s="118"/>
    </row>
    <row r="126" outlineLevel="1">
      <c r="A126" s="156"/>
      <c r="B126" s="311" t="s">
        <v>250</v>
      </c>
      <c r="C126" s="156"/>
      <c r="D126" s="156"/>
      <c r="E126" s="307" t="str">
        <f t="array" ref="E126">INDEX('起きあがり'!$Z$3:$AA$115, MATCH($A$1,'起きあがり'!$A$3:$A$115,0), MATCH(E106,'起きあがり'!$Z$2:$AD$2,0))</f>
        <v>21-22</v>
      </c>
      <c r="F126" s="308">
        <f t="array" ref="F126">INDEX('起きあがり'!$Z$3:$AA$115, MATCH($A$1,'起きあがり'!$A$3:$A$115,0), MATCH(F106,'起きあがり'!$Z$2:$AD$2,0))</f>
        <v>7</v>
      </c>
      <c r="G126" s="113">
        <f t="shared" si="2"/>
        <v>8.4</v>
      </c>
      <c r="H126" s="228"/>
      <c r="I126" s="228"/>
      <c r="J126" s="117"/>
      <c r="K126" s="304" t="str">
        <f>'テンプレート'!K136</f>
        <v>倒れダメージ</v>
      </c>
      <c r="L126" s="110"/>
      <c r="M126" s="298" t="str">
        <f>'テンプレート'!M136</f>
        <v>全体フレーム</v>
      </c>
      <c r="N126" s="102"/>
      <c r="O126" s="118"/>
      <c r="P126" s="118"/>
      <c r="Q126" s="118"/>
      <c r="R126" s="118"/>
      <c r="S126" s="118"/>
      <c r="T126" s="118"/>
      <c r="U126" s="118"/>
      <c r="V126" s="118"/>
    </row>
    <row r="127" outlineLevel="1">
      <c r="A127" s="299" t="s">
        <v>252</v>
      </c>
      <c r="B127" s="300" t="s">
        <v>253</v>
      </c>
      <c r="C127" s="307" t="str">
        <f t="array" ref="C127">INDEX('転倒'!$C$3:$D118, MATCH($A$1,'転倒'!$A$3:$A$115,0), MATCH(C106,'転倒'!$C$2:$AC$2,0))</f>
        <v>1-5</v>
      </c>
      <c r="D127" s="308">
        <f t="array" ref="D127">INDEX('転倒'!$C$3:$D118, MATCH($A$1,'転倒'!$A$3:$A$115,0), MATCH(D106,'転倒'!$C$2:$AC$2,0))</f>
        <v>29</v>
      </c>
      <c r="E127" s="301"/>
      <c r="F127" s="301"/>
      <c r="G127" s="301"/>
      <c r="H127" s="228"/>
      <c r="I127" s="228"/>
      <c r="J127" s="111"/>
      <c r="K127" s="313" t="str">
        <f>'テンプレート'!K137</f>
        <v>あお向け倒れ</v>
      </c>
      <c r="L127" s="306" t="str">
        <f>'テンプレート'!L137</f>
        <v>モーション大</v>
      </c>
      <c r="M127" s="113">
        <v>39.0</v>
      </c>
      <c r="N127" s="315"/>
      <c r="O127" s="118"/>
      <c r="P127" s="118"/>
      <c r="Q127" s="118"/>
      <c r="R127" s="118"/>
      <c r="S127" s="118"/>
      <c r="T127" s="118"/>
      <c r="U127" s="118"/>
      <c r="V127" s="118"/>
    </row>
    <row r="128" outlineLevel="1">
      <c r="A128" s="146"/>
      <c r="B128" s="300" t="s">
        <v>254</v>
      </c>
      <c r="C128" s="307" t="str">
        <f t="array" ref="C128">INDEX('転倒'!$E$3:$F118, MATCH($A$1,'転倒'!$A$3:$A$115,0), MATCH(C106,'転倒'!$E$2:$AC$2,0))</f>
        <v>1-5</v>
      </c>
      <c r="D128" s="308">
        <f t="array" ref="D128">INDEX('転倒'!$E$3:$F118, MATCH($A$1,'転倒'!$A$3:$A$115,0), MATCH(D106,'転倒'!$E$2:$AC$2,0))</f>
        <v>39</v>
      </c>
      <c r="E128" s="301"/>
      <c r="F128" s="301"/>
      <c r="G128" s="301"/>
      <c r="H128" s="228"/>
      <c r="I128" s="228"/>
      <c r="J128" s="117"/>
      <c r="K128" s="313" t="str">
        <f>'テンプレート'!K138</f>
        <v>うつ伏せ倒れ</v>
      </c>
      <c r="L128" s="306" t="str">
        <f>'テンプレート'!L138</f>
        <v>モーション大</v>
      </c>
      <c r="M128" s="113" t="s">
        <v>118</v>
      </c>
      <c r="N128" s="315"/>
      <c r="O128" s="118"/>
      <c r="P128" s="118"/>
      <c r="Q128" s="118"/>
      <c r="R128" s="118"/>
      <c r="S128" s="118"/>
      <c r="T128" s="118"/>
      <c r="U128" s="118"/>
      <c r="V128" s="118"/>
    </row>
    <row r="129" outlineLevel="1">
      <c r="A129" s="146"/>
      <c r="B129" s="300" t="s">
        <v>216</v>
      </c>
      <c r="C129" s="307" t="str">
        <f t="array" ref="C129">INDEX('転倒'!$G$3:$H$115, MATCH($A$1,'転倒'!$A$3:$A$115,0), MATCH(C106,'転倒'!$G$2:$AC$2,0))</f>
        <v>1-16</v>
      </c>
      <c r="D129" s="308">
        <f t="array" ref="D129">INDEX('転倒'!$G$3:$H$115, MATCH($A$1,'転倒'!$A$3:$A$115,0), MATCH(D106,'転倒'!$G$2:$AC$2,0))</f>
        <v>21</v>
      </c>
      <c r="E129" s="301"/>
      <c r="F129" s="301"/>
      <c r="G129" s="301"/>
      <c r="H129" s="228"/>
      <c r="I129" s="228"/>
      <c r="J129" s="111"/>
      <c r="K129" s="304" t="str">
        <f>'テンプレート'!K139</f>
        <v/>
      </c>
      <c r="L129" s="110"/>
      <c r="M129" s="298" t="str">
        <f>'テンプレート'!M139</f>
        <v/>
      </c>
      <c r="N129" s="102"/>
      <c r="O129" s="118"/>
      <c r="P129" s="118"/>
      <c r="Q129" s="118"/>
      <c r="R129" s="118"/>
      <c r="S129" s="118"/>
      <c r="T129" s="118"/>
      <c r="U129" s="118"/>
      <c r="V129" s="118"/>
    </row>
    <row r="130" outlineLevel="1">
      <c r="A130" s="146"/>
      <c r="B130" s="300" t="s">
        <v>245</v>
      </c>
      <c r="C130" s="307" t="str">
        <f t="array" ref="C130">INDEX('転倒'!$I$3:$J$115, MATCH($A$1,'転倒'!$A$3:$A$115,0), MATCH(C106,'転倒'!$I$2:$AC$2,0))</f>
        <v>1-9</v>
      </c>
      <c r="D130" s="308">
        <f t="array" ref="D130">INDEX('転倒'!$I$3:$J$115, MATCH($A$1,'転倒'!$A$3:$A$115,0), MATCH(D106,'転倒'!$I$2:$AC$2,0))</f>
        <v>28</v>
      </c>
      <c r="E130" s="301"/>
      <c r="F130" s="301"/>
      <c r="G130" s="301"/>
      <c r="H130" s="228"/>
      <c r="I130" s="228"/>
      <c r="J130" s="228"/>
      <c r="K130" s="316"/>
      <c r="L130" s="317" t="str">
        <f>'テンプレート'!L140</f>
        <v/>
      </c>
      <c r="M130" s="113" t="s">
        <v>76</v>
      </c>
      <c r="N130" s="102"/>
      <c r="O130" s="118"/>
      <c r="P130" s="118"/>
      <c r="Q130" s="118"/>
      <c r="R130" s="118"/>
      <c r="S130" s="118"/>
      <c r="T130" s="118"/>
      <c r="U130" s="118"/>
      <c r="V130" s="118"/>
    </row>
    <row r="131" outlineLevel="1">
      <c r="A131" s="146"/>
      <c r="B131" s="300" t="s">
        <v>246</v>
      </c>
      <c r="C131" s="307" t="str">
        <f t="array" ref="C131">INDEX('転倒'!$K$3:$L$115, MATCH($A$1,'転倒'!$A$3:$A$115,0), MATCH(C106,'転倒'!$K$2:$AC$2,0))</f>
        <v>1-9</v>
      </c>
      <c r="D131" s="308">
        <f t="array" ref="D131">INDEX('転倒'!$K$3:$L$115, MATCH($A$1,'転倒'!$A$3:$A$115,0), MATCH(D106,'転倒'!$K$2:$AC$2,0))</f>
        <v>28</v>
      </c>
      <c r="E131" s="301"/>
      <c r="F131" s="301"/>
      <c r="G131" s="301"/>
      <c r="H131" s="228"/>
      <c r="I131" s="228"/>
      <c r="J131" s="228"/>
      <c r="K131" s="318"/>
      <c r="L131" s="118"/>
      <c r="M131" s="118"/>
      <c r="N131" s="102"/>
      <c r="O131" s="118"/>
      <c r="P131" s="118"/>
      <c r="Q131" s="118"/>
      <c r="R131" s="118"/>
      <c r="S131" s="118"/>
      <c r="T131" s="118"/>
      <c r="U131" s="118"/>
      <c r="V131" s="118"/>
    </row>
    <row r="132" outlineLevel="1">
      <c r="A132" s="146"/>
      <c r="B132" s="300" t="s">
        <v>249</v>
      </c>
      <c r="C132" s="309" t="str">
        <f t="array" ref="C132">INDEX('転倒'!$M$3:$P$115, MATCH($A$1,'転倒'!$A$3:$A$115,0), MATCH(C106,'転倒'!$M$2:$AC$2,0))</f>
        <v>1-7</v>
      </c>
      <c r="D132" s="310">
        <f t="array" ref="D132">INDEX('転倒'!$M$3:$P$115, MATCH($A$1,'転倒'!$A$3:$A$115,0), MATCH(D106,'転倒'!$M$2:$AC$2,0))</f>
        <v>49</v>
      </c>
      <c r="E132" s="307" t="str">
        <f t="array" ref="E132">INDEX('転倒'!$M$3:$P$115, MATCH($A$1,'転倒'!$A$3:$A$115,0), MATCH(E106,'転倒'!$M$2:$AC$2,0))</f>
        <v>19-20</v>
      </c>
      <c r="F132" s="308">
        <f t="array" ref="F132">INDEX('転倒'!$M$3:$P$115, MATCH($A$1,'転倒'!$A$3:$A$115,0), MATCH(F106,'転倒'!$M$2:$AC$2,0))</f>
        <v>5</v>
      </c>
      <c r="G132" s="113">
        <f t="shared" ref="G132:G133" si="3">F132*1.2</f>
        <v>6</v>
      </c>
      <c r="H132" s="228"/>
      <c r="I132" s="228"/>
      <c r="J132" s="228"/>
      <c r="K132" s="118"/>
      <c r="L132" s="118"/>
      <c r="M132" s="118"/>
      <c r="N132" s="102"/>
      <c r="O132" s="102"/>
      <c r="P132" s="102"/>
      <c r="Q132" s="102"/>
      <c r="R132" s="118"/>
      <c r="S132" s="118"/>
      <c r="T132" s="118"/>
      <c r="U132" s="118"/>
      <c r="V132" s="118"/>
    </row>
    <row r="133" outlineLevel="1">
      <c r="A133" s="156"/>
      <c r="B133" s="311" t="s">
        <v>250</v>
      </c>
      <c r="C133" s="156"/>
      <c r="D133" s="156"/>
      <c r="E133" s="307" t="str">
        <f t="array" ref="E133">INDEX('転倒'!$Q$3:$R$115, MATCH($A$1,'転倒'!$A$3:$A$115,0), MATCH(E106,'転倒'!$Q$2:$AC$2,0))</f>
        <v>25-26</v>
      </c>
      <c r="F133" s="308">
        <f t="array" ref="F133">INDEX('転倒'!$Q$3:$R$115, MATCH($A$1,'転倒'!$A$3:$A$115,0), MATCH(F106,'転倒'!$Q$2:$AC$2,0))</f>
        <v>5</v>
      </c>
      <c r="G133" s="113">
        <f t="shared" si="3"/>
        <v>6</v>
      </c>
      <c r="H133" s="228"/>
      <c r="I133" s="228"/>
      <c r="J133" s="228"/>
      <c r="K133" s="118"/>
      <c r="L133" s="118"/>
      <c r="M133" s="118"/>
      <c r="N133" s="102"/>
      <c r="O133" s="102"/>
      <c r="P133" s="102"/>
      <c r="Q133" s="102"/>
      <c r="R133" s="118"/>
      <c r="S133" s="118"/>
      <c r="T133" s="118"/>
      <c r="U133" s="118"/>
      <c r="V133" s="118"/>
    </row>
    <row r="134" outlineLevel="1">
      <c r="A134" s="319"/>
      <c r="B134" s="320"/>
      <c r="C134" s="321"/>
      <c r="D134" s="321"/>
      <c r="E134" s="322"/>
      <c r="F134" s="322"/>
      <c r="G134" s="114"/>
      <c r="H134" s="228"/>
      <c r="I134" s="228"/>
      <c r="J134" s="228"/>
      <c r="K134" s="118"/>
      <c r="L134" s="118"/>
      <c r="M134" s="118"/>
      <c r="N134" s="102"/>
      <c r="O134" s="102"/>
      <c r="P134" s="102"/>
      <c r="Q134" s="102"/>
      <c r="R134" s="118"/>
      <c r="S134" s="118"/>
      <c r="T134" s="118"/>
      <c r="U134" s="118"/>
      <c r="V134" s="118"/>
    </row>
    <row r="135" outlineLevel="1">
      <c r="A135" s="323" t="s">
        <v>255</v>
      </c>
      <c r="B135" s="109"/>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4" t="s">
        <v>256</v>
      </c>
      <c r="B136" s="109"/>
      <c r="C136" s="325" t="s">
        <v>257</v>
      </c>
      <c r="D136" s="325" t="s">
        <v>49</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258</v>
      </c>
      <c r="B137" s="327" t="s">
        <v>216</v>
      </c>
      <c r="C137" s="328" t="str">
        <f t="array" ref="C137">INDEX('アイテム'!$C$3:$D$114, MATCH($A$1,'アイテム'!$A$3:$A$114,0), MATCH(C136,'アイテム'!$C$2:$AQ$2,0))</f>
        <v>2</v>
      </c>
      <c r="D137" s="328">
        <f t="array" ref="D137">INDEX('アイテム'!$C$3:$D$114, MATCH($A$1,'アイテム'!$A$3:$A$114,0), MATCH(D136,'アイテム'!$C$2:$AQ$2,0))</f>
        <v>7</v>
      </c>
      <c r="E137" s="322"/>
      <c r="F137" s="322"/>
      <c r="G137" s="114"/>
      <c r="H137" s="228"/>
      <c r="I137" s="228"/>
      <c r="J137" s="228"/>
      <c r="K137" s="118"/>
      <c r="L137" s="118"/>
      <c r="M137" s="118"/>
      <c r="N137" s="102"/>
      <c r="O137" s="102"/>
      <c r="P137" s="102"/>
      <c r="Q137" s="102"/>
      <c r="R137" s="118"/>
      <c r="S137" s="118"/>
      <c r="T137" s="118"/>
      <c r="U137" s="118"/>
      <c r="V137" s="118"/>
    </row>
    <row r="138" outlineLevel="1">
      <c r="A138" s="156"/>
      <c r="B138" s="327" t="s">
        <v>219</v>
      </c>
      <c r="C138" s="328" t="str">
        <f t="array" ref="C138">INDEX('アイテム'!$E$3:$F$114, MATCH($A$1,'アイテム'!$A$3:$A$114,0), MATCH(C136,'アイテム'!$C$2:$AQ$2,0))</f>
        <v>2</v>
      </c>
      <c r="D138" s="328">
        <f t="array" ref="D138">INDEX('アイテム'!$E$3:$F$114, MATCH($A$1,'アイテム'!$A$3:$A$114,0), MATCH(D136,'アイテム'!$C$2:$AQ$2,0))</f>
        <v>19</v>
      </c>
      <c r="E138" s="322"/>
      <c r="F138" s="322"/>
      <c r="G138" s="114"/>
      <c r="H138" s="228"/>
      <c r="I138" s="228"/>
      <c r="J138" s="228"/>
      <c r="K138" s="118"/>
      <c r="L138" s="118"/>
      <c r="M138" s="118"/>
      <c r="N138" s="102"/>
      <c r="O138" s="102"/>
      <c r="P138" s="102"/>
      <c r="Q138" s="102"/>
      <c r="R138" s="118"/>
      <c r="S138" s="118"/>
      <c r="T138" s="118"/>
      <c r="U138" s="118"/>
      <c r="V138" s="118"/>
    </row>
    <row r="139" outlineLevel="1">
      <c r="A139" s="329" t="s">
        <v>259</v>
      </c>
      <c r="B139" s="327" t="s">
        <v>216</v>
      </c>
      <c r="C139" s="328">
        <f t="array" ref="C139">INDEX('アイテム'!$AA$3:$AB$114, MATCH($A$1,'アイテム'!$A$3:$A$114,0), MATCH(C136,'アイテム'!$C$2:$AQ$2,0))</f>
        <v>3</v>
      </c>
      <c r="D139" s="328" t="str">
        <f t="array" ref="D139">INDEX('アイテム'!$AA$3:$AB$114, MATCH($A$1,'アイテム'!$A$3:$A$114,0), MATCH(D136,'アイテム'!$C$2:$AQ$2,0))</f>
        <v>12</v>
      </c>
      <c r="E139" s="322"/>
      <c r="F139" s="322"/>
      <c r="G139" s="114"/>
      <c r="H139" s="228"/>
      <c r="I139" s="228"/>
      <c r="J139" s="228"/>
      <c r="K139" s="118"/>
      <c r="L139" s="118"/>
      <c r="M139" s="118"/>
      <c r="N139" s="102"/>
      <c r="O139" s="102"/>
      <c r="P139" s="102"/>
      <c r="Q139" s="102"/>
      <c r="R139" s="118"/>
      <c r="S139" s="118"/>
      <c r="T139" s="118"/>
      <c r="U139" s="118"/>
      <c r="V139" s="118"/>
    </row>
    <row r="140" outlineLevel="1">
      <c r="A140" s="324" t="s">
        <v>260</v>
      </c>
      <c r="B140" s="109"/>
      <c r="C140" s="325" t="s">
        <v>261</v>
      </c>
      <c r="D140" s="325" t="s">
        <v>49</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262</v>
      </c>
      <c r="B141" s="327" t="s">
        <v>226</v>
      </c>
      <c r="C141" s="328" t="str">
        <f t="array" ref="C141">INDEX('アイテム'!$G$3:$H$114, MATCH($A$1,'アイテム'!$A$3:$A$114,0), MATCH(C136,'アイテム'!$C$2:$AQ$2,0))</f>
        <v>8</v>
      </c>
      <c r="D141" s="328">
        <f t="array" ref="D141">INDEX('アイテム'!$G$3:$H$114, MATCH($A$1,'アイテム'!$A$3:$A$114,0), MATCH(D136,'アイテム'!$C$2:$AQ$2,0))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229</v>
      </c>
      <c r="C142" s="328" t="str">
        <f t="array" ref="C142">INDEX('アイテム'!$I$3:$J$114, MATCH($A$1,'アイテム'!$A$3:$A$114,0), MATCH(C136,'アイテム'!$C$2:$AQ$2,0))</f>
        <v>11</v>
      </c>
      <c r="D142" s="328">
        <f t="array" ref="D142">INDEX('アイテム'!$I$3:$J$114, MATCH($A$1,'アイテム'!$A$3:$A$114,0), MATCH(D136,'アイテム'!$C$2:$AQ$2,0))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233</v>
      </c>
      <c r="C143" s="328" t="str">
        <f t="array" ref="C143">INDEX('アイテム'!$K$3:$L$114, MATCH($A$1,'アイテム'!$A$3:$A$114,0), MATCH(C136,'アイテム'!$C$2:$AQ$2,0))</f>
        <v>11</v>
      </c>
      <c r="D143" s="328">
        <f t="array" ref="D143">INDEX('アイテム'!$K$3:$L$114, MATCH($A$1,'アイテム'!$A$3:$A$114,0), MATCH(D136,'アイテム'!$C$2:$AQ$2,0))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234</v>
      </c>
      <c r="C144" s="328" t="str">
        <f t="array" ref="C144">INDEX('アイテム'!$M$3:$N$114, MATCH($A$1,'アイテム'!$A$3:$A$114,0), MATCH(C136,'アイテム'!$C$2:$AQ$2,0))</f>
        <v>8</v>
      </c>
      <c r="D144" s="328">
        <f t="array" ref="D144">INDEX('アイテム'!$M$3:$N$114, MATCH($A$1,'アイテム'!$A$3:$A$114,0), MATCH(D136,'アイテム'!$C$2:$AQ$2,0))</f>
        <v>19</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219</v>
      </c>
      <c r="C145" s="328" t="str">
        <f t="array" ref="C145">INDEX('アイテム'!$O$3:$P$114, MATCH($A$1,'アイテム'!$A$3:$A$114,0), MATCH(C136,'アイテム'!$C$2:$AQ$2,0))</f>
        <v>6</v>
      </c>
      <c r="D145" s="328">
        <f t="array" ref="D145">INDEX('アイテム'!$O$3:$P$114, MATCH($A$1,'アイテム'!$A$3:$A$114,0), MATCH(D136,'アイテム'!$C$2:$AQ$2,0))</f>
        <v>29</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263</v>
      </c>
      <c r="C146" s="328" t="str">
        <f t="array" ref="C146">INDEX('アイテム'!$Q$3:$R$114, MATCH($A$1,'アイテム'!$A$3:$A$114,0), MATCH(C136,'アイテム'!$C$2:$AQ$2,0))</f>
        <v>6</v>
      </c>
      <c r="D146" s="328">
        <f t="array" ref="D146">INDEX('アイテム'!$Q$3:$R$114, MATCH($A$1,'アイテム'!$A$3:$A$114,0), MATCH(D136,'アイテム'!$C$2:$AQ$2,0))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264</v>
      </c>
      <c r="B147" s="327" t="s">
        <v>226</v>
      </c>
      <c r="C147" s="328" t="str">
        <f t="array" ref="C147">INDEX('アイテム'!$S$3:$T$114, MATCH($A$1,'アイテム'!$A$3:$A$114,0), MATCH(C136,'アイテム'!$C$2:$AQ$2,0))</f>
        <v>8</v>
      </c>
      <c r="D147" s="328">
        <f t="array" ref="D147">INDEX('アイテム'!$S$3:$T$114, MATCH($A$1,'アイテム'!$A$3:$A$114,0), MATCH(D136,'アイテム'!$C$2:$AQ$2,0))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229</v>
      </c>
      <c r="C148" s="328" t="str">
        <f t="array" ref="C148">INDEX('アイテム'!$U$3:$V$114, MATCH($A$1,'アイテム'!$A$3:$A$114,0), MATCH(C136,'アイテム'!$C$2:$AQ$2,0))</f>
        <v>11</v>
      </c>
      <c r="D148" s="328">
        <f t="array" ref="D148">INDEX('アイテム'!$U$3:$V$114, MATCH($A$1,'アイテム'!$A$3:$A$114,0), MATCH(D136,'アイテム'!$C$2:$AQ$2,0))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233</v>
      </c>
      <c r="C149" s="328" t="str">
        <f t="array" ref="C149">INDEX('アイテム'!$W$3:$X$114, MATCH($A$1,'アイテム'!$A$3:$A$114,0), MATCH(C136,'アイテム'!$C$2:$AQ$2,0))</f>
        <v>11</v>
      </c>
      <c r="D149" s="328">
        <f t="array" ref="D149">INDEX('アイテム'!$W$3:$X$114, MATCH($A$1,'アイテム'!$A$3:$A$114,0), MATCH(D136,'アイテム'!$C$2:$AQ$2,0))</f>
        <v>23</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234</v>
      </c>
      <c r="C150" s="328" t="str">
        <f t="array" ref="C150">INDEX('アイテム'!$Y$3:$Z$114, MATCH($A$1,'アイテム'!$A$3:$A$114,0), MATCH(C136,'アイテム'!$C$2:$AQ$2,0))</f>
        <v>8</v>
      </c>
      <c r="D150" s="328">
        <f t="array" ref="D150">INDEX('アイテム'!$Y$3:$Z$114, MATCH($A$1,'アイテム'!$A$3:$A$114,0), MATCH(D136,'アイテム'!$C$2:$AQ$2,0))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265</v>
      </c>
      <c r="B151" s="327" t="s">
        <v>226</v>
      </c>
      <c r="C151" s="328">
        <f t="array" ref="C151">INDEX('アイテム'!$AC$3:$AD$114, MATCH($A$1,'アイテム'!$A$3:$A$114,0), MATCH(C136,'アイテム'!$C$2:$AQ$2,0))</f>
        <v>17</v>
      </c>
      <c r="D151" s="328" t="str">
        <f t="array" ref="D151">INDEX('アイテム'!$AC$3:$AD$114, MATCH($A$1,'アイテム'!$A$3:$A$114,0), MATCH(D136,'アイテム'!$C$2:$AQ$2,0))</f>
        <v>30</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229</v>
      </c>
      <c r="C152" s="328">
        <f t="array" ref="C152">INDEX('アイテム'!$AE$3:$AF$114, MATCH($A$1,'アイテム'!$A$3:$A$114,0), MATCH(C136,'アイテム'!$C$2:$AQ$2,0))</f>
        <v>16</v>
      </c>
      <c r="D152" s="328" t="str">
        <f t="array" ref="D152">INDEX('アイテム'!$AE$3:$AF$114, MATCH($A$1,'アイテム'!$A$3:$A$114,0), MATCH(D136,'アイテム'!$C$2:$AQ$2,0))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233</v>
      </c>
      <c r="C153" s="328">
        <f t="array" ref="C153">INDEX('アイテム'!$AG$3:$AH$114, MATCH($A$1,'アイテム'!$A$3:$A$114,0), MATCH(C136,'アイテム'!$C$2:$AQ$2,0))</f>
        <v>11</v>
      </c>
      <c r="D153" s="328" t="str">
        <f t="array" ref="D153">INDEX('アイテム'!$AG$3:$AH$114, MATCH($A$1,'アイテム'!$A$3:$A$114,0), MATCH(D136,'アイテム'!$C$2:$AQ$2,0))</f>
        <v>22</v>
      </c>
      <c r="E153" s="322"/>
      <c r="F153" s="322"/>
      <c r="G153" s="114"/>
      <c r="H153" s="228"/>
      <c r="I153" s="228"/>
      <c r="J153" s="228"/>
      <c r="K153" s="118"/>
      <c r="L153" s="118"/>
      <c r="M153" s="118"/>
      <c r="N153" s="102"/>
      <c r="O153" s="102"/>
      <c r="P153" s="102"/>
      <c r="Q153" s="102"/>
      <c r="R153" s="118"/>
      <c r="S153" s="118"/>
      <c r="T153" s="118"/>
      <c r="U153" s="118"/>
      <c r="V153" s="118"/>
    </row>
    <row r="154" outlineLevel="1">
      <c r="A154" s="156"/>
      <c r="B154" s="327" t="s">
        <v>234</v>
      </c>
      <c r="C154" s="328">
        <f t="array" ref="C154">INDEX('アイテム'!$AI$3:$AJ$114, MATCH($A$1,'アイテム'!$A$3:$A$114,0), MATCH(C136,'アイテム'!$C$2:$AQ$2,0))</f>
        <v>11</v>
      </c>
      <c r="D154" s="328" t="str">
        <f t="array" ref="D154">INDEX('アイテム'!$AI$3:$AJ$114, MATCH($A$1,'アイテム'!$A$3:$A$114,0), MATCH(D136,'アイテム'!$C$2:$AQ$2,0))</f>
        <v>22</v>
      </c>
      <c r="E154" s="322"/>
      <c r="F154" s="322"/>
      <c r="G154" s="114"/>
      <c r="H154" s="228"/>
      <c r="I154" s="228"/>
      <c r="J154" s="228"/>
      <c r="K154" s="118"/>
      <c r="L154" s="118"/>
      <c r="M154" s="118"/>
      <c r="N154" s="102"/>
      <c r="O154" s="102"/>
      <c r="P154" s="102"/>
      <c r="Q154" s="102"/>
      <c r="R154" s="118"/>
      <c r="S154" s="118"/>
      <c r="T154" s="118"/>
      <c r="U154" s="118"/>
      <c r="V154" s="118"/>
    </row>
  </sheetData>
  <mergeCells count="161">
    <mergeCell ref="H26:J26"/>
    <mergeCell ref="H27:J27"/>
    <mergeCell ref="H28:J28"/>
    <mergeCell ref="H29:J29"/>
    <mergeCell ref="H30:J30"/>
    <mergeCell ref="H31:J32"/>
    <mergeCell ref="U31:U32"/>
    <mergeCell ref="H33:J33"/>
    <mergeCell ref="H34:J35"/>
    <mergeCell ref="U34:U35"/>
    <mergeCell ref="H36:J36"/>
    <mergeCell ref="H37:J38"/>
    <mergeCell ref="U37:U38"/>
    <mergeCell ref="H39:J40"/>
    <mergeCell ref="I51:I52"/>
    <mergeCell ref="J51:J52"/>
    <mergeCell ref="D39:D40"/>
    <mergeCell ref="D41:D42"/>
    <mergeCell ref="H41:J42"/>
    <mergeCell ref="I46:I47"/>
    <mergeCell ref="J46:J47"/>
    <mergeCell ref="I49:I50"/>
    <mergeCell ref="J49:J50"/>
    <mergeCell ref="Q76:Q77"/>
    <mergeCell ref="R76:R77"/>
    <mergeCell ref="S76:S77"/>
    <mergeCell ref="T76:T77"/>
    <mergeCell ref="U39:U40"/>
    <mergeCell ref="R45:V45"/>
    <mergeCell ref="R46:V47"/>
    <mergeCell ref="R48:V48"/>
    <mergeCell ref="R49:V50"/>
    <mergeCell ref="R51:V52"/>
    <mergeCell ref="R53:V55"/>
    <mergeCell ref="U76:U79"/>
    <mergeCell ref="V76:V79"/>
    <mergeCell ref="U41:U42"/>
    <mergeCell ref="U59:U62"/>
    <mergeCell ref="V59:V62"/>
    <mergeCell ref="U64:U71"/>
    <mergeCell ref="V64:V71"/>
    <mergeCell ref="U73:U74"/>
    <mergeCell ref="V73:V74"/>
    <mergeCell ref="A49:A50"/>
    <mergeCell ref="A51:A52"/>
    <mergeCell ref="A53:A55"/>
    <mergeCell ref="A57:B57"/>
    <mergeCell ref="A58:B58"/>
    <mergeCell ref="A59:A60"/>
    <mergeCell ref="A63:B63"/>
    <mergeCell ref="A61:A62"/>
    <mergeCell ref="A65:A67"/>
    <mergeCell ref="A72:B72"/>
    <mergeCell ref="A73:A74"/>
    <mergeCell ref="A75:B75"/>
    <mergeCell ref="A76:A79"/>
    <mergeCell ref="A81:B82"/>
    <mergeCell ref="A84:A86"/>
    <mergeCell ref="A87:B87"/>
    <mergeCell ref="A88:A89"/>
    <mergeCell ref="A90:A91"/>
    <mergeCell ref="A92:A93"/>
    <mergeCell ref="A94:A95"/>
    <mergeCell ref="A97:B98"/>
    <mergeCell ref="C119:C120"/>
    <mergeCell ref="C125:C126"/>
    <mergeCell ref="C132:C133"/>
    <mergeCell ref="A127:A133"/>
    <mergeCell ref="A135:B135"/>
    <mergeCell ref="A136:B136"/>
    <mergeCell ref="A137:A138"/>
    <mergeCell ref="A140:B140"/>
    <mergeCell ref="A141:A146"/>
    <mergeCell ref="A147:A150"/>
    <mergeCell ref="A151:A154"/>
    <mergeCell ref="A99:A101"/>
    <mergeCell ref="A102:A103"/>
    <mergeCell ref="A105:B106"/>
    <mergeCell ref="A107:A111"/>
    <mergeCell ref="A112:A114"/>
    <mergeCell ref="A115:A120"/>
    <mergeCell ref="A121:A126"/>
    <mergeCell ref="D51:D52"/>
    <mergeCell ref="D53:D55"/>
    <mergeCell ref="I53:I55"/>
    <mergeCell ref="J53:J55"/>
    <mergeCell ref="H58:J58"/>
    <mergeCell ref="D59:D60"/>
    <mergeCell ref="D61:D62"/>
    <mergeCell ref="D65:D66"/>
    <mergeCell ref="H59:J62"/>
    <mergeCell ref="H63:J63"/>
    <mergeCell ref="H64:J71"/>
    <mergeCell ref="H72:J72"/>
    <mergeCell ref="H73:J74"/>
    <mergeCell ref="H75:J75"/>
    <mergeCell ref="H76:J79"/>
    <mergeCell ref="G87:J87"/>
    <mergeCell ref="D88:D89"/>
    <mergeCell ref="G88:J89"/>
    <mergeCell ref="D90:D91"/>
    <mergeCell ref="G90:J91"/>
    <mergeCell ref="D92:D93"/>
    <mergeCell ref="D94:D95"/>
    <mergeCell ref="K116:K119"/>
    <mergeCell ref="K120:L120"/>
    <mergeCell ref="K122:K125"/>
    <mergeCell ref="K129:L129"/>
    <mergeCell ref="D125:D126"/>
    <mergeCell ref="K126:L126"/>
    <mergeCell ref="D132:D133"/>
    <mergeCell ref="G92:J93"/>
    <mergeCell ref="G94:J95"/>
    <mergeCell ref="K106:L106"/>
    <mergeCell ref="K107:K108"/>
    <mergeCell ref="K109:L109"/>
    <mergeCell ref="K110:K115"/>
    <mergeCell ref="D119:D120"/>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A24:B25"/>
    <mergeCell ref="A26:A30"/>
    <mergeCell ref="A31:A32"/>
    <mergeCell ref="D31:D32"/>
    <mergeCell ref="A34:A35"/>
    <mergeCell ref="D34:D35"/>
    <mergeCell ref="D37:D38"/>
    <mergeCell ref="A68:A70"/>
    <mergeCell ref="D68:D69"/>
    <mergeCell ref="D73:D74"/>
    <mergeCell ref="E76:E77"/>
    <mergeCell ref="F76:F77"/>
    <mergeCell ref="G76:G77"/>
    <mergeCell ref="A37:A38"/>
    <mergeCell ref="A39:A40"/>
    <mergeCell ref="A41:A42"/>
    <mergeCell ref="A44:B45"/>
    <mergeCell ref="A46:A47"/>
    <mergeCell ref="D46:D47"/>
    <mergeCell ref="D49:D50"/>
    <mergeCell ref="K76:K77"/>
    <mergeCell ref="L76:L77"/>
    <mergeCell ref="M76:M77"/>
    <mergeCell ref="N76:N77"/>
    <mergeCell ref="O76:O77"/>
    <mergeCell ref="P76:P77"/>
  </mergeCells>
  <conditionalFormatting sqref="K1:K15 K17:K63 K72:K77 K79:K130">
    <cfRule type="containsText" dxfId="0" priority="1" operator="containsText" text="361">
      <formula>NOT(ISERROR(SEARCH(("361"),(K1))))</formula>
    </cfRule>
  </conditionalFormatting>
  <conditionalFormatting sqref="K1:K15 K17:K63 K72:K77 K79:K130">
    <cfRule type="containsText" dxfId="1" priority="2" operator="containsText" text="363">
      <formula>NOT(ISERROR(SEARCH(("363"),(K1))))</formula>
    </cfRule>
  </conditionalFormatting>
  <conditionalFormatting sqref="K1:K15 K17:K63 K72:K77 K79:K130">
    <cfRule type="containsText" dxfId="1" priority="3" operator="containsText" text="365">
      <formula>NOT(ISERROR(SEARCH(("365"),(K1))))</formula>
    </cfRule>
  </conditionalFormatting>
  <conditionalFormatting sqref="K1:K15 K17:K63 K72:K77 K79:K130">
    <cfRule type="containsText" dxfId="1" priority="4" operator="containsText" text="366">
      <formula>NOT(ISERROR(SEARCH(("366"),(K1))))</formula>
    </cfRule>
  </conditionalFormatting>
  <conditionalFormatting sqref="K1:K15 K17:K63 K72:K77 K79:K130">
    <cfRule type="containsText" dxfId="1" priority="5" operator="containsText" text="367">
      <formula>NOT(ISERROR(SEARCH(("367"),(K1))))</formula>
    </cfRule>
  </conditionalFormatting>
  <conditionalFormatting sqref="P88:P95">
    <cfRule type="cellIs" dxfId="2" priority="6" operator="equal">
      <formula>"敵のみ"</formula>
    </cfRule>
  </conditionalFormatting>
  <conditionalFormatting sqref="C88:C95">
    <cfRule type="cellIs" dxfId="3" priority="7" operator="equal">
      <formula>"-"</formula>
    </cfRule>
  </conditionalFormatting>
  <conditionalFormatting sqref="O1:O63 O72:O77 O79:O154 P95">
    <cfRule type="cellIs" dxfId="4" priority="8" operator="greaterThan">
      <formula>0</formula>
    </cfRule>
  </conditionalFormatting>
  <conditionalFormatting sqref="P1:Q63 P72:Q77 P79:Q154">
    <cfRule type="cellIs" dxfId="5" priority="9" operator="lessThan">
      <formula>1</formula>
    </cfRule>
  </conditionalFormatting>
  <conditionalFormatting sqref="P1:Q63 P72:Q77 P79:Q154">
    <cfRule type="cellIs" dxfId="4" priority="10" operator="greaterThan">
      <formula>1</formula>
    </cfRule>
  </conditionalFormatting>
  <conditionalFormatting sqref="N25:N36 N38:N63 N72:N77 N79:N95">
    <cfRule type="cellIs" dxfId="6" priority="11" operator="greaterThan">
      <formula>0</formula>
    </cfRule>
  </conditionalFormatting>
  <conditionalFormatting sqref="N1:N15 N17:N36 N38:N63 N72:N77 N79:N154">
    <cfRule type="containsText" dxfId="6" priority="12" operator="containsText" text="/">
      <formula>NOT(ISERROR(SEARCH(("/"),(N1))))</formula>
    </cfRule>
  </conditionalFormatting>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7A9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060">
        <v>17.0</v>
      </c>
      <c r="B1" s="1061"/>
      <c r="C1" s="1062" t="str">
        <f>IMAGE(VLOOKUP($A$1,Fighters!A2:AI114,12,FALSE),1)</f>
        <v>#REF!</v>
      </c>
      <c r="D1" s="1063"/>
      <c r="E1" s="1063"/>
      <c r="F1" s="1063"/>
      <c r="G1" s="1064"/>
      <c r="H1" s="1065"/>
      <c r="I1" s="1063"/>
      <c r="J1" s="1064"/>
      <c r="K1" s="1066"/>
      <c r="L1" s="1063"/>
      <c r="M1" s="1064"/>
      <c r="N1" s="1067"/>
      <c r="O1" s="1067"/>
      <c r="P1" s="1067"/>
      <c r="Q1" s="1067"/>
      <c r="R1" s="1068"/>
      <c r="S1" s="1068"/>
      <c r="T1" s="1068"/>
      <c r="U1" s="1068"/>
      <c r="V1" s="1068"/>
    </row>
    <row r="2">
      <c r="A2" s="1069" t="str">
        <f>VLOOKUP($A$1,Fighters!$A$2:$AI$81,6,FALSE)</f>
        <v>#ee7a9f</v>
      </c>
      <c r="B2" s="1061"/>
      <c r="C2" s="1070"/>
      <c r="G2" s="1071"/>
      <c r="H2" s="1072"/>
      <c r="I2" s="1073"/>
      <c r="J2" s="1074"/>
      <c r="K2" s="1072"/>
      <c r="L2" s="1073"/>
      <c r="M2" s="1074"/>
      <c r="N2" s="1067"/>
      <c r="O2" s="1067"/>
      <c r="P2" s="1067"/>
      <c r="Q2" s="1067"/>
      <c r="R2" s="1068"/>
      <c r="S2" s="1068"/>
      <c r="T2" s="1068"/>
      <c r="U2" s="1068"/>
      <c r="V2" s="1068"/>
    </row>
    <row r="3">
      <c r="A3" s="1069" t="str">
        <f>VLOOKUP($A$1,Fighters!$A$2:$AI$81,14,FALSE)</f>
        <v>17. ゼルダ</v>
      </c>
      <c r="B3" s="1061"/>
      <c r="C3" s="1070"/>
      <c r="G3" s="1071"/>
      <c r="H3" s="1075"/>
      <c r="I3" s="1075"/>
      <c r="J3" s="1075"/>
      <c r="K3" s="1076"/>
      <c r="L3" s="1076"/>
      <c r="M3" s="1076"/>
      <c r="N3" s="1067"/>
      <c r="O3" s="1067"/>
      <c r="P3" s="1067"/>
      <c r="Q3" s="1067"/>
      <c r="R3" s="1077"/>
      <c r="S3" s="1068"/>
      <c r="T3" s="1068"/>
      <c r="U3" s="1068"/>
      <c r="V3" s="1068"/>
    </row>
    <row r="4">
      <c r="A4" s="1069" t="str">
        <f>VLOOKUP($A$1,Fighters!$A$2:$AI$81,13,FALSE)</f>
        <v>0</v>
      </c>
      <c r="B4" s="1061"/>
      <c r="C4" s="1070"/>
      <c r="G4" s="1071"/>
      <c r="H4" s="1078"/>
      <c r="I4" s="1078"/>
      <c r="J4" s="1075"/>
      <c r="K4" s="1076"/>
      <c r="L4" s="1076"/>
      <c r="M4" s="1076"/>
      <c r="N4" s="1067"/>
      <c r="O4" s="1067"/>
      <c r="P4" s="1067"/>
      <c r="Q4" s="1067"/>
      <c r="R4" s="1077"/>
      <c r="S4" s="1068"/>
      <c r="T4" s="1068"/>
      <c r="U4" s="1068"/>
      <c r="V4" s="1068"/>
    </row>
    <row r="5" ht="16.5" customHeight="1">
      <c r="A5" s="1060"/>
      <c r="B5" s="1061"/>
      <c r="C5" s="1070"/>
      <c r="G5" s="1071"/>
      <c r="H5" s="1079"/>
      <c r="I5" s="1079"/>
      <c r="J5" s="1080"/>
      <c r="K5" s="1081"/>
      <c r="L5" s="1082"/>
      <c r="M5" s="1082"/>
      <c r="N5" s="1067"/>
      <c r="O5" s="1067"/>
      <c r="P5" s="1067"/>
      <c r="Q5" s="1067"/>
      <c r="R5" s="1077"/>
      <c r="S5" s="1068"/>
      <c r="T5" s="1068"/>
      <c r="U5" s="1068"/>
      <c r="V5" s="1068"/>
    </row>
    <row r="6">
      <c r="A6" s="1061"/>
      <c r="B6" s="1061"/>
      <c r="C6" s="1070"/>
      <c r="G6" s="1071"/>
      <c r="H6" s="1078"/>
      <c r="I6" s="1083" t="s">
        <v>39</v>
      </c>
      <c r="J6" s="1081"/>
      <c r="K6" s="1084"/>
      <c r="L6" s="1082"/>
      <c r="M6" s="1082"/>
      <c r="N6" s="1067"/>
      <c r="O6" s="1067"/>
      <c r="P6" s="1067"/>
      <c r="Q6" s="1067"/>
      <c r="R6" s="1077"/>
      <c r="S6" s="1068"/>
      <c r="T6" s="1068"/>
      <c r="U6" s="1068"/>
      <c r="V6" s="1068"/>
    </row>
    <row r="7">
      <c r="A7" s="1061"/>
      <c r="B7" s="1061"/>
      <c r="C7" s="1070"/>
      <c r="G7" s="1071"/>
      <c r="H7" s="1079"/>
      <c r="I7" s="1079"/>
      <c r="J7" s="1081"/>
      <c r="K7" s="1084"/>
      <c r="L7" s="1082"/>
      <c r="M7" s="1082"/>
      <c r="N7" s="1067"/>
      <c r="O7" s="1067"/>
      <c r="P7" s="1067"/>
      <c r="Q7" s="1067"/>
      <c r="R7" s="1077"/>
      <c r="S7" s="1068"/>
      <c r="T7" s="1068"/>
      <c r="U7" s="1068"/>
      <c r="V7" s="1068"/>
    </row>
    <row r="8">
      <c r="A8" s="1061"/>
      <c r="B8" s="1061"/>
      <c r="C8" s="1070"/>
      <c r="G8" s="1071"/>
      <c r="H8" s="1085">
        <v>44488.74538862269</v>
      </c>
      <c r="I8" s="1063"/>
      <c r="J8" s="1064"/>
      <c r="K8" s="1081"/>
      <c r="L8" s="1082"/>
      <c r="M8" s="1082"/>
      <c r="N8" s="1067"/>
      <c r="O8" s="1067"/>
      <c r="P8" s="1067"/>
      <c r="Q8" s="1067"/>
      <c r="R8" s="1077"/>
      <c r="S8" s="1068"/>
      <c r="T8" s="1068"/>
      <c r="U8" s="1068"/>
      <c r="V8" s="1068"/>
    </row>
    <row r="9">
      <c r="A9" s="1061"/>
      <c r="B9" s="1061"/>
      <c r="C9" s="1070"/>
      <c r="G9" s="1071"/>
      <c r="H9" s="1072"/>
      <c r="I9" s="1073"/>
      <c r="J9" s="1074"/>
      <c r="K9" s="1068"/>
      <c r="L9" s="1067"/>
      <c r="M9" s="1067"/>
      <c r="N9" s="1067"/>
      <c r="O9" s="1067"/>
      <c r="P9" s="1067"/>
      <c r="Q9" s="1067"/>
      <c r="R9" s="1077"/>
      <c r="S9" s="1068"/>
      <c r="T9" s="1068"/>
      <c r="U9" s="1068"/>
      <c r="V9" s="1068"/>
    </row>
    <row r="10">
      <c r="A10" s="1061"/>
      <c r="B10" s="1061"/>
      <c r="C10" s="1070"/>
      <c r="G10" s="1071"/>
      <c r="H10" s="1086"/>
      <c r="I10" s="1086"/>
      <c r="J10" s="1068"/>
      <c r="K10" s="1068"/>
      <c r="L10" s="1067"/>
      <c r="M10" s="1067"/>
      <c r="N10" s="1067"/>
      <c r="O10" s="1067"/>
      <c r="P10" s="1067"/>
      <c r="Q10" s="1067"/>
      <c r="R10" s="1077"/>
      <c r="S10" s="1068"/>
      <c r="T10" s="1068"/>
      <c r="U10" s="1068"/>
      <c r="V10" s="1068"/>
    </row>
    <row r="11">
      <c r="A11" s="1087" t="s">
        <v>40</v>
      </c>
      <c r="B11" s="1064"/>
      <c r="C11" s="1070"/>
      <c r="G11" s="1071"/>
      <c r="H11" s="1079"/>
      <c r="I11" s="1079"/>
      <c r="J11" s="1068"/>
      <c r="K11" s="1068"/>
      <c r="L11" s="1067"/>
      <c r="M11" s="1067"/>
      <c r="N11" s="1067"/>
      <c r="O11" s="1067"/>
      <c r="P11" s="1067"/>
      <c r="Q11" s="1067"/>
      <c r="R11" s="1077"/>
      <c r="S11" s="1068"/>
      <c r="T11" s="1068"/>
      <c r="U11" s="1068"/>
      <c r="V11" s="1068"/>
    </row>
    <row r="12">
      <c r="A12" s="1072"/>
      <c r="B12" s="1074"/>
      <c r="C12" s="1072"/>
      <c r="D12" s="1073"/>
      <c r="E12" s="1073"/>
      <c r="F12" s="1073"/>
      <c r="G12" s="1074"/>
      <c r="H12" s="1088"/>
      <c r="I12" s="1088"/>
      <c r="J12" s="1061"/>
      <c r="K12" s="1061"/>
      <c r="L12" s="1067"/>
      <c r="M12" s="1067"/>
      <c r="N12" s="1067"/>
      <c r="O12" s="1067"/>
      <c r="P12" s="1067"/>
      <c r="Q12" s="1067"/>
      <c r="R12" s="1077"/>
      <c r="S12" s="1068"/>
      <c r="T12" s="1068"/>
      <c r="U12" s="1068"/>
      <c r="V12" s="106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85 [72nd]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1.958 [36th]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0.914 [68th]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0.17325 [17th]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31.55 [54th]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1.43 [80th]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15.24 [56th]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1.092 [39th]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0.065 [55th]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31.55 [56th]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1.35 [71st]</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0.006 [77th]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2.16 [71st]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0.071 [80th]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1504</v>
      </c>
      <c r="C26" s="139" t="s">
        <v>717</v>
      </c>
      <c r="D26" s="1089" t="s">
        <v>173</v>
      </c>
      <c r="E26" s="139" t="s">
        <v>535</v>
      </c>
      <c r="F26" s="138">
        <v>3.0</v>
      </c>
      <c r="G26" s="139" t="s">
        <v>147</v>
      </c>
      <c r="H26" s="283" t="s">
        <v>1505</v>
      </c>
      <c r="I26" s="164"/>
      <c r="J26" s="104"/>
      <c r="K26" s="138"/>
      <c r="L26" s="282"/>
      <c r="M26" s="363"/>
      <c r="N26" s="363"/>
      <c r="O26" s="145">
        <v>0.0</v>
      </c>
      <c r="P26" s="145">
        <v>1.0</v>
      </c>
      <c r="Q26" s="145">
        <v>1.0</v>
      </c>
      <c r="R26" s="100"/>
      <c r="S26" s="100"/>
      <c r="T26" s="100"/>
      <c r="U26" s="166" t="s">
        <v>62</v>
      </c>
      <c r="V26" s="100"/>
    </row>
    <row r="27" outlineLevel="1">
      <c r="A27" s="146"/>
      <c r="B27" s="147" t="s">
        <v>1506</v>
      </c>
      <c r="C27" s="139" t="s">
        <v>93</v>
      </c>
      <c r="D27" s="107"/>
      <c r="E27" s="139" t="s">
        <v>535</v>
      </c>
      <c r="F27" s="138">
        <v>3.0</v>
      </c>
      <c r="G27" s="139" t="s">
        <v>147</v>
      </c>
      <c r="H27" s="106"/>
      <c r="I27" s="168"/>
      <c r="J27" s="107"/>
      <c r="K27" s="261"/>
      <c r="L27" s="261"/>
      <c r="M27" s="261"/>
      <c r="N27" s="261"/>
      <c r="O27" s="261"/>
      <c r="P27" s="261"/>
      <c r="Q27" s="261"/>
      <c r="R27" s="100"/>
      <c r="S27" s="100"/>
      <c r="T27" s="100"/>
      <c r="U27" s="146"/>
      <c r="V27" s="100"/>
    </row>
    <row r="28" outlineLevel="1">
      <c r="A28" s="146"/>
      <c r="B28" s="134" t="s">
        <v>703</v>
      </c>
      <c r="C28" s="657"/>
      <c r="D28" s="216" t="s">
        <v>176</v>
      </c>
      <c r="E28" s="657"/>
      <c r="F28" s="657"/>
      <c r="G28" s="657"/>
      <c r="H28" s="159"/>
      <c r="I28" s="110"/>
      <c r="J28" s="109"/>
      <c r="K28" s="261"/>
      <c r="L28" s="261"/>
      <c r="M28" s="261"/>
      <c r="N28" s="261"/>
      <c r="O28" s="261"/>
      <c r="P28" s="261"/>
      <c r="Q28" s="261"/>
      <c r="R28" s="100"/>
      <c r="S28" s="100"/>
      <c r="T28" s="100"/>
      <c r="U28" s="146"/>
      <c r="V28" s="100"/>
    </row>
    <row r="29" outlineLevel="1">
      <c r="A29" s="146"/>
      <c r="B29" s="134" t="s">
        <v>704</v>
      </c>
      <c r="C29" s="216" t="s">
        <v>1507</v>
      </c>
      <c r="D29" s="216" t="s">
        <v>394</v>
      </c>
      <c r="E29" s="216" t="s">
        <v>706</v>
      </c>
      <c r="F29" s="138">
        <v>0.24</v>
      </c>
      <c r="G29" s="450" t="s">
        <v>60</v>
      </c>
      <c r="H29" s="151" t="s">
        <v>1508</v>
      </c>
      <c r="I29" s="110"/>
      <c r="J29" s="109"/>
      <c r="K29" s="282"/>
      <c r="L29" s="282"/>
      <c r="M29" s="363"/>
      <c r="N29" s="363"/>
      <c r="O29" s="145">
        <v>0.0</v>
      </c>
      <c r="P29" s="145">
        <v>1.0</v>
      </c>
      <c r="Q29" s="145">
        <v>1.0</v>
      </c>
      <c r="R29" s="100"/>
      <c r="S29" s="100"/>
      <c r="T29" s="100"/>
      <c r="U29" s="146"/>
      <c r="V29" s="100"/>
    </row>
    <row r="30" outlineLevel="1">
      <c r="A30" s="156"/>
      <c r="B30" s="134" t="s">
        <v>708</v>
      </c>
      <c r="C30" s="216" t="s">
        <v>217</v>
      </c>
      <c r="D30" s="216" t="s">
        <v>221</v>
      </c>
      <c r="E30" s="216" t="s">
        <v>204</v>
      </c>
      <c r="F30" s="138">
        <v>3.5999999999999996</v>
      </c>
      <c r="G30" s="467" t="s">
        <v>147</v>
      </c>
      <c r="H30" s="151" t="s">
        <v>411</v>
      </c>
      <c r="I30" s="110"/>
      <c r="J30" s="109"/>
      <c r="K30" s="282"/>
      <c r="L30" s="282"/>
      <c r="M30" s="363"/>
      <c r="N30" s="363"/>
      <c r="O30" s="145">
        <v>0.0</v>
      </c>
      <c r="P30" s="145">
        <v>1.0</v>
      </c>
      <c r="Q30" s="145">
        <v>1.0</v>
      </c>
      <c r="R30" s="100"/>
      <c r="S30" s="100"/>
      <c r="T30" s="100"/>
      <c r="U30" s="156"/>
      <c r="V30" s="100"/>
    </row>
    <row r="31" outlineLevel="1">
      <c r="A31" s="133" t="s">
        <v>77</v>
      </c>
      <c r="B31" s="160"/>
      <c r="C31" s="216" t="s">
        <v>217</v>
      </c>
      <c r="D31" s="195" t="s">
        <v>193</v>
      </c>
      <c r="E31" s="216" t="s">
        <v>1509</v>
      </c>
      <c r="F31" s="138" t="s">
        <v>1510</v>
      </c>
      <c r="G31" s="139" t="s">
        <v>1511</v>
      </c>
      <c r="H31" s="163" t="s">
        <v>411</v>
      </c>
      <c r="I31" s="164"/>
      <c r="J31" s="104"/>
      <c r="K31" s="138"/>
      <c r="L31" s="282"/>
      <c r="M31" s="363"/>
      <c r="N31" s="363"/>
      <c r="O31" s="145">
        <v>0.0</v>
      </c>
      <c r="P31" s="145">
        <v>1.0</v>
      </c>
      <c r="Q31" s="145">
        <v>1.0</v>
      </c>
      <c r="R31" s="100"/>
      <c r="S31" s="100"/>
      <c r="T31" s="100"/>
      <c r="U31" s="166" t="s">
        <v>69</v>
      </c>
      <c r="V31" s="100"/>
    </row>
    <row r="32" outlineLevel="1">
      <c r="A32" s="156"/>
      <c r="B32" s="147" t="s">
        <v>84</v>
      </c>
      <c r="C32" s="216" t="s">
        <v>410</v>
      </c>
      <c r="D32" s="107"/>
      <c r="E32" s="216" t="s">
        <v>86</v>
      </c>
      <c r="F32" s="138">
        <v>7.199999999999999</v>
      </c>
      <c r="G32" s="139" t="s">
        <v>102</v>
      </c>
      <c r="H32" s="106"/>
      <c r="I32" s="168"/>
      <c r="J32" s="107"/>
      <c r="K32" s="282"/>
      <c r="L32" s="282"/>
      <c r="M32" s="363"/>
      <c r="N32" s="363"/>
      <c r="O32" s="145">
        <v>0.0</v>
      </c>
      <c r="P32" s="145">
        <v>1.0</v>
      </c>
      <c r="Q32" s="145">
        <v>1.0</v>
      </c>
      <c r="R32" s="100"/>
      <c r="S32" s="100"/>
      <c r="T32" s="100"/>
      <c r="U32" s="156"/>
      <c r="V32" s="100"/>
    </row>
    <row r="33" outlineLevel="1">
      <c r="A33" s="170" t="s">
        <v>89</v>
      </c>
      <c r="B33" s="147" t="s">
        <v>90</v>
      </c>
      <c r="C33" s="216" t="s">
        <v>373</v>
      </c>
      <c r="D33" s="216" t="s">
        <v>224</v>
      </c>
      <c r="E33" s="450" t="s">
        <v>1512</v>
      </c>
      <c r="F33" s="138" t="s">
        <v>1513</v>
      </c>
      <c r="G33" s="139" t="s">
        <v>1514</v>
      </c>
      <c r="H33" s="151" t="s">
        <v>411</v>
      </c>
      <c r="I33" s="110"/>
      <c r="J33" s="109"/>
      <c r="K33" s="138"/>
      <c r="L33" s="282"/>
      <c r="M33" s="363"/>
      <c r="N33" s="363"/>
      <c r="O33" s="145">
        <v>0.0</v>
      </c>
      <c r="P33" s="145">
        <v>1.0</v>
      </c>
      <c r="Q33" s="145">
        <v>1.0</v>
      </c>
      <c r="R33" s="100"/>
      <c r="S33" s="100"/>
      <c r="T33" s="100"/>
      <c r="U33" s="145" t="s">
        <v>96</v>
      </c>
      <c r="V33" s="100"/>
    </row>
    <row r="34" outlineLevel="1">
      <c r="A34" s="170" t="s">
        <v>97</v>
      </c>
      <c r="B34" s="160"/>
      <c r="C34" s="216" t="s">
        <v>1515</v>
      </c>
      <c r="D34" s="216" t="s">
        <v>99</v>
      </c>
      <c r="E34" s="216" t="s">
        <v>87</v>
      </c>
      <c r="F34" s="138">
        <v>8.64</v>
      </c>
      <c r="G34" s="139" t="s">
        <v>95</v>
      </c>
      <c r="H34" s="151" t="s">
        <v>411</v>
      </c>
      <c r="I34" s="110"/>
      <c r="J34" s="109"/>
      <c r="K34" s="282"/>
      <c r="L34" s="282"/>
      <c r="M34" s="363"/>
      <c r="N34" s="363"/>
      <c r="O34" s="145">
        <v>0.0</v>
      </c>
      <c r="P34" s="145">
        <v>1.0</v>
      </c>
      <c r="Q34" s="145">
        <v>1.0</v>
      </c>
      <c r="R34" s="100"/>
      <c r="S34" s="100"/>
      <c r="T34" s="100"/>
      <c r="U34" s="145" t="s">
        <v>62</v>
      </c>
      <c r="V34" s="100"/>
    </row>
    <row r="35" outlineLevel="1">
      <c r="A35" s="170" t="s">
        <v>103</v>
      </c>
      <c r="B35" s="160"/>
      <c r="C35" s="216" t="s">
        <v>281</v>
      </c>
      <c r="D35" s="216" t="s">
        <v>65</v>
      </c>
      <c r="E35" s="216" t="s">
        <v>100</v>
      </c>
      <c r="F35" s="138">
        <v>6.6</v>
      </c>
      <c r="G35" s="139" t="s">
        <v>102</v>
      </c>
      <c r="H35" s="151"/>
      <c r="I35" s="110"/>
      <c r="J35" s="109"/>
      <c r="K35" s="145"/>
      <c r="L35" s="363"/>
      <c r="M35" s="363"/>
      <c r="N35" s="363"/>
      <c r="O35" s="145">
        <v>0.0</v>
      </c>
      <c r="P35" s="145">
        <v>1.0</v>
      </c>
      <c r="Q35" s="145">
        <v>1.0</v>
      </c>
      <c r="R35" s="100"/>
      <c r="S35" s="100"/>
      <c r="T35" s="100"/>
      <c r="U35" s="145" t="s">
        <v>69</v>
      </c>
      <c r="V35" s="100"/>
    </row>
    <row r="36" outlineLevel="1">
      <c r="A36" s="133" t="s">
        <v>109</v>
      </c>
      <c r="B36" s="147" t="s">
        <v>962</v>
      </c>
      <c r="C36" s="216" t="s">
        <v>1516</v>
      </c>
      <c r="D36" s="195" t="s">
        <v>185</v>
      </c>
      <c r="E36" s="216" t="s">
        <v>213</v>
      </c>
      <c r="F36" s="138">
        <v>1.2</v>
      </c>
      <c r="G36" s="139" t="s">
        <v>170</v>
      </c>
      <c r="H36" s="163" t="s">
        <v>1517</v>
      </c>
      <c r="I36" s="164"/>
      <c r="J36" s="104"/>
      <c r="K36" s="282"/>
      <c r="L36" s="282"/>
      <c r="M36" s="363"/>
      <c r="N36" s="363"/>
      <c r="O36" s="145">
        <v>0.0</v>
      </c>
      <c r="P36" s="145">
        <v>1.0</v>
      </c>
      <c r="Q36" s="145">
        <v>1.0</v>
      </c>
      <c r="R36" s="100"/>
      <c r="S36" s="100"/>
      <c r="T36" s="100"/>
      <c r="U36" s="166" t="s">
        <v>407</v>
      </c>
      <c r="V36" s="100"/>
    </row>
    <row r="37" outlineLevel="1">
      <c r="A37" s="156"/>
      <c r="B37" s="147" t="s">
        <v>521</v>
      </c>
      <c r="C37" s="216" t="s">
        <v>268</v>
      </c>
      <c r="D37" s="107"/>
      <c r="E37" s="216" t="s">
        <v>228</v>
      </c>
      <c r="F37" s="138">
        <v>15.6</v>
      </c>
      <c r="G37" s="139" t="s">
        <v>275</v>
      </c>
      <c r="H37" s="106"/>
      <c r="I37" s="168"/>
      <c r="J37" s="107"/>
      <c r="K37" s="282"/>
      <c r="L37" s="282"/>
      <c r="M37" s="363"/>
      <c r="N37" s="363"/>
      <c r="O37" s="145">
        <v>0.0</v>
      </c>
      <c r="P37" s="145">
        <v>1.0</v>
      </c>
      <c r="Q37" s="145">
        <v>1.0</v>
      </c>
      <c r="R37" s="100"/>
      <c r="S37" s="100"/>
      <c r="T37" s="100"/>
      <c r="U37" s="156"/>
      <c r="V37" s="100"/>
    </row>
    <row r="38" outlineLevel="1">
      <c r="A38" s="133" t="s">
        <v>116</v>
      </c>
      <c r="B38" s="147" t="s">
        <v>604</v>
      </c>
      <c r="C38" s="214" t="s">
        <v>1518</v>
      </c>
      <c r="D38" s="195" t="s">
        <v>748</v>
      </c>
      <c r="E38" s="216" t="s">
        <v>176</v>
      </c>
      <c r="F38" s="138">
        <v>2.4</v>
      </c>
      <c r="G38" s="139" t="s">
        <v>60</v>
      </c>
      <c r="H38" s="163" t="s">
        <v>1519</v>
      </c>
      <c r="I38" s="164"/>
      <c r="J38" s="104"/>
      <c r="K38" s="363"/>
      <c r="L38" s="363"/>
      <c r="M38" s="363"/>
      <c r="N38" s="363"/>
      <c r="O38" s="145">
        <v>0.0</v>
      </c>
      <c r="P38" s="145">
        <v>1.0</v>
      </c>
      <c r="Q38" s="145">
        <v>1.0</v>
      </c>
      <c r="R38" s="100"/>
      <c r="S38" s="100"/>
      <c r="T38" s="100"/>
      <c r="U38" s="166" t="s">
        <v>62</v>
      </c>
      <c r="V38" s="100"/>
    </row>
    <row r="39" outlineLevel="1">
      <c r="A39" s="146"/>
      <c r="B39" s="147" t="s">
        <v>606</v>
      </c>
      <c r="C39" s="216" t="s">
        <v>1520</v>
      </c>
      <c r="D39" s="210"/>
      <c r="E39" s="216" t="s">
        <v>1375</v>
      </c>
      <c r="F39" s="138">
        <v>0.96</v>
      </c>
      <c r="G39" s="139" t="s">
        <v>170</v>
      </c>
      <c r="H39" s="212"/>
      <c r="J39" s="210"/>
      <c r="K39" s="363"/>
      <c r="L39" s="363"/>
      <c r="M39" s="363"/>
      <c r="N39" s="363"/>
      <c r="O39" s="145">
        <v>0.0</v>
      </c>
      <c r="P39" s="145">
        <v>1.0</v>
      </c>
      <c r="Q39" s="145">
        <v>1.0</v>
      </c>
      <c r="R39" s="100"/>
      <c r="S39" s="100"/>
      <c r="T39" s="100"/>
      <c r="U39" s="146"/>
      <c r="V39" s="100"/>
    </row>
    <row r="40" outlineLevel="1">
      <c r="A40" s="156"/>
      <c r="B40" s="147" t="s">
        <v>202</v>
      </c>
      <c r="C40" s="216" t="s">
        <v>218</v>
      </c>
      <c r="D40" s="107"/>
      <c r="E40" s="216" t="s">
        <v>150</v>
      </c>
      <c r="F40" s="138">
        <v>6.0</v>
      </c>
      <c r="G40" s="139" t="s">
        <v>147</v>
      </c>
      <c r="H40" s="106"/>
      <c r="I40" s="168"/>
      <c r="J40" s="107"/>
      <c r="K40" s="363"/>
      <c r="L40" s="363"/>
      <c r="M40" s="363"/>
      <c r="N40" s="363"/>
      <c r="O40" s="145">
        <v>0.0</v>
      </c>
      <c r="P40" s="145">
        <v>1.0</v>
      </c>
      <c r="Q40" s="145">
        <v>1.0</v>
      </c>
      <c r="R40" s="100"/>
      <c r="S40" s="100"/>
      <c r="T40" s="100"/>
      <c r="U40" s="156"/>
      <c r="V40" s="100"/>
    </row>
    <row r="41" outlineLevel="1">
      <c r="A41" s="133" t="s">
        <v>124</v>
      </c>
      <c r="B41" s="147" t="s">
        <v>125</v>
      </c>
      <c r="C41" s="216" t="s">
        <v>267</v>
      </c>
      <c r="D41" s="195" t="s">
        <v>79</v>
      </c>
      <c r="E41" s="216" t="s">
        <v>129</v>
      </c>
      <c r="F41" s="138">
        <v>14.399999999999999</v>
      </c>
      <c r="G41" s="139" t="s">
        <v>123</v>
      </c>
      <c r="H41" s="283" t="s">
        <v>130</v>
      </c>
      <c r="I41" s="164"/>
      <c r="J41" s="104"/>
      <c r="K41" s="282"/>
      <c r="L41" s="282"/>
      <c r="M41" s="363"/>
      <c r="N41" s="363"/>
      <c r="O41" s="145">
        <v>0.0</v>
      </c>
      <c r="P41" s="145">
        <v>1.0</v>
      </c>
      <c r="Q41" s="145">
        <v>1.0</v>
      </c>
      <c r="R41" s="100"/>
      <c r="S41" s="100"/>
      <c r="T41" s="100"/>
      <c r="U41" s="166" t="s">
        <v>62</v>
      </c>
      <c r="V41" s="100"/>
    </row>
    <row r="42" outlineLevel="1">
      <c r="A42" s="156"/>
      <c r="B42" s="147" t="s">
        <v>131</v>
      </c>
      <c r="C42" s="216" t="s">
        <v>305</v>
      </c>
      <c r="D42" s="107"/>
      <c r="E42" s="216" t="s">
        <v>128</v>
      </c>
      <c r="F42" s="138">
        <v>12.0</v>
      </c>
      <c r="G42" s="139" t="s">
        <v>95</v>
      </c>
      <c r="H42" s="106"/>
      <c r="I42" s="168"/>
      <c r="J42" s="107"/>
      <c r="K42" s="282"/>
      <c r="L42" s="282"/>
      <c r="M42" s="363"/>
      <c r="N42" s="363"/>
      <c r="O42" s="145">
        <v>0.0</v>
      </c>
      <c r="P42" s="145">
        <v>1.0</v>
      </c>
      <c r="Q42" s="145">
        <v>1.0</v>
      </c>
      <c r="R42" s="100"/>
      <c r="S42" s="100"/>
      <c r="T42" s="100"/>
      <c r="U42" s="156"/>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tr">
        <f>'テンプレート'!I56</f>
        <v>着地隙</v>
      </c>
      <c r="J45" s="184" t="s">
        <v>136</v>
      </c>
      <c r="K45" s="184" t="str">
        <f>'テンプレート'!K56</f>
        <v>ベクトル</v>
      </c>
      <c r="L45" s="184" t="str">
        <f>'テンプレート'!L56</f>
        <v>KBG (R.E.)</v>
      </c>
      <c r="M45" s="184" t="str">
        <f>'テンプレート'!M56</f>
        <v>BKB (R.A.)</v>
      </c>
      <c r="N45" s="184" t="str">
        <f>'テンプレート'!N56</f>
        <v>FKB (R.F.)</v>
      </c>
      <c r="O45" s="186" t="str">
        <f>'テンプレート'!O56</f>
        <v>盾削り値</v>
      </c>
      <c r="P45" s="184" t="str">
        <f>'テンプレート'!P56</f>
        <v>ﾋｯﾄｽﾄｯﾌﾟ</v>
      </c>
      <c r="Q45" s="186" t="str">
        <f>'テンプレート'!Q56</f>
        <v>ずらし</v>
      </c>
      <c r="R45" s="372" t="str">
        <f>'テンプレート'!R56</f>
        <v>備考</v>
      </c>
      <c r="S45" s="110"/>
      <c r="T45" s="110"/>
      <c r="U45" s="110"/>
      <c r="V45" s="110"/>
    </row>
    <row r="46" outlineLevel="1">
      <c r="A46" s="188" t="s">
        <v>144</v>
      </c>
      <c r="B46" s="373" t="s">
        <v>962</v>
      </c>
      <c r="C46" s="239" t="s">
        <v>1521</v>
      </c>
      <c r="D46" s="374" t="s">
        <v>413</v>
      </c>
      <c r="E46" s="401" t="s">
        <v>1522</v>
      </c>
      <c r="F46" s="193" t="s">
        <v>1523</v>
      </c>
      <c r="G46" s="193" t="s">
        <v>1524</v>
      </c>
      <c r="H46" s="138" t="s">
        <v>931</v>
      </c>
      <c r="I46" s="901" t="s">
        <v>129</v>
      </c>
      <c r="J46" s="455" t="s">
        <v>909</v>
      </c>
      <c r="K46" s="376"/>
      <c r="L46" s="377"/>
      <c r="M46" s="825"/>
      <c r="N46" s="825"/>
      <c r="O46" s="199">
        <v>0.0</v>
      </c>
      <c r="P46" s="199">
        <v>1.0</v>
      </c>
      <c r="Q46" s="199">
        <v>1.0</v>
      </c>
      <c r="R46" s="163" t="s">
        <v>411</v>
      </c>
      <c r="S46" s="164"/>
      <c r="T46" s="164"/>
      <c r="U46" s="164"/>
      <c r="V46" s="104"/>
    </row>
    <row r="47" outlineLevel="1">
      <c r="A47" s="156"/>
      <c r="B47" s="373" t="s">
        <v>521</v>
      </c>
      <c r="C47" s="239" t="s">
        <v>288</v>
      </c>
      <c r="D47" s="107"/>
      <c r="E47" s="239" t="s">
        <v>150</v>
      </c>
      <c r="F47" s="138">
        <v>6.0</v>
      </c>
      <c r="G47" s="138">
        <v>5.1</v>
      </c>
      <c r="H47" s="138" t="s">
        <v>60</v>
      </c>
      <c r="I47" s="156"/>
      <c r="J47" s="107"/>
      <c r="K47" s="376"/>
      <c r="L47" s="377"/>
      <c r="M47" s="825"/>
      <c r="N47" s="825"/>
      <c r="O47" s="199">
        <v>0.0</v>
      </c>
      <c r="P47" s="199">
        <v>1.0</v>
      </c>
      <c r="Q47" s="199">
        <v>1.0</v>
      </c>
      <c r="R47" s="106"/>
      <c r="S47" s="168"/>
      <c r="T47" s="168"/>
      <c r="U47" s="168"/>
      <c r="V47" s="107"/>
    </row>
    <row r="48" outlineLevel="1">
      <c r="A48" s="188" t="s">
        <v>151</v>
      </c>
      <c r="B48" s="373"/>
      <c r="C48" s="239" t="s">
        <v>86</v>
      </c>
      <c r="D48" s="195" t="s">
        <v>185</v>
      </c>
      <c r="E48" s="239" t="s">
        <v>1525</v>
      </c>
      <c r="F48" s="138" t="s">
        <v>1526</v>
      </c>
      <c r="G48" s="138" t="s">
        <v>1527</v>
      </c>
      <c r="H48" s="138" t="s">
        <v>1528</v>
      </c>
      <c r="I48" s="454" t="str">
        <f t="array" ref="I48">INDEX('空中攻撃'!$O$3:$AA$109, MATCH($A$1,'空中攻撃'!$A$3:$A$109,0), MATCH(A48,'空中攻撃'!$O$2:$S$2,0))</f>
        <v>15</v>
      </c>
      <c r="J48" s="195" t="s">
        <v>154</v>
      </c>
      <c r="K48" s="376"/>
      <c r="L48" s="377"/>
      <c r="M48" s="825"/>
      <c r="N48" s="825"/>
      <c r="O48" s="199">
        <v>0.0</v>
      </c>
      <c r="P48" s="199">
        <v>1.0</v>
      </c>
      <c r="Q48" s="199">
        <v>1.0</v>
      </c>
      <c r="R48" s="163" t="s">
        <v>1529</v>
      </c>
      <c r="S48" s="164"/>
      <c r="T48" s="164"/>
      <c r="U48" s="164"/>
      <c r="V48" s="104"/>
    </row>
    <row r="49" outlineLevel="1">
      <c r="A49" s="156"/>
      <c r="B49" s="373" t="s">
        <v>84</v>
      </c>
      <c r="C49" s="239" t="s">
        <v>975</v>
      </c>
      <c r="D49" s="107"/>
      <c r="E49" s="239" t="s">
        <v>73</v>
      </c>
      <c r="F49" s="138">
        <v>4.8</v>
      </c>
      <c r="G49" s="138">
        <v>4.08</v>
      </c>
      <c r="H49" s="138" t="s">
        <v>60</v>
      </c>
      <c r="I49" s="156"/>
      <c r="J49" s="107"/>
      <c r="K49" s="376"/>
      <c r="L49" s="377"/>
      <c r="M49" s="825"/>
      <c r="N49" s="825"/>
      <c r="O49" s="199">
        <v>0.0</v>
      </c>
      <c r="P49" s="199">
        <v>1.0</v>
      </c>
      <c r="Q49" s="199">
        <v>1.0</v>
      </c>
      <c r="R49" s="106"/>
      <c r="S49" s="168"/>
      <c r="T49" s="168"/>
      <c r="U49" s="168"/>
      <c r="V49" s="107"/>
    </row>
    <row r="50" outlineLevel="1">
      <c r="A50" s="188" t="s">
        <v>157</v>
      </c>
      <c r="B50" s="373"/>
      <c r="C50" s="239" t="s">
        <v>86</v>
      </c>
      <c r="D50" s="195" t="s">
        <v>185</v>
      </c>
      <c r="E50" s="239" t="s">
        <v>1525</v>
      </c>
      <c r="F50" s="138" t="s">
        <v>1526</v>
      </c>
      <c r="G50" s="138" t="s">
        <v>1527</v>
      </c>
      <c r="H50" s="138" t="s">
        <v>1528</v>
      </c>
      <c r="I50" s="454">
        <f t="array" ref="I50">INDEX('空中攻撃'!$O$3:$AA$109, MATCH($A$1,'空中攻撃'!$A$3:$A$109,0), MATCH(A50,'空中攻撃'!$O$2:$S$2,0))</f>
        <v>16</v>
      </c>
      <c r="J50" s="195" t="s">
        <v>1530</v>
      </c>
      <c r="K50" s="376"/>
      <c r="L50" s="377"/>
      <c r="M50" s="825"/>
      <c r="N50" s="825"/>
      <c r="O50" s="199">
        <v>0.0</v>
      </c>
      <c r="P50" s="199">
        <v>1.0</v>
      </c>
      <c r="Q50" s="199">
        <v>1.0</v>
      </c>
      <c r="R50" s="163" t="s">
        <v>1529</v>
      </c>
      <c r="S50" s="164"/>
      <c r="T50" s="164"/>
      <c r="U50" s="164"/>
      <c r="V50" s="104"/>
    </row>
    <row r="51" outlineLevel="1">
      <c r="A51" s="156"/>
      <c r="B51" s="373" t="s">
        <v>84</v>
      </c>
      <c r="C51" s="239" t="s">
        <v>975</v>
      </c>
      <c r="D51" s="107"/>
      <c r="E51" s="239" t="s">
        <v>73</v>
      </c>
      <c r="F51" s="138">
        <v>4.8</v>
      </c>
      <c r="G51" s="138">
        <v>4.08</v>
      </c>
      <c r="H51" s="138" t="s">
        <v>60</v>
      </c>
      <c r="I51" s="156"/>
      <c r="J51" s="107"/>
      <c r="K51" s="376"/>
      <c r="L51" s="377"/>
      <c r="M51" s="825"/>
      <c r="N51" s="825"/>
      <c r="O51" s="199">
        <v>0.0</v>
      </c>
      <c r="P51" s="199">
        <v>1.0</v>
      </c>
      <c r="Q51" s="199">
        <v>1.0</v>
      </c>
      <c r="R51" s="106"/>
      <c r="S51" s="168"/>
      <c r="T51" s="168"/>
      <c r="U51" s="168"/>
      <c r="V51" s="107"/>
    </row>
    <row r="52" outlineLevel="1">
      <c r="A52" s="188" t="s">
        <v>162</v>
      </c>
      <c r="B52" s="373"/>
      <c r="C52" s="239" t="s">
        <v>325</v>
      </c>
      <c r="D52" s="452" t="s">
        <v>289</v>
      </c>
      <c r="E52" s="239" t="s">
        <v>394</v>
      </c>
      <c r="F52" s="138">
        <v>20.4</v>
      </c>
      <c r="G52" s="138">
        <v>17.34</v>
      </c>
      <c r="H52" s="138" t="s">
        <v>102</v>
      </c>
      <c r="I52" s="454" t="str">
        <f t="array" ref="I52">INDEX('空中攻撃'!$O$3:$AA$109, MATCH($A$1,'空中攻撃'!$A$3:$A$109,0), MATCH(A52,'空中攻撃'!$O$2:$S$2,0))</f>
        <v>12</v>
      </c>
      <c r="J52" s="195" t="s">
        <v>1531</v>
      </c>
      <c r="K52" s="377"/>
      <c r="L52" s="377"/>
      <c r="M52" s="825"/>
      <c r="N52" s="825"/>
      <c r="O52" s="199">
        <v>0.0</v>
      </c>
      <c r="P52" s="199">
        <v>1.0</v>
      </c>
      <c r="Q52" s="199">
        <v>1.0</v>
      </c>
      <c r="R52" s="163" t="s">
        <v>411</v>
      </c>
      <c r="S52" s="164"/>
      <c r="T52" s="164"/>
      <c r="U52" s="164"/>
      <c r="V52" s="104"/>
    </row>
    <row r="53" outlineLevel="1">
      <c r="A53" s="156"/>
      <c r="B53" s="1090" t="s">
        <v>84</v>
      </c>
      <c r="C53" s="239" t="s">
        <v>894</v>
      </c>
      <c r="D53" s="107"/>
      <c r="E53" s="239" t="s">
        <v>129</v>
      </c>
      <c r="F53" s="138">
        <v>14.4</v>
      </c>
      <c r="G53" s="138">
        <v>12.24</v>
      </c>
      <c r="H53" s="138" t="s">
        <v>75</v>
      </c>
      <c r="I53" s="156"/>
      <c r="J53" s="107"/>
      <c r="K53" s="377"/>
      <c r="L53" s="377"/>
      <c r="M53" s="825"/>
      <c r="N53" s="825"/>
      <c r="O53" s="199"/>
      <c r="P53" s="199"/>
      <c r="Q53" s="199"/>
      <c r="R53" s="106"/>
      <c r="S53" s="168"/>
      <c r="T53" s="168"/>
      <c r="U53" s="168"/>
      <c r="V53" s="107"/>
    </row>
    <row r="54" outlineLevel="1">
      <c r="A54" s="188" t="s">
        <v>166</v>
      </c>
      <c r="B54" s="373"/>
      <c r="C54" s="239" t="s">
        <v>119</v>
      </c>
      <c r="D54" s="452">
        <v>44.0</v>
      </c>
      <c r="E54" s="239" t="s">
        <v>153</v>
      </c>
      <c r="F54" s="138">
        <v>19.2</v>
      </c>
      <c r="G54" s="138">
        <v>16.32</v>
      </c>
      <c r="H54" s="138" t="s">
        <v>102</v>
      </c>
      <c r="I54" s="454">
        <f t="array" ref="I54">INDEX('空中攻撃'!$O$3:$AA$109, MATCH($A$1,'空中攻撃'!$A$3:$A$109,0), MATCH(A54,'空中攻撃'!$O$2:$S$2,0))</f>
        <v>12</v>
      </c>
      <c r="J54" s="455" t="s">
        <v>649</v>
      </c>
      <c r="K54" s="377"/>
      <c r="L54" s="377"/>
      <c r="M54" s="825"/>
      <c r="N54" s="825"/>
      <c r="O54" s="199">
        <v>0.0</v>
      </c>
      <c r="P54" s="199">
        <v>1.0</v>
      </c>
      <c r="Q54" s="199">
        <v>1.0</v>
      </c>
      <c r="R54" s="456"/>
      <c r="S54" s="164"/>
      <c r="T54" s="164"/>
      <c r="U54" s="164"/>
      <c r="V54" s="104"/>
    </row>
    <row r="55" outlineLevel="1">
      <c r="A55" s="156"/>
      <c r="B55" s="373" t="s">
        <v>84</v>
      </c>
      <c r="C55" s="239" t="s">
        <v>1532</v>
      </c>
      <c r="D55" s="107"/>
      <c r="E55" s="239" t="s">
        <v>538</v>
      </c>
      <c r="F55" s="138" t="s">
        <v>539</v>
      </c>
      <c r="G55" s="138" t="s">
        <v>1533</v>
      </c>
      <c r="H55" s="138" t="s">
        <v>923</v>
      </c>
      <c r="I55" s="156"/>
      <c r="J55" s="107"/>
      <c r="K55" s="377"/>
      <c r="L55" s="377"/>
      <c r="M55" s="825"/>
      <c r="N55" s="825"/>
      <c r="O55" s="199">
        <v>0.0</v>
      </c>
      <c r="P55" s="199">
        <v>1.0</v>
      </c>
      <c r="Q55" s="199">
        <v>1.0</v>
      </c>
      <c r="R55" s="106"/>
      <c r="S55" s="168"/>
      <c r="T55" s="168"/>
      <c r="U55" s="168"/>
      <c r="V55" s="107"/>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tr">
        <f>'テンプレート'!A71</f>
        <v>必殺ワザ</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tr">
        <f>"NB ("&amp;VLOOKUP($A$1,Fighters!$A$2:$AI$81,15,FALSE)&amp;")"</f>
        <v>NB (ネールの愛)</v>
      </c>
      <c r="B58" s="109"/>
      <c r="C58" s="231" t="s">
        <v>48</v>
      </c>
      <c r="D58" s="231" t="s">
        <v>49</v>
      </c>
      <c r="E58" s="232" t="s">
        <v>50</v>
      </c>
      <c r="F58" s="233" t="s">
        <v>51</v>
      </c>
      <c r="G58" s="232" t="s">
        <v>52</v>
      </c>
      <c r="H58" s="382" t="str">
        <f>'テンプレート'!H72</f>
        <v>備考</v>
      </c>
      <c r="I58" s="110"/>
      <c r="J58" s="109"/>
      <c r="K58" s="235" t="str">
        <f>'テンプレート'!K72</f>
        <v>ベクトル</v>
      </c>
      <c r="L58" s="235" t="str">
        <f>'テンプレート'!L72</f>
        <v>KBG (R.E.)</v>
      </c>
      <c r="M58" s="235" t="str">
        <f>'テンプレート'!M72</f>
        <v>BKB (R.A.)</v>
      </c>
      <c r="N58" s="235" t="str">
        <f>'テンプレート'!N72</f>
        <v>FKB (R.F.)</v>
      </c>
      <c r="O58" s="236" t="str">
        <f>'テンプレート'!O72</f>
        <v>盾削り値</v>
      </c>
      <c r="P58" s="235" t="str">
        <f>'テンプレート'!P72</f>
        <v>ﾋｯﾄｽﾄｯﾌﾟ</v>
      </c>
      <c r="Q58" s="236" t="str">
        <f>'テンプレート'!Q72</f>
        <v>ずらし</v>
      </c>
      <c r="R58" s="235" t="str">
        <f>'テンプレート'!R72</f>
        <v>相殺</v>
      </c>
      <c r="S58" s="236" t="str">
        <f>'テンプレート'!S72</f>
        <v>相殺ﾓｰｼｮﾝ</v>
      </c>
      <c r="T58" s="236" t="str">
        <f>'テンプレート'!T72</f>
        <v>飛び道具</v>
      </c>
      <c r="U58" s="236" t="str">
        <f>'テンプレート'!U72</f>
        <v>慣性反転</v>
      </c>
      <c r="V58" s="236" t="str">
        <f>'テンプレート'!V72</f>
        <v>向き反転</v>
      </c>
    </row>
    <row r="59" ht="37.5" customHeight="1" outlineLevel="1">
      <c r="A59" s="237" t="s">
        <v>184</v>
      </c>
      <c r="B59" s="243" t="s">
        <v>199</v>
      </c>
      <c r="C59" s="239" t="s">
        <v>1534</v>
      </c>
      <c r="D59" s="195" t="s">
        <v>600</v>
      </c>
      <c r="E59" s="239" t="s">
        <v>1237</v>
      </c>
      <c r="F59" s="138" t="s">
        <v>1238</v>
      </c>
      <c r="G59" s="139" t="s">
        <v>926</v>
      </c>
      <c r="H59" s="283" t="s">
        <v>1535</v>
      </c>
      <c r="I59" s="164"/>
      <c r="J59" s="104"/>
      <c r="K59" s="282"/>
      <c r="L59" s="282"/>
      <c r="M59" s="363"/>
      <c r="N59" s="363"/>
      <c r="O59" s="138">
        <v>0.0</v>
      </c>
      <c r="P59" s="138">
        <v>1.0</v>
      </c>
      <c r="Q59" s="138">
        <v>1.0</v>
      </c>
      <c r="R59" s="145" t="b">
        <v>0</v>
      </c>
      <c r="S59" s="145" t="b">
        <v>0</v>
      </c>
      <c r="T59" s="145"/>
      <c r="U59" s="166" t="s">
        <v>186</v>
      </c>
      <c r="V59" s="166" t="b">
        <v>1</v>
      </c>
    </row>
    <row r="60" ht="37.5" customHeight="1" outlineLevel="1">
      <c r="A60" s="146"/>
      <c r="B60" s="663" t="s">
        <v>202</v>
      </c>
      <c r="C60" s="239" t="s">
        <v>876</v>
      </c>
      <c r="D60" s="107"/>
      <c r="E60" s="239" t="s">
        <v>538</v>
      </c>
      <c r="F60" s="138" t="s">
        <v>539</v>
      </c>
      <c r="G60" s="139" t="s">
        <v>329</v>
      </c>
      <c r="H60" s="106"/>
      <c r="I60" s="168"/>
      <c r="J60" s="107"/>
      <c r="K60" s="282"/>
      <c r="L60" s="282"/>
      <c r="M60" s="363"/>
      <c r="N60" s="363"/>
      <c r="O60" s="138">
        <v>0.0</v>
      </c>
      <c r="P60" s="138">
        <v>1.0</v>
      </c>
      <c r="Q60" s="138">
        <v>1.0</v>
      </c>
      <c r="R60" s="145" t="b">
        <v>0</v>
      </c>
      <c r="S60" s="145" t="b">
        <v>0</v>
      </c>
      <c r="T60" s="145"/>
      <c r="U60" s="156"/>
      <c r="V60" s="156"/>
    </row>
    <row r="61" outlineLevel="1">
      <c r="A61" s="230" t="str">
        <f>"横B ("&amp;VLOOKUP($A$1,Fighters!$A$2:$AI$81,16,FALSE)&amp;")"</f>
        <v>横B (ディンの炎)</v>
      </c>
      <c r="B61" s="109"/>
      <c r="C61" s="231" t="s">
        <v>48</v>
      </c>
      <c r="D61" s="231" t="s">
        <v>49</v>
      </c>
      <c r="E61" s="232" t="s">
        <v>50</v>
      </c>
      <c r="F61" s="233" t="s">
        <v>51</v>
      </c>
      <c r="G61" s="232" t="s">
        <v>52</v>
      </c>
      <c r="H61" s="382" t="str">
        <f>'テンプレート'!H75</f>
        <v>備考</v>
      </c>
      <c r="I61" s="110"/>
      <c r="J61" s="109"/>
      <c r="K61" s="235" t="str">
        <f>'テンプレート'!K75</f>
        <v>ベクトル</v>
      </c>
      <c r="L61" s="235" t="str">
        <f>'テンプレート'!L75</f>
        <v>KBG (R.E.)</v>
      </c>
      <c r="M61" s="235" t="str">
        <f>'テンプレート'!M75</f>
        <v>BKB (R.A.)</v>
      </c>
      <c r="N61" s="235" t="str">
        <f>'テンプレート'!N75</f>
        <v>FKB (R.F.)</v>
      </c>
      <c r="O61" s="236" t="str">
        <f>'テンプレート'!O75</f>
        <v>盾削り値</v>
      </c>
      <c r="P61" s="235" t="str">
        <f>'テンプレート'!P75</f>
        <v>ﾋｯﾄｽﾄｯﾌﾟ</v>
      </c>
      <c r="Q61" s="236" t="str">
        <f>'テンプレート'!Q75</f>
        <v>ずらし</v>
      </c>
      <c r="R61" s="235" t="str">
        <f>'テンプレート'!R75</f>
        <v>相殺</v>
      </c>
      <c r="S61" s="236" t="str">
        <f>'テンプレート'!S75</f>
        <v>相殺ﾓｰｼｮﾝ</v>
      </c>
      <c r="T61" s="236" t="str">
        <f>'テンプレート'!T75</f>
        <v>飛び道具</v>
      </c>
      <c r="U61" s="236" t="str">
        <f>'テンプレート'!U75</f>
        <v>慣性反転</v>
      </c>
      <c r="V61" s="236" t="str">
        <f>'テンプレート'!V75</f>
        <v>向き反転</v>
      </c>
    </row>
    <row r="62" ht="27.0" customHeight="1" outlineLevel="1">
      <c r="A62" s="237" t="s">
        <v>184</v>
      </c>
      <c r="B62" s="243" t="s">
        <v>333</v>
      </c>
      <c r="C62" s="365" t="s">
        <v>1536</v>
      </c>
      <c r="D62" s="216" t="s">
        <v>777</v>
      </c>
      <c r="E62" s="239" t="s">
        <v>1537</v>
      </c>
      <c r="F62" s="138" t="s">
        <v>1538</v>
      </c>
      <c r="G62" s="139" t="s">
        <v>926</v>
      </c>
      <c r="H62" s="283" t="s">
        <v>1539</v>
      </c>
      <c r="I62" s="164"/>
      <c r="J62" s="104"/>
      <c r="K62" s="282"/>
      <c r="L62" s="282"/>
      <c r="M62" s="363"/>
      <c r="N62" s="363"/>
      <c r="O62" s="138">
        <v>0.0</v>
      </c>
      <c r="P62" s="138">
        <v>1.0</v>
      </c>
      <c r="Q62" s="138">
        <v>1.0</v>
      </c>
      <c r="R62" s="145" t="b">
        <v>1</v>
      </c>
      <c r="S62" s="145" t="b">
        <v>0</v>
      </c>
      <c r="T62" s="145" t="b">
        <v>1</v>
      </c>
      <c r="U62" s="166" t="s">
        <v>186</v>
      </c>
      <c r="V62" s="166" t="b">
        <v>1</v>
      </c>
    </row>
    <row r="63" ht="27.0" customHeight="1" outlineLevel="1">
      <c r="A63" s="146"/>
      <c r="B63" s="243" t="s">
        <v>340</v>
      </c>
      <c r="C63" s="162" t="s">
        <v>1540</v>
      </c>
      <c r="D63" s="139" t="s">
        <v>1541</v>
      </c>
      <c r="E63" s="139" t="s">
        <v>1542</v>
      </c>
      <c r="F63" s="138" t="s">
        <v>1543</v>
      </c>
      <c r="G63" s="139" t="s">
        <v>1544</v>
      </c>
      <c r="H63" s="106"/>
      <c r="I63" s="168"/>
      <c r="J63" s="107"/>
      <c r="K63" s="282"/>
      <c r="L63" s="282"/>
      <c r="M63" s="363"/>
      <c r="N63" s="363"/>
      <c r="O63" s="138"/>
      <c r="P63" s="138"/>
      <c r="Q63" s="138"/>
      <c r="R63" s="145" t="b">
        <v>0</v>
      </c>
      <c r="S63" s="145" t="b">
        <v>0</v>
      </c>
      <c r="T63" s="145" t="b">
        <v>1</v>
      </c>
      <c r="U63" s="156"/>
      <c r="V63" s="156"/>
    </row>
    <row r="64" outlineLevel="1">
      <c r="A64" s="230" t="str">
        <f>"上B ("&amp;VLOOKUP($A$1,Fighters!$A$2:$AI$81,17,FALSE)&amp;")"</f>
        <v>上B (フロルの風)</v>
      </c>
      <c r="B64" s="109"/>
      <c r="C64" s="231" t="s">
        <v>48</v>
      </c>
      <c r="D64" s="231" t="s">
        <v>49</v>
      </c>
      <c r="E64" s="232" t="s">
        <v>50</v>
      </c>
      <c r="F64" s="233" t="s">
        <v>51</v>
      </c>
      <c r="G64" s="232" t="s">
        <v>52</v>
      </c>
      <c r="H64" s="382" t="str">
        <f>'テンプレート'!H80</f>
        <v>備考</v>
      </c>
      <c r="I64" s="110"/>
      <c r="J64" s="109"/>
      <c r="K64" s="235" t="str">
        <f>'テンプレート'!K80</f>
        <v>ベクトル</v>
      </c>
      <c r="L64" s="235" t="str">
        <f>'テンプレート'!L80</f>
        <v>KBG (R.E.)</v>
      </c>
      <c r="M64" s="235" t="str">
        <f>'テンプレート'!M80</f>
        <v>BKB (R.A.)</v>
      </c>
      <c r="N64" s="235" t="str">
        <f>'テンプレート'!N80</f>
        <v>FKB (R.F.)</v>
      </c>
      <c r="O64" s="236" t="str">
        <f>'テンプレート'!O80</f>
        <v>盾削り値</v>
      </c>
      <c r="P64" s="235" t="str">
        <f>'テンプレート'!P80</f>
        <v>ﾋｯﾄｽﾄｯﾌﾟ</v>
      </c>
      <c r="Q64" s="236" t="str">
        <f>'テンプレート'!Q80</f>
        <v>ずらし</v>
      </c>
      <c r="R64" s="235" t="str">
        <f>'テンプレート'!R80</f>
        <v>相殺</v>
      </c>
      <c r="S64" s="236" t="str">
        <f>'テンプレート'!S80</f>
        <v>相殺ﾓｰｼｮﾝ</v>
      </c>
      <c r="T64" s="236" t="str">
        <f>'テンプレート'!T80</f>
        <v>飛び道具</v>
      </c>
      <c r="U64" s="236" t="str">
        <f>'テンプレート'!U80</f>
        <v>慣性反転</v>
      </c>
      <c r="V64" s="236" t="str">
        <f>'テンプレート'!V80</f>
        <v>向き反転</v>
      </c>
    </row>
    <row r="65" outlineLevel="1">
      <c r="A65" s="396" t="s">
        <v>332</v>
      </c>
      <c r="B65" s="402" t="s">
        <v>125</v>
      </c>
      <c r="C65" s="239" t="s">
        <v>217</v>
      </c>
      <c r="D65" s="367" t="s">
        <v>1545</v>
      </c>
      <c r="E65" s="239" t="s">
        <v>86</v>
      </c>
      <c r="F65" s="138">
        <v>7.199999999999999</v>
      </c>
      <c r="G65" s="139" t="s">
        <v>102</v>
      </c>
      <c r="H65" s="283" t="s">
        <v>1546</v>
      </c>
      <c r="I65" s="164"/>
      <c r="J65" s="104"/>
      <c r="K65" s="138"/>
      <c r="L65" s="138"/>
      <c r="M65" s="145"/>
      <c r="N65" s="145"/>
      <c r="O65" s="138">
        <v>0.0</v>
      </c>
      <c r="P65" s="138">
        <v>1.0</v>
      </c>
      <c r="Q65" s="138">
        <v>1.0</v>
      </c>
      <c r="R65" s="145" t="b">
        <v>1</v>
      </c>
      <c r="S65" s="145" t="b">
        <v>1</v>
      </c>
      <c r="T65" s="145"/>
      <c r="U65" s="166" t="b">
        <v>0</v>
      </c>
      <c r="V65" s="166" t="b">
        <v>1</v>
      </c>
    </row>
    <row r="66" outlineLevel="1">
      <c r="A66" s="156"/>
      <c r="B66" s="402" t="s">
        <v>131</v>
      </c>
      <c r="C66" s="239" t="s">
        <v>1547</v>
      </c>
      <c r="D66" s="146"/>
      <c r="E66" s="239" t="s">
        <v>1548</v>
      </c>
      <c r="F66" s="138" t="s">
        <v>1549</v>
      </c>
      <c r="G66" s="139" t="s">
        <v>1550</v>
      </c>
      <c r="H66" s="212"/>
      <c r="J66" s="210"/>
      <c r="K66" s="138"/>
      <c r="L66" s="138"/>
      <c r="M66" s="145"/>
      <c r="N66" s="145"/>
      <c r="O66" s="138">
        <v>0.0</v>
      </c>
      <c r="P66" s="138">
        <v>1.0</v>
      </c>
      <c r="Q66" s="138">
        <v>1.0</v>
      </c>
      <c r="R66" s="145" t="b">
        <v>1</v>
      </c>
      <c r="S66" s="145" t="b">
        <v>1</v>
      </c>
      <c r="T66" s="145"/>
      <c r="U66" s="146"/>
      <c r="V66" s="146"/>
    </row>
    <row r="67" outlineLevel="1">
      <c r="A67" s="396" t="s">
        <v>344</v>
      </c>
      <c r="B67" s="402" t="s">
        <v>125</v>
      </c>
      <c r="C67" s="239" t="s">
        <v>217</v>
      </c>
      <c r="D67" s="146"/>
      <c r="E67" s="239" t="s">
        <v>86</v>
      </c>
      <c r="F67" s="138">
        <v>7.199999999999999</v>
      </c>
      <c r="G67" s="139" t="s">
        <v>102</v>
      </c>
      <c r="H67" s="212"/>
      <c r="J67" s="210"/>
      <c r="K67" s="138"/>
      <c r="L67" s="138"/>
      <c r="M67" s="145"/>
      <c r="N67" s="145"/>
      <c r="O67" s="138">
        <v>0.0</v>
      </c>
      <c r="P67" s="138">
        <v>1.0</v>
      </c>
      <c r="Q67" s="138">
        <v>1.0</v>
      </c>
      <c r="R67" s="145" t="b">
        <v>1</v>
      </c>
      <c r="S67" s="145" t="b">
        <v>0</v>
      </c>
      <c r="T67" s="145"/>
      <c r="U67" s="146"/>
      <c r="V67" s="146"/>
    </row>
    <row r="68" outlineLevel="1">
      <c r="A68" s="156"/>
      <c r="B68" s="402" t="s">
        <v>131</v>
      </c>
      <c r="C68" s="239" t="s">
        <v>1547</v>
      </c>
      <c r="D68" s="156"/>
      <c r="E68" s="239" t="s">
        <v>1551</v>
      </c>
      <c r="F68" s="138" t="s">
        <v>1552</v>
      </c>
      <c r="G68" s="139" t="s">
        <v>1553</v>
      </c>
      <c r="H68" s="106"/>
      <c r="I68" s="168"/>
      <c r="J68" s="107"/>
      <c r="K68" s="138"/>
      <c r="L68" s="138"/>
      <c r="M68" s="145"/>
      <c r="N68" s="145"/>
      <c r="O68" s="138">
        <v>0.0</v>
      </c>
      <c r="P68" s="138">
        <v>1.0</v>
      </c>
      <c r="Q68" s="138">
        <v>1.0</v>
      </c>
      <c r="R68" s="145" t="b">
        <v>1</v>
      </c>
      <c r="S68" s="145" t="b">
        <v>0</v>
      </c>
      <c r="T68" s="145"/>
      <c r="U68" s="156"/>
      <c r="V68" s="156"/>
    </row>
    <row r="69" outlineLevel="1">
      <c r="A69" s="230" t="str">
        <f>"下B ("&amp;VLOOKUP($A$1,Fighters!$A$2:$AI$81,18,FALSE)&amp;")"</f>
        <v>下B (ファントムアタック)</v>
      </c>
      <c r="B69" s="109"/>
      <c r="C69" s="231" t="s">
        <v>48</v>
      </c>
      <c r="D69" s="231" t="s">
        <v>49</v>
      </c>
      <c r="E69" s="232" t="s">
        <v>50</v>
      </c>
      <c r="F69" s="233" t="s">
        <v>51</v>
      </c>
      <c r="G69" s="232" t="s">
        <v>52</v>
      </c>
      <c r="H69" s="382" t="str">
        <f>'テンプレート'!H85</f>
        <v>備考</v>
      </c>
      <c r="I69" s="110"/>
      <c r="J69" s="109"/>
      <c r="K69" s="235" t="str">
        <f>'テンプレート'!K85</f>
        <v>ベクトル</v>
      </c>
      <c r="L69" s="235" t="str">
        <f>'テンプレート'!L85</f>
        <v>KBG (R.E.)</v>
      </c>
      <c r="M69" s="235" t="str">
        <f>'テンプレート'!M85</f>
        <v>BKB (R.A.)</v>
      </c>
      <c r="N69" s="235" t="str">
        <f>'テンプレート'!N85</f>
        <v>FKB (R.F.)</v>
      </c>
      <c r="O69" s="236" t="str">
        <f>'テンプレート'!O85</f>
        <v>盾削り値</v>
      </c>
      <c r="P69" s="235" t="str">
        <f>'テンプレート'!P85</f>
        <v>ﾋｯﾄｽﾄｯﾌﾟ</v>
      </c>
      <c r="Q69" s="236" t="str">
        <f>'テンプレート'!Q85</f>
        <v>ずらし</v>
      </c>
      <c r="R69" s="235" t="str">
        <f>'テンプレート'!R85</f>
        <v>相殺</v>
      </c>
      <c r="S69" s="236" t="str">
        <f>'テンプレート'!S85</f>
        <v>相殺ﾓｰｼｮﾝ</v>
      </c>
      <c r="T69" s="236" t="str">
        <f>'テンプレート'!T85</f>
        <v>飛び道具</v>
      </c>
      <c r="U69" s="236" t="str">
        <f>'テンプレート'!U85</f>
        <v>慣性反転</v>
      </c>
      <c r="V69" s="236" t="str">
        <f>'テンプレート'!V85</f>
        <v>向き反転</v>
      </c>
    </row>
    <row r="70" ht="17.25" customHeight="1" outlineLevel="1">
      <c r="A70" s="237" t="s">
        <v>184</v>
      </c>
      <c r="B70" s="624" t="s">
        <v>1554</v>
      </c>
      <c r="C70" s="239" t="s">
        <v>522</v>
      </c>
      <c r="D70" s="239" t="s">
        <v>289</v>
      </c>
      <c r="E70" s="365" t="s">
        <v>1555</v>
      </c>
      <c r="F70" s="138">
        <v>7.08</v>
      </c>
      <c r="G70" s="139" t="s">
        <v>60</v>
      </c>
      <c r="H70" s="283" t="s">
        <v>1556</v>
      </c>
      <c r="I70" s="164"/>
      <c r="J70" s="104"/>
      <c r="K70" s="138"/>
      <c r="L70" s="138"/>
      <c r="M70" s="145"/>
      <c r="N70" s="145"/>
      <c r="O70" s="138">
        <v>0.0</v>
      </c>
      <c r="P70" s="138">
        <v>1.0</v>
      </c>
      <c r="Q70" s="138">
        <v>1.0</v>
      </c>
      <c r="R70" s="145" t="b">
        <v>1</v>
      </c>
      <c r="S70" s="145" t="b">
        <v>0</v>
      </c>
      <c r="T70" s="145" t="b">
        <v>1</v>
      </c>
      <c r="U70" s="166" t="b">
        <v>0</v>
      </c>
      <c r="V70" s="166" t="b">
        <v>1</v>
      </c>
    </row>
    <row r="71" ht="17.25" customHeight="1" outlineLevel="1">
      <c r="A71" s="146"/>
      <c r="B71" s="624" t="s">
        <v>1557</v>
      </c>
      <c r="C71" s="239" t="s">
        <v>1558</v>
      </c>
      <c r="D71" s="239" t="s">
        <v>462</v>
      </c>
      <c r="E71" s="365" t="s">
        <v>1559</v>
      </c>
      <c r="F71" s="138">
        <v>9.839999999999998</v>
      </c>
      <c r="G71" s="139" t="s">
        <v>60</v>
      </c>
      <c r="H71" s="212"/>
      <c r="J71" s="210"/>
      <c r="K71" s="138"/>
      <c r="L71" s="138"/>
      <c r="M71" s="145"/>
      <c r="N71" s="145"/>
      <c r="O71" s="138">
        <v>0.0</v>
      </c>
      <c r="P71" s="138">
        <v>1.0</v>
      </c>
      <c r="Q71" s="138">
        <v>1.0</v>
      </c>
      <c r="R71" s="145" t="b">
        <v>1</v>
      </c>
      <c r="S71" s="145" t="b">
        <v>0</v>
      </c>
      <c r="T71" s="145" t="b">
        <v>1</v>
      </c>
      <c r="U71" s="146"/>
      <c r="V71" s="146"/>
    </row>
    <row r="72" ht="17.25" customHeight="1" outlineLevel="1">
      <c r="A72" s="146"/>
      <c r="B72" s="624" t="s">
        <v>1560</v>
      </c>
      <c r="C72" s="239" t="s">
        <v>1561</v>
      </c>
      <c r="D72" s="239" t="s">
        <v>208</v>
      </c>
      <c r="E72" s="365" t="s">
        <v>159</v>
      </c>
      <c r="F72" s="138">
        <v>12.6</v>
      </c>
      <c r="G72" s="139" t="s">
        <v>147</v>
      </c>
      <c r="H72" s="212"/>
      <c r="J72" s="210"/>
      <c r="K72" s="138"/>
      <c r="L72" s="138"/>
      <c r="M72" s="145"/>
      <c r="N72" s="145"/>
      <c r="O72" s="138">
        <v>0.0</v>
      </c>
      <c r="P72" s="138">
        <v>1.0</v>
      </c>
      <c r="Q72" s="138">
        <v>1.0</v>
      </c>
      <c r="R72" s="145" t="b">
        <v>1</v>
      </c>
      <c r="S72" s="145" t="b">
        <v>0</v>
      </c>
      <c r="T72" s="145" t="b">
        <v>1</v>
      </c>
      <c r="U72" s="146"/>
      <c r="V72" s="146"/>
    </row>
    <row r="73" ht="17.25" customHeight="1" outlineLevel="1">
      <c r="A73" s="146"/>
      <c r="B73" s="624" t="s">
        <v>1562</v>
      </c>
      <c r="C73" s="239" t="s">
        <v>1563</v>
      </c>
      <c r="D73" s="239" t="s">
        <v>765</v>
      </c>
      <c r="E73" s="365" t="s">
        <v>1564</v>
      </c>
      <c r="F73" s="138">
        <v>14.16</v>
      </c>
      <c r="G73" s="139" t="s">
        <v>147</v>
      </c>
      <c r="H73" s="212"/>
      <c r="J73" s="210"/>
      <c r="K73" s="138"/>
      <c r="L73" s="138"/>
      <c r="M73" s="145"/>
      <c r="N73" s="145"/>
      <c r="O73" s="138">
        <v>0.0</v>
      </c>
      <c r="P73" s="138">
        <v>1.0</v>
      </c>
      <c r="Q73" s="138">
        <v>1.0</v>
      </c>
      <c r="R73" s="145" t="b">
        <v>1</v>
      </c>
      <c r="S73" s="145" t="b">
        <v>0</v>
      </c>
      <c r="T73" s="145" t="b">
        <v>1</v>
      </c>
      <c r="U73" s="146"/>
      <c r="V73" s="146"/>
    </row>
    <row r="74" ht="17.25" customHeight="1" outlineLevel="1">
      <c r="A74" s="146"/>
      <c r="B74" s="624" t="s">
        <v>1565</v>
      </c>
      <c r="C74" s="239" t="s">
        <v>1566</v>
      </c>
      <c r="D74" s="239" t="s">
        <v>428</v>
      </c>
      <c r="E74" s="365" t="s">
        <v>1567</v>
      </c>
      <c r="F74" s="138">
        <v>16.919999999999998</v>
      </c>
      <c r="G74" s="139" t="s">
        <v>75</v>
      </c>
      <c r="H74" s="212"/>
      <c r="J74" s="210"/>
      <c r="K74" s="138"/>
      <c r="L74" s="138"/>
      <c r="M74" s="145"/>
      <c r="N74" s="145"/>
      <c r="O74" s="138">
        <v>0.0</v>
      </c>
      <c r="P74" s="138">
        <v>1.0</v>
      </c>
      <c r="Q74" s="138">
        <v>1.0</v>
      </c>
      <c r="R74" s="145" t="b">
        <v>1</v>
      </c>
      <c r="S74" s="145" t="b">
        <v>0</v>
      </c>
      <c r="T74" s="145" t="b">
        <v>1</v>
      </c>
      <c r="U74" s="146"/>
      <c r="V74" s="146"/>
    </row>
    <row r="75" ht="17.25" customHeight="1" outlineLevel="1">
      <c r="A75" s="146"/>
      <c r="B75" s="624" t="s">
        <v>1568</v>
      </c>
      <c r="C75" s="239" t="s">
        <v>1569</v>
      </c>
      <c r="D75" s="239" t="s">
        <v>1419</v>
      </c>
      <c r="E75" s="365" t="s">
        <v>1570</v>
      </c>
      <c r="F75" s="138">
        <v>18.48</v>
      </c>
      <c r="G75" s="139" t="s">
        <v>75</v>
      </c>
      <c r="H75" s="212"/>
      <c r="J75" s="210"/>
      <c r="K75" s="138"/>
      <c r="L75" s="138"/>
      <c r="M75" s="145"/>
      <c r="N75" s="145"/>
      <c r="O75" s="138">
        <v>0.0</v>
      </c>
      <c r="P75" s="138">
        <v>1.0</v>
      </c>
      <c r="Q75" s="138">
        <v>1.0</v>
      </c>
      <c r="R75" s="145" t="b">
        <v>1</v>
      </c>
      <c r="S75" s="145" t="b">
        <v>0</v>
      </c>
      <c r="T75" s="145" t="b">
        <v>1</v>
      </c>
      <c r="U75" s="146"/>
      <c r="V75" s="146"/>
    </row>
    <row r="76" ht="17.25" customHeight="1" outlineLevel="1">
      <c r="A76" s="146"/>
      <c r="B76" s="624" t="s">
        <v>1571</v>
      </c>
      <c r="C76" s="239" t="s">
        <v>1572</v>
      </c>
      <c r="D76" s="239" t="s">
        <v>1573</v>
      </c>
      <c r="E76" s="365" t="s">
        <v>1574</v>
      </c>
      <c r="F76" s="138">
        <v>21.24</v>
      </c>
      <c r="G76" s="139" t="s">
        <v>102</v>
      </c>
      <c r="H76" s="212"/>
      <c r="J76" s="210"/>
      <c r="K76" s="138"/>
      <c r="L76" s="138"/>
      <c r="M76" s="145"/>
      <c r="N76" s="145"/>
      <c r="O76" s="138">
        <v>0.0</v>
      </c>
      <c r="P76" s="138">
        <v>1.0</v>
      </c>
      <c r="Q76" s="138">
        <v>1.0</v>
      </c>
      <c r="R76" s="145" t="b">
        <v>1</v>
      </c>
      <c r="S76" s="145" t="b">
        <v>0</v>
      </c>
      <c r="T76" s="145" t="b">
        <v>1</v>
      </c>
      <c r="U76" s="146"/>
      <c r="V76" s="146"/>
    </row>
    <row r="77" ht="17.25" customHeight="1" outlineLevel="1">
      <c r="A77" s="146"/>
      <c r="B77" s="624" t="s">
        <v>1575</v>
      </c>
      <c r="C77" s="239" t="s">
        <v>1576</v>
      </c>
      <c r="D77" s="239" t="s">
        <v>1577</v>
      </c>
      <c r="E77" s="365" t="s">
        <v>1574</v>
      </c>
      <c r="F77" s="138">
        <v>21.24</v>
      </c>
      <c r="G77" s="139" t="s">
        <v>102</v>
      </c>
      <c r="H77" s="212"/>
      <c r="J77" s="210"/>
      <c r="K77" s="138"/>
      <c r="L77" s="282"/>
      <c r="M77" s="363"/>
      <c r="N77" s="363"/>
      <c r="O77" s="138">
        <v>0.0</v>
      </c>
      <c r="P77" s="138">
        <v>1.0</v>
      </c>
      <c r="Q77" s="138">
        <v>1.0</v>
      </c>
      <c r="R77" s="145" t="b">
        <v>1</v>
      </c>
      <c r="S77" s="145" t="b">
        <v>0</v>
      </c>
      <c r="T77" s="145" t="b">
        <v>1</v>
      </c>
      <c r="U77" s="146"/>
      <c r="V77" s="146"/>
    </row>
    <row r="78" ht="17.25" customHeight="1" outlineLevel="1">
      <c r="A78" s="146"/>
      <c r="B78" s="624" t="s">
        <v>1043</v>
      </c>
      <c r="C78" s="409"/>
      <c r="D78" s="239" t="s">
        <v>1577</v>
      </c>
      <c r="E78" s="409"/>
      <c r="F78" s="409"/>
      <c r="G78" s="665"/>
      <c r="H78" s="212"/>
      <c r="J78" s="210"/>
      <c r="K78" s="409"/>
      <c r="L78" s="409"/>
      <c r="M78" s="409"/>
      <c r="N78" s="409"/>
      <c r="O78" s="409"/>
      <c r="P78" s="409"/>
      <c r="Q78" s="409"/>
      <c r="R78" s="409"/>
      <c r="S78" s="409"/>
      <c r="T78" s="409"/>
      <c r="U78" s="146"/>
      <c r="V78" s="146"/>
    </row>
    <row r="79" ht="17.25" customHeight="1" outlineLevel="1">
      <c r="A79" s="146"/>
      <c r="B79" s="624" t="s">
        <v>1578</v>
      </c>
      <c r="C79" s="409"/>
      <c r="D79" s="239" t="s">
        <v>118</v>
      </c>
      <c r="E79" s="409"/>
      <c r="F79" s="409"/>
      <c r="G79" s="409"/>
      <c r="H79" s="212"/>
      <c r="J79" s="210"/>
      <c r="K79" s="409"/>
      <c r="L79" s="409"/>
      <c r="M79" s="409"/>
      <c r="N79" s="409"/>
      <c r="O79" s="409"/>
      <c r="P79" s="409"/>
      <c r="Q79" s="409"/>
      <c r="R79" s="409"/>
      <c r="S79" s="409"/>
      <c r="T79" s="409"/>
      <c r="U79" s="146"/>
      <c r="V79" s="146"/>
    </row>
    <row r="80" ht="17.25" customHeight="1" outlineLevel="1">
      <c r="A80" s="156"/>
      <c r="B80" s="624" t="s">
        <v>666</v>
      </c>
      <c r="C80" s="409"/>
      <c r="D80" s="239" t="s">
        <v>118</v>
      </c>
      <c r="E80" s="409"/>
      <c r="F80" s="409"/>
      <c r="G80" s="409"/>
      <c r="H80" s="106"/>
      <c r="I80" s="168"/>
      <c r="J80" s="107"/>
      <c r="K80" s="409"/>
      <c r="L80" s="409"/>
      <c r="M80" s="409"/>
      <c r="N80" s="409"/>
      <c r="O80" s="409"/>
      <c r="P80" s="409"/>
      <c r="Q80" s="409"/>
      <c r="R80" s="409"/>
      <c r="S80" s="409"/>
      <c r="T80" s="409"/>
      <c r="U80" s="156"/>
      <c r="V80" s="156"/>
    </row>
    <row r="81">
      <c r="A81" s="223"/>
      <c r="B81" s="224"/>
      <c r="C81" s="225"/>
      <c r="D81" s="225"/>
      <c r="E81" s="226"/>
      <c r="F81" s="226"/>
      <c r="G81" s="226"/>
      <c r="H81" s="227"/>
      <c r="I81" s="227"/>
      <c r="J81" s="228"/>
      <c r="K81" s="228"/>
      <c r="L81" s="228"/>
      <c r="M81" s="228"/>
      <c r="N81" s="228"/>
      <c r="O81" s="228"/>
      <c r="P81" s="228"/>
      <c r="Q81" s="118"/>
      <c r="R81" s="118"/>
      <c r="S81" s="118"/>
      <c r="T81" s="118"/>
      <c r="U81" s="118"/>
      <c r="V81" s="118"/>
    </row>
    <row r="82">
      <c r="A82" s="264" t="s">
        <v>211</v>
      </c>
      <c r="B82" s="104"/>
      <c r="C82" s="227"/>
      <c r="D82" s="227"/>
      <c r="E82" s="228"/>
      <c r="F82" s="265"/>
      <c r="G82" s="265"/>
      <c r="H82" s="228"/>
      <c r="I82" s="228"/>
      <c r="J82" s="228"/>
      <c r="K82" s="228"/>
      <c r="L82" s="228"/>
      <c r="M82" s="228"/>
      <c r="N82" s="118"/>
      <c r="O82" s="118"/>
      <c r="P82" s="118"/>
      <c r="Q82" s="228"/>
      <c r="R82" s="228"/>
      <c r="S82" s="228"/>
      <c r="T82" s="228"/>
      <c r="U82" s="228"/>
      <c r="V82" s="228"/>
    </row>
    <row r="83" outlineLevel="1">
      <c r="A83" s="106"/>
      <c r="B83" s="107"/>
      <c r="C83" s="266" t="s">
        <v>48</v>
      </c>
      <c r="D83" s="266" t="s">
        <v>49</v>
      </c>
      <c r="E83" s="266" t="s">
        <v>50</v>
      </c>
      <c r="F83" s="267" t="s">
        <v>51</v>
      </c>
      <c r="G83" s="227"/>
      <c r="H83" s="227"/>
      <c r="I83" s="227"/>
      <c r="J83" s="228"/>
      <c r="K83" s="228"/>
      <c r="L83" s="228"/>
      <c r="M83" s="228"/>
      <c r="N83" s="228"/>
      <c r="O83" s="228"/>
      <c r="P83" s="228"/>
      <c r="Q83" s="228"/>
      <c r="R83" s="228"/>
      <c r="S83" s="228"/>
      <c r="T83" s="228"/>
      <c r="U83" s="228"/>
      <c r="V83" s="228"/>
    </row>
    <row r="84" outlineLevel="1">
      <c r="A84" s="268" t="s">
        <v>212</v>
      </c>
      <c r="B84" s="269" t="s">
        <v>212</v>
      </c>
      <c r="C84" s="239" t="s">
        <v>176</v>
      </c>
      <c r="D84" s="239" t="s">
        <v>93</v>
      </c>
      <c r="E84" s="239" t="s">
        <v>214</v>
      </c>
      <c r="F84" s="138">
        <v>1.56</v>
      </c>
      <c r="G84" s="227"/>
      <c r="H84" s="227"/>
      <c r="I84" s="227"/>
      <c r="J84" s="228"/>
      <c r="K84" s="228"/>
      <c r="L84" s="228"/>
      <c r="M84" s="228"/>
      <c r="N84" s="228"/>
      <c r="O84" s="228"/>
      <c r="P84" s="228"/>
      <c r="Q84" s="228"/>
      <c r="R84" s="228"/>
      <c r="S84" s="228"/>
      <c r="T84" s="228"/>
      <c r="U84" s="228"/>
      <c r="V84" s="228"/>
    </row>
    <row r="85" outlineLevel="1">
      <c r="A85" s="270" t="s">
        <v>215</v>
      </c>
      <c r="B85" s="269" t="s">
        <v>216</v>
      </c>
      <c r="C85" s="239" t="s">
        <v>223</v>
      </c>
      <c r="D85" s="239" t="s">
        <v>118</v>
      </c>
      <c r="E85" s="271"/>
      <c r="F85" s="272"/>
      <c r="G85" s="272"/>
      <c r="H85" s="227"/>
      <c r="I85" s="227"/>
      <c r="J85" s="228"/>
      <c r="K85" s="228"/>
      <c r="L85" s="228"/>
      <c r="M85" s="228"/>
      <c r="N85" s="228"/>
      <c r="O85" s="228"/>
      <c r="P85" s="228"/>
      <c r="Q85" s="228"/>
      <c r="R85" s="228"/>
      <c r="S85" s="228"/>
      <c r="T85" s="228"/>
      <c r="U85" s="228"/>
      <c r="V85" s="228"/>
    </row>
    <row r="86" outlineLevel="1">
      <c r="A86" s="212"/>
      <c r="B86" s="269" t="s">
        <v>219</v>
      </c>
      <c r="C86" s="239" t="s">
        <v>305</v>
      </c>
      <c r="D86" s="239" t="s">
        <v>111</v>
      </c>
      <c r="E86" s="271"/>
      <c r="F86" s="272"/>
      <c r="G86" s="272"/>
      <c r="H86" s="227"/>
      <c r="I86" s="227"/>
      <c r="J86" s="228"/>
      <c r="K86" s="228"/>
      <c r="L86" s="228"/>
      <c r="M86" s="228"/>
      <c r="N86" s="228"/>
      <c r="O86" s="228"/>
      <c r="P86" s="228"/>
      <c r="Q86" s="228"/>
      <c r="R86" s="228"/>
      <c r="S86" s="228"/>
      <c r="T86" s="228"/>
      <c r="U86" s="228"/>
      <c r="V86" s="228"/>
    </row>
    <row r="87" outlineLevel="1">
      <c r="A87" s="106"/>
      <c r="B87" s="269" t="s">
        <v>222</v>
      </c>
      <c r="C87" s="239" t="s">
        <v>295</v>
      </c>
      <c r="D87" s="239" t="s">
        <v>221</v>
      </c>
      <c r="E87" s="227"/>
      <c r="F87" s="272"/>
      <c r="G87" s="272"/>
      <c r="H87" s="227"/>
      <c r="I87" s="227"/>
      <c r="J87" s="228"/>
      <c r="K87" s="228"/>
      <c r="L87" s="228"/>
      <c r="M87" s="228"/>
      <c r="N87" s="228"/>
      <c r="O87" s="228"/>
      <c r="P87" s="228"/>
      <c r="Q87" s="228"/>
      <c r="R87" s="228"/>
      <c r="S87" s="228"/>
      <c r="T87" s="228"/>
      <c r="U87" s="228"/>
      <c r="V87" s="228"/>
    </row>
    <row r="88" outlineLevel="1">
      <c r="A88" s="273" t="s">
        <v>225</v>
      </c>
      <c r="B88" s="109"/>
      <c r="C88" s="266" t="s">
        <v>48</v>
      </c>
      <c r="D88" s="266" t="s">
        <v>49</v>
      </c>
      <c r="E88" s="266" t="s">
        <v>50</v>
      </c>
      <c r="F88" s="267" t="s">
        <v>51</v>
      </c>
      <c r="G88" s="274" t="s">
        <v>53</v>
      </c>
      <c r="H88" s="110"/>
      <c r="I88" s="110"/>
      <c r="J88" s="109"/>
      <c r="K88" s="275" t="str">
        <f>'テンプレート'!K97</f>
        <v>ベクトル</v>
      </c>
      <c r="L88" s="275" t="str">
        <f>'テンプレート'!L97</f>
        <v>KBG (R.E.)</v>
      </c>
      <c r="M88" s="275" t="str">
        <f>'テンプレート'!M97</f>
        <v>BKB (R.A.)</v>
      </c>
      <c r="N88" s="275" t="str">
        <f>'テンプレート'!N97</f>
        <v>FKB (R.F.)</v>
      </c>
      <c r="O88" s="276" t="str">
        <f>'テンプレート'!O97</f>
        <v>盾削り値</v>
      </c>
      <c r="P88" s="275" t="str">
        <f>'テンプレート'!P97</f>
        <v>ﾋｯﾄｽﾄｯﾌﾟ</v>
      </c>
      <c r="Q88" s="276" t="str">
        <f>'テンプレート'!Q97</f>
        <v>ずらし</v>
      </c>
      <c r="R88" s="277"/>
      <c r="S88" s="277"/>
      <c r="T88" s="277"/>
      <c r="U88" s="277"/>
      <c r="V88" s="277"/>
    </row>
    <row r="89" outlineLevel="1">
      <c r="A89" s="278" t="s">
        <v>226</v>
      </c>
      <c r="B89" s="269" t="s">
        <v>227</v>
      </c>
      <c r="C89" s="553"/>
      <c r="D89" s="279">
        <v>49.0</v>
      </c>
      <c r="E89" s="553"/>
      <c r="F89" s="261"/>
      <c r="G89" s="416"/>
      <c r="H89" s="164"/>
      <c r="I89" s="164"/>
      <c r="J89" s="104"/>
      <c r="K89" s="261"/>
      <c r="L89" s="261"/>
      <c r="M89" s="261"/>
      <c r="N89" s="261"/>
      <c r="O89" s="261"/>
      <c r="P89" s="261"/>
      <c r="Q89" s="261"/>
      <c r="R89" s="277"/>
      <c r="S89" s="228"/>
      <c r="T89" s="228"/>
      <c r="U89" s="228"/>
      <c r="V89" s="228"/>
    </row>
    <row r="90" outlineLevel="1">
      <c r="A90" s="156"/>
      <c r="B90" s="269" t="s">
        <v>225</v>
      </c>
      <c r="C90" s="1091">
        <v>30.0</v>
      </c>
      <c r="D90" s="156"/>
      <c r="E90" s="239" t="s">
        <v>128</v>
      </c>
      <c r="F90" s="138">
        <v>12.0</v>
      </c>
      <c r="G90" s="106"/>
      <c r="H90" s="168"/>
      <c r="I90" s="168"/>
      <c r="J90" s="107"/>
      <c r="K90" s="282"/>
      <c r="L90" s="282"/>
      <c r="M90" s="363"/>
      <c r="N90" s="363"/>
      <c r="O90" s="261"/>
      <c r="P90" s="261"/>
      <c r="Q90" s="261"/>
      <c r="R90" s="277"/>
      <c r="S90" s="228"/>
      <c r="T90" s="228"/>
      <c r="U90" s="228"/>
      <c r="V90" s="228"/>
    </row>
    <row r="91" outlineLevel="1">
      <c r="A91" s="278" t="s">
        <v>229</v>
      </c>
      <c r="B91" s="269" t="s">
        <v>227</v>
      </c>
      <c r="C91" s="261"/>
      <c r="D91" s="279">
        <v>49.0</v>
      </c>
      <c r="E91" s="553"/>
      <c r="F91" s="261"/>
      <c r="G91" s="416"/>
      <c r="H91" s="164"/>
      <c r="I91" s="164"/>
      <c r="J91" s="104"/>
      <c r="K91" s="261"/>
      <c r="L91" s="261"/>
      <c r="M91" s="261"/>
      <c r="N91" s="261"/>
      <c r="O91" s="261"/>
      <c r="P91" s="261"/>
      <c r="Q91" s="261"/>
      <c r="R91" s="277"/>
      <c r="S91" s="228"/>
      <c r="T91" s="228"/>
      <c r="U91" s="228"/>
      <c r="V91" s="228"/>
    </row>
    <row r="92" outlineLevel="1">
      <c r="A92" s="156"/>
      <c r="B92" s="269" t="s">
        <v>225</v>
      </c>
      <c r="C92" s="113">
        <v>27.0</v>
      </c>
      <c r="D92" s="156"/>
      <c r="E92" s="239" t="s">
        <v>129</v>
      </c>
      <c r="F92" s="138">
        <v>14.399999999999999</v>
      </c>
      <c r="G92" s="106"/>
      <c r="H92" s="168"/>
      <c r="I92" s="168"/>
      <c r="J92" s="107"/>
      <c r="K92" s="282"/>
      <c r="L92" s="282"/>
      <c r="M92" s="282"/>
      <c r="N92" s="282"/>
      <c r="O92" s="261"/>
      <c r="P92" s="261"/>
      <c r="Q92" s="261"/>
      <c r="R92" s="277"/>
      <c r="S92" s="228"/>
      <c r="T92" s="228"/>
      <c r="U92" s="228"/>
      <c r="V92" s="228"/>
    </row>
    <row r="93" outlineLevel="1">
      <c r="A93" s="278" t="s">
        <v>233</v>
      </c>
      <c r="B93" s="269" t="s">
        <v>227</v>
      </c>
      <c r="C93" s="261"/>
      <c r="D93" s="279">
        <v>49.0</v>
      </c>
      <c r="E93" s="553"/>
      <c r="F93" s="261"/>
      <c r="G93" s="416"/>
      <c r="H93" s="164"/>
      <c r="I93" s="164"/>
      <c r="J93" s="104"/>
      <c r="K93" s="261"/>
      <c r="L93" s="261"/>
      <c r="M93" s="261"/>
      <c r="N93" s="261"/>
      <c r="O93" s="261"/>
      <c r="P93" s="261"/>
      <c r="Q93" s="261"/>
      <c r="R93" s="277"/>
      <c r="S93" s="228"/>
      <c r="T93" s="228"/>
      <c r="U93" s="228"/>
      <c r="V93" s="228"/>
    </row>
    <row r="94" outlineLevel="1">
      <c r="A94" s="156"/>
      <c r="B94" s="269" t="s">
        <v>225</v>
      </c>
      <c r="C94" s="113">
        <v>30.0</v>
      </c>
      <c r="D94" s="156"/>
      <c r="E94" s="239" t="s">
        <v>232</v>
      </c>
      <c r="F94" s="138">
        <v>13.2</v>
      </c>
      <c r="G94" s="106"/>
      <c r="H94" s="168"/>
      <c r="I94" s="168"/>
      <c r="J94" s="107"/>
      <c r="K94" s="282"/>
      <c r="L94" s="282"/>
      <c r="M94" s="282"/>
      <c r="N94" s="282"/>
      <c r="O94" s="261"/>
      <c r="P94" s="261"/>
      <c r="Q94" s="261"/>
      <c r="R94" s="277"/>
      <c r="S94" s="117"/>
      <c r="T94" s="117"/>
      <c r="U94" s="117"/>
      <c r="V94" s="117"/>
    </row>
    <row r="95" outlineLevel="1">
      <c r="A95" s="278" t="s">
        <v>234</v>
      </c>
      <c r="B95" s="269" t="s">
        <v>227</v>
      </c>
      <c r="C95" s="113" t="s">
        <v>1579</v>
      </c>
      <c r="D95" s="367" t="s">
        <v>1580</v>
      </c>
      <c r="E95" s="239" t="s">
        <v>1024</v>
      </c>
      <c r="F95" s="138">
        <v>1.7999999999999998</v>
      </c>
      <c r="G95" s="416"/>
      <c r="H95" s="164"/>
      <c r="I95" s="164"/>
      <c r="J95" s="104"/>
      <c r="K95" s="282"/>
      <c r="L95" s="282"/>
      <c r="M95" s="363"/>
      <c r="N95" s="363"/>
      <c r="O95" s="145">
        <v>0.0</v>
      </c>
      <c r="P95" s="145">
        <v>1.0</v>
      </c>
      <c r="Q95" s="145">
        <v>1.0</v>
      </c>
      <c r="R95" s="277"/>
      <c r="S95" s="117"/>
      <c r="T95" s="117"/>
      <c r="U95" s="117"/>
      <c r="V95" s="117"/>
    </row>
    <row r="96" outlineLevel="1">
      <c r="A96" s="156"/>
      <c r="B96" s="269" t="s">
        <v>225</v>
      </c>
      <c r="C96" s="113">
        <v>51.0</v>
      </c>
      <c r="D96" s="156"/>
      <c r="E96" s="239" t="s">
        <v>176</v>
      </c>
      <c r="F96" s="138">
        <v>2.4</v>
      </c>
      <c r="G96" s="106"/>
      <c r="H96" s="168"/>
      <c r="I96" s="168"/>
      <c r="J96" s="107"/>
      <c r="K96" s="282"/>
      <c r="L96" s="282"/>
      <c r="M96" s="363"/>
      <c r="N96" s="363"/>
      <c r="O96" s="261"/>
      <c r="P96" s="261"/>
      <c r="Q96" s="261"/>
      <c r="R96" s="277"/>
      <c r="S96" s="117"/>
      <c r="T96" s="117"/>
      <c r="U96" s="117"/>
      <c r="V96" s="117"/>
    </row>
    <row r="97">
      <c r="A97" s="223"/>
      <c r="B97" s="224"/>
      <c r="C97" s="225"/>
      <c r="D97" s="225"/>
      <c r="E97" s="227"/>
      <c r="F97" s="177"/>
      <c r="G97" s="177"/>
      <c r="H97" s="227"/>
      <c r="I97" s="227"/>
      <c r="J97" s="228"/>
      <c r="K97" s="228"/>
      <c r="L97" s="111"/>
      <c r="M97" s="111"/>
      <c r="N97" s="111"/>
      <c r="O97" s="117"/>
      <c r="P97" s="117"/>
      <c r="Q97" s="111"/>
      <c r="R97" s="111"/>
      <c r="S97" s="111"/>
      <c r="T97" s="111"/>
      <c r="U97" s="111"/>
      <c r="V97" s="111"/>
    </row>
    <row r="98">
      <c r="A98" s="284" t="s">
        <v>241</v>
      </c>
      <c r="B98" s="104"/>
      <c r="C98" s="265"/>
      <c r="D98" s="111"/>
      <c r="E98" s="111"/>
      <c r="F98" s="111"/>
      <c r="G98" s="111"/>
      <c r="H98" s="111"/>
      <c r="I98" s="111"/>
      <c r="J98" s="118"/>
      <c r="K98" s="111"/>
      <c r="L98" s="111"/>
      <c r="M98" s="111"/>
      <c r="N98" s="111"/>
      <c r="O98" s="111"/>
      <c r="P98" s="111"/>
      <c r="Q98" s="118"/>
      <c r="R98" s="111"/>
      <c r="S98" s="111"/>
      <c r="T98" s="111"/>
      <c r="U98" s="111"/>
      <c r="V98" s="111"/>
    </row>
    <row r="99" outlineLevel="1">
      <c r="A99" s="106"/>
      <c r="B99" s="107"/>
      <c r="C99" s="285" t="s">
        <v>235</v>
      </c>
      <c r="D99" s="285" t="s">
        <v>236</v>
      </c>
      <c r="E99" s="285" t="s">
        <v>49</v>
      </c>
      <c r="F99" s="285" t="s">
        <v>237</v>
      </c>
      <c r="G99" s="286"/>
      <c r="H99" s="227"/>
      <c r="I99" s="227"/>
      <c r="J99" s="228"/>
      <c r="K99" s="228"/>
      <c r="L99" s="111"/>
      <c r="M99" s="111"/>
      <c r="N99" s="111"/>
      <c r="O99" s="111"/>
      <c r="P99" s="111"/>
      <c r="Q99" s="111"/>
      <c r="R99" s="111"/>
      <c r="S99" s="111"/>
      <c r="T99" s="111"/>
      <c r="U99" s="111"/>
      <c r="V99" s="111"/>
    </row>
    <row r="100" outlineLevel="1">
      <c r="A100" s="287" t="s">
        <v>395</v>
      </c>
      <c r="B100" s="288" t="s">
        <v>216</v>
      </c>
      <c r="C100" s="113" t="str">
        <f t="array" ref="C100">INDEX('回避'!$C$3:$U$84, MATCH($A$1,'回避'!$A$3:$A$91,0), MATCH(C99,'回避'!$C$2:$F$2,0))</f>
        <v>3-17</v>
      </c>
      <c r="D100" s="113" t="str">
        <f t="array" ref="D100">INDEX('回避'!$C$3:$U$84, MATCH($A$1,'回避'!$A$3:$A$91,0), MATCH(D99,'回避'!$C$2:$F$2,0))</f>
        <v>6-17</v>
      </c>
      <c r="E100" s="113" t="str">
        <f t="array" ref="E100">INDEX('回避'!$C$3:$U$84, MATCH($A$1,'回避'!$A$3:$A$91,0), MATCH(E99,'回避'!$C$2:$F$2,0))</f>
        <v>26 (21)</v>
      </c>
      <c r="F100" s="113" t="str">
        <f t="array" ref="F100">INDEX('回避'!$C$3:$U$84, MATCH($A$1,'回避'!$A$3:$A$91,0), MATCH(F99,'回避'!$C$2:$F$2,0))</f>
        <v>35 (28)</v>
      </c>
      <c r="G100" s="272"/>
      <c r="H100" s="227"/>
      <c r="I100" s="227"/>
      <c r="J100" s="228"/>
      <c r="K100" s="228"/>
      <c r="L100" s="228"/>
      <c r="M100" s="111"/>
      <c r="N100" s="111"/>
      <c r="O100" s="111"/>
      <c r="P100" s="111"/>
      <c r="Q100" s="111"/>
      <c r="R100" s="111"/>
      <c r="S100" s="111"/>
      <c r="T100" s="111"/>
      <c r="U100" s="111"/>
      <c r="V100" s="111"/>
    </row>
    <row r="101" outlineLevel="1">
      <c r="A101" s="212"/>
      <c r="B101" s="288" t="s">
        <v>245</v>
      </c>
      <c r="C101" s="113" t="str">
        <f t="array" ref="C101">INDEX('回避'!$G$3:$U$84, MATCH($A$1,'回避'!$A$3:$A$91,0), MATCH(C99,'回避'!$G$2:$J$2,0))</f>
        <v>4-15</v>
      </c>
      <c r="D101" s="113" t="str">
        <f t="array" ref="D101">INDEX('回避'!$G$3:$U$84, MATCH($A$1,'回避'!$A$3:$A$91,0), MATCH(D99,'回避'!$G$2:$J$2,0))</f>
        <v>8-14</v>
      </c>
      <c r="E101" s="113" t="str">
        <f t="array" ref="E101">INDEX('回避'!$G$3:$U$84, MATCH($A$1,'回避'!$A$3:$A$91,0), MATCH(E99,'回避'!$G$2:$J$2,0))</f>
        <v>30</v>
      </c>
      <c r="F101" s="113">
        <f t="array" ref="F101">INDEX('回避'!$G$3:$U$84, MATCH($A$1,'回避'!$A$3:$A$91,0), MATCH(F99,'回避'!$G$2:$J$2,0))</f>
        <v>40</v>
      </c>
      <c r="G101" s="289"/>
      <c r="H101" s="227"/>
      <c r="I101" s="227"/>
      <c r="J101" s="228"/>
      <c r="K101" s="228"/>
      <c r="L101" s="228"/>
      <c r="M101" s="228"/>
      <c r="N101" s="228"/>
      <c r="O101" s="111"/>
      <c r="P101" s="111"/>
      <c r="Q101" s="111"/>
      <c r="R101" s="111"/>
      <c r="S101" s="111"/>
      <c r="T101" s="111"/>
      <c r="U101" s="111"/>
      <c r="V101" s="111"/>
    </row>
    <row r="102" outlineLevel="1">
      <c r="A102" s="106"/>
      <c r="B102" s="288" t="s">
        <v>246</v>
      </c>
      <c r="C102" s="113" t="str">
        <f t="array" ref="C102">INDEX('回避'!$K$3:$U$84, MATCH($A$1,'回避'!$A$3:$A$91,0), MATCH(C99,'回避'!$K$2:$N$2,0))</f>
        <v>5-16</v>
      </c>
      <c r="D102" s="113" t="str">
        <f t="array" ref="D102">INDEX('回避'!$K$3:$U$84, MATCH($A$1,'回避'!$A$3:$A$91,0), MATCH(D99,'回避'!$K$2:$N$2,0))</f>
        <v>9-14</v>
      </c>
      <c r="E102" s="113" t="str">
        <f t="array" ref="E102">INDEX('回避'!$K$3:$U$84, MATCH($A$1,'回避'!$A$3:$A$91,0), MATCH(E99,'回避'!$K$2:$N$2,0))</f>
        <v>35</v>
      </c>
      <c r="F102" s="113" t="str">
        <f t="array" ref="F102">INDEX('回避'!$K$3:$U$84, MATCH($A$1,'回避'!$A$3:$A$91,0), MATCH(F99,'回避'!$K$2:$N$2,0))</f>
        <v>53</v>
      </c>
      <c r="G102" s="289"/>
      <c r="H102" s="290"/>
      <c r="I102" s="290"/>
      <c r="J102" s="117"/>
      <c r="K102" s="117"/>
      <c r="L102" s="117"/>
      <c r="M102" s="117"/>
      <c r="N102" s="117"/>
      <c r="O102" s="111"/>
      <c r="P102" s="111"/>
      <c r="Q102" s="111"/>
      <c r="R102" s="111"/>
      <c r="S102" s="111"/>
      <c r="T102" s="111"/>
      <c r="U102" s="111"/>
      <c r="V102" s="111"/>
    </row>
    <row r="103" outlineLevel="1">
      <c r="A103" s="287" t="s">
        <v>396</v>
      </c>
      <c r="B103" s="288" t="s">
        <v>397</v>
      </c>
      <c r="C103" s="113" t="str">
        <f t="array" ref="C103">INDEX('回避'!$O$3:$U$84, MATCH($A$1,'回避'!$A$3:$A$91,0), MATCH(C99,'回避'!$O$2:$R$2,0))</f>
        <v>3-30</v>
      </c>
      <c r="D103" s="113" t="str">
        <f t="array" ref="D103">INDEX('回避'!$O$3:$U$84, MATCH($A$1,'回避'!$A$3:$A$91,0), MATCH(D99,'回避'!$O$2:$R$2,0))</f>
        <v>6-27</v>
      </c>
      <c r="E103" s="113" t="str">
        <f t="array" ref="E103">INDEX('回避'!$O$3:$U$84, MATCH($A$1,'回避'!$A$3:$A$91,0), MATCH(E99,'回避'!$O$2:$R$2,0))</f>
        <v>56</v>
      </c>
      <c r="F103" s="177"/>
      <c r="G103" s="177"/>
      <c r="H103" s="118"/>
      <c r="I103" s="118"/>
      <c r="J103" s="111"/>
      <c r="K103" s="111"/>
      <c r="L103" s="111"/>
      <c r="M103" s="111"/>
      <c r="N103" s="111"/>
      <c r="O103" s="228"/>
      <c r="P103" s="228"/>
      <c r="Q103" s="228"/>
      <c r="R103" s="228"/>
      <c r="S103" s="228"/>
      <c r="T103" s="228"/>
      <c r="U103" s="228"/>
      <c r="V103" s="228"/>
    </row>
    <row r="104" outlineLevel="1">
      <c r="A104" s="106"/>
      <c r="B104" s="288" t="s">
        <v>398</v>
      </c>
      <c r="C104" s="113" t="str">
        <f t="array" ref="C104">INDEX('回避'!$S$3:$U$84, MATCH($A$1,'回避'!$A$3:$A$91,0), MATCH(C99,'回避'!$S$2:$U$2,0))</f>
        <v>3-21</v>
      </c>
      <c r="D104" s="113" t="str">
        <f t="array" ref="D104">INDEX('回避'!$S$3:$U$84, MATCH($A$1,'回避'!$A$3:$A$91,0), MATCH(D99,'回避'!$S$2:$U$2,0))</f>
        <v>6-20</v>
      </c>
      <c r="E104" s="113" t="str">
        <f t="array" ref="E104">INDEX('回避'!$S$3:$U$84, MATCH($A$1,'回避'!$A$3:$A$91,0), MATCH(E99,'回避'!$S$2:$U$2,0))</f>
        <v>真横：96
真上：129
真下：77</v>
      </c>
      <c r="F104" s="289"/>
      <c r="G104" s="289"/>
      <c r="H104" s="118"/>
      <c r="I104" s="118"/>
      <c r="J104" s="117"/>
      <c r="K104" s="117"/>
      <c r="L104" s="117"/>
      <c r="M104" s="117"/>
      <c r="N104" s="111"/>
      <c r="O104" s="118"/>
      <c r="P104" s="118"/>
      <c r="Q104" s="118"/>
      <c r="R104" s="118"/>
      <c r="S104" s="118"/>
      <c r="T104" s="118"/>
      <c r="U104" s="118"/>
      <c r="V104" s="118"/>
    </row>
    <row r="105">
      <c r="A105" s="291"/>
      <c r="B105" s="292"/>
      <c r="C105" s="286"/>
      <c r="D105" s="286"/>
      <c r="E105" s="293"/>
      <c r="F105" s="286"/>
      <c r="G105" s="286"/>
      <c r="H105" s="286"/>
      <c r="I105" s="286"/>
      <c r="J105" s="111"/>
      <c r="K105" s="227"/>
      <c r="L105" s="227"/>
      <c r="M105" s="227"/>
      <c r="N105" s="227"/>
      <c r="O105" s="118"/>
      <c r="P105" s="118"/>
      <c r="Q105" s="118"/>
      <c r="R105" s="118"/>
      <c r="S105" s="118"/>
      <c r="T105" s="118"/>
      <c r="U105" s="118"/>
      <c r="V105" s="118"/>
    </row>
    <row r="106">
      <c r="A106" s="294" t="s">
        <v>238</v>
      </c>
      <c r="B106" s="104"/>
      <c r="C106" s="228"/>
      <c r="D106" s="117"/>
      <c r="E106" s="228"/>
      <c r="F106" s="114"/>
      <c r="G106" s="114"/>
      <c r="H106" s="117"/>
      <c r="I106" s="117"/>
      <c r="J106" s="118"/>
      <c r="K106" s="118"/>
      <c r="L106" s="118"/>
      <c r="M106" s="118"/>
      <c r="N106" s="118"/>
      <c r="O106" s="118"/>
      <c r="P106" s="118"/>
      <c r="Q106" s="118"/>
      <c r="R106" s="118"/>
      <c r="S106" s="118"/>
      <c r="T106" s="118"/>
      <c r="U106" s="118"/>
      <c r="V106" s="118"/>
    </row>
    <row r="107" outlineLevel="1">
      <c r="A107" s="106"/>
      <c r="B107" s="107"/>
      <c r="C107" s="295" t="s">
        <v>235</v>
      </c>
      <c r="D107" s="295" t="s">
        <v>49</v>
      </c>
      <c r="E107" s="295" t="s">
        <v>48</v>
      </c>
      <c r="F107" s="295" t="s">
        <v>50</v>
      </c>
      <c r="G107" s="296" t="s">
        <v>51</v>
      </c>
      <c r="H107" s="228"/>
      <c r="I107" s="228"/>
      <c r="J107" s="117"/>
      <c r="K107" s="297" t="str">
        <f>'テンプレート'!K116</f>
        <v>アイテム取得</v>
      </c>
      <c r="L107" s="109"/>
      <c r="M107" s="298" t="str">
        <f>'テンプレート'!M116</f>
        <v>取得フレーム</v>
      </c>
      <c r="N107" s="298" t="str">
        <f>'テンプレート'!N116</f>
        <v>全体フレーム</v>
      </c>
      <c r="O107" s="118"/>
      <c r="P107" s="118"/>
      <c r="Q107" s="118"/>
      <c r="R107" s="118"/>
      <c r="S107" s="118"/>
      <c r="T107" s="118"/>
      <c r="U107" s="118"/>
      <c r="V107" s="118"/>
    </row>
    <row r="108" outlineLevel="1">
      <c r="A108" s="299" t="s">
        <v>239</v>
      </c>
      <c r="B108" s="300" t="s">
        <v>240</v>
      </c>
      <c r="C108" s="301"/>
      <c r="D108" s="113">
        <f t="array" ref="D108">INDEX('崖行動・受け身'!$C$3:$C110, MATCH($A$1,'崖行動・受け身'!$A$3:$A$115,0), MATCH(D107,'崖行動・受け身'!$C$2,0))</f>
        <v>19</v>
      </c>
      <c r="E108" s="301"/>
      <c r="F108" s="301"/>
      <c r="G108" s="301"/>
      <c r="H108" s="228"/>
      <c r="I108" s="228"/>
      <c r="J108" s="111"/>
      <c r="K108" s="302" t="str">
        <f>'テンプレート'!K117</f>
        <v>小アイテム</v>
      </c>
      <c r="L108" s="303" t="str">
        <f>'テンプレート'!L117</f>
        <v>その場</v>
      </c>
      <c r="M108" s="113" t="s">
        <v>76</v>
      </c>
      <c r="N108" s="113">
        <v>7.0</v>
      </c>
      <c r="O108" s="118"/>
      <c r="P108" s="118"/>
      <c r="Q108" s="118"/>
      <c r="R108" s="118"/>
      <c r="S108" s="118"/>
      <c r="T108" s="118"/>
      <c r="U108" s="118"/>
      <c r="V108" s="118"/>
    </row>
    <row r="109" outlineLevel="1">
      <c r="A109" s="146"/>
      <c r="B109" s="300" t="s">
        <v>216</v>
      </c>
      <c r="C109" s="113" t="str">
        <f t="array" ref="C109">INDEX('崖行動・受け身'!$D$3:$E110, MATCH($A$1,'崖行動・受け身'!$A$3:$A$115,0), MATCH(C107,'崖行動・受け身'!$D$2:$E$2,0))</f>
        <v>1-33</v>
      </c>
      <c r="D109" s="113">
        <f t="array" ref="D109">INDEX('崖行動・受け身'!$D$3:$E110, MATCH($A$1,'崖行動・受け身'!$A$3:$A$115,0), MATCH(D107,'崖行動・受け身'!$D$2:$E$2,0))</f>
        <v>34</v>
      </c>
      <c r="E109" s="301"/>
      <c r="F109" s="301"/>
      <c r="G109" s="301"/>
      <c r="H109" s="228"/>
      <c r="I109" s="228"/>
      <c r="J109" s="117"/>
      <c r="K109" s="156"/>
      <c r="L109" s="303" t="str">
        <f>'テンプレート'!L118</f>
        <v>歩き</v>
      </c>
      <c r="M109" s="113" t="s">
        <v>76</v>
      </c>
      <c r="N109" s="113">
        <v>19.0</v>
      </c>
      <c r="O109" s="118"/>
      <c r="P109" s="118"/>
      <c r="Q109" s="118"/>
      <c r="R109" s="118"/>
      <c r="S109" s="118"/>
      <c r="T109" s="118"/>
      <c r="U109" s="118"/>
      <c r="V109" s="118"/>
    </row>
    <row r="110" outlineLevel="1">
      <c r="A110" s="146"/>
      <c r="B110" s="300" t="s">
        <v>241</v>
      </c>
      <c r="C110" s="113" t="str">
        <f t="array" ref="C110">INDEX('崖行動・受け身'!$F$3:$G$115, MATCH($A$1,'崖行動・受け身'!$A$3:$A$115,0), MATCH(C107,'崖行動・受け身'!$F$2:$G$2,0))</f>
        <v>1-27</v>
      </c>
      <c r="D110" s="113">
        <f t="array" ref="D110">INDEX('崖行動・受け身'!$F$3:$G$115, MATCH($A$1,'崖行動・受け身'!$A$3:$A$115,0), MATCH(D107,'崖行動・受け身'!$F$2:$G$2,0))</f>
        <v>45</v>
      </c>
      <c r="E110" s="301"/>
      <c r="F110" s="301"/>
      <c r="G110" s="301"/>
      <c r="H110" s="228"/>
      <c r="I110" s="228"/>
      <c r="J110" s="111"/>
      <c r="K110" s="304" t="str">
        <f>'テンプレート'!K119</f>
        <v>アイテム投擲</v>
      </c>
      <c r="L110" s="109"/>
      <c r="M110" s="298" t="str">
        <f>'テンプレート'!M119</f>
        <v>投擲フレーム</v>
      </c>
      <c r="N110" s="298" t="str">
        <f>'テンプレート'!N119</f>
        <v>全体フレーム</v>
      </c>
      <c r="O110" s="118"/>
      <c r="P110" s="118"/>
      <c r="Q110" s="118"/>
      <c r="R110" s="118"/>
      <c r="S110" s="118"/>
      <c r="T110" s="118"/>
      <c r="U110" s="118"/>
      <c r="V110" s="118"/>
    </row>
    <row r="111" outlineLevel="1">
      <c r="A111" s="146"/>
      <c r="B111" s="300" t="s">
        <v>242</v>
      </c>
      <c r="C111" s="113" t="str">
        <f t="array" ref="C111">INDEX('崖行動・受け身'!$H$3:$I$115, MATCH($A$1,'崖行動・受け身'!$A$3:$A$115,0), MATCH(C107,'崖行動・受け身'!$H$2:$I$2,0))</f>
        <v>1-12</v>
      </c>
      <c r="D111" s="113">
        <f t="array" ref="D111">INDEX('崖行動・受け身'!$H$3:$I$115, MATCH($A$1,'崖行動・受け身'!$A$3:$A$115,0), MATCH(D107,'崖行動・受け身'!$H$2:$I$2,0))</f>
        <v>14</v>
      </c>
      <c r="E111" s="301"/>
      <c r="F111" s="301"/>
      <c r="G111" s="301"/>
      <c r="H111" s="228"/>
      <c r="I111" s="228"/>
      <c r="J111" s="117"/>
      <c r="K111" s="305" t="str">
        <f>'テンプレート'!K120</f>
        <v>地上投擲</v>
      </c>
      <c r="L111" s="303" t="str">
        <f>'テンプレート'!L120</f>
        <v>前投げ</v>
      </c>
      <c r="M111" s="113" t="s">
        <v>128</v>
      </c>
      <c r="N111" s="113">
        <v>27.0</v>
      </c>
      <c r="O111" s="111"/>
      <c r="P111" s="111"/>
      <c r="Q111" s="111"/>
      <c r="R111" s="111"/>
      <c r="S111" s="111"/>
      <c r="T111" s="111"/>
      <c r="U111" s="111"/>
      <c r="V111" s="111"/>
    </row>
    <row r="112" outlineLevel="1">
      <c r="A112" s="156"/>
      <c r="B112" s="300" t="s">
        <v>243</v>
      </c>
      <c r="C112" s="113" t="str">
        <f t="array" ref="C112">INDEX('崖行動・受け身'!$J$3:$M$115, MATCH($A$1,'崖行動・受け身'!$A$3:$A$115,0), MATCH(C107,'崖行動・受け身'!$J$2:$M$2,0))</f>
        <v>1-26</v>
      </c>
      <c r="D112" s="113">
        <f t="array" ref="D112">INDEX('崖行動・受け身'!$J$3:$M$115, MATCH($A$1,'崖行動・受け身'!$A$3:$A$115,0), MATCH(D107,'崖行動・受け身'!$J$2:$M$2,0))</f>
        <v>55</v>
      </c>
      <c r="E112" s="113" t="str">
        <f t="array" ref="E112">INDEX('崖行動・受け身'!$J$3:$M$115, MATCH($A$1,'崖行動・受け身'!$A$3:$A$115,0), MATCH(E107,'崖行動・受け身'!$J$2:$M$2,0))</f>
        <v>24-26</v>
      </c>
      <c r="F112" s="113">
        <f t="array" ref="F112">INDEX('崖行動・受け身'!$J$3:$M$115, MATCH($A$1,'崖行動・受け身'!$A$3:$A$115,0), MATCH(F107,'崖行動・受け身'!$J$2:$M$2,0))</f>
        <v>9</v>
      </c>
      <c r="G112" s="113">
        <f>F112*1.2</f>
        <v>10.8</v>
      </c>
      <c r="H112" s="228"/>
      <c r="I112" s="228"/>
      <c r="J112" s="111"/>
      <c r="K112" s="146"/>
      <c r="L112" s="303" t="str">
        <f>'テンプレート'!L121</f>
        <v>後投げ</v>
      </c>
      <c r="M112" s="113" t="s">
        <v>128</v>
      </c>
      <c r="N112" s="113">
        <v>27.0</v>
      </c>
      <c r="O112" s="111"/>
      <c r="P112" s="111"/>
      <c r="Q112" s="111"/>
      <c r="R112" s="111"/>
      <c r="S112" s="111"/>
      <c r="T112" s="111"/>
      <c r="U112" s="111"/>
      <c r="V112" s="111"/>
    </row>
    <row r="113" outlineLevel="1">
      <c r="A113" s="299" t="s">
        <v>244</v>
      </c>
      <c r="B113" s="300" t="s">
        <v>216</v>
      </c>
      <c r="C113" s="113" t="str">
        <f t="array" ref="C113">INDEX('崖行動・受け身'!$N$3:$O$115, MATCH($A$1,'崖行動・受け身'!$A$3:$A$115,0), MATCH(C107,'崖行動・受け身'!$N$2:$O$2,0))</f>
        <v>1-20</v>
      </c>
      <c r="D113" s="113">
        <f t="array" ref="D113">INDEX('崖行動・受け身'!$N$3:$O$115, MATCH($A$1,'崖行動・受け身'!$A$3:$A$115,0), MATCH(D107,'崖行動・受け身'!$N$2:$O$2,0))</f>
        <v>26</v>
      </c>
      <c r="E113" s="301"/>
      <c r="F113" s="301"/>
      <c r="G113" s="301"/>
      <c r="H113" s="228"/>
      <c r="I113" s="228"/>
      <c r="J113" s="117"/>
      <c r="K113" s="146"/>
      <c r="L113" s="303" t="str">
        <f>'テンプレート'!L122</f>
        <v>上投げ</v>
      </c>
      <c r="M113" s="113" t="s">
        <v>232</v>
      </c>
      <c r="N113" s="113">
        <v>23.0</v>
      </c>
      <c r="O113" s="228"/>
      <c r="P113" s="228"/>
      <c r="Q113" s="228"/>
      <c r="R113" s="228"/>
      <c r="S113" s="228"/>
      <c r="T113" s="228"/>
      <c r="U113" s="228"/>
      <c r="V113" s="228"/>
    </row>
    <row r="114" outlineLevel="1">
      <c r="A114" s="146"/>
      <c r="B114" s="300" t="s">
        <v>245</v>
      </c>
      <c r="C114" s="113" t="str">
        <f t="array" ref="C114">INDEX('崖行動・受け身'!$P$3:$Q$115, MATCH($A$1,'崖行動・受け身'!$A$3:$A$115,0), MATCH(C107,'崖行動・受け身'!$P$2:$Q$2,0))</f>
        <v>1-20</v>
      </c>
      <c r="D114" s="113">
        <f t="array" ref="D114">INDEX('崖行動・受け身'!$P$3:$Q$115, MATCH($A$1,'崖行動・受け身'!$A$3:$A$115,0), MATCH(D107,'崖行動・受け身'!$P$2:$Q$2,0))</f>
        <v>40</v>
      </c>
      <c r="E114" s="301"/>
      <c r="F114" s="301"/>
      <c r="G114" s="301"/>
      <c r="H114" s="228"/>
      <c r="I114" s="228"/>
      <c r="J114" s="111"/>
      <c r="K114" s="146"/>
      <c r="L114" s="303" t="str">
        <f>'テンプレート'!L123</f>
        <v>下投げ</v>
      </c>
      <c r="M114" s="113" t="s">
        <v>274</v>
      </c>
      <c r="N114" s="113">
        <v>25.0</v>
      </c>
      <c r="O114" s="118"/>
      <c r="P114" s="118"/>
      <c r="Q114" s="118"/>
      <c r="R114" s="118"/>
      <c r="S114" s="118"/>
      <c r="T114" s="118"/>
      <c r="U114" s="118"/>
      <c r="V114" s="118"/>
    </row>
    <row r="115" outlineLevel="1">
      <c r="A115" s="156"/>
      <c r="B115" s="300" t="s">
        <v>246</v>
      </c>
      <c r="C115" s="113" t="str">
        <f t="array" ref="C115">INDEX('崖行動・受け身'!$R$3:$S$115, MATCH($A$1,'崖行動・受け身'!$A$3:$A$115,0), MATCH(C107,'崖行動・受け身'!$R$2:$S$2,0))</f>
        <v>1-20</v>
      </c>
      <c r="D115" s="113">
        <f t="array" ref="D115">INDEX('崖行動・受け身'!$R$3:$S$115, MATCH($A$1,'崖行動・受け身'!$A$3:$A$115,0), MATCH(D107,'崖行動・受け身'!$R$2:$S$2,0))</f>
        <v>40</v>
      </c>
      <c r="E115" s="301"/>
      <c r="F115" s="301"/>
      <c r="G115" s="301"/>
      <c r="H115" s="228"/>
      <c r="I115" s="228"/>
      <c r="J115" s="117"/>
      <c r="K115" s="146"/>
      <c r="L115" s="306" t="str">
        <f>'テンプレート'!L124</f>
        <v>ダッシュ</v>
      </c>
      <c r="M115" s="113" t="s">
        <v>150</v>
      </c>
      <c r="N115" s="113">
        <v>41.0</v>
      </c>
      <c r="O115" s="118"/>
      <c r="P115" s="118"/>
      <c r="Q115" s="118"/>
      <c r="R115" s="118"/>
      <c r="S115" s="118"/>
      <c r="T115" s="118"/>
      <c r="U115" s="118"/>
      <c r="V115" s="118"/>
    </row>
    <row r="116" outlineLevel="1">
      <c r="A116" s="299" t="s">
        <v>247</v>
      </c>
      <c r="B116" s="300" t="s">
        <v>248</v>
      </c>
      <c r="C116" s="301"/>
      <c r="D116" s="113" t="str">
        <f t="array" ref="D116">INDEX('起きあがり'!$C$3:$C110, MATCH($A$1,'起きあがり'!$A$3:$A$115,0), MATCH(D107,'起きあがり'!$C$2:$AD$2,0))</f>
        <v>25</v>
      </c>
      <c r="E116" s="301"/>
      <c r="F116" s="301"/>
      <c r="G116" s="301"/>
      <c r="H116" s="228"/>
      <c r="I116" s="228"/>
      <c r="J116" s="111"/>
      <c r="K116" s="156"/>
      <c r="L116" s="306" t="str">
        <f>'テンプレート'!L125</f>
        <v>その場捨て</v>
      </c>
      <c r="M116" s="113" t="s">
        <v>150</v>
      </c>
      <c r="N116" s="113">
        <v>24.0</v>
      </c>
      <c r="O116" s="118"/>
      <c r="P116" s="118"/>
      <c r="Q116" s="118"/>
      <c r="R116" s="118"/>
      <c r="S116" s="118"/>
      <c r="T116" s="118"/>
      <c r="U116" s="118"/>
      <c r="V116" s="118"/>
    </row>
    <row r="117" outlineLevel="1">
      <c r="A117" s="146"/>
      <c r="B117" s="300" t="s">
        <v>216</v>
      </c>
      <c r="C117" s="307" t="str">
        <f t="array" ref="C117">INDEX('起きあがり'!$D$3:$E110, MATCH($A$1,'起きあがり'!$A$3:$A$115,0), MATCH(C107,'起きあがり'!$D$2:$AD$2,0))</f>
        <v>1-22</v>
      </c>
      <c r="D117" s="308">
        <f t="array" ref="D117">INDEX('起きあがり'!$D$3:$E110, MATCH($A$1,'起きあがり'!$A$3:$A$115,0), MATCH(D107,'起きあがり'!$D$2:$AD$2,0))</f>
        <v>29</v>
      </c>
      <c r="E117" s="301"/>
      <c r="F117" s="301"/>
      <c r="G117" s="301"/>
      <c r="H117" s="228"/>
      <c r="I117" s="228"/>
      <c r="J117" s="117"/>
      <c r="K117" s="305" t="str">
        <f>'テンプレート'!K126</f>
        <v>空中投擲</v>
      </c>
      <c r="L117" s="303" t="str">
        <f>'テンプレート'!L126</f>
        <v>前投げ</v>
      </c>
      <c r="M117" s="113" t="s">
        <v>93</v>
      </c>
      <c r="N117" s="113">
        <v>25.0</v>
      </c>
      <c r="O117" s="118"/>
      <c r="P117" s="118"/>
      <c r="Q117" s="118"/>
      <c r="R117" s="118"/>
      <c r="S117" s="118"/>
      <c r="T117" s="118"/>
      <c r="U117" s="118"/>
      <c r="V117" s="118"/>
    </row>
    <row r="118" outlineLevel="1">
      <c r="A118" s="146"/>
      <c r="B118" s="300" t="s">
        <v>245</v>
      </c>
      <c r="C118" s="307" t="str">
        <f t="array" ref="C118">INDEX('起きあがり'!$F$3:$G$115, MATCH($A$1,'起きあがり'!$A$3:$A$115,0), MATCH(C107,'起きあがり'!$F$2:$AD$2,0))</f>
        <v>1-20</v>
      </c>
      <c r="D118" s="308">
        <f t="array" ref="D118">INDEX('起きあがり'!$F$3:$G$115, MATCH($A$1,'起きあがり'!$A$3:$A$115,0), MATCH(D107,'起きあがり'!$F$2:$AD$2,0))</f>
        <v>35</v>
      </c>
      <c r="E118" s="301"/>
      <c r="F118" s="301"/>
      <c r="G118" s="301"/>
      <c r="H118" s="228"/>
      <c r="I118" s="228"/>
      <c r="J118" s="111"/>
      <c r="K118" s="146"/>
      <c r="L118" s="303" t="str">
        <f>'テンプレート'!L127</f>
        <v>後投げ</v>
      </c>
      <c r="M118" s="113" t="s">
        <v>274</v>
      </c>
      <c r="N118" s="113">
        <v>25.0</v>
      </c>
      <c r="O118" s="118"/>
      <c r="P118" s="118"/>
      <c r="Q118" s="118"/>
      <c r="R118" s="118"/>
      <c r="S118" s="118"/>
      <c r="T118" s="118"/>
      <c r="U118" s="118"/>
      <c r="V118" s="118"/>
    </row>
    <row r="119" outlineLevel="1">
      <c r="A119" s="146"/>
      <c r="B119" s="300" t="s">
        <v>246</v>
      </c>
      <c r="C119" s="113" t="str">
        <f t="array" ref="C119">INDEX('起きあがり'!$H$3:$I$115, MATCH($A$1,'起きあがり'!$A$3:$A$115,0), MATCH(C107,'起きあがり'!$H$2:$AD$2,0))</f>
        <v>1-20</v>
      </c>
      <c r="D119" s="113">
        <f t="array" ref="D119">INDEX('起きあがり'!$H$3:$I$115, MATCH($A$1,'起きあがり'!$A$3:$A$115,0), MATCH(D107,'起きあがり'!$H$2:$AD$2,0))</f>
        <v>35</v>
      </c>
      <c r="E119" s="301"/>
      <c r="F119" s="301"/>
      <c r="G119" s="301"/>
      <c r="H119" s="228"/>
      <c r="I119" s="228"/>
      <c r="J119" s="117"/>
      <c r="K119" s="146"/>
      <c r="L119" s="303" t="str">
        <f>'テンプレート'!L128</f>
        <v>上投げ</v>
      </c>
      <c r="M119" s="113" t="s">
        <v>232</v>
      </c>
      <c r="N119" s="113">
        <v>27.0</v>
      </c>
      <c r="O119" s="118"/>
      <c r="P119" s="118"/>
      <c r="Q119" s="118"/>
      <c r="R119" s="118"/>
      <c r="S119" s="118"/>
      <c r="T119" s="118"/>
      <c r="U119" s="118"/>
      <c r="V119" s="118"/>
    </row>
    <row r="120" outlineLevel="1">
      <c r="A120" s="146"/>
      <c r="B120" s="300" t="s">
        <v>249</v>
      </c>
      <c r="C120" s="309" t="str">
        <f t="array" ref="C120">INDEX('起きあがり'!$J$3:$M$115, MATCH($A$1,'起きあがり'!$A$3:$A$115,0), MATCH(C107,'起きあがり'!$J$2:$AD$2,0))</f>
        <v>1-22</v>
      </c>
      <c r="D120" s="310">
        <f t="array" ref="D120">INDEX('起きあがり'!$J$3:$M$115, MATCH($A$1,'起きあがり'!$A$3:$A$115,0), MATCH(D107,'起きあがり'!$J$2:$AD$2,0))</f>
        <v>45</v>
      </c>
      <c r="E120" s="307" t="str">
        <f t="array" ref="E120">INDEX('起きあがり'!$J$3:$M$115, MATCH($A$1,'起きあがり'!$A$3:$A$115,0), MATCH(E107,'起きあがり'!$J$2:$AD$2,0))</f>
        <v>17-18</v>
      </c>
      <c r="F120" s="308">
        <f t="array" ref="F120">INDEX('起きあがり'!$J$3:$M$115, MATCH($A$1,'起きあがり'!$A$3:$A$115,0), MATCH(F107,'起きあがり'!$J$2:$AD$2,0))</f>
        <v>7</v>
      </c>
      <c r="G120" s="113">
        <f t="shared" ref="G120:G121" si="1">F120*1.2</f>
        <v>8.4</v>
      </c>
      <c r="H120" s="228"/>
      <c r="I120" s="228"/>
      <c r="J120" s="111"/>
      <c r="K120" s="156"/>
      <c r="L120" s="303" t="str">
        <f>'テンプレート'!L129</f>
        <v>下投げ</v>
      </c>
      <c r="M120" s="113" t="s">
        <v>274</v>
      </c>
      <c r="N120" s="113">
        <v>25.0</v>
      </c>
      <c r="O120" s="111"/>
      <c r="P120" s="111"/>
      <c r="Q120" s="111"/>
      <c r="R120" s="111"/>
      <c r="S120" s="111"/>
      <c r="T120" s="111"/>
      <c r="U120" s="111"/>
      <c r="V120" s="111"/>
    </row>
    <row r="121" outlineLevel="1">
      <c r="A121" s="156"/>
      <c r="B121" s="311" t="s">
        <v>250</v>
      </c>
      <c r="C121" s="156"/>
      <c r="D121" s="156"/>
      <c r="E121" s="307" t="str">
        <f t="array" ref="E121">INDEX('起きあがり'!$N$3:$O$115, MATCH($A$1,'起きあがり'!$A$3:$A$115,0), MATCH(E107,'起きあがり'!$N$2:$AD$2,0))</f>
        <v>21-22</v>
      </c>
      <c r="F121" s="308">
        <f t="array" ref="F121">INDEX('起きあがり'!$N$3:$O$115, MATCH($A$1,'起きあがり'!$A$3:$A$115,0), MATCH(F107,'起きあがり'!$N$2:$AD$2,0))</f>
        <v>7</v>
      </c>
      <c r="G121" s="113">
        <f t="shared" si="1"/>
        <v>8.4</v>
      </c>
      <c r="H121" s="228"/>
      <c r="I121" s="228"/>
      <c r="J121" s="111"/>
      <c r="K121" s="312" t="str">
        <f>'テンプレート'!K130</f>
        <v>踏み台ジャンプ</v>
      </c>
      <c r="L121" s="168"/>
      <c r="M121" s="298" t="str">
        <f>'テンプレート'!M130</f>
        <v>全体フレーム</v>
      </c>
      <c r="N121" s="114"/>
      <c r="O121" s="111"/>
      <c r="P121" s="111"/>
      <c r="Q121" s="111"/>
      <c r="R121" s="111"/>
      <c r="S121" s="111"/>
      <c r="T121" s="111"/>
      <c r="U121" s="111"/>
      <c r="V121" s="111"/>
    </row>
    <row r="122" outlineLevel="1">
      <c r="A122" s="299" t="s">
        <v>251</v>
      </c>
      <c r="B122" s="300" t="s">
        <v>248</v>
      </c>
      <c r="C122" s="301"/>
      <c r="D122" s="307" t="str">
        <f t="array" ref="D122">INDEX('起きあがり'!$C$3:$C110, MATCH($A$1,'起きあがり'!$A$3:$A$115,0), MATCH(D107,'起きあがり'!$C$2,0))</f>
        <v>25</v>
      </c>
      <c r="E122" s="301"/>
      <c r="F122" s="301"/>
      <c r="G122" s="301"/>
      <c r="H122" s="228"/>
      <c r="I122" s="228"/>
      <c r="J122" s="117"/>
      <c r="K122" s="313" t="str">
        <f>'テンプレート'!K131</f>
        <v>踏み</v>
      </c>
      <c r="L122" s="314" t="str">
        <f>'テンプレート'!L131</f>
        <v>踏み</v>
      </c>
      <c r="M122" s="113">
        <v>8.0</v>
      </c>
      <c r="N122" s="315"/>
      <c r="O122" s="111"/>
      <c r="P122" s="111"/>
      <c r="Q122" s="111"/>
      <c r="R122" s="111"/>
      <c r="S122" s="111"/>
      <c r="T122" s="111"/>
      <c r="U122" s="111"/>
      <c r="V122" s="111"/>
    </row>
    <row r="123" outlineLevel="1">
      <c r="A123" s="146"/>
      <c r="B123" s="300" t="s">
        <v>216</v>
      </c>
      <c r="C123" s="307" t="str">
        <f t="array" ref="C123">INDEX('起きあがり'!$P$3:$Q$115, MATCH($A$1,'起きあがり'!$A$3:$A$115,0), MATCH(C107,'起きあがり'!$P$2:$AD$2,0))</f>
        <v>1-22</v>
      </c>
      <c r="D123" s="308">
        <f t="array" ref="D123">INDEX('起きあがり'!$P$3:$Q$115, MATCH($A$1,'起きあがり'!$A$3:$A$115,0), MATCH(D107,'起きあがり'!$P$2:$AD$2,0))</f>
        <v>29</v>
      </c>
      <c r="E123" s="301"/>
      <c r="F123" s="301"/>
      <c r="G123" s="301"/>
      <c r="H123" s="228"/>
      <c r="I123" s="228"/>
      <c r="J123" s="111"/>
      <c r="K123" s="305" t="str">
        <f>'テンプレート'!K132</f>
        <v>踏まれ</v>
      </c>
      <c r="L123" s="314" t="str">
        <f>'テンプレート'!L132</f>
        <v>地上踏まれ</v>
      </c>
      <c r="M123" s="113" t="s">
        <v>76</v>
      </c>
      <c r="N123" s="315"/>
      <c r="O123" s="228"/>
      <c r="P123" s="228"/>
      <c r="Q123" s="228"/>
      <c r="R123" s="228"/>
      <c r="S123" s="228"/>
      <c r="T123" s="228"/>
      <c r="U123" s="228"/>
      <c r="V123" s="228"/>
    </row>
    <row r="124" outlineLevel="1">
      <c r="A124" s="146"/>
      <c r="B124" s="300" t="s">
        <v>245</v>
      </c>
      <c r="C124" s="307" t="str">
        <f t="array" ref="C124">INDEX('起きあがり'!$R$3:$S$115, MATCH($A$1,'起きあがり'!$A$3:$A$115,0), MATCH(C107,'起きあがり'!$R$2:$AD$2,0))</f>
        <v>1-20</v>
      </c>
      <c r="D124" s="308">
        <f t="array" ref="D124">INDEX('起きあがり'!$R$3:$S$115, MATCH($A$1,'起きあがり'!$A$3:$A$115,0), MATCH(D107,'起きあがり'!$R$2:$AD$2,0))</f>
        <v>35</v>
      </c>
      <c r="E124" s="301"/>
      <c r="F124" s="301"/>
      <c r="G124" s="301"/>
      <c r="H124" s="228"/>
      <c r="I124" s="228"/>
      <c r="J124" s="117"/>
      <c r="K124" s="146"/>
      <c r="L124" s="314" t="s">
        <v>693</v>
      </c>
      <c r="M124" s="113">
        <v>26.0</v>
      </c>
      <c r="N124" s="102"/>
      <c r="O124" s="118"/>
      <c r="P124" s="118"/>
      <c r="Q124" s="118"/>
      <c r="R124" s="118"/>
      <c r="S124" s="118"/>
      <c r="T124" s="118"/>
      <c r="U124" s="118"/>
      <c r="V124" s="118"/>
    </row>
    <row r="125" outlineLevel="1">
      <c r="A125" s="146"/>
      <c r="B125" s="300" t="s">
        <v>246</v>
      </c>
      <c r="C125" s="307" t="str">
        <f t="array" ref="C125">INDEX('起きあがり'!$T$3:$U$115, MATCH($A$1,'起きあがり'!$A$3:$A$115,0), MATCH(C107,'起きあがり'!$T$2:$AD$2,0))</f>
        <v>1-20</v>
      </c>
      <c r="D125" s="308">
        <f t="array" ref="D125">INDEX('起きあがり'!$T$3:$U$115, MATCH($A$1,'起きあがり'!$A$3:$A$115,0), MATCH(D107,'起きあがり'!$T$2:$AD$2,0))</f>
        <v>35</v>
      </c>
      <c r="E125" s="301"/>
      <c r="F125" s="301"/>
      <c r="G125" s="301"/>
      <c r="H125" s="228"/>
      <c r="I125" s="228"/>
      <c r="J125" s="111"/>
      <c r="K125" s="146"/>
      <c r="L125" s="314" t="str">
        <f>'テンプレート'!L134</f>
        <v>空中踏まれ</v>
      </c>
      <c r="M125" s="113">
        <v>11.0</v>
      </c>
      <c r="N125" s="102"/>
      <c r="O125" s="118"/>
      <c r="P125" s="118"/>
      <c r="Q125" s="118"/>
      <c r="R125" s="118"/>
      <c r="S125" s="118"/>
      <c r="T125" s="118"/>
      <c r="U125" s="118"/>
      <c r="V125" s="118"/>
    </row>
    <row r="126" outlineLevel="1">
      <c r="A126" s="146"/>
      <c r="B126" s="300" t="s">
        <v>249</v>
      </c>
      <c r="C126" s="309" t="str">
        <f t="array" ref="C126">INDEX('起きあがり'!$V$3:$Y$115, MATCH($A$1,'起きあがり'!$A$3:$A$115,0), MATCH(C107,'起きあがり'!$V$2:$AD$2,0))</f>
        <v>1-22</v>
      </c>
      <c r="D126" s="310">
        <f t="array" ref="D126">INDEX('起きあがり'!$V$3:$Y$115, MATCH($A$1,'起きあがり'!$A$3:$A$115,0), MATCH(D107,'起きあがり'!$V$2:$AD$2,0))</f>
        <v>45</v>
      </c>
      <c r="E126" s="307" t="str">
        <f t="array" ref="E126">INDEX('起きあがり'!$V$3:$Y$115, MATCH($A$1,'起きあがり'!$A$3:$A$115,0), MATCH(E107,'起きあがり'!$V$2:$AD$2,0))</f>
        <v>17-18</v>
      </c>
      <c r="F126" s="308">
        <f t="array" ref="F126">INDEX('起きあがり'!$V$3:$Y$115, MATCH($A$1,'起きあがり'!$A$3:$A$115,0), MATCH(F107,'起きあがり'!$V$2:$AD$2,0))</f>
        <v>7</v>
      </c>
      <c r="G126" s="113">
        <f t="shared" ref="G126:G127" si="2">F126*1.2</f>
        <v>8.4</v>
      </c>
      <c r="H126" s="228"/>
      <c r="I126" s="228"/>
      <c r="J126" s="117"/>
      <c r="K126" s="146"/>
      <c r="L126" s="314" t="str">
        <f>'テンプレート'!L135</f>
        <v>空中落下</v>
      </c>
      <c r="M126" s="113">
        <v>39.0</v>
      </c>
      <c r="N126" s="102"/>
      <c r="O126" s="118"/>
      <c r="P126" s="118"/>
      <c r="Q126" s="118"/>
      <c r="R126" s="118"/>
      <c r="S126" s="118"/>
      <c r="T126" s="118"/>
      <c r="U126" s="118"/>
      <c r="V126" s="118"/>
    </row>
    <row r="127" outlineLevel="1">
      <c r="A127" s="156"/>
      <c r="B127" s="311" t="s">
        <v>250</v>
      </c>
      <c r="C127" s="156"/>
      <c r="D127" s="156"/>
      <c r="E127" s="307" t="str">
        <f t="array" ref="E127">INDEX('起きあがり'!$Z$3:$AA$115, MATCH($A$1,'起きあがり'!$A$3:$A$115,0), MATCH(E107,'起きあがり'!$Z$2:$AD$2,0))</f>
        <v>21-22</v>
      </c>
      <c r="F127" s="308">
        <f t="array" ref="F127">INDEX('起きあがり'!$Z$3:$AA$115, MATCH($A$1,'起きあがり'!$A$3:$A$115,0), MATCH(F107,'起きあがり'!$Z$2:$AD$2,0))</f>
        <v>7</v>
      </c>
      <c r="G127" s="113">
        <f t="shared" si="2"/>
        <v>8.4</v>
      </c>
      <c r="H127" s="228"/>
      <c r="I127" s="228"/>
      <c r="J127" s="117"/>
      <c r="K127" s="304" t="str">
        <f>'テンプレート'!K136</f>
        <v>倒れダメージ</v>
      </c>
      <c r="L127" s="110"/>
      <c r="M127" s="298" t="str">
        <f>'テンプレート'!M136</f>
        <v>全体フレーム</v>
      </c>
      <c r="N127" s="102"/>
      <c r="O127" s="118"/>
      <c r="P127" s="118"/>
      <c r="Q127" s="118"/>
      <c r="R127" s="118"/>
      <c r="S127" s="118"/>
      <c r="T127" s="118"/>
      <c r="U127" s="118"/>
      <c r="V127" s="118"/>
    </row>
    <row r="128" outlineLevel="1">
      <c r="A128" s="299" t="s">
        <v>252</v>
      </c>
      <c r="B128" s="300" t="s">
        <v>253</v>
      </c>
      <c r="C128" s="307" t="str">
        <f t="array" ref="C128">INDEX('転倒'!$C$3:$D110, MATCH($A$1,'転倒'!$A$3:$A$115,0), MATCH(C107,'転倒'!$C$2:$AC$2,0))</f>
        <v>1-5</v>
      </c>
      <c r="D128" s="308">
        <f t="array" ref="D128">INDEX('転倒'!$C$3:$D110, MATCH($A$1,'転倒'!$A$3:$A$115,0), MATCH(D107,'転倒'!$C$2:$AC$2,0))</f>
        <v>29</v>
      </c>
      <c r="E128" s="301"/>
      <c r="F128" s="301"/>
      <c r="G128" s="301"/>
      <c r="H128" s="228"/>
      <c r="I128" s="228"/>
      <c r="J128" s="111"/>
      <c r="K128" s="313" t="str">
        <f>'テンプレート'!K137</f>
        <v>あお向け倒れ</v>
      </c>
      <c r="L128" s="306" t="str">
        <f>'テンプレート'!L137</f>
        <v>モーション大</v>
      </c>
      <c r="M128" s="113">
        <v>39.0</v>
      </c>
      <c r="N128" s="315"/>
      <c r="O128" s="118"/>
      <c r="P128" s="118"/>
      <c r="Q128" s="118"/>
      <c r="R128" s="118"/>
      <c r="S128" s="118"/>
      <c r="T128" s="118"/>
      <c r="U128" s="118"/>
      <c r="V128" s="118"/>
    </row>
    <row r="129" outlineLevel="1">
      <c r="A129" s="146"/>
      <c r="B129" s="300" t="s">
        <v>254</v>
      </c>
      <c r="C129" s="307" t="str">
        <f t="array" ref="C129">INDEX('転倒'!$E$3:$F110, MATCH($A$1,'転倒'!$A$3:$A$115,0), MATCH(C107,'転倒'!$E$2:$AC$2,0))</f>
        <v>1-5</v>
      </c>
      <c r="D129" s="308">
        <f t="array" ref="D129">INDEX('転倒'!$E$3:$F110, MATCH($A$1,'転倒'!$A$3:$A$115,0), MATCH(D107,'転倒'!$E$2:$AC$2,0))</f>
        <v>39</v>
      </c>
      <c r="E129" s="301"/>
      <c r="F129" s="301"/>
      <c r="G129" s="301"/>
      <c r="H129" s="228"/>
      <c r="I129" s="228"/>
      <c r="J129" s="117"/>
      <c r="K129" s="313" t="str">
        <f>'テンプレート'!K138</f>
        <v>うつ伏せ倒れ</v>
      </c>
      <c r="L129" s="306" t="str">
        <f>'テンプレート'!L138</f>
        <v>モーション大</v>
      </c>
      <c r="M129" s="113" t="s">
        <v>118</v>
      </c>
      <c r="N129" s="315"/>
      <c r="O129" s="118"/>
      <c r="P129" s="118"/>
      <c r="Q129" s="118"/>
      <c r="R129" s="118"/>
      <c r="S129" s="118"/>
      <c r="T129" s="118"/>
      <c r="U129" s="118"/>
      <c r="V129" s="118"/>
    </row>
    <row r="130" outlineLevel="1">
      <c r="A130" s="146"/>
      <c r="B130" s="300" t="s">
        <v>216</v>
      </c>
      <c r="C130" s="307" t="str">
        <f t="array" ref="C130">INDEX('転倒'!$G$3:$H$115, MATCH($A$1,'転倒'!$A$3:$A$115,0), MATCH(C107,'転倒'!$G$2:$AC$2,0))</f>
        <v>1-16</v>
      </c>
      <c r="D130" s="308">
        <f t="array" ref="D130">INDEX('転倒'!$G$3:$H$115, MATCH($A$1,'転倒'!$A$3:$A$115,0), MATCH(D107,'転倒'!$G$2:$AC$2,0))</f>
        <v>21</v>
      </c>
      <c r="E130" s="301"/>
      <c r="F130" s="301"/>
      <c r="G130" s="301"/>
      <c r="H130" s="228"/>
      <c r="I130" s="228"/>
      <c r="J130" s="111"/>
      <c r="K130" s="304" t="str">
        <f>'テンプレート'!K139</f>
        <v/>
      </c>
      <c r="L130" s="110"/>
      <c r="M130" s="298" t="str">
        <f>'テンプレート'!M139</f>
        <v/>
      </c>
      <c r="N130" s="102"/>
      <c r="O130" s="118"/>
      <c r="P130" s="118"/>
      <c r="Q130" s="118"/>
      <c r="R130" s="118"/>
      <c r="S130" s="118"/>
      <c r="T130" s="118"/>
      <c r="U130" s="118"/>
      <c r="V130" s="118"/>
    </row>
    <row r="131" outlineLevel="1">
      <c r="A131" s="146"/>
      <c r="B131" s="300" t="s">
        <v>245</v>
      </c>
      <c r="C131" s="307" t="str">
        <f t="array" ref="C131">INDEX('転倒'!$I$3:$J$115, MATCH($A$1,'転倒'!$A$3:$A$115,0), MATCH(C107,'転倒'!$I$2:$AC$2,0))</f>
        <v>1-9</v>
      </c>
      <c r="D131" s="308">
        <f t="array" ref="D131">INDEX('転倒'!$I$3:$J$115, MATCH($A$1,'転倒'!$A$3:$A$115,0), MATCH(D107,'転倒'!$I$2:$AC$2,0))</f>
        <v>28</v>
      </c>
      <c r="E131" s="301"/>
      <c r="F131" s="301"/>
      <c r="G131" s="301"/>
      <c r="H131" s="228"/>
      <c r="I131" s="228"/>
      <c r="J131" s="228"/>
      <c r="K131" s="316"/>
      <c r="L131" s="317" t="str">
        <f>'テンプレート'!L140</f>
        <v/>
      </c>
      <c r="M131" s="113" t="s">
        <v>76</v>
      </c>
      <c r="N131" s="102"/>
      <c r="O131" s="118"/>
      <c r="P131" s="118"/>
      <c r="Q131" s="118"/>
      <c r="R131" s="118"/>
      <c r="S131" s="118"/>
      <c r="T131" s="118"/>
      <c r="U131" s="118"/>
      <c r="V131" s="118"/>
    </row>
    <row r="132" outlineLevel="1">
      <c r="A132" s="146"/>
      <c r="B132" s="300" t="s">
        <v>246</v>
      </c>
      <c r="C132" s="307" t="str">
        <f t="array" ref="C132">INDEX('転倒'!$K$3:$L$115, MATCH($A$1,'転倒'!$A$3:$A$115,0), MATCH(C107,'転倒'!$K$2:$AC$2,0))</f>
        <v>1-9</v>
      </c>
      <c r="D132" s="308">
        <f t="array" ref="D132">INDEX('転倒'!$K$3:$L$115, MATCH($A$1,'転倒'!$A$3:$A$115,0), MATCH(D107,'転倒'!$K$2:$AC$2,0))</f>
        <v>28</v>
      </c>
      <c r="E132" s="301"/>
      <c r="F132" s="301"/>
      <c r="G132" s="301"/>
      <c r="H132" s="228"/>
      <c r="I132" s="228"/>
      <c r="J132" s="228"/>
      <c r="K132" s="318"/>
      <c r="L132" s="118"/>
      <c r="M132" s="118"/>
      <c r="N132" s="102"/>
      <c r="O132" s="118"/>
      <c r="P132" s="118"/>
      <c r="Q132" s="118"/>
      <c r="R132" s="118"/>
      <c r="S132" s="118"/>
      <c r="T132" s="118"/>
      <c r="U132" s="118"/>
      <c r="V132" s="118"/>
    </row>
    <row r="133" outlineLevel="1">
      <c r="A133" s="146"/>
      <c r="B133" s="300" t="s">
        <v>249</v>
      </c>
      <c r="C133" s="309" t="str">
        <f t="array" ref="C133">INDEX('転倒'!$M$3:$P$115, MATCH($A$1,'転倒'!$A$3:$A$115,0), MATCH(C107,'転倒'!$M$2:$AC$2,0))</f>
        <v>1-7</v>
      </c>
      <c r="D133" s="310">
        <f t="array" ref="D133">INDEX('転倒'!$M$3:$P$115, MATCH($A$1,'転倒'!$A$3:$A$115,0), MATCH(D107,'転倒'!$M$2:$AC$2,0))</f>
        <v>49</v>
      </c>
      <c r="E133" s="307" t="str">
        <f t="array" ref="E133">INDEX('転倒'!$M$3:$P$115, MATCH($A$1,'転倒'!$A$3:$A$115,0), MATCH(E107,'転倒'!$M$2:$AC$2,0))</f>
        <v>19-20</v>
      </c>
      <c r="F133" s="308">
        <f t="array" ref="F133">INDEX('転倒'!$M$3:$P$115, MATCH($A$1,'転倒'!$A$3:$A$115,0), MATCH(F107,'転倒'!$M$2:$AC$2,0))</f>
        <v>5</v>
      </c>
      <c r="G133" s="113">
        <f t="shared" ref="G133:G134" si="3">F133*1.2</f>
        <v>6</v>
      </c>
      <c r="H133" s="228"/>
      <c r="I133" s="228"/>
      <c r="J133" s="228"/>
      <c r="K133" s="118"/>
      <c r="L133" s="118"/>
      <c r="M133" s="118"/>
      <c r="N133" s="102"/>
      <c r="O133" s="102"/>
      <c r="P133" s="102"/>
      <c r="Q133" s="102"/>
      <c r="R133" s="118"/>
      <c r="S133" s="118"/>
      <c r="T133" s="118"/>
      <c r="U133" s="118"/>
      <c r="V133" s="118"/>
    </row>
    <row r="134" outlineLevel="1">
      <c r="A134" s="156"/>
      <c r="B134" s="311" t="s">
        <v>250</v>
      </c>
      <c r="C134" s="156"/>
      <c r="D134" s="156"/>
      <c r="E134" s="307" t="str">
        <f t="array" ref="E134">INDEX('転倒'!$Q$3:$R$115, MATCH($A$1,'転倒'!$A$3:$A$115,0), MATCH(E107,'転倒'!$Q$2:$AC$2,0))</f>
        <v>27-28</v>
      </c>
      <c r="F134" s="308">
        <f t="array" ref="F134">INDEX('転倒'!$Q$3:$R$115, MATCH($A$1,'転倒'!$A$3:$A$115,0), MATCH(F107,'転倒'!$Q$2:$AC$2,0))</f>
        <v>5</v>
      </c>
      <c r="G134" s="113">
        <f t="shared" si="3"/>
        <v>6</v>
      </c>
      <c r="H134" s="228"/>
      <c r="I134" s="228"/>
      <c r="J134" s="228"/>
      <c r="K134" s="118"/>
      <c r="L134" s="118"/>
      <c r="M134" s="118"/>
      <c r="N134" s="102"/>
      <c r="O134" s="102"/>
      <c r="P134" s="102"/>
      <c r="Q134" s="102"/>
      <c r="R134" s="118"/>
      <c r="S134" s="118"/>
      <c r="T134" s="118"/>
      <c r="U134" s="118"/>
      <c r="V134" s="118"/>
    </row>
    <row r="135" outlineLevel="1">
      <c r="A135" s="319"/>
      <c r="B135" s="320"/>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3" t="s">
        <v>255</v>
      </c>
      <c r="B136" s="109"/>
      <c r="C136" s="321"/>
      <c r="D136" s="321"/>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256</v>
      </c>
      <c r="B137" s="109"/>
      <c r="C137" s="325" t="s">
        <v>257</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258</v>
      </c>
      <c r="B138" s="327" t="s">
        <v>216</v>
      </c>
      <c r="C138" s="328" t="str">
        <f t="array" ref="C138">INDEX('アイテム'!$C$3:$D$114, MATCH($A$1,'アイテム'!$A$3:$A$114,0), MATCH(C137,'アイテム'!$C$2:$AQ$2,0))</f>
        <v>2</v>
      </c>
      <c r="D138" s="328">
        <f t="array" ref="D138">INDEX('アイテム'!$C$3:$D$114, MATCH($A$1,'アイテム'!$A$3:$A$114,0), MATCH(D137,'アイテム'!$C$2:$AQ$2,0))</f>
        <v>7</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219</v>
      </c>
      <c r="C139" s="328" t="str">
        <f t="array" ref="C139">INDEX('アイテム'!$E$3:$F$114, MATCH($A$1,'アイテム'!$A$3:$A$114,0), MATCH(C137,'アイテム'!$C$2:$AQ$2,0))</f>
        <v>2</v>
      </c>
      <c r="D139" s="328">
        <f t="array" ref="D139">INDEX('アイテム'!$E$3:$F$114, MATCH($A$1,'アイテム'!$A$3:$A$114,0), MATCH(D137,'アイテム'!$C$2:$AQ$2,0))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9" t="s">
        <v>259</v>
      </c>
      <c r="B140" s="327" t="s">
        <v>216</v>
      </c>
      <c r="C140" s="328">
        <f t="array" ref="C140">INDEX('アイテム'!$AA$3:$AB$114, MATCH($A$1,'アイテム'!$A$3:$A$114,0), MATCH(C137,'アイテム'!$C$2:$AQ$2,0))</f>
        <v>3</v>
      </c>
      <c r="D140" s="328" t="str">
        <f t="array" ref="D140">INDEX('アイテム'!$AA$3:$AB$114, MATCH($A$1,'アイテム'!$A$3:$A$114,0), MATCH(D137,'アイテム'!$C$2:$AQ$2,0))</f>
        <v>12</v>
      </c>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260</v>
      </c>
      <c r="B141" s="109"/>
      <c r="C141" s="325" t="s">
        <v>261</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262</v>
      </c>
      <c r="B142" s="327" t="s">
        <v>226</v>
      </c>
      <c r="C142" s="328" t="str">
        <f t="array" ref="C142">INDEX('アイテム'!$G$3:$H$114, MATCH($A$1,'アイテム'!$A$3:$A$114,0), MATCH(C137,'アイテム'!$C$2:$AQ$2,0))</f>
        <v>10</v>
      </c>
      <c r="D142" s="328">
        <f t="array" ref="D142">INDEX('アイテム'!$G$3:$H$114, MATCH($A$1,'アイテム'!$A$3:$A$114,0), MATCH(D137,'アイテム'!$C$2:$AQ$2,0))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229</v>
      </c>
      <c r="C143" s="328" t="str">
        <f t="array" ref="C143">INDEX('アイテム'!$I$3:$J$114, MATCH($A$1,'アイテム'!$A$3:$A$114,0), MATCH(C137,'アイテム'!$C$2:$AQ$2,0))</f>
        <v>10</v>
      </c>
      <c r="D143" s="328">
        <f t="array" ref="D143">INDEX('アイテム'!$I$3:$J$114, MATCH($A$1,'アイテム'!$A$3:$A$114,0), MATCH(D137,'アイテム'!$C$2:$AQ$2,0))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233</v>
      </c>
      <c r="C144" s="328" t="str">
        <f t="array" ref="C144">INDEX('アイテム'!$K$3:$L$114, MATCH($A$1,'アイテム'!$A$3:$A$114,0), MATCH(C137,'アイテム'!$C$2:$AQ$2,0))</f>
        <v>11</v>
      </c>
      <c r="D144" s="328">
        <f t="array" ref="D144">INDEX('アイテム'!$K$3:$L$114, MATCH($A$1,'アイテム'!$A$3:$A$114,0), MATCH(D137,'アイテム'!$C$2:$AQ$2,0))</f>
        <v>23</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234</v>
      </c>
      <c r="C145" s="328" t="str">
        <f t="array" ref="C145">INDEX('アイテム'!$M$3:$N$114, MATCH($A$1,'アイテム'!$A$3:$A$114,0), MATCH(C137,'アイテム'!$C$2:$AQ$2,0))</f>
        <v>9</v>
      </c>
      <c r="D145" s="328">
        <f t="array" ref="D145">INDEX('アイテム'!$M$3:$N$114, MATCH($A$1,'アイテム'!$A$3:$A$114,0), MATCH(D137,'アイテム'!$C$2:$AQ$2,0))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219</v>
      </c>
      <c r="C146" s="328" t="str">
        <f t="array" ref="C146">INDEX('アイテム'!$O$3:$P$114, MATCH($A$1,'アイテム'!$A$3:$A$114,0), MATCH(C137,'アイテム'!$C$2:$AQ$2,0))</f>
        <v>5</v>
      </c>
      <c r="D146" s="328">
        <f t="array" ref="D146">INDEX('アイテム'!$O$3:$P$114, MATCH($A$1,'アイテム'!$A$3:$A$114,0), MATCH(D137,'アイテム'!$C$2:$AQ$2,0))</f>
        <v>29</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263</v>
      </c>
      <c r="C147" s="328" t="str">
        <f t="array" ref="C147">INDEX('アイテム'!$Q$3:$R$114, MATCH($A$1,'アイテム'!$A$3:$A$114,0), MATCH(C137,'アイテム'!$C$2:$AQ$2,0))</f>
        <v>5</v>
      </c>
      <c r="D147" s="328">
        <f t="array" ref="D147">INDEX('アイテム'!$Q$3:$R$114, MATCH($A$1,'アイテム'!$A$3:$A$114,0), MATCH(D137,'アイテム'!$C$2:$AQ$2,0))</f>
        <v>23</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264</v>
      </c>
      <c r="B148" s="327" t="s">
        <v>226</v>
      </c>
      <c r="C148" s="328" t="str">
        <f t="array" ref="C148">INDEX('アイテム'!$S$3:$T$114, MATCH($A$1,'アイテム'!$A$3:$A$114,0), MATCH(C137,'アイテム'!$C$2:$AQ$2,0))</f>
        <v>10</v>
      </c>
      <c r="D148" s="328">
        <f t="array" ref="D148">INDEX('アイテム'!$S$3:$T$114, MATCH($A$1,'アイテム'!$A$3:$A$114,0), MATCH(D137,'アイテム'!$C$2:$AQ$2,0))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INDEX('アイテム'!$U$3:$V$114, MATCH($A$1,'アイテム'!$A$3:$A$114,0), MATCH(C137,'アイテム'!$C$2:$AQ$2,0))</f>
        <v>10</v>
      </c>
      <c r="D149" s="328">
        <f t="array" ref="D149">INDEX('アイテム'!$U$3:$V$114, MATCH($A$1,'アイテム'!$A$3:$A$114,0), MATCH(D137,'アイテム'!$C$2:$AQ$2,0))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INDEX('アイテム'!$W$3:$X$114, MATCH($A$1,'アイテム'!$A$3:$A$114,0), MATCH(C137,'アイテム'!$C$2:$AQ$2,0))</f>
        <v>11</v>
      </c>
      <c r="D150" s="328">
        <f t="array" ref="D150">INDEX('アイテム'!$W$3:$X$114, MATCH($A$1,'アイテム'!$A$3:$A$114,0), MATCH(D137,'アイテム'!$C$2:$AQ$2,0))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t="str">
        <f t="array" ref="C151">INDEX('アイテム'!$Y$3:$Z$114, MATCH($A$1,'アイテム'!$A$3:$A$114,0), MATCH(C137,'アイテム'!$C$2:$AQ$2,0))</f>
        <v>9</v>
      </c>
      <c r="D151" s="328">
        <f t="array" ref="D151">INDEX('アイテム'!$Y$3:$Z$114, MATCH($A$1,'アイテム'!$A$3:$A$114,0), MATCH(D137,'アイテム'!$C$2:$AQ$2,0))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265</v>
      </c>
      <c r="B152" s="327" t="s">
        <v>226</v>
      </c>
      <c r="C152" s="328">
        <f t="array" ref="C152">INDEX('アイテム'!$AC$3:$AD$114, MATCH($A$1,'アイテム'!$A$3:$A$114,0), MATCH(C137,'アイテム'!$C$2:$AQ$2,0))</f>
        <v>14</v>
      </c>
      <c r="D152" s="328" t="str">
        <f t="array" ref="D152">INDEX('アイテム'!$AC$3:$AD$114, MATCH($A$1,'アイテム'!$A$3:$A$114,0), MATCH(D137,'アイテム'!$C$2:$AQ$2,0))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f t="array" ref="C153">INDEX('アイテム'!$AE$3:$AF$114, MATCH($A$1,'アイテム'!$A$3:$A$114,0), MATCH(C137,'アイテム'!$C$2:$AQ$2,0))</f>
        <v>15</v>
      </c>
      <c r="D153" s="328" t="str">
        <f t="array" ref="D153">INDEX('アイテム'!$AE$3:$AF$114, MATCH($A$1,'アイテム'!$A$3:$A$114,0), MATCH(D137,'アイテム'!$C$2:$AQ$2,0))</f>
        <v>30</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f t="array" ref="C154">INDEX('アイテム'!$AG$3:$AH$114, MATCH($A$1,'アイテム'!$A$3:$A$114,0), MATCH(C137,'アイテム'!$C$2:$AQ$2,0))</f>
        <v>11</v>
      </c>
      <c r="D154" s="328" t="str">
        <f t="array" ref="D154">INDEX('アイテム'!$AG$3:$AH$114, MATCH($A$1,'アイテム'!$A$3:$A$114,0), MATCH(D137,'アイテム'!$C$2:$AQ$2,0))</f>
        <v>22</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f t="array" ref="C155">INDEX('アイテム'!$AI$3:$AJ$114, MATCH($A$1,'アイテム'!$A$3:$A$114,0), MATCH(C137,'アイテム'!$C$2:$AQ$2,0))</f>
        <v>13</v>
      </c>
      <c r="D155" s="328" t="str">
        <f t="array" ref="D155">INDEX('アイテム'!$AI$3:$AJ$114, MATCH($A$1,'アイテム'!$A$3:$A$114,0), MATCH(D137,'アイテム'!$C$2:$AQ$2,0))</f>
        <v>22</v>
      </c>
      <c r="E155" s="322"/>
      <c r="F155" s="322"/>
      <c r="G155" s="114"/>
      <c r="H155" s="228"/>
      <c r="I155" s="228"/>
      <c r="J155" s="228"/>
      <c r="K155" s="118"/>
      <c r="L155" s="118"/>
      <c r="M155" s="118"/>
      <c r="N155" s="102"/>
      <c r="O155" s="102"/>
      <c r="P155" s="102"/>
      <c r="Q155" s="102"/>
      <c r="R155" s="118"/>
      <c r="S155" s="118"/>
      <c r="T155" s="118"/>
      <c r="U155" s="118"/>
      <c r="V155" s="118"/>
    </row>
  </sheetData>
  <mergeCells count="146">
    <mergeCell ref="U26:U30"/>
    <mergeCell ref="U31:U32"/>
    <mergeCell ref="U36:U37"/>
    <mergeCell ref="U38:U40"/>
    <mergeCell ref="U41:U42"/>
    <mergeCell ref="R45:V45"/>
    <mergeCell ref="R46:V47"/>
    <mergeCell ref="U59:U60"/>
    <mergeCell ref="U70:U80"/>
    <mergeCell ref="V70:V80"/>
    <mergeCell ref="R48:V49"/>
    <mergeCell ref="R50:V51"/>
    <mergeCell ref="R52:V53"/>
    <mergeCell ref="R54:V55"/>
    <mergeCell ref="V59:V60"/>
    <mergeCell ref="V62:V63"/>
    <mergeCell ref="V65:V68"/>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7"/>
    <mergeCell ref="D26:D27"/>
    <mergeCell ref="D31:D32"/>
    <mergeCell ref="A24:B25"/>
    <mergeCell ref="A26:A30"/>
    <mergeCell ref="H28:J28"/>
    <mergeCell ref="H29:J29"/>
    <mergeCell ref="H30:J30"/>
    <mergeCell ref="A31:A32"/>
    <mergeCell ref="H31:J32"/>
    <mergeCell ref="D38:D40"/>
    <mergeCell ref="D41:D42"/>
    <mergeCell ref="U62:U63"/>
    <mergeCell ref="U65:U68"/>
    <mergeCell ref="A50:A51"/>
    <mergeCell ref="A52:A53"/>
    <mergeCell ref="A54:A55"/>
    <mergeCell ref="A57:B57"/>
    <mergeCell ref="A58:B58"/>
    <mergeCell ref="A59:A60"/>
    <mergeCell ref="A61:B61"/>
    <mergeCell ref="A62:A63"/>
    <mergeCell ref="A64:B64"/>
    <mergeCell ref="A65:A66"/>
    <mergeCell ref="A67:A68"/>
    <mergeCell ref="A69:B69"/>
    <mergeCell ref="A70:A80"/>
    <mergeCell ref="A82:B83"/>
    <mergeCell ref="A89:A90"/>
    <mergeCell ref="A91:A92"/>
    <mergeCell ref="A93:A94"/>
    <mergeCell ref="A95:A96"/>
    <mergeCell ref="A98:B99"/>
    <mergeCell ref="A100:A102"/>
    <mergeCell ref="A106:B107"/>
    <mergeCell ref="A138:A139"/>
    <mergeCell ref="A141:B141"/>
    <mergeCell ref="A142:A147"/>
    <mergeCell ref="A148:A151"/>
    <mergeCell ref="A152:A155"/>
    <mergeCell ref="A103:A104"/>
    <mergeCell ref="A108:A112"/>
    <mergeCell ref="A116:A121"/>
    <mergeCell ref="A122:A127"/>
    <mergeCell ref="A128:A134"/>
    <mergeCell ref="A136:B136"/>
    <mergeCell ref="A137:B137"/>
    <mergeCell ref="A85:A87"/>
    <mergeCell ref="A88:B88"/>
    <mergeCell ref="G88:J88"/>
    <mergeCell ref="D89:D90"/>
    <mergeCell ref="G89:J90"/>
    <mergeCell ref="D91:D92"/>
    <mergeCell ref="D93:D94"/>
    <mergeCell ref="A113:A115"/>
    <mergeCell ref="C120:C121"/>
    <mergeCell ref="D120:D121"/>
    <mergeCell ref="C126:C127"/>
    <mergeCell ref="D126:D127"/>
    <mergeCell ref="C133:C134"/>
    <mergeCell ref="D133:D134"/>
    <mergeCell ref="K117:K120"/>
    <mergeCell ref="K123:K126"/>
    <mergeCell ref="K127:L127"/>
    <mergeCell ref="K130:L130"/>
    <mergeCell ref="G91:J92"/>
    <mergeCell ref="G93:J94"/>
    <mergeCell ref="K107:L107"/>
    <mergeCell ref="K108:K109"/>
    <mergeCell ref="K110:L110"/>
    <mergeCell ref="K111:K116"/>
    <mergeCell ref="K121:L121"/>
    <mergeCell ref="H33:J33"/>
    <mergeCell ref="H34:J34"/>
    <mergeCell ref="H35:J35"/>
    <mergeCell ref="A36:A37"/>
    <mergeCell ref="D36:D37"/>
    <mergeCell ref="A38:A40"/>
    <mergeCell ref="H41:J42"/>
    <mergeCell ref="H36:J37"/>
    <mergeCell ref="H38:J40"/>
    <mergeCell ref="I46:I47"/>
    <mergeCell ref="J46:J47"/>
    <mergeCell ref="I48:I49"/>
    <mergeCell ref="J48:J49"/>
    <mergeCell ref="J50:J51"/>
    <mergeCell ref="D52:D53"/>
    <mergeCell ref="D54:D55"/>
    <mergeCell ref="D59:D60"/>
    <mergeCell ref="D65:D68"/>
    <mergeCell ref="A41:A42"/>
    <mergeCell ref="A44:B45"/>
    <mergeCell ref="A46:A47"/>
    <mergeCell ref="D46:D47"/>
    <mergeCell ref="A48:A49"/>
    <mergeCell ref="D48:D49"/>
    <mergeCell ref="D50:D51"/>
    <mergeCell ref="H61:J61"/>
    <mergeCell ref="H62:J63"/>
    <mergeCell ref="H64:J64"/>
    <mergeCell ref="H65:J68"/>
    <mergeCell ref="H69:J69"/>
    <mergeCell ref="H70:J80"/>
    <mergeCell ref="I50:I51"/>
    <mergeCell ref="I52:I53"/>
    <mergeCell ref="J52:J53"/>
    <mergeCell ref="I54:I55"/>
    <mergeCell ref="J54:J55"/>
    <mergeCell ref="H58:J58"/>
    <mergeCell ref="H59:J60"/>
    <mergeCell ref="D95:D96"/>
    <mergeCell ref="G95:J96"/>
  </mergeCells>
  <conditionalFormatting sqref="K1:K15 K17:K77 K81:K131 L91:N94">
    <cfRule type="containsText" dxfId="0" priority="1" operator="containsText" text="361">
      <formula>NOT(ISERROR(SEARCH(("361"),(K1))))</formula>
    </cfRule>
  </conditionalFormatting>
  <conditionalFormatting sqref="K1:K15 K17:K77 K81:K131 L91:N94">
    <cfRule type="containsText" dxfId="1" priority="2" operator="containsText" text="363">
      <formula>NOT(ISERROR(SEARCH(("363"),(K1))))</formula>
    </cfRule>
  </conditionalFormatting>
  <conditionalFormatting sqref="K1:K15 K17:K77 K81:K131 L91:N94">
    <cfRule type="containsText" dxfId="1" priority="3" operator="containsText" text="365">
      <formula>NOT(ISERROR(SEARCH(("365"),(K1))))</formula>
    </cfRule>
  </conditionalFormatting>
  <conditionalFormatting sqref="K1:K15 K17:K77 K81:K131 L91:N94">
    <cfRule type="containsText" dxfId="1" priority="4" operator="containsText" text="366">
      <formula>NOT(ISERROR(SEARCH(("366"),(K1))))</formula>
    </cfRule>
  </conditionalFormatting>
  <conditionalFormatting sqref="K1:K15 K17:K77 K81:K131 L91:N94">
    <cfRule type="containsText" dxfId="1" priority="5" operator="containsText" text="367">
      <formula>NOT(ISERROR(SEARCH(("367"),(K1))))</formula>
    </cfRule>
  </conditionalFormatting>
  <conditionalFormatting sqref="P89:P96">
    <cfRule type="cellIs" dxfId="2" priority="6" operator="equal">
      <formula>"敵のみ"</formula>
    </cfRule>
  </conditionalFormatting>
  <conditionalFormatting sqref="C89:C96">
    <cfRule type="cellIs" dxfId="3" priority="7" operator="equal">
      <formula>"-"</formula>
    </cfRule>
  </conditionalFormatting>
  <conditionalFormatting sqref="O1:O77 O81:O155 C89 E89:F89 K89:N89 P89:Q89 C91 E91:F91 K91:N94 P91:Q94 C93 E93:F93 P96:Q96">
    <cfRule type="cellIs" dxfId="4" priority="8" operator="greaterThan">
      <formula>0</formula>
    </cfRule>
  </conditionalFormatting>
  <conditionalFormatting sqref="P1:Q77 P81:Q155">
    <cfRule type="cellIs" dxfId="5" priority="9" operator="lessThan">
      <formula>1</formula>
    </cfRule>
  </conditionalFormatting>
  <conditionalFormatting sqref="P1:Q77 P81:Q155">
    <cfRule type="cellIs" dxfId="4" priority="10" operator="greaterThan">
      <formula>1</formula>
    </cfRule>
  </conditionalFormatting>
  <conditionalFormatting sqref="N25:N77 N81:N96">
    <cfRule type="cellIs" dxfId="6" priority="11" operator="greaterThan">
      <formula>0</formula>
    </cfRule>
  </conditionalFormatting>
  <conditionalFormatting sqref="N1:N15 N17:N77 N81:N155">
    <cfRule type="containsText" dxfId="6" priority="12" operator="containsText" text="/">
      <formula>NOT(ISERROR(SEARCH(("/"),(N1))))</formula>
    </cfRule>
  </conditionalFormatting>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3B3B3"/>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092">
        <v>18.0</v>
      </c>
      <c r="B1" s="1093"/>
      <c r="C1" s="1094" t="str">
        <f>IMAGE(VLOOKUP($A$1,Fighters!A2:AI114,12,FALSE),1)</f>
        <v>#REF!</v>
      </c>
      <c r="D1" s="1095"/>
      <c r="E1" s="1095"/>
      <c r="F1" s="1095"/>
      <c r="G1" s="1096"/>
      <c r="H1" s="1097"/>
      <c r="I1" s="1095"/>
      <c r="J1" s="1096"/>
      <c r="K1" s="1098"/>
      <c r="L1" s="1095"/>
      <c r="M1" s="1096"/>
      <c r="N1" s="1099"/>
      <c r="O1" s="1099"/>
      <c r="P1" s="1099"/>
      <c r="Q1" s="1099"/>
      <c r="R1" s="1100"/>
      <c r="S1" s="1100"/>
      <c r="T1" s="1100"/>
      <c r="U1" s="1100"/>
      <c r="V1" s="1100"/>
    </row>
    <row r="2">
      <c r="A2" s="1101" t="str">
        <f>VLOOKUP($A$1,Fighters!$A$2:$AI$81,6,FALSE)</f>
        <v>#b3b3b3</v>
      </c>
      <c r="B2" s="1093"/>
      <c r="C2" s="1102"/>
      <c r="G2" s="1103"/>
      <c r="H2" s="1104"/>
      <c r="I2" s="1105"/>
      <c r="J2" s="1106"/>
      <c r="K2" s="1104"/>
      <c r="L2" s="1105"/>
      <c r="M2" s="1106"/>
      <c r="N2" s="1099"/>
      <c r="O2" s="1099"/>
      <c r="P2" s="1099"/>
      <c r="Q2" s="1099"/>
      <c r="R2" s="1100"/>
      <c r="S2" s="1100"/>
      <c r="T2" s="1100"/>
      <c r="U2" s="1100"/>
      <c r="V2" s="1100"/>
    </row>
    <row r="3">
      <c r="A3" s="1101" t="str">
        <f>VLOOKUP($A$1,Fighters!$A$2:$AI$81,14,FALSE)</f>
        <v>18. ドクターマリオ</v>
      </c>
      <c r="B3" s="1093"/>
      <c r="C3" s="1102"/>
      <c r="G3" s="1103"/>
      <c r="H3" s="1107"/>
      <c r="I3" s="1107"/>
      <c r="J3" s="1107"/>
      <c r="K3" s="1108"/>
      <c r="L3" s="1108"/>
      <c r="M3" s="1108"/>
      <c r="N3" s="1099"/>
      <c r="O3" s="1099"/>
      <c r="P3" s="1099"/>
      <c r="Q3" s="1099"/>
      <c r="R3" s="1109"/>
      <c r="S3" s="1100"/>
      <c r="T3" s="1100"/>
      <c r="U3" s="1100"/>
      <c r="V3" s="1100"/>
    </row>
    <row r="4">
      <c r="A4" s="1101" t="str">
        <f>VLOOKUP($A$1,Fighters!$A$2:$AI$81,13,FALSE)</f>
        <v>0</v>
      </c>
      <c r="B4" s="1093"/>
      <c r="C4" s="1102"/>
      <c r="G4" s="1103"/>
      <c r="H4" s="1110"/>
      <c r="I4" s="1110"/>
      <c r="J4" s="1107"/>
      <c r="K4" s="1108"/>
      <c r="L4" s="1108"/>
      <c r="M4" s="1108"/>
      <c r="N4" s="1099"/>
      <c r="O4" s="1099"/>
      <c r="P4" s="1099"/>
      <c r="Q4" s="1099"/>
      <c r="R4" s="1109"/>
      <c r="S4" s="1100"/>
      <c r="T4" s="1100"/>
      <c r="U4" s="1100"/>
      <c r="V4" s="1100"/>
    </row>
    <row r="5" ht="16.5" customHeight="1">
      <c r="A5" s="1092"/>
      <c r="B5" s="1093"/>
      <c r="C5" s="1102"/>
      <c r="G5" s="1103"/>
      <c r="H5" s="1111"/>
      <c r="I5" s="1111"/>
      <c r="J5" s="1112"/>
      <c r="K5" s="1113"/>
      <c r="L5" s="1114"/>
      <c r="M5" s="1114"/>
      <c r="N5" s="1099"/>
      <c r="O5" s="1099"/>
      <c r="P5" s="1099"/>
      <c r="Q5" s="1099"/>
      <c r="R5" s="1109"/>
      <c r="S5" s="1100"/>
      <c r="T5" s="1100"/>
      <c r="U5" s="1100"/>
      <c r="V5" s="1100"/>
    </row>
    <row r="6">
      <c r="A6" s="1093"/>
      <c r="B6" s="1093"/>
      <c r="C6" s="1102"/>
      <c r="G6" s="1103"/>
      <c r="H6" s="1110"/>
      <c r="I6" s="1115" t="s">
        <v>39</v>
      </c>
      <c r="J6" s="1113"/>
      <c r="K6" s="1116"/>
      <c r="L6" s="1114"/>
      <c r="M6" s="1114"/>
      <c r="N6" s="1099"/>
      <c r="O6" s="1099"/>
      <c r="P6" s="1099"/>
      <c r="Q6" s="1099"/>
      <c r="R6" s="1109"/>
      <c r="S6" s="1100"/>
      <c r="T6" s="1100"/>
      <c r="U6" s="1100"/>
      <c r="V6" s="1100"/>
    </row>
    <row r="7">
      <c r="A7" s="1093"/>
      <c r="B7" s="1093"/>
      <c r="C7" s="1102"/>
      <c r="G7" s="1103"/>
      <c r="H7" s="1111"/>
      <c r="I7" s="1111"/>
      <c r="J7" s="1113"/>
      <c r="K7" s="1116"/>
      <c r="L7" s="1114"/>
      <c r="M7" s="1114"/>
      <c r="N7" s="1099"/>
      <c r="O7" s="1099"/>
      <c r="P7" s="1099"/>
      <c r="Q7" s="1099"/>
      <c r="R7" s="1109"/>
      <c r="S7" s="1100"/>
      <c r="T7" s="1100"/>
      <c r="U7" s="1100"/>
      <c r="V7" s="1100"/>
    </row>
    <row r="8">
      <c r="A8" s="1093"/>
      <c r="B8" s="1093"/>
      <c r="C8" s="1102"/>
      <c r="G8" s="1103"/>
      <c r="H8" s="1117">
        <v>44488.69956282407</v>
      </c>
      <c r="I8" s="1095"/>
      <c r="J8" s="1096"/>
      <c r="K8" s="1113"/>
      <c r="L8" s="1114"/>
      <c r="M8" s="1114"/>
      <c r="N8" s="1099"/>
      <c r="O8" s="1099"/>
      <c r="P8" s="1099"/>
      <c r="Q8" s="1099"/>
      <c r="R8" s="1109"/>
      <c r="S8" s="1100"/>
      <c r="T8" s="1100"/>
      <c r="U8" s="1100"/>
      <c r="V8" s="1100"/>
    </row>
    <row r="9">
      <c r="A9" s="1093"/>
      <c r="B9" s="1093"/>
      <c r="C9" s="1102"/>
      <c r="G9" s="1103"/>
      <c r="H9" s="1104"/>
      <c r="I9" s="1105"/>
      <c r="J9" s="1106"/>
      <c r="K9" s="1100"/>
      <c r="L9" s="1099"/>
      <c r="M9" s="1099"/>
      <c r="N9" s="1099"/>
      <c r="O9" s="1099"/>
      <c r="P9" s="1099"/>
      <c r="Q9" s="1099"/>
      <c r="R9" s="1109"/>
      <c r="S9" s="1100"/>
      <c r="T9" s="1100"/>
      <c r="U9" s="1100"/>
      <c r="V9" s="1100"/>
    </row>
    <row r="10">
      <c r="A10" s="1093"/>
      <c r="B10" s="1093"/>
      <c r="C10" s="1102"/>
      <c r="G10" s="1103"/>
      <c r="H10" s="1118"/>
      <c r="I10" s="1118"/>
      <c r="J10" s="1100"/>
      <c r="K10" s="1100"/>
      <c r="L10" s="1099"/>
      <c r="M10" s="1099"/>
      <c r="N10" s="1099"/>
      <c r="O10" s="1099"/>
      <c r="P10" s="1099"/>
      <c r="Q10" s="1099"/>
      <c r="R10" s="1109"/>
      <c r="S10" s="1100"/>
      <c r="T10" s="1100"/>
      <c r="U10" s="1100"/>
      <c r="V10" s="1100"/>
    </row>
    <row r="11">
      <c r="A11" s="1119" t="s">
        <v>40</v>
      </c>
      <c r="B11" s="1096"/>
      <c r="C11" s="1102"/>
      <c r="G11" s="1103"/>
      <c r="H11" s="1111"/>
      <c r="I11" s="1111"/>
      <c r="J11" s="1100"/>
      <c r="K11" s="1100"/>
      <c r="L11" s="1099"/>
      <c r="M11" s="1099"/>
      <c r="N11" s="1099"/>
      <c r="O11" s="1099"/>
      <c r="P11" s="1099"/>
      <c r="Q11" s="1099"/>
      <c r="R11" s="1109"/>
      <c r="S11" s="1100"/>
      <c r="T11" s="1100"/>
      <c r="U11" s="1100"/>
      <c r="V11" s="1100"/>
    </row>
    <row r="12">
      <c r="A12" s="1104"/>
      <c r="B12" s="1106"/>
      <c r="C12" s="1104"/>
      <c r="D12" s="1105"/>
      <c r="E12" s="1105"/>
      <c r="F12" s="1105"/>
      <c r="G12" s="1106"/>
      <c r="H12" s="1120"/>
      <c r="I12" s="1120"/>
      <c r="J12" s="1093"/>
      <c r="K12" s="1093"/>
      <c r="L12" s="1099"/>
      <c r="M12" s="1099"/>
      <c r="N12" s="1099"/>
      <c r="O12" s="1099"/>
      <c r="P12" s="1099"/>
      <c r="Q12" s="1099"/>
      <c r="R12" s="1109"/>
      <c r="S12" s="1100"/>
      <c r="T12" s="1100"/>
      <c r="U12" s="1100"/>
      <c r="V12" s="1100"/>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98 [33rd]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34F</v>
      </c>
      <c r="I17" s="114"/>
      <c r="J17" s="101"/>
      <c r="K17" s="112" t="str">
        <f>'テンプレート'!K17</f>
        <v>ダッシュ初速</v>
      </c>
      <c r="L17" s="365"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1.53757 [88th]</v>
      </c>
      <c r="M17" s="112" t="str">
        <f>'テンプレート'!M17</f>
        <v>大J初速</v>
      </c>
      <c r="N17" s="365"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447"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365"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0.9173 [67th]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365"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0.12213 [71st]</v>
      </c>
      <c r="M18" s="112" t="str">
        <f>'テンプレート'!M18</f>
        <v>大J高度</v>
      </c>
      <c r="N18" s="365"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30.8805 [61st]</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365"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1.39779 [82nd]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0.106 [50th]</v>
      </c>
      <c r="M19" s="112" t="str">
        <f>'テンプレート'!M19</f>
        <v>小J高度</v>
      </c>
      <c r="N19" s="365"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15.13351 [59th]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365"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0.92388 [77th]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365"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0.06118 [57th]</v>
      </c>
      <c r="M20" s="112" t="str">
        <f>'テンプレート'!M20</f>
        <v>空中J高度</v>
      </c>
      <c r="N20" s="365"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31.34552 [57th]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 [59th]</v>
      </c>
      <c r="G21" s="101"/>
      <c r="H21" s="101"/>
      <c r="I21" s="114"/>
      <c r="J21" s="101"/>
      <c r="K21" s="112" t="str">
        <f>'テンプレート'!K21</f>
        <v>空中抵抗</v>
      </c>
      <c r="L21" s="365"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0.01147 [39th]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 [57th]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0.087 [54th]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21"/>
      <c r="B24" s="1121"/>
      <c r="C24" s="108" t="s">
        <v>1581</v>
      </c>
      <c r="D24" s="109"/>
      <c r="E24" s="121"/>
      <c r="F24" s="122"/>
      <c r="G24" s="123"/>
      <c r="H24" s="121"/>
      <c r="I24" s="121"/>
      <c r="J24" s="121"/>
      <c r="K24" s="121"/>
      <c r="L24" s="124"/>
      <c r="M24" s="124"/>
      <c r="N24" s="125"/>
      <c r="O24" s="125"/>
      <c r="P24" s="125"/>
      <c r="Q24" s="126"/>
      <c r="R24" s="124"/>
      <c r="S24" s="124"/>
      <c r="T24" s="124"/>
      <c r="U24" s="124"/>
      <c r="V24" s="124"/>
    </row>
    <row r="25">
      <c r="A25" s="1121"/>
      <c r="B25" s="1121"/>
      <c r="C25" s="112" t="s">
        <v>1582</v>
      </c>
      <c r="D25" s="113" t="str">
        <f>1 + (2 - 1) * 0.176&amp;"倍"</f>
        <v>1.176倍</v>
      </c>
      <c r="E25" s="121"/>
      <c r="F25" s="122"/>
      <c r="G25" s="123"/>
      <c r="H25" s="121"/>
      <c r="I25" s="121"/>
      <c r="J25" s="121"/>
      <c r="K25" s="121"/>
      <c r="L25" s="124"/>
      <c r="M25" s="124"/>
      <c r="N25" s="125"/>
      <c r="O25" s="125"/>
      <c r="P25" s="125"/>
      <c r="Q25" s="126"/>
      <c r="R25" s="124"/>
      <c r="S25" s="124"/>
      <c r="T25" s="124"/>
      <c r="U25" s="124"/>
      <c r="V25" s="124"/>
    </row>
    <row r="26">
      <c r="A26" s="1121"/>
      <c r="B26" s="1121"/>
      <c r="C26" s="112" t="s">
        <v>1583</v>
      </c>
      <c r="D26" s="113" t="str">
        <f>1 + (0.58 - 1) * 0.49&amp;"倍"</f>
        <v>0.7942倍</v>
      </c>
      <c r="E26" s="121"/>
      <c r="F26" s="122"/>
      <c r="G26" s="123"/>
      <c r="H26" s="121"/>
      <c r="I26" s="121"/>
      <c r="J26" s="121"/>
      <c r="K26" s="121"/>
      <c r="L26" s="124"/>
      <c r="M26" s="124"/>
      <c r="N26" s="125"/>
      <c r="O26" s="125"/>
      <c r="P26" s="125"/>
      <c r="Q26" s="126"/>
      <c r="R26" s="124"/>
      <c r="S26" s="124"/>
      <c r="T26" s="124"/>
      <c r="U26" s="124"/>
      <c r="V26" s="124"/>
    </row>
    <row r="27">
      <c r="A27" s="1121"/>
      <c r="B27" s="1121"/>
      <c r="C27" s="112" t="s">
        <v>1584</v>
      </c>
      <c r="D27" s="113" t="str">
        <f>1 + (0.52 - 1) * 0.49&amp;"倍"</f>
        <v>0.7648倍</v>
      </c>
      <c r="E27" s="121"/>
      <c r="F27" s="122"/>
      <c r="G27" s="123"/>
      <c r="H27" s="121"/>
      <c r="I27" s="121"/>
      <c r="J27" s="121"/>
      <c r="K27" s="121"/>
      <c r="L27" s="124"/>
      <c r="M27" s="124"/>
      <c r="N27" s="125"/>
      <c r="O27" s="125"/>
      <c r="P27" s="125"/>
      <c r="Q27" s="126"/>
      <c r="R27" s="124"/>
      <c r="S27" s="124"/>
      <c r="T27" s="124"/>
      <c r="U27" s="124"/>
      <c r="V27" s="124"/>
    </row>
    <row r="28">
      <c r="A28" s="1121"/>
      <c r="B28" s="1121"/>
      <c r="C28" s="120"/>
      <c r="D28" s="121"/>
      <c r="E28" s="121"/>
      <c r="F28" s="122"/>
      <c r="G28" s="123"/>
      <c r="H28" s="121"/>
      <c r="I28" s="121"/>
      <c r="J28" s="121"/>
      <c r="K28" s="121"/>
      <c r="L28" s="124"/>
      <c r="M28" s="124"/>
      <c r="N28" s="125"/>
      <c r="O28" s="125"/>
      <c r="P28" s="125"/>
      <c r="Q28" s="126"/>
      <c r="R28" s="124"/>
      <c r="S28" s="124"/>
      <c r="T28" s="124"/>
      <c r="U28" s="124"/>
      <c r="V28" s="124"/>
    </row>
    <row r="29">
      <c r="A29" s="119" t="s">
        <v>47</v>
      </c>
      <c r="B29" s="104"/>
      <c r="C29" s="120"/>
      <c r="D29" s="121"/>
      <c r="E29" s="121"/>
      <c r="F29" s="122"/>
      <c r="G29" s="123"/>
      <c r="H29" s="121"/>
      <c r="I29" s="121"/>
      <c r="J29" s="121"/>
      <c r="K29" s="121"/>
      <c r="L29" s="124"/>
      <c r="M29" s="124"/>
      <c r="N29" s="125"/>
      <c r="O29" s="125"/>
      <c r="P29" s="125"/>
      <c r="Q29" s="126"/>
      <c r="R29" s="124"/>
      <c r="S29" s="124"/>
      <c r="T29" s="124"/>
      <c r="U29" s="124"/>
      <c r="V29" s="124"/>
    </row>
    <row r="30" outlineLevel="1">
      <c r="A30" s="106"/>
      <c r="B30" s="107"/>
      <c r="C30" s="127" t="s">
        <v>48</v>
      </c>
      <c r="D30" s="128" t="s">
        <v>49</v>
      </c>
      <c r="E30" s="128" t="s">
        <v>50</v>
      </c>
      <c r="F30" s="129" t="s">
        <v>51</v>
      </c>
      <c r="G30" s="128" t="s">
        <v>52</v>
      </c>
      <c r="H30" s="130" t="s">
        <v>53</v>
      </c>
      <c r="I30" s="110"/>
      <c r="J30" s="109"/>
      <c r="K30" s="131" t="str">
        <f>'テンプレート'!K25</f>
        <v>ベクトル</v>
      </c>
      <c r="L30" s="131" t="str">
        <f>'テンプレート'!L25</f>
        <v>KBG (R.E.)</v>
      </c>
      <c r="M30" s="131" t="str">
        <f>'テンプレート'!M25</f>
        <v>BKB (R.A.)</v>
      </c>
      <c r="N30" s="131" t="str">
        <f>'テンプレート'!N25</f>
        <v>FKB (R.F.)</v>
      </c>
      <c r="O30" s="132" t="str">
        <f>'テンプレート'!O25</f>
        <v>盾削り値</v>
      </c>
      <c r="P30" s="131" t="str">
        <f>'テンプレート'!P25</f>
        <v>ﾋｯﾄｽﾄｯﾌﾟ</v>
      </c>
      <c r="Q30" s="132" t="str">
        <f>'テンプレート'!Q25</f>
        <v>ずらし</v>
      </c>
      <c r="R30" s="100"/>
      <c r="S30" s="100"/>
      <c r="T30" s="100"/>
      <c r="U30" s="127" t="s">
        <v>54</v>
      </c>
      <c r="V30" s="100"/>
    </row>
    <row r="31" outlineLevel="1">
      <c r="A31" s="133" t="s">
        <v>266</v>
      </c>
      <c r="B31" s="134" t="s">
        <v>55</v>
      </c>
      <c r="C31" s="137" t="s">
        <v>64</v>
      </c>
      <c r="D31" s="526" t="s">
        <v>57</v>
      </c>
      <c r="E31" s="137">
        <v>2.94</v>
      </c>
      <c r="F31" s="138">
        <v>3.528</v>
      </c>
      <c r="G31" s="139" t="s">
        <v>147</v>
      </c>
      <c r="H31" s="140" t="s">
        <v>1585</v>
      </c>
      <c r="I31" s="110"/>
      <c r="J31" s="109"/>
      <c r="K31" s="253"/>
      <c r="L31" s="253"/>
      <c r="M31" s="253"/>
      <c r="N31" s="253"/>
      <c r="O31" s="138">
        <v>0.0</v>
      </c>
      <c r="P31" s="138">
        <v>1.0</v>
      </c>
      <c r="Q31" s="138">
        <v>1.0</v>
      </c>
      <c r="R31" s="100"/>
      <c r="S31" s="100"/>
      <c r="T31" s="100"/>
      <c r="U31" s="145" t="s">
        <v>62</v>
      </c>
      <c r="V31" s="100"/>
    </row>
    <row r="32" outlineLevel="1">
      <c r="A32" s="146"/>
      <c r="B32" s="147" t="s">
        <v>63</v>
      </c>
      <c r="C32" s="137" t="s">
        <v>64</v>
      </c>
      <c r="D32" s="158" t="s">
        <v>65</v>
      </c>
      <c r="E32" s="137">
        <v>1.7639999999999998</v>
      </c>
      <c r="F32" s="138">
        <v>2.1167999999999996</v>
      </c>
      <c r="G32" s="139" t="s">
        <v>60</v>
      </c>
      <c r="H32" s="140" t="s">
        <v>1586</v>
      </c>
      <c r="I32" s="110"/>
      <c r="J32" s="109"/>
      <c r="K32" s="253"/>
      <c r="L32" s="253"/>
      <c r="M32" s="253"/>
      <c r="N32" s="253"/>
      <c r="O32" s="138">
        <v>0.0</v>
      </c>
      <c r="P32" s="138">
        <v>1.0</v>
      </c>
      <c r="Q32" s="138">
        <v>1.0</v>
      </c>
      <c r="R32" s="100"/>
      <c r="S32" s="100"/>
      <c r="T32" s="100"/>
      <c r="U32" s="145" t="s">
        <v>69</v>
      </c>
      <c r="V32" s="100"/>
    </row>
    <row r="33" outlineLevel="1">
      <c r="A33" s="156"/>
      <c r="B33" s="147" t="s">
        <v>70</v>
      </c>
      <c r="C33" s="150" t="s">
        <v>71</v>
      </c>
      <c r="D33" s="158" t="s">
        <v>72</v>
      </c>
      <c r="E33" s="137">
        <v>4.704</v>
      </c>
      <c r="F33" s="138">
        <v>5.644799999999999</v>
      </c>
      <c r="G33" s="139" t="s">
        <v>75</v>
      </c>
      <c r="H33" s="159"/>
      <c r="I33" s="110"/>
      <c r="J33" s="109"/>
      <c r="K33" s="253"/>
      <c r="L33" s="253"/>
      <c r="M33" s="253"/>
      <c r="N33" s="253"/>
      <c r="O33" s="138">
        <v>0.0</v>
      </c>
      <c r="P33" s="138">
        <v>1.0</v>
      </c>
      <c r="Q33" s="138">
        <v>1.0</v>
      </c>
      <c r="R33" s="100"/>
      <c r="S33" s="100"/>
      <c r="T33" s="100"/>
      <c r="U33" s="145" t="s">
        <v>76</v>
      </c>
      <c r="V33" s="100"/>
    </row>
    <row r="34" outlineLevel="1">
      <c r="A34" s="133" t="s">
        <v>77</v>
      </c>
      <c r="B34" s="160"/>
      <c r="C34" s="150" t="s">
        <v>543</v>
      </c>
      <c r="D34" s="161" t="s">
        <v>79</v>
      </c>
      <c r="E34" s="137">
        <v>11.5248</v>
      </c>
      <c r="F34" s="138">
        <v>13.82976</v>
      </c>
      <c r="G34" s="162" t="s">
        <v>811</v>
      </c>
      <c r="H34" s="163" t="s">
        <v>83</v>
      </c>
      <c r="I34" s="164"/>
      <c r="J34" s="104"/>
      <c r="K34" s="253"/>
      <c r="L34" s="253"/>
      <c r="M34" s="253"/>
      <c r="N34" s="253"/>
      <c r="O34" s="138">
        <v>1.0</v>
      </c>
      <c r="P34" s="138">
        <v>1.0</v>
      </c>
      <c r="Q34" s="138">
        <v>1.0</v>
      </c>
      <c r="R34" s="100"/>
      <c r="S34" s="100"/>
      <c r="T34" s="100"/>
      <c r="U34" s="166" t="s">
        <v>69</v>
      </c>
      <c r="V34" s="100"/>
    </row>
    <row r="35" outlineLevel="1">
      <c r="A35" s="156"/>
      <c r="B35" s="147" t="s">
        <v>84</v>
      </c>
      <c r="C35" s="158" t="s">
        <v>85</v>
      </c>
      <c r="D35" s="107"/>
      <c r="E35" s="137">
        <v>7.055999999999999</v>
      </c>
      <c r="F35" s="138">
        <v>8.467199999999998</v>
      </c>
      <c r="G35" s="162" t="s">
        <v>407</v>
      </c>
      <c r="H35" s="106"/>
      <c r="I35" s="168"/>
      <c r="J35" s="107"/>
      <c r="K35" s="253"/>
      <c r="L35" s="253"/>
      <c r="M35" s="253"/>
      <c r="N35" s="253"/>
      <c r="O35" s="138">
        <v>1.0</v>
      </c>
      <c r="P35" s="138">
        <v>1.0</v>
      </c>
      <c r="Q35" s="138">
        <v>1.0</v>
      </c>
      <c r="R35" s="100"/>
      <c r="S35" s="100"/>
      <c r="T35" s="100"/>
      <c r="U35" s="156"/>
      <c r="V35" s="100"/>
    </row>
    <row r="36" outlineLevel="1">
      <c r="A36" s="170" t="s">
        <v>89</v>
      </c>
      <c r="B36" s="147" t="s">
        <v>90</v>
      </c>
      <c r="C36" s="150" t="s">
        <v>91</v>
      </c>
      <c r="D36" s="149" t="s">
        <v>92</v>
      </c>
      <c r="E36" s="403" t="s">
        <v>1587</v>
      </c>
      <c r="F36" s="138">
        <v>12.7008</v>
      </c>
      <c r="G36" s="139" t="s">
        <v>121</v>
      </c>
      <c r="H36" s="159"/>
      <c r="I36" s="110"/>
      <c r="J36" s="109"/>
      <c r="K36" s="253"/>
      <c r="L36" s="253"/>
      <c r="M36" s="253"/>
      <c r="N36" s="253"/>
      <c r="O36" s="138">
        <v>0.0</v>
      </c>
      <c r="P36" s="138">
        <v>1.0</v>
      </c>
      <c r="Q36" s="138">
        <v>1.0</v>
      </c>
      <c r="R36" s="100"/>
      <c r="S36" s="100"/>
      <c r="T36" s="100"/>
      <c r="U36" s="145" t="s">
        <v>96</v>
      </c>
      <c r="V36" s="100"/>
    </row>
    <row r="37" outlineLevel="1">
      <c r="A37" s="170" t="s">
        <v>97</v>
      </c>
      <c r="B37" s="160"/>
      <c r="C37" s="150" t="s">
        <v>281</v>
      </c>
      <c r="D37" s="157" t="s">
        <v>99</v>
      </c>
      <c r="E37" s="137">
        <v>7.408799999999999</v>
      </c>
      <c r="F37" s="138">
        <v>8.890559999999999</v>
      </c>
      <c r="G37" s="139" t="s">
        <v>95</v>
      </c>
      <c r="H37" s="159"/>
      <c r="I37" s="110"/>
      <c r="J37" s="109"/>
      <c r="K37" s="253"/>
      <c r="L37" s="253"/>
      <c r="M37" s="253"/>
      <c r="N37" s="253"/>
      <c r="O37" s="138">
        <v>0.0</v>
      </c>
      <c r="P37" s="138">
        <v>1.0</v>
      </c>
      <c r="Q37" s="138">
        <v>1.0</v>
      </c>
      <c r="R37" s="100"/>
      <c r="S37" s="100"/>
      <c r="T37" s="100"/>
      <c r="U37" s="145" t="s">
        <v>62</v>
      </c>
      <c r="V37" s="100"/>
    </row>
    <row r="38" outlineLevel="1">
      <c r="A38" s="170" t="s">
        <v>103</v>
      </c>
      <c r="B38" s="160"/>
      <c r="C38" s="150" t="s">
        <v>91</v>
      </c>
      <c r="D38" s="157" t="s">
        <v>105</v>
      </c>
      <c r="E38" s="137" t="s">
        <v>1588</v>
      </c>
      <c r="F38" s="138" t="s">
        <v>1589</v>
      </c>
      <c r="G38" s="139" t="s">
        <v>1590</v>
      </c>
      <c r="H38" s="159"/>
      <c r="I38" s="110"/>
      <c r="J38" s="109"/>
      <c r="K38" s="253"/>
      <c r="L38" s="253"/>
      <c r="M38" s="253"/>
      <c r="N38" s="253"/>
      <c r="O38" s="138">
        <v>0.0</v>
      </c>
      <c r="P38" s="138">
        <v>1.0</v>
      </c>
      <c r="Q38" s="138">
        <v>1.0</v>
      </c>
      <c r="R38" s="100"/>
      <c r="S38" s="100"/>
      <c r="T38" s="100"/>
      <c r="U38" s="145" t="s">
        <v>62</v>
      </c>
      <c r="V38" s="100"/>
    </row>
    <row r="39" outlineLevel="1">
      <c r="A39" s="170" t="s">
        <v>109</v>
      </c>
      <c r="B39" s="147" t="s">
        <v>90</v>
      </c>
      <c r="C39" s="150" t="s">
        <v>460</v>
      </c>
      <c r="D39" s="157" t="s">
        <v>111</v>
      </c>
      <c r="E39" s="137" t="s">
        <v>1591</v>
      </c>
      <c r="F39" s="138" t="s">
        <v>1592</v>
      </c>
      <c r="G39" s="139" t="s">
        <v>1593</v>
      </c>
      <c r="H39" s="173" t="s">
        <v>1594</v>
      </c>
      <c r="I39" s="110"/>
      <c r="J39" s="109"/>
      <c r="K39" s="253"/>
      <c r="L39" s="253"/>
      <c r="M39" s="253"/>
      <c r="N39" s="253"/>
      <c r="O39" s="138">
        <v>0.0</v>
      </c>
      <c r="P39" s="138">
        <v>1.0</v>
      </c>
      <c r="Q39" s="138">
        <v>1.0</v>
      </c>
      <c r="R39" s="100"/>
      <c r="S39" s="100"/>
      <c r="T39" s="100"/>
      <c r="U39" s="145" t="s">
        <v>95</v>
      </c>
      <c r="V39" s="100"/>
    </row>
    <row r="40" outlineLevel="1">
      <c r="A40" s="170" t="s">
        <v>116</v>
      </c>
      <c r="B40" s="160"/>
      <c r="C40" s="150" t="s">
        <v>505</v>
      </c>
      <c r="D40" s="157" t="s">
        <v>118</v>
      </c>
      <c r="E40" s="137">
        <v>16.464</v>
      </c>
      <c r="F40" s="138">
        <v>19.7568</v>
      </c>
      <c r="G40" s="139" t="s">
        <v>88</v>
      </c>
      <c r="H40" s="151" t="s">
        <v>1595</v>
      </c>
      <c r="I40" s="110"/>
      <c r="J40" s="109"/>
      <c r="K40" s="253"/>
      <c r="L40" s="253"/>
      <c r="M40" s="253"/>
      <c r="N40" s="253"/>
      <c r="O40" s="138">
        <v>0.0</v>
      </c>
      <c r="P40" s="138">
        <v>1.0</v>
      </c>
      <c r="Q40" s="138">
        <v>1.0</v>
      </c>
      <c r="R40" s="100"/>
      <c r="S40" s="100"/>
      <c r="T40" s="100"/>
      <c r="U40" s="145" t="s">
        <v>123</v>
      </c>
      <c r="V40" s="100"/>
    </row>
    <row r="41" outlineLevel="1">
      <c r="A41" s="133" t="s">
        <v>124</v>
      </c>
      <c r="B41" s="147" t="s">
        <v>125</v>
      </c>
      <c r="C41" s="150" t="s">
        <v>267</v>
      </c>
      <c r="D41" s="161" t="s">
        <v>127</v>
      </c>
      <c r="E41" s="137">
        <v>11.76</v>
      </c>
      <c r="F41" s="138">
        <v>14.112</v>
      </c>
      <c r="G41" s="139" t="s">
        <v>123</v>
      </c>
      <c r="H41" s="163" t="s">
        <v>130</v>
      </c>
      <c r="I41" s="164"/>
      <c r="J41" s="104"/>
      <c r="K41" s="253"/>
      <c r="L41" s="253"/>
      <c r="M41" s="253"/>
      <c r="N41" s="253"/>
      <c r="O41" s="138">
        <v>0.0</v>
      </c>
      <c r="P41" s="138">
        <v>1.0</v>
      </c>
      <c r="Q41" s="138">
        <v>1.0</v>
      </c>
      <c r="R41" s="100"/>
      <c r="S41" s="100"/>
      <c r="T41" s="100"/>
      <c r="U41" s="166" t="s">
        <v>62</v>
      </c>
      <c r="V41" s="100"/>
    </row>
    <row r="42" outlineLevel="1">
      <c r="A42" s="156"/>
      <c r="B42" s="147" t="s">
        <v>131</v>
      </c>
      <c r="C42" s="158" t="s">
        <v>119</v>
      </c>
      <c r="D42" s="107"/>
      <c r="E42" s="137">
        <v>14.111999999999998</v>
      </c>
      <c r="F42" s="138">
        <v>16.934399999999997</v>
      </c>
      <c r="G42" s="139" t="s">
        <v>121</v>
      </c>
      <c r="H42" s="106"/>
      <c r="I42" s="168"/>
      <c r="J42" s="107"/>
      <c r="K42" s="253"/>
      <c r="L42" s="253"/>
      <c r="M42" s="253"/>
      <c r="N42" s="253"/>
      <c r="O42" s="138">
        <v>0.0</v>
      </c>
      <c r="P42" s="138">
        <v>1.0</v>
      </c>
      <c r="Q42" s="138">
        <v>1.0</v>
      </c>
      <c r="R42" s="100"/>
      <c r="S42" s="100"/>
      <c r="T42" s="100"/>
      <c r="U42" s="156"/>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tr">
        <f>'テンプレート'!A55</f>
        <v>空中攻撃</v>
      </c>
      <c r="B44" s="104"/>
      <c r="C44" s="179"/>
      <c r="D44" s="179"/>
      <c r="E44" s="179"/>
      <c r="F44" s="1122"/>
      <c r="G44" s="179"/>
      <c r="H44" s="180"/>
      <c r="I44" s="180"/>
      <c r="J44" s="181"/>
      <c r="K44" s="180"/>
      <c r="L44" s="180"/>
      <c r="M44" s="180"/>
      <c r="N44" s="180"/>
      <c r="O44" s="180"/>
      <c r="P44" s="180"/>
      <c r="Q44" s="180"/>
      <c r="R44" s="180"/>
      <c r="S44" s="180"/>
      <c r="T44" s="180"/>
      <c r="U44" s="180"/>
      <c r="V44" s="180"/>
    </row>
    <row r="45" outlineLevel="1">
      <c r="A45" s="106"/>
      <c r="B45" s="107"/>
      <c r="C45" s="182" t="str">
        <f>'テンプレート'!C56</f>
        <v>判定持続</v>
      </c>
      <c r="D45" s="183" t="str">
        <f>'テンプレート'!D56</f>
        <v>全体フレーム</v>
      </c>
      <c r="E45" s="182" t="str">
        <f>'テンプレート'!E56</f>
        <v>基礎ダメージ</v>
      </c>
      <c r="F45" s="184" t="str">
        <f>'テンプレート'!F56</f>
        <v>ダメージ (1v1)</v>
      </c>
      <c r="G45" s="184" t="str">
        <f>'テンプレート'!G56</f>
        <v>ダメ (1v1+小J)</v>
      </c>
      <c r="H45" s="185" t="str">
        <f>'テンプレート'!H56</f>
        <v>ガード硬直</v>
      </c>
      <c r="I45" s="184" t="str">
        <f>'テンプレート'!I56</f>
        <v>着地隙</v>
      </c>
      <c r="J45" s="184" t="s">
        <v>136</v>
      </c>
      <c r="K45" s="184" t="str">
        <f>'テンプレート'!K56</f>
        <v>ベクトル</v>
      </c>
      <c r="L45" s="184" t="str">
        <f>'テンプレート'!L56</f>
        <v>KBG (R.E.)</v>
      </c>
      <c r="M45" s="184" t="str">
        <f>'テンプレート'!M56</f>
        <v>BKB (R.A.)</v>
      </c>
      <c r="N45" s="184" t="str">
        <f>'テンプレート'!N56</f>
        <v>FKB (R.F.)</v>
      </c>
      <c r="O45" s="186" t="str">
        <f>'テンプレート'!O56</f>
        <v>盾削り値</v>
      </c>
      <c r="P45" s="184" t="str">
        <f>'テンプレート'!P56</f>
        <v>ﾋｯﾄｽﾄｯﾌﾟ</v>
      </c>
      <c r="Q45" s="186" t="str">
        <f>'テンプレート'!Q56</f>
        <v>ずらし</v>
      </c>
      <c r="R45" s="372" t="str">
        <f>'テンプレート'!R56</f>
        <v>備考</v>
      </c>
      <c r="S45" s="110"/>
      <c r="T45" s="110"/>
      <c r="U45" s="110"/>
      <c r="V45" s="110"/>
    </row>
    <row r="46" outlineLevel="1">
      <c r="A46" s="188" t="s">
        <v>144</v>
      </c>
      <c r="B46" s="773"/>
      <c r="C46" s="534" t="s">
        <v>1596</v>
      </c>
      <c r="D46" s="374" t="s">
        <v>146</v>
      </c>
      <c r="E46" s="453">
        <v>5.88</v>
      </c>
      <c r="F46" s="193">
        <v>7.056</v>
      </c>
      <c r="G46" s="193">
        <v>5.9976</v>
      </c>
      <c r="H46" s="138" t="s">
        <v>60</v>
      </c>
      <c r="I46" s="194" t="str">
        <f t="array" ref="I46">INDEX('空中攻撃'!$O$3:$AA$109, MATCH($A$1,'空中攻撃'!$A$3:$A$109,0), MATCH(A46,'空中攻撃'!$O$2:$S$2,0))</f>
        <v>7</v>
      </c>
      <c r="J46" s="195" t="s">
        <v>581</v>
      </c>
      <c r="K46" s="1123"/>
      <c r="L46" s="1123"/>
      <c r="M46" s="1123"/>
      <c r="N46" s="1123"/>
      <c r="O46" s="376">
        <v>0.0</v>
      </c>
      <c r="P46" s="376">
        <v>1.0</v>
      </c>
      <c r="Q46" s="376">
        <v>1.0</v>
      </c>
      <c r="R46" s="1124"/>
      <c r="S46" s="164"/>
      <c r="T46" s="164"/>
      <c r="U46" s="164"/>
      <c r="V46" s="104"/>
    </row>
    <row r="47" outlineLevel="1">
      <c r="A47" s="156"/>
      <c r="B47" s="206" t="s">
        <v>84</v>
      </c>
      <c r="C47" s="536" t="s">
        <v>1597</v>
      </c>
      <c r="D47" s="107"/>
      <c r="E47" s="1125" t="s">
        <v>1598</v>
      </c>
      <c r="F47" s="193">
        <v>14.112</v>
      </c>
      <c r="G47" s="193">
        <v>11.9952</v>
      </c>
      <c r="H47" s="138" t="s">
        <v>75</v>
      </c>
      <c r="I47" s="156"/>
      <c r="J47" s="107"/>
      <c r="K47" s="1123"/>
      <c r="L47" s="1123"/>
      <c r="M47" s="1123"/>
      <c r="N47" s="1123"/>
      <c r="O47" s="376">
        <v>0.0</v>
      </c>
      <c r="P47" s="376">
        <v>1.0</v>
      </c>
      <c r="Q47" s="376">
        <v>1.0</v>
      </c>
      <c r="R47" s="106"/>
      <c r="S47" s="168"/>
      <c r="T47" s="168"/>
      <c r="U47" s="168"/>
      <c r="V47" s="107"/>
    </row>
    <row r="48" outlineLevel="1">
      <c r="A48" s="188" t="s">
        <v>151</v>
      </c>
      <c r="B48" s="206" t="s">
        <v>152</v>
      </c>
      <c r="C48" s="1126" t="s">
        <v>153</v>
      </c>
      <c r="D48" s="374">
        <v>59.0</v>
      </c>
      <c r="E48" s="458">
        <v>11.76</v>
      </c>
      <c r="F48" s="193">
        <v>14.112</v>
      </c>
      <c r="G48" s="193">
        <v>11.9952</v>
      </c>
      <c r="H48" s="138" t="s">
        <v>75</v>
      </c>
      <c r="I48" s="194" t="str">
        <f t="array" ref="I48">INDEX('空中攻撃'!$O$3:$AA$109, MATCH($A$1,'空中攻撃'!$A$3:$A$109,0), MATCH(A48,'空中攻撃'!$O$2:$S$2,0))</f>
        <v>17</v>
      </c>
      <c r="J48" s="195" t="s">
        <v>154</v>
      </c>
      <c r="K48" s="1123"/>
      <c r="L48" s="1123"/>
      <c r="M48" s="1123"/>
      <c r="N48" s="1123"/>
      <c r="O48" s="376">
        <v>0.0</v>
      </c>
      <c r="P48" s="376">
        <v>1.0</v>
      </c>
      <c r="Q48" s="376">
        <v>1.0</v>
      </c>
      <c r="R48" s="1124"/>
      <c r="S48" s="164"/>
      <c r="T48" s="164"/>
      <c r="U48" s="164"/>
      <c r="V48" s="104"/>
    </row>
    <row r="49" outlineLevel="1">
      <c r="A49" s="146"/>
      <c r="B49" s="206"/>
      <c r="C49" s="1126" t="s">
        <v>156</v>
      </c>
      <c r="D49" s="210"/>
      <c r="E49" s="458">
        <v>17.64</v>
      </c>
      <c r="F49" s="193">
        <v>21.168</v>
      </c>
      <c r="G49" s="193">
        <v>17.9928</v>
      </c>
      <c r="H49" s="138" t="s">
        <v>102</v>
      </c>
      <c r="I49" s="146"/>
      <c r="J49" s="210"/>
      <c r="K49" s="1123"/>
      <c r="L49" s="1123"/>
      <c r="M49" s="1123"/>
      <c r="N49" s="1123"/>
      <c r="O49" s="376">
        <v>0.0</v>
      </c>
      <c r="P49" s="376">
        <v>1.0</v>
      </c>
      <c r="Q49" s="376">
        <v>1.0</v>
      </c>
      <c r="R49" s="212"/>
      <c r="V49" s="210"/>
    </row>
    <row r="50" outlineLevel="1">
      <c r="A50" s="156"/>
      <c r="B50" s="206" t="s">
        <v>84</v>
      </c>
      <c r="C50" s="1126" t="s">
        <v>65</v>
      </c>
      <c r="D50" s="107"/>
      <c r="E50" s="458">
        <v>10.584</v>
      </c>
      <c r="F50" s="193">
        <v>12.7008</v>
      </c>
      <c r="G50" s="193">
        <v>10.79568</v>
      </c>
      <c r="H50" s="138" t="s">
        <v>147</v>
      </c>
      <c r="I50" s="156"/>
      <c r="J50" s="107"/>
      <c r="K50" s="1123"/>
      <c r="L50" s="1123"/>
      <c r="M50" s="1123"/>
      <c r="N50" s="1123"/>
      <c r="O50" s="376">
        <v>0.0</v>
      </c>
      <c r="P50" s="376">
        <v>1.0</v>
      </c>
      <c r="Q50" s="376">
        <v>1.0</v>
      </c>
      <c r="R50" s="106"/>
      <c r="S50" s="168"/>
      <c r="T50" s="168"/>
      <c r="U50" s="168"/>
      <c r="V50" s="107"/>
    </row>
    <row r="51" outlineLevel="1">
      <c r="A51" s="188" t="s">
        <v>157</v>
      </c>
      <c r="B51" s="206"/>
      <c r="C51" s="149" t="s">
        <v>1599</v>
      </c>
      <c r="D51" s="374">
        <v>33.0</v>
      </c>
      <c r="E51" s="150">
        <v>14.111999999999998</v>
      </c>
      <c r="F51" s="193">
        <v>16.9344</v>
      </c>
      <c r="G51" s="193">
        <v>14.39424</v>
      </c>
      <c r="H51" s="138" t="s">
        <v>75</v>
      </c>
      <c r="I51" s="194">
        <f t="array" ref="I51">INDEX('空中攻撃'!$O$3:$AA$109, MATCH($A$1,'空中攻撃'!$A$3:$A$109,0), MATCH(A51,'空中攻撃'!$O$2:$S$2,0))</f>
        <v>10</v>
      </c>
      <c r="J51" s="195" t="s">
        <v>160</v>
      </c>
      <c r="K51" s="1123"/>
      <c r="L51" s="1123"/>
      <c r="M51" s="1123"/>
      <c r="N51" s="1123"/>
      <c r="O51" s="376">
        <v>0.0</v>
      </c>
      <c r="P51" s="376">
        <v>1.0</v>
      </c>
      <c r="Q51" s="376">
        <v>1.0</v>
      </c>
      <c r="R51" s="1124"/>
      <c r="S51" s="164"/>
      <c r="T51" s="164"/>
      <c r="U51" s="164"/>
      <c r="V51" s="104"/>
    </row>
    <row r="52" outlineLevel="1">
      <c r="A52" s="156"/>
      <c r="B52" s="206" t="s">
        <v>84</v>
      </c>
      <c r="C52" s="149" t="s">
        <v>505</v>
      </c>
      <c r="D52" s="107"/>
      <c r="E52" s="150">
        <v>8.232</v>
      </c>
      <c r="F52" s="193">
        <v>9.8784</v>
      </c>
      <c r="G52" s="193">
        <v>8.39664</v>
      </c>
      <c r="H52" s="138" t="s">
        <v>147</v>
      </c>
      <c r="I52" s="156"/>
      <c r="J52" s="107"/>
      <c r="K52" s="1123"/>
      <c r="L52" s="1123"/>
      <c r="M52" s="1123"/>
      <c r="N52" s="1123"/>
      <c r="O52" s="376">
        <v>0.0</v>
      </c>
      <c r="P52" s="376">
        <v>1.0</v>
      </c>
      <c r="Q52" s="376">
        <v>1.0</v>
      </c>
      <c r="R52" s="106"/>
      <c r="S52" s="168"/>
      <c r="T52" s="168"/>
      <c r="U52" s="168"/>
      <c r="V52" s="107"/>
    </row>
    <row r="53" outlineLevel="1">
      <c r="A53" s="213" t="s">
        <v>162</v>
      </c>
      <c r="B53" s="206"/>
      <c r="C53" s="149" t="s">
        <v>163</v>
      </c>
      <c r="D53" s="216" t="s">
        <v>164</v>
      </c>
      <c r="E53" s="531">
        <v>11.995199999999999</v>
      </c>
      <c r="F53" s="193">
        <v>14.394239999999998</v>
      </c>
      <c r="G53" s="193">
        <v>12.235103999999998</v>
      </c>
      <c r="H53" s="138" t="s">
        <v>147</v>
      </c>
      <c r="I53" s="215" t="str">
        <f t="array" ref="I53">INDEX('空中攻撃'!$O$3:$AA$109, MATCH($A$1,'空中攻撃'!$A$3:$A$109,0), MATCH(A53,'空中攻撃'!$O$2:$S$2,0))</f>
        <v>8</v>
      </c>
      <c r="J53" s="216" t="s">
        <v>165</v>
      </c>
      <c r="K53" s="1123"/>
      <c r="L53" s="1123"/>
      <c r="M53" s="1123"/>
      <c r="N53" s="1123"/>
      <c r="O53" s="376">
        <v>0.0</v>
      </c>
      <c r="P53" s="376">
        <v>1.0</v>
      </c>
      <c r="Q53" s="376">
        <v>1.0</v>
      </c>
      <c r="R53" s="1127"/>
      <c r="S53" s="110"/>
      <c r="T53" s="110"/>
      <c r="U53" s="110"/>
      <c r="V53" s="109"/>
    </row>
    <row r="54" outlineLevel="1">
      <c r="A54" s="213" t="s">
        <v>166</v>
      </c>
      <c r="B54" s="219"/>
      <c r="C54" s="450" t="s">
        <v>1111</v>
      </c>
      <c r="D54" s="450" t="s">
        <v>221</v>
      </c>
      <c r="E54" s="150">
        <v>14.111999999999998</v>
      </c>
      <c r="F54" s="193">
        <v>16.9344</v>
      </c>
      <c r="G54" s="193">
        <v>14.39424</v>
      </c>
      <c r="H54" s="138" t="s">
        <v>75</v>
      </c>
      <c r="I54" s="215">
        <f t="array" ref="I54">INDEX('空中攻撃'!$O$3:$AA$109, MATCH($A$1,'空中攻撃'!$A$3:$A$109,0), MATCH(A54,'空中攻撃'!$O$2:$S$2,0))</f>
        <v>13</v>
      </c>
      <c r="J54" s="450" t="s">
        <v>1600</v>
      </c>
      <c r="K54" s="1123"/>
      <c r="L54" s="1123"/>
      <c r="M54" s="1123"/>
      <c r="N54" s="1123"/>
      <c r="O54" s="376">
        <v>0.0</v>
      </c>
      <c r="P54" s="376">
        <v>1.0</v>
      </c>
      <c r="Q54" s="376">
        <v>1.0</v>
      </c>
      <c r="R54" s="159"/>
      <c r="S54" s="110"/>
      <c r="T54" s="110"/>
      <c r="U54" s="110"/>
      <c r="V54" s="109"/>
    </row>
    <row r="55">
      <c r="A55" s="223"/>
      <c r="B55" s="224"/>
      <c r="C55" s="225"/>
      <c r="D55" s="225"/>
      <c r="E55" s="226"/>
      <c r="F55" s="226"/>
      <c r="G55" s="226"/>
      <c r="H55" s="227"/>
      <c r="I55" s="227"/>
      <c r="J55" s="228"/>
      <c r="K55" s="228"/>
      <c r="L55" s="228"/>
      <c r="M55" s="228"/>
      <c r="N55" s="228"/>
      <c r="O55" s="228"/>
      <c r="P55" s="228"/>
      <c r="Q55" s="118"/>
      <c r="R55" s="118"/>
      <c r="S55" s="118"/>
      <c r="T55" s="118"/>
      <c r="U55" s="118"/>
      <c r="V55" s="118"/>
    </row>
    <row r="56">
      <c r="A56" s="229" t="s">
        <v>177</v>
      </c>
      <c r="B56" s="109"/>
      <c r="C56" s="225"/>
      <c r="D56" s="225"/>
      <c r="E56" s="226"/>
      <c r="F56" s="226"/>
      <c r="G56" s="226"/>
      <c r="H56" s="227"/>
      <c r="I56" s="227"/>
      <c r="J56" s="228"/>
      <c r="K56" s="228"/>
      <c r="L56" s="228"/>
      <c r="M56" s="228"/>
      <c r="N56" s="228"/>
      <c r="O56" s="228"/>
      <c r="P56" s="228"/>
      <c r="Q56" s="118"/>
      <c r="R56" s="118"/>
      <c r="S56" s="118"/>
      <c r="T56" s="118"/>
      <c r="U56" s="118"/>
      <c r="V56" s="118"/>
    </row>
    <row r="57" outlineLevel="1">
      <c r="A57" s="230" t="s">
        <v>1601</v>
      </c>
      <c r="B57" s="109"/>
      <c r="C57" s="231" t="s">
        <v>48</v>
      </c>
      <c r="D57" s="231" t="s">
        <v>49</v>
      </c>
      <c r="E57" s="232" t="s">
        <v>50</v>
      </c>
      <c r="F57" s="233" t="s">
        <v>51</v>
      </c>
      <c r="G57" s="232" t="str">
        <f>'テンプレート'!G72</f>
        <v>ガード硬直</v>
      </c>
      <c r="H57" s="382" t="str">
        <f>'テンプレート'!H72</f>
        <v>備考</v>
      </c>
      <c r="I57" s="110"/>
      <c r="J57" s="109"/>
      <c r="K57" s="235" t="str">
        <f>'テンプレート'!K72</f>
        <v>ベクトル</v>
      </c>
      <c r="L57" s="235" t="str">
        <f>'テンプレート'!L72</f>
        <v>KBG (R.E.)</v>
      </c>
      <c r="M57" s="235" t="str">
        <f>'テンプレート'!M72</f>
        <v>BKB (R.A.)</v>
      </c>
      <c r="N57" s="235" t="str">
        <f>'テンプレート'!N72</f>
        <v>FKB (R.F.)</v>
      </c>
      <c r="O57" s="236" t="str">
        <f>'テンプレート'!O72</f>
        <v>盾削り値</v>
      </c>
      <c r="P57" s="235" t="str">
        <f>'テンプレート'!P72</f>
        <v>ﾋｯﾄｽﾄｯﾌﾟ</v>
      </c>
      <c r="Q57" s="236" t="str">
        <f>'テンプレート'!Q72</f>
        <v>ずらし</v>
      </c>
      <c r="R57" s="235" t="str">
        <f>'テンプレート'!R72</f>
        <v>相殺</v>
      </c>
      <c r="S57" s="236" t="str">
        <f>'テンプレート'!S72</f>
        <v>相殺ﾓｰｼｮﾝ</v>
      </c>
      <c r="T57" s="236" t="str">
        <f>'テンプレート'!T72</f>
        <v>飛び道具</v>
      </c>
      <c r="U57" s="236" t="str">
        <f>'テンプレート'!U72</f>
        <v>慣性反転</v>
      </c>
      <c r="V57" s="236" t="str">
        <f>'テンプレート'!V72</f>
        <v>向き反転</v>
      </c>
    </row>
    <row r="58" outlineLevel="1">
      <c r="A58" s="237" t="s">
        <v>184</v>
      </c>
      <c r="B58" s="238"/>
      <c r="C58" s="534" t="s">
        <v>1602</v>
      </c>
      <c r="D58" s="195" t="s">
        <v>185</v>
      </c>
      <c r="E58" s="239">
        <v>5.88</v>
      </c>
      <c r="F58" s="138">
        <v>7.056</v>
      </c>
      <c r="G58" s="239" t="s">
        <v>60</v>
      </c>
      <c r="H58" s="550"/>
      <c r="I58" s="164"/>
      <c r="J58" s="104"/>
      <c r="K58" s="253"/>
      <c r="L58" s="253"/>
      <c r="M58" s="253"/>
      <c r="N58" s="253"/>
      <c r="O58" s="138">
        <v>0.0</v>
      </c>
      <c r="P58" s="138">
        <v>1.0</v>
      </c>
      <c r="Q58" s="138">
        <v>1.0</v>
      </c>
      <c r="R58" s="145" t="b">
        <v>1</v>
      </c>
      <c r="S58" s="145" t="b">
        <v>0</v>
      </c>
      <c r="T58" s="145" t="b">
        <v>1</v>
      </c>
      <c r="U58" s="166" t="s">
        <v>186</v>
      </c>
      <c r="V58" s="166" t="b">
        <v>1</v>
      </c>
    </row>
    <row r="59" outlineLevel="1">
      <c r="A59" s="146"/>
      <c r="B59" s="777" t="s">
        <v>187</v>
      </c>
      <c r="C59" s="536" t="s">
        <v>1603</v>
      </c>
      <c r="D59" s="210"/>
      <c r="E59" s="239">
        <v>5.88</v>
      </c>
      <c r="F59" s="138">
        <v>7.056</v>
      </c>
      <c r="G59" s="239" t="s">
        <v>60</v>
      </c>
      <c r="H59" s="212"/>
      <c r="J59" s="210"/>
      <c r="K59" s="253"/>
      <c r="L59" s="253"/>
      <c r="M59" s="253"/>
      <c r="N59" s="253"/>
      <c r="O59" s="138"/>
      <c r="P59" s="138"/>
      <c r="Q59" s="138"/>
      <c r="R59" s="145" t="b">
        <v>0</v>
      </c>
      <c r="S59" s="145" t="b">
        <v>0</v>
      </c>
      <c r="T59" s="145" t="b">
        <v>0</v>
      </c>
      <c r="U59" s="146"/>
      <c r="V59" s="146"/>
    </row>
    <row r="60" outlineLevel="1">
      <c r="A60" s="146"/>
      <c r="B60" s="777" t="s">
        <v>189</v>
      </c>
      <c r="C60" s="536" t="s">
        <v>190</v>
      </c>
      <c r="D60" s="107"/>
      <c r="E60" s="239">
        <v>4.704</v>
      </c>
      <c r="F60" s="138">
        <v>5.644799999999999</v>
      </c>
      <c r="G60" s="239" t="s">
        <v>60</v>
      </c>
      <c r="H60" s="106"/>
      <c r="I60" s="168"/>
      <c r="J60" s="107"/>
      <c r="K60" s="253"/>
      <c r="L60" s="253"/>
      <c r="M60" s="253"/>
      <c r="N60" s="253"/>
      <c r="O60" s="138">
        <v>0.0</v>
      </c>
      <c r="P60" s="138">
        <v>1.0</v>
      </c>
      <c r="Q60" s="138">
        <v>1.0</v>
      </c>
      <c r="R60" s="145" t="b">
        <v>1</v>
      </c>
      <c r="S60" s="145" t="b">
        <v>0</v>
      </c>
      <c r="T60" s="145" t="b">
        <v>1</v>
      </c>
      <c r="U60" s="156"/>
      <c r="V60" s="156"/>
    </row>
    <row r="61" outlineLevel="1">
      <c r="A61" s="230" t="s">
        <v>1604</v>
      </c>
      <c r="B61" s="109"/>
      <c r="C61" s="231" t="s">
        <v>48</v>
      </c>
      <c r="D61" s="231" t="s">
        <v>49</v>
      </c>
      <c r="E61" s="232" t="s">
        <v>50</v>
      </c>
      <c r="F61" s="233" t="s">
        <v>51</v>
      </c>
      <c r="G61" s="232" t="str">
        <f>'テンプレート'!G75</f>
        <v>ガード硬直</v>
      </c>
      <c r="H61" s="382" t="str">
        <f>'テンプレート'!H75</f>
        <v>備考</v>
      </c>
      <c r="I61" s="110"/>
      <c r="J61" s="109"/>
      <c r="K61" s="235" t="str">
        <f>'テンプレート'!K75</f>
        <v>ベクトル</v>
      </c>
      <c r="L61" s="235" t="str">
        <f>'テンプレート'!L75</f>
        <v>KBG (R.E.)</v>
      </c>
      <c r="M61" s="235" t="str">
        <f>'テンプレート'!M75</f>
        <v>BKB (R.A.)</v>
      </c>
      <c r="N61" s="235" t="str">
        <f>'テンプレート'!N75</f>
        <v>FKB (R.F.)</v>
      </c>
      <c r="O61" s="236" t="str">
        <f>'テンプレート'!O75</f>
        <v>盾削り値</v>
      </c>
      <c r="P61" s="235" t="str">
        <f>'テンプレート'!P75</f>
        <v>ﾋｯﾄｽﾄｯﾌﾟ</v>
      </c>
      <c r="Q61" s="236" t="str">
        <f>'テンプレート'!Q75</f>
        <v>ずらし</v>
      </c>
      <c r="R61" s="235" t="str">
        <f>'テンプレート'!R75</f>
        <v>相殺</v>
      </c>
      <c r="S61" s="236" t="str">
        <f>'テンプレート'!S75</f>
        <v>相殺ﾓｰｼｮﾝ</v>
      </c>
      <c r="T61" s="236" t="str">
        <f>'テンプレート'!T75</f>
        <v>飛び道具</v>
      </c>
      <c r="U61" s="236" t="str">
        <f>'テンプレート'!U75</f>
        <v>慣性反転</v>
      </c>
      <c r="V61" s="236" t="str">
        <f>'テンプレート'!V75</f>
        <v>向き反転</v>
      </c>
    </row>
    <row r="62" outlineLevel="1">
      <c r="A62" s="237" t="s">
        <v>184</v>
      </c>
      <c r="B62" s="243"/>
      <c r="C62" s="365" t="s">
        <v>1605</v>
      </c>
      <c r="D62" s="467" t="s">
        <v>193</v>
      </c>
      <c r="E62" s="239">
        <v>8.232</v>
      </c>
      <c r="F62" s="138">
        <v>9.8784</v>
      </c>
      <c r="G62" s="239" t="s">
        <v>123</v>
      </c>
      <c r="H62" s="140" t="s">
        <v>1606</v>
      </c>
      <c r="I62" s="110"/>
      <c r="J62" s="109"/>
      <c r="K62" s="253"/>
      <c r="L62" s="253"/>
      <c r="M62" s="253"/>
      <c r="N62" s="253"/>
      <c r="O62" s="138">
        <v>4.0</v>
      </c>
      <c r="P62" s="138">
        <v>1.0</v>
      </c>
      <c r="Q62" s="138">
        <v>1.0</v>
      </c>
      <c r="R62" s="145" t="b">
        <v>0</v>
      </c>
      <c r="S62" s="145" t="b">
        <v>0</v>
      </c>
      <c r="T62" s="145"/>
      <c r="U62" s="145" t="s">
        <v>186</v>
      </c>
      <c r="V62" s="145" t="b">
        <v>1</v>
      </c>
    </row>
    <row r="63" outlineLevel="1">
      <c r="A63" s="230" t="s">
        <v>195</v>
      </c>
      <c r="B63" s="109"/>
      <c r="C63" s="231" t="s">
        <v>48</v>
      </c>
      <c r="D63" s="231" t="s">
        <v>49</v>
      </c>
      <c r="E63" s="232" t="s">
        <v>50</v>
      </c>
      <c r="F63" s="233" t="s">
        <v>51</v>
      </c>
      <c r="G63" s="232" t="str">
        <f>'テンプレート'!G80</f>
        <v>ガード硬直</v>
      </c>
      <c r="H63" s="382" t="str">
        <f>'テンプレート'!H80</f>
        <v>備考</v>
      </c>
      <c r="I63" s="110"/>
      <c r="J63" s="109"/>
      <c r="K63" s="235" t="str">
        <f>'テンプレート'!K80</f>
        <v>ベクトル</v>
      </c>
      <c r="L63" s="235" t="str">
        <f>'テンプレート'!L80</f>
        <v>KBG (R.E.)</v>
      </c>
      <c r="M63" s="235" t="str">
        <f>'テンプレート'!M80</f>
        <v>BKB (R.A.)</v>
      </c>
      <c r="N63" s="235" t="str">
        <f>'テンプレート'!N80</f>
        <v>FKB (R.F.)</v>
      </c>
      <c r="O63" s="236" t="str">
        <f>'テンプレート'!O80</f>
        <v>盾削り値</v>
      </c>
      <c r="P63" s="235" t="str">
        <f>'テンプレート'!P80</f>
        <v>ﾋｯﾄｽﾄｯﾌﾟ</v>
      </c>
      <c r="Q63" s="236" t="str">
        <f>'テンプレート'!Q80</f>
        <v>ずらし</v>
      </c>
      <c r="R63" s="235" t="str">
        <f>'テンプレート'!R80</f>
        <v>相殺</v>
      </c>
      <c r="S63" s="236" t="str">
        <f>'テンプレート'!S80</f>
        <v>相殺ﾓｰｼｮﾝ</v>
      </c>
      <c r="T63" s="236" t="str">
        <f>'テンプレート'!T80</f>
        <v>飛び道具</v>
      </c>
      <c r="U63" s="236" t="str">
        <f>'テンプレート'!U80</f>
        <v>慣性反転</v>
      </c>
      <c r="V63" s="236" t="str">
        <f>'テンプレート'!V80</f>
        <v>向き反転</v>
      </c>
    </row>
    <row r="64" ht="21.0" customHeight="1" outlineLevel="1">
      <c r="A64" s="237" t="s">
        <v>184</v>
      </c>
      <c r="B64" s="249"/>
      <c r="C64" s="136" t="s">
        <v>818</v>
      </c>
      <c r="D64" s="400"/>
      <c r="E64" s="239">
        <v>14.111999999999998</v>
      </c>
      <c r="F64" s="138">
        <v>16.934399999999997</v>
      </c>
      <c r="G64" s="239" t="s">
        <v>297</v>
      </c>
      <c r="H64" s="163" t="s">
        <v>1607</v>
      </c>
      <c r="I64" s="164"/>
      <c r="J64" s="104"/>
      <c r="K64" s="253"/>
      <c r="L64" s="253"/>
      <c r="M64" s="253"/>
      <c r="N64" s="253"/>
      <c r="O64" s="138">
        <v>0.0</v>
      </c>
      <c r="P64" s="138">
        <v>1.0</v>
      </c>
      <c r="Q64" s="138">
        <v>1.0</v>
      </c>
      <c r="R64" s="145" t="b">
        <v>1</v>
      </c>
      <c r="S64" s="145" t="b">
        <v>0</v>
      </c>
      <c r="T64" s="145"/>
      <c r="U64" s="166" t="s">
        <v>198</v>
      </c>
      <c r="V64" s="166" t="b">
        <v>0</v>
      </c>
    </row>
    <row r="65" ht="21.0" customHeight="1" outlineLevel="1">
      <c r="A65" s="146"/>
      <c r="B65" s="255" t="s">
        <v>84</v>
      </c>
      <c r="C65" s="149" t="s">
        <v>1608</v>
      </c>
      <c r="D65" s="156"/>
      <c r="E65" s="239">
        <v>7.055999999999999</v>
      </c>
      <c r="F65" s="138">
        <v>8.467199999999998</v>
      </c>
      <c r="G65" s="239" t="s">
        <v>95</v>
      </c>
      <c r="H65" s="106"/>
      <c r="I65" s="168"/>
      <c r="J65" s="107"/>
      <c r="K65" s="253"/>
      <c r="L65" s="253"/>
      <c r="M65" s="253"/>
      <c r="N65" s="253"/>
      <c r="O65" s="138">
        <v>0.0</v>
      </c>
      <c r="P65" s="138">
        <v>1.0</v>
      </c>
      <c r="Q65" s="138">
        <v>1.0</v>
      </c>
      <c r="R65" s="145" t="b">
        <v>1</v>
      </c>
      <c r="S65" s="145" t="b">
        <v>0</v>
      </c>
      <c r="T65" s="145"/>
      <c r="U65" s="156"/>
      <c r="V65" s="156"/>
    </row>
    <row r="66" outlineLevel="1">
      <c r="A66" s="230" t="s">
        <v>1609</v>
      </c>
      <c r="B66" s="109"/>
      <c r="C66" s="231" t="s">
        <v>48</v>
      </c>
      <c r="D66" s="231" t="s">
        <v>49</v>
      </c>
      <c r="E66" s="232" t="s">
        <v>50</v>
      </c>
      <c r="F66" s="233" t="s">
        <v>51</v>
      </c>
      <c r="G66" s="232" t="str">
        <f>'テンプレート'!G85</f>
        <v>ガード硬直</v>
      </c>
      <c r="H66" s="382" t="str">
        <f>'テンプレート'!H85</f>
        <v>備考</v>
      </c>
      <c r="I66" s="110"/>
      <c r="J66" s="109"/>
      <c r="K66" s="235" t="str">
        <f>'テンプレート'!K85</f>
        <v>ベクトル</v>
      </c>
      <c r="L66" s="235" t="str">
        <f>'テンプレート'!L85</f>
        <v>KBG (R.E.)</v>
      </c>
      <c r="M66" s="235" t="str">
        <f>'テンプレート'!M85</f>
        <v>BKB (R.A.)</v>
      </c>
      <c r="N66" s="235" t="str">
        <f>'テンプレート'!N85</f>
        <v>FKB (R.F.)</v>
      </c>
      <c r="O66" s="236" t="str">
        <f>'テンプレート'!O85</f>
        <v>盾削り値</v>
      </c>
      <c r="P66" s="235" t="str">
        <f>'テンプレート'!P85</f>
        <v>ﾋｯﾄｽﾄｯﾌﾟ</v>
      </c>
      <c r="Q66" s="236" t="str">
        <f>'テンプレート'!Q85</f>
        <v>ずらし</v>
      </c>
      <c r="R66" s="235" t="str">
        <f>'テンプレート'!R85</f>
        <v>相殺</v>
      </c>
      <c r="S66" s="236" t="str">
        <f>'テンプレート'!S85</f>
        <v>相殺ﾓｰｼｮﾝ</v>
      </c>
      <c r="T66" s="236" t="str">
        <f>'テンプレート'!T85</f>
        <v>飛び道具</v>
      </c>
      <c r="U66" s="236" t="str">
        <f>'テンプレート'!U85</f>
        <v>慣性反転</v>
      </c>
      <c r="V66" s="236" t="str">
        <f>'テンプレート'!V85</f>
        <v>向き反転</v>
      </c>
    </row>
    <row r="67" outlineLevel="1">
      <c r="A67" s="237" t="s">
        <v>184</v>
      </c>
      <c r="B67" s="249" t="s">
        <v>655</v>
      </c>
      <c r="C67" s="1128" t="s">
        <v>1610</v>
      </c>
      <c r="D67" s="367" t="s">
        <v>936</v>
      </c>
      <c r="E67" s="239">
        <v>1.8816</v>
      </c>
      <c r="F67" s="138">
        <v>2.25792</v>
      </c>
      <c r="G67" s="239" t="s">
        <v>60</v>
      </c>
      <c r="H67" s="386" t="s">
        <v>1611</v>
      </c>
      <c r="I67" s="164"/>
      <c r="J67" s="104"/>
      <c r="K67" s="253"/>
      <c r="L67" s="253"/>
      <c r="M67" s="253"/>
      <c r="N67" s="253"/>
      <c r="O67" s="138">
        <v>0.0</v>
      </c>
      <c r="P67" s="138">
        <v>1.0</v>
      </c>
      <c r="Q67" s="138">
        <v>1.0</v>
      </c>
      <c r="R67" s="145" t="b">
        <v>1</v>
      </c>
      <c r="S67" s="145" t="b">
        <v>0</v>
      </c>
      <c r="T67" s="145" t="b">
        <v>0</v>
      </c>
      <c r="U67" s="166" t="s">
        <v>186</v>
      </c>
      <c r="V67" s="166" t="b">
        <v>1</v>
      </c>
    </row>
    <row r="68" outlineLevel="1">
      <c r="A68" s="156"/>
      <c r="B68" s="249" t="s">
        <v>365</v>
      </c>
      <c r="C68" s="1128" t="s">
        <v>1612</v>
      </c>
      <c r="D68" s="156"/>
      <c r="E68" s="239">
        <v>3.5279999999999996</v>
      </c>
      <c r="F68" s="138">
        <v>4.233599999999999</v>
      </c>
      <c r="G68" s="239" t="s">
        <v>147</v>
      </c>
      <c r="H68" s="106"/>
      <c r="I68" s="168"/>
      <c r="J68" s="107"/>
      <c r="K68" s="253"/>
      <c r="L68" s="253"/>
      <c r="M68" s="253"/>
      <c r="N68" s="253"/>
      <c r="O68" s="138">
        <v>0.0</v>
      </c>
      <c r="P68" s="138">
        <v>1.0</v>
      </c>
      <c r="Q68" s="138">
        <v>1.0</v>
      </c>
      <c r="R68" s="145" t="b">
        <v>1</v>
      </c>
      <c r="S68" s="145" t="b">
        <v>0</v>
      </c>
      <c r="T68" s="145" t="b">
        <v>0</v>
      </c>
      <c r="U68" s="156"/>
      <c r="V68" s="156"/>
    </row>
    <row r="69">
      <c r="A69" s="223"/>
      <c r="B69" s="224"/>
      <c r="C69" s="225"/>
      <c r="D69" s="225"/>
      <c r="E69" s="226"/>
      <c r="F69" s="226"/>
      <c r="G69" s="226"/>
      <c r="H69" s="227"/>
      <c r="I69" s="227"/>
      <c r="J69" s="228"/>
      <c r="K69" s="228"/>
      <c r="L69" s="228"/>
      <c r="M69" s="228"/>
      <c r="N69" s="228"/>
      <c r="O69" s="228"/>
      <c r="P69" s="228"/>
      <c r="Q69" s="118"/>
      <c r="R69" s="118"/>
      <c r="S69" s="118"/>
      <c r="T69" s="118"/>
      <c r="U69" s="118"/>
      <c r="V69" s="118"/>
    </row>
    <row r="70">
      <c r="A70" s="264" t="s">
        <v>211</v>
      </c>
      <c r="B70" s="104"/>
      <c r="C70" s="227"/>
      <c r="D70" s="227"/>
      <c r="E70" s="228"/>
      <c r="F70" s="265"/>
      <c r="G70" s="265"/>
      <c r="H70" s="228"/>
      <c r="I70" s="228"/>
      <c r="J70" s="228"/>
      <c r="K70" s="228"/>
      <c r="L70" s="228"/>
      <c r="M70" s="228"/>
      <c r="N70" s="118"/>
      <c r="O70" s="118"/>
      <c r="P70" s="118"/>
      <c r="Q70" s="228"/>
      <c r="R70" s="228"/>
      <c r="S70" s="228"/>
      <c r="T70" s="228"/>
      <c r="U70" s="228"/>
      <c r="V70" s="228"/>
    </row>
    <row r="71" outlineLevel="1">
      <c r="A71" s="106"/>
      <c r="B71" s="107"/>
      <c r="C71" s="266" t="s">
        <v>48</v>
      </c>
      <c r="D71" s="266" t="s">
        <v>49</v>
      </c>
      <c r="E71" s="266" t="s">
        <v>50</v>
      </c>
      <c r="F71" s="267" t="s">
        <v>51</v>
      </c>
      <c r="G71" s="227"/>
      <c r="H71" s="227"/>
      <c r="I71" s="227"/>
      <c r="J71" s="228"/>
      <c r="K71" s="228"/>
      <c r="L71" s="228"/>
      <c r="M71" s="228"/>
      <c r="N71" s="228"/>
      <c r="O71" s="228"/>
      <c r="P71" s="228"/>
      <c r="Q71" s="228"/>
      <c r="R71" s="228"/>
      <c r="S71" s="228"/>
      <c r="T71" s="228"/>
      <c r="U71" s="228"/>
      <c r="V71" s="228"/>
    </row>
    <row r="72" outlineLevel="1">
      <c r="A72" s="268" t="s">
        <v>212</v>
      </c>
      <c r="B72" s="269" t="s">
        <v>212</v>
      </c>
      <c r="C72" s="239" t="s">
        <v>213</v>
      </c>
      <c r="D72" s="239" t="s">
        <v>86</v>
      </c>
      <c r="E72" s="239">
        <v>1.5288</v>
      </c>
      <c r="F72" s="138">
        <v>1.8345599999999997</v>
      </c>
      <c r="G72" s="227"/>
      <c r="H72" s="227"/>
      <c r="I72" s="227"/>
      <c r="J72" s="228"/>
      <c r="K72" s="228"/>
      <c r="L72" s="228"/>
      <c r="M72" s="228"/>
      <c r="N72" s="228"/>
      <c r="O72" s="228"/>
      <c r="P72" s="228"/>
      <c r="Q72" s="228"/>
      <c r="R72" s="228"/>
      <c r="S72" s="228"/>
      <c r="T72" s="228"/>
      <c r="U72" s="228"/>
      <c r="V72" s="228"/>
    </row>
    <row r="73" outlineLevel="1">
      <c r="A73" s="270" t="s">
        <v>215</v>
      </c>
      <c r="B73" s="269" t="s">
        <v>216</v>
      </c>
      <c r="C73" s="239" t="s">
        <v>217</v>
      </c>
      <c r="D73" s="239" t="s">
        <v>218</v>
      </c>
      <c r="E73" s="271"/>
      <c r="F73" s="272"/>
      <c r="G73" s="272"/>
      <c r="H73" s="227"/>
      <c r="I73" s="227"/>
      <c r="J73" s="228"/>
      <c r="K73" s="228"/>
      <c r="L73" s="228"/>
      <c r="M73" s="228"/>
      <c r="N73" s="228"/>
      <c r="O73" s="228"/>
      <c r="P73" s="228"/>
      <c r="Q73" s="228"/>
      <c r="R73" s="228"/>
      <c r="S73" s="228"/>
      <c r="T73" s="228"/>
      <c r="U73" s="228"/>
      <c r="V73" s="228"/>
    </row>
    <row r="74" outlineLevel="1">
      <c r="A74" s="212"/>
      <c r="B74" s="269" t="s">
        <v>219</v>
      </c>
      <c r="C74" s="239" t="s">
        <v>220</v>
      </c>
      <c r="D74" s="239" t="s">
        <v>221</v>
      </c>
      <c r="E74" s="271"/>
      <c r="F74" s="272"/>
      <c r="G74" s="272"/>
      <c r="H74" s="227"/>
      <c r="I74" s="227"/>
      <c r="J74" s="228"/>
      <c r="K74" s="228"/>
      <c r="L74" s="228"/>
      <c r="M74" s="228"/>
      <c r="N74" s="228"/>
      <c r="O74" s="228"/>
      <c r="P74" s="228"/>
      <c r="Q74" s="228"/>
      <c r="R74" s="228"/>
      <c r="S74" s="228"/>
      <c r="T74" s="228"/>
      <c r="U74" s="228"/>
      <c r="V74" s="228"/>
    </row>
    <row r="75" outlineLevel="1">
      <c r="A75" s="106"/>
      <c r="B75" s="269" t="s">
        <v>222</v>
      </c>
      <c r="C75" s="239" t="s">
        <v>223</v>
      </c>
      <c r="D75" s="239" t="s">
        <v>224</v>
      </c>
      <c r="E75" s="227"/>
      <c r="F75" s="272"/>
      <c r="G75" s="272"/>
      <c r="H75" s="227"/>
      <c r="I75" s="227"/>
      <c r="J75" s="228"/>
      <c r="K75" s="228"/>
      <c r="L75" s="228"/>
      <c r="M75" s="228"/>
      <c r="N75" s="228"/>
      <c r="O75" s="228"/>
      <c r="P75" s="228"/>
      <c r="Q75" s="228"/>
      <c r="R75" s="228"/>
      <c r="S75" s="228"/>
      <c r="T75" s="228"/>
      <c r="U75" s="228"/>
      <c r="V75" s="228"/>
    </row>
    <row r="76" outlineLevel="1">
      <c r="A76" s="273" t="s">
        <v>225</v>
      </c>
      <c r="B76" s="109"/>
      <c r="C76" s="266" t="s">
        <v>48</v>
      </c>
      <c r="D76" s="266" t="s">
        <v>49</v>
      </c>
      <c r="E76" s="266" t="s">
        <v>50</v>
      </c>
      <c r="F76" s="267" t="s">
        <v>51</v>
      </c>
      <c r="G76" s="274" t="s">
        <v>53</v>
      </c>
      <c r="H76" s="110"/>
      <c r="I76" s="110"/>
      <c r="J76" s="109"/>
      <c r="K76" s="275" t="str">
        <f>'テンプレート'!K97</f>
        <v>ベクトル</v>
      </c>
      <c r="L76" s="275" t="str">
        <f>'テンプレート'!L97</f>
        <v>KBG (R.E.)</v>
      </c>
      <c r="M76" s="275" t="str">
        <f>'テンプレート'!M97</f>
        <v>BKB (R.A.)</v>
      </c>
      <c r="N76" s="275" t="str">
        <f>'テンプレート'!N97</f>
        <v>FKB (R.F.)</v>
      </c>
      <c r="O76" s="276" t="str">
        <f>'テンプレート'!O97</f>
        <v>盾削り値</v>
      </c>
      <c r="P76" s="275" t="str">
        <f>'テンプレート'!P97</f>
        <v>ﾋｯﾄｽﾄｯﾌﾟ</v>
      </c>
      <c r="Q76" s="276" t="str">
        <f>'テンプレート'!Q97</f>
        <v>ずらし</v>
      </c>
      <c r="R76" s="277"/>
      <c r="S76" s="277"/>
      <c r="T76" s="277"/>
      <c r="U76" s="277"/>
      <c r="V76" s="277"/>
    </row>
    <row r="77" outlineLevel="1">
      <c r="A77" s="278" t="s">
        <v>226</v>
      </c>
      <c r="B77" s="269" t="s">
        <v>227</v>
      </c>
      <c r="C77" s="261"/>
      <c r="D77" s="279">
        <v>27.0</v>
      </c>
      <c r="E77" s="261"/>
      <c r="F77" s="261"/>
      <c r="G77" s="1129"/>
      <c r="H77" s="164"/>
      <c r="I77" s="164"/>
      <c r="J77" s="104"/>
      <c r="K77" s="261"/>
      <c r="L77" s="261"/>
      <c r="M77" s="261"/>
      <c r="N77" s="261"/>
      <c r="O77" s="261"/>
      <c r="P77" s="261"/>
      <c r="Q77" s="261"/>
      <c r="R77" s="277"/>
      <c r="S77" s="228"/>
      <c r="T77" s="228"/>
      <c r="U77" s="228"/>
      <c r="V77" s="228"/>
    </row>
    <row r="78" outlineLevel="1">
      <c r="A78" s="156"/>
      <c r="B78" s="269" t="s">
        <v>225</v>
      </c>
      <c r="C78" s="113">
        <v>13.0</v>
      </c>
      <c r="D78" s="156"/>
      <c r="E78" s="239">
        <v>9.408</v>
      </c>
      <c r="F78" s="138">
        <v>11.289599999999998</v>
      </c>
      <c r="G78" s="106"/>
      <c r="H78" s="168"/>
      <c r="I78" s="168"/>
      <c r="J78" s="107"/>
      <c r="K78" s="787">
        <v>45.0</v>
      </c>
      <c r="L78" s="788">
        <v>65.0</v>
      </c>
      <c r="M78" s="789">
        <v>60.0</v>
      </c>
      <c r="N78" s="789">
        <v>0.0</v>
      </c>
      <c r="O78" s="261"/>
      <c r="P78" s="261"/>
      <c r="Q78" s="261"/>
      <c r="R78" s="277"/>
      <c r="S78" s="228"/>
      <c r="T78" s="228"/>
      <c r="U78" s="228"/>
      <c r="V78" s="228"/>
    </row>
    <row r="79" outlineLevel="1">
      <c r="A79" s="278" t="s">
        <v>229</v>
      </c>
      <c r="B79" s="269" t="s">
        <v>227</v>
      </c>
      <c r="C79" s="261"/>
      <c r="D79" s="279">
        <v>59.0</v>
      </c>
      <c r="E79" s="261"/>
      <c r="F79" s="261"/>
      <c r="G79" s="368"/>
      <c r="H79" s="164"/>
      <c r="I79" s="164"/>
      <c r="J79" s="104"/>
      <c r="K79" s="553"/>
      <c r="L79" s="553"/>
      <c r="M79" s="553"/>
      <c r="N79" s="553"/>
      <c r="O79" s="553"/>
      <c r="P79" s="553"/>
      <c r="Q79" s="553"/>
      <c r="R79" s="277"/>
      <c r="S79" s="228"/>
      <c r="T79" s="228"/>
      <c r="U79" s="228"/>
      <c r="V79" s="228"/>
    </row>
    <row r="80" outlineLevel="1">
      <c r="A80" s="156"/>
      <c r="B80" s="269" t="s">
        <v>225</v>
      </c>
      <c r="C80" s="239" t="s">
        <v>164</v>
      </c>
      <c r="D80" s="156"/>
      <c r="E80" s="239">
        <v>12.936</v>
      </c>
      <c r="F80" s="138">
        <v>15.5232</v>
      </c>
      <c r="G80" s="106"/>
      <c r="H80" s="168"/>
      <c r="I80" s="168"/>
      <c r="J80" s="107"/>
      <c r="K80" s="787">
        <v>45.0</v>
      </c>
      <c r="L80" s="788">
        <v>66.0</v>
      </c>
      <c r="M80" s="789">
        <v>70.0</v>
      </c>
      <c r="N80" s="789">
        <v>0.0</v>
      </c>
      <c r="O80" s="261"/>
      <c r="P80" s="261"/>
      <c r="Q80" s="261"/>
      <c r="R80" s="277"/>
      <c r="S80" s="228"/>
      <c r="T80" s="228"/>
      <c r="U80" s="228"/>
      <c r="V80" s="228"/>
    </row>
    <row r="81" outlineLevel="1">
      <c r="A81" s="278" t="s">
        <v>233</v>
      </c>
      <c r="B81" s="269" t="s">
        <v>227</v>
      </c>
      <c r="C81" s="261"/>
      <c r="D81" s="279">
        <v>39.0</v>
      </c>
      <c r="E81" s="261"/>
      <c r="F81" s="261"/>
      <c r="G81" s="1129"/>
      <c r="H81" s="164"/>
      <c r="I81" s="164"/>
      <c r="J81" s="104"/>
      <c r="K81" s="261"/>
      <c r="L81" s="261"/>
      <c r="M81" s="261"/>
      <c r="N81" s="261"/>
      <c r="O81" s="261"/>
      <c r="P81" s="261"/>
      <c r="Q81" s="261"/>
      <c r="R81" s="277"/>
      <c r="S81" s="228"/>
      <c r="T81" s="228"/>
      <c r="U81" s="228"/>
      <c r="V81" s="228"/>
    </row>
    <row r="82" outlineLevel="1">
      <c r="A82" s="156"/>
      <c r="B82" s="269" t="s">
        <v>225</v>
      </c>
      <c r="C82" s="113">
        <v>18.0</v>
      </c>
      <c r="D82" s="156"/>
      <c r="E82" s="239">
        <v>8.232</v>
      </c>
      <c r="F82" s="138">
        <v>9.8784</v>
      </c>
      <c r="G82" s="106"/>
      <c r="H82" s="168"/>
      <c r="I82" s="168"/>
      <c r="J82" s="107"/>
      <c r="K82" s="787">
        <v>90.0</v>
      </c>
      <c r="L82" s="788">
        <v>72.0</v>
      </c>
      <c r="M82" s="789">
        <v>70.0</v>
      </c>
      <c r="N82" s="789">
        <v>0.0</v>
      </c>
      <c r="O82" s="261"/>
      <c r="P82" s="261"/>
      <c r="Q82" s="261"/>
      <c r="R82" s="277"/>
      <c r="S82" s="117"/>
      <c r="T82" s="117"/>
      <c r="U82" s="117"/>
      <c r="V82" s="117"/>
    </row>
    <row r="83" outlineLevel="1">
      <c r="A83" s="278" t="s">
        <v>234</v>
      </c>
      <c r="B83" s="269" t="s">
        <v>227</v>
      </c>
      <c r="C83" s="261"/>
      <c r="D83" s="279">
        <v>39.0</v>
      </c>
      <c r="E83" s="261"/>
      <c r="F83" s="261"/>
      <c r="G83" s="1129"/>
      <c r="H83" s="164"/>
      <c r="I83" s="164"/>
      <c r="J83" s="104"/>
      <c r="K83" s="261"/>
      <c r="L83" s="261"/>
      <c r="M83" s="261"/>
      <c r="N83" s="261"/>
      <c r="O83" s="261"/>
      <c r="P83" s="261"/>
      <c r="Q83" s="261"/>
      <c r="R83" s="277"/>
      <c r="S83" s="117"/>
      <c r="T83" s="117"/>
      <c r="U83" s="117"/>
      <c r="V83" s="117"/>
    </row>
    <row r="84" outlineLevel="1">
      <c r="A84" s="156"/>
      <c r="B84" s="269" t="s">
        <v>225</v>
      </c>
      <c r="C84" s="113">
        <v>18.0</v>
      </c>
      <c r="D84" s="156"/>
      <c r="E84" s="239">
        <v>5.88</v>
      </c>
      <c r="F84" s="138">
        <v>7.056</v>
      </c>
      <c r="G84" s="106"/>
      <c r="H84" s="168"/>
      <c r="I84" s="168"/>
      <c r="J84" s="107"/>
      <c r="K84" s="787">
        <v>68.0</v>
      </c>
      <c r="L84" s="788">
        <v>90.0</v>
      </c>
      <c r="M84" s="789">
        <v>40.0</v>
      </c>
      <c r="N84" s="789">
        <v>0.0</v>
      </c>
      <c r="O84" s="261"/>
      <c r="P84" s="261"/>
      <c r="Q84" s="261"/>
      <c r="R84" s="277"/>
      <c r="S84" s="117"/>
      <c r="T84" s="117"/>
      <c r="U84" s="117"/>
      <c r="V84" s="117"/>
    </row>
    <row r="85">
      <c r="A85" s="223"/>
      <c r="B85" s="224"/>
      <c r="C85" s="225"/>
      <c r="D85" s="225"/>
      <c r="E85" s="227"/>
      <c r="F85" s="177"/>
      <c r="G85" s="177"/>
      <c r="H85" s="227"/>
      <c r="I85" s="227"/>
      <c r="J85" s="228"/>
      <c r="K85" s="228"/>
      <c r="L85" s="111"/>
      <c r="M85" s="111"/>
      <c r="N85" s="111"/>
      <c r="O85" s="117"/>
      <c r="P85" s="117"/>
      <c r="Q85" s="111"/>
      <c r="R85" s="111"/>
      <c r="S85" s="111"/>
      <c r="T85" s="111"/>
      <c r="U85" s="111"/>
      <c r="V85" s="111"/>
    </row>
    <row r="86">
      <c r="A86" s="284" t="s">
        <v>241</v>
      </c>
      <c r="B86" s="104"/>
      <c r="C86" s="265"/>
      <c r="D86" s="111"/>
      <c r="E86" s="111"/>
      <c r="F86" s="111"/>
      <c r="G86" s="111"/>
      <c r="H86" s="111"/>
      <c r="I86" s="111"/>
      <c r="J86" s="118"/>
      <c r="K86" s="111"/>
      <c r="L86" s="111"/>
      <c r="M86" s="111"/>
      <c r="N86" s="111"/>
      <c r="O86" s="111"/>
      <c r="P86" s="111"/>
      <c r="Q86" s="118"/>
      <c r="R86" s="111"/>
      <c r="S86" s="111"/>
      <c r="T86" s="111"/>
      <c r="U86" s="111"/>
      <c r="V86" s="111"/>
    </row>
    <row r="87" outlineLevel="1">
      <c r="A87" s="106"/>
      <c r="B87" s="107"/>
      <c r="C87" s="285" t="s">
        <v>235</v>
      </c>
      <c r="D87" s="285" t="s">
        <v>236</v>
      </c>
      <c r="E87" s="285" t="s">
        <v>49</v>
      </c>
      <c r="F87" s="285" t="s">
        <v>237</v>
      </c>
      <c r="G87" s="286"/>
      <c r="H87" s="227"/>
      <c r="I87" s="227"/>
      <c r="J87" s="228"/>
      <c r="K87" s="228"/>
      <c r="L87" s="111"/>
      <c r="M87" s="111"/>
      <c r="N87" s="111"/>
      <c r="O87" s="111"/>
      <c r="P87" s="111"/>
      <c r="Q87" s="111"/>
      <c r="R87" s="111"/>
      <c r="S87" s="111"/>
      <c r="T87" s="111"/>
      <c r="U87" s="111"/>
      <c r="V87" s="111"/>
    </row>
    <row r="88" outlineLevel="1">
      <c r="A88" s="287" t="s">
        <v>395</v>
      </c>
      <c r="B88" s="288" t="s">
        <v>216</v>
      </c>
      <c r="C88" s="113" t="str">
        <f t="array" ref="C88">INDEX('回避'!$C$3:$U$84, MATCH($A$1,'回避'!$A$3:$A$91,0), MATCH(C87,'回避'!$C$2:$F$2,0))</f>
        <v>3-17</v>
      </c>
      <c r="D88" s="113" t="str">
        <f t="array" ref="D88">INDEX('回避'!$C$3:$U$84, MATCH($A$1,'回避'!$A$3:$A$91,0), MATCH(D87,'回避'!$C$2:$F$2,0))</f>
        <v>6-17</v>
      </c>
      <c r="E88" s="113" t="str">
        <f t="array" ref="E88">INDEX('回避'!$C$3:$U$84, MATCH($A$1,'回避'!$A$3:$A$91,0), MATCH(E87,'回避'!$C$2:$F$2,0))</f>
        <v>25 (20)</v>
      </c>
      <c r="F88" s="113" t="str">
        <f t="array" ref="F88">INDEX('回避'!$C$3:$U$84, MATCH($A$1,'回避'!$A$3:$A$91,0), MATCH(F87,'回避'!$C$2:$F$2,0))</f>
        <v>33 (27)</v>
      </c>
      <c r="G88" s="272"/>
      <c r="H88" s="227"/>
      <c r="I88" s="227"/>
      <c r="J88" s="228"/>
      <c r="K88" s="228"/>
      <c r="L88" s="228"/>
      <c r="M88" s="111"/>
      <c r="N88" s="111"/>
      <c r="O88" s="111"/>
      <c r="P88" s="111"/>
      <c r="Q88" s="111"/>
      <c r="R88" s="111"/>
      <c r="S88" s="111"/>
      <c r="T88" s="111"/>
      <c r="U88" s="111"/>
      <c r="V88" s="111"/>
    </row>
    <row r="89" outlineLevel="1">
      <c r="A89" s="212"/>
      <c r="B89" s="288" t="s">
        <v>245</v>
      </c>
      <c r="C89" s="113" t="str">
        <f t="array" ref="C89">INDEX('回避'!$G$3:$U$84, MATCH($A$1,'回避'!$A$3:$A$91,0), MATCH(C87,'回避'!$G$2:$J$2,0))</f>
        <v>4-15</v>
      </c>
      <c r="D89" s="113" t="str">
        <f t="array" ref="D89">INDEX('回避'!$G$3:$U$84, MATCH($A$1,'回避'!$A$3:$A$91,0), MATCH(D87,'回避'!$G$2:$J$2,0))</f>
        <v>8-14</v>
      </c>
      <c r="E89" s="113" t="str">
        <f t="array" ref="E89">INDEX('回避'!$G$3:$U$84, MATCH($A$1,'回避'!$A$3:$A$91,0), MATCH(E87,'回避'!$G$2:$J$2,0))</f>
        <v>29</v>
      </c>
      <c r="F89" s="113">
        <f t="array" ref="F89">INDEX('回避'!$G$3:$U$84, MATCH($A$1,'回避'!$A$3:$A$91,0), MATCH(F87,'回避'!$G$2:$J$2,0))</f>
        <v>38</v>
      </c>
      <c r="G89" s="289"/>
      <c r="H89" s="227"/>
      <c r="I89" s="227"/>
      <c r="J89" s="228"/>
      <c r="K89" s="228"/>
      <c r="L89" s="228"/>
      <c r="M89" s="228"/>
      <c r="N89" s="228"/>
      <c r="O89" s="111"/>
      <c r="P89" s="111"/>
      <c r="Q89" s="111"/>
      <c r="R89" s="111"/>
      <c r="S89" s="111"/>
      <c r="T89" s="111"/>
      <c r="U89" s="111"/>
      <c r="V89" s="111"/>
    </row>
    <row r="90" outlineLevel="1">
      <c r="A90" s="106"/>
      <c r="B90" s="288" t="s">
        <v>246</v>
      </c>
      <c r="C90" s="113" t="str">
        <f t="array" ref="C90">INDEX('回避'!$K$3:$U$84, MATCH($A$1,'回避'!$A$3:$A$91,0), MATCH(C87,'回避'!$K$2:$N$2,0))</f>
        <v>5-16</v>
      </c>
      <c r="D90" s="113" t="str">
        <f t="array" ref="D90">INDEX('回避'!$K$3:$U$84, MATCH($A$1,'回避'!$A$3:$A$91,0), MATCH(D87,'回避'!$K$2:$N$2,0))</f>
        <v>9-14</v>
      </c>
      <c r="E90" s="113" t="str">
        <f t="array" ref="E90">INDEX('回避'!$K$3:$U$84, MATCH($A$1,'回避'!$A$3:$A$91,0), MATCH(E87,'回避'!$K$2:$N$2,0))</f>
        <v>34</v>
      </c>
      <c r="F90" s="113" t="str">
        <f t="array" ref="F90">INDEX('回避'!$K$3:$U$84, MATCH($A$1,'回避'!$A$3:$A$91,0), MATCH(F87,'回避'!$K$2:$N$2,0))</f>
        <v>51</v>
      </c>
      <c r="G90" s="289"/>
      <c r="H90" s="290"/>
      <c r="I90" s="290"/>
      <c r="J90" s="117"/>
      <c r="K90" s="117"/>
      <c r="L90" s="117"/>
      <c r="M90" s="117"/>
      <c r="N90" s="117"/>
      <c r="O90" s="111"/>
      <c r="P90" s="111"/>
      <c r="Q90" s="111"/>
      <c r="R90" s="111"/>
      <c r="S90" s="111"/>
      <c r="T90" s="111"/>
      <c r="U90" s="111"/>
      <c r="V90" s="111"/>
    </row>
    <row r="91" outlineLevel="1">
      <c r="A91" s="287" t="s">
        <v>396</v>
      </c>
      <c r="B91" s="288" t="s">
        <v>397</v>
      </c>
      <c r="C91" s="113" t="str">
        <f t="array" ref="C91">INDEX('回避'!$O$3:$U$84, MATCH($A$1,'回避'!$A$3:$A$91,0), MATCH(C87,'回避'!$O$2:$R$2,0))</f>
        <v>3-29</v>
      </c>
      <c r="D91" s="113" t="str">
        <f t="array" ref="D91">INDEX('回避'!$O$3:$U$84, MATCH($A$1,'回避'!$A$3:$A$91,0), MATCH(D87,'回避'!$O$2:$R$2,0))</f>
        <v>6-27</v>
      </c>
      <c r="E91" s="113" t="str">
        <f t="array" ref="E91">INDEX('回避'!$O$3:$U$84, MATCH($A$1,'回避'!$A$3:$A$91,0), MATCH(E87,'回避'!$O$2:$R$2,0))</f>
        <v>52</v>
      </c>
      <c r="F91" s="177"/>
      <c r="G91" s="177"/>
      <c r="H91" s="118"/>
      <c r="I91" s="118"/>
      <c r="J91" s="111"/>
      <c r="K91" s="111"/>
      <c r="L91" s="111"/>
      <c r="M91" s="111"/>
      <c r="N91" s="111"/>
      <c r="O91" s="228"/>
      <c r="P91" s="228"/>
      <c r="Q91" s="228"/>
      <c r="R91" s="228"/>
      <c r="S91" s="228"/>
      <c r="T91" s="228"/>
      <c r="U91" s="228"/>
      <c r="V91" s="228"/>
    </row>
    <row r="92" outlineLevel="1">
      <c r="A92" s="106"/>
      <c r="B92" s="288" t="s">
        <v>398</v>
      </c>
      <c r="C92" s="113" t="str">
        <f t="array" ref="C92">INDEX('回避'!$S$3:$U$84, MATCH($A$1,'回避'!$A$3:$A$91,0), MATCH(C87,'回避'!$S$2:$U$2,0))</f>
        <v>3-21</v>
      </c>
      <c r="D92" s="113" t="str">
        <f t="array" ref="D92">INDEX('回避'!$S$3:$U$84, MATCH($A$1,'回避'!$A$3:$A$91,0), MATCH(D87,'回避'!$S$2:$U$2,0))</f>
        <v>6-20</v>
      </c>
      <c r="E92" s="113" t="str">
        <f t="array" ref="E92">INDEX('回避'!$S$3:$U$84, MATCH($A$1,'回避'!$A$3:$A$91,0), MATCH(E87,'回避'!$S$2:$U$2,0))</f>
        <v>真横：87
真上：116
真下：71</v>
      </c>
      <c r="F92" s="289"/>
      <c r="G92" s="289"/>
      <c r="H92" s="118"/>
      <c r="I92" s="118"/>
      <c r="J92" s="117"/>
      <c r="K92" s="117"/>
      <c r="L92" s="117"/>
      <c r="M92" s="117"/>
      <c r="N92" s="111"/>
      <c r="O92" s="118"/>
      <c r="P92" s="118"/>
      <c r="Q92" s="118"/>
      <c r="R92" s="118"/>
      <c r="S92" s="118"/>
      <c r="T92" s="118"/>
      <c r="U92" s="118"/>
      <c r="V92" s="118"/>
    </row>
    <row r="93">
      <c r="A93" s="291"/>
      <c r="B93" s="292"/>
      <c r="C93" s="286"/>
      <c r="D93" s="286"/>
      <c r="E93" s="293"/>
      <c r="F93" s="286"/>
      <c r="G93" s="286"/>
      <c r="H93" s="286"/>
      <c r="I93" s="286"/>
      <c r="J93" s="111"/>
      <c r="K93" s="227"/>
      <c r="L93" s="227"/>
      <c r="M93" s="227"/>
      <c r="N93" s="227"/>
      <c r="O93" s="118"/>
      <c r="P93" s="118"/>
      <c r="Q93" s="118"/>
      <c r="R93" s="118"/>
      <c r="S93" s="118"/>
      <c r="T93" s="118"/>
      <c r="U93" s="118"/>
      <c r="V93" s="118"/>
    </row>
    <row r="94">
      <c r="A94" s="294" t="s">
        <v>238</v>
      </c>
      <c r="B94" s="104"/>
      <c r="C94" s="228"/>
      <c r="D94" s="117"/>
      <c r="E94" s="228"/>
      <c r="F94" s="114"/>
      <c r="G94" s="114"/>
      <c r="H94" s="117"/>
      <c r="I94" s="117"/>
      <c r="J94" s="118"/>
      <c r="K94" s="118"/>
      <c r="L94" s="118"/>
      <c r="M94" s="118"/>
      <c r="N94" s="118"/>
      <c r="O94" s="118"/>
      <c r="P94" s="118"/>
      <c r="Q94" s="118"/>
      <c r="R94" s="118"/>
      <c r="S94" s="118"/>
      <c r="T94" s="118"/>
      <c r="U94" s="118"/>
      <c r="V94" s="118"/>
    </row>
    <row r="95" outlineLevel="1">
      <c r="A95" s="106"/>
      <c r="B95" s="107"/>
      <c r="C95" s="295" t="s">
        <v>235</v>
      </c>
      <c r="D95" s="295" t="s">
        <v>49</v>
      </c>
      <c r="E95" s="295" t="s">
        <v>48</v>
      </c>
      <c r="F95" s="295" t="s">
        <v>50</v>
      </c>
      <c r="G95" s="296" t="s">
        <v>51</v>
      </c>
      <c r="H95" s="228"/>
      <c r="I95" s="228"/>
      <c r="J95" s="117"/>
      <c r="K95" s="297" t="str">
        <f>'テンプレート'!K116</f>
        <v>アイテム取得</v>
      </c>
      <c r="L95" s="109"/>
      <c r="M95" s="298" t="str">
        <f>'テンプレート'!M116</f>
        <v>取得フレーム</v>
      </c>
      <c r="N95" s="298" t="str">
        <f>'テンプレート'!N116</f>
        <v>全体フレーム</v>
      </c>
      <c r="O95" s="118"/>
      <c r="P95" s="118"/>
      <c r="Q95" s="118"/>
      <c r="R95" s="118"/>
      <c r="S95" s="118"/>
      <c r="T95" s="118"/>
      <c r="U95" s="118"/>
      <c r="V95" s="118"/>
    </row>
    <row r="96" outlineLevel="1">
      <c r="A96" s="299" t="s">
        <v>239</v>
      </c>
      <c r="B96" s="300" t="s">
        <v>240</v>
      </c>
      <c r="C96" s="301"/>
      <c r="D96" s="113">
        <f t="array" ref="D96">INDEX('崖行動・受け身'!$C$3:$C95, MATCH($A$1,'崖行動・受け身'!$A$3:$A$115,0), MATCH(D95,'崖行動・受け身'!$C$2,0))</f>
        <v>19</v>
      </c>
      <c r="E96" s="301"/>
      <c r="F96" s="301"/>
      <c r="G96" s="301"/>
      <c r="H96" s="228"/>
      <c r="I96" s="228"/>
      <c r="J96" s="111"/>
      <c r="K96" s="302" t="str">
        <f>'テンプレート'!K117</f>
        <v>小アイテム</v>
      </c>
      <c r="L96" s="303" t="str">
        <f>'テンプレート'!L117</f>
        <v>その場</v>
      </c>
      <c r="M96" s="113" t="s">
        <v>76</v>
      </c>
      <c r="N96" s="113">
        <v>7.0</v>
      </c>
      <c r="O96" s="118"/>
      <c r="P96" s="118"/>
      <c r="Q96" s="118"/>
      <c r="R96" s="118"/>
      <c r="S96" s="118"/>
      <c r="T96" s="118"/>
      <c r="U96" s="118"/>
      <c r="V96" s="118"/>
    </row>
    <row r="97" outlineLevel="1">
      <c r="A97" s="146"/>
      <c r="B97" s="300" t="s">
        <v>216</v>
      </c>
      <c r="C97" s="113" t="str">
        <f t="array" ref="C97">INDEX('崖行動・受け身'!$D$3:$E95, MATCH($A$1,'崖行動・受け身'!$A$3:$A$115,0), MATCH(C95,'崖行動・受け身'!$D$2:$E$2,0))</f>
        <v>1-33</v>
      </c>
      <c r="D97" s="113">
        <f t="array" ref="D97">INDEX('崖行動・受け身'!$D$3:$E95, MATCH($A$1,'崖行動・受け身'!$A$3:$A$115,0), MATCH(D95,'崖行動・受け身'!$D$2:$E$2,0))</f>
        <v>34</v>
      </c>
      <c r="E97" s="301"/>
      <c r="F97" s="301"/>
      <c r="G97" s="301"/>
      <c r="H97" s="228"/>
      <c r="I97" s="228"/>
      <c r="J97" s="117"/>
      <c r="K97" s="156"/>
      <c r="L97" s="303" t="str">
        <f>'テンプレート'!L118</f>
        <v>歩き</v>
      </c>
      <c r="M97" s="113" t="s">
        <v>76</v>
      </c>
      <c r="N97" s="113">
        <v>23.0</v>
      </c>
      <c r="O97" s="118"/>
      <c r="P97" s="118"/>
      <c r="Q97" s="118"/>
      <c r="R97" s="118"/>
      <c r="S97" s="118"/>
      <c r="T97" s="118"/>
      <c r="U97" s="118"/>
      <c r="V97" s="118"/>
    </row>
    <row r="98" outlineLevel="1">
      <c r="A98" s="146"/>
      <c r="B98" s="300" t="s">
        <v>241</v>
      </c>
      <c r="C98" s="113" t="str">
        <f t="array" ref="C98">INDEX('崖行動・受け身'!$F$3:$G$115, MATCH($A$1,'崖行動・受け身'!$A$3:$A$115,0), MATCH(C95,'崖行動・受け身'!$F$2:$G$2,0))</f>
        <v>1-25</v>
      </c>
      <c r="D98" s="113">
        <f t="array" ref="D98">INDEX('崖行動・受け身'!$F$3:$G$115, MATCH($A$1,'崖行動・受け身'!$A$3:$A$115,0), MATCH(D95,'崖行動・受け身'!$F$2:$G$2,0))</f>
        <v>45</v>
      </c>
      <c r="E98" s="301"/>
      <c r="F98" s="301"/>
      <c r="G98" s="301"/>
      <c r="H98" s="228"/>
      <c r="I98" s="228"/>
      <c r="J98" s="111"/>
      <c r="K98" s="304" t="str">
        <f>'テンプレート'!K119</f>
        <v>アイテム投擲</v>
      </c>
      <c r="L98" s="109"/>
      <c r="M98" s="298" t="str">
        <f>'テンプレート'!M119</f>
        <v>投擲フレーム</v>
      </c>
      <c r="N98" s="298" t="str">
        <f>'テンプレート'!N119</f>
        <v>全体フレーム</v>
      </c>
      <c r="O98" s="118"/>
      <c r="P98" s="118"/>
      <c r="Q98" s="118"/>
      <c r="R98" s="118"/>
      <c r="S98" s="118"/>
      <c r="T98" s="118"/>
      <c r="U98" s="118"/>
      <c r="V98" s="118"/>
    </row>
    <row r="99" outlineLevel="1">
      <c r="A99" s="146"/>
      <c r="B99" s="300" t="s">
        <v>242</v>
      </c>
      <c r="C99" s="113" t="str">
        <f t="array" ref="C99">INDEX('崖行動・受け身'!$H$3:$I$115, MATCH($A$1,'崖行動・受け身'!$A$3:$A$115,0), MATCH(C95,'崖行動・受け身'!$H$2:$I$2,0))</f>
        <v>1-12</v>
      </c>
      <c r="D99" s="113">
        <f t="array" ref="D99">INDEX('崖行動・受け身'!$H$3:$I$115, MATCH($A$1,'崖行動・受け身'!$A$3:$A$115,0), MATCH(D95,'崖行動・受け身'!$H$2:$I$2,0))</f>
        <v>14</v>
      </c>
      <c r="E99" s="301"/>
      <c r="F99" s="301"/>
      <c r="G99" s="301"/>
      <c r="H99" s="228"/>
      <c r="I99" s="228"/>
      <c r="J99" s="117"/>
      <c r="K99" s="305" t="str">
        <f>'テンプレート'!K120</f>
        <v>地上投擲</v>
      </c>
      <c r="L99" s="303" t="str">
        <f>'テンプレート'!L120</f>
        <v>前投げ</v>
      </c>
      <c r="M99" s="113" t="s">
        <v>80</v>
      </c>
      <c r="N99" s="113">
        <v>24.0</v>
      </c>
      <c r="O99" s="111"/>
      <c r="P99" s="111"/>
      <c r="Q99" s="111"/>
      <c r="R99" s="111"/>
      <c r="S99" s="111"/>
      <c r="T99" s="111"/>
      <c r="U99" s="111"/>
      <c r="V99" s="111"/>
    </row>
    <row r="100" outlineLevel="1">
      <c r="A100" s="156"/>
      <c r="B100" s="300" t="s">
        <v>243</v>
      </c>
      <c r="C100" s="113" t="str">
        <f t="array" ref="C100">INDEX('崖行動・受け身'!$J$3:$M$115, MATCH($A$1,'崖行動・受け身'!$A$3:$A$115,0), MATCH(C95,'崖行動・受け身'!$J$2:$M$2,0))</f>
        <v>1-26</v>
      </c>
      <c r="D100" s="113">
        <f t="array" ref="D100">INDEX('崖行動・受け身'!$J$3:$M$115, MATCH($A$1,'崖行動・受け身'!$A$3:$A$115,0), MATCH(D95,'崖行動・受け身'!$J$2:$M$2,0))</f>
        <v>55</v>
      </c>
      <c r="E100" s="113" t="str">
        <f t="array" ref="E100">INDEX('崖行動・受け身'!$J$3:$M$115, MATCH($A$1,'崖行動・受け身'!$A$3:$A$115,0), MATCH(E95,'崖行動・受け身'!$J$2:$M$2,0))</f>
        <v>24-26</v>
      </c>
      <c r="F100" s="113">
        <f t="array" ref="F100">INDEX('崖行動・受け身'!$J$3:$M$115, MATCH($A$1,'崖行動・受け身'!$A$3:$A$115,0), MATCH(F95,'崖行動・受け身'!$J$2:$M$2,0))</f>
        <v>10.00776</v>
      </c>
      <c r="G100" s="113">
        <f>F100*1.2</f>
        <v>12.009312</v>
      </c>
      <c r="H100" s="228"/>
      <c r="I100" s="228"/>
      <c r="J100" s="111"/>
      <c r="K100" s="146"/>
      <c r="L100" s="303" t="str">
        <f>'テンプレート'!L121</f>
        <v>後投げ</v>
      </c>
      <c r="M100" s="113" t="s">
        <v>232</v>
      </c>
      <c r="N100" s="113">
        <v>24.0</v>
      </c>
      <c r="O100" s="111"/>
      <c r="P100" s="111"/>
      <c r="Q100" s="111"/>
      <c r="R100" s="111"/>
      <c r="S100" s="111"/>
      <c r="T100" s="111"/>
      <c r="U100" s="111"/>
      <c r="V100" s="111"/>
    </row>
    <row r="101" outlineLevel="1">
      <c r="A101" s="299" t="s">
        <v>244</v>
      </c>
      <c r="B101" s="300" t="s">
        <v>216</v>
      </c>
      <c r="C101" s="113" t="str">
        <f t="array" ref="C101">INDEX('崖行動・受け身'!$N$3:$O$115, MATCH($A$1,'崖行動・受け身'!$A$3:$A$115,0), MATCH(C95,'崖行動・受け身'!$N$2:$O$2,0))</f>
        <v>1-20</v>
      </c>
      <c r="D101" s="113">
        <f t="array" ref="D101">INDEX('崖行動・受け身'!$N$3:$O$115, MATCH($A$1,'崖行動・受け身'!$A$3:$A$115,0), MATCH(D95,'崖行動・受け身'!$N$2:$O$2,0))</f>
        <v>26</v>
      </c>
      <c r="E101" s="301"/>
      <c r="F101" s="301"/>
      <c r="G101" s="301"/>
      <c r="H101" s="228"/>
      <c r="I101" s="228"/>
      <c r="J101" s="117"/>
      <c r="K101" s="146"/>
      <c r="L101" s="303" t="str">
        <f>'テンプレート'!L122</f>
        <v>上投げ</v>
      </c>
      <c r="M101" s="113" t="s">
        <v>129</v>
      </c>
      <c r="N101" s="113">
        <v>23.0</v>
      </c>
      <c r="O101" s="228"/>
      <c r="P101" s="228"/>
      <c r="Q101" s="228"/>
      <c r="R101" s="228"/>
      <c r="S101" s="228"/>
      <c r="T101" s="228"/>
      <c r="U101" s="228"/>
      <c r="V101" s="228"/>
    </row>
    <row r="102" outlineLevel="1">
      <c r="A102" s="146"/>
      <c r="B102" s="300" t="s">
        <v>245</v>
      </c>
      <c r="C102" s="113" t="str">
        <f t="array" ref="C102">INDEX('崖行動・受け身'!$P$3:$Q$115, MATCH($A$1,'崖行動・受け身'!$A$3:$A$115,0), MATCH(C95,'崖行動・受け身'!$P$2:$Q$2,0))</f>
        <v>1-20</v>
      </c>
      <c r="D102" s="113">
        <f t="array" ref="D102">INDEX('崖行動・受け身'!$P$3:$Q$115, MATCH($A$1,'崖行動・受け身'!$A$3:$A$115,0), MATCH(D95,'崖行動・受け身'!$P$2:$Q$2,0))</f>
        <v>40</v>
      </c>
      <c r="E102" s="301"/>
      <c r="F102" s="301"/>
      <c r="G102" s="301"/>
      <c r="H102" s="228"/>
      <c r="I102" s="228"/>
      <c r="J102" s="111"/>
      <c r="K102" s="146"/>
      <c r="L102" s="303" t="str">
        <f>'テンプレート'!L123</f>
        <v>下投げ</v>
      </c>
      <c r="M102" s="113" t="s">
        <v>93</v>
      </c>
      <c r="N102" s="113">
        <v>19.0</v>
      </c>
      <c r="O102" s="118"/>
      <c r="P102" s="118"/>
      <c r="Q102" s="118"/>
      <c r="R102" s="118"/>
      <c r="S102" s="118"/>
      <c r="T102" s="118"/>
      <c r="U102" s="118"/>
      <c r="V102" s="118"/>
    </row>
    <row r="103" outlineLevel="1">
      <c r="A103" s="156"/>
      <c r="B103" s="300" t="s">
        <v>246</v>
      </c>
      <c r="C103" s="113" t="str">
        <f t="array" ref="C103">INDEX('崖行動・受け身'!$R$3:$S$115, MATCH($A$1,'崖行動・受け身'!$A$3:$A$115,0), MATCH(C95,'崖行動・受け身'!$R$2:$S$2,0))</f>
        <v>1-20</v>
      </c>
      <c r="D103" s="113">
        <f t="array" ref="D103">INDEX('崖行動・受け身'!$R$3:$S$115, MATCH($A$1,'崖行動・受け身'!$A$3:$A$115,0), MATCH(D95,'崖行動・受け身'!$R$2:$S$2,0))</f>
        <v>40</v>
      </c>
      <c r="E103" s="301"/>
      <c r="F103" s="301"/>
      <c r="G103" s="301"/>
      <c r="H103" s="228"/>
      <c r="I103" s="228"/>
      <c r="J103" s="117"/>
      <c r="K103" s="146"/>
      <c r="L103" s="306" t="str">
        <f>'テンプレート'!L124</f>
        <v>ダッシュ</v>
      </c>
      <c r="M103" s="113" t="s">
        <v>150</v>
      </c>
      <c r="N103" s="113">
        <v>37.0</v>
      </c>
      <c r="O103" s="118"/>
      <c r="P103" s="118"/>
      <c r="Q103" s="118"/>
      <c r="R103" s="118"/>
      <c r="S103" s="118"/>
      <c r="T103" s="118"/>
      <c r="U103" s="118"/>
      <c r="V103" s="118"/>
    </row>
    <row r="104" outlineLevel="1">
      <c r="A104" s="299" t="s">
        <v>247</v>
      </c>
      <c r="B104" s="300" t="s">
        <v>248</v>
      </c>
      <c r="C104" s="301"/>
      <c r="D104" s="113" t="str">
        <f t="array" ref="D104">INDEX('起きあがり'!$C$3:$C95, MATCH($A$1,'起きあがり'!$A$3:$A$115,0), MATCH(D95,'起きあがり'!$C$2:$AD$2,0))</f>
        <v>25</v>
      </c>
      <c r="E104" s="301"/>
      <c r="F104" s="301"/>
      <c r="G104" s="301"/>
      <c r="H104" s="228"/>
      <c r="I104" s="228"/>
      <c r="J104" s="111"/>
      <c r="K104" s="156"/>
      <c r="L104" s="306" t="str">
        <f>'テンプレート'!L125</f>
        <v>その場捨て</v>
      </c>
      <c r="M104" s="113" t="s">
        <v>86</v>
      </c>
      <c r="N104" s="113">
        <v>23.0</v>
      </c>
      <c r="O104" s="118"/>
      <c r="P104" s="118"/>
      <c r="Q104" s="118"/>
      <c r="R104" s="118"/>
      <c r="S104" s="118"/>
      <c r="T104" s="118"/>
      <c r="U104" s="118"/>
      <c r="V104" s="118"/>
    </row>
    <row r="105" outlineLevel="1">
      <c r="A105" s="146"/>
      <c r="B105" s="300" t="s">
        <v>216</v>
      </c>
      <c r="C105" s="307" t="str">
        <f t="array" ref="C105">INDEX('起きあがり'!$D$3:$E95, MATCH($A$1,'起きあがり'!$A$3:$A$115,0), MATCH(C95,'起きあがり'!$D$2:$AD$2,0))</f>
        <v>1-22</v>
      </c>
      <c r="D105" s="308">
        <f t="array" ref="D105">INDEX('起きあがり'!$D$3:$E95, MATCH($A$1,'起きあがり'!$A$3:$A$115,0), MATCH(D95,'起きあがり'!$D$2:$AD$2,0))</f>
        <v>29</v>
      </c>
      <c r="E105" s="301"/>
      <c r="F105" s="301"/>
      <c r="G105" s="301"/>
      <c r="H105" s="228"/>
      <c r="I105" s="228"/>
      <c r="J105" s="117"/>
      <c r="K105" s="305" t="str">
        <f>'テンプレート'!K126</f>
        <v>空中投擲</v>
      </c>
      <c r="L105" s="303" t="str">
        <f>'テンプレート'!L126</f>
        <v>前投げ</v>
      </c>
      <c r="M105" s="113" t="s">
        <v>80</v>
      </c>
      <c r="N105" s="113">
        <v>24.0</v>
      </c>
      <c r="O105" s="118"/>
      <c r="P105" s="118"/>
      <c r="Q105" s="118"/>
      <c r="R105" s="118"/>
      <c r="S105" s="118"/>
      <c r="T105" s="118"/>
      <c r="U105" s="118"/>
      <c r="V105" s="118"/>
    </row>
    <row r="106" outlineLevel="1">
      <c r="A106" s="146"/>
      <c r="B106" s="300" t="s">
        <v>245</v>
      </c>
      <c r="C106" s="307" t="str">
        <f t="array" ref="C106">INDEX('起きあがり'!$F$3:$G$115, MATCH($A$1,'起きあがり'!$A$3:$A$115,0), MATCH(C95,'起きあがり'!$F$2:$AD$2,0))</f>
        <v>1-21</v>
      </c>
      <c r="D106" s="308">
        <f t="array" ref="D106">INDEX('起きあがり'!$F$3:$G$115, MATCH($A$1,'起きあがり'!$A$3:$A$115,0), MATCH(D95,'起きあがり'!$F$2:$AD$2,0))</f>
        <v>35</v>
      </c>
      <c r="E106" s="301"/>
      <c r="F106" s="301"/>
      <c r="G106" s="301"/>
      <c r="H106" s="228"/>
      <c r="I106" s="228"/>
      <c r="J106" s="111"/>
      <c r="K106" s="146"/>
      <c r="L106" s="303" t="str">
        <f>'テンプレート'!L127</f>
        <v>後投げ</v>
      </c>
      <c r="M106" s="113" t="s">
        <v>232</v>
      </c>
      <c r="N106" s="113">
        <v>24.0</v>
      </c>
      <c r="O106" s="118"/>
      <c r="P106" s="118"/>
      <c r="Q106" s="118"/>
      <c r="R106" s="118"/>
      <c r="S106" s="118"/>
      <c r="T106" s="118"/>
      <c r="U106" s="118"/>
      <c r="V106" s="118"/>
    </row>
    <row r="107" outlineLevel="1">
      <c r="A107" s="146"/>
      <c r="B107" s="300" t="s">
        <v>246</v>
      </c>
      <c r="C107" s="113" t="str">
        <f t="array" ref="C107">INDEX('起きあがり'!$H$3:$I$115, MATCH($A$1,'起きあがり'!$A$3:$A$115,0), MATCH(C95,'起きあがり'!$H$2:$AD$2,0))</f>
        <v>1-22</v>
      </c>
      <c r="D107" s="113">
        <f t="array" ref="D107">INDEX('起きあがり'!$H$3:$I$115, MATCH($A$1,'起きあがり'!$A$3:$A$115,0), MATCH(D95,'起きあがり'!$H$2:$AD$2,0))</f>
        <v>35</v>
      </c>
      <c r="E107" s="301"/>
      <c r="F107" s="301"/>
      <c r="G107" s="301"/>
      <c r="H107" s="228"/>
      <c r="I107" s="228"/>
      <c r="J107" s="117"/>
      <c r="K107" s="146"/>
      <c r="L107" s="303" t="str">
        <f>'テンプレート'!L128</f>
        <v>上投げ</v>
      </c>
      <c r="M107" s="113" t="s">
        <v>129</v>
      </c>
      <c r="N107" s="113">
        <v>23.0</v>
      </c>
      <c r="O107" s="118"/>
      <c r="P107" s="118"/>
      <c r="Q107" s="118"/>
      <c r="R107" s="118"/>
      <c r="S107" s="118"/>
      <c r="T107" s="118"/>
      <c r="U107" s="118"/>
      <c r="V107" s="118"/>
    </row>
    <row r="108" outlineLevel="1">
      <c r="A108" s="146"/>
      <c r="B108" s="300" t="s">
        <v>249</v>
      </c>
      <c r="C108" s="309" t="str">
        <f t="array" ref="C108">INDEX('起きあがり'!$J$3:$M$115, MATCH($A$1,'起きあがり'!$A$3:$A$115,0), MATCH(C95,'起きあがり'!$J$2:$AD$2,0))</f>
        <v>1-25</v>
      </c>
      <c r="D108" s="310">
        <f t="array" ref="D108">INDEX('起きあがり'!$J$3:$M$115, MATCH($A$1,'起きあがり'!$A$3:$A$115,0), MATCH(D95,'起きあがり'!$J$2:$AD$2,0))</f>
        <v>45</v>
      </c>
      <c r="E108" s="307" t="str">
        <f t="array" ref="E108">INDEX('起きあがり'!$J$3:$M$115, MATCH($A$1,'起きあがり'!$A$3:$A$115,0), MATCH(E95,'起きあがり'!$J$2:$AD$2,0))</f>
        <v>19-20</v>
      </c>
      <c r="F108" s="308">
        <f t="array" ref="F108">INDEX('起きあがり'!$J$3:$M$115, MATCH($A$1,'起きあがり'!$A$3:$A$115,0), MATCH(F95,'起きあがり'!$J$2:$AD$2,0))</f>
        <v>7.056</v>
      </c>
      <c r="G108" s="113">
        <f t="shared" ref="G108:G109" si="1">F108*1.2</f>
        <v>8.4672</v>
      </c>
      <c r="H108" s="228"/>
      <c r="I108" s="228"/>
      <c r="J108" s="111"/>
      <c r="K108" s="156"/>
      <c r="L108" s="303" t="str">
        <f>'テンプレート'!L129</f>
        <v>下投げ</v>
      </c>
      <c r="M108" s="113" t="s">
        <v>93</v>
      </c>
      <c r="N108" s="113">
        <v>19.0</v>
      </c>
      <c r="O108" s="111"/>
      <c r="P108" s="111"/>
      <c r="Q108" s="111"/>
      <c r="R108" s="111"/>
      <c r="S108" s="111"/>
      <c r="T108" s="111"/>
      <c r="U108" s="111"/>
      <c r="V108" s="111"/>
    </row>
    <row r="109" outlineLevel="1">
      <c r="A109" s="156"/>
      <c r="B109" s="311" t="s">
        <v>250</v>
      </c>
      <c r="C109" s="156"/>
      <c r="D109" s="156"/>
      <c r="E109" s="307" t="str">
        <f t="array" ref="E109">INDEX('起きあがり'!$N$3:$O$115, MATCH($A$1,'起きあがり'!$A$3:$A$115,0), MATCH(E95,'起きあがり'!$N$2:$AD$2,0))</f>
        <v>24-25</v>
      </c>
      <c r="F109" s="308">
        <f t="array" ref="F109">INDEX('起きあがり'!$N$3:$O$115, MATCH($A$1,'起きあがり'!$A$3:$A$115,0), MATCH(F95,'起きあがり'!$N$2:$AD$2,0))</f>
        <v>7.056</v>
      </c>
      <c r="G109" s="113">
        <f t="shared" si="1"/>
        <v>8.4672</v>
      </c>
      <c r="H109" s="228"/>
      <c r="I109" s="228"/>
      <c r="J109" s="111"/>
      <c r="K109" s="312" t="str">
        <f>'テンプレート'!K130</f>
        <v>踏み台ジャンプ</v>
      </c>
      <c r="L109" s="168"/>
      <c r="M109" s="298" t="str">
        <f>'テンプレート'!M130</f>
        <v>全体フレーム</v>
      </c>
      <c r="N109" s="114"/>
      <c r="O109" s="111"/>
      <c r="P109" s="111"/>
      <c r="Q109" s="111"/>
      <c r="R109" s="111"/>
      <c r="S109" s="111"/>
      <c r="T109" s="111"/>
      <c r="U109" s="111"/>
      <c r="V109" s="111"/>
    </row>
    <row r="110" outlineLevel="1">
      <c r="A110" s="299" t="s">
        <v>251</v>
      </c>
      <c r="B110" s="300" t="s">
        <v>248</v>
      </c>
      <c r="C110" s="301"/>
      <c r="D110" s="307" t="str">
        <f t="array" ref="D110">INDEX('起きあがり'!$C$3:$C95, MATCH($A$1,'起きあがり'!$A$3:$A$115,0), MATCH(D95,'起きあがり'!$C$2,0))</f>
        <v>25</v>
      </c>
      <c r="E110" s="301"/>
      <c r="F110" s="301"/>
      <c r="G110" s="301"/>
      <c r="H110" s="228"/>
      <c r="I110" s="228"/>
      <c r="J110" s="117"/>
      <c r="K110" s="313" t="str">
        <f>'テンプレート'!K131</f>
        <v>踏み</v>
      </c>
      <c r="L110" s="314" t="str">
        <f>'テンプレート'!L131</f>
        <v>踏み</v>
      </c>
      <c r="M110" s="113">
        <v>7.0</v>
      </c>
      <c r="N110" s="315"/>
      <c r="O110" s="111"/>
      <c r="P110" s="111"/>
      <c r="Q110" s="111"/>
      <c r="R110" s="111"/>
      <c r="S110" s="111"/>
      <c r="T110" s="111"/>
      <c r="U110" s="111"/>
      <c r="V110" s="111"/>
    </row>
    <row r="111" outlineLevel="1">
      <c r="A111" s="146"/>
      <c r="B111" s="300" t="s">
        <v>216</v>
      </c>
      <c r="C111" s="307" t="str">
        <f t="array" ref="C111">INDEX('起きあがり'!$P$3:$Q$115, MATCH($A$1,'起きあがり'!$A$3:$A$115,0), MATCH(C95,'起きあがり'!$P$2:$AD$2,0))</f>
        <v>1-22</v>
      </c>
      <c r="D111" s="308">
        <f t="array" ref="D111">INDEX('起きあがり'!$P$3:$Q$115, MATCH($A$1,'起きあがり'!$A$3:$A$115,0), MATCH(D95,'起きあがり'!$P$2:$AD$2,0))</f>
        <v>29</v>
      </c>
      <c r="E111" s="301"/>
      <c r="F111" s="301"/>
      <c r="G111" s="301"/>
      <c r="H111" s="228"/>
      <c r="I111" s="228"/>
      <c r="J111" s="111"/>
      <c r="K111" s="305" t="str">
        <f>'テンプレート'!K132</f>
        <v>踏まれ</v>
      </c>
      <c r="L111" s="314" t="str">
        <f>'テンプレート'!L132</f>
        <v>地上踏まれ</v>
      </c>
      <c r="M111" s="113" t="s">
        <v>76</v>
      </c>
      <c r="N111" s="315"/>
      <c r="O111" s="228"/>
      <c r="P111" s="228"/>
      <c r="Q111" s="228"/>
      <c r="R111" s="228"/>
      <c r="S111" s="228"/>
      <c r="T111" s="228"/>
      <c r="U111" s="228"/>
      <c r="V111" s="228"/>
    </row>
    <row r="112" outlineLevel="1">
      <c r="A112" s="146"/>
      <c r="B112" s="300" t="s">
        <v>245</v>
      </c>
      <c r="C112" s="307" t="str">
        <f t="array" ref="C112">INDEX('起きあがり'!$R$3:$S$115, MATCH($A$1,'起きあがり'!$A$3:$A$115,0), MATCH(C95,'起きあがり'!$R$2:$AD$2,0))</f>
        <v>1-19</v>
      </c>
      <c r="D112" s="308">
        <f t="array" ref="D112">INDEX('起きあがり'!$R$3:$S$115, MATCH($A$1,'起きあがり'!$A$3:$A$115,0), MATCH(D95,'起きあがり'!$R$2:$AD$2,0))</f>
        <v>35</v>
      </c>
      <c r="E112" s="301"/>
      <c r="F112" s="301"/>
      <c r="G112" s="301"/>
      <c r="H112" s="228"/>
      <c r="I112" s="228"/>
      <c r="J112" s="117"/>
      <c r="K112" s="146"/>
      <c r="L112" s="314" t="s">
        <v>693</v>
      </c>
      <c r="M112" s="113">
        <v>28.0</v>
      </c>
      <c r="N112" s="102"/>
      <c r="O112" s="118"/>
      <c r="P112" s="118"/>
      <c r="Q112" s="118"/>
      <c r="R112" s="118"/>
      <c r="S112" s="118"/>
      <c r="T112" s="118"/>
      <c r="U112" s="118"/>
      <c r="V112" s="118"/>
    </row>
    <row r="113" outlineLevel="1">
      <c r="A113" s="146"/>
      <c r="B113" s="300" t="s">
        <v>246</v>
      </c>
      <c r="C113" s="307" t="str">
        <f t="array" ref="C113">INDEX('起きあがり'!$T$3:$U$115, MATCH($A$1,'起きあがり'!$A$3:$A$115,0), MATCH(C95,'起きあがり'!$T$2:$AD$2,0))</f>
        <v>1-24</v>
      </c>
      <c r="D113" s="308">
        <f t="array" ref="D113">INDEX('起きあがり'!$T$3:$U$115, MATCH($A$1,'起きあがり'!$A$3:$A$115,0), MATCH(D95,'起きあがり'!$T$2:$AD$2,0))</f>
        <v>35</v>
      </c>
      <c r="E113" s="301"/>
      <c r="F113" s="301"/>
      <c r="G113" s="301"/>
      <c r="H113" s="228"/>
      <c r="I113" s="228"/>
      <c r="J113" s="111"/>
      <c r="K113" s="146"/>
      <c r="L113" s="314" t="str">
        <f>'テンプレート'!L134</f>
        <v>空中踏まれ</v>
      </c>
      <c r="M113" s="113">
        <v>8.0</v>
      </c>
      <c r="N113" s="102"/>
      <c r="O113" s="118"/>
      <c r="P113" s="118"/>
      <c r="Q113" s="118"/>
      <c r="R113" s="118"/>
      <c r="S113" s="118"/>
      <c r="T113" s="118"/>
      <c r="U113" s="118"/>
      <c r="V113" s="118"/>
    </row>
    <row r="114" outlineLevel="1">
      <c r="A114" s="146"/>
      <c r="B114" s="300" t="s">
        <v>249</v>
      </c>
      <c r="C114" s="309" t="str">
        <f t="array" ref="C114">INDEX('起きあがり'!$V$3:$Y$115, MATCH($A$1,'起きあがり'!$A$3:$A$115,0), MATCH(C95,'起きあがり'!$V$2:$AD$2,0))</f>
        <v>1-22</v>
      </c>
      <c r="D114" s="310">
        <f t="array" ref="D114">INDEX('起きあがり'!$V$3:$Y$115, MATCH($A$1,'起きあがり'!$A$3:$A$115,0), MATCH(D95,'起きあがり'!$V$2:$AD$2,0))</f>
        <v>45</v>
      </c>
      <c r="E114" s="307" t="str">
        <f t="array" ref="E114">INDEX('起きあがり'!$V$3:$Y$115, MATCH($A$1,'起きあがり'!$A$3:$A$115,0), MATCH(E95,'起きあがり'!$V$2:$AD$2,0))</f>
        <v>16-17</v>
      </c>
      <c r="F114" s="308">
        <f t="array" ref="F114">INDEX('起きあがり'!$V$3:$Y$115, MATCH($A$1,'起きあがり'!$A$3:$A$115,0), MATCH(F95,'起きあがり'!$V$2:$AD$2,0))</f>
        <v>7.056</v>
      </c>
      <c r="G114" s="113">
        <f t="shared" ref="G114:G115" si="2">F114*1.2</f>
        <v>8.4672</v>
      </c>
      <c r="H114" s="228"/>
      <c r="I114" s="228"/>
      <c r="J114" s="117"/>
      <c r="K114" s="146"/>
      <c r="L114" s="314" t="str">
        <f>'テンプレート'!L135</f>
        <v>空中落下</v>
      </c>
      <c r="M114" s="113">
        <v>37.0</v>
      </c>
      <c r="N114" s="102"/>
      <c r="O114" s="118"/>
      <c r="P114" s="118"/>
      <c r="Q114" s="118"/>
      <c r="R114" s="118"/>
      <c r="S114" s="118"/>
      <c r="T114" s="118"/>
      <c r="U114" s="118"/>
      <c r="V114" s="118"/>
    </row>
    <row r="115" outlineLevel="1">
      <c r="A115" s="156"/>
      <c r="B115" s="311" t="s">
        <v>250</v>
      </c>
      <c r="C115" s="156"/>
      <c r="D115" s="156"/>
      <c r="E115" s="307" t="str">
        <f t="array" ref="E115">INDEX('起きあがり'!$Z$3:$AA$115, MATCH($A$1,'起きあがり'!$A$3:$A$115,0), MATCH(E95,'起きあがり'!$Z$2:$AD$2,0))</f>
        <v>21-22</v>
      </c>
      <c r="F115" s="308">
        <f t="array" ref="F115">INDEX('起きあがり'!$Z$3:$AA$115, MATCH($A$1,'起きあがり'!$A$3:$A$115,0), MATCH(F95,'起きあがり'!$Z$2:$AD$2,0))</f>
        <v>7.056</v>
      </c>
      <c r="G115" s="113">
        <f t="shared" si="2"/>
        <v>8.4672</v>
      </c>
      <c r="H115" s="228"/>
      <c r="I115" s="228"/>
      <c r="J115" s="117"/>
      <c r="K115" s="304" t="str">
        <f>'テンプレート'!K136</f>
        <v>倒れダメージ</v>
      </c>
      <c r="L115" s="110"/>
      <c r="M115" s="298" t="str">
        <f>'テンプレート'!M136</f>
        <v>全体フレーム</v>
      </c>
      <c r="N115" s="102"/>
      <c r="O115" s="118"/>
      <c r="P115" s="118"/>
      <c r="Q115" s="118"/>
      <c r="R115" s="118"/>
      <c r="S115" s="118"/>
      <c r="T115" s="118"/>
      <c r="U115" s="118"/>
      <c r="V115" s="118"/>
    </row>
    <row r="116" outlineLevel="1">
      <c r="A116" s="299" t="s">
        <v>252</v>
      </c>
      <c r="B116" s="300" t="s">
        <v>253</v>
      </c>
      <c r="C116" s="307" t="str">
        <f t="array" ref="C116">INDEX('転倒'!$C$3:$D95, MATCH($A$1,'転倒'!$A$3:$A$115,0), MATCH(C95,'転倒'!$C$2:$AC$2,0))</f>
        <v>1-5</v>
      </c>
      <c r="D116" s="308">
        <f t="array" ref="D116">INDEX('転倒'!$C$3:$D95, MATCH($A$1,'転倒'!$A$3:$A$115,0), MATCH(D95,'転倒'!$C$2:$AC$2,0))</f>
        <v>29</v>
      </c>
      <c r="E116" s="301"/>
      <c r="F116" s="301"/>
      <c r="G116" s="301"/>
      <c r="H116" s="228"/>
      <c r="I116" s="228"/>
      <c r="J116" s="111"/>
      <c r="K116" s="313" t="str">
        <f>'テンプレート'!K137</f>
        <v>あお向け倒れ</v>
      </c>
      <c r="L116" s="306" t="str">
        <f>'テンプレート'!L137</f>
        <v>モーション大</v>
      </c>
      <c r="M116" s="113">
        <v>39.0</v>
      </c>
      <c r="N116" s="315"/>
      <c r="O116" s="118"/>
      <c r="P116" s="118"/>
      <c r="Q116" s="118"/>
      <c r="R116" s="118"/>
      <c r="S116" s="118"/>
      <c r="T116" s="118"/>
      <c r="U116" s="118"/>
      <c r="V116" s="118"/>
    </row>
    <row r="117" outlineLevel="1">
      <c r="A117" s="146"/>
      <c r="B117" s="300" t="s">
        <v>254</v>
      </c>
      <c r="C117" s="307" t="str">
        <f t="array" ref="C117">INDEX('転倒'!$E$3:$F95, MATCH($A$1,'転倒'!$A$3:$A$115,0), MATCH(C95,'転倒'!$E$2:$AC$2,0))</f>
        <v>1-5</v>
      </c>
      <c r="D117" s="308">
        <f t="array" ref="D117">INDEX('転倒'!$E$3:$F95, MATCH($A$1,'転倒'!$A$3:$A$115,0), MATCH(D95,'転倒'!$E$2:$AC$2,0))</f>
        <v>39</v>
      </c>
      <c r="E117" s="301"/>
      <c r="F117" s="301"/>
      <c r="G117" s="301"/>
      <c r="H117" s="228"/>
      <c r="I117" s="228"/>
      <c r="J117" s="117"/>
      <c r="K117" s="313" t="str">
        <f>'テンプレート'!K138</f>
        <v>うつ伏せ倒れ</v>
      </c>
      <c r="L117" s="306" t="str">
        <f>'テンプレート'!L138</f>
        <v>モーション大</v>
      </c>
      <c r="M117" s="113" t="s">
        <v>118</v>
      </c>
      <c r="N117" s="315"/>
      <c r="O117" s="118"/>
      <c r="P117" s="118"/>
      <c r="Q117" s="118"/>
      <c r="R117" s="118"/>
      <c r="S117" s="118"/>
      <c r="T117" s="118"/>
      <c r="U117" s="118"/>
      <c r="V117" s="118"/>
    </row>
    <row r="118" outlineLevel="1">
      <c r="A118" s="146"/>
      <c r="B118" s="300" t="s">
        <v>216</v>
      </c>
      <c r="C118" s="307" t="str">
        <f t="array" ref="C118">INDEX('転倒'!$G$3:$H$115, MATCH($A$1,'転倒'!$A$3:$A$115,0), MATCH(C95,'転倒'!$G$2:$AC$2,0))</f>
        <v>1-16</v>
      </c>
      <c r="D118" s="308">
        <f t="array" ref="D118">INDEX('転倒'!$G$3:$H$115, MATCH($A$1,'転倒'!$A$3:$A$115,0), MATCH(D95,'転倒'!$G$2:$AC$2,0))</f>
        <v>21</v>
      </c>
      <c r="E118" s="301"/>
      <c r="F118" s="301"/>
      <c r="G118" s="301"/>
      <c r="H118" s="228"/>
      <c r="I118" s="228"/>
      <c r="J118" s="111"/>
      <c r="K118" s="304" t="str">
        <f>'テンプレート'!K139</f>
        <v/>
      </c>
      <c r="L118" s="110"/>
      <c r="M118" s="298" t="str">
        <f>'テンプレート'!M139</f>
        <v/>
      </c>
      <c r="N118" s="102"/>
      <c r="O118" s="118"/>
      <c r="P118" s="118"/>
      <c r="Q118" s="118"/>
      <c r="R118" s="118"/>
      <c r="S118" s="118"/>
      <c r="T118" s="118"/>
      <c r="U118" s="118"/>
      <c r="V118" s="118"/>
    </row>
    <row r="119" outlineLevel="1">
      <c r="A119" s="146"/>
      <c r="B119" s="300" t="s">
        <v>245</v>
      </c>
      <c r="C119" s="307" t="str">
        <f t="array" ref="C119">INDEX('転倒'!$I$3:$J$115, MATCH($A$1,'転倒'!$A$3:$A$115,0), MATCH(C95,'転倒'!$I$2:$AC$2,0))</f>
        <v>1-9</v>
      </c>
      <c r="D119" s="308">
        <f t="array" ref="D119">INDEX('転倒'!$I$3:$J$115, MATCH($A$1,'転倒'!$A$3:$A$115,0), MATCH(D95,'転倒'!$I$2:$AC$2,0))</f>
        <v>28</v>
      </c>
      <c r="E119" s="301"/>
      <c r="F119" s="301"/>
      <c r="G119" s="301"/>
      <c r="H119" s="228"/>
      <c r="I119" s="228"/>
      <c r="J119" s="228"/>
      <c r="K119" s="316"/>
      <c r="L119" s="317" t="str">
        <f>'テンプレート'!L140</f>
        <v/>
      </c>
      <c r="M119" s="113" t="s">
        <v>76</v>
      </c>
      <c r="N119" s="102"/>
      <c r="O119" s="118"/>
      <c r="P119" s="118"/>
      <c r="Q119" s="118"/>
      <c r="R119" s="118"/>
      <c r="S119" s="118"/>
      <c r="T119" s="118"/>
      <c r="U119" s="118"/>
      <c r="V119" s="118"/>
    </row>
    <row r="120" outlineLevel="1">
      <c r="A120" s="146"/>
      <c r="B120" s="300" t="s">
        <v>246</v>
      </c>
      <c r="C120" s="307" t="str">
        <f t="array" ref="C120">INDEX('転倒'!$K$3:$L$115, MATCH($A$1,'転倒'!$A$3:$A$115,0), MATCH(C95,'転倒'!$K$2:$AC$2,0))</f>
        <v>1-9</v>
      </c>
      <c r="D120" s="308">
        <f t="array" ref="D120">INDEX('転倒'!$K$3:$L$115, MATCH($A$1,'転倒'!$A$3:$A$115,0), MATCH(D95,'転倒'!$K$2:$AC$2,0))</f>
        <v>28</v>
      </c>
      <c r="E120" s="301"/>
      <c r="F120" s="301"/>
      <c r="G120" s="301"/>
      <c r="H120" s="228"/>
      <c r="I120" s="228"/>
      <c r="J120" s="228"/>
      <c r="K120" s="318"/>
      <c r="L120" s="118"/>
      <c r="M120" s="118"/>
      <c r="N120" s="102"/>
      <c r="O120" s="118"/>
      <c r="P120" s="118"/>
      <c r="Q120" s="118"/>
      <c r="R120" s="118"/>
      <c r="S120" s="118"/>
      <c r="T120" s="118"/>
      <c r="U120" s="118"/>
      <c r="V120" s="118"/>
    </row>
    <row r="121" outlineLevel="1">
      <c r="A121" s="146"/>
      <c r="B121" s="300" t="s">
        <v>249</v>
      </c>
      <c r="C121" s="309" t="str">
        <f t="array" ref="C121">INDEX('転倒'!$M$3:$P$115, MATCH($A$1,'転倒'!$A$3:$A$115,0), MATCH(C95,'転倒'!$M$2:$AC$2,0))</f>
        <v>1-7</v>
      </c>
      <c r="D121" s="310">
        <f t="array" ref="D121">INDEX('転倒'!$M$3:$P$115, MATCH($A$1,'転倒'!$A$3:$A$115,0), MATCH(D95,'転倒'!$M$2:$AC$2,0))</f>
        <v>49</v>
      </c>
      <c r="E121" s="307" t="str">
        <f t="array" ref="E121">INDEX('転倒'!$M$3:$P$115, MATCH($A$1,'転倒'!$A$3:$A$115,0), MATCH(E95,'転倒'!$M$2:$AC$2,0))</f>
        <v>19-20</v>
      </c>
      <c r="F121" s="308">
        <f t="array" ref="F121">INDEX('転倒'!$M$3:$P$115, MATCH($A$1,'転倒'!$A$3:$A$115,0), MATCH(F95,'転倒'!$M$2:$AC$2,0))</f>
        <v>5.0568</v>
      </c>
      <c r="G121" s="113">
        <f t="shared" ref="G121:G122" si="3">F121*1.2</f>
        <v>6.06816</v>
      </c>
      <c r="H121" s="228"/>
      <c r="I121" s="228"/>
      <c r="J121" s="228"/>
      <c r="K121" s="118"/>
      <c r="L121" s="118"/>
      <c r="M121" s="118"/>
      <c r="N121" s="102"/>
      <c r="O121" s="102"/>
      <c r="P121" s="102"/>
      <c r="Q121" s="102"/>
      <c r="R121" s="118"/>
      <c r="S121" s="118"/>
      <c r="T121" s="118"/>
      <c r="U121" s="118"/>
      <c r="V121" s="118"/>
    </row>
    <row r="122" outlineLevel="1">
      <c r="A122" s="156"/>
      <c r="B122" s="311" t="s">
        <v>250</v>
      </c>
      <c r="C122" s="156"/>
      <c r="D122" s="156"/>
      <c r="E122" s="307" t="str">
        <f t="array" ref="E122">INDEX('転倒'!$Q$3:$R$115, MATCH($A$1,'転倒'!$A$3:$A$115,0), MATCH(E95,'転倒'!$Q$2:$AC$2,0))</f>
        <v>31-32</v>
      </c>
      <c r="F122" s="308">
        <f t="array" ref="F122">INDEX('転倒'!$Q$3:$R$115, MATCH($A$1,'転倒'!$A$3:$A$115,0), MATCH(F95,'転倒'!$Q$2:$AC$2,0))</f>
        <v>5.0568</v>
      </c>
      <c r="G122" s="113">
        <f t="shared" si="3"/>
        <v>6.06816</v>
      </c>
      <c r="H122" s="228"/>
      <c r="I122" s="228"/>
      <c r="J122" s="228"/>
      <c r="K122" s="118"/>
      <c r="L122" s="118"/>
      <c r="M122" s="118"/>
      <c r="N122" s="102"/>
      <c r="O122" s="102"/>
      <c r="P122" s="102"/>
      <c r="Q122" s="102"/>
      <c r="R122" s="118"/>
      <c r="S122" s="118"/>
      <c r="T122" s="118"/>
      <c r="U122" s="118"/>
      <c r="V122" s="118"/>
    </row>
    <row r="123" outlineLevel="1">
      <c r="A123" s="319"/>
      <c r="B123" s="320"/>
      <c r="C123" s="321"/>
      <c r="D123" s="321"/>
      <c r="E123" s="322"/>
      <c r="F123" s="322"/>
      <c r="G123" s="114"/>
      <c r="H123" s="228"/>
      <c r="I123" s="228"/>
      <c r="J123" s="228"/>
      <c r="K123" s="118"/>
      <c r="L123" s="118"/>
      <c r="M123" s="118"/>
      <c r="N123" s="102"/>
      <c r="O123" s="102"/>
      <c r="P123" s="102"/>
      <c r="Q123" s="102"/>
      <c r="R123" s="118"/>
      <c r="S123" s="118"/>
      <c r="T123" s="118"/>
      <c r="U123" s="118"/>
      <c r="V123" s="118"/>
    </row>
    <row r="124" outlineLevel="1">
      <c r="A124" s="323" t="s">
        <v>255</v>
      </c>
      <c r="B124" s="109"/>
      <c r="C124" s="321"/>
      <c r="D124" s="321"/>
      <c r="E124" s="322"/>
      <c r="F124" s="322"/>
      <c r="G124" s="114"/>
      <c r="H124" s="228"/>
      <c r="I124" s="228"/>
      <c r="J124" s="228"/>
      <c r="K124" s="118"/>
      <c r="L124" s="118"/>
      <c r="M124" s="118"/>
      <c r="N124" s="102"/>
      <c r="O124" s="102"/>
      <c r="P124" s="102"/>
      <c r="Q124" s="102"/>
      <c r="R124" s="118"/>
      <c r="S124" s="118"/>
      <c r="T124" s="118"/>
      <c r="U124" s="118"/>
      <c r="V124" s="118"/>
    </row>
    <row r="125" outlineLevel="1">
      <c r="A125" s="324" t="s">
        <v>256</v>
      </c>
      <c r="B125" s="109"/>
      <c r="C125" s="325" t="s">
        <v>257</v>
      </c>
      <c r="D125" s="325" t="s">
        <v>49</v>
      </c>
      <c r="E125" s="322"/>
      <c r="F125" s="322"/>
      <c r="G125" s="114"/>
      <c r="H125" s="228"/>
      <c r="I125" s="228"/>
      <c r="J125" s="228"/>
      <c r="K125" s="118"/>
      <c r="L125" s="118"/>
      <c r="M125" s="118"/>
      <c r="N125" s="102"/>
      <c r="O125" s="102"/>
      <c r="P125" s="102"/>
      <c r="Q125" s="102"/>
      <c r="R125" s="118"/>
      <c r="S125" s="118"/>
      <c r="T125" s="118"/>
      <c r="U125" s="118"/>
      <c r="V125" s="118"/>
    </row>
    <row r="126" outlineLevel="1">
      <c r="A126" s="326" t="s">
        <v>258</v>
      </c>
      <c r="B126" s="327" t="s">
        <v>216</v>
      </c>
      <c r="C126" s="328" t="str">
        <f t="array" ref="C126">INDEX('アイテム'!$C$3:$D$114, MATCH($A$1,'アイテム'!$A$3:$A$114,0), MATCH(C125,'アイテム'!$C$2:$AQ$2,0))</f>
        <v>2</v>
      </c>
      <c r="D126" s="328">
        <f t="array" ref="D126">INDEX('アイテム'!$C$3:$D$114, MATCH($A$1,'アイテム'!$A$3:$A$114,0), MATCH(D125,'アイテム'!$C$2:$AQ$2,0))</f>
        <v>7</v>
      </c>
      <c r="E126" s="322"/>
      <c r="F126" s="322"/>
      <c r="G126" s="114"/>
      <c r="H126" s="228"/>
      <c r="I126" s="228"/>
      <c r="J126" s="228"/>
      <c r="K126" s="118"/>
      <c r="L126" s="118"/>
      <c r="M126" s="118"/>
      <c r="N126" s="102"/>
      <c r="O126" s="102"/>
      <c r="P126" s="102"/>
      <c r="Q126" s="102"/>
      <c r="R126" s="118"/>
      <c r="S126" s="118"/>
      <c r="T126" s="118"/>
      <c r="U126" s="118"/>
      <c r="V126" s="118"/>
    </row>
    <row r="127" outlineLevel="1">
      <c r="A127" s="156"/>
      <c r="B127" s="327" t="s">
        <v>219</v>
      </c>
      <c r="C127" s="328" t="str">
        <f t="array" ref="C127">INDEX('アイテム'!$E$3:$F$114, MATCH($A$1,'アイテム'!$A$3:$A$114,0), MATCH(C125,'アイテム'!$C$2:$AQ$2,0))</f>
        <v>2</v>
      </c>
      <c r="D127" s="328">
        <f t="array" ref="D127">INDEX('アイテム'!$E$3:$F$114, MATCH($A$1,'アイテム'!$A$3:$A$114,0), MATCH(D125,'アイテム'!$C$2:$AQ$2,0))</f>
        <v>19</v>
      </c>
      <c r="E127" s="322"/>
      <c r="F127" s="322"/>
      <c r="G127" s="114"/>
      <c r="H127" s="228"/>
      <c r="I127" s="228"/>
      <c r="J127" s="228"/>
      <c r="K127" s="118"/>
      <c r="L127" s="118"/>
      <c r="M127" s="118"/>
      <c r="N127" s="102"/>
      <c r="O127" s="102"/>
      <c r="P127" s="102"/>
      <c r="Q127" s="102"/>
      <c r="R127" s="118"/>
      <c r="S127" s="118"/>
      <c r="T127" s="118"/>
      <c r="U127" s="118"/>
      <c r="V127" s="118"/>
    </row>
    <row r="128" outlineLevel="1">
      <c r="A128" s="329" t="s">
        <v>259</v>
      </c>
      <c r="B128" s="327" t="s">
        <v>216</v>
      </c>
      <c r="C128" s="328">
        <f t="array" ref="C128">INDEX('アイテム'!$AA$3:$AB$114, MATCH($A$1,'アイテム'!$A$3:$A$114,0), MATCH(C125,'アイテム'!$C$2:$AQ$2,0))</f>
        <v>3</v>
      </c>
      <c r="D128" s="328" t="str">
        <f t="array" ref="D128">INDEX('アイテム'!$AA$3:$AB$114, MATCH($A$1,'アイテム'!$A$3:$A$114,0), MATCH(D125,'アイテム'!$C$2:$AQ$2,0))</f>
        <v>12</v>
      </c>
      <c r="E128" s="322"/>
      <c r="F128" s="322"/>
      <c r="G128" s="114"/>
      <c r="H128" s="228"/>
      <c r="I128" s="228"/>
      <c r="J128" s="228"/>
      <c r="K128" s="118"/>
      <c r="L128" s="118"/>
      <c r="M128" s="118"/>
      <c r="N128" s="102"/>
      <c r="O128" s="102"/>
      <c r="P128" s="102"/>
      <c r="Q128" s="102"/>
      <c r="R128" s="118"/>
      <c r="S128" s="118"/>
      <c r="T128" s="118"/>
      <c r="U128" s="118"/>
      <c r="V128" s="118"/>
    </row>
    <row r="129" outlineLevel="1">
      <c r="A129" s="324" t="s">
        <v>260</v>
      </c>
      <c r="B129" s="109"/>
      <c r="C129" s="325" t="s">
        <v>261</v>
      </c>
      <c r="D129" s="325" t="s">
        <v>49</v>
      </c>
      <c r="E129" s="322"/>
      <c r="F129" s="322"/>
      <c r="G129" s="114"/>
      <c r="H129" s="228"/>
      <c r="I129" s="228"/>
      <c r="J129" s="228"/>
      <c r="K129" s="118"/>
      <c r="L129" s="118"/>
      <c r="M129" s="118"/>
      <c r="N129" s="102"/>
      <c r="O129" s="102"/>
      <c r="P129" s="102"/>
      <c r="Q129" s="102"/>
      <c r="R129" s="118"/>
      <c r="S129" s="118"/>
      <c r="T129" s="118"/>
      <c r="U129" s="118"/>
      <c r="V129" s="118"/>
    </row>
    <row r="130" outlineLevel="1">
      <c r="A130" s="326" t="s">
        <v>262</v>
      </c>
      <c r="B130" s="327" t="s">
        <v>226</v>
      </c>
      <c r="C130" s="328" t="str">
        <f t="array" ref="C130">INDEX('アイテム'!$G$3:$H$114, MATCH($A$1,'アイテム'!$A$3:$A$114,0), MATCH(C125,'アイテム'!$C$2:$AQ$2,0))</f>
        <v>8</v>
      </c>
      <c r="D130" s="328">
        <f t="array" ref="D130">INDEX('アイテム'!$G$3:$H$114, MATCH($A$1,'アイテム'!$A$3:$A$114,0), MATCH(D125,'アイテム'!$C$2:$AQ$2,0))</f>
        <v>24</v>
      </c>
      <c r="E130" s="322"/>
      <c r="F130" s="322"/>
      <c r="G130" s="114"/>
      <c r="H130" s="228"/>
      <c r="I130" s="228"/>
      <c r="J130" s="228"/>
      <c r="K130" s="118"/>
      <c r="L130" s="118"/>
      <c r="M130" s="118"/>
      <c r="N130" s="102"/>
      <c r="O130" s="102"/>
      <c r="P130" s="102"/>
      <c r="Q130" s="102"/>
      <c r="R130" s="118"/>
      <c r="S130" s="118"/>
      <c r="T130" s="118"/>
      <c r="U130" s="118"/>
      <c r="V130" s="118"/>
    </row>
    <row r="131" outlineLevel="1">
      <c r="A131" s="146"/>
      <c r="B131" s="327" t="s">
        <v>229</v>
      </c>
      <c r="C131" s="328" t="str">
        <f t="array" ref="C131">INDEX('アイテム'!$I$3:$J$114, MATCH($A$1,'アイテム'!$A$3:$A$114,0), MATCH(C125,'アイテム'!$C$2:$AQ$2,0))</f>
        <v>11</v>
      </c>
      <c r="D131" s="328">
        <f t="array" ref="D131">INDEX('アイテム'!$I$3:$J$114, MATCH($A$1,'アイテム'!$A$3:$A$114,0), MATCH(D125,'アイテム'!$C$2:$AQ$2,0))</f>
        <v>24</v>
      </c>
      <c r="E131" s="322"/>
      <c r="F131" s="322"/>
      <c r="G131" s="114"/>
      <c r="H131" s="228"/>
      <c r="I131" s="228"/>
      <c r="J131" s="228"/>
      <c r="K131" s="118"/>
      <c r="L131" s="118"/>
      <c r="M131" s="118"/>
      <c r="N131" s="102"/>
      <c r="O131" s="102"/>
      <c r="P131" s="102"/>
      <c r="Q131" s="102"/>
      <c r="R131" s="118"/>
      <c r="S131" s="118"/>
      <c r="T131" s="118"/>
      <c r="U131" s="118"/>
      <c r="V131" s="118"/>
    </row>
    <row r="132" outlineLevel="1">
      <c r="A132" s="146"/>
      <c r="B132" s="327" t="s">
        <v>233</v>
      </c>
      <c r="C132" s="328" t="str">
        <f t="array" ref="C132">INDEX('アイテム'!$K$3:$L$114, MATCH($A$1,'アイテム'!$A$3:$A$114,0), MATCH(C125,'アイテム'!$C$2:$AQ$2,0))</f>
        <v>12</v>
      </c>
      <c r="D132" s="328">
        <f t="array" ref="D132">INDEX('アイテム'!$K$3:$L$114, MATCH($A$1,'アイテム'!$A$3:$A$114,0), MATCH(D125,'アイテム'!$C$2:$AQ$2,0))</f>
        <v>23</v>
      </c>
      <c r="E132" s="322"/>
      <c r="F132" s="322"/>
      <c r="G132" s="114"/>
      <c r="H132" s="228"/>
      <c r="I132" s="228"/>
      <c r="J132" s="228"/>
      <c r="K132" s="118"/>
      <c r="L132" s="118"/>
      <c r="M132" s="118"/>
      <c r="N132" s="102"/>
      <c r="O132" s="102"/>
      <c r="P132" s="102"/>
      <c r="Q132" s="102"/>
      <c r="R132" s="118"/>
      <c r="S132" s="118"/>
      <c r="T132" s="118"/>
      <c r="U132" s="118"/>
      <c r="V132" s="118"/>
    </row>
    <row r="133" outlineLevel="1">
      <c r="A133" s="146"/>
      <c r="B133" s="327" t="s">
        <v>234</v>
      </c>
      <c r="C133" s="328" t="str">
        <f t="array" ref="C133">INDEX('アイテム'!$M$3:$N$114, MATCH($A$1,'アイテム'!$A$3:$A$114,0), MATCH(C125,'アイテム'!$C$2:$AQ$2,0))</f>
        <v>7</v>
      </c>
      <c r="D133" s="328">
        <f t="array" ref="D133">INDEX('アイテム'!$M$3:$N$114, MATCH($A$1,'アイテム'!$A$3:$A$114,0), MATCH(D125,'アイテム'!$C$2:$AQ$2,0))</f>
        <v>19</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219</v>
      </c>
      <c r="C134" s="328" t="str">
        <f t="array" ref="C134">INDEX('アイテム'!$O$3:$P$114, MATCH($A$1,'アイテム'!$A$3:$A$114,0), MATCH(C125,'アイテム'!$C$2:$AQ$2,0))</f>
        <v>5</v>
      </c>
      <c r="D134" s="328">
        <f t="array" ref="D134">INDEX('アイテム'!$O$3:$P$114, MATCH($A$1,'アイテム'!$A$3:$A$114,0), MATCH(D125,'アイテム'!$C$2:$AQ$2,0))</f>
        <v>29</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263</v>
      </c>
      <c r="C135" s="328" t="str">
        <f t="array" ref="C135">INDEX('アイテム'!$Q$3:$R$114, MATCH($A$1,'アイテム'!$A$3:$A$114,0), MATCH(C125,'アイテム'!$C$2:$AQ$2,0))</f>
        <v>6</v>
      </c>
      <c r="D135" s="328">
        <f t="array" ref="D135">INDEX('アイテム'!$Q$3:$R$114, MATCH($A$1,'アイテム'!$A$3:$A$114,0), MATCH(D125,'アイテム'!$C$2:$AQ$2,0))</f>
        <v>23</v>
      </c>
      <c r="E135" s="322"/>
      <c r="F135" s="322"/>
      <c r="G135" s="114"/>
      <c r="H135" s="228"/>
      <c r="I135" s="228"/>
      <c r="J135" s="228"/>
      <c r="K135" s="118"/>
      <c r="L135" s="118"/>
      <c r="M135" s="118"/>
      <c r="N135" s="102"/>
      <c r="O135" s="102"/>
      <c r="P135" s="102"/>
      <c r="Q135" s="102"/>
      <c r="R135" s="118"/>
      <c r="S135" s="118"/>
      <c r="T135" s="118"/>
      <c r="U135" s="118"/>
      <c r="V135" s="118"/>
    </row>
    <row r="136" outlineLevel="1">
      <c r="A136" s="326" t="s">
        <v>264</v>
      </c>
      <c r="B136" s="327" t="s">
        <v>226</v>
      </c>
      <c r="C136" s="328" t="str">
        <f t="array" ref="C136">INDEX('アイテム'!$S$3:$T$114, MATCH($A$1,'アイテム'!$A$3:$A$114,0), MATCH(C125,'アイテム'!$C$2:$AQ$2,0))</f>
        <v>8</v>
      </c>
      <c r="D136" s="328">
        <f t="array" ref="D136">INDEX('アイテム'!$S$3:$T$114, MATCH($A$1,'アイテム'!$A$3:$A$114,0), MATCH(D125,'アイテム'!$C$2:$AQ$2,0))</f>
        <v>24</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229</v>
      </c>
      <c r="C137" s="328" t="str">
        <f t="array" ref="C137">INDEX('アイテム'!$U$3:$V$114, MATCH($A$1,'アイテム'!$A$3:$A$114,0), MATCH(C125,'アイテム'!$C$2:$AQ$2,0))</f>
        <v>11</v>
      </c>
      <c r="D137" s="328">
        <f t="array" ref="D137">INDEX('アイテム'!$U$3:$V$114, MATCH($A$1,'アイテム'!$A$3:$A$114,0), MATCH(D125,'アイテム'!$C$2:$AQ$2,0))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233</v>
      </c>
      <c r="C138" s="328" t="str">
        <f t="array" ref="C138">INDEX('アイテム'!$W$3:$X$114, MATCH($A$1,'アイテム'!$A$3:$A$114,0), MATCH(C125,'アイテム'!$C$2:$AQ$2,0))</f>
        <v>12</v>
      </c>
      <c r="D138" s="328">
        <f t="array" ref="D138">INDEX('アイテム'!$W$3:$X$114, MATCH($A$1,'アイテム'!$A$3:$A$114,0), MATCH(D125,'アイテム'!$C$2:$AQ$2,0))</f>
        <v>23</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234</v>
      </c>
      <c r="C139" s="328" t="str">
        <f t="array" ref="C139">INDEX('アイテム'!$Y$3:$Z$114, MATCH($A$1,'アイテム'!$A$3:$A$114,0), MATCH(C125,'アイテム'!$C$2:$AQ$2,0))</f>
        <v>7</v>
      </c>
      <c r="D139" s="328">
        <f t="array" ref="D139">INDEX('アイテム'!$Y$3:$Z$114, MATCH($A$1,'アイテム'!$A$3:$A$114,0), MATCH(D125,'アイテム'!$C$2:$AQ$2,0))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265</v>
      </c>
      <c r="B140" s="327" t="s">
        <v>226</v>
      </c>
      <c r="C140" s="328">
        <f t="array" ref="C140">INDEX('アイテム'!$AC$3:$AD$114, MATCH($A$1,'アイテム'!$A$3:$A$114,0), MATCH(C125,'アイテム'!$C$2:$AQ$2,0))</f>
        <v>14</v>
      </c>
      <c r="D140" s="328" t="str">
        <f t="array" ref="D140">INDEX('アイテム'!$AC$3:$AD$114, MATCH($A$1,'アイテム'!$A$3:$A$114,0), MATCH(D125,'アイテム'!$C$2:$AQ$2,0))</f>
        <v>30</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f t="array" ref="C141">INDEX('アイテム'!$AE$3:$AF$114, MATCH($A$1,'アイテム'!$A$3:$A$114,0), MATCH(C125,'アイテム'!$C$2:$AQ$2,0))</f>
        <v>15</v>
      </c>
      <c r="D141" s="328" t="str">
        <f t="array" ref="D141">INDEX('アイテム'!$AE$3:$AF$114, MATCH($A$1,'アイテム'!$A$3:$A$114,0), MATCH(D125,'アイテム'!$C$2:$AQ$2,0))</f>
        <v>30</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f t="array" ref="C142">INDEX('アイテム'!$AG$3:$AH$114, MATCH($A$1,'アイテム'!$A$3:$A$114,0), MATCH(C125,'アイテム'!$C$2:$AQ$2,0))</f>
        <v>11</v>
      </c>
      <c r="D142" s="328" t="str">
        <f t="array" ref="D142">INDEX('アイテム'!$AG$3:$AH$114, MATCH($A$1,'アイテム'!$A$3:$A$114,0), MATCH(D125,'アイテム'!$C$2:$AQ$2,0))</f>
        <v>22</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234</v>
      </c>
      <c r="C143" s="328">
        <f t="array" ref="C143">INDEX('アイテム'!$AI$3:$AJ$114, MATCH($A$1,'アイテム'!$A$3:$A$114,0), MATCH(C125,'アイテム'!$C$2:$AQ$2,0))</f>
        <v>9</v>
      </c>
      <c r="D143" s="328" t="str">
        <f t="array" ref="D143">INDEX('アイテム'!$AI$3:$AJ$114, MATCH($A$1,'アイテム'!$A$3:$A$114,0), MATCH(D125,'アイテム'!$C$2:$AQ$2,0))</f>
        <v>22</v>
      </c>
      <c r="E143" s="1130"/>
      <c r="F143" s="322"/>
      <c r="G143" s="114"/>
      <c r="H143" s="228"/>
      <c r="I143" s="228"/>
      <c r="J143" s="228"/>
      <c r="K143" s="118"/>
      <c r="L143" s="118"/>
      <c r="M143" s="118"/>
      <c r="N143" s="102"/>
      <c r="O143" s="102"/>
      <c r="P143" s="102"/>
      <c r="Q143" s="102"/>
      <c r="R143" s="118"/>
      <c r="S143" s="118"/>
      <c r="T143" s="118"/>
      <c r="U143" s="118"/>
      <c r="V143" s="118"/>
    </row>
  </sheetData>
  <mergeCells count="127">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C24:D24"/>
    <mergeCell ref="H33:J33"/>
    <mergeCell ref="H34:J35"/>
    <mergeCell ref="U34:U35"/>
    <mergeCell ref="A29:B30"/>
    <mergeCell ref="H30:J30"/>
    <mergeCell ref="A31:A33"/>
    <mergeCell ref="H31:J31"/>
    <mergeCell ref="H32:J32"/>
    <mergeCell ref="A34:A35"/>
    <mergeCell ref="D34:D35"/>
    <mergeCell ref="H36:J36"/>
    <mergeCell ref="H37:J37"/>
    <mergeCell ref="H38:J38"/>
    <mergeCell ref="H39:J39"/>
    <mergeCell ref="H40:J40"/>
    <mergeCell ref="A41:A42"/>
    <mergeCell ref="D41:D42"/>
    <mergeCell ref="U41:U42"/>
    <mergeCell ref="U58:U60"/>
    <mergeCell ref="V58:V60"/>
    <mergeCell ref="U64:U65"/>
    <mergeCell ref="V64:V65"/>
    <mergeCell ref="U67:U68"/>
    <mergeCell ref="V67:V68"/>
    <mergeCell ref="H41:J42"/>
    <mergeCell ref="R45:V45"/>
    <mergeCell ref="R46:V47"/>
    <mergeCell ref="R48:V50"/>
    <mergeCell ref="R51:V52"/>
    <mergeCell ref="R53:V53"/>
    <mergeCell ref="R54:V54"/>
    <mergeCell ref="G77:J78"/>
    <mergeCell ref="G79:J80"/>
    <mergeCell ref="A73:A75"/>
    <mergeCell ref="A76:B76"/>
    <mergeCell ref="G76:J76"/>
    <mergeCell ref="A77:A78"/>
    <mergeCell ref="D77:D78"/>
    <mergeCell ref="A79:A80"/>
    <mergeCell ref="A81:A82"/>
    <mergeCell ref="G81:J82"/>
    <mergeCell ref="D79:D80"/>
    <mergeCell ref="D81:D82"/>
    <mergeCell ref="A83:A84"/>
    <mergeCell ref="D83:D84"/>
    <mergeCell ref="G83:J84"/>
    <mergeCell ref="A86:B87"/>
    <mergeCell ref="A88:A90"/>
    <mergeCell ref="K105:K108"/>
    <mergeCell ref="K109:L109"/>
    <mergeCell ref="K111:K114"/>
    <mergeCell ref="K115:L115"/>
    <mergeCell ref="K118:L118"/>
    <mergeCell ref="A91:A92"/>
    <mergeCell ref="A94:B95"/>
    <mergeCell ref="K95:L95"/>
    <mergeCell ref="A96:A100"/>
    <mergeCell ref="K96:K97"/>
    <mergeCell ref="K98:L98"/>
    <mergeCell ref="K99:K104"/>
    <mergeCell ref="A116:A122"/>
    <mergeCell ref="A124:B124"/>
    <mergeCell ref="A125:B125"/>
    <mergeCell ref="A126:A127"/>
    <mergeCell ref="A129:B129"/>
    <mergeCell ref="A130:A135"/>
    <mergeCell ref="A136:A139"/>
    <mergeCell ref="A140:A143"/>
    <mergeCell ref="A101:A103"/>
    <mergeCell ref="A104:A109"/>
    <mergeCell ref="C108:C109"/>
    <mergeCell ref="D108:D109"/>
    <mergeCell ref="A110:A115"/>
    <mergeCell ref="D114:D115"/>
    <mergeCell ref="D121:D122"/>
    <mergeCell ref="I48:I50"/>
    <mergeCell ref="J48:J50"/>
    <mergeCell ref="A44:B45"/>
    <mergeCell ref="A46:A47"/>
    <mergeCell ref="D46:D47"/>
    <mergeCell ref="I46:I47"/>
    <mergeCell ref="J46:J47"/>
    <mergeCell ref="A48:A50"/>
    <mergeCell ref="A51:A52"/>
    <mergeCell ref="D48:D50"/>
    <mergeCell ref="D51:D52"/>
    <mergeCell ref="A56:B56"/>
    <mergeCell ref="A57:B57"/>
    <mergeCell ref="A58:A60"/>
    <mergeCell ref="D58:D60"/>
    <mergeCell ref="A61:B61"/>
    <mergeCell ref="H64:J65"/>
    <mergeCell ref="H66:J66"/>
    <mergeCell ref="H67:J68"/>
    <mergeCell ref="I51:I52"/>
    <mergeCell ref="J51:J52"/>
    <mergeCell ref="H57:J57"/>
    <mergeCell ref="H58:J60"/>
    <mergeCell ref="H61:J61"/>
    <mergeCell ref="H62:J62"/>
    <mergeCell ref="H63:J63"/>
    <mergeCell ref="A63:B63"/>
    <mergeCell ref="A64:A65"/>
    <mergeCell ref="D64:D65"/>
    <mergeCell ref="A66:B66"/>
    <mergeCell ref="A67:A68"/>
    <mergeCell ref="D67:D68"/>
    <mergeCell ref="A70:B71"/>
    <mergeCell ref="C114:C115"/>
    <mergeCell ref="C121:C122"/>
  </mergeCells>
  <conditionalFormatting sqref="K1:K15 K17:K119 C77 E77:F77 C79 E79:F79 L79:Q79 C81 E81:F81 C83 E83:F83">
    <cfRule type="containsText" dxfId="0" priority="1" operator="containsText" text="361">
      <formula>NOT(ISERROR(SEARCH(("361"),(K1))))</formula>
    </cfRule>
  </conditionalFormatting>
  <conditionalFormatting sqref="K1:K15 K17:K119 C77 E77:F77 C79 E79:F79 L79:Q79 C81 E81:F81 C83 E83:F83">
    <cfRule type="containsText" dxfId="1" priority="2" operator="containsText" text="363">
      <formula>NOT(ISERROR(SEARCH(("363"),(K1))))</formula>
    </cfRule>
  </conditionalFormatting>
  <conditionalFormatting sqref="K1:K15 K17:K119 C77 E77:F77 C79 E79:F79 L79:Q79 C81 E81:F81 C83 E83:F83">
    <cfRule type="containsText" dxfId="1" priority="3" operator="containsText" text="365">
      <formula>NOT(ISERROR(SEARCH(("365"),(K1))))</formula>
    </cfRule>
  </conditionalFormatting>
  <conditionalFormatting sqref="K1:K15 K17:K119 C77 E77:F77 C79 E79:F79 L79:Q79 C81 E81:F81 C83 E83:F83">
    <cfRule type="containsText" dxfId="1" priority="4" operator="containsText" text="366">
      <formula>NOT(ISERROR(SEARCH(("366"),(K1))))</formula>
    </cfRule>
  </conditionalFormatting>
  <conditionalFormatting sqref="K1:K15 K17:K119 C77 E77:F77 C79 E79:F79 L79:Q79 C81 E81:F81 C83 E83:F83">
    <cfRule type="containsText" dxfId="1" priority="5" operator="containsText" text="367">
      <formula>NOT(ISERROR(SEARCH(("367"),(K1))))</formula>
    </cfRule>
  </conditionalFormatting>
  <conditionalFormatting sqref="P77:P84">
    <cfRule type="cellIs" dxfId="2" priority="6" operator="equal">
      <formula>"敵のみ"</formula>
    </cfRule>
  </conditionalFormatting>
  <conditionalFormatting sqref="C77:C84">
    <cfRule type="cellIs" dxfId="3" priority="7" operator="equal">
      <formula>"-"</formula>
    </cfRule>
  </conditionalFormatting>
  <conditionalFormatting sqref="O1:O143 C77 E77:F77 K77:N77 P77:Q84 C79 E79:F79 K79:N79 C81 E81:F81 K81:N81 C83 E83:F83 K83:N83">
    <cfRule type="cellIs" dxfId="4" priority="8" operator="greaterThan">
      <formula>0</formula>
    </cfRule>
  </conditionalFormatting>
  <conditionalFormatting sqref="P1:Q143">
    <cfRule type="cellIs" dxfId="5" priority="9" operator="lessThan">
      <formula>1</formula>
    </cfRule>
  </conditionalFormatting>
  <conditionalFormatting sqref="P1:Q143">
    <cfRule type="cellIs" dxfId="4" priority="10" operator="greaterThan">
      <formula>1</formula>
    </cfRule>
  </conditionalFormatting>
  <conditionalFormatting sqref="N30:N84 K31:M42 K46:M54 K58:M60 K62:M62 K64:M65 K67:M68">
    <cfRule type="cellIs" dxfId="6" priority="11" operator="greaterThan">
      <formula>0</formula>
    </cfRule>
  </conditionalFormatting>
  <drawing r:id="rId2"/>
  <legacyDrawing r:id="rId3"/>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FD8A"/>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131">
        <v>19.0</v>
      </c>
      <c r="B1" s="1132"/>
      <c r="C1" s="1133" t="str">
        <f>IMAGE(VLOOKUP($A$1,Fighters!A2:AI114,12,FALSE),1)</f>
        <v>#REF!</v>
      </c>
      <c r="D1" s="1134"/>
      <c r="E1" s="1134"/>
      <c r="F1" s="1134"/>
      <c r="G1" s="1135"/>
      <c r="H1" s="1136"/>
      <c r="I1" s="1134"/>
      <c r="J1" s="1135"/>
      <c r="K1" s="1137"/>
      <c r="L1" s="1134"/>
      <c r="M1" s="1135"/>
      <c r="N1" s="1138"/>
      <c r="O1" s="1138"/>
      <c r="P1" s="1138"/>
      <c r="Q1" s="1138"/>
      <c r="R1" s="1139"/>
      <c r="S1" s="1139"/>
      <c r="T1" s="1139"/>
      <c r="U1" s="1139"/>
      <c r="V1" s="1139"/>
    </row>
    <row r="2">
      <c r="A2" s="1140" t="str">
        <f>VLOOKUP($A$1,Fighters!$A$2:$AI$81,6,FALSE)</f>
        <v>#fafd8a</v>
      </c>
      <c r="B2" s="1132"/>
      <c r="C2" s="1141"/>
      <c r="G2" s="1142"/>
      <c r="H2" s="1143"/>
      <c r="I2" s="1144"/>
      <c r="J2" s="1145"/>
      <c r="K2" s="1143"/>
      <c r="L2" s="1144"/>
      <c r="M2" s="1145"/>
      <c r="N2" s="1138"/>
      <c r="O2" s="1138"/>
      <c r="P2" s="1138"/>
      <c r="Q2" s="1138"/>
      <c r="R2" s="1139"/>
      <c r="S2" s="1139"/>
      <c r="T2" s="1139"/>
      <c r="U2" s="1139"/>
      <c r="V2" s="1139"/>
    </row>
    <row r="3">
      <c r="A3" s="1140" t="str">
        <f>VLOOKUP($A$1,Fighters!$A$2:$AI$81,14,FALSE)</f>
        <v>19. ピチュー</v>
      </c>
      <c r="B3" s="1132"/>
      <c r="C3" s="1141"/>
      <c r="G3" s="1142"/>
      <c r="H3" s="1146"/>
      <c r="I3" s="1146"/>
      <c r="J3" s="1146"/>
      <c r="K3" s="1147"/>
      <c r="L3" s="1147"/>
      <c r="M3" s="1147"/>
      <c r="N3" s="1138"/>
      <c r="O3" s="1138"/>
      <c r="P3" s="1138"/>
      <c r="Q3" s="1138"/>
      <c r="R3" s="1148"/>
      <c r="S3" s="1139"/>
      <c r="T3" s="1139"/>
      <c r="U3" s="1139"/>
      <c r="V3" s="1139"/>
    </row>
    <row r="4">
      <c r="A4" s="1140" t="str">
        <f>VLOOKUP($A$1,Fighters!$A$2:$AI$81,13,FALSE)</f>
        <v>0</v>
      </c>
      <c r="B4" s="1132"/>
      <c r="C4" s="1141"/>
      <c r="G4" s="1142"/>
      <c r="H4" s="1149"/>
      <c r="I4" s="1149"/>
      <c r="J4" s="1146"/>
      <c r="K4" s="1147"/>
      <c r="L4" s="1147"/>
      <c r="M4" s="1147"/>
      <c r="N4" s="1138"/>
      <c r="O4" s="1138"/>
      <c r="P4" s="1138"/>
      <c r="Q4" s="1138"/>
      <c r="R4" s="1148"/>
      <c r="S4" s="1139"/>
      <c r="T4" s="1139"/>
      <c r="U4" s="1139"/>
      <c r="V4" s="1139"/>
    </row>
    <row r="5" ht="16.5" customHeight="1">
      <c r="A5" s="1131"/>
      <c r="B5" s="1132"/>
      <c r="C5" s="1141"/>
      <c r="G5" s="1142"/>
      <c r="H5" s="1150"/>
      <c r="I5" s="1150"/>
      <c r="J5" s="1151"/>
      <c r="K5" s="1152"/>
      <c r="L5" s="1153"/>
      <c r="M5" s="1153"/>
      <c r="N5" s="1138"/>
      <c r="O5" s="1138"/>
      <c r="P5" s="1138"/>
      <c r="Q5" s="1138"/>
      <c r="R5" s="1148"/>
      <c r="S5" s="1139"/>
      <c r="T5" s="1139"/>
      <c r="U5" s="1139"/>
      <c r="V5" s="1139"/>
    </row>
    <row r="6">
      <c r="A6" s="1132"/>
      <c r="B6" s="1132"/>
      <c r="C6" s="1141"/>
      <c r="G6" s="1142"/>
      <c r="H6" s="1149"/>
      <c r="I6" s="1154" t="s">
        <v>39</v>
      </c>
      <c r="J6" s="1152"/>
      <c r="K6" s="1155"/>
      <c r="L6" s="1153"/>
      <c r="M6" s="1153"/>
      <c r="N6" s="1138"/>
      <c r="O6" s="1138"/>
      <c r="P6" s="1138"/>
      <c r="Q6" s="1138"/>
      <c r="R6" s="1148"/>
      <c r="S6" s="1139"/>
      <c r="T6" s="1139"/>
      <c r="U6" s="1139"/>
      <c r="V6" s="1139"/>
    </row>
    <row r="7">
      <c r="A7" s="1132"/>
      <c r="B7" s="1132"/>
      <c r="C7" s="1141"/>
      <c r="G7" s="1142"/>
      <c r="H7" s="1150"/>
      <c r="I7" s="1150"/>
      <c r="J7" s="1152"/>
      <c r="K7" s="1155"/>
      <c r="L7" s="1153"/>
      <c r="M7" s="1153"/>
      <c r="N7" s="1138"/>
      <c r="O7" s="1138"/>
      <c r="P7" s="1138"/>
      <c r="Q7" s="1138"/>
      <c r="R7" s="1148"/>
      <c r="S7" s="1139"/>
      <c r="T7" s="1139"/>
      <c r="U7" s="1139"/>
      <c r="V7" s="1139"/>
    </row>
    <row r="8">
      <c r="A8" s="1132"/>
      <c r="B8" s="1132"/>
      <c r="C8" s="1141"/>
      <c r="G8" s="1142"/>
      <c r="H8" s="1156">
        <v>44379.93027611111</v>
      </c>
      <c r="I8" s="1134"/>
      <c r="J8" s="1135"/>
      <c r="K8" s="1152"/>
      <c r="L8" s="1153"/>
      <c r="M8" s="1153"/>
      <c r="N8" s="1138"/>
      <c r="O8" s="1138"/>
      <c r="P8" s="1138"/>
      <c r="Q8" s="1138"/>
      <c r="R8" s="1148"/>
      <c r="S8" s="1139"/>
      <c r="T8" s="1139"/>
      <c r="U8" s="1139"/>
      <c r="V8" s="1139"/>
    </row>
    <row r="9">
      <c r="A9" s="1132"/>
      <c r="B9" s="1132"/>
      <c r="C9" s="1141"/>
      <c r="G9" s="1142"/>
      <c r="H9" s="1143"/>
      <c r="I9" s="1144"/>
      <c r="J9" s="1145"/>
      <c r="K9" s="1139"/>
      <c r="L9" s="1138"/>
      <c r="M9" s="1138"/>
      <c r="N9" s="1138"/>
      <c r="O9" s="1138"/>
      <c r="P9" s="1138"/>
      <c r="Q9" s="1138"/>
      <c r="R9" s="1148"/>
      <c r="S9" s="1139"/>
      <c r="T9" s="1139"/>
      <c r="U9" s="1139"/>
      <c r="V9" s="1139"/>
    </row>
    <row r="10">
      <c r="A10" s="1132"/>
      <c r="B10" s="1132"/>
      <c r="C10" s="1141"/>
      <c r="G10" s="1142"/>
      <c r="H10" s="1157"/>
      <c r="I10" s="1157"/>
      <c r="J10" s="1139"/>
      <c r="K10" s="1139"/>
      <c r="L10" s="1138"/>
      <c r="M10" s="1138"/>
      <c r="N10" s="1138"/>
      <c r="O10" s="1138"/>
      <c r="P10" s="1138"/>
      <c r="Q10" s="1138"/>
      <c r="R10" s="1148"/>
      <c r="S10" s="1139"/>
      <c r="T10" s="1139"/>
      <c r="U10" s="1139"/>
      <c r="V10" s="1139"/>
    </row>
    <row r="11">
      <c r="A11" s="1158" t="s">
        <v>40</v>
      </c>
      <c r="B11" s="1135"/>
      <c r="C11" s="1141"/>
      <c r="G11" s="1142"/>
      <c r="H11" s="1150"/>
      <c r="I11" s="1150"/>
      <c r="J11" s="1139"/>
      <c r="K11" s="1139"/>
      <c r="L11" s="1138"/>
      <c r="M11" s="1138"/>
      <c r="N11" s="1138"/>
      <c r="O11" s="1138"/>
      <c r="P11" s="1138"/>
      <c r="Q11" s="1138"/>
      <c r="R11" s="1148"/>
      <c r="S11" s="1139"/>
      <c r="T11" s="1139"/>
      <c r="U11" s="1139"/>
      <c r="V11" s="1139"/>
    </row>
    <row r="12">
      <c r="A12" s="1143"/>
      <c r="B12" s="1145"/>
      <c r="C12" s="1143"/>
      <c r="D12" s="1144"/>
      <c r="E12" s="1144"/>
      <c r="F12" s="1144"/>
      <c r="G12" s="1145"/>
      <c r="H12" s="1159"/>
      <c r="I12" s="1159"/>
      <c r="J12" s="1132"/>
      <c r="K12" s="1132"/>
      <c r="L12" s="1138"/>
      <c r="M12" s="1138"/>
      <c r="N12" s="1138"/>
      <c r="O12" s="1138"/>
      <c r="P12" s="1138"/>
      <c r="Q12" s="1138"/>
      <c r="R12" s="1148"/>
      <c r="S12" s="1139"/>
      <c r="T12" s="1139"/>
      <c r="U12" s="1139"/>
      <c r="V12" s="113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62 [89th]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1.98 [30th]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1.302 [13th]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0.2 [5th]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36.75 [15th]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3F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1.892 [28th]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17.43 [20th]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1.029 [48th]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 [10th]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36.02 [24th]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1.9 [6th]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 [50th]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0.14 [5th]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70" t="s">
        <v>266</v>
      </c>
      <c r="B26" s="134" t="s">
        <v>55</v>
      </c>
      <c r="C26" s="701" t="s">
        <v>64</v>
      </c>
      <c r="D26" s="701" t="s">
        <v>1613</v>
      </c>
      <c r="E26" s="139" t="s">
        <v>1614</v>
      </c>
      <c r="F26" s="138">
        <v>1.44</v>
      </c>
      <c r="G26" s="139" t="s">
        <v>170</v>
      </c>
      <c r="H26" s="151" t="s">
        <v>888</v>
      </c>
      <c r="I26" s="110"/>
      <c r="J26" s="109"/>
      <c r="K26" s="138"/>
      <c r="L26" s="282"/>
      <c r="M26" s="363"/>
      <c r="N26" s="363"/>
      <c r="O26" s="145">
        <v>0.0</v>
      </c>
      <c r="P26" s="145">
        <v>1.0</v>
      </c>
      <c r="Q26" s="145">
        <v>1.0</v>
      </c>
      <c r="R26" s="100"/>
      <c r="S26" s="100"/>
      <c r="T26" s="100"/>
      <c r="U26" s="145" t="s">
        <v>62</v>
      </c>
      <c r="V26" s="100"/>
    </row>
    <row r="27" outlineLevel="1">
      <c r="A27" s="133" t="s">
        <v>77</v>
      </c>
      <c r="B27" s="160"/>
      <c r="C27" s="467" t="s">
        <v>543</v>
      </c>
      <c r="D27" s="455" t="s">
        <v>218</v>
      </c>
      <c r="E27" s="467" t="s">
        <v>80</v>
      </c>
      <c r="F27" s="138">
        <v>9.6</v>
      </c>
      <c r="G27" s="139" t="s">
        <v>123</v>
      </c>
      <c r="H27" s="163"/>
      <c r="I27" s="164"/>
      <c r="J27" s="104"/>
      <c r="K27" s="138"/>
      <c r="L27" s="282"/>
      <c r="M27" s="363"/>
      <c r="N27" s="363"/>
      <c r="O27" s="145">
        <v>0.0</v>
      </c>
      <c r="P27" s="145">
        <v>1.0</v>
      </c>
      <c r="Q27" s="145">
        <v>1.0</v>
      </c>
      <c r="R27" s="100"/>
      <c r="S27" s="100"/>
      <c r="T27" s="100"/>
      <c r="U27" s="166" t="s">
        <v>69</v>
      </c>
      <c r="V27" s="100"/>
    </row>
    <row r="28" outlineLevel="1">
      <c r="A28" s="156"/>
      <c r="B28" s="147" t="s">
        <v>84</v>
      </c>
      <c r="C28" s="467" t="s">
        <v>1208</v>
      </c>
      <c r="D28" s="107"/>
      <c r="E28" s="467" t="s">
        <v>86</v>
      </c>
      <c r="F28" s="138">
        <v>7.199999999999999</v>
      </c>
      <c r="G28" s="139" t="s">
        <v>102</v>
      </c>
      <c r="H28" s="106"/>
      <c r="I28" s="168"/>
      <c r="J28" s="107"/>
      <c r="K28" s="282"/>
      <c r="L28" s="282"/>
      <c r="M28" s="363"/>
      <c r="N28" s="363"/>
      <c r="O28" s="145">
        <v>0.0</v>
      </c>
      <c r="P28" s="145">
        <v>1.0</v>
      </c>
      <c r="Q28" s="145">
        <v>1.0</v>
      </c>
      <c r="R28" s="100"/>
      <c r="S28" s="100"/>
      <c r="T28" s="100"/>
      <c r="U28" s="156"/>
      <c r="V28" s="100"/>
    </row>
    <row r="29" outlineLevel="1">
      <c r="A29" s="133" t="s">
        <v>89</v>
      </c>
      <c r="B29" s="147" t="s">
        <v>1314</v>
      </c>
      <c r="C29" s="467" t="s">
        <v>1615</v>
      </c>
      <c r="D29" s="455" t="s">
        <v>268</v>
      </c>
      <c r="E29" s="455" t="s">
        <v>80</v>
      </c>
      <c r="F29" s="394">
        <v>9.6</v>
      </c>
      <c r="G29" s="549" t="s">
        <v>123</v>
      </c>
      <c r="H29" s="386" t="s">
        <v>1616</v>
      </c>
      <c r="I29" s="164"/>
      <c r="J29" s="104"/>
      <c r="K29" s="138"/>
      <c r="L29" s="282"/>
      <c r="M29" s="363"/>
      <c r="N29" s="363"/>
      <c r="O29" s="145">
        <v>0.0</v>
      </c>
      <c r="P29" s="145">
        <v>1.0</v>
      </c>
      <c r="Q29" s="145">
        <v>1.0</v>
      </c>
      <c r="R29" s="100"/>
      <c r="S29" s="100"/>
      <c r="T29" s="100"/>
      <c r="U29" s="166" t="s">
        <v>96</v>
      </c>
      <c r="V29" s="100"/>
    </row>
    <row r="30" outlineLevel="1">
      <c r="A30" s="156"/>
      <c r="B30" s="147" t="s">
        <v>1316</v>
      </c>
      <c r="C30" s="467" t="s">
        <v>272</v>
      </c>
      <c r="D30" s="107"/>
      <c r="E30" s="107"/>
      <c r="F30" s="156"/>
      <c r="G30" s="107"/>
      <c r="H30" s="106"/>
      <c r="I30" s="168"/>
      <c r="J30" s="107"/>
      <c r="K30" s="138"/>
      <c r="L30" s="282"/>
      <c r="M30" s="363"/>
      <c r="N30" s="363"/>
      <c r="O30" s="145"/>
      <c r="P30" s="145"/>
      <c r="Q30" s="145"/>
      <c r="R30" s="100"/>
      <c r="S30" s="100"/>
      <c r="T30" s="100"/>
      <c r="U30" s="156"/>
      <c r="V30" s="100"/>
    </row>
    <row r="31" outlineLevel="1">
      <c r="A31" s="170" t="s">
        <v>97</v>
      </c>
      <c r="B31" s="160"/>
      <c r="C31" s="467" t="s">
        <v>1457</v>
      </c>
      <c r="D31" s="467" t="s">
        <v>173</v>
      </c>
      <c r="E31" s="467" t="s">
        <v>150</v>
      </c>
      <c r="F31" s="138">
        <v>6.0</v>
      </c>
      <c r="G31" s="139" t="s">
        <v>102</v>
      </c>
      <c r="H31" s="151"/>
      <c r="I31" s="110"/>
      <c r="J31" s="109"/>
      <c r="K31" s="282"/>
      <c r="L31" s="282"/>
      <c r="M31" s="363"/>
      <c r="N31" s="363"/>
      <c r="O31" s="145">
        <v>0.0</v>
      </c>
      <c r="P31" s="145">
        <v>1.0</v>
      </c>
      <c r="Q31" s="145">
        <v>1.0</v>
      </c>
      <c r="R31" s="100"/>
      <c r="S31" s="100"/>
      <c r="T31" s="100"/>
      <c r="U31" s="145" t="s">
        <v>69</v>
      </c>
      <c r="V31" s="100"/>
    </row>
    <row r="32" outlineLevel="1">
      <c r="A32" s="170" t="s">
        <v>103</v>
      </c>
      <c r="B32" s="160"/>
      <c r="C32" s="467" t="s">
        <v>319</v>
      </c>
      <c r="D32" s="467" t="s">
        <v>466</v>
      </c>
      <c r="E32" s="467" t="s">
        <v>86</v>
      </c>
      <c r="F32" s="138">
        <v>7.199999999999999</v>
      </c>
      <c r="G32" s="139" t="s">
        <v>102</v>
      </c>
      <c r="H32" s="151"/>
      <c r="I32" s="110"/>
      <c r="J32" s="109"/>
      <c r="K32" s="145"/>
      <c r="L32" s="363"/>
      <c r="M32" s="363"/>
      <c r="N32" s="363"/>
      <c r="O32" s="145">
        <v>0.0</v>
      </c>
      <c r="P32" s="145">
        <v>1.0</v>
      </c>
      <c r="Q32" s="145">
        <v>1.0</v>
      </c>
      <c r="R32" s="100"/>
      <c r="S32" s="100"/>
      <c r="T32" s="100"/>
      <c r="U32" s="145" t="s">
        <v>69</v>
      </c>
      <c r="V32" s="100"/>
    </row>
    <row r="33" outlineLevel="1">
      <c r="A33" s="133" t="s">
        <v>109</v>
      </c>
      <c r="B33" s="147" t="s">
        <v>167</v>
      </c>
      <c r="C33" s="467" t="s">
        <v>1617</v>
      </c>
      <c r="D33" s="379" t="s">
        <v>892</v>
      </c>
      <c r="E33" s="467" t="s">
        <v>176</v>
      </c>
      <c r="F33" s="138">
        <v>2.4</v>
      </c>
      <c r="G33" s="139" t="s">
        <v>60</v>
      </c>
      <c r="H33" s="386" t="s">
        <v>1618</v>
      </c>
      <c r="I33" s="164"/>
      <c r="J33" s="104"/>
      <c r="K33" s="282"/>
      <c r="L33" s="282"/>
      <c r="M33" s="363"/>
      <c r="N33" s="363"/>
      <c r="O33" s="145">
        <v>0.0</v>
      </c>
      <c r="P33" s="145">
        <v>1.0</v>
      </c>
      <c r="Q33" s="145">
        <v>1.0</v>
      </c>
      <c r="R33" s="100"/>
      <c r="S33" s="100"/>
      <c r="T33" s="100"/>
      <c r="U33" s="166" t="s">
        <v>62</v>
      </c>
      <c r="V33" s="100"/>
    </row>
    <row r="34" outlineLevel="1">
      <c r="A34" s="156"/>
      <c r="B34" s="147" t="s">
        <v>172</v>
      </c>
      <c r="C34" s="467" t="s">
        <v>1619</v>
      </c>
      <c r="D34" s="107"/>
      <c r="E34" s="467" t="s">
        <v>80</v>
      </c>
      <c r="F34" s="138">
        <v>9.6</v>
      </c>
      <c r="G34" s="139" t="s">
        <v>102</v>
      </c>
      <c r="H34" s="106"/>
      <c r="I34" s="168"/>
      <c r="J34" s="107"/>
      <c r="K34" s="282"/>
      <c r="L34" s="282"/>
      <c r="M34" s="363"/>
      <c r="N34" s="363"/>
      <c r="O34" s="145">
        <v>0.0</v>
      </c>
      <c r="P34" s="145">
        <v>1.0</v>
      </c>
      <c r="Q34" s="145">
        <v>1.0</v>
      </c>
      <c r="R34" s="100"/>
      <c r="S34" s="100"/>
      <c r="T34" s="100"/>
      <c r="U34" s="156"/>
      <c r="V34" s="100"/>
    </row>
    <row r="35" outlineLevel="1">
      <c r="A35" s="170" t="s">
        <v>116</v>
      </c>
      <c r="B35" s="160"/>
      <c r="C35" s="467" t="s">
        <v>835</v>
      </c>
      <c r="D35" s="467" t="s">
        <v>628</v>
      </c>
      <c r="E35" s="467" t="s">
        <v>119</v>
      </c>
      <c r="F35" s="138">
        <v>16.8</v>
      </c>
      <c r="G35" s="139" t="s">
        <v>121</v>
      </c>
      <c r="H35" s="151" t="s">
        <v>1620</v>
      </c>
      <c r="I35" s="110"/>
      <c r="J35" s="109"/>
      <c r="K35" s="363"/>
      <c r="L35" s="363"/>
      <c r="M35" s="363"/>
      <c r="N35" s="363"/>
      <c r="O35" s="145">
        <v>0.0</v>
      </c>
      <c r="P35" s="145">
        <v>1.0</v>
      </c>
      <c r="Q35" s="145">
        <v>1.0</v>
      </c>
      <c r="R35" s="100"/>
      <c r="S35" s="100"/>
      <c r="T35" s="100"/>
      <c r="U35" s="145" t="s">
        <v>62</v>
      </c>
      <c r="V35" s="100"/>
    </row>
    <row r="36" outlineLevel="1">
      <c r="A36" s="133" t="s">
        <v>124</v>
      </c>
      <c r="B36" s="147" t="s">
        <v>962</v>
      </c>
      <c r="C36" s="216" t="s">
        <v>1621</v>
      </c>
      <c r="D36" s="455" t="s">
        <v>413</v>
      </c>
      <c r="E36" s="467" t="s">
        <v>1024</v>
      </c>
      <c r="F36" s="138">
        <v>1.7999999999999998</v>
      </c>
      <c r="G36" s="139" t="s">
        <v>170</v>
      </c>
      <c r="H36" s="386" t="s">
        <v>1622</v>
      </c>
      <c r="I36" s="164"/>
      <c r="J36" s="104"/>
      <c r="K36" s="282"/>
      <c r="L36" s="282"/>
      <c r="M36" s="363"/>
      <c r="N36" s="363"/>
      <c r="O36" s="145">
        <v>0.0</v>
      </c>
      <c r="P36" s="145">
        <v>1.0</v>
      </c>
      <c r="Q36" s="145">
        <v>1.0</v>
      </c>
      <c r="R36" s="100"/>
      <c r="S36" s="100"/>
      <c r="T36" s="100"/>
      <c r="U36" s="166" t="s">
        <v>62</v>
      </c>
      <c r="V36" s="100"/>
    </row>
    <row r="37" ht="22.5" customHeight="1" outlineLevel="1">
      <c r="A37" s="156"/>
      <c r="B37" s="147" t="s">
        <v>521</v>
      </c>
      <c r="C37" s="216" t="s">
        <v>377</v>
      </c>
      <c r="D37" s="107"/>
      <c r="E37" s="467" t="s">
        <v>80</v>
      </c>
      <c r="F37" s="138">
        <v>9.6</v>
      </c>
      <c r="G37" s="139" t="s">
        <v>102</v>
      </c>
      <c r="H37" s="106"/>
      <c r="I37" s="168"/>
      <c r="J37" s="107"/>
      <c r="K37" s="282"/>
      <c r="L37" s="282"/>
      <c r="M37" s="363"/>
      <c r="N37" s="363"/>
      <c r="O37" s="145">
        <v>0.0</v>
      </c>
      <c r="P37" s="145">
        <v>1.0</v>
      </c>
      <c r="Q37" s="145">
        <v>1.0</v>
      </c>
      <c r="R37" s="100"/>
      <c r="S37" s="100"/>
      <c r="T37" s="100"/>
      <c r="U37" s="156"/>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tr">
        <f>'テンプレート'!I56</f>
        <v>着地隙</v>
      </c>
      <c r="J40" s="184" t="s">
        <v>136</v>
      </c>
      <c r="K40" s="184" t="str">
        <f>'テンプレート'!K56</f>
        <v>ベクトル</v>
      </c>
      <c r="L40" s="184" t="str">
        <f>'テンプレート'!L56</f>
        <v>KBG (R.E.)</v>
      </c>
      <c r="M40" s="184" t="str">
        <f>'テンプレート'!M56</f>
        <v>BKB (R.A.)</v>
      </c>
      <c r="N40" s="184" t="str">
        <f>'テンプレート'!N56</f>
        <v>FKB (R.F.)</v>
      </c>
      <c r="O40" s="186" t="str">
        <f>'テンプレート'!O56</f>
        <v>盾削り値</v>
      </c>
      <c r="P40" s="184" t="str">
        <f>'テンプレート'!P56</f>
        <v>ﾋｯﾄｽﾄｯﾌﾟ</v>
      </c>
      <c r="Q40" s="186" t="str">
        <f>'テンプレート'!Q56</f>
        <v>ずらし</v>
      </c>
      <c r="R40" s="187" t="str">
        <f>'テンプレート'!R56</f>
        <v>備考</v>
      </c>
      <c r="S40" s="110"/>
      <c r="T40" s="110"/>
      <c r="U40" s="110"/>
      <c r="V40" s="110"/>
    </row>
    <row r="41" outlineLevel="1">
      <c r="A41" s="188" t="s">
        <v>144</v>
      </c>
      <c r="B41" s="373"/>
      <c r="C41" s="239" t="s">
        <v>1623</v>
      </c>
      <c r="D41" s="455" t="s">
        <v>118</v>
      </c>
      <c r="E41" s="401" t="s">
        <v>93</v>
      </c>
      <c r="F41" s="193">
        <v>8.4</v>
      </c>
      <c r="G41" s="193">
        <v>7.140000000000001</v>
      </c>
      <c r="H41" s="138" t="s">
        <v>60</v>
      </c>
      <c r="I41" s="454" t="str">
        <f t="array" ref="I41">INDEX('空中攻撃'!$O$3:$AA$109, MATCH($A$1,'空中攻撃'!$A$3:$A$109,0), MATCH(A41,'空中攻撃'!$O$2:$S$2,0))</f>
        <v>7</v>
      </c>
      <c r="J41" s="455" t="s">
        <v>1624</v>
      </c>
      <c r="K41" s="138"/>
      <c r="L41" s="282"/>
      <c r="M41" s="363"/>
      <c r="N41" s="363"/>
      <c r="O41" s="145">
        <v>0.0</v>
      </c>
      <c r="P41" s="145">
        <v>1.0</v>
      </c>
      <c r="Q41" s="145">
        <v>1.0</v>
      </c>
      <c r="R41" s="386" t="s">
        <v>1625</v>
      </c>
      <c r="S41" s="164"/>
      <c r="T41" s="164"/>
      <c r="U41" s="164"/>
      <c r="V41" s="104"/>
    </row>
    <row r="42" outlineLevel="1">
      <c r="A42" s="156"/>
      <c r="B42" s="373" t="s">
        <v>84</v>
      </c>
      <c r="C42" s="239" t="s">
        <v>1626</v>
      </c>
      <c r="D42" s="107"/>
      <c r="E42" s="239" t="s">
        <v>150</v>
      </c>
      <c r="F42" s="138">
        <v>6.0</v>
      </c>
      <c r="G42" s="138">
        <v>5.1</v>
      </c>
      <c r="H42" s="138" t="s">
        <v>60</v>
      </c>
      <c r="I42" s="156"/>
      <c r="J42" s="107"/>
      <c r="K42" s="138"/>
      <c r="L42" s="282"/>
      <c r="M42" s="363"/>
      <c r="N42" s="363"/>
      <c r="O42" s="145">
        <v>0.0</v>
      </c>
      <c r="P42" s="145">
        <v>1.0</v>
      </c>
      <c r="Q42" s="145">
        <v>1.0</v>
      </c>
      <c r="R42" s="106"/>
      <c r="S42" s="168"/>
      <c r="T42" s="168"/>
      <c r="U42" s="168"/>
      <c r="V42" s="107"/>
    </row>
    <row r="43" outlineLevel="1">
      <c r="A43" s="188" t="s">
        <v>151</v>
      </c>
      <c r="B43" s="373" t="s">
        <v>903</v>
      </c>
      <c r="C43" s="239" t="s">
        <v>1627</v>
      </c>
      <c r="D43" s="455" t="s">
        <v>118</v>
      </c>
      <c r="E43" s="239" t="s">
        <v>651</v>
      </c>
      <c r="F43" s="138">
        <v>4.2</v>
      </c>
      <c r="G43" s="138">
        <v>3.5700000000000003</v>
      </c>
      <c r="H43" s="138" t="s">
        <v>170</v>
      </c>
      <c r="I43" s="454" t="str">
        <f t="array" ref="I43">INDEX('空中攻撃'!$O$3:$AA$109, MATCH($A$1,'空中攻撃'!$A$3:$A$109,0), MATCH(A43,'空中攻撃'!$O$2:$S$2,0))</f>
        <v>12</v>
      </c>
      <c r="J43" s="455" t="s">
        <v>1628</v>
      </c>
      <c r="K43" s="138"/>
      <c r="L43" s="282"/>
      <c r="M43" s="363"/>
      <c r="N43" s="363"/>
      <c r="O43" s="145">
        <v>0.0</v>
      </c>
      <c r="P43" s="145">
        <v>1.0</v>
      </c>
      <c r="Q43" s="145">
        <v>1.0</v>
      </c>
      <c r="R43" s="386" t="s">
        <v>1629</v>
      </c>
      <c r="S43" s="164"/>
      <c r="T43" s="164"/>
      <c r="U43" s="164"/>
      <c r="V43" s="104"/>
    </row>
    <row r="44" outlineLevel="1">
      <c r="A44" s="156"/>
      <c r="B44" s="373" t="s">
        <v>520</v>
      </c>
      <c r="C44" s="239" t="s">
        <v>288</v>
      </c>
      <c r="D44" s="107"/>
      <c r="E44" s="239" t="s">
        <v>651</v>
      </c>
      <c r="F44" s="138">
        <v>4.2</v>
      </c>
      <c r="G44" s="138">
        <v>3.5700000000000003</v>
      </c>
      <c r="H44" s="138" t="s">
        <v>170</v>
      </c>
      <c r="I44" s="156"/>
      <c r="J44" s="107"/>
      <c r="K44" s="138"/>
      <c r="L44" s="282"/>
      <c r="M44" s="363"/>
      <c r="N44" s="363"/>
      <c r="O44" s="145">
        <v>0.0</v>
      </c>
      <c r="P44" s="145">
        <v>1.0</v>
      </c>
      <c r="Q44" s="145">
        <v>1.0</v>
      </c>
      <c r="R44" s="106"/>
      <c r="S44" s="168"/>
      <c r="T44" s="168"/>
      <c r="U44" s="168"/>
      <c r="V44" s="107"/>
    </row>
    <row r="45" outlineLevel="1">
      <c r="A45" s="188" t="s">
        <v>157</v>
      </c>
      <c r="B45" s="373" t="s">
        <v>167</v>
      </c>
      <c r="C45" s="239" t="s">
        <v>1630</v>
      </c>
      <c r="D45" s="455" t="s">
        <v>289</v>
      </c>
      <c r="E45" s="239" t="s">
        <v>176</v>
      </c>
      <c r="F45" s="138">
        <v>2.4</v>
      </c>
      <c r="G45" s="138">
        <v>2.04</v>
      </c>
      <c r="H45" s="138" t="s">
        <v>170</v>
      </c>
      <c r="I45" s="454">
        <f t="array" ref="I45">INDEX('空中攻撃'!$O$3:$AA$109, MATCH($A$1,'空中攻撃'!$A$3:$A$109,0), MATCH(A45,'空中攻撃'!$O$2:$S$2,0))</f>
        <v>18</v>
      </c>
      <c r="J45" s="455" t="s">
        <v>1631</v>
      </c>
      <c r="K45" s="138"/>
      <c r="L45" s="282"/>
      <c r="M45" s="363"/>
      <c r="N45" s="363"/>
      <c r="O45" s="145">
        <v>0.0</v>
      </c>
      <c r="P45" s="145">
        <v>1.0</v>
      </c>
      <c r="Q45" s="145">
        <v>1.0</v>
      </c>
      <c r="R45" s="386" t="s">
        <v>1632</v>
      </c>
      <c r="S45" s="164"/>
      <c r="T45" s="164"/>
      <c r="U45" s="164"/>
      <c r="V45" s="104"/>
    </row>
    <row r="46" outlineLevel="1">
      <c r="A46" s="156"/>
      <c r="B46" s="373" t="s">
        <v>172</v>
      </c>
      <c r="C46" s="239" t="s">
        <v>574</v>
      </c>
      <c r="D46" s="107"/>
      <c r="E46" s="239" t="s">
        <v>535</v>
      </c>
      <c r="F46" s="138">
        <v>3.0</v>
      </c>
      <c r="G46" s="138">
        <v>2.55</v>
      </c>
      <c r="H46" s="138" t="s">
        <v>170</v>
      </c>
      <c r="I46" s="156"/>
      <c r="J46" s="107"/>
      <c r="K46" s="138"/>
      <c r="L46" s="282"/>
      <c r="M46" s="363"/>
      <c r="N46" s="363"/>
      <c r="O46" s="145">
        <v>0.0</v>
      </c>
      <c r="P46" s="145">
        <v>1.0</v>
      </c>
      <c r="Q46" s="145">
        <v>1.0</v>
      </c>
      <c r="R46" s="106"/>
      <c r="S46" s="168"/>
      <c r="T46" s="168"/>
      <c r="U46" s="168"/>
      <c r="V46" s="107"/>
    </row>
    <row r="47" outlineLevel="1">
      <c r="A47" s="213" t="s">
        <v>162</v>
      </c>
      <c r="B47" s="373"/>
      <c r="C47" s="239" t="s">
        <v>1633</v>
      </c>
      <c r="D47" s="467" t="s">
        <v>876</v>
      </c>
      <c r="E47" s="239" t="s">
        <v>73</v>
      </c>
      <c r="F47" s="138">
        <v>4.8</v>
      </c>
      <c r="G47" s="138">
        <v>4.08</v>
      </c>
      <c r="H47" s="138" t="s">
        <v>60</v>
      </c>
      <c r="I47" s="621" t="str">
        <f t="array" ref="I47">INDEX('空中攻撃'!$O$3:$AA$109, MATCH($A$1,'空中攻撃'!$A$3:$A$109,0), MATCH(A47,'空中攻撃'!$O$2:$S$2,0))</f>
        <v>11</v>
      </c>
      <c r="J47" s="467" t="s">
        <v>915</v>
      </c>
      <c r="K47" s="282"/>
      <c r="L47" s="282"/>
      <c r="M47" s="363"/>
      <c r="N47" s="363"/>
      <c r="O47" s="145">
        <v>0.0</v>
      </c>
      <c r="P47" s="145">
        <v>1.0</v>
      </c>
      <c r="Q47" s="145">
        <v>1.0</v>
      </c>
      <c r="R47" s="151"/>
      <c r="S47" s="110"/>
      <c r="T47" s="110"/>
      <c r="U47" s="110"/>
      <c r="V47" s="109"/>
    </row>
    <row r="48" ht="21.0" customHeight="1" outlineLevel="1">
      <c r="A48" s="188" t="s">
        <v>166</v>
      </c>
      <c r="B48" s="373"/>
      <c r="C48" s="239" t="s">
        <v>1111</v>
      </c>
      <c r="D48" s="455" t="s">
        <v>111</v>
      </c>
      <c r="E48" s="239" t="s">
        <v>228</v>
      </c>
      <c r="F48" s="138">
        <v>15.6</v>
      </c>
      <c r="G48" s="138">
        <v>13.26</v>
      </c>
      <c r="H48" s="138" t="s">
        <v>75</v>
      </c>
      <c r="I48" s="454">
        <f t="array" ref="I48">INDEX('空中攻撃'!$O$3:$AA$109, MATCH($A$1,'空中攻撃'!$A$3:$A$109,0), MATCH(A48,'空中攻撃'!$O$2:$S$2,0))</f>
        <v>22</v>
      </c>
      <c r="J48" s="455" t="s">
        <v>1634</v>
      </c>
      <c r="K48" s="282"/>
      <c r="L48" s="282"/>
      <c r="M48" s="363"/>
      <c r="N48" s="363"/>
      <c r="O48" s="145">
        <v>0.0</v>
      </c>
      <c r="P48" s="145">
        <v>1.0</v>
      </c>
      <c r="Q48" s="145">
        <v>1.0</v>
      </c>
      <c r="R48" s="386" t="s">
        <v>1635</v>
      </c>
      <c r="S48" s="164"/>
      <c r="T48" s="164"/>
      <c r="U48" s="164"/>
      <c r="V48" s="104"/>
    </row>
    <row r="49" ht="21.0" customHeight="1" outlineLevel="1">
      <c r="A49" s="146"/>
      <c r="B49" s="373" t="s">
        <v>84</v>
      </c>
      <c r="C49" s="239" t="s">
        <v>711</v>
      </c>
      <c r="D49" s="210"/>
      <c r="E49" s="239" t="s">
        <v>129</v>
      </c>
      <c r="F49" s="138">
        <v>14.399999999999999</v>
      </c>
      <c r="G49" s="138">
        <v>12.24</v>
      </c>
      <c r="H49" s="138" t="s">
        <v>75</v>
      </c>
      <c r="I49" s="146"/>
      <c r="J49" s="210"/>
      <c r="K49" s="282"/>
      <c r="L49" s="282"/>
      <c r="M49" s="363"/>
      <c r="N49" s="363"/>
      <c r="O49" s="145">
        <v>0.0</v>
      </c>
      <c r="P49" s="145">
        <v>1.0</v>
      </c>
      <c r="Q49" s="145">
        <v>1.0</v>
      </c>
      <c r="R49" s="212"/>
      <c r="V49" s="210"/>
    </row>
    <row r="50" ht="21.0" customHeight="1" outlineLevel="1">
      <c r="A50" s="156"/>
      <c r="B50" s="373" t="s">
        <v>174</v>
      </c>
      <c r="C50" s="239" t="s">
        <v>175</v>
      </c>
      <c r="D50" s="107"/>
      <c r="E50" s="239" t="s">
        <v>73</v>
      </c>
      <c r="F50" s="138">
        <v>4.8</v>
      </c>
      <c r="G50" s="138">
        <v>4.8</v>
      </c>
      <c r="H50" s="138" t="s">
        <v>75</v>
      </c>
      <c r="I50" s="156"/>
      <c r="J50" s="107"/>
      <c r="K50" s="282"/>
      <c r="L50" s="282"/>
      <c r="M50" s="363"/>
      <c r="N50" s="363"/>
      <c r="O50" s="145">
        <v>0.0</v>
      </c>
      <c r="P50" s="145">
        <v>1.0</v>
      </c>
      <c r="Q50" s="145">
        <v>1.0</v>
      </c>
      <c r="R50" s="106"/>
      <c r="S50" s="168"/>
      <c r="T50" s="168"/>
      <c r="U50" s="168"/>
      <c r="V50" s="107"/>
    </row>
    <row r="51">
      <c r="A51" s="223"/>
      <c r="B51" s="224"/>
      <c r="C51" s="225"/>
      <c r="D51" s="225"/>
      <c r="E51" s="226"/>
      <c r="F51" s="226"/>
      <c r="G51" s="226"/>
      <c r="H51" s="227"/>
      <c r="I51" s="227"/>
      <c r="J51" s="228"/>
      <c r="K51" s="228"/>
      <c r="L51" s="228"/>
      <c r="M51" s="228"/>
      <c r="N51" s="228"/>
      <c r="O51" s="228"/>
      <c r="P51" s="228"/>
      <c r="Q51" s="118"/>
      <c r="R51" s="118"/>
      <c r="S51" s="118"/>
      <c r="T51" s="118"/>
      <c r="U51" s="118"/>
      <c r="V51" s="118"/>
    </row>
    <row r="52">
      <c r="A52" s="229" t="s">
        <v>177</v>
      </c>
      <c r="B52" s="109"/>
      <c r="C52" s="225"/>
      <c r="D52" s="225"/>
      <c r="E52" s="226"/>
      <c r="F52" s="226"/>
      <c r="G52" s="226"/>
      <c r="H52" s="227"/>
      <c r="I52" s="227"/>
      <c r="J52" s="228"/>
      <c r="K52" s="228"/>
      <c r="L52" s="228"/>
      <c r="M52" s="228"/>
      <c r="N52" s="228"/>
      <c r="O52" s="228"/>
      <c r="P52" s="228"/>
      <c r="Q52" s="118"/>
      <c r="R52" s="118"/>
      <c r="S52" s="118"/>
      <c r="T52" s="118"/>
      <c r="U52" s="118"/>
      <c r="V52" s="118"/>
    </row>
    <row r="53" outlineLevel="1">
      <c r="A53" s="230" t="s">
        <v>918</v>
      </c>
      <c r="B53" s="109"/>
      <c r="C53" s="231" t="s">
        <v>48</v>
      </c>
      <c r="D53" s="231" t="s">
        <v>49</v>
      </c>
      <c r="E53" s="232" t="s">
        <v>50</v>
      </c>
      <c r="F53" s="233" t="s">
        <v>51</v>
      </c>
      <c r="G53" s="232" t="s">
        <v>52</v>
      </c>
      <c r="H53" s="382" t="s">
        <v>53</v>
      </c>
      <c r="I53" s="110"/>
      <c r="J53" s="109"/>
      <c r="K53" s="235" t="s">
        <v>137</v>
      </c>
      <c r="L53" s="235" t="s">
        <v>138</v>
      </c>
      <c r="M53" s="235" t="s">
        <v>139</v>
      </c>
      <c r="N53" s="235" t="s">
        <v>140</v>
      </c>
      <c r="O53" s="236" t="s">
        <v>141</v>
      </c>
      <c r="P53" s="235" t="s">
        <v>142</v>
      </c>
      <c r="Q53" s="236" t="s">
        <v>143</v>
      </c>
      <c r="R53" s="235" t="s">
        <v>179</v>
      </c>
      <c r="S53" s="236" t="s">
        <v>180</v>
      </c>
      <c r="T53" s="236" t="s">
        <v>181</v>
      </c>
      <c r="U53" s="236" t="s">
        <v>182</v>
      </c>
      <c r="V53" s="236" t="s">
        <v>183</v>
      </c>
    </row>
    <row r="54" outlineLevel="1">
      <c r="A54" s="237" t="s">
        <v>332</v>
      </c>
      <c r="B54" s="663" t="s">
        <v>919</v>
      </c>
      <c r="C54" s="150" t="s">
        <v>1636</v>
      </c>
      <c r="D54" s="1160" t="s">
        <v>455</v>
      </c>
      <c r="E54" s="149" t="s">
        <v>93</v>
      </c>
      <c r="F54" s="252">
        <v>8.4</v>
      </c>
      <c r="G54" s="139" t="s">
        <v>60</v>
      </c>
      <c r="H54" s="386" t="s">
        <v>1637</v>
      </c>
      <c r="I54" s="164"/>
      <c r="J54" s="104"/>
      <c r="K54" s="282"/>
      <c r="L54" s="282"/>
      <c r="M54" s="363"/>
      <c r="N54" s="363"/>
      <c r="O54" s="138">
        <v>0.0</v>
      </c>
      <c r="P54" s="138">
        <v>1.0</v>
      </c>
      <c r="Q54" s="138">
        <v>1.0</v>
      </c>
      <c r="R54" s="145" t="b">
        <v>1</v>
      </c>
      <c r="S54" s="145" t="b">
        <v>1</v>
      </c>
      <c r="T54" s="145" t="b">
        <v>1</v>
      </c>
      <c r="U54" s="166" t="s">
        <v>186</v>
      </c>
      <c r="V54" s="166" t="b">
        <v>1</v>
      </c>
    </row>
    <row r="55" outlineLevel="1">
      <c r="A55" s="146"/>
      <c r="B55" s="663" t="s">
        <v>924</v>
      </c>
      <c r="C55" s="150" t="s">
        <v>1638</v>
      </c>
      <c r="D55" s="210"/>
      <c r="E55" s="149" t="s">
        <v>86</v>
      </c>
      <c r="F55" s="252">
        <v>7.199999999999999</v>
      </c>
      <c r="G55" s="139" t="s">
        <v>60</v>
      </c>
      <c r="H55" s="212"/>
      <c r="J55" s="210"/>
      <c r="K55" s="282"/>
      <c r="L55" s="282"/>
      <c r="M55" s="363"/>
      <c r="N55" s="363"/>
      <c r="O55" s="138"/>
      <c r="P55" s="138"/>
      <c r="Q55" s="138"/>
      <c r="R55" s="145" t="b">
        <v>0</v>
      </c>
      <c r="S55" s="145" t="b">
        <v>0</v>
      </c>
      <c r="T55" s="145" t="b">
        <v>1</v>
      </c>
      <c r="U55" s="146"/>
      <c r="V55" s="146"/>
    </row>
    <row r="56" outlineLevel="1">
      <c r="A56" s="156"/>
      <c r="B56" s="663" t="s">
        <v>927</v>
      </c>
      <c r="C56" s="150" t="s">
        <v>1639</v>
      </c>
      <c r="D56" s="210"/>
      <c r="E56" s="149" t="s">
        <v>150</v>
      </c>
      <c r="F56" s="252">
        <v>6.0</v>
      </c>
      <c r="G56" s="139" t="s">
        <v>60</v>
      </c>
      <c r="H56" s="212"/>
      <c r="J56" s="210"/>
      <c r="K56" s="282"/>
      <c r="L56" s="282"/>
      <c r="M56" s="363"/>
      <c r="N56" s="363"/>
      <c r="O56" s="138"/>
      <c r="P56" s="138"/>
      <c r="Q56" s="138"/>
      <c r="R56" s="145" t="b">
        <v>0</v>
      </c>
      <c r="S56" s="145" t="b">
        <v>0</v>
      </c>
      <c r="T56" s="145" t="b">
        <v>1</v>
      </c>
      <c r="U56" s="146"/>
      <c r="V56" s="146"/>
    </row>
    <row r="57" outlineLevel="1">
      <c r="A57" s="259" t="s">
        <v>344</v>
      </c>
      <c r="B57" s="663" t="s">
        <v>1640</v>
      </c>
      <c r="C57" s="150" t="s">
        <v>1641</v>
      </c>
      <c r="D57" s="107"/>
      <c r="E57" s="149" t="s">
        <v>128</v>
      </c>
      <c r="F57" s="252">
        <v>12.0</v>
      </c>
      <c r="G57" s="139" t="s">
        <v>147</v>
      </c>
      <c r="H57" s="106"/>
      <c r="I57" s="168"/>
      <c r="J57" s="107"/>
      <c r="K57" s="282"/>
      <c r="L57" s="282"/>
      <c r="M57" s="363"/>
      <c r="N57" s="363"/>
      <c r="O57" s="138"/>
      <c r="P57" s="138"/>
      <c r="Q57" s="138"/>
      <c r="R57" s="145" t="b">
        <v>0</v>
      </c>
      <c r="S57" s="145" t="b">
        <v>0</v>
      </c>
      <c r="T57" s="145" t="b">
        <v>1</v>
      </c>
      <c r="U57" s="156"/>
      <c r="V57" s="156"/>
    </row>
    <row r="58" outlineLevel="1">
      <c r="A58" s="230" t="s">
        <v>934</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ht="33.0" customHeight="1" outlineLevel="1">
      <c r="A59" s="237" t="s">
        <v>184</v>
      </c>
      <c r="B59" s="249" t="s">
        <v>473</v>
      </c>
      <c r="C59" s="136" t="s">
        <v>1642</v>
      </c>
      <c r="D59" s="136" t="s">
        <v>951</v>
      </c>
      <c r="E59" s="136" t="s">
        <v>73</v>
      </c>
      <c r="F59" s="252">
        <v>4.8</v>
      </c>
      <c r="G59" s="139" t="s">
        <v>75</v>
      </c>
      <c r="H59" s="1161" t="s">
        <v>1643</v>
      </c>
      <c r="I59" s="164"/>
      <c r="J59" s="104"/>
      <c r="K59" s="282"/>
      <c r="L59" s="282"/>
      <c r="M59" s="363"/>
      <c r="N59" s="363"/>
      <c r="O59" s="138">
        <v>0.0</v>
      </c>
      <c r="P59" s="138">
        <v>1.0</v>
      </c>
      <c r="Q59" s="138">
        <v>1.0</v>
      </c>
      <c r="R59" s="145" t="b">
        <v>1</v>
      </c>
      <c r="S59" s="145" t="b">
        <v>1</v>
      </c>
      <c r="T59" s="145"/>
      <c r="U59" s="166" t="s">
        <v>186</v>
      </c>
      <c r="V59" s="166" t="b">
        <v>1</v>
      </c>
    </row>
    <row r="60" ht="33.0" customHeight="1" outlineLevel="1">
      <c r="A60" s="146"/>
      <c r="B60" s="255" t="s">
        <v>340</v>
      </c>
      <c r="C60" s="1162"/>
      <c r="D60" s="1163"/>
      <c r="E60" s="149" t="s">
        <v>72</v>
      </c>
      <c r="F60" s="252">
        <v>39.6</v>
      </c>
      <c r="G60" s="139" t="s">
        <v>1644</v>
      </c>
      <c r="J60" s="210"/>
      <c r="K60" s="138"/>
      <c r="L60" s="138"/>
      <c r="M60" s="145"/>
      <c r="N60" s="145"/>
      <c r="O60" s="138">
        <v>0.0</v>
      </c>
      <c r="P60" s="138">
        <v>1.0</v>
      </c>
      <c r="Q60" s="138">
        <v>1.0</v>
      </c>
      <c r="R60" s="145" t="b">
        <v>1</v>
      </c>
      <c r="S60" s="145" t="b">
        <v>1</v>
      </c>
      <c r="T60" s="145"/>
      <c r="U60" s="146"/>
      <c r="V60" s="146"/>
    </row>
    <row r="61" ht="33.0" customHeight="1" outlineLevel="1">
      <c r="A61" s="146"/>
      <c r="B61" s="243" t="s">
        <v>941</v>
      </c>
      <c r="C61" s="1162"/>
      <c r="D61" s="520" t="s">
        <v>92</v>
      </c>
      <c r="E61" s="1162"/>
      <c r="F61" s="1163"/>
      <c r="G61" s="1162"/>
      <c r="H61" s="168"/>
      <c r="I61" s="168"/>
      <c r="J61" s="107"/>
      <c r="K61" s="138"/>
      <c r="L61" s="138"/>
      <c r="M61" s="145"/>
      <c r="N61" s="145"/>
      <c r="O61" s="138">
        <v>0.0</v>
      </c>
      <c r="P61" s="138">
        <v>1.0</v>
      </c>
      <c r="Q61" s="138">
        <v>1.0</v>
      </c>
      <c r="R61" s="145" t="b">
        <v>1</v>
      </c>
      <c r="S61" s="145" t="b">
        <v>1</v>
      </c>
      <c r="T61" s="145"/>
      <c r="U61" s="156"/>
      <c r="V61" s="156"/>
    </row>
    <row r="62" outlineLevel="1">
      <c r="A62" s="230" t="s">
        <v>1645</v>
      </c>
      <c r="B62" s="109"/>
      <c r="C62" s="231" t="s">
        <v>48</v>
      </c>
      <c r="D62" s="231" t="s">
        <v>49</v>
      </c>
      <c r="E62" s="232" t="s">
        <v>50</v>
      </c>
      <c r="F62" s="233" t="s">
        <v>51</v>
      </c>
      <c r="G62" s="232" t="s">
        <v>52</v>
      </c>
      <c r="H62" s="382"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236" t="s">
        <v>183</v>
      </c>
    </row>
    <row r="63" ht="18.75" customHeight="1" outlineLevel="1">
      <c r="A63" s="1164" t="s">
        <v>1646</v>
      </c>
      <c r="B63" s="384" t="s">
        <v>1647</v>
      </c>
      <c r="C63" s="1162"/>
      <c r="D63" s="136" t="s">
        <v>1648</v>
      </c>
      <c r="E63" s="1162"/>
      <c r="F63" s="1162"/>
      <c r="G63" s="1162"/>
      <c r="H63" s="1161" t="s">
        <v>1649</v>
      </c>
      <c r="I63" s="164"/>
      <c r="J63" s="104"/>
      <c r="K63" s="1162"/>
      <c r="L63" s="1162"/>
      <c r="M63" s="1162"/>
      <c r="N63" s="1162"/>
      <c r="O63" s="1162"/>
      <c r="P63" s="1162"/>
      <c r="Q63" s="1162"/>
      <c r="R63" s="1162"/>
      <c r="S63" s="1162"/>
      <c r="T63" s="1162"/>
      <c r="U63" s="166" t="b">
        <v>0</v>
      </c>
      <c r="V63" s="166" t="b">
        <v>0</v>
      </c>
    </row>
    <row r="64" ht="18.75" customHeight="1" outlineLevel="1">
      <c r="A64" s="156"/>
      <c r="B64" s="540" t="s">
        <v>1650</v>
      </c>
      <c r="C64" s="1162"/>
      <c r="D64" s="149" t="s">
        <v>1651</v>
      </c>
      <c r="E64" s="1162"/>
      <c r="F64" s="1162"/>
      <c r="G64" s="1162"/>
      <c r="J64" s="210"/>
      <c r="K64" s="1162"/>
      <c r="L64" s="1162"/>
      <c r="M64" s="1162"/>
      <c r="N64" s="1162"/>
      <c r="O64" s="1162"/>
      <c r="P64" s="1162"/>
      <c r="Q64" s="1162"/>
      <c r="R64" s="1162"/>
      <c r="S64" s="1162"/>
      <c r="T64" s="1162"/>
      <c r="U64" s="146"/>
      <c r="V64" s="146"/>
    </row>
    <row r="65" ht="18.75" customHeight="1" outlineLevel="1">
      <c r="A65" s="1164" t="s">
        <v>1652</v>
      </c>
      <c r="B65" s="384" t="s">
        <v>1647</v>
      </c>
      <c r="C65" s="1162"/>
      <c r="D65" s="136" t="s">
        <v>1653</v>
      </c>
      <c r="E65" s="1162"/>
      <c r="F65" s="1162"/>
      <c r="G65" s="1162"/>
      <c r="J65" s="210"/>
      <c r="K65" s="1162"/>
      <c r="L65" s="1162"/>
      <c r="M65" s="1162"/>
      <c r="N65" s="1162"/>
      <c r="O65" s="1162"/>
      <c r="P65" s="1162"/>
      <c r="Q65" s="1162"/>
      <c r="R65" s="1162"/>
      <c r="S65" s="1162"/>
      <c r="T65" s="1162"/>
      <c r="U65" s="146"/>
      <c r="V65" s="146"/>
    </row>
    <row r="66" ht="18.75" customHeight="1" outlineLevel="1">
      <c r="A66" s="156"/>
      <c r="B66" s="540" t="s">
        <v>1650</v>
      </c>
      <c r="C66" s="1162"/>
      <c r="D66" s="149" t="s">
        <v>1654</v>
      </c>
      <c r="E66" s="1162"/>
      <c r="F66" s="1162"/>
      <c r="G66" s="1162"/>
      <c r="H66" s="168"/>
      <c r="I66" s="168"/>
      <c r="J66" s="107"/>
      <c r="K66" s="1162"/>
      <c r="L66" s="1162"/>
      <c r="M66" s="1162"/>
      <c r="N66" s="1162"/>
      <c r="O66" s="1162"/>
      <c r="P66" s="1162"/>
      <c r="Q66" s="1162"/>
      <c r="R66" s="1162"/>
      <c r="S66" s="1162"/>
      <c r="T66" s="1162"/>
      <c r="U66" s="156"/>
      <c r="V66" s="156"/>
    </row>
    <row r="67" outlineLevel="1">
      <c r="A67" s="230" t="s">
        <v>948</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ht="25.5" customHeight="1" outlineLevel="1">
      <c r="A68" s="383" t="s">
        <v>184</v>
      </c>
      <c r="B68" s="384" t="s">
        <v>949</v>
      </c>
      <c r="C68" s="136" t="s">
        <v>1655</v>
      </c>
      <c r="D68" s="1165" t="s">
        <v>951</v>
      </c>
      <c r="E68" s="397" t="s">
        <v>86</v>
      </c>
      <c r="F68" s="252">
        <v>7.199999999999999</v>
      </c>
      <c r="G68" s="139" t="s">
        <v>60</v>
      </c>
      <c r="H68" s="1161" t="s">
        <v>1656</v>
      </c>
      <c r="I68" s="164"/>
      <c r="J68" s="104"/>
      <c r="K68" s="138"/>
      <c r="L68" s="138"/>
      <c r="M68" s="145"/>
      <c r="N68" s="145"/>
      <c r="O68" s="138">
        <v>0.0</v>
      </c>
      <c r="P68" s="138">
        <v>1.0</v>
      </c>
      <c r="Q68" s="138">
        <v>1.0</v>
      </c>
      <c r="R68" s="145" t="b">
        <v>1</v>
      </c>
      <c r="S68" s="145" t="b">
        <v>1</v>
      </c>
      <c r="T68" s="145" t="b">
        <v>1</v>
      </c>
      <c r="U68" s="166" t="s">
        <v>186</v>
      </c>
      <c r="V68" s="166" t="b">
        <v>1</v>
      </c>
    </row>
    <row r="69" ht="25.5" customHeight="1" outlineLevel="1">
      <c r="A69" s="156"/>
      <c r="B69" s="540" t="s">
        <v>953</v>
      </c>
      <c r="C69" s="149" t="s">
        <v>1657</v>
      </c>
      <c r="D69" s="107"/>
      <c r="E69" s="149" t="s">
        <v>73</v>
      </c>
      <c r="F69" s="256">
        <v>4.8</v>
      </c>
      <c r="G69" s="139" t="s">
        <v>170</v>
      </c>
      <c r="J69" s="210"/>
      <c r="K69" s="138"/>
      <c r="L69" s="138"/>
      <c r="M69" s="145"/>
      <c r="N69" s="145"/>
      <c r="O69" s="138">
        <v>0.0</v>
      </c>
      <c r="P69" s="138">
        <v>1.0</v>
      </c>
      <c r="Q69" s="138">
        <v>1.0</v>
      </c>
      <c r="R69" s="145" t="b">
        <v>1</v>
      </c>
      <c r="S69" s="145" t="b">
        <v>1</v>
      </c>
      <c r="T69" s="145" t="b">
        <v>1</v>
      </c>
      <c r="U69" s="146"/>
      <c r="V69" s="146"/>
    </row>
    <row r="70" ht="25.5" customHeight="1" outlineLevel="1">
      <c r="A70" s="1166" t="s">
        <v>332</v>
      </c>
      <c r="B70" s="1167" t="s">
        <v>955</v>
      </c>
      <c r="C70" s="149" t="s">
        <v>175</v>
      </c>
      <c r="D70" s="157" t="s">
        <v>384</v>
      </c>
      <c r="E70" s="149" t="s">
        <v>119</v>
      </c>
      <c r="F70" s="256">
        <v>16.8</v>
      </c>
      <c r="G70" s="139" t="s">
        <v>297</v>
      </c>
      <c r="J70" s="210"/>
      <c r="K70" s="138"/>
      <c r="L70" s="138"/>
      <c r="M70" s="145"/>
      <c r="N70" s="145"/>
      <c r="O70" s="138">
        <v>0.0</v>
      </c>
      <c r="P70" s="138">
        <v>1.0</v>
      </c>
      <c r="Q70" s="138">
        <v>1.0</v>
      </c>
      <c r="R70" s="145" t="b">
        <v>1</v>
      </c>
      <c r="S70" s="145" t="b">
        <v>1</v>
      </c>
      <c r="T70" s="145"/>
      <c r="U70" s="146"/>
      <c r="V70" s="146"/>
    </row>
    <row r="71" ht="25.5" customHeight="1" outlineLevel="1">
      <c r="A71" s="1166" t="s">
        <v>344</v>
      </c>
      <c r="B71" s="1167" t="s">
        <v>956</v>
      </c>
      <c r="C71" s="149" t="s">
        <v>175</v>
      </c>
      <c r="D71" s="518" t="s">
        <v>193</v>
      </c>
      <c r="E71" s="149" t="s">
        <v>119</v>
      </c>
      <c r="F71" s="256">
        <v>16.8</v>
      </c>
      <c r="G71" s="139" t="s">
        <v>297</v>
      </c>
      <c r="H71" s="168"/>
      <c r="I71" s="168"/>
      <c r="J71" s="107"/>
      <c r="K71" s="138"/>
      <c r="L71" s="282"/>
      <c r="M71" s="363"/>
      <c r="N71" s="363"/>
      <c r="O71" s="138">
        <v>0.0</v>
      </c>
      <c r="P71" s="138">
        <v>1.0</v>
      </c>
      <c r="Q71" s="138">
        <v>1.0</v>
      </c>
      <c r="R71" s="145" t="b">
        <v>1</v>
      </c>
      <c r="S71" s="145" t="b">
        <v>1</v>
      </c>
      <c r="T71" s="145"/>
      <c r="U71" s="156"/>
      <c r="V71" s="156"/>
    </row>
    <row r="72">
      <c r="A72" s="223"/>
      <c r="B72" s="224"/>
      <c r="C72" s="225"/>
      <c r="D72" s="225"/>
      <c r="E72" s="226"/>
      <c r="F72" s="226"/>
      <c r="G72" s="226"/>
      <c r="H72" s="227"/>
      <c r="I72" s="227"/>
      <c r="J72" s="228"/>
      <c r="K72" s="228"/>
      <c r="L72" s="228"/>
      <c r="M72" s="228"/>
      <c r="N72" s="228"/>
      <c r="O72" s="228"/>
      <c r="P72" s="228"/>
      <c r="Q72" s="118"/>
      <c r="R72" s="118"/>
      <c r="S72" s="118"/>
      <c r="T72" s="118"/>
      <c r="U72" s="118"/>
      <c r="V72" s="118"/>
    </row>
    <row r="73">
      <c r="A73" s="264" t="s">
        <v>211</v>
      </c>
      <c r="B73" s="104"/>
      <c r="C73" s="227"/>
      <c r="D73" s="227"/>
      <c r="E73" s="228"/>
      <c r="F73" s="265"/>
      <c r="G73" s="265"/>
      <c r="H73" s="228"/>
      <c r="I73" s="228"/>
      <c r="J73" s="228"/>
      <c r="K73" s="228"/>
      <c r="L73" s="228"/>
      <c r="M73" s="228"/>
      <c r="N73" s="118"/>
      <c r="O73" s="118"/>
      <c r="P73" s="118"/>
      <c r="Q73" s="228"/>
      <c r="R73" s="228"/>
      <c r="S73" s="228"/>
      <c r="T73" s="228"/>
      <c r="U73" s="228"/>
      <c r="V73" s="228"/>
    </row>
    <row r="74" outlineLevel="1">
      <c r="A74" s="106"/>
      <c r="B74" s="107"/>
      <c r="C74" s="266" t="s">
        <v>48</v>
      </c>
      <c r="D74" s="266" t="s">
        <v>49</v>
      </c>
      <c r="E74" s="266" t="s">
        <v>50</v>
      </c>
      <c r="F74" s="267" t="s">
        <v>51</v>
      </c>
      <c r="G74" s="1168" t="s">
        <v>53</v>
      </c>
      <c r="H74" s="109"/>
      <c r="I74" s="227"/>
      <c r="J74" s="227"/>
      <c r="K74" s="228"/>
      <c r="L74" s="228"/>
      <c r="M74" s="228"/>
      <c r="N74" s="228"/>
      <c r="O74" s="228"/>
      <c r="P74" s="228"/>
      <c r="Q74" s="228"/>
      <c r="R74" s="228"/>
      <c r="S74" s="228"/>
      <c r="T74" s="228"/>
      <c r="U74" s="228"/>
      <c r="V74" s="228"/>
    </row>
    <row r="75" outlineLevel="1">
      <c r="A75" s="268" t="s">
        <v>212</v>
      </c>
      <c r="B75" s="269" t="s">
        <v>212</v>
      </c>
      <c r="C75" s="113" t="s">
        <v>213</v>
      </c>
      <c r="D75" s="113" t="s">
        <v>150</v>
      </c>
      <c r="E75" s="113" t="s">
        <v>169</v>
      </c>
      <c r="F75" s="138">
        <v>1.68</v>
      </c>
      <c r="G75" s="1169" t="s">
        <v>1658</v>
      </c>
      <c r="H75" s="109"/>
      <c r="I75" s="227"/>
      <c r="J75" s="227"/>
      <c r="K75" s="228"/>
      <c r="L75" s="228"/>
      <c r="M75" s="228"/>
      <c r="N75" s="228"/>
      <c r="O75" s="228"/>
      <c r="P75" s="228"/>
      <c r="Q75" s="228"/>
      <c r="R75" s="228"/>
      <c r="S75" s="228"/>
      <c r="T75" s="228"/>
      <c r="U75" s="228"/>
      <c r="V75" s="228"/>
    </row>
    <row r="76" outlineLevel="1">
      <c r="A76" s="270" t="s">
        <v>215</v>
      </c>
      <c r="B76" s="269" t="s">
        <v>216</v>
      </c>
      <c r="C76" s="113" t="s">
        <v>217</v>
      </c>
      <c r="D76" s="113" t="s">
        <v>271</v>
      </c>
      <c r="E76" s="271"/>
      <c r="F76" s="272"/>
      <c r="G76" s="272"/>
      <c r="H76" s="227"/>
      <c r="I76" s="227"/>
      <c r="J76" s="228"/>
      <c r="K76" s="228"/>
      <c r="L76" s="228"/>
      <c r="M76" s="228"/>
      <c r="N76" s="228"/>
      <c r="O76" s="228"/>
      <c r="P76" s="228"/>
      <c r="Q76" s="228"/>
      <c r="R76" s="228"/>
      <c r="S76" s="228"/>
      <c r="T76" s="228"/>
      <c r="U76" s="228"/>
      <c r="V76" s="228"/>
    </row>
    <row r="77" outlineLevel="1">
      <c r="A77" s="212"/>
      <c r="B77" s="269" t="s">
        <v>219</v>
      </c>
      <c r="C77" s="113" t="s">
        <v>518</v>
      </c>
      <c r="D77" s="113" t="s">
        <v>118</v>
      </c>
      <c r="E77" s="271"/>
      <c r="F77" s="272"/>
      <c r="G77" s="272"/>
      <c r="H77" s="227"/>
      <c r="I77" s="227"/>
      <c r="J77" s="228"/>
      <c r="K77" s="228"/>
      <c r="L77" s="228"/>
      <c r="M77" s="228"/>
      <c r="N77" s="228"/>
      <c r="O77" s="228"/>
      <c r="P77" s="228"/>
      <c r="Q77" s="228"/>
      <c r="R77" s="228"/>
      <c r="S77" s="228"/>
      <c r="T77" s="228"/>
      <c r="U77" s="228"/>
      <c r="V77" s="228"/>
    </row>
    <row r="78" outlineLevel="1">
      <c r="A78" s="106"/>
      <c r="B78" s="269" t="s">
        <v>222</v>
      </c>
      <c r="C78" s="113" t="s">
        <v>220</v>
      </c>
      <c r="D78" s="113" t="s">
        <v>224</v>
      </c>
      <c r="E78" s="227"/>
      <c r="F78" s="272"/>
      <c r="G78" s="272"/>
      <c r="H78" s="227"/>
      <c r="I78" s="227"/>
      <c r="J78" s="228"/>
      <c r="K78" s="228"/>
      <c r="L78" s="228"/>
      <c r="M78" s="228"/>
      <c r="N78" s="228"/>
      <c r="O78" s="228"/>
      <c r="P78" s="228"/>
      <c r="Q78" s="228"/>
      <c r="R78" s="228"/>
      <c r="S78" s="228"/>
      <c r="T78" s="228"/>
      <c r="U78" s="228"/>
      <c r="V78" s="228"/>
    </row>
    <row r="79" outlineLevel="1">
      <c r="A79" s="273" t="s">
        <v>225</v>
      </c>
      <c r="B79" s="109"/>
      <c r="C79" s="266" t="s">
        <v>48</v>
      </c>
      <c r="D79" s="266" t="s">
        <v>49</v>
      </c>
      <c r="E79" s="266" t="s">
        <v>50</v>
      </c>
      <c r="F79" s="267" t="s">
        <v>51</v>
      </c>
      <c r="G79" s="1168" t="s">
        <v>53</v>
      </c>
      <c r="H79" s="110"/>
      <c r="I79" s="110"/>
      <c r="J79" s="109"/>
      <c r="K79" s="275" t="str">
        <f>'テンプレート'!K97</f>
        <v>ベクトル</v>
      </c>
      <c r="L79" s="275" t="str">
        <f>'テンプレート'!L97</f>
        <v>KBG (R.E.)</v>
      </c>
      <c r="M79" s="275" t="str">
        <f>'テンプレート'!M97</f>
        <v>BKB (R.A.)</v>
      </c>
      <c r="N79" s="275" t="str">
        <f>'テンプレート'!N97</f>
        <v>FKB (R.F.)</v>
      </c>
      <c r="O79" s="276" t="str">
        <f>'テンプレート'!O97</f>
        <v>盾削り値</v>
      </c>
      <c r="P79" s="275" t="str">
        <f>'テンプレート'!P97</f>
        <v>ﾋｯﾄｽﾄｯﾌﾟ</v>
      </c>
      <c r="Q79" s="276" t="str">
        <f>'テンプレート'!Q97</f>
        <v>ずらし</v>
      </c>
      <c r="R79" s="277"/>
      <c r="S79" s="277"/>
      <c r="T79" s="277"/>
      <c r="U79" s="277"/>
      <c r="V79" s="277"/>
    </row>
    <row r="80" outlineLevel="1">
      <c r="A80" s="278" t="s">
        <v>226</v>
      </c>
      <c r="B80" s="269" t="s">
        <v>227</v>
      </c>
      <c r="C80" s="113" t="s">
        <v>1659</v>
      </c>
      <c r="D80" s="279" t="s">
        <v>127</v>
      </c>
      <c r="E80" s="239" t="s">
        <v>1024</v>
      </c>
      <c r="F80" s="138">
        <v>1.7999999999999998</v>
      </c>
      <c r="G80" s="386" t="s">
        <v>1660</v>
      </c>
      <c r="H80" s="164"/>
      <c r="I80" s="164"/>
      <c r="J80" s="104"/>
      <c r="K80" s="282"/>
      <c r="L80" s="282"/>
      <c r="M80" s="363"/>
      <c r="N80" s="363"/>
      <c r="O80" s="145">
        <v>0.0</v>
      </c>
      <c r="P80" s="145">
        <v>1.0</v>
      </c>
      <c r="Q80" s="145">
        <v>1.0</v>
      </c>
      <c r="R80" s="277"/>
      <c r="S80" s="228"/>
      <c r="T80" s="228"/>
      <c r="U80" s="228"/>
      <c r="V80" s="228"/>
    </row>
    <row r="81" outlineLevel="1">
      <c r="A81" s="156"/>
      <c r="B81" s="269" t="s">
        <v>225</v>
      </c>
      <c r="C81" s="113" t="s">
        <v>105</v>
      </c>
      <c r="D81" s="156"/>
      <c r="E81" s="239" t="s">
        <v>86</v>
      </c>
      <c r="F81" s="138">
        <v>7.199999999999999</v>
      </c>
      <c r="G81" s="106"/>
      <c r="H81" s="168"/>
      <c r="I81" s="168"/>
      <c r="J81" s="107"/>
      <c r="K81" s="282"/>
      <c r="L81" s="282"/>
      <c r="M81" s="363"/>
      <c r="N81" s="363"/>
      <c r="O81" s="261"/>
      <c r="P81" s="261"/>
      <c r="Q81" s="261"/>
      <c r="R81" s="277"/>
      <c r="S81" s="228"/>
      <c r="T81" s="228"/>
      <c r="U81" s="228"/>
      <c r="V81" s="228"/>
    </row>
    <row r="82" outlineLevel="1">
      <c r="A82" s="278" t="s">
        <v>229</v>
      </c>
      <c r="B82" s="269" t="s">
        <v>227</v>
      </c>
      <c r="C82" s="1162"/>
      <c r="D82" s="279" t="s">
        <v>185</v>
      </c>
      <c r="E82" s="1162"/>
      <c r="F82" s="1162"/>
      <c r="G82" s="1170"/>
      <c r="H82" s="164"/>
      <c r="I82" s="164"/>
      <c r="J82" s="104"/>
      <c r="K82" s="1162"/>
      <c r="L82" s="1162"/>
      <c r="M82" s="1162"/>
      <c r="N82" s="1162"/>
      <c r="O82" s="1162"/>
      <c r="P82" s="1162"/>
      <c r="Q82" s="1162"/>
      <c r="R82" s="277"/>
      <c r="S82" s="228"/>
      <c r="T82" s="228"/>
      <c r="U82" s="228"/>
      <c r="V82" s="228"/>
    </row>
    <row r="83" outlineLevel="1">
      <c r="A83" s="156"/>
      <c r="B83" s="269" t="s">
        <v>225</v>
      </c>
      <c r="C83" s="113" t="s">
        <v>876</v>
      </c>
      <c r="D83" s="156"/>
      <c r="E83" s="239" t="s">
        <v>274</v>
      </c>
      <c r="F83" s="138">
        <v>10.799999999999999</v>
      </c>
      <c r="G83" s="106"/>
      <c r="H83" s="168"/>
      <c r="I83" s="168"/>
      <c r="J83" s="107"/>
      <c r="K83" s="282"/>
      <c r="L83" s="282"/>
      <c r="M83" s="363"/>
      <c r="N83" s="363"/>
      <c r="O83" s="261"/>
      <c r="P83" s="261"/>
      <c r="Q83" s="261"/>
      <c r="R83" s="277"/>
      <c r="S83" s="228"/>
      <c r="T83" s="228"/>
      <c r="U83" s="228"/>
      <c r="V83" s="228"/>
    </row>
    <row r="84" outlineLevel="1">
      <c r="A84" s="278" t="s">
        <v>233</v>
      </c>
      <c r="B84" s="269" t="s">
        <v>227</v>
      </c>
      <c r="C84" s="113" t="s">
        <v>119</v>
      </c>
      <c r="D84" s="279" t="s">
        <v>193</v>
      </c>
      <c r="E84" s="239" t="s">
        <v>150</v>
      </c>
      <c r="F84" s="138">
        <v>6.0</v>
      </c>
      <c r="G84" s="1170"/>
      <c r="H84" s="164"/>
      <c r="I84" s="164"/>
      <c r="J84" s="104"/>
      <c r="K84" s="282"/>
      <c r="L84" s="282"/>
      <c r="M84" s="363"/>
      <c r="N84" s="363"/>
      <c r="O84" s="145">
        <v>0.0</v>
      </c>
      <c r="P84" s="145">
        <v>1.0</v>
      </c>
      <c r="Q84" s="145">
        <v>1.0</v>
      </c>
      <c r="R84" s="277"/>
      <c r="S84" s="228"/>
      <c r="T84" s="228"/>
      <c r="U84" s="228"/>
      <c r="V84" s="228"/>
    </row>
    <row r="85" outlineLevel="1">
      <c r="A85" s="156"/>
      <c r="B85" s="269" t="s">
        <v>225</v>
      </c>
      <c r="C85" s="113" t="s">
        <v>386</v>
      </c>
      <c r="D85" s="156"/>
      <c r="E85" s="239" t="s">
        <v>150</v>
      </c>
      <c r="F85" s="138">
        <v>6.0</v>
      </c>
      <c r="G85" s="106"/>
      <c r="H85" s="168"/>
      <c r="I85" s="168"/>
      <c r="J85" s="107"/>
      <c r="K85" s="282"/>
      <c r="L85" s="282"/>
      <c r="M85" s="363"/>
      <c r="N85" s="363"/>
      <c r="O85" s="261"/>
      <c r="P85" s="261"/>
      <c r="Q85" s="261"/>
      <c r="R85" s="277"/>
      <c r="S85" s="117"/>
      <c r="T85" s="117"/>
      <c r="U85" s="117"/>
      <c r="V85" s="117"/>
    </row>
    <row r="86" outlineLevel="1">
      <c r="A86" s="278" t="s">
        <v>234</v>
      </c>
      <c r="B86" s="269" t="s">
        <v>227</v>
      </c>
      <c r="C86" s="113" t="s">
        <v>119</v>
      </c>
      <c r="D86" s="279" t="s">
        <v>118</v>
      </c>
      <c r="E86" s="239" t="s">
        <v>73</v>
      </c>
      <c r="F86" s="138">
        <v>4.8</v>
      </c>
      <c r="G86" s="1170"/>
      <c r="H86" s="164"/>
      <c r="I86" s="164"/>
      <c r="J86" s="104"/>
      <c r="K86" s="282"/>
      <c r="L86" s="282"/>
      <c r="M86" s="363"/>
      <c r="N86" s="363"/>
      <c r="O86" s="145">
        <v>0.0</v>
      </c>
      <c r="P86" s="145">
        <v>1.0</v>
      </c>
      <c r="Q86" s="145">
        <v>1.0</v>
      </c>
      <c r="R86" s="277"/>
      <c r="S86" s="117"/>
      <c r="T86" s="117"/>
      <c r="U86" s="117"/>
      <c r="V86" s="117"/>
    </row>
    <row r="87" outlineLevel="1">
      <c r="A87" s="156"/>
      <c r="B87" s="269" t="s">
        <v>225</v>
      </c>
      <c r="C87" s="113" t="s">
        <v>296</v>
      </c>
      <c r="D87" s="156"/>
      <c r="E87" s="239" t="s">
        <v>73</v>
      </c>
      <c r="F87" s="138">
        <v>4.8</v>
      </c>
      <c r="G87" s="106"/>
      <c r="H87" s="168"/>
      <c r="I87" s="168"/>
      <c r="J87" s="107"/>
      <c r="K87" s="282"/>
      <c r="L87" s="282"/>
      <c r="M87" s="363"/>
      <c r="N87" s="363"/>
      <c r="O87" s="261"/>
      <c r="P87" s="261"/>
      <c r="Q87" s="261"/>
      <c r="R87" s="277"/>
      <c r="S87" s="117"/>
      <c r="T87" s="117"/>
      <c r="U87" s="117"/>
      <c r="V87" s="117"/>
    </row>
    <row r="88">
      <c r="A88" s="223"/>
      <c r="B88" s="224"/>
      <c r="C88" s="225"/>
      <c r="D88" s="225"/>
      <c r="E88" s="227"/>
      <c r="F88" s="177"/>
      <c r="G88" s="177"/>
      <c r="H88" s="227"/>
      <c r="I88" s="227"/>
      <c r="J88" s="228"/>
      <c r="K88" s="228"/>
      <c r="L88" s="111"/>
      <c r="M88" s="111"/>
      <c r="N88" s="111"/>
      <c r="O88" s="117"/>
      <c r="P88" s="117"/>
      <c r="Q88" s="111"/>
      <c r="R88" s="111"/>
      <c r="S88" s="111"/>
      <c r="T88" s="111"/>
      <c r="U88" s="111"/>
      <c r="V88" s="111"/>
    </row>
    <row r="89">
      <c r="A89" s="284" t="s">
        <v>241</v>
      </c>
      <c r="B89" s="104"/>
      <c r="C89" s="265"/>
      <c r="D89" s="111"/>
      <c r="E89" s="111"/>
      <c r="F89" s="111"/>
      <c r="G89" s="111"/>
      <c r="H89" s="111"/>
      <c r="I89" s="111"/>
      <c r="J89" s="118"/>
      <c r="K89" s="111"/>
      <c r="L89" s="111"/>
      <c r="M89" s="111"/>
      <c r="N89" s="111"/>
      <c r="O89" s="111"/>
      <c r="P89" s="111"/>
      <c r="Q89" s="118"/>
      <c r="R89" s="111"/>
      <c r="S89" s="111"/>
      <c r="T89" s="111"/>
      <c r="U89" s="111"/>
      <c r="V89" s="111"/>
    </row>
    <row r="90" outlineLevel="1">
      <c r="A90" s="106"/>
      <c r="B90" s="107"/>
      <c r="C90" s="285" t="s">
        <v>235</v>
      </c>
      <c r="D90" s="285" t="s">
        <v>236</v>
      </c>
      <c r="E90" s="285" t="s">
        <v>49</v>
      </c>
      <c r="F90" s="285" t="s">
        <v>237</v>
      </c>
      <c r="G90" s="286"/>
      <c r="H90" s="227"/>
      <c r="I90" s="227"/>
      <c r="J90" s="228"/>
      <c r="K90" s="228"/>
      <c r="L90" s="111"/>
      <c r="M90" s="111"/>
      <c r="N90" s="111"/>
      <c r="O90" s="111"/>
      <c r="P90" s="111"/>
      <c r="Q90" s="111"/>
      <c r="R90" s="111"/>
      <c r="S90" s="111"/>
      <c r="T90" s="111"/>
      <c r="U90" s="111"/>
      <c r="V90" s="111"/>
    </row>
    <row r="91" outlineLevel="1">
      <c r="A91" s="287" t="s">
        <v>395</v>
      </c>
      <c r="B91" s="288" t="s">
        <v>216</v>
      </c>
      <c r="C91" s="113" t="str">
        <f t="array" ref="C91">INDEX('回避'!$C$3:$U$84, MATCH($A$1,'回避'!$A$3:$A$91,0), MATCH(C90,'回避'!$C$2:$F$2,0))</f>
        <v>3-16</v>
      </c>
      <c r="D91" s="113" t="str">
        <f t="array" ref="D91">INDEX('回避'!$C$3:$U$84, MATCH($A$1,'回避'!$A$3:$A$91,0), MATCH(D90,'回避'!$C$2:$F$2,0))</f>
        <v>6-16</v>
      </c>
      <c r="E91" s="113" t="str">
        <f t="array" ref="E91">INDEX('回避'!$C$3:$U$84, MATCH($A$1,'回避'!$A$3:$A$91,0), MATCH(E90,'回避'!$C$2:$F$2,0))</f>
        <v>24 (19)</v>
      </c>
      <c r="F91" s="113" t="str">
        <f t="array" ref="F91">INDEX('回避'!$C$3:$U$84, MATCH($A$1,'回避'!$A$3:$A$91,0), MATCH(F90,'回避'!$C$2:$F$2,0))</f>
        <v>32 (25)</v>
      </c>
      <c r="G91" s="272"/>
      <c r="H91" s="290"/>
      <c r="I91" s="227"/>
      <c r="J91" s="228"/>
      <c r="K91" s="228"/>
      <c r="L91" s="228"/>
      <c r="M91" s="111"/>
      <c r="N91" s="111"/>
      <c r="O91" s="111"/>
      <c r="P91" s="111"/>
      <c r="Q91" s="111"/>
      <c r="R91" s="111"/>
      <c r="S91" s="111"/>
      <c r="T91" s="111"/>
      <c r="U91" s="111"/>
      <c r="V91" s="111"/>
    </row>
    <row r="92" outlineLevel="1">
      <c r="A92" s="212"/>
      <c r="B92" s="288" t="s">
        <v>245</v>
      </c>
      <c r="C92" s="113" t="str">
        <f t="array" ref="C92">INDEX('回避'!$G$3:$U$84, MATCH($A$1,'回避'!$A$3:$A$91,0), MATCH(C90,'回避'!$G$2:$J$2,0))</f>
        <v>4-14</v>
      </c>
      <c r="D92" s="113" t="str">
        <f t="array" ref="D92">INDEX('回避'!$G$3:$U$84, MATCH($A$1,'回避'!$A$3:$A$91,0), MATCH(D90,'回避'!$G$2:$J$2,0))</f>
        <v>8-14</v>
      </c>
      <c r="E92" s="113" t="str">
        <f t="array" ref="E92">INDEX('回避'!$G$3:$U$84, MATCH($A$1,'回避'!$A$3:$A$91,0), MATCH(E90,'回避'!$G$2:$J$2,0))</f>
        <v>28</v>
      </c>
      <c r="F92" s="113">
        <f t="array" ref="F92">INDEX('回避'!$G$3:$U$84, MATCH($A$1,'回避'!$A$3:$A$91,0), MATCH(F90,'回避'!$G$2:$J$2,0))</f>
        <v>37</v>
      </c>
      <c r="G92" s="289"/>
      <c r="H92" s="290"/>
      <c r="I92" s="290"/>
      <c r="J92" s="228"/>
      <c r="K92" s="228"/>
      <c r="L92" s="228"/>
      <c r="M92" s="228"/>
      <c r="N92" s="228"/>
      <c r="O92" s="111"/>
      <c r="P92" s="111"/>
      <c r="Q92" s="111"/>
      <c r="R92" s="111"/>
      <c r="S92" s="111"/>
      <c r="T92" s="111"/>
      <c r="U92" s="111"/>
      <c r="V92" s="111"/>
    </row>
    <row r="93" outlineLevel="1">
      <c r="A93" s="106"/>
      <c r="B93" s="288" t="s">
        <v>246</v>
      </c>
      <c r="C93" s="113" t="str">
        <f t="array" ref="C93">INDEX('回避'!$K$3:$U$84, MATCH($A$1,'回避'!$A$3:$A$91,0), MATCH(C90,'回避'!$K$2:$N$2,0))</f>
        <v>4-15</v>
      </c>
      <c r="D93" s="113" t="str">
        <f t="array" ref="D93">INDEX('回避'!$K$3:$U$84, MATCH($A$1,'回避'!$A$3:$A$91,0), MATCH(D90,'回避'!$K$2:$N$2,0))</f>
        <v>8-13</v>
      </c>
      <c r="E93" s="113" t="str">
        <f t="array" ref="E93">INDEX('回避'!$K$3:$U$84, MATCH($A$1,'回避'!$A$3:$A$91,0), MATCH(E90,'回避'!$K$2:$N$2,0))</f>
        <v>33</v>
      </c>
      <c r="F93" s="113" t="str">
        <f t="array" ref="F93">INDEX('回避'!$K$3:$U$84, MATCH($A$1,'回避'!$A$3:$A$91,0), MATCH(F90,'回避'!$K$2:$N$2,0))</f>
        <v>50</v>
      </c>
      <c r="G93" s="289"/>
      <c r="H93" s="290"/>
      <c r="I93" s="290"/>
      <c r="J93" s="117"/>
      <c r="K93" s="117"/>
      <c r="L93" s="117"/>
      <c r="M93" s="117"/>
      <c r="N93" s="117"/>
      <c r="O93" s="111"/>
      <c r="P93" s="111"/>
      <c r="Q93" s="111"/>
      <c r="R93" s="111"/>
      <c r="S93" s="111"/>
      <c r="T93" s="111"/>
      <c r="U93" s="111"/>
      <c r="V93" s="111"/>
    </row>
    <row r="94" outlineLevel="1">
      <c r="A94" s="287" t="s">
        <v>396</v>
      </c>
      <c r="B94" s="288" t="s">
        <v>397</v>
      </c>
      <c r="C94" s="113" t="str">
        <f t="array" ref="C94">INDEX('回避'!$O$3:$U$84, MATCH($A$1,'回避'!$A$3:$A$91,0), MATCH(C90,'回避'!$O$2:$R$2,0))</f>
        <v>2-26</v>
      </c>
      <c r="D94" s="113" t="str">
        <f t="array" ref="D94">INDEX('回避'!$O$3:$U$84, MATCH($A$1,'回避'!$A$3:$A$91,0), MATCH(D90,'回避'!$O$2:$R$2,0))</f>
        <v>5-24</v>
      </c>
      <c r="E94" s="113" t="str">
        <f t="array" ref="E94">INDEX('回避'!$O$3:$U$84, MATCH($A$1,'回避'!$A$3:$A$91,0), MATCH(E90,'回避'!$O$2:$R$2,0))</f>
        <v>42</v>
      </c>
      <c r="F94" s="177"/>
      <c r="G94" s="177"/>
      <c r="H94" s="118"/>
      <c r="I94" s="118"/>
      <c r="J94" s="111"/>
      <c r="K94" s="111"/>
      <c r="L94" s="111"/>
      <c r="M94" s="111"/>
      <c r="N94" s="111"/>
      <c r="O94" s="228"/>
      <c r="P94" s="228"/>
      <c r="Q94" s="228"/>
      <c r="R94" s="228"/>
      <c r="S94" s="228"/>
      <c r="T94" s="228"/>
      <c r="U94" s="228"/>
      <c r="V94" s="228"/>
    </row>
    <row r="95" outlineLevel="1">
      <c r="A95" s="106"/>
      <c r="B95" s="288" t="s">
        <v>398</v>
      </c>
      <c r="C95" s="113" t="str">
        <f t="array" ref="C95">INDEX('回避'!$S$3:$U$84, MATCH($A$1,'回避'!$A$3:$A$91,0), MATCH(C90,'回避'!$S$2:$U$2,0))</f>
        <v>2-19</v>
      </c>
      <c r="D95" s="113" t="str">
        <f t="array" ref="D95">INDEX('回避'!$S$3:$U$84, MATCH($A$1,'回避'!$A$3:$A$91,0), MATCH(D90,'回避'!$S$2:$U$2,0))</f>
        <v>5-18</v>
      </c>
      <c r="E95" s="113" t="str">
        <f t="array" ref="E95">INDEX('回避'!$S$3:$U$84, MATCH($A$1,'回避'!$A$3:$A$91,0), MATCH(E90,'回避'!$S$2:$U$2,0))</f>
        <v>真横：70
真上：88
真下：60</v>
      </c>
      <c r="F95" s="289"/>
      <c r="G95" s="289"/>
      <c r="H95" s="118"/>
      <c r="I95" s="118"/>
      <c r="J95" s="117"/>
      <c r="K95" s="117"/>
      <c r="L95" s="117"/>
      <c r="M95" s="117"/>
      <c r="N95" s="111"/>
      <c r="O95" s="118"/>
      <c r="P95" s="118"/>
      <c r="Q95" s="118"/>
      <c r="R95" s="118"/>
      <c r="S95" s="118"/>
      <c r="T95" s="118"/>
      <c r="U95" s="118"/>
      <c r="V95" s="118"/>
    </row>
    <row r="96">
      <c r="A96" s="291"/>
      <c r="B96" s="292"/>
      <c r="C96" s="286"/>
      <c r="D96" s="286"/>
      <c r="E96" s="293"/>
      <c r="F96" s="286"/>
      <c r="G96" s="286"/>
      <c r="H96" s="286"/>
      <c r="I96" s="286"/>
      <c r="J96" s="111"/>
      <c r="K96" s="227"/>
      <c r="L96" s="227"/>
      <c r="M96" s="227"/>
      <c r="N96" s="227"/>
      <c r="O96" s="118"/>
      <c r="P96" s="118"/>
      <c r="Q96" s="118"/>
      <c r="R96" s="118"/>
      <c r="S96" s="118"/>
      <c r="T96" s="118"/>
      <c r="U96" s="118"/>
      <c r="V96" s="118"/>
    </row>
    <row r="97">
      <c r="A97" s="294" t="s">
        <v>238</v>
      </c>
      <c r="B97" s="104"/>
      <c r="C97" s="228"/>
      <c r="D97" s="117"/>
      <c r="E97" s="228"/>
      <c r="F97" s="114"/>
      <c r="G97" s="114"/>
      <c r="H97" s="117"/>
      <c r="I97" s="117"/>
      <c r="J97" s="118"/>
      <c r="K97" s="118"/>
      <c r="L97" s="118"/>
      <c r="M97" s="118"/>
      <c r="N97" s="118"/>
      <c r="O97" s="118"/>
      <c r="P97" s="118"/>
      <c r="Q97" s="118"/>
      <c r="R97" s="118"/>
      <c r="S97" s="118"/>
      <c r="T97" s="118"/>
      <c r="U97" s="118"/>
      <c r="V97" s="118"/>
    </row>
    <row r="98" outlineLevel="1">
      <c r="A98" s="106"/>
      <c r="B98" s="107"/>
      <c r="C98" s="295" t="s">
        <v>235</v>
      </c>
      <c r="D98" s="295" t="s">
        <v>49</v>
      </c>
      <c r="E98" s="295" t="s">
        <v>48</v>
      </c>
      <c r="F98" s="295" t="s">
        <v>50</v>
      </c>
      <c r="G98" s="296" t="s">
        <v>51</v>
      </c>
      <c r="H98" s="228"/>
      <c r="I98" s="228"/>
      <c r="J98" s="117"/>
      <c r="K98" s="297" t="str">
        <f>'テンプレート'!K116</f>
        <v>アイテム取得</v>
      </c>
      <c r="L98" s="109"/>
      <c r="M98" s="298" t="str">
        <f>'テンプレート'!M116</f>
        <v>取得フレーム</v>
      </c>
      <c r="N98" s="298" t="str">
        <f>'テンプレート'!N116</f>
        <v>全体フレーム</v>
      </c>
      <c r="O98" s="118"/>
      <c r="P98" s="118"/>
      <c r="Q98" s="118"/>
      <c r="R98" s="118"/>
      <c r="S98" s="118"/>
      <c r="T98" s="118"/>
      <c r="U98" s="118"/>
      <c r="V98" s="118"/>
    </row>
    <row r="99" outlineLevel="1">
      <c r="A99" s="299" t="s">
        <v>239</v>
      </c>
      <c r="B99" s="300" t="s">
        <v>240</v>
      </c>
      <c r="C99" s="301"/>
      <c r="D99" s="113">
        <f t="array" ref="D99">INDEX('崖行動・受け身'!$C$3:$C104, MATCH($A$1,'崖行動・受け身'!$A$3:$A$115,0), MATCH(D98,'崖行動・受け身'!$C$2,0))</f>
        <v>19</v>
      </c>
      <c r="E99" s="301"/>
      <c r="F99" s="301"/>
      <c r="G99" s="301"/>
      <c r="H99" s="228"/>
      <c r="I99" s="228"/>
      <c r="J99" s="111"/>
      <c r="K99" s="302" t="str">
        <f>'テンプレート'!K117</f>
        <v>小アイテム</v>
      </c>
      <c r="L99" s="303" t="str">
        <f>'テンプレート'!L117</f>
        <v>その場</v>
      </c>
      <c r="M99" s="113" t="str">
        <f t="array" ref="M99">INDEX('アイテム'!$C$3:$D$115, MATCH($A$1,'アイテム'!$A$3:$A$115,0), MATCH(M$98,'アイテム'!$C$2:$AK$2,0))</f>
        <v>2</v>
      </c>
      <c r="N99" s="113">
        <f t="array" ref="N99">INDEX('アイテム'!$C$3:$D$115, MATCH($A$1,'アイテム'!$A$3:$A$115,0), MATCH(N$98,'アイテム'!$C$2:$AK$2,0))</f>
        <v>7</v>
      </c>
      <c r="O99" s="118"/>
      <c r="P99" s="118"/>
      <c r="Q99" s="118"/>
      <c r="R99" s="118"/>
      <c r="S99" s="118"/>
      <c r="T99" s="118"/>
      <c r="U99" s="118"/>
      <c r="V99" s="118"/>
    </row>
    <row r="100" outlineLevel="1">
      <c r="A100" s="146"/>
      <c r="B100" s="300" t="s">
        <v>216</v>
      </c>
      <c r="C100" s="113" t="str">
        <f t="array" ref="C100">INDEX('崖行動・受け身'!$D$3:$E104, MATCH($A$1,'崖行動・受け身'!$A$3:$A$115,0), MATCH(C98,'崖行動・受け身'!$D$2:$E$2,0))</f>
        <v>1-33</v>
      </c>
      <c r="D100" s="113">
        <f t="array" ref="D100">INDEX('崖行動・受け身'!$D$3:$E104, MATCH($A$1,'崖行動・受け身'!$A$3:$A$115,0), MATCH(D98,'崖行動・受け身'!$D$2:$E$2,0))</f>
        <v>34</v>
      </c>
      <c r="E100" s="301"/>
      <c r="F100" s="301"/>
      <c r="G100" s="301"/>
      <c r="H100" s="228"/>
      <c r="I100" s="228"/>
      <c r="J100" s="117"/>
      <c r="K100" s="156"/>
      <c r="L100" s="303" t="str">
        <f>'テンプレート'!L118</f>
        <v>歩き</v>
      </c>
      <c r="M100" s="113" t="str">
        <f t="array" ref="M100">INDEX('アイテム'!$E$3:$F$115, MATCH($A$1,'アイテム'!$A$3:$A$115,0), MATCH(M$98,'アイテム'!$E$2:$AK$2,0))</f>
        <v>2</v>
      </c>
      <c r="N100" s="113">
        <f t="array" ref="N100">INDEX('アイテム'!$E$3:$F$115, MATCH($A$1,'アイテム'!$A$3:$A$115,0), MATCH(N$98,'アイテム'!$E$2:$AK$2,0))</f>
        <v>19</v>
      </c>
      <c r="O100" s="118"/>
      <c r="P100" s="118"/>
      <c r="Q100" s="118"/>
      <c r="R100" s="118"/>
      <c r="S100" s="118"/>
      <c r="T100" s="118"/>
      <c r="U100" s="118"/>
      <c r="V100" s="118"/>
    </row>
    <row r="101" outlineLevel="1">
      <c r="A101" s="146"/>
      <c r="B101" s="300" t="s">
        <v>241</v>
      </c>
      <c r="C101" s="113" t="str">
        <f t="array" ref="C101">INDEX('崖行動・受け身'!$F$3:$G$115, MATCH($A$1,'崖行動・受け身'!$A$3:$A$115,0), MATCH(C98,'崖行動・受け身'!$F$2:$G$2,0))</f>
        <v>1-29</v>
      </c>
      <c r="D101" s="113">
        <f t="array" ref="D101">INDEX('崖行動・受け身'!$F$3:$G$115, MATCH($A$1,'崖行動・受け身'!$A$3:$A$115,0), MATCH(D98,'崖行動・受け身'!$F$2:$G$2,0))</f>
        <v>45</v>
      </c>
      <c r="E101" s="301"/>
      <c r="F101" s="301"/>
      <c r="G101" s="301"/>
      <c r="H101" s="228"/>
      <c r="I101" s="228"/>
      <c r="J101" s="111"/>
      <c r="K101" s="304" t="str">
        <f>'テンプレート'!K119</f>
        <v>アイテム投擲</v>
      </c>
      <c r="L101" s="109"/>
      <c r="M101" s="298" t="str">
        <f>'テンプレート'!M119</f>
        <v>投擲フレーム</v>
      </c>
      <c r="N101" s="298" t="str">
        <f>'テンプレート'!N119</f>
        <v>全体フレーム</v>
      </c>
      <c r="O101" s="118"/>
      <c r="P101" s="118"/>
      <c r="Q101" s="118"/>
      <c r="R101" s="118"/>
      <c r="S101" s="118"/>
      <c r="T101" s="118"/>
      <c r="U101" s="118"/>
      <c r="V101" s="118"/>
    </row>
    <row r="102" outlineLevel="1">
      <c r="A102" s="146"/>
      <c r="B102" s="300" t="s">
        <v>242</v>
      </c>
      <c r="C102" s="113" t="str">
        <f t="array" ref="C102">INDEX('崖行動・受け身'!$H$3:$I$115, MATCH($A$1,'崖行動・受け身'!$A$3:$A$115,0), MATCH(C98,'崖行動・受け身'!$H$2:$I$2,0))</f>
        <v>1-10</v>
      </c>
      <c r="D102" s="113">
        <f t="array" ref="D102">INDEX('崖行動・受け身'!$H$3:$I$115, MATCH($A$1,'崖行動・受け身'!$A$3:$A$115,0), MATCH(D98,'崖行動・受け身'!$H$2:$I$2,0))</f>
        <v>12</v>
      </c>
      <c r="E102" s="301"/>
      <c r="F102" s="301"/>
      <c r="G102" s="301"/>
      <c r="H102" s="228"/>
      <c r="I102" s="228"/>
      <c r="J102" s="117"/>
      <c r="K102" s="1030" t="str">
        <f>'テンプレート'!K120</f>
        <v>地上投擲</v>
      </c>
      <c r="L102" s="303" t="str">
        <f>'テンプレート'!L120</f>
        <v>前投げ</v>
      </c>
      <c r="M102" s="113" t="str">
        <f t="array" ref="M102">INDEX('アイテム'!$G$3:$H$115, MATCH($A$1,'アイテム'!$A$3:$A$115,0), MATCH(M$101,'アイテム'!$G$2:$AK$2,0))</f>
        <v>13</v>
      </c>
      <c r="N102" s="113">
        <f t="array" ref="N102">INDEX('アイテム'!$G$3:$H$115, MATCH($A$1,'アイテム'!$A$3:$A$115,0), MATCH(N$101,'アイテム'!$G$2:$AK$2,0))</f>
        <v>24</v>
      </c>
      <c r="O102" s="111"/>
      <c r="P102" s="111"/>
      <c r="Q102" s="111"/>
      <c r="R102" s="111"/>
      <c r="S102" s="111"/>
      <c r="T102" s="111"/>
      <c r="U102" s="111"/>
      <c r="V102" s="111"/>
    </row>
    <row r="103" outlineLevel="1">
      <c r="A103" s="156"/>
      <c r="B103" s="300" t="s">
        <v>243</v>
      </c>
      <c r="C103" s="113" t="str">
        <f t="array" ref="C103">INDEX('崖行動・受け身'!$J$3:$M$115, MATCH($A$1,'崖行動・受け身'!$A$3:$A$115,0), MATCH(C98,'崖行動・受け身'!$J$2:$M$2,0))</f>
        <v>1-23</v>
      </c>
      <c r="D103" s="113">
        <f t="array" ref="D103">INDEX('崖行動・受け身'!$J$3:$M$115, MATCH($A$1,'崖行動・受け身'!$A$3:$A$115,0), MATCH(D98,'崖行動・受け身'!$J$2:$M$2,0))</f>
        <v>55</v>
      </c>
      <c r="E103" s="113" t="str">
        <f t="array" ref="E103">INDEX('崖行動・受け身'!$J$3:$M$115, MATCH($A$1,'崖行動・受け身'!$A$3:$A$115,0), MATCH(E98,'崖行動・受け身'!$J$2:$M$2,0))</f>
        <v>21-23</v>
      </c>
      <c r="F103" s="113">
        <f t="array" ref="F103">INDEX('崖行動・受け身'!$J$3:$M$115, MATCH($A$1,'崖行動・受け身'!$A$3:$A$115,0), MATCH(F98,'崖行動・受け身'!$J$2:$M$2,0))</f>
        <v>9</v>
      </c>
      <c r="G103" s="113">
        <f>F103*1.2</f>
        <v>10.8</v>
      </c>
      <c r="H103" s="228"/>
      <c r="I103" s="228"/>
      <c r="J103" s="111"/>
      <c r="K103" s="146"/>
      <c r="L103" s="303" t="str">
        <f>'テンプレート'!L121</f>
        <v>後投げ</v>
      </c>
      <c r="M103" s="113" t="str">
        <f t="array" ref="M103">INDEX('アイテム'!$I$3:$J$115, MATCH($A$1,'アイテム'!$A$3:$A$115,0), MATCH(M$101,'アイテム'!$I$2:$AK$2,0))</f>
        <v>10</v>
      </c>
      <c r="N103" s="113">
        <f t="array" ref="N103">INDEX('アイテム'!$I$3:$J$115, MATCH($A$1,'アイテム'!$A$3:$A$115,0), MATCH(N$101,'アイテム'!$I$2:$AK$2,0))</f>
        <v>24</v>
      </c>
      <c r="O103" s="111"/>
      <c r="P103" s="111"/>
      <c r="Q103" s="111"/>
      <c r="R103" s="111"/>
      <c r="S103" s="111"/>
      <c r="T103" s="111"/>
      <c r="U103" s="111"/>
      <c r="V103" s="111"/>
    </row>
    <row r="104" outlineLevel="1">
      <c r="A104" s="299" t="s">
        <v>244</v>
      </c>
      <c r="B104" s="300" t="s">
        <v>216</v>
      </c>
      <c r="C104" s="113" t="str">
        <f t="array" ref="C104">INDEX('崖行動・受け身'!$N$3:$O$115, MATCH($A$1,'崖行動・受け身'!$A$3:$A$115,0), MATCH(C98,'崖行動・受け身'!$N$2:$O$2,0))</f>
        <v>1-20</v>
      </c>
      <c r="D104" s="113">
        <f t="array" ref="D104">INDEX('崖行動・受け身'!$N$3:$O$115, MATCH($A$1,'崖行動・受け身'!$A$3:$A$115,0), MATCH(D98,'崖行動・受け身'!$N$2:$O$2,0))</f>
        <v>26</v>
      </c>
      <c r="E104" s="301"/>
      <c r="F104" s="301"/>
      <c r="G104" s="301"/>
      <c r="H104" s="228"/>
      <c r="I104" s="290"/>
      <c r="J104" s="227"/>
      <c r="K104" s="146"/>
      <c r="L104" s="303" t="str">
        <f>'テンプレート'!L122</f>
        <v>上投げ</v>
      </c>
      <c r="M104" s="113" t="str">
        <f t="array" ref="M104">INDEX('アイテム'!$K$3:$L$115, MATCH($A$1,'アイテム'!$A$3:$A$115,0), MATCH(M$101,'アイテム'!$K$2:$AK$2,0))</f>
        <v>12</v>
      </c>
      <c r="N104" s="113">
        <f t="array" ref="N104">INDEX('アイテム'!$K$3:$L$115, MATCH($A$1,'アイテム'!$A$3:$A$115,0), MATCH(N$101,'アイテム'!$K$2:$AK$2,0))</f>
        <v>23</v>
      </c>
      <c r="O104" s="228"/>
      <c r="P104" s="228"/>
      <c r="Q104" s="228"/>
      <c r="R104" s="228"/>
      <c r="S104" s="228"/>
      <c r="T104" s="228"/>
      <c r="U104" s="228"/>
      <c r="V104" s="228"/>
    </row>
    <row r="105" outlineLevel="1">
      <c r="A105" s="146"/>
      <c r="B105" s="300" t="s">
        <v>245</v>
      </c>
      <c r="C105" s="113" t="str">
        <f t="array" ref="C105">INDEX('崖行動・受け身'!$P$3:$Q$115, MATCH($A$1,'崖行動・受け身'!$A$3:$A$115,0), MATCH(C98,'崖行動・受け身'!$P$2:$Q$2,0))</f>
        <v>1-20</v>
      </c>
      <c r="D105" s="113">
        <f t="array" ref="D105">INDEX('崖行動・受け身'!$P$3:$Q$115, MATCH($A$1,'崖行動・受け身'!$A$3:$A$115,0), MATCH(D98,'崖行動・受け身'!$P$2:$Q$2,0))</f>
        <v>40</v>
      </c>
      <c r="E105" s="301"/>
      <c r="F105" s="301"/>
      <c r="G105" s="301"/>
      <c r="H105" s="228"/>
      <c r="I105" s="290"/>
      <c r="J105" s="290"/>
      <c r="K105" s="146"/>
      <c r="L105" s="303" t="str">
        <f>'テンプレート'!L123</f>
        <v>下投げ</v>
      </c>
      <c r="M105" s="113" t="str">
        <f t="array" ref="M105">INDEX('アイテム'!$M$3:$N$115, MATCH($A$1,'アイテム'!$A$3:$A$115,0), MATCH(M$101,'アイテム'!$M$2:$AK$2,0))</f>
        <v>14</v>
      </c>
      <c r="N105" s="113">
        <f t="array" ref="N105">INDEX('アイテム'!$M$3:$N$115, MATCH($A$1,'アイテム'!$A$3:$A$115,0), MATCH(N$101,'アイテム'!$M$2:$AK$2,0))</f>
        <v>19</v>
      </c>
      <c r="O105" s="118"/>
      <c r="P105" s="118"/>
      <c r="Q105" s="118"/>
      <c r="R105" s="118"/>
      <c r="S105" s="118"/>
      <c r="T105" s="118"/>
      <c r="U105" s="118"/>
      <c r="V105" s="118"/>
    </row>
    <row r="106" outlineLevel="1">
      <c r="A106" s="156"/>
      <c r="B106" s="300" t="s">
        <v>246</v>
      </c>
      <c r="C106" s="113" t="str">
        <f t="array" ref="C106">INDEX('崖行動・受け身'!$R$3:$S$115, MATCH($A$1,'崖行動・受け身'!$A$3:$A$115,0), MATCH(C98,'崖行動・受け身'!$R$2:$S$2,0))</f>
        <v>1-20</v>
      </c>
      <c r="D106" s="113">
        <f t="array" ref="D106">INDEX('崖行動・受け身'!$R$3:$S$115, MATCH($A$1,'崖行動・受け身'!$A$3:$A$115,0), MATCH(D98,'崖行動・受け身'!$R$2:$S$2,0))</f>
        <v>40</v>
      </c>
      <c r="E106" s="301"/>
      <c r="F106" s="301"/>
      <c r="G106" s="301"/>
      <c r="H106" s="228"/>
      <c r="I106" s="228"/>
      <c r="J106" s="117"/>
      <c r="K106" s="146"/>
      <c r="L106" s="306" t="str">
        <f>'テンプレート'!L124</f>
        <v>ダッシュ</v>
      </c>
      <c r="M106" s="113" t="str">
        <f t="array" ref="M106">INDEX('アイテム'!$O$3:$P$115, MATCH($A$1,'アイテム'!$A$3:$A$115,0), MATCH(M$101,'アイテム'!$O$2:$AK$2,0))</f>
        <v>5</v>
      </c>
      <c r="N106" s="113">
        <f t="array" ref="N106">INDEX('アイテム'!$O$3:$P$115, MATCH($A$1,'アイテム'!$A$3:$A$115,0), MATCH(N$101,'アイテム'!$O$2:$AK$2,0))</f>
        <v>29</v>
      </c>
      <c r="O106" s="118"/>
      <c r="P106" s="118"/>
      <c r="Q106" s="118"/>
      <c r="R106" s="118"/>
      <c r="S106" s="118"/>
      <c r="T106" s="118"/>
      <c r="U106" s="118"/>
      <c r="V106" s="118"/>
    </row>
    <row r="107" outlineLevel="1">
      <c r="A107" s="299" t="s">
        <v>247</v>
      </c>
      <c r="B107" s="300" t="s">
        <v>248</v>
      </c>
      <c r="C107" s="301"/>
      <c r="D107" s="113" t="str">
        <f t="array" ref="D107">INDEX('起きあがり'!$C$3:$C104, MATCH($A$1,'起きあがり'!$A$3:$A$115,0), MATCH(D98,'起きあがり'!$C$2:$AD$2,0))</f>
        <v>25</v>
      </c>
      <c r="E107" s="301"/>
      <c r="F107" s="301"/>
      <c r="G107" s="301"/>
      <c r="H107" s="228"/>
      <c r="I107" s="228"/>
      <c r="J107" s="111"/>
      <c r="K107" s="156"/>
      <c r="L107" s="306" t="str">
        <f>'テンプレート'!L125</f>
        <v>その場捨て</v>
      </c>
      <c r="M107" s="113" t="str">
        <f t="array" ref="M107">INDEX('アイテム'!$Q$3:$R$115, MATCH($A$1,'アイテム'!$A$3:$A$115,0), MATCH(M$101,'アイテム'!$Q$2:$AK$2,0))</f>
        <v>7</v>
      </c>
      <c r="N107" s="113">
        <f t="array" ref="N107">INDEX('アイテム'!$Q$3:$R$115, MATCH($A$1,'アイテム'!$A$3:$A$115,0), MATCH(N$101,'アイテム'!$Q$2:$AK$2,0))</f>
        <v>23</v>
      </c>
      <c r="O107" s="118"/>
      <c r="P107" s="118"/>
      <c r="Q107" s="118"/>
      <c r="R107" s="118"/>
      <c r="S107" s="118"/>
      <c r="T107" s="118"/>
      <c r="U107" s="118"/>
      <c r="V107" s="118"/>
    </row>
    <row r="108" outlineLevel="1">
      <c r="A108" s="146"/>
      <c r="B108" s="300" t="s">
        <v>216</v>
      </c>
      <c r="C108" s="307" t="str">
        <f t="array" ref="C108">INDEX('起きあがり'!$D$3:$E104, MATCH($A$1,'起きあがり'!$A$3:$A$115,0), MATCH(C98,'起きあがり'!$D$2:$AD$2,0))</f>
        <v>1-22</v>
      </c>
      <c r="D108" s="308">
        <f t="array" ref="D108">INDEX('起きあがり'!$D$3:$E104, MATCH($A$1,'起きあがり'!$A$3:$A$115,0), MATCH(D98,'起きあがり'!$D$2:$AD$2,0))</f>
        <v>29</v>
      </c>
      <c r="E108" s="301"/>
      <c r="F108" s="301"/>
      <c r="G108" s="301"/>
      <c r="H108" s="228"/>
      <c r="I108" s="228"/>
      <c r="J108" s="117"/>
      <c r="K108" s="1030" t="str">
        <f>'テンプレート'!K126</f>
        <v>空中投擲</v>
      </c>
      <c r="L108" s="303" t="str">
        <f>'テンプレート'!L126</f>
        <v>前投げ</v>
      </c>
      <c r="M108" s="113" t="str">
        <f t="array" ref="M108">INDEX('アイテム'!$S$3:$T$115, MATCH($A$1,'アイテム'!$A$3:$A$115,0), MATCH(M$101,'アイテム'!$S$2:$AK$2,0))</f>
        <v>13</v>
      </c>
      <c r="N108" s="113">
        <f t="array" ref="N108">INDEX('アイテム'!$S$3:$T$115, MATCH($A$1,'アイテム'!$A$3:$A$115,0), MATCH(N$101,'アイテム'!$S$2:$AK$2,0))</f>
        <v>24</v>
      </c>
      <c r="O108" s="118"/>
      <c r="P108" s="118"/>
      <c r="Q108" s="118"/>
      <c r="R108" s="118"/>
      <c r="S108" s="118"/>
      <c r="T108" s="118"/>
      <c r="U108" s="118"/>
      <c r="V108" s="118"/>
    </row>
    <row r="109" outlineLevel="1">
      <c r="A109" s="146"/>
      <c r="B109" s="300" t="s">
        <v>245</v>
      </c>
      <c r="C109" s="307" t="str">
        <f t="array" ref="C109">INDEX('起きあがり'!$F$3:$G$115, MATCH($A$1,'起きあがり'!$A$3:$A$115,0), MATCH(C98,'起きあがり'!$F$2:$AD$2,0))</f>
        <v>1-14</v>
      </c>
      <c r="D109" s="308">
        <f t="array" ref="D109">INDEX('起きあがり'!$F$3:$G$115, MATCH($A$1,'起きあがり'!$A$3:$A$115,0), MATCH(D98,'起きあがり'!$F$2:$AD$2,0))</f>
        <v>35</v>
      </c>
      <c r="E109" s="301"/>
      <c r="F109" s="301"/>
      <c r="G109" s="301"/>
      <c r="H109" s="228"/>
      <c r="I109" s="228"/>
      <c r="J109" s="111"/>
      <c r="K109" s="146"/>
      <c r="L109" s="303" t="str">
        <f>'テンプレート'!L127</f>
        <v>後投げ</v>
      </c>
      <c r="M109" s="113" t="str">
        <f t="array" ref="M109">INDEX('アイテム'!$U$3:$V$115, MATCH($A$1,'アイテム'!$A$3:$A$115,0), MATCH(M$101,'アイテム'!$U$2:$AK$2,0))</f>
        <v>10</v>
      </c>
      <c r="N109" s="113">
        <f t="array" ref="N109">INDEX('アイテム'!$U$3:$V$115, MATCH($A$1,'アイテム'!$A$3:$A$115,0), MATCH(N$101,'アイテム'!$U$2:$AK$2,0))</f>
        <v>24</v>
      </c>
      <c r="O109" s="118"/>
      <c r="P109" s="118"/>
      <c r="Q109" s="118"/>
      <c r="R109" s="118"/>
      <c r="S109" s="118"/>
      <c r="T109" s="118"/>
      <c r="U109" s="118"/>
      <c r="V109" s="118"/>
    </row>
    <row r="110" outlineLevel="1">
      <c r="A110" s="146"/>
      <c r="B110" s="300" t="s">
        <v>246</v>
      </c>
      <c r="C110" s="113" t="str">
        <f t="array" ref="C110">INDEX('起きあがり'!$H$3:$I$115, MATCH($A$1,'起きあがり'!$A$3:$A$115,0), MATCH(C98,'起きあがり'!$H$2:$AD$2,0))</f>
        <v>1-19</v>
      </c>
      <c r="D110" s="113">
        <f t="array" ref="D110">INDEX('起きあがり'!$H$3:$I$115, MATCH($A$1,'起きあがり'!$A$3:$A$115,0), MATCH(D98,'起きあがり'!$H$2:$AD$2,0))</f>
        <v>35</v>
      </c>
      <c r="E110" s="301"/>
      <c r="F110" s="301"/>
      <c r="G110" s="301"/>
      <c r="H110" s="228"/>
      <c r="I110" s="228"/>
      <c r="J110" s="117"/>
      <c r="K110" s="146"/>
      <c r="L110" s="303" t="str">
        <f>'テンプレート'!L128</f>
        <v>上投げ</v>
      </c>
      <c r="M110" s="113" t="str">
        <f t="array" ref="M110">INDEX('アイテム'!$W$3:$X$115, MATCH($A$1,'アイテム'!$A$3:$A$115,0), MATCH(M$101,'アイテム'!$W$2:$AK$2,0))</f>
        <v>12</v>
      </c>
      <c r="N110" s="113">
        <f t="array" ref="N110">INDEX('アイテム'!$W$3:$X$115, MATCH($A$1,'アイテム'!$A$3:$A$115,0), MATCH(N$101,'アイテム'!$W$2:$AK$2,0))</f>
        <v>23</v>
      </c>
      <c r="O110" s="118"/>
      <c r="P110" s="118"/>
      <c r="Q110" s="118"/>
      <c r="R110" s="118"/>
      <c r="S110" s="118"/>
      <c r="T110" s="118"/>
      <c r="U110" s="118"/>
      <c r="V110" s="118"/>
    </row>
    <row r="111" outlineLevel="1">
      <c r="A111" s="146"/>
      <c r="B111" s="300" t="s">
        <v>249</v>
      </c>
      <c r="C111" s="309" t="str">
        <f t="array" ref="C111">INDEX('起きあがり'!$J$3:$M$115, MATCH($A$1,'起きあがり'!$A$3:$A$115,0), MATCH(C98,'起きあがり'!$J$2:$AD$2,0))</f>
        <v>1-22</v>
      </c>
      <c r="D111" s="310">
        <f t="array" ref="D111">INDEX('起きあがり'!$J$3:$M$115, MATCH($A$1,'起きあがり'!$A$3:$A$115,0), MATCH(D98,'起きあがり'!$J$2:$AD$2,0))</f>
        <v>45</v>
      </c>
      <c r="E111" s="307" t="str">
        <f t="array" ref="E111">INDEX('起きあがり'!$J$3:$M$115, MATCH($A$1,'起きあがり'!$A$3:$A$115,0), MATCH(E98,'起きあがり'!$J$2:$AD$2,0))</f>
        <v>16-17</v>
      </c>
      <c r="F111" s="308">
        <f t="array" ref="F111">INDEX('起きあがり'!$J$3:$M$115, MATCH($A$1,'起きあがり'!$A$3:$A$115,0), MATCH(F98,'起きあがり'!$J$2:$AD$2,0))</f>
        <v>7</v>
      </c>
      <c r="G111" s="113">
        <f t="shared" ref="G111:G112" si="1">F111*1.2</f>
        <v>8.4</v>
      </c>
      <c r="H111" s="228"/>
      <c r="I111" s="228"/>
      <c r="J111" s="111"/>
      <c r="K111" s="156"/>
      <c r="L111" s="303" t="str">
        <f>'テンプレート'!L129</f>
        <v>下投げ</v>
      </c>
      <c r="M111" s="113" t="str">
        <f t="array" ref="M111">INDEX('アイテム'!$Y$3:$Z$115, MATCH($A$1,'アイテム'!$A$3:$A$115,0), MATCH(M$101,'アイテム'!$Y$2:$AK$2,0))</f>
        <v>14</v>
      </c>
      <c r="N111" s="113">
        <f t="array" ref="N111">INDEX('アイテム'!$Y$3:$Z$115, MATCH($A$1,'アイテム'!$A$3:$A$115,0), MATCH(N$101,'アイテム'!$Y$2:$AK$2,0))</f>
        <v>19</v>
      </c>
      <c r="O111" s="111"/>
      <c r="P111" s="111"/>
      <c r="Q111" s="111"/>
      <c r="R111" s="111"/>
      <c r="S111" s="111"/>
      <c r="T111" s="111"/>
      <c r="U111" s="111"/>
      <c r="V111" s="111"/>
    </row>
    <row r="112" outlineLevel="1">
      <c r="A112" s="156"/>
      <c r="B112" s="311" t="s">
        <v>250</v>
      </c>
      <c r="C112" s="156"/>
      <c r="D112" s="156"/>
      <c r="E112" s="307" t="str">
        <f t="array" ref="E112">INDEX('起きあがり'!$N$3:$O$115, MATCH($A$1,'起きあがり'!$A$3:$A$115,0), MATCH(E98,'起きあがり'!$N$2:$AD$2,0))</f>
        <v>21-22</v>
      </c>
      <c r="F112" s="308">
        <f t="array" ref="F112">INDEX('起きあがり'!$N$3:$O$115, MATCH($A$1,'起きあがり'!$A$3:$A$115,0), MATCH(F98,'起きあがり'!$N$2:$AD$2,0))</f>
        <v>7</v>
      </c>
      <c r="G112" s="113">
        <f t="shared" si="1"/>
        <v>8.4</v>
      </c>
      <c r="H112" s="228"/>
      <c r="I112" s="228"/>
      <c r="J112" s="111"/>
      <c r="K112" s="312" t="str">
        <f>'テンプレート'!K130</f>
        <v>踏み台ジャンプ</v>
      </c>
      <c r="L112" s="168"/>
      <c r="M112" s="298" t="str">
        <f>'テンプレート'!M130</f>
        <v>全体フレーム</v>
      </c>
      <c r="N112" s="114"/>
      <c r="O112" s="111"/>
      <c r="P112" s="111"/>
      <c r="Q112" s="111"/>
      <c r="R112" s="111"/>
      <c r="S112" s="111"/>
      <c r="T112" s="111"/>
      <c r="U112" s="111"/>
      <c r="V112" s="111"/>
    </row>
    <row r="113" outlineLevel="1">
      <c r="A113" s="299" t="s">
        <v>251</v>
      </c>
      <c r="B113" s="300" t="s">
        <v>248</v>
      </c>
      <c r="C113" s="301"/>
      <c r="D113" s="307" t="str">
        <f t="array" ref="D113">INDEX('起きあがり'!$C$3:$C104, MATCH($A$1,'起きあがり'!$A$3:$A$115,0), MATCH(D98,'起きあがり'!$C$2,0))</f>
        <v>25</v>
      </c>
      <c r="E113" s="301"/>
      <c r="F113" s="301"/>
      <c r="G113" s="301"/>
      <c r="H113" s="228"/>
      <c r="I113" s="228"/>
      <c r="J113" s="117"/>
      <c r="K113" s="313" t="str">
        <f>'テンプレート'!K131</f>
        <v>踏み</v>
      </c>
      <c r="L113" s="314" t="str">
        <f>'テンプレート'!L131</f>
        <v>踏み</v>
      </c>
      <c r="M113" s="113" t="str">
        <f t="array" ref="M113">INDEX('共通動作その他'!$C$3:$C$102, MATCH($A$1,'共通動作その他'!$A$3:$A$102,0), MATCH(M$112,'共通動作その他'!$C$2:$AA$2,0))</f>
        <v>-</v>
      </c>
      <c r="N113" s="315"/>
      <c r="O113" s="111"/>
      <c r="P113" s="111"/>
      <c r="Q113" s="111"/>
      <c r="R113" s="111"/>
      <c r="S113" s="111"/>
      <c r="T113" s="111"/>
      <c r="U113" s="111"/>
      <c r="V113" s="111"/>
    </row>
    <row r="114" outlineLevel="1">
      <c r="A114" s="146"/>
      <c r="B114" s="300" t="s">
        <v>216</v>
      </c>
      <c r="C114" s="307" t="str">
        <f t="array" ref="C114">INDEX('起きあがり'!$P$3:$Q$115, MATCH($A$1,'起きあがり'!$A$3:$A$115,0), MATCH(C98,'起きあがり'!$P$2:$AD$2,0))</f>
        <v>1-22</v>
      </c>
      <c r="D114" s="308">
        <f t="array" ref="D114">INDEX('起きあがり'!$P$3:$Q$115, MATCH($A$1,'起きあがり'!$A$3:$A$115,0), MATCH(D98,'起きあがり'!$P$2:$AD$2,0))</f>
        <v>29</v>
      </c>
      <c r="E114" s="301"/>
      <c r="F114" s="301"/>
      <c r="G114" s="301"/>
      <c r="H114" s="228"/>
      <c r="I114" s="228"/>
      <c r="J114" s="111"/>
      <c r="K114" s="305" t="str">
        <f>'テンプレート'!K132</f>
        <v>踏まれ</v>
      </c>
      <c r="L114" s="314" t="str">
        <f>'テンプレート'!L132</f>
        <v>地上踏まれ</v>
      </c>
      <c r="M114" s="113" t="str">
        <f t="array" ref="M114">INDEX('共通動作その他'!$D$3:$D$102, MATCH($A$1,'共通動作その他'!$A$3:$A$102,0), MATCH(M$112,'共通動作その他'!$D$2:$AA$2,0))</f>
        <v>-</v>
      </c>
      <c r="N114" s="315"/>
      <c r="O114" s="228"/>
      <c r="P114" s="228"/>
      <c r="Q114" s="228"/>
      <c r="R114" s="228"/>
      <c r="S114" s="228"/>
      <c r="T114" s="228"/>
      <c r="U114" s="228"/>
      <c r="V114" s="228"/>
    </row>
    <row r="115" outlineLevel="1">
      <c r="A115" s="146"/>
      <c r="B115" s="300" t="s">
        <v>245</v>
      </c>
      <c r="C115" s="307" t="str">
        <f t="array" ref="C115">INDEX('起きあがり'!$R$3:$S$115, MATCH($A$1,'起きあがり'!$A$3:$A$115,0), MATCH(C98,'起きあがり'!$R$2:$AD$2,0))</f>
        <v>1-19</v>
      </c>
      <c r="D115" s="308">
        <f t="array" ref="D115">INDEX('起きあがり'!$R$3:$S$115, MATCH($A$1,'起きあがり'!$A$3:$A$115,0), MATCH(D98,'起きあがり'!$R$2:$AD$2,0))</f>
        <v>35</v>
      </c>
      <c r="E115" s="301"/>
      <c r="F115" s="301"/>
      <c r="G115" s="301"/>
      <c r="H115" s="228"/>
      <c r="I115" s="228"/>
      <c r="J115" s="117"/>
      <c r="K115" s="146"/>
      <c r="L115" s="314" t="str">
        <f>'テンプレート'!L133</f>
        <v>地上硬直</v>
      </c>
      <c r="M115" s="113" t="str">
        <f t="array" ref="M115">INDEX('共通動作その他'!$E$3:$E$102, MATCH($A$1,'共通動作その他'!$A$3:$A$102,0), MATCH(M$112,'共通動作その他'!$E$2:$AA$2,0))</f>
        <v>-</v>
      </c>
      <c r="N115" s="102"/>
      <c r="O115" s="118"/>
      <c r="P115" s="118"/>
      <c r="Q115" s="118"/>
      <c r="R115" s="118"/>
      <c r="S115" s="118"/>
      <c r="T115" s="118"/>
      <c r="U115" s="118"/>
      <c r="V115" s="118"/>
    </row>
    <row r="116" outlineLevel="1">
      <c r="A116" s="146"/>
      <c r="B116" s="300" t="s">
        <v>246</v>
      </c>
      <c r="C116" s="307" t="str">
        <f t="array" ref="C116">INDEX('起きあがり'!$T$3:$U$115, MATCH($A$1,'起きあがり'!$A$3:$A$115,0), MATCH(C98,'起きあがり'!$T$2:$AD$2,0))</f>
        <v>1-19</v>
      </c>
      <c r="D116" s="308">
        <f t="array" ref="D116">INDEX('起きあがり'!$T$3:$U$115, MATCH($A$1,'起きあがり'!$A$3:$A$115,0), MATCH(D98,'起きあがり'!$T$2:$AD$2,0))</f>
        <v>35</v>
      </c>
      <c r="E116" s="301"/>
      <c r="F116" s="301"/>
      <c r="G116" s="301"/>
      <c r="H116" s="228"/>
      <c r="I116" s="228"/>
      <c r="J116" s="111"/>
      <c r="K116" s="146"/>
      <c r="L116" s="314" t="str">
        <f>'テンプレート'!L134</f>
        <v>空中踏まれ</v>
      </c>
      <c r="M116" s="113" t="str">
        <f t="array" ref="M116">INDEX('共通動作その他'!$F$3:$F$102, MATCH($A$1,'共通動作その他'!$A$3:$A$102,0), MATCH(M$112,'共通動作その他'!$F$2:$AA$2,0))</f>
        <v>-</v>
      </c>
      <c r="N116" s="102"/>
      <c r="O116" s="118"/>
      <c r="P116" s="118"/>
      <c r="Q116" s="118"/>
      <c r="R116" s="118"/>
      <c r="S116" s="118"/>
      <c r="T116" s="118"/>
      <c r="U116" s="118"/>
      <c r="V116" s="118"/>
    </row>
    <row r="117" outlineLevel="1">
      <c r="A117" s="146"/>
      <c r="B117" s="300" t="s">
        <v>249</v>
      </c>
      <c r="C117" s="309" t="str">
        <f t="array" ref="C117">INDEX('起きあがり'!$V$3:$Y$115, MATCH($A$1,'起きあがり'!$A$3:$A$115,0), MATCH(C98,'起きあがり'!$V$2:$AD$2,0))</f>
        <v>1-22</v>
      </c>
      <c r="D117" s="310">
        <f t="array" ref="D117">INDEX('起きあがり'!$V$3:$Y$115, MATCH($A$1,'起きあがり'!$A$3:$A$115,0), MATCH(D98,'起きあがり'!$V$2:$AD$2,0))</f>
        <v>45</v>
      </c>
      <c r="E117" s="307" t="str">
        <f t="array" ref="E117">INDEX('起きあがり'!$V$3:$Y$115, MATCH($A$1,'起きあがり'!$A$3:$A$115,0), MATCH(E98,'起きあがり'!$V$2:$AD$2,0))</f>
        <v>16-17</v>
      </c>
      <c r="F117" s="308">
        <f t="array" ref="F117">INDEX('起きあがり'!$V$3:$Y$115, MATCH($A$1,'起きあがり'!$A$3:$A$115,0), MATCH(F98,'起きあがり'!$V$2:$AD$2,0))</f>
        <v>7</v>
      </c>
      <c r="G117" s="113">
        <f t="shared" ref="G117:G118" si="2">F117*1.2</f>
        <v>8.4</v>
      </c>
      <c r="H117" s="228"/>
      <c r="I117" s="228"/>
      <c r="J117" s="117"/>
      <c r="K117" s="146"/>
      <c r="L117" s="314" t="str">
        <f>'テンプレート'!L135</f>
        <v>空中落下</v>
      </c>
      <c r="M117" s="113" t="str">
        <f t="array" ref="M117">INDEX('共通動作その他'!$G$3:$G$102, MATCH($A$1,'共通動作その他'!$A$3:$A$102,0), MATCH(M$112,'共通動作その他'!$G$2:$AA$2,0))</f>
        <v>-</v>
      </c>
      <c r="N117" s="102"/>
      <c r="O117" s="118"/>
      <c r="P117" s="118"/>
      <c r="Q117" s="118"/>
      <c r="R117" s="118"/>
      <c r="S117" s="118"/>
      <c r="T117" s="118"/>
      <c r="U117" s="118"/>
      <c r="V117" s="118"/>
    </row>
    <row r="118" outlineLevel="1">
      <c r="A118" s="156"/>
      <c r="B118" s="311" t="s">
        <v>250</v>
      </c>
      <c r="C118" s="156"/>
      <c r="D118" s="156"/>
      <c r="E118" s="307" t="str">
        <f t="array" ref="E118">INDEX('起きあがり'!$Z$3:$AA$115, MATCH($A$1,'起きあがり'!$A$3:$A$115,0), MATCH(E98,'起きあがり'!$Z$2:$AD$2,0))</f>
        <v>21-22</v>
      </c>
      <c r="F118" s="308">
        <f t="array" ref="F118">INDEX('起きあがり'!$Z$3:$AA$115, MATCH($A$1,'起きあがり'!$A$3:$A$115,0), MATCH(F98,'起きあがり'!$Z$2:$AD$2,0))</f>
        <v>7</v>
      </c>
      <c r="G118" s="113">
        <f t="shared" si="2"/>
        <v>8.4</v>
      </c>
      <c r="H118" s="228"/>
      <c r="I118" s="228"/>
      <c r="J118" s="117"/>
      <c r="K118" s="304" t="str">
        <f>'テンプレート'!K136</f>
        <v>倒れダメージ</v>
      </c>
      <c r="L118" s="110"/>
      <c r="M118" s="298" t="str">
        <f>'テンプレート'!M136</f>
        <v>全体フレーム</v>
      </c>
      <c r="N118" s="102"/>
      <c r="O118" s="118"/>
      <c r="P118" s="118"/>
      <c r="Q118" s="118"/>
      <c r="R118" s="118"/>
      <c r="S118" s="118"/>
      <c r="T118" s="118"/>
      <c r="U118" s="118"/>
      <c r="V118" s="118"/>
    </row>
    <row r="119" outlineLevel="1">
      <c r="A119" s="299" t="s">
        <v>252</v>
      </c>
      <c r="B119" s="300" t="s">
        <v>253</v>
      </c>
      <c r="C119" s="307" t="str">
        <f t="array" ref="C119">INDEX('転倒'!$C$3:$D104, MATCH($A$1,'転倒'!$A$3:$A$115,0), MATCH(C98,'転倒'!$C$2:$AC$2,0))</f>
        <v>1-5</v>
      </c>
      <c r="D119" s="308">
        <f t="array" ref="D119">INDEX('転倒'!$C$3:$D104, MATCH($A$1,'転倒'!$A$3:$A$115,0), MATCH(D98,'転倒'!$C$2:$AC$2,0))</f>
        <v>29</v>
      </c>
      <c r="E119" s="301"/>
      <c r="F119" s="301"/>
      <c r="G119" s="301"/>
      <c r="H119" s="228"/>
      <c r="I119" s="228"/>
      <c r="J119" s="111"/>
      <c r="K119" s="313" t="str">
        <f>'テンプレート'!K137</f>
        <v>あお向け倒れ</v>
      </c>
      <c r="L119" s="306" t="str">
        <f>'テンプレート'!L137</f>
        <v>モーション大</v>
      </c>
      <c r="M119" s="113" t="str">
        <f t="array" ref="M119">INDEX('共通動作その他'!$H$3:$H$102, MATCH($A$1,'共通動作その他'!$A$3:$A$102,0), MATCH(M$118,'共通動作その他'!$H$2:$AA$2,0))</f>
        <v>-</v>
      </c>
      <c r="N119" s="315"/>
      <c r="O119" s="118"/>
      <c r="P119" s="118"/>
      <c r="Q119" s="118"/>
      <c r="R119" s="118"/>
      <c r="S119" s="118"/>
      <c r="T119" s="118"/>
      <c r="U119" s="118"/>
      <c r="V119" s="118"/>
    </row>
    <row r="120" outlineLevel="1">
      <c r="A120" s="146"/>
      <c r="B120" s="300" t="s">
        <v>254</v>
      </c>
      <c r="C120" s="307" t="str">
        <f t="array" ref="C120">INDEX('転倒'!$E$3:$F104, MATCH($A$1,'転倒'!$A$3:$A$115,0), MATCH(C98,'転倒'!$E$2:$AC$2,0))</f>
        <v>1-5</v>
      </c>
      <c r="D120" s="308">
        <f t="array" ref="D120">INDEX('転倒'!$E$3:$F104, MATCH($A$1,'転倒'!$A$3:$A$115,0), MATCH(D98,'転倒'!$E$2:$AC$2,0))</f>
        <v>39</v>
      </c>
      <c r="E120" s="301"/>
      <c r="F120" s="301"/>
      <c r="G120" s="301"/>
      <c r="H120" s="228"/>
      <c r="I120" s="228"/>
      <c r="J120" s="117"/>
      <c r="K120" s="313" t="str">
        <f>'テンプレート'!K138</f>
        <v>うつ伏せ倒れ</v>
      </c>
      <c r="L120" s="306" t="str">
        <f>'テンプレート'!L138</f>
        <v>モーション大</v>
      </c>
      <c r="M120" s="113" t="str">
        <f t="array" ref="M120">INDEX('共通動作その他'!$I$3:$I$102, MATCH($A$1,'共通動作その他'!$A$3:$A$102,0), MATCH(M$118,'共通動作その他'!$I$2:$AA$2,0))</f>
        <v>-</v>
      </c>
      <c r="N120" s="315"/>
      <c r="O120" s="118"/>
      <c r="P120" s="118"/>
      <c r="Q120" s="118"/>
      <c r="R120" s="118"/>
      <c r="S120" s="118"/>
      <c r="T120" s="118"/>
      <c r="U120" s="118"/>
      <c r="V120" s="118"/>
    </row>
    <row r="121" outlineLevel="1">
      <c r="A121" s="146"/>
      <c r="B121" s="300" t="s">
        <v>216</v>
      </c>
      <c r="C121" s="307" t="str">
        <f t="array" ref="C121">INDEX('転倒'!$G$3:$H$115, MATCH($A$1,'転倒'!$A$3:$A$115,0), MATCH(C98,'転倒'!$G$2:$AC$2,0))</f>
        <v>1-16</v>
      </c>
      <c r="D121" s="308">
        <f t="array" ref="D121">INDEX('転倒'!$G$3:$H$115, MATCH($A$1,'転倒'!$A$3:$A$115,0), MATCH(D98,'転倒'!$G$2:$AC$2,0))</f>
        <v>21</v>
      </c>
      <c r="E121" s="301"/>
      <c r="F121" s="301"/>
      <c r="G121" s="301"/>
      <c r="H121" s="228"/>
      <c r="I121" s="228"/>
      <c r="J121" s="111"/>
      <c r="K121" s="304" t="str">
        <f>'テンプレート'!K139</f>
        <v/>
      </c>
      <c r="L121" s="110"/>
      <c r="M121" s="298" t="str">
        <f>'テンプレート'!M139</f>
        <v/>
      </c>
      <c r="N121" s="102"/>
      <c r="O121" s="118"/>
      <c r="P121" s="118"/>
      <c r="Q121" s="118"/>
      <c r="R121" s="118"/>
      <c r="S121" s="118"/>
      <c r="T121" s="118"/>
      <c r="U121" s="118"/>
      <c r="V121" s="118"/>
    </row>
    <row r="122" outlineLevel="1">
      <c r="A122" s="146"/>
      <c r="B122" s="300" t="s">
        <v>245</v>
      </c>
      <c r="C122" s="307" t="str">
        <f t="array" ref="C122">INDEX('転倒'!$I$3:$J$115, MATCH($A$1,'転倒'!$A$3:$A$115,0), MATCH(C98,'転倒'!$I$2:$AC$2,0))</f>
        <v>1-9</v>
      </c>
      <c r="D122" s="308">
        <f t="array" ref="D122">INDEX('転倒'!$I$3:$J$115, MATCH($A$1,'転倒'!$A$3:$A$115,0), MATCH(D98,'転倒'!$I$2:$AC$2,0))</f>
        <v>28</v>
      </c>
      <c r="E122" s="301"/>
      <c r="F122" s="301"/>
      <c r="G122" s="301"/>
      <c r="H122" s="228"/>
      <c r="I122" s="228"/>
      <c r="J122" s="228"/>
      <c r="K122" s="316" t="str">
        <f>'テンプレート'!K140</f>
        <v/>
      </c>
      <c r="L122" s="317" t="str">
        <f>'テンプレート'!L140</f>
        <v/>
      </c>
      <c r="M122" s="113" t="str">
        <f t="array" ref="M122">INDEX('共通動作その他'!$J$3:$J$102, MATCH($A$1,'共通動作その他'!$A$3:$A$102,0), MATCH(M$121,'共通動作その他'!$J$2:$AA$2,0))</f>
        <v>#N/A</v>
      </c>
      <c r="N122" s="102"/>
      <c r="O122" s="118"/>
      <c r="P122" s="118"/>
      <c r="Q122" s="118"/>
      <c r="R122" s="118"/>
      <c r="S122" s="118"/>
      <c r="T122" s="118"/>
      <c r="U122" s="118"/>
      <c r="V122" s="118"/>
    </row>
    <row r="123" outlineLevel="1">
      <c r="A123" s="146"/>
      <c r="B123" s="300" t="s">
        <v>246</v>
      </c>
      <c r="C123" s="307" t="str">
        <f t="array" ref="C123">INDEX('転倒'!$K$3:$L$115, MATCH($A$1,'転倒'!$A$3:$A$115,0), MATCH(C98,'転倒'!$K$2:$AC$2,0))</f>
        <v>1-9</v>
      </c>
      <c r="D123" s="308">
        <f t="array" ref="D123">INDEX('転倒'!$K$3:$L$115, MATCH($A$1,'転倒'!$A$3:$A$115,0), MATCH(D98,'転倒'!$K$2:$AC$2,0))</f>
        <v>28</v>
      </c>
      <c r="E123" s="301"/>
      <c r="F123" s="301"/>
      <c r="G123" s="301"/>
      <c r="H123" s="228"/>
      <c r="I123" s="228"/>
      <c r="J123" s="228"/>
      <c r="K123" s="102"/>
      <c r="L123" s="118"/>
      <c r="M123" s="118"/>
      <c r="N123" s="102"/>
      <c r="O123" s="118"/>
      <c r="P123" s="118"/>
      <c r="Q123" s="118"/>
      <c r="R123" s="118"/>
      <c r="S123" s="118"/>
      <c r="T123" s="118"/>
      <c r="U123" s="118"/>
      <c r="V123" s="118"/>
    </row>
    <row r="124" outlineLevel="1">
      <c r="A124" s="146"/>
      <c r="B124" s="300" t="s">
        <v>249</v>
      </c>
      <c r="C124" s="309" t="str">
        <f t="array" ref="C124">INDEX('転倒'!$M$3:$P$115, MATCH($A$1,'転倒'!$A$3:$A$115,0), MATCH(C98,'転倒'!$M$2:$AC$2,0))</f>
        <v>1-7</v>
      </c>
      <c r="D124" s="310">
        <f t="array" ref="D124">INDEX('転倒'!$M$3:$P$115, MATCH($A$1,'転倒'!$A$3:$A$115,0), MATCH(D98,'転倒'!$M$2:$AC$2,0))</f>
        <v>49</v>
      </c>
      <c r="E124" s="307" t="str">
        <f t="array" ref="E124">INDEX('転倒'!$M$3:$P$115, MATCH($A$1,'転倒'!$A$3:$A$115,0), MATCH(E98,'転倒'!$M$2:$AC$2,0))</f>
        <v>18-19</v>
      </c>
      <c r="F124" s="308">
        <f t="array" ref="F124">INDEX('転倒'!$M$3:$P$115, MATCH($A$1,'転倒'!$A$3:$A$115,0), MATCH(F98,'転倒'!$M$2:$AC$2,0))</f>
        <v>5</v>
      </c>
      <c r="G124" s="113">
        <f t="shared" ref="G124:G125" si="3">F124*1.2</f>
        <v>6</v>
      </c>
      <c r="H124" s="228"/>
      <c r="I124" s="228"/>
      <c r="J124" s="228"/>
      <c r="K124" s="118"/>
      <c r="L124" s="118"/>
      <c r="M124" s="118"/>
      <c r="N124" s="102"/>
      <c r="O124" s="102"/>
      <c r="P124" s="102"/>
      <c r="Q124" s="102"/>
      <c r="R124" s="118"/>
      <c r="S124" s="118"/>
      <c r="T124" s="118"/>
      <c r="U124" s="118"/>
      <c r="V124" s="118"/>
    </row>
    <row r="125" outlineLevel="1">
      <c r="A125" s="156"/>
      <c r="B125" s="311" t="s">
        <v>250</v>
      </c>
      <c r="C125" s="156"/>
      <c r="D125" s="156"/>
      <c r="E125" s="307" t="str">
        <f t="array" ref="E125">INDEX('転倒'!$Q$3:$R$115, MATCH($A$1,'転倒'!$A$3:$A$115,0), MATCH(E98,'転倒'!$Q$2:$AC$2,0))</f>
        <v>22-23</v>
      </c>
      <c r="F125" s="308">
        <f t="array" ref="F125">INDEX('転倒'!$Q$3:$R$115, MATCH($A$1,'転倒'!$A$3:$A$115,0), MATCH(F98,'転倒'!$Q$2:$AC$2,0))</f>
        <v>5</v>
      </c>
      <c r="G125" s="113">
        <f t="shared" si="3"/>
        <v>6</v>
      </c>
      <c r="H125" s="228"/>
      <c r="I125" s="228"/>
      <c r="J125" s="228"/>
      <c r="K125" s="118"/>
      <c r="L125" s="118"/>
      <c r="M125" s="118"/>
      <c r="N125" s="102"/>
      <c r="O125" s="102"/>
      <c r="P125" s="102"/>
      <c r="Q125" s="102"/>
      <c r="R125" s="118"/>
      <c r="S125" s="118"/>
      <c r="T125" s="118"/>
      <c r="U125" s="118"/>
      <c r="V125" s="118"/>
    </row>
    <row r="126" outlineLevel="1">
      <c r="A126" s="319"/>
      <c r="B126" s="320"/>
      <c r="C126" s="321"/>
      <c r="D126" s="321"/>
      <c r="E126" s="322"/>
      <c r="F126" s="322"/>
      <c r="G126" s="114"/>
      <c r="H126" s="228"/>
      <c r="I126" s="228"/>
      <c r="J126" s="228"/>
      <c r="K126" s="118"/>
      <c r="L126" s="118"/>
      <c r="M126" s="118"/>
      <c r="N126" s="102"/>
      <c r="O126" s="102"/>
      <c r="P126" s="102"/>
      <c r="Q126" s="102"/>
      <c r="R126" s="118"/>
      <c r="S126" s="118"/>
      <c r="T126" s="118"/>
      <c r="U126" s="118"/>
      <c r="V126" s="118"/>
    </row>
    <row r="127" outlineLevel="1">
      <c r="A127" s="323" t="s">
        <v>255</v>
      </c>
      <c r="B127" s="109"/>
      <c r="C127" s="321"/>
      <c r="D127" s="321"/>
      <c r="E127" s="322"/>
      <c r="F127" s="322"/>
      <c r="G127" s="114"/>
      <c r="H127" s="228"/>
      <c r="I127" s="228"/>
      <c r="J127" s="228"/>
      <c r="K127" s="118"/>
      <c r="L127" s="118"/>
      <c r="M127" s="118"/>
      <c r="N127" s="102"/>
      <c r="O127" s="102"/>
      <c r="P127" s="102"/>
      <c r="Q127" s="102"/>
      <c r="R127" s="118"/>
      <c r="S127" s="118"/>
      <c r="T127" s="118"/>
      <c r="U127" s="118"/>
      <c r="V127" s="118"/>
    </row>
    <row r="128" outlineLevel="1">
      <c r="A128" s="324" t="s">
        <v>256</v>
      </c>
      <c r="B128" s="109"/>
      <c r="C128" s="325" t="s">
        <v>257</v>
      </c>
      <c r="D128" s="325" t="s">
        <v>49</v>
      </c>
      <c r="E128" s="322"/>
      <c r="F128" s="322"/>
      <c r="G128" s="114"/>
      <c r="H128" s="228"/>
      <c r="I128" s="228"/>
      <c r="J128" s="228"/>
      <c r="K128" s="118"/>
      <c r="L128" s="118"/>
      <c r="M128" s="118"/>
      <c r="N128" s="102"/>
      <c r="O128" s="102"/>
      <c r="P128" s="102"/>
      <c r="Q128" s="102"/>
      <c r="R128" s="118"/>
      <c r="S128" s="118"/>
      <c r="T128" s="118"/>
      <c r="U128" s="118"/>
      <c r="V128" s="118"/>
    </row>
    <row r="129" outlineLevel="1">
      <c r="A129" s="326" t="s">
        <v>258</v>
      </c>
      <c r="B129" s="327" t="s">
        <v>216</v>
      </c>
      <c r="C129" s="328" t="str">
        <f t="array" ref="C129">INDEX('アイテム'!$C$3:$D$114, MATCH($A$1,'アイテム'!$A$3:$A$114,0), MATCH(C128,'アイテム'!$C$2:$AQ$2,0))</f>
        <v>2</v>
      </c>
      <c r="D129" s="328">
        <f t="array" ref="D129">INDEX('アイテム'!$C$3:$D$114, MATCH($A$1,'アイテム'!$A$3:$A$114,0), MATCH(D128,'アイテム'!$C$2:$AQ$2,0))</f>
        <v>7</v>
      </c>
      <c r="E129" s="322"/>
      <c r="F129" s="322"/>
      <c r="G129" s="114"/>
      <c r="H129" s="228"/>
      <c r="I129" s="228"/>
      <c r="J129" s="228"/>
      <c r="K129" s="118"/>
      <c r="L129" s="118"/>
      <c r="M129" s="118"/>
      <c r="N129" s="102"/>
      <c r="O129" s="102"/>
      <c r="P129" s="102"/>
      <c r="Q129" s="102"/>
      <c r="R129" s="118"/>
      <c r="S129" s="118"/>
      <c r="T129" s="118"/>
      <c r="U129" s="118"/>
      <c r="V129" s="118"/>
    </row>
    <row r="130" outlineLevel="1">
      <c r="A130" s="156"/>
      <c r="B130" s="327" t="s">
        <v>219</v>
      </c>
      <c r="C130" s="328" t="str">
        <f t="array" ref="C130">INDEX('アイテム'!$E$3:$F$114, MATCH($A$1,'アイテム'!$A$3:$A$114,0), MATCH(C128,'アイテム'!$C$2:$AQ$2,0))</f>
        <v>2</v>
      </c>
      <c r="D130" s="328">
        <f t="array" ref="D130">INDEX('アイテム'!$E$3:$F$114, MATCH($A$1,'アイテム'!$A$3:$A$114,0), MATCH(D128,'アイテム'!$C$2:$AQ$2,0))</f>
        <v>19</v>
      </c>
      <c r="E130" s="322"/>
      <c r="F130" s="322"/>
      <c r="G130" s="114"/>
      <c r="H130" s="228"/>
      <c r="I130" s="228"/>
      <c r="J130" s="228"/>
      <c r="K130" s="118"/>
      <c r="L130" s="118"/>
      <c r="M130" s="118"/>
      <c r="N130" s="102"/>
      <c r="O130" s="102"/>
      <c r="P130" s="102"/>
      <c r="Q130" s="102"/>
      <c r="R130" s="118"/>
      <c r="S130" s="118"/>
      <c r="T130" s="118"/>
      <c r="U130" s="118"/>
      <c r="V130" s="118"/>
    </row>
    <row r="131" outlineLevel="1">
      <c r="A131" s="329" t="s">
        <v>259</v>
      </c>
      <c r="B131" s="327" t="s">
        <v>216</v>
      </c>
      <c r="C131" s="328">
        <f t="array" ref="C131">INDEX('アイテム'!$AA$3:$AB$114, MATCH($A$1,'アイテム'!$A$3:$A$114,0), MATCH(C128,'アイテム'!$C$2:$AQ$2,0))</f>
        <v>3</v>
      </c>
      <c r="D131" s="328" t="str">
        <f t="array" ref="D131">INDEX('アイテム'!$AA$3:$AB$114, MATCH($A$1,'アイテム'!$A$3:$A$114,0), MATCH(D128,'アイテム'!$C$2:$AQ$2,0))</f>
        <v>12</v>
      </c>
      <c r="E131" s="322"/>
      <c r="F131" s="322"/>
      <c r="G131" s="114"/>
      <c r="H131" s="228"/>
      <c r="I131" s="228"/>
      <c r="J131" s="228"/>
      <c r="K131" s="118"/>
      <c r="L131" s="118"/>
      <c r="M131" s="118"/>
      <c r="N131" s="102"/>
      <c r="O131" s="102"/>
      <c r="P131" s="102"/>
      <c r="Q131" s="102"/>
      <c r="R131" s="118"/>
      <c r="S131" s="118"/>
      <c r="T131" s="118"/>
      <c r="U131" s="118"/>
      <c r="V131" s="118"/>
    </row>
    <row r="132" outlineLevel="1">
      <c r="A132" s="324" t="s">
        <v>260</v>
      </c>
      <c r="B132" s="109"/>
      <c r="C132" s="325" t="s">
        <v>261</v>
      </c>
      <c r="D132" s="325" t="s">
        <v>49</v>
      </c>
      <c r="E132" s="322"/>
      <c r="F132" s="322"/>
      <c r="G132" s="114"/>
      <c r="H132" s="228"/>
      <c r="I132" s="228"/>
      <c r="J132" s="228"/>
      <c r="K132" s="118"/>
      <c r="L132" s="118"/>
      <c r="M132" s="118"/>
      <c r="N132" s="102"/>
      <c r="O132" s="102"/>
      <c r="P132" s="102"/>
      <c r="Q132" s="102"/>
      <c r="R132" s="118"/>
      <c r="S132" s="118"/>
      <c r="T132" s="118"/>
      <c r="U132" s="118"/>
      <c r="V132" s="118"/>
    </row>
    <row r="133" outlineLevel="1">
      <c r="A133" s="326" t="s">
        <v>262</v>
      </c>
      <c r="B133" s="327" t="s">
        <v>226</v>
      </c>
      <c r="C133" s="328" t="str">
        <f t="array" ref="C133">INDEX('アイテム'!$G$3:$H$114, MATCH($A$1,'アイテム'!$A$3:$A$114,0), MATCH(C128,'アイテム'!$C$2:$AQ$2,0))</f>
        <v>13</v>
      </c>
      <c r="D133" s="328">
        <f t="array" ref="D133">INDEX('アイテム'!$G$3:$H$114, MATCH($A$1,'アイテム'!$A$3:$A$114,0), MATCH(D128,'アイテム'!$C$2:$AQ$2,0))</f>
        <v>24</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229</v>
      </c>
      <c r="C134" s="328" t="str">
        <f t="array" ref="C134">INDEX('アイテム'!$I$3:$J$114, MATCH($A$1,'アイテム'!$A$3:$A$114,0), MATCH(C128,'アイテム'!$C$2:$AQ$2,0))</f>
        <v>10</v>
      </c>
      <c r="D134" s="328">
        <f t="array" ref="D134">INDEX('アイテム'!$I$3:$J$114, MATCH($A$1,'アイテム'!$A$3:$A$114,0), MATCH(D128,'アイテム'!$C$2:$AQ$2,0))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233</v>
      </c>
      <c r="C135" s="328" t="str">
        <f t="array" ref="C135">INDEX('アイテム'!$K$3:$L$114, MATCH($A$1,'アイテム'!$A$3:$A$114,0), MATCH(C128,'アイテム'!$C$2:$AQ$2,0))</f>
        <v>12</v>
      </c>
      <c r="D135" s="328">
        <f t="array" ref="D135">INDEX('アイテム'!$K$3:$L$114, MATCH($A$1,'アイテム'!$A$3:$A$114,0), MATCH(D128,'アイテム'!$C$2:$AQ$2,0))</f>
        <v>23</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234</v>
      </c>
      <c r="C136" s="328" t="str">
        <f t="array" ref="C136">INDEX('アイテム'!$M$3:$N$114, MATCH($A$1,'アイテム'!$A$3:$A$114,0), MATCH(C128,'アイテム'!$C$2:$AQ$2,0))</f>
        <v>14</v>
      </c>
      <c r="D136" s="328">
        <f t="array" ref="D136">INDEX('アイテム'!$M$3:$N$114, MATCH($A$1,'アイテム'!$A$3:$A$114,0), MATCH(D128,'アイテム'!$C$2:$AQ$2,0))</f>
        <v>19</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219</v>
      </c>
      <c r="C137" s="328" t="str">
        <f t="array" ref="C137">INDEX('アイテム'!$O$3:$P$114, MATCH($A$1,'アイテム'!$A$3:$A$114,0), MATCH(C128,'アイテム'!$C$2:$AQ$2,0))</f>
        <v>5</v>
      </c>
      <c r="D137" s="328">
        <f t="array" ref="D137">INDEX('アイテム'!$O$3:$P$114, MATCH($A$1,'アイテム'!$A$3:$A$114,0), MATCH(D128,'アイテム'!$C$2:$AQ$2,0))</f>
        <v>29</v>
      </c>
      <c r="E137" s="322"/>
      <c r="F137" s="322"/>
      <c r="G137" s="114"/>
      <c r="H137" s="228"/>
      <c r="I137" s="228"/>
      <c r="J137" s="228"/>
      <c r="K137" s="118"/>
      <c r="L137" s="118"/>
      <c r="M137" s="118"/>
      <c r="N137" s="102"/>
      <c r="O137" s="102"/>
      <c r="P137" s="102"/>
      <c r="Q137" s="102"/>
      <c r="R137" s="118"/>
      <c r="S137" s="118"/>
      <c r="T137" s="118"/>
      <c r="U137" s="118"/>
      <c r="V137" s="118"/>
    </row>
    <row r="138" outlineLevel="1">
      <c r="A138" s="156"/>
      <c r="B138" s="327" t="s">
        <v>263</v>
      </c>
      <c r="C138" s="328" t="str">
        <f t="array" ref="C138">INDEX('アイテム'!$Q$3:$R$114, MATCH($A$1,'アイテム'!$A$3:$A$114,0), MATCH(C128,'アイテム'!$C$2:$AQ$2,0))</f>
        <v>7</v>
      </c>
      <c r="D138" s="328">
        <f t="array" ref="D138">INDEX('アイテム'!$Q$3:$R$114, MATCH($A$1,'アイテム'!$A$3:$A$114,0), MATCH(D128,'アイテム'!$C$2:$AQ$2,0))</f>
        <v>23</v>
      </c>
      <c r="E138" s="322"/>
      <c r="F138" s="322"/>
      <c r="G138" s="114"/>
      <c r="H138" s="228"/>
      <c r="I138" s="228"/>
      <c r="J138" s="228"/>
      <c r="K138" s="118"/>
      <c r="L138" s="118"/>
      <c r="M138" s="118"/>
      <c r="N138" s="102"/>
      <c r="O138" s="102"/>
      <c r="P138" s="102"/>
      <c r="Q138" s="102"/>
      <c r="R138" s="118"/>
      <c r="S138" s="118"/>
      <c r="T138" s="118"/>
      <c r="U138" s="118"/>
      <c r="V138" s="118"/>
    </row>
    <row r="139" outlineLevel="1">
      <c r="A139" s="326" t="s">
        <v>264</v>
      </c>
      <c r="B139" s="327" t="s">
        <v>226</v>
      </c>
      <c r="C139" s="328" t="str">
        <f t="array" ref="C139">INDEX('アイテム'!$S$3:$T$114, MATCH($A$1,'アイテム'!$A$3:$A$114,0), MATCH(C128,'アイテム'!$C$2:$AQ$2,0))</f>
        <v>13</v>
      </c>
      <c r="D139" s="328">
        <f t="array" ref="D139">INDEX('アイテム'!$S$3:$T$114, MATCH($A$1,'アイテム'!$A$3:$A$114,0), MATCH(D128,'アイテム'!$C$2:$AQ$2,0))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229</v>
      </c>
      <c r="C140" s="328" t="str">
        <f t="array" ref="C140">INDEX('アイテム'!$U$3:$V$114, MATCH($A$1,'アイテム'!$A$3:$A$114,0), MATCH(C128,'アイテム'!$C$2:$AQ$2,0))</f>
        <v>10</v>
      </c>
      <c r="D140" s="328">
        <f t="array" ref="D140">INDEX('アイテム'!$U$3:$V$114, MATCH($A$1,'アイテム'!$A$3:$A$114,0), MATCH(D128,'アイテム'!$C$2:$AQ$2,0))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233</v>
      </c>
      <c r="C141" s="328" t="str">
        <f t="array" ref="C141">INDEX('アイテム'!$W$3:$X$114, MATCH($A$1,'アイテム'!$A$3:$A$114,0), MATCH(C128,'アイテム'!$C$2:$AQ$2,0))</f>
        <v>12</v>
      </c>
      <c r="D141" s="328">
        <f t="array" ref="D141">INDEX('アイテム'!$W$3:$X$114, MATCH($A$1,'アイテム'!$A$3:$A$114,0), MATCH(D128,'アイテム'!$C$2:$AQ$2,0))</f>
        <v>23</v>
      </c>
      <c r="E141" s="322"/>
      <c r="F141" s="322"/>
      <c r="G141" s="114"/>
      <c r="H141" s="228"/>
      <c r="I141" s="228"/>
      <c r="J141" s="228"/>
      <c r="K141" s="118"/>
      <c r="L141" s="118"/>
      <c r="M141" s="118"/>
      <c r="N141" s="102"/>
      <c r="O141" s="102"/>
      <c r="P141" s="102"/>
      <c r="Q141" s="102"/>
      <c r="R141" s="118"/>
      <c r="S141" s="118"/>
      <c r="T141" s="118"/>
      <c r="U141" s="118"/>
      <c r="V141" s="118"/>
    </row>
    <row r="142" outlineLevel="1">
      <c r="A142" s="156"/>
      <c r="B142" s="327" t="s">
        <v>234</v>
      </c>
      <c r="C142" s="328" t="str">
        <f t="array" ref="C142">INDEX('アイテム'!$Y$3:$Z$114, MATCH($A$1,'アイテム'!$A$3:$A$114,0), MATCH(C128,'アイテム'!$C$2:$AQ$2,0))</f>
        <v>14</v>
      </c>
      <c r="D142" s="328">
        <f t="array" ref="D142">INDEX('アイテム'!$Y$3:$Z$114, MATCH($A$1,'アイテム'!$A$3:$A$114,0), MATCH(D128,'アイテム'!$C$2:$AQ$2,0))</f>
        <v>19</v>
      </c>
      <c r="E142" s="322"/>
      <c r="F142" s="322"/>
      <c r="G142" s="114"/>
      <c r="H142" s="228"/>
      <c r="I142" s="228"/>
      <c r="J142" s="228"/>
      <c r="K142" s="118"/>
      <c r="L142" s="118"/>
      <c r="M142" s="118"/>
      <c r="N142" s="102"/>
      <c r="O142" s="102"/>
      <c r="P142" s="102"/>
      <c r="Q142" s="102"/>
      <c r="R142" s="118"/>
      <c r="S142" s="118"/>
      <c r="T142" s="118"/>
      <c r="U142" s="118"/>
      <c r="V142" s="118"/>
    </row>
    <row r="143" outlineLevel="1">
      <c r="A143" s="326" t="s">
        <v>265</v>
      </c>
      <c r="B143" s="327" t="s">
        <v>226</v>
      </c>
      <c r="C143" s="328">
        <f t="array" ref="C143">INDEX('アイテム'!$AC$3:$AD$114, MATCH($A$1,'アイテム'!$A$3:$A$114,0), MATCH(C128,'アイテム'!$C$2:$AQ$2,0))</f>
        <v>17</v>
      </c>
      <c r="D143" s="328" t="str">
        <f t="array" ref="D143">INDEX('アイテム'!$AC$3:$AD$114, MATCH($A$1,'アイテム'!$A$3:$A$114,0), MATCH(D128,'アイテム'!$C$2:$AQ$2,0))</f>
        <v>30</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229</v>
      </c>
      <c r="C144" s="328">
        <f t="array" ref="C144">INDEX('アイテム'!$AE$3:$AF$114, MATCH($A$1,'アイテム'!$A$3:$A$114,0), MATCH(C128,'アイテム'!$C$2:$AQ$2,0))</f>
        <v>18</v>
      </c>
      <c r="D144" s="328" t="str">
        <f t="array" ref="D144">INDEX('アイテム'!$AE$3:$AF$114, MATCH($A$1,'アイテム'!$A$3:$A$114,0), MATCH(D128,'アイテム'!$C$2:$AQ$2,0))</f>
        <v>30</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233</v>
      </c>
      <c r="C145" s="328">
        <f t="array" ref="C145">INDEX('アイテム'!$AG$3:$AH$114, MATCH($A$1,'アイテム'!$A$3:$A$114,0), MATCH(C128,'アイテム'!$C$2:$AQ$2,0))</f>
        <v>12</v>
      </c>
      <c r="D145" s="328" t="str">
        <f t="array" ref="D145">INDEX('アイテム'!$AG$3:$AH$114, MATCH($A$1,'アイテム'!$A$3:$A$114,0), MATCH(D128,'アイテム'!$C$2:$AQ$2,0))</f>
        <v>22</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234</v>
      </c>
      <c r="C146" s="328">
        <f t="array" ref="C146">INDEX('アイテム'!$AI$3:$AJ$114, MATCH($A$1,'アイテム'!$A$3:$A$114,0), MATCH(C128,'アイテム'!$C$2:$AQ$2,0))</f>
        <v>11</v>
      </c>
      <c r="D146" s="328" t="str">
        <f t="array" ref="D146">INDEX('アイテム'!$AI$3:$AJ$114, MATCH($A$1,'アイテム'!$A$3:$A$114,0), MATCH(D128,'アイテム'!$C$2:$AQ$2,0))</f>
        <v>22</v>
      </c>
      <c r="E146" s="322"/>
      <c r="F146" s="322"/>
      <c r="G146" s="114"/>
      <c r="H146" s="228"/>
      <c r="I146" s="228"/>
      <c r="J146" s="228"/>
      <c r="K146" s="118"/>
      <c r="L146" s="118"/>
      <c r="M146" s="118"/>
      <c r="N146" s="102"/>
      <c r="O146" s="102"/>
      <c r="P146" s="102"/>
      <c r="Q146" s="102"/>
      <c r="R146" s="118"/>
      <c r="S146" s="118"/>
      <c r="T146" s="118"/>
      <c r="U146" s="118"/>
      <c r="V146" s="118"/>
    </row>
  </sheetData>
  <mergeCells count="141">
    <mergeCell ref="U36:U37"/>
    <mergeCell ref="R40:V40"/>
    <mergeCell ref="I41:I42"/>
    <mergeCell ref="J41:J42"/>
    <mergeCell ref="A33:A34"/>
    <mergeCell ref="D33:D34"/>
    <mergeCell ref="U33:U34"/>
    <mergeCell ref="A36:A37"/>
    <mergeCell ref="H36:J37"/>
    <mergeCell ref="A39:B40"/>
    <mergeCell ref="A41:A42"/>
    <mergeCell ref="R41:V42"/>
    <mergeCell ref="I48:I50"/>
    <mergeCell ref="J48:J50"/>
    <mergeCell ref="R48:V50"/>
    <mergeCell ref="I43:I44"/>
    <mergeCell ref="J43:J44"/>
    <mergeCell ref="R43:V44"/>
    <mergeCell ref="I45:I46"/>
    <mergeCell ref="J45:J46"/>
    <mergeCell ref="R45:V46"/>
    <mergeCell ref="R47:V47"/>
    <mergeCell ref="D48:D50"/>
    <mergeCell ref="D54:D57"/>
    <mergeCell ref="D68:D69"/>
    <mergeCell ref="D36:D37"/>
    <mergeCell ref="D41:D42"/>
    <mergeCell ref="A43:A44"/>
    <mergeCell ref="D43:D44"/>
    <mergeCell ref="A45:A46"/>
    <mergeCell ref="D45:D46"/>
    <mergeCell ref="A58:B58"/>
    <mergeCell ref="A54:A56"/>
    <mergeCell ref="A59:A61"/>
    <mergeCell ref="A62:B62"/>
    <mergeCell ref="A63:A64"/>
    <mergeCell ref="A67:B67"/>
    <mergeCell ref="A68:A69"/>
    <mergeCell ref="A73:B74"/>
    <mergeCell ref="A76:A78"/>
    <mergeCell ref="A79:B79"/>
    <mergeCell ref="A80:A81"/>
    <mergeCell ref="D80:D81"/>
    <mergeCell ref="A82:A83"/>
    <mergeCell ref="D82:D83"/>
    <mergeCell ref="D84:D85"/>
    <mergeCell ref="D86:D87"/>
    <mergeCell ref="A84:A85"/>
    <mergeCell ref="A86:A87"/>
    <mergeCell ref="A89:B90"/>
    <mergeCell ref="A91:A93"/>
    <mergeCell ref="A94:A95"/>
    <mergeCell ref="A97:B98"/>
    <mergeCell ref="A99:A103"/>
    <mergeCell ref="C124:C125"/>
    <mergeCell ref="D124:D125"/>
    <mergeCell ref="A127:B127"/>
    <mergeCell ref="A128:B128"/>
    <mergeCell ref="A129:A130"/>
    <mergeCell ref="A132:B132"/>
    <mergeCell ref="A133:A138"/>
    <mergeCell ref="A139:A142"/>
    <mergeCell ref="A143:A146"/>
    <mergeCell ref="A107:A112"/>
    <mergeCell ref="C111:C112"/>
    <mergeCell ref="D111:D112"/>
    <mergeCell ref="A113:A118"/>
    <mergeCell ref="C117:C118"/>
    <mergeCell ref="D117:D118"/>
    <mergeCell ref="A119:A125"/>
    <mergeCell ref="U68:U71"/>
    <mergeCell ref="V68:V71"/>
    <mergeCell ref="H58:J58"/>
    <mergeCell ref="H59:J61"/>
    <mergeCell ref="U59:U61"/>
    <mergeCell ref="V59:V61"/>
    <mergeCell ref="H62:J62"/>
    <mergeCell ref="U63:U66"/>
    <mergeCell ref="V63:V66"/>
    <mergeCell ref="H63:J66"/>
    <mergeCell ref="A65:A66"/>
    <mergeCell ref="H67:J67"/>
    <mergeCell ref="H68:J71"/>
    <mergeCell ref="G74:H74"/>
    <mergeCell ref="G75:H75"/>
    <mergeCell ref="G79:J79"/>
    <mergeCell ref="K102:K107"/>
    <mergeCell ref="A104:A106"/>
    <mergeCell ref="K108:K111"/>
    <mergeCell ref="K112:L112"/>
    <mergeCell ref="K114:K117"/>
    <mergeCell ref="K118:L118"/>
    <mergeCell ref="K121:L121"/>
    <mergeCell ref="G80:J81"/>
    <mergeCell ref="G82:J83"/>
    <mergeCell ref="G84:J85"/>
    <mergeCell ref="G86:J87"/>
    <mergeCell ref="K98:L98"/>
    <mergeCell ref="K99:K100"/>
    <mergeCell ref="K101:L101"/>
    <mergeCell ref="H6:H7"/>
    <mergeCell ref="H10:H11"/>
    <mergeCell ref="H1:J2"/>
    <mergeCell ref="K1:M2"/>
    <mergeCell ref="H4:H5"/>
    <mergeCell ref="I4:I5"/>
    <mergeCell ref="I6:I7"/>
    <mergeCell ref="H8:J9"/>
    <mergeCell ref="I10:I11"/>
    <mergeCell ref="K16:N16"/>
    <mergeCell ref="A27:A28"/>
    <mergeCell ref="D27:D28"/>
    <mergeCell ref="U27:U28"/>
    <mergeCell ref="A29:A30"/>
    <mergeCell ref="D29:D30"/>
    <mergeCell ref="E29:E30"/>
    <mergeCell ref="F29:F30"/>
    <mergeCell ref="G29:G30"/>
    <mergeCell ref="H29:J30"/>
    <mergeCell ref="U29:U30"/>
    <mergeCell ref="C1:G12"/>
    <mergeCell ref="A11:B12"/>
    <mergeCell ref="A15:B16"/>
    <mergeCell ref="C16:D16"/>
    <mergeCell ref="E16:F16"/>
    <mergeCell ref="G16:H16"/>
    <mergeCell ref="A24:B25"/>
    <mergeCell ref="H25:J25"/>
    <mergeCell ref="H26:J26"/>
    <mergeCell ref="H27:J28"/>
    <mergeCell ref="H31:J31"/>
    <mergeCell ref="H32:J32"/>
    <mergeCell ref="H33:J34"/>
    <mergeCell ref="H35:J35"/>
    <mergeCell ref="A48:A50"/>
    <mergeCell ref="A52:B52"/>
    <mergeCell ref="A53:B53"/>
    <mergeCell ref="H53:J53"/>
    <mergeCell ref="H54:J57"/>
    <mergeCell ref="U54:U57"/>
    <mergeCell ref="V54:V57"/>
  </mergeCells>
  <conditionalFormatting sqref="K1:K15 K17:K62 K67:K81 K83:K122">
    <cfRule type="containsText" dxfId="0" priority="1" operator="containsText" text="361">
      <formula>NOT(ISERROR(SEARCH(("361"),(K1))))</formula>
    </cfRule>
  </conditionalFormatting>
  <conditionalFormatting sqref="K1:K15 K17:K62 K67:K81 K83:K122">
    <cfRule type="containsText" dxfId="1" priority="2" operator="containsText" text="363">
      <formula>NOT(ISERROR(SEARCH(("363"),(K1))))</formula>
    </cfRule>
  </conditionalFormatting>
  <conditionalFormatting sqref="K1:K15 K17:K62 K67:K81 K83:K122">
    <cfRule type="containsText" dxfId="1" priority="3" operator="containsText" text="365">
      <formula>NOT(ISERROR(SEARCH(("365"),(K1))))</formula>
    </cfRule>
  </conditionalFormatting>
  <conditionalFormatting sqref="K1:K15 K17:K62 K67:K81 K83:K122">
    <cfRule type="containsText" dxfId="1" priority="4" operator="containsText" text="366">
      <formula>NOT(ISERROR(SEARCH(("366"),(K1))))</formula>
    </cfRule>
  </conditionalFormatting>
  <conditionalFormatting sqref="K1:K15 K17:K62 K67:K81 K83:K122">
    <cfRule type="containsText" dxfId="1" priority="5" operator="containsText" text="367">
      <formula>NOT(ISERROR(SEARCH(("367"),(K1))))</formula>
    </cfRule>
  </conditionalFormatting>
  <conditionalFormatting sqref="P80:P81 P83:P87">
    <cfRule type="cellIs" dxfId="2" priority="6" operator="equal">
      <formula>"敵のみ"</formula>
    </cfRule>
  </conditionalFormatting>
  <conditionalFormatting sqref="C80:C81 C83:C87">
    <cfRule type="cellIs" dxfId="3" priority="7" operator="equal">
      <formula>"-"</formula>
    </cfRule>
  </conditionalFormatting>
  <conditionalFormatting sqref="O1:O62 O67:O81 O83:O146 P87">
    <cfRule type="cellIs" dxfId="4" priority="8" operator="greaterThan">
      <formula>0</formula>
    </cfRule>
  </conditionalFormatting>
  <conditionalFormatting sqref="P1:Q62 P67:Q81 P83:Q146">
    <cfRule type="cellIs" dxfId="5" priority="9" operator="lessThan">
      <formula>1</formula>
    </cfRule>
  </conditionalFormatting>
  <conditionalFormatting sqref="P1:Q62 P67:Q81 P83:Q146">
    <cfRule type="cellIs" dxfId="4" priority="10" operator="greaterThan">
      <formula>1</formula>
    </cfRule>
  </conditionalFormatting>
  <conditionalFormatting sqref="N25:N62 N67:N81 N83:N87">
    <cfRule type="cellIs" dxfId="6" priority="11" operator="greaterThan">
      <formula>0</formula>
    </cfRule>
  </conditionalFormatting>
  <conditionalFormatting sqref="N1:N15 N17:N62 N67:N81 N83:N146">
    <cfRule type="containsText" dxfId="6" priority="12" operator="containsText" text="/">
      <formula>NOT(ISERROR(SEARCH(("/"),(N1))))</formula>
    </cfRule>
  </conditionalFormatting>
  <drawing r:id="rId2"/>
  <legacyDrawing r:id="rId3"/>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4EC2"/>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171">
        <v>20.0</v>
      </c>
      <c r="B1" s="1172"/>
      <c r="C1" s="1173" t="str">
        <f>IMAGE(VLOOKUP($A$1,Fighters!A2:AI114,12,FALSE),1)</f>
        <v>#REF!</v>
      </c>
      <c r="D1" s="1174"/>
      <c r="E1" s="1174"/>
      <c r="F1" s="1174"/>
      <c r="G1" s="1175"/>
      <c r="H1" s="1176"/>
      <c r="I1" s="1174"/>
      <c r="J1" s="1175"/>
      <c r="K1" s="1177"/>
      <c r="L1" s="1174"/>
      <c r="M1" s="1175"/>
      <c r="N1" s="1178"/>
      <c r="O1" s="1178"/>
      <c r="P1" s="1178"/>
      <c r="Q1" s="1178"/>
      <c r="R1" s="1179"/>
      <c r="S1" s="1179"/>
      <c r="T1" s="1179"/>
      <c r="U1" s="1179"/>
      <c r="V1" s="1179"/>
    </row>
    <row r="2">
      <c r="A2" s="1180" t="str">
        <f>VLOOKUP($A$1,Fighters!$A$2:$AI$81,6,FALSE)</f>
        <v>#464ec2</v>
      </c>
      <c r="B2" s="1172"/>
      <c r="C2" s="1181"/>
      <c r="G2" s="1182"/>
      <c r="H2" s="1183"/>
      <c r="I2" s="1184"/>
      <c r="J2" s="1185"/>
      <c r="K2" s="1183"/>
      <c r="L2" s="1184"/>
      <c r="M2" s="1185"/>
      <c r="N2" s="1178"/>
      <c r="O2" s="1178"/>
      <c r="P2" s="1178"/>
      <c r="Q2" s="1178"/>
      <c r="R2" s="1179"/>
      <c r="S2" s="1179"/>
      <c r="T2" s="1179"/>
      <c r="U2" s="1179"/>
      <c r="V2" s="1179"/>
    </row>
    <row r="3">
      <c r="A3" s="1180" t="str">
        <f>VLOOKUP($A$1,Fighters!$A$2:$AI$81,14,FALSE)</f>
        <v>20. ファルコ</v>
      </c>
      <c r="B3" s="1172"/>
      <c r="C3" s="1181"/>
      <c r="G3" s="1182"/>
      <c r="H3" s="1186"/>
      <c r="I3" s="1186"/>
      <c r="J3" s="1186"/>
      <c r="K3" s="1187"/>
      <c r="L3" s="1187"/>
      <c r="M3" s="1187"/>
      <c r="N3" s="1178"/>
      <c r="O3" s="1178"/>
      <c r="P3" s="1178"/>
      <c r="Q3" s="1178"/>
      <c r="R3" s="1188"/>
      <c r="S3" s="1179"/>
      <c r="T3" s="1179"/>
      <c r="U3" s="1179"/>
      <c r="V3" s="1179"/>
    </row>
    <row r="4">
      <c r="A4" s="1180" t="str">
        <f>VLOOKUP($A$1,Fighters!$A$2:$AI$81,13,FALSE)</f>
        <v>1</v>
      </c>
      <c r="B4" s="1172"/>
      <c r="C4" s="1181"/>
      <c r="G4" s="1182"/>
      <c r="H4" s="1189"/>
      <c r="I4" s="1189"/>
      <c r="J4" s="1186"/>
      <c r="K4" s="1187"/>
      <c r="L4" s="1187"/>
      <c r="M4" s="1187"/>
      <c r="N4" s="1178"/>
      <c r="O4" s="1178"/>
      <c r="P4" s="1178"/>
      <c r="Q4" s="1178"/>
      <c r="R4" s="1188"/>
      <c r="S4" s="1179"/>
      <c r="T4" s="1179"/>
      <c r="U4" s="1179"/>
      <c r="V4" s="1179"/>
    </row>
    <row r="5" ht="16.5" customHeight="1">
      <c r="A5" s="1171"/>
      <c r="B5" s="1172"/>
      <c r="C5" s="1181"/>
      <c r="G5" s="1182"/>
      <c r="H5" s="1190"/>
      <c r="I5" s="1190"/>
      <c r="J5" s="1191"/>
      <c r="K5" s="1192"/>
      <c r="L5" s="1193"/>
      <c r="M5" s="1193"/>
      <c r="N5" s="1178"/>
      <c r="O5" s="1178"/>
      <c r="P5" s="1178"/>
      <c r="Q5" s="1178"/>
      <c r="R5" s="1188"/>
      <c r="S5" s="1179"/>
      <c r="T5" s="1179"/>
      <c r="U5" s="1179"/>
      <c r="V5" s="1179"/>
    </row>
    <row r="6">
      <c r="A6" s="1172"/>
      <c r="B6" s="1172"/>
      <c r="C6" s="1181"/>
      <c r="G6" s="1182"/>
      <c r="H6" s="1189"/>
      <c r="I6" s="1194" t="s">
        <v>39</v>
      </c>
      <c r="J6" s="1192"/>
      <c r="K6" s="1195"/>
      <c r="L6" s="1193"/>
      <c r="M6" s="1193"/>
      <c r="N6" s="1178"/>
      <c r="O6" s="1178"/>
      <c r="P6" s="1178"/>
      <c r="Q6" s="1178"/>
      <c r="R6" s="1188"/>
      <c r="S6" s="1179"/>
      <c r="T6" s="1179"/>
      <c r="U6" s="1179"/>
      <c r="V6" s="1179"/>
    </row>
    <row r="7">
      <c r="A7" s="1172"/>
      <c r="B7" s="1172"/>
      <c r="C7" s="1181"/>
      <c r="G7" s="1182"/>
      <c r="H7" s="1190"/>
      <c r="I7" s="1190"/>
      <c r="J7" s="1192"/>
      <c r="K7" s="1195"/>
      <c r="L7" s="1193"/>
      <c r="M7" s="1193"/>
      <c r="N7" s="1178"/>
      <c r="O7" s="1178"/>
      <c r="P7" s="1178"/>
      <c r="Q7" s="1178"/>
      <c r="R7" s="1188"/>
      <c r="S7" s="1179"/>
      <c r="T7" s="1179"/>
      <c r="U7" s="1179"/>
      <c r="V7" s="1179"/>
    </row>
    <row r="8">
      <c r="A8" s="1172"/>
      <c r="B8" s="1172"/>
      <c r="C8" s="1181"/>
      <c r="G8" s="1182"/>
      <c r="H8" s="1196">
        <v>44533.41133269676</v>
      </c>
      <c r="I8" s="1174"/>
      <c r="J8" s="1175"/>
      <c r="K8" s="1192"/>
      <c r="L8" s="1193"/>
      <c r="M8" s="1193"/>
      <c r="N8" s="1178"/>
      <c r="O8" s="1178"/>
      <c r="P8" s="1178"/>
      <c r="Q8" s="1178"/>
      <c r="R8" s="1188"/>
      <c r="S8" s="1179"/>
      <c r="T8" s="1179"/>
      <c r="U8" s="1179"/>
      <c r="V8" s="1179"/>
    </row>
    <row r="9">
      <c r="A9" s="1172"/>
      <c r="B9" s="1172"/>
      <c r="C9" s="1181"/>
      <c r="G9" s="1182"/>
      <c r="H9" s="1183"/>
      <c r="I9" s="1184"/>
      <c r="J9" s="1185"/>
      <c r="K9" s="1179"/>
      <c r="L9" s="1178"/>
      <c r="M9" s="1178"/>
      <c r="N9" s="1178"/>
      <c r="O9" s="1178"/>
      <c r="P9" s="1178"/>
      <c r="Q9" s="1178"/>
      <c r="R9" s="1188"/>
      <c r="S9" s="1179"/>
      <c r="T9" s="1179"/>
      <c r="U9" s="1179"/>
      <c r="V9" s="1179"/>
    </row>
    <row r="10">
      <c r="A10" s="1197"/>
      <c r="B10" s="1172"/>
      <c r="C10" s="1181"/>
      <c r="G10" s="1182"/>
      <c r="H10" s="1198"/>
      <c r="I10" s="1198"/>
      <c r="J10" s="1179"/>
      <c r="K10" s="1179"/>
      <c r="L10" s="1178"/>
      <c r="M10" s="1178"/>
      <c r="N10" s="1178"/>
      <c r="O10" s="1178"/>
      <c r="P10" s="1178"/>
      <c r="Q10" s="1178"/>
      <c r="R10" s="1188"/>
      <c r="S10" s="1179"/>
      <c r="T10" s="1179"/>
      <c r="U10" s="1179"/>
      <c r="V10" s="1179"/>
    </row>
    <row r="11">
      <c r="A11" s="1199"/>
      <c r="B11" s="1172"/>
      <c r="C11" s="1181"/>
      <c r="G11" s="1182"/>
      <c r="H11" s="1190"/>
      <c r="I11" s="1190"/>
      <c r="J11" s="1179"/>
      <c r="K11" s="1179"/>
      <c r="L11" s="1178"/>
      <c r="M11" s="1178"/>
      <c r="N11" s="1178"/>
      <c r="O11" s="1178"/>
      <c r="P11" s="1178"/>
      <c r="Q11" s="1178"/>
      <c r="R11" s="1188"/>
      <c r="S11" s="1179"/>
      <c r="T11" s="1179"/>
      <c r="U11" s="1179"/>
      <c r="V11" s="1179"/>
    </row>
    <row r="12">
      <c r="A12" s="1190"/>
      <c r="B12" s="1172"/>
      <c r="C12" s="1183"/>
      <c r="D12" s="1184"/>
      <c r="E12" s="1184"/>
      <c r="F12" s="1184"/>
      <c r="G12" s="1185"/>
      <c r="H12" s="1200"/>
      <c r="I12" s="1200"/>
      <c r="J12" s="1172"/>
      <c r="K12" s="1172"/>
      <c r="L12" s="1178"/>
      <c r="M12" s="1178"/>
      <c r="N12" s="1178"/>
      <c r="O12" s="1178"/>
      <c r="P12" s="1178"/>
      <c r="Q12" s="1178"/>
      <c r="R12" s="1188"/>
      <c r="S12" s="1179"/>
      <c r="T12" s="1179"/>
      <c r="U12" s="1179"/>
      <c r="V12" s="117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82 [74th]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32F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2.035 [25th]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1.344 [11th]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57F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0.1672 [22nd]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50.51 [1st]</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1.619 [55th]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0.127 [13th]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17.34 [21st]</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11F [61st]</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0.977 [63rd]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 [10th]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50.51 [3rd]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 [13th]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2.88 [13th]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0.13 [8th]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176</v>
      </c>
      <c r="D26" s="701" t="s">
        <v>1114</v>
      </c>
      <c r="E26" s="139" t="s">
        <v>1024</v>
      </c>
      <c r="F26" s="138">
        <v>1.7999999999999998</v>
      </c>
      <c r="G26" s="139" t="s">
        <v>60</v>
      </c>
      <c r="H26" s="140" t="s">
        <v>1661</v>
      </c>
      <c r="I26" s="110"/>
      <c r="J26" s="109"/>
      <c r="K26" s="138"/>
      <c r="L26" s="282"/>
      <c r="M26" s="363"/>
      <c r="N26" s="363"/>
      <c r="O26" s="145">
        <v>0.0</v>
      </c>
      <c r="P26" s="145">
        <v>1.0</v>
      </c>
      <c r="Q26" s="145">
        <v>0.5</v>
      </c>
      <c r="R26" s="100"/>
      <c r="S26" s="100"/>
      <c r="T26" s="100"/>
      <c r="U26" s="145" t="s">
        <v>69</v>
      </c>
      <c r="V26" s="100"/>
    </row>
    <row r="27" outlineLevel="1">
      <c r="A27" s="146"/>
      <c r="B27" s="147" t="s">
        <v>63</v>
      </c>
      <c r="C27" s="216" t="s">
        <v>71</v>
      </c>
      <c r="D27" s="467" t="s">
        <v>92</v>
      </c>
      <c r="E27" s="216" t="s">
        <v>1024</v>
      </c>
      <c r="F27" s="138">
        <v>1.7999999999999998</v>
      </c>
      <c r="G27" s="139" t="s">
        <v>60</v>
      </c>
      <c r="H27" s="140" t="s">
        <v>1662</v>
      </c>
      <c r="I27" s="110"/>
      <c r="J27" s="109"/>
      <c r="K27" s="282"/>
      <c r="L27" s="282"/>
      <c r="M27" s="363"/>
      <c r="N27" s="363"/>
      <c r="O27" s="145">
        <v>0.0</v>
      </c>
      <c r="P27" s="145">
        <v>1.0</v>
      </c>
      <c r="Q27" s="145">
        <v>1.0</v>
      </c>
      <c r="R27" s="100"/>
      <c r="S27" s="100"/>
      <c r="T27" s="100"/>
      <c r="U27" s="145" t="s">
        <v>76</v>
      </c>
      <c r="V27" s="100"/>
    </row>
    <row r="28" outlineLevel="1">
      <c r="A28" s="146"/>
      <c r="B28" s="147" t="s">
        <v>703</v>
      </c>
      <c r="C28" s="553"/>
      <c r="D28" s="216" t="s">
        <v>176</v>
      </c>
      <c r="E28" s="261"/>
      <c r="F28" s="261"/>
      <c r="G28" s="261"/>
      <c r="H28" s="159"/>
      <c r="I28" s="110"/>
      <c r="J28" s="109"/>
      <c r="K28" s="261"/>
      <c r="L28" s="261"/>
      <c r="M28" s="261"/>
      <c r="N28" s="261"/>
      <c r="O28" s="261"/>
      <c r="P28" s="261"/>
      <c r="Q28" s="261"/>
      <c r="R28" s="100"/>
      <c r="S28" s="100"/>
      <c r="T28" s="100"/>
      <c r="U28" s="145" t="s">
        <v>76</v>
      </c>
      <c r="V28" s="100"/>
    </row>
    <row r="29" outlineLevel="1">
      <c r="A29" s="146"/>
      <c r="B29" s="147" t="s">
        <v>704</v>
      </c>
      <c r="C29" s="216" t="s">
        <v>1663</v>
      </c>
      <c r="D29" s="216" t="s">
        <v>394</v>
      </c>
      <c r="E29" s="216" t="s">
        <v>1431</v>
      </c>
      <c r="F29" s="138">
        <v>0.36</v>
      </c>
      <c r="G29" s="450" t="s">
        <v>60</v>
      </c>
      <c r="H29" s="140" t="s">
        <v>1664</v>
      </c>
      <c r="I29" s="110"/>
      <c r="J29" s="109"/>
      <c r="K29" s="282"/>
      <c r="L29" s="282"/>
      <c r="M29" s="363"/>
      <c r="N29" s="363"/>
      <c r="O29" s="145">
        <v>0.0</v>
      </c>
      <c r="P29" s="145">
        <v>1.0</v>
      </c>
      <c r="Q29" s="145">
        <v>1.2</v>
      </c>
      <c r="R29" s="100"/>
      <c r="S29" s="100"/>
      <c r="T29" s="100"/>
      <c r="U29" s="145" t="s">
        <v>76</v>
      </c>
      <c r="V29" s="100"/>
    </row>
    <row r="30" outlineLevel="1">
      <c r="A30" s="156"/>
      <c r="B30" s="147" t="s">
        <v>708</v>
      </c>
      <c r="C30" s="216" t="s">
        <v>267</v>
      </c>
      <c r="D30" s="467" t="s">
        <v>628</v>
      </c>
      <c r="E30" s="467" t="s">
        <v>204</v>
      </c>
      <c r="F30" s="138">
        <v>3.5999999999999996</v>
      </c>
      <c r="G30" s="467" t="s">
        <v>147</v>
      </c>
      <c r="H30" s="151" t="s">
        <v>411</v>
      </c>
      <c r="I30" s="110"/>
      <c r="J30" s="109"/>
      <c r="K30" s="282"/>
      <c r="L30" s="282"/>
      <c r="M30" s="363"/>
      <c r="N30" s="363"/>
      <c r="O30" s="145">
        <v>0.0</v>
      </c>
      <c r="P30" s="145">
        <v>2.0</v>
      </c>
      <c r="Q30" s="145">
        <v>0.0</v>
      </c>
      <c r="R30" s="100"/>
      <c r="S30" s="100"/>
      <c r="T30" s="100"/>
      <c r="U30" s="145" t="s">
        <v>76</v>
      </c>
      <c r="V30" s="100"/>
    </row>
    <row r="31" outlineLevel="1">
      <c r="A31" s="133" t="s">
        <v>77</v>
      </c>
      <c r="B31" s="160"/>
      <c r="C31" s="467" t="s">
        <v>563</v>
      </c>
      <c r="D31" s="455" t="s">
        <v>118</v>
      </c>
      <c r="E31" s="450" t="s">
        <v>159</v>
      </c>
      <c r="F31" s="138">
        <v>12.6</v>
      </c>
      <c r="G31" s="139" t="s">
        <v>121</v>
      </c>
      <c r="H31" s="456"/>
      <c r="I31" s="164"/>
      <c r="J31" s="104"/>
      <c r="K31" s="138"/>
      <c r="L31" s="282"/>
      <c r="M31" s="363"/>
      <c r="N31" s="363"/>
      <c r="O31" s="145">
        <v>1.0</v>
      </c>
      <c r="P31" s="145">
        <v>1.0</v>
      </c>
      <c r="Q31" s="145">
        <v>1.0</v>
      </c>
      <c r="R31" s="100"/>
      <c r="S31" s="100"/>
      <c r="T31" s="100"/>
      <c r="U31" s="166" t="s">
        <v>69</v>
      </c>
      <c r="V31" s="100"/>
    </row>
    <row r="32" outlineLevel="1">
      <c r="A32" s="156"/>
      <c r="B32" s="147" t="s">
        <v>84</v>
      </c>
      <c r="C32" s="467" t="s">
        <v>1061</v>
      </c>
      <c r="D32" s="107"/>
      <c r="E32" s="450" t="s">
        <v>1665</v>
      </c>
      <c r="F32" s="138">
        <v>9.0</v>
      </c>
      <c r="G32" s="139" t="s">
        <v>123</v>
      </c>
      <c r="H32" s="106"/>
      <c r="I32" s="168"/>
      <c r="J32" s="107"/>
      <c r="K32" s="282"/>
      <c r="L32" s="282"/>
      <c r="M32" s="363"/>
      <c r="N32" s="363"/>
      <c r="O32" s="145">
        <v>1.0</v>
      </c>
      <c r="P32" s="145">
        <v>1.0</v>
      </c>
      <c r="Q32" s="145">
        <v>1.0</v>
      </c>
      <c r="R32" s="100"/>
      <c r="S32" s="100"/>
      <c r="T32" s="100"/>
      <c r="U32" s="156"/>
      <c r="V32" s="100"/>
    </row>
    <row r="33" outlineLevel="1">
      <c r="A33" s="170" t="s">
        <v>89</v>
      </c>
      <c r="B33" s="147" t="s">
        <v>90</v>
      </c>
      <c r="C33" s="467" t="s">
        <v>549</v>
      </c>
      <c r="D33" s="216" t="s">
        <v>268</v>
      </c>
      <c r="E33" s="216" t="s">
        <v>86</v>
      </c>
      <c r="F33" s="138">
        <v>7.199999999999999</v>
      </c>
      <c r="G33" s="139" t="s">
        <v>102</v>
      </c>
      <c r="H33" s="159"/>
      <c r="I33" s="110"/>
      <c r="J33" s="109"/>
      <c r="K33" s="138"/>
      <c r="L33" s="282"/>
      <c r="M33" s="363"/>
      <c r="N33" s="363"/>
      <c r="O33" s="145">
        <v>0.0</v>
      </c>
      <c r="P33" s="145">
        <v>1.0</v>
      </c>
      <c r="Q33" s="145">
        <v>1.0</v>
      </c>
      <c r="R33" s="100"/>
      <c r="S33" s="100"/>
      <c r="T33" s="100"/>
      <c r="U33" s="145" t="s">
        <v>96</v>
      </c>
      <c r="V33" s="100"/>
    </row>
    <row r="34" outlineLevel="1">
      <c r="A34" s="133" t="s">
        <v>97</v>
      </c>
      <c r="B34" s="147" t="s">
        <v>125</v>
      </c>
      <c r="C34" s="216" t="s">
        <v>150</v>
      </c>
      <c r="D34" s="195" t="s">
        <v>99</v>
      </c>
      <c r="E34" s="216" t="s">
        <v>1666</v>
      </c>
      <c r="F34" s="138" t="s">
        <v>1667</v>
      </c>
      <c r="G34" s="139" t="s">
        <v>1132</v>
      </c>
      <c r="H34" s="368"/>
      <c r="I34" s="164"/>
      <c r="J34" s="104"/>
      <c r="K34" s="282"/>
      <c r="L34" s="282"/>
      <c r="M34" s="363"/>
      <c r="N34" s="363"/>
      <c r="O34" s="145">
        <v>0.0</v>
      </c>
      <c r="P34" s="145">
        <v>1.0</v>
      </c>
      <c r="Q34" s="145">
        <v>1.0</v>
      </c>
      <c r="R34" s="100"/>
      <c r="S34" s="100"/>
      <c r="T34" s="100"/>
      <c r="U34" s="166" t="s">
        <v>62</v>
      </c>
      <c r="V34" s="100"/>
    </row>
    <row r="35" outlineLevel="1">
      <c r="A35" s="146"/>
      <c r="B35" s="147" t="s">
        <v>430</v>
      </c>
      <c r="C35" s="216" t="s">
        <v>543</v>
      </c>
      <c r="D35" s="210"/>
      <c r="E35" s="216" t="s">
        <v>1668</v>
      </c>
      <c r="F35" s="138" t="s">
        <v>1669</v>
      </c>
      <c r="G35" s="139" t="s">
        <v>451</v>
      </c>
      <c r="H35" s="212"/>
      <c r="J35" s="210"/>
      <c r="K35" s="145"/>
      <c r="L35" s="363"/>
      <c r="M35" s="363"/>
      <c r="N35" s="363"/>
      <c r="O35" s="145"/>
      <c r="P35" s="145"/>
      <c r="Q35" s="145"/>
      <c r="R35" s="100"/>
      <c r="S35" s="100"/>
      <c r="T35" s="100"/>
      <c r="U35" s="146"/>
      <c r="V35" s="100"/>
    </row>
    <row r="36" outlineLevel="1">
      <c r="A36" s="156"/>
      <c r="B36" s="147" t="s">
        <v>131</v>
      </c>
      <c r="C36" s="216" t="s">
        <v>1670</v>
      </c>
      <c r="D36" s="107"/>
      <c r="E36" s="216" t="s">
        <v>73</v>
      </c>
      <c r="F36" s="138">
        <v>4.8</v>
      </c>
      <c r="G36" s="139" t="s">
        <v>75</v>
      </c>
      <c r="H36" s="106"/>
      <c r="I36" s="168"/>
      <c r="J36" s="107"/>
      <c r="K36" s="145"/>
      <c r="L36" s="363"/>
      <c r="M36" s="363"/>
      <c r="N36" s="363"/>
      <c r="O36" s="145">
        <v>0.0</v>
      </c>
      <c r="P36" s="145">
        <v>1.0</v>
      </c>
      <c r="Q36" s="145">
        <v>1.0</v>
      </c>
      <c r="R36" s="100"/>
      <c r="S36" s="100"/>
      <c r="T36" s="100"/>
      <c r="U36" s="156"/>
      <c r="V36" s="100"/>
    </row>
    <row r="37" outlineLevel="1">
      <c r="A37" s="170" t="s">
        <v>103</v>
      </c>
      <c r="B37" s="160"/>
      <c r="C37" s="450" t="s">
        <v>161</v>
      </c>
      <c r="D37" s="450" t="s">
        <v>99</v>
      </c>
      <c r="E37" s="216" t="s">
        <v>1671</v>
      </c>
      <c r="F37" s="138" t="s">
        <v>1672</v>
      </c>
      <c r="G37" s="139" t="s">
        <v>1673</v>
      </c>
      <c r="H37" s="366"/>
      <c r="I37" s="110"/>
      <c r="J37" s="109"/>
      <c r="K37" s="145"/>
      <c r="L37" s="363"/>
      <c r="M37" s="363"/>
      <c r="N37" s="363"/>
      <c r="O37" s="145">
        <v>0.0</v>
      </c>
      <c r="P37" s="145">
        <v>1.0</v>
      </c>
      <c r="Q37" s="145">
        <v>1.0</v>
      </c>
      <c r="R37" s="100"/>
      <c r="S37" s="100"/>
      <c r="T37" s="100"/>
      <c r="U37" s="145" t="s">
        <v>62</v>
      </c>
      <c r="V37" s="100"/>
    </row>
    <row r="38" ht="19.5" customHeight="1" outlineLevel="1">
      <c r="A38" s="133" t="s">
        <v>109</v>
      </c>
      <c r="B38" s="147"/>
      <c r="C38" s="216" t="s">
        <v>894</v>
      </c>
      <c r="D38" s="195" t="s">
        <v>541</v>
      </c>
      <c r="E38" s="216" t="s">
        <v>153</v>
      </c>
      <c r="F38" s="138">
        <v>19.2</v>
      </c>
      <c r="G38" s="139" t="s">
        <v>88</v>
      </c>
      <c r="H38" s="283" t="s">
        <v>1674</v>
      </c>
      <c r="I38" s="164"/>
      <c r="J38" s="104"/>
      <c r="K38" s="282"/>
      <c r="L38" s="282"/>
      <c r="M38" s="363"/>
      <c r="N38" s="363"/>
      <c r="O38" s="145">
        <v>0.0</v>
      </c>
      <c r="P38" s="145">
        <v>1.0</v>
      </c>
      <c r="Q38" s="145">
        <v>1.0</v>
      </c>
      <c r="R38" s="100"/>
      <c r="S38" s="100"/>
      <c r="T38" s="100"/>
      <c r="U38" s="166" t="s">
        <v>88</v>
      </c>
      <c r="V38" s="100"/>
    </row>
    <row r="39" ht="19.5" customHeight="1" outlineLevel="1">
      <c r="A39" s="156"/>
      <c r="B39" s="147" t="s">
        <v>84</v>
      </c>
      <c r="C39" s="216" t="s">
        <v>718</v>
      </c>
      <c r="D39" s="107"/>
      <c r="E39" s="216" t="s">
        <v>129</v>
      </c>
      <c r="F39" s="138">
        <v>14.399999999999999</v>
      </c>
      <c r="G39" s="139" t="s">
        <v>123</v>
      </c>
      <c r="H39" s="106"/>
      <c r="I39" s="168"/>
      <c r="J39" s="107"/>
      <c r="K39" s="282"/>
      <c r="L39" s="282"/>
      <c r="M39" s="363"/>
      <c r="N39" s="363"/>
      <c r="O39" s="145">
        <v>0.0</v>
      </c>
      <c r="P39" s="145">
        <v>0.5</v>
      </c>
      <c r="Q39" s="145">
        <v>0.3</v>
      </c>
      <c r="R39" s="100"/>
      <c r="S39" s="100"/>
      <c r="T39" s="100"/>
      <c r="U39" s="156"/>
      <c r="V39" s="100"/>
    </row>
    <row r="40" outlineLevel="1">
      <c r="A40" s="133" t="s">
        <v>116</v>
      </c>
      <c r="B40" s="147" t="s">
        <v>125</v>
      </c>
      <c r="C40" s="214" t="s">
        <v>93</v>
      </c>
      <c r="D40" s="195" t="s">
        <v>185</v>
      </c>
      <c r="E40" s="216" t="s">
        <v>73</v>
      </c>
      <c r="F40" s="138">
        <v>4.8</v>
      </c>
      <c r="G40" s="139" t="s">
        <v>147</v>
      </c>
      <c r="H40" s="386" t="s">
        <v>1675</v>
      </c>
      <c r="I40" s="164"/>
      <c r="J40" s="104"/>
      <c r="K40" s="363"/>
      <c r="L40" s="363"/>
      <c r="M40" s="363"/>
      <c r="N40" s="363"/>
      <c r="O40" s="145">
        <v>0.0</v>
      </c>
      <c r="P40" s="145">
        <v>1.0</v>
      </c>
      <c r="Q40" s="145">
        <v>1.0</v>
      </c>
      <c r="R40" s="100"/>
      <c r="S40" s="100"/>
      <c r="T40" s="100"/>
      <c r="U40" s="166" t="s">
        <v>62</v>
      </c>
      <c r="V40" s="100"/>
    </row>
    <row r="41" outlineLevel="1">
      <c r="A41" s="146"/>
      <c r="B41" s="147" t="s">
        <v>430</v>
      </c>
      <c r="C41" s="216" t="s">
        <v>410</v>
      </c>
      <c r="D41" s="210"/>
      <c r="E41" s="216" t="s">
        <v>73</v>
      </c>
      <c r="F41" s="138">
        <v>4.8</v>
      </c>
      <c r="G41" s="139" t="s">
        <v>147</v>
      </c>
      <c r="H41" s="212"/>
      <c r="J41" s="210"/>
      <c r="K41" s="363"/>
      <c r="L41" s="363"/>
      <c r="M41" s="363"/>
      <c r="N41" s="363"/>
      <c r="O41" s="145"/>
      <c r="P41" s="145"/>
      <c r="Q41" s="145"/>
      <c r="R41" s="100"/>
      <c r="S41" s="100"/>
      <c r="T41" s="100"/>
      <c r="U41" s="146"/>
      <c r="V41" s="100"/>
    </row>
    <row r="42" outlineLevel="1">
      <c r="A42" s="156"/>
      <c r="B42" s="147" t="s">
        <v>131</v>
      </c>
      <c r="C42" s="450" t="s">
        <v>629</v>
      </c>
      <c r="D42" s="107"/>
      <c r="E42" s="216" t="s">
        <v>228</v>
      </c>
      <c r="F42" s="138">
        <v>15.6</v>
      </c>
      <c r="G42" s="139" t="s">
        <v>275</v>
      </c>
      <c r="H42" s="106"/>
      <c r="I42" s="168"/>
      <c r="J42" s="107"/>
      <c r="K42" s="363"/>
      <c r="L42" s="363"/>
      <c r="M42" s="363"/>
      <c r="N42" s="363"/>
      <c r="O42" s="145">
        <v>0.0</v>
      </c>
      <c r="P42" s="145">
        <v>1.0</v>
      </c>
      <c r="Q42" s="145">
        <v>1.0</v>
      </c>
      <c r="R42" s="100"/>
      <c r="S42" s="100"/>
      <c r="T42" s="100"/>
      <c r="U42" s="156"/>
      <c r="V42" s="100"/>
    </row>
    <row r="43" outlineLevel="1">
      <c r="A43" s="170" t="s">
        <v>124</v>
      </c>
      <c r="B43" s="147"/>
      <c r="C43" s="216" t="s">
        <v>161</v>
      </c>
      <c r="D43" s="216" t="s">
        <v>374</v>
      </c>
      <c r="E43" s="216" t="s">
        <v>1676</v>
      </c>
      <c r="F43" s="138" t="s">
        <v>1677</v>
      </c>
      <c r="G43" s="139" t="s">
        <v>828</v>
      </c>
      <c r="H43" s="140" t="s">
        <v>1678</v>
      </c>
      <c r="I43" s="110"/>
      <c r="J43" s="109"/>
      <c r="K43" s="282"/>
      <c r="L43" s="282"/>
      <c r="M43" s="363"/>
      <c r="N43" s="363"/>
      <c r="O43" s="145">
        <v>0.0</v>
      </c>
      <c r="P43" s="145">
        <v>1.0</v>
      </c>
      <c r="Q43" s="145">
        <v>1.0</v>
      </c>
      <c r="R43" s="100"/>
      <c r="S43" s="100"/>
      <c r="T43" s="100"/>
      <c r="U43" s="145" t="s">
        <v>62</v>
      </c>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
        <v>133</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
        <v>48</v>
      </c>
      <c r="D46" s="183" t="s">
        <v>49</v>
      </c>
      <c r="E46" s="182" t="s">
        <v>50</v>
      </c>
      <c r="F46" s="184" t="s">
        <v>51</v>
      </c>
      <c r="G46" s="184" t="s">
        <v>134</v>
      </c>
      <c r="H46" s="185" t="s">
        <v>52</v>
      </c>
      <c r="I46" s="184" t="str">
        <f>'テンプレート'!I56</f>
        <v>着地隙</v>
      </c>
      <c r="J46" s="184" t="s">
        <v>136</v>
      </c>
      <c r="K46" s="184" t="str">
        <f>'テンプレート'!K56</f>
        <v>ベクトル</v>
      </c>
      <c r="L46" s="184" t="str">
        <f>'テンプレート'!L56</f>
        <v>KBG (R.E.)</v>
      </c>
      <c r="M46" s="184" t="str">
        <f>'テンプレート'!M56</f>
        <v>BKB (R.A.)</v>
      </c>
      <c r="N46" s="184" t="str">
        <f>'テンプレート'!N56</f>
        <v>FKB (R.F.)</v>
      </c>
      <c r="O46" s="186" t="str">
        <f>'テンプレート'!O56</f>
        <v>盾削り値</v>
      </c>
      <c r="P46" s="184" t="str">
        <f>'テンプレート'!P56</f>
        <v>ﾋｯﾄｽﾄｯﾌﾟ</v>
      </c>
      <c r="Q46" s="186" t="str">
        <f>'テンプレート'!Q56</f>
        <v>ずらし</v>
      </c>
      <c r="R46" s="372" t="str">
        <f>'テンプレート'!R56</f>
        <v>備考</v>
      </c>
      <c r="S46" s="110"/>
      <c r="T46" s="110"/>
      <c r="U46" s="110"/>
      <c r="V46" s="110"/>
    </row>
    <row r="47" outlineLevel="1">
      <c r="A47" s="188" t="s">
        <v>144</v>
      </c>
      <c r="B47" s="373" t="s">
        <v>125</v>
      </c>
      <c r="C47" s="239" t="s">
        <v>818</v>
      </c>
      <c r="D47" s="379" t="s">
        <v>374</v>
      </c>
      <c r="E47" s="401" t="s">
        <v>204</v>
      </c>
      <c r="F47" s="193">
        <v>3.5999999999999996</v>
      </c>
      <c r="G47" s="193">
        <v>3.06</v>
      </c>
      <c r="H47" s="138" t="s">
        <v>170</v>
      </c>
      <c r="I47" s="194" t="s">
        <v>274</v>
      </c>
      <c r="J47" s="379" t="s">
        <v>1679</v>
      </c>
      <c r="K47" s="376"/>
      <c r="L47" s="377"/>
      <c r="M47" s="825"/>
      <c r="N47" s="825"/>
      <c r="O47" s="199">
        <v>0.0</v>
      </c>
      <c r="P47" s="199">
        <v>1.0</v>
      </c>
      <c r="Q47" s="199">
        <v>1.0</v>
      </c>
      <c r="R47" s="456"/>
      <c r="S47" s="164"/>
      <c r="T47" s="164"/>
      <c r="U47" s="164"/>
      <c r="V47" s="104"/>
    </row>
    <row r="48" outlineLevel="1">
      <c r="A48" s="146"/>
      <c r="B48" s="373" t="s">
        <v>131</v>
      </c>
      <c r="C48" s="239" t="s">
        <v>543</v>
      </c>
      <c r="D48" s="210"/>
      <c r="E48" s="401" t="s">
        <v>176</v>
      </c>
      <c r="F48" s="193">
        <v>2.4</v>
      </c>
      <c r="G48" s="193">
        <v>2.04</v>
      </c>
      <c r="H48" s="138" t="s">
        <v>170</v>
      </c>
      <c r="I48" s="146"/>
      <c r="J48" s="210"/>
      <c r="K48" s="376"/>
      <c r="L48" s="377"/>
      <c r="M48" s="825"/>
      <c r="N48" s="825"/>
      <c r="O48" s="199">
        <v>0.0</v>
      </c>
      <c r="P48" s="199">
        <v>1.0</v>
      </c>
      <c r="Q48" s="199">
        <v>1.0</v>
      </c>
      <c r="R48" s="212"/>
      <c r="V48" s="210"/>
    </row>
    <row r="49" outlineLevel="1">
      <c r="A49" s="146"/>
      <c r="B49" s="373" t="s">
        <v>434</v>
      </c>
      <c r="C49" s="239" t="s">
        <v>309</v>
      </c>
      <c r="D49" s="210"/>
      <c r="E49" s="401" t="s">
        <v>176</v>
      </c>
      <c r="F49" s="193">
        <v>2.4</v>
      </c>
      <c r="G49" s="193">
        <v>2.04</v>
      </c>
      <c r="H49" s="138" t="s">
        <v>170</v>
      </c>
      <c r="I49" s="146"/>
      <c r="J49" s="210"/>
      <c r="K49" s="376"/>
      <c r="L49" s="377"/>
      <c r="M49" s="825"/>
      <c r="N49" s="825"/>
      <c r="O49" s="199"/>
      <c r="P49" s="199"/>
      <c r="Q49" s="199"/>
      <c r="R49" s="212"/>
      <c r="V49" s="210"/>
    </row>
    <row r="50" outlineLevel="1">
      <c r="A50" s="156"/>
      <c r="B50" s="373" t="s">
        <v>520</v>
      </c>
      <c r="C50" s="365" t="s">
        <v>203</v>
      </c>
      <c r="D50" s="107"/>
      <c r="E50" s="239" t="s">
        <v>73</v>
      </c>
      <c r="F50" s="193">
        <v>4.8</v>
      </c>
      <c r="G50" s="193">
        <v>4.08</v>
      </c>
      <c r="H50" s="138" t="s">
        <v>60</v>
      </c>
      <c r="I50" s="156"/>
      <c r="J50" s="107"/>
      <c r="K50" s="376"/>
      <c r="L50" s="377"/>
      <c r="M50" s="825"/>
      <c r="N50" s="825"/>
      <c r="O50" s="199">
        <v>0.0</v>
      </c>
      <c r="P50" s="199">
        <v>1.0</v>
      </c>
      <c r="Q50" s="199">
        <v>1.0</v>
      </c>
      <c r="R50" s="106"/>
      <c r="S50" s="168"/>
      <c r="T50" s="168"/>
      <c r="U50" s="168"/>
      <c r="V50" s="107"/>
    </row>
    <row r="51" outlineLevel="1">
      <c r="A51" s="188" t="s">
        <v>151</v>
      </c>
      <c r="B51" s="373" t="s">
        <v>199</v>
      </c>
      <c r="C51" s="239" t="s">
        <v>1680</v>
      </c>
      <c r="D51" s="374">
        <v>49.0</v>
      </c>
      <c r="E51" s="239" t="s">
        <v>213</v>
      </c>
      <c r="F51" s="193">
        <v>1.2</v>
      </c>
      <c r="G51" s="193">
        <v>1.02</v>
      </c>
      <c r="H51" s="138" t="s">
        <v>170</v>
      </c>
      <c r="I51" s="194" t="s">
        <v>386</v>
      </c>
      <c r="J51" s="374" t="s">
        <v>1124</v>
      </c>
      <c r="K51" s="376"/>
      <c r="L51" s="377"/>
      <c r="M51" s="825"/>
      <c r="N51" s="825"/>
      <c r="O51" s="199">
        <v>0.0</v>
      </c>
      <c r="P51" s="199">
        <v>1.0</v>
      </c>
      <c r="Q51" s="199">
        <v>1.0</v>
      </c>
      <c r="R51" s="456"/>
      <c r="S51" s="164"/>
      <c r="T51" s="164"/>
      <c r="U51" s="164"/>
      <c r="V51" s="104"/>
    </row>
    <row r="52" outlineLevel="1">
      <c r="A52" s="146"/>
      <c r="B52" s="373" t="s">
        <v>202</v>
      </c>
      <c r="C52" s="239" t="s">
        <v>522</v>
      </c>
      <c r="D52" s="210"/>
      <c r="E52" s="239" t="s">
        <v>73</v>
      </c>
      <c r="F52" s="193">
        <v>4.8</v>
      </c>
      <c r="G52" s="193">
        <v>4.08</v>
      </c>
      <c r="H52" s="138" t="s">
        <v>60</v>
      </c>
      <c r="I52" s="146"/>
      <c r="J52" s="210"/>
      <c r="K52" s="376"/>
      <c r="L52" s="377"/>
      <c r="M52" s="825"/>
      <c r="N52" s="825"/>
      <c r="O52" s="199">
        <v>0.0</v>
      </c>
      <c r="P52" s="199">
        <v>1.0</v>
      </c>
      <c r="Q52" s="199">
        <v>1.0</v>
      </c>
      <c r="R52" s="212"/>
      <c r="V52" s="210"/>
    </row>
    <row r="53" outlineLevel="1">
      <c r="A53" s="156"/>
      <c r="B53" s="373" t="s">
        <v>174</v>
      </c>
      <c r="C53" s="239" t="s">
        <v>213</v>
      </c>
      <c r="D53" s="107"/>
      <c r="E53" s="239" t="s">
        <v>204</v>
      </c>
      <c r="F53" s="193">
        <v>3.5999999999999996</v>
      </c>
      <c r="G53" s="193">
        <v>3.6</v>
      </c>
      <c r="H53" s="138" t="s">
        <v>147</v>
      </c>
      <c r="I53" s="156"/>
      <c r="J53" s="107"/>
      <c r="K53" s="376"/>
      <c r="L53" s="377"/>
      <c r="M53" s="825"/>
      <c r="N53" s="825"/>
      <c r="O53" s="199">
        <v>0.0</v>
      </c>
      <c r="P53" s="199">
        <v>2.0</v>
      </c>
      <c r="Q53" s="199">
        <v>0.0</v>
      </c>
      <c r="R53" s="106"/>
      <c r="S53" s="168"/>
      <c r="T53" s="168"/>
      <c r="U53" s="168"/>
      <c r="V53" s="107"/>
    </row>
    <row r="54" outlineLevel="1">
      <c r="A54" s="188" t="s">
        <v>157</v>
      </c>
      <c r="B54" s="373"/>
      <c r="C54" s="239" t="s">
        <v>220</v>
      </c>
      <c r="D54" s="374">
        <v>37.0</v>
      </c>
      <c r="E54" s="239" t="s">
        <v>228</v>
      </c>
      <c r="F54" s="193">
        <v>15.6</v>
      </c>
      <c r="G54" s="193">
        <v>13.26</v>
      </c>
      <c r="H54" s="138" t="s">
        <v>75</v>
      </c>
      <c r="I54" s="194">
        <v>13.0</v>
      </c>
      <c r="J54" s="374" t="s">
        <v>1681</v>
      </c>
      <c r="K54" s="376"/>
      <c r="L54" s="377"/>
      <c r="M54" s="825"/>
      <c r="N54" s="825"/>
      <c r="O54" s="199">
        <v>0.0</v>
      </c>
      <c r="P54" s="199">
        <v>1.0</v>
      </c>
      <c r="Q54" s="199">
        <v>1.0</v>
      </c>
      <c r="R54" s="456"/>
      <c r="S54" s="164"/>
      <c r="T54" s="164"/>
      <c r="U54" s="164"/>
      <c r="V54" s="104"/>
    </row>
    <row r="55" outlineLevel="1">
      <c r="A55" s="156"/>
      <c r="B55" s="373" t="s">
        <v>84</v>
      </c>
      <c r="C55" s="239" t="s">
        <v>1292</v>
      </c>
      <c r="D55" s="107"/>
      <c r="E55" s="239" t="s">
        <v>93</v>
      </c>
      <c r="F55" s="193">
        <v>8.4</v>
      </c>
      <c r="G55" s="193">
        <v>7.140000000000001</v>
      </c>
      <c r="H55" s="138" t="s">
        <v>60</v>
      </c>
      <c r="I55" s="156"/>
      <c r="J55" s="107"/>
      <c r="K55" s="376"/>
      <c r="L55" s="377"/>
      <c r="M55" s="825"/>
      <c r="N55" s="825"/>
      <c r="O55" s="199">
        <v>0.0</v>
      </c>
      <c r="P55" s="199">
        <v>1.0</v>
      </c>
      <c r="Q55" s="199">
        <v>1.0</v>
      </c>
      <c r="R55" s="106"/>
      <c r="S55" s="168"/>
      <c r="T55" s="168"/>
      <c r="U55" s="168"/>
      <c r="V55" s="107"/>
    </row>
    <row r="56" outlineLevel="1">
      <c r="A56" s="213" t="s">
        <v>162</v>
      </c>
      <c r="B56" s="373"/>
      <c r="C56" s="239" t="s">
        <v>733</v>
      </c>
      <c r="D56" s="380" t="s">
        <v>72</v>
      </c>
      <c r="E56" s="239" t="s">
        <v>274</v>
      </c>
      <c r="F56" s="193">
        <v>10.799999999999999</v>
      </c>
      <c r="G56" s="193">
        <v>9.18</v>
      </c>
      <c r="H56" s="138" t="s">
        <v>147</v>
      </c>
      <c r="I56" s="215" t="s">
        <v>274</v>
      </c>
      <c r="J56" s="380" t="s">
        <v>1682</v>
      </c>
      <c r="K56" s="377"/>
      <c r="L56" s="377"/>
      <c r="M56" s="825"/>
      <c r="N56" s="825"/>
      <c r="O56" s="199">
        <v>0.0</v>
      </c>
      <c r="P56" s="199">
        <v>1.0</v>
      </c>
      <c r="Q56" s="199">
        <v>1.0</v>
      </c>
      <c r="R56" s="151" t="s">
        <v>1683</v>
      </c>
      <c r="S56" s="110"/>
      <c r="T56" s="110"/>
      <c r="U56" s="110"/>
      <c r="V56" s="109"/>
    </row>
    <row r="57" outlineLevel="1">
      <c r="A57" s="188" t="s">
        <v>166</v>
      </c>
      <c r="B57" s="373" t="s">
        <v>1684</v>
      </c>
      <c r="C57" s="367" t="s">
        <v>1290</v>
      </c>
      <c r="D57" s="379" t="s">
        <v>127</v>
      </c>
      <c r="E57" s="367" t="s">
        <v>228</v>
      </c>
      <c r="F57" s="1201">
        <v>15.6</v>
      </c>
      <c r="G57" s="1201">
        <v>13.26</v>
      </c>
      <c r="H57" s="394" t="s">
        <v>75</v>
      </c>
      <c r="I57" s="901" t="s">
        <v>232</v>
      </c>
      <c r="J57" s="374" t="s">
        <v>1685</v>
      </c>
      <c r="K57" s="377"/>
      <c r="L57" s="377"/>
      <c r="M57" s="825"/>
      <c r="N57" s="825"/>
      <c r="O57" s="199">
        <v>0.0</v>
      </c>
      <c r="P57" s="199">
        <v>1.0</v>
      </c>
      <c r="Q57" s="199">
        <v>1.0</v>
      </c>
      <c r="R57" s="456"/>
      <c r="S57" s="164"/>
      <c r="T57" s="164"/>
      <c r="U57" s="164"/>
      <c r="V57" s="104"/>
    </row>
    <row r="58" outlineLevel="1">
      <c r="A58" s="146"/>
      <c r="B58" s="373" t="s">
        <v>1686</v>
      </c>
      <c r="C58" s="156"/>
      <c r="D58" s="210"/>
      <c r="E58" s="156"/>
      <c r="F58" s="156"/>
      <c r="G58" s="156"/>
      <c r="H58" s="156"/>
      <c r="I58" s="146"/>
      <c r="J58" s="210"/>
      <c r="K58" s="377"/>
      <c r="L58" s="377"/>
      <c r="M58" s="825"/>
      <c r="N58" s="825"/>
      <c r="O58" s="199">
        <v>0.0</v>
      </c>
      <c r="P58" s="199">
        <v>1.0</v>
      </c>
      <c r="Q58" s="199">
        <v>1.0</v>
      </c>
      <c r="R58" s="212"/>
      <c r="V58" s="210"/>
    </row>
    <row r="59" outlineLevel="1">
      <c r="A59" s="156"/>
      <c r="B59" s="373" t="s">
        <v>84</v>
      </c>
      <c r="C59" s="239" t="s">
        <v>1532</v>
      </c>
      <c r="D59" s="107"/>
      <c r="E59" s="239" t="s">
        <v>80</v>
      </c>
      <c r="F59" s="193">
        <v>9.6</v>
      </c>
      <c r="G59" s="193">
        <v>8.16</v>
      </c>
      <c r="H59" s="138" t="s">
        <v>147</v>
      </c>
      <c r="I59" s="156"/>
      <c r="J59" s="107"/>
      <c r="K59" s="377"/>
      <c r="L59" s="377"/>
      <c r="M59" s="825"/>
      <c r="N59" s="825"/>
      <c r="O59" s="199">
        <v>0.0</v>
      </c>
      <c r="P59" s="199">
        <v>1.0</v>
      </c>
      <c r="Q59" s="199">
        <v>1.0</v>
      </c>
      <c r="R59" s="106"/>
      <c r="S59" s="168"/>
      <c r="T59" s="168"/>
      <c r="U59" s="168"/>
      <c r="V59" s="107"/>
    </row>
    <row r="60">
      <c r="A60" s="223"/>
      <c r="B60" s="224"/>
      <c r="C60" s="225"/>
      <c r="D60" s="225"/>
      <c r="E60" s="226"/>
      <c r="F60" s="226"/>
      <c r="G60" s="226"/>
      <c r="H60" s="227"/>
      <c r="I60" s="227"/>
      <c r="J60" s="228"/>
      <c r="K60" s="228"/>
      <c r="L60" s="228"/>
      <c r="M60" s="228"/>
      <c r="N60" s="228"/>
      <c r="O60" s="228"/>
      <c r="P60" s="228"/>
      <c r="Q60" s="118"/>
      <c r="R60" s="118"/>
      <c r="S60" s="118"/>
      <c r="T60" s="118"/>
      <c r="U60" s="118"/>
      <c r="V60" s="118"/>
    </row>
    <row r="61">
      <c r="A61" s="229" t="s">
        <v>177</v>
      </c>
      <c r="B61" s="109"/>
      <c r="C61" s="225"/>
      <c r="D61" s="225"/>
      <c r="E61" s="226"/>
      <c r="F61" s="226"/>
      <c r="G61" s="226"/>
      <c r="H61" s="227"/>
      <c r="I61" s="227"/>
      <c r="J61" s="228"/>
      <c r="K61" s="228"/>
      <c r="L61" s="228"/>
      <c r="M61" s="228"/>
      <c r="N61" s="228"/>
      <c r="O61" s="228"/>
      <c r="P61" s="228"/>
      <c r="Q61" s="118"/>
      <c r="R61" s="118"/>
      <c r="S61" s="118"/>
      <c r="T61" s="118"/>
      <c r="U61" s="118"/>
      <c r="V61" s="118"/>
    </row>
    <row r="62" outlineLevel="1">
      <c r="A62" s="230" t="s">
        <v>840</v>
      </c>
      <c r="B62" s="109"/>
      <c r="C62" s="231" t="s">
        <v>48</v>
      </c>
      <c r="D62" s="231" t="s">
        <v>49</v>
      </c>
      <c r="E62" s="232" t="s">
        <v>50</v>
      </c>
      <c r="F62" s="233" t="s">
        <v>51</v>
      </c>
      <c r="G62" s="232" t="s">
        <v>52</v>
      </c>
      <c r="H62" s="382"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236" t="s">
        <v>183</v>
      </c>
    </row>
    <row r="63" outlineLevel="1">
      <c r="A63" s="237" t="s">
        <v>332</v>
      </c>
      <c r="B63" s="243"/>
      <c r="C63" s="239" t="s">
        <v>565</v>
      </c>
      <c r="D63" s="239" t="s">
        <v>384</v>
      </c>
      <c r="E63" s="239" t="s">
        <v>204</v>
      </c>
      <c r="F63" s="138">
        <v>3.5999999999999996</v>
      </c>
      <c r="G63" s="239" t="s">
        <v>170</v>
      </c>
      <c r="H63" s="283" t="s">
        <v>1687</v>
      </c>
      <c r="I63" s="164"/>
      <c r="J63" s="164"/>
      <c r="K63" s="282"/>
      <c r="L63" s="282"/>
      <c r="M63" s="363"/>
      <c r="N63" s="363"/>
      <c r="O63" s="138">
        <v>0.0</v>
      </c>
      <c r="P63" s="138">
        <v>1.0</v>
      </c>
      <c r="Q63" s="138">
        <v>1.0</v>
      </c>
      <c r="R63" s="145" t="b">
        <v>0</v>
      </c>
      <c r="S63" s="145" t="b">
        <v>0</v>
      </c>
      <c r="T63" s="145" t="b">
        <v>1</v>
      </c>
      <c r="U63" s="166" t="s">
        <v>186</v>
      </c>
      <c r="V63" s="166" t="b">
        <v>1</v>
      </c>
    </row>
    <row r="64" outlineLevel="1">
      <c r="A64" s="237" t="s">
        <v>344</v>
      </c>
      <c r="B64" s="243"/>
      <c r="C64" s="239" t="s">
        <v>1688</v>
      </c>
      <c r="D64" s="239" t="s">
        <v>282</v>
      </c>
      <c r="E64" s="239" t="s">
        <v>204</v>
      </c>
      <c r="F64" s="138">
        <v>3.5999999999999996</v>
      </c>
      <c r="G64" s="239" t="s">
        <v>170</v>
      </c>
      <c r="H64" s="283" t="s">
        <v>1689</v>
      </c>
      <c r="I64" s="164"/>
      <c r="J64" s="164"/>
      <c r="K64" s="282"/>
      <c r="L64" s="282"/>
      <c r="M64" s="363"/>
      <c r="N64" s="363"/>
      <c r="O64" s="138">
        <v>0.0</v>
      </c>
      <c r="P64" s="138">
        <v>1.0</v>
      </c>
      <c r="Q64" s="138">
        <v>1.0</v>
      </c>
      <c r="R64" s="145" t="b">
        <v>0</v>
      </c>
      <c r="S64" s="145" t="b">
        <v>0</v>
      </c>
      <c r="T64" s="145" t="b">
        <v>1</v>
      </c>
      <c r="U64" s="156"/>
      <c r="V64" s="156"/>
    </row>
    <row r="65" outlineLevel="1">
      <c r="A65" s="230" t="s">
        <v>1690</v>
      </c>
      <c r="B65" s="109"/>
      <c r="C65" s="231" t="s">
        <v>48</v>
      </c>
      <c r="D65" s="231" t="s">
        <v>49</v>
      </c>
      <c r="E65" s="232" t="s">
        <v>50</v>
      </c>
      <c r="F65" s="233" t="s">
        <v>51</v>
      </c>
      <c r="G65" s="232" t="s">
        <v>52</v>
      </c>
      <c r="H65" s="382" t="s">
        <v>53</v>
      </c>
      <c r="I65" s="110"/>
      <c r="J65" s="109"/>
      <c r="K65" s="235" t="s">
        <v>137</v>
      </c>
      <c r="L65" s="235" t="s">
        <v>138</v>
      </c>
      <c r="M65" s="235" t="s">
        <v>139</v>
      </c>
      <c r="N65" s="235" t="s">
        <v>140</v>
      </c>
      <c r="O65" s="236" t="s">
        <v>141</v>
      </c>
      <c r="P65" s="235" t="s">
        <v>142</v>
      </c>
      <c r="Q65" s="236" t="s">
        <v>143</v>
      </c>
      <c r="R65" s="235" t="s">
        <v>179</v>
      </c>
      <c r="S65" s="236" t="s">
        <v>180</v>
      </c>
      <c r="T65" s="236" t="s">
        <v>181</v>
      </c>
      <c r="U65" s="236" t="s">
        <v>182</v>
      </c>
      <c r="V65" s="236" t="s">
        <v>183</v>
      </c>
    </row>
    <row r="66" ht="24.75" customHeight="1" outlineLevel="1">
      <c r="A66" s="237" t="s">
        <v>332</v>
      </c>
      <c r="B66" s="243" t="s">
        <v>125</v>
      </c>
      <c r="C66" s="365" t="s">
        <v>1691</v>
      </c>
      <c r="D66" s="379" t="s">
        <v>1692</v>
      </c>
      <c r="E66" s="239" t="s">
        <v>93</v>
      </c>
      <c r="F66" s="138">
        <v>8.4</v>
      </c>
      <c r="G66" s="239" t="s">
        <v>60</v>
      </c>
      <c r="H66" s="163" t="s">
        <v>1693</v>
      </c>
      <c r="I66" s="164"/>
      <c r="J66" s="104"/>
      <c r="K66" s="282"/>
      <c r="L66" s="282"/>
      <c r="M66" s="363"/>
      <c r="N66" s="363"/>
      <c r="O66" s="138">
        <v>0.0</v>
      </c>
      <c r="P66" s="138">
        <v>1.0</v>
      </c>
      <c r="Q66" s="138">
        <v>1.0</v>
      </c>
      <c r="R66" s="145" t="b">
        <v>1</v>
      </c>
      <c r="S66" s="145" t="b">
        <v>0</v>
      </c>
      <c r="T66" s="145" t="b">
        <v>1</v>
      </c>
      <c r="U66" s="166" t="s">
        <v>186</v>
      </c>
      <c r="V66" s="166" t="b">
        <v>1</v>
      </c>
    </row>
    <row r="67" ht="24.75" customHeight="1" outlineLevel="1">
      <c r="A67" s="146"/>
      <c r="B67" s="243" t="s">
        <v>131</v>
      </c>
      <c r="C67" s="365" t="s">
        <v>1694</v>
      </c>
      <c r="D67" s="107"/>
      <c r="E67" s="239" t="s">
        <v>93</v>
      </c>
      <c r="F67" s="138">
        <v>8.4</v>
      </c>
      <c r="G67" s="239" t="s">
        <v>60</v>
      </c>
      <c r="H67" s="212"/>
      <c r="J67" s="210"/>
      <c r="K67" s="282"/>
      <c r="L67" s="282"/>
      <c r="M67" s="363"/>
      <c r="N67" s="363"/>
      <c r="O67" s="138"/>
      <c r="P67" s="138"/>
      <c r="Q67" s="138"/>
      <c r="R67" s="145" t="b">
        <v>1</v>
      </c>
      <c r="S67" s="145" t="b">
        <v>0</v>
      </c>
      <c r="T67" s="145" t="b">
        <v>1</v>
      </c>
      <c r="U67" s="146"/>
      <c r="V67" s="146"/>
    </row>
    <row r="68" ht="24.75" customHeight="1" outlineLevel="1">
      <c r="A68" s="237" t="s">
        <v>344</v>
      </c>
      <c r="B68" s="243" t="s">
        <v>350</v>
      </c>
      <c r="C68" s="901" t="s">
        <v>1695</v>
      </c>
      <c r="D68" s="367" t="s">
        <v>1696</v>
      </c>
      <c r="E68" s="239" t="s">
        <v>93</v>
      </c>
      <c r="F68" s="138">
        <v>8.4</v>
      </c>
      <c r="G68" s="239" t="s">
        <v>60</v>
      </c>
      <c r="H68" s="212"/>
      <c r="J68" s="210"/>
      <c r="K68" s="138"/>
      <c r="L68" s="138"/>
      <c r="M68" s="145"/>
      <c r="N68" s="145"/>
      <c r="O68" s="138">
        <v>0.0</v>
      </c>
      <c r="P68" s="138">
        <v>1.0</v>
      </c>
      <c r="Q68" s="138">
        <v>1.0</v>
      </c>
      <c r="R68" s="145" t="b">
        <v>1</v>
      </c>
      <c r="S68" s="145" t="b">
        <v>0</v>
      </c>
      <c r="T68" s="145" t="b">
        <v>1</v>
      </c>
      <c r="U68" s="146"/>
      <c r="V68" s="146"/>
    </row>
    <row r="69" ht="24.75" customHeight="1" outlineLevel="1">
      <c r="A69" s="146"/>
      <c r="B69" s="243" t="s">
        <v>356</v>
      </c>
      <c r="C69" s="156"/>
      <c r="D69" s="156"/>
      <c r="E69" s="139" t="s">
        <v>86</v>
      </c>
      <c r="F69" s="138">
        <v>7.199999999999999</v>
      </c>
      <c r="G69" s="239" t="s">
        <v>60</v>
      </c>
      <c r="H69" s="106"/>
      <c r="I69" s="168"/>
      <c r="J69" s="107"/>
      <c r="K69" s="138"/>
      <c r="L69" s="138"/>
      <c r="M69" s="145"/>
      <c r="N69" s="145"/>
      <c r="O69" s="138"/>
      <c r="P69" s="138"/>
      <c r="Q69" s="138"/>
      <c r="R69" s="145" t="b">
        <v>1</v>
      </c>
      <c r="S69" s="145"/>
      <c r="T69" s="145" t="b">
        <v>1</v>
      </c>
      <c r="U69" s="156"/>
      <c r="V69" s="156"/>
    </row>
    <row r="70" outlineLevel="1">
      <c r="A70" s="230" t="s">
        <v>1697</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236" t="s">
        <v>183</v>
      </c>
    </row>
    <row r="71" outlineLevel="1">
      <c r="A71" s="546" t="s">
        <v>184</v>
      </c>
      <c r="B71" s="402" t="s">
        <v>852</v>
      </c>
      <c r="C71" s="239" t="s">
        <v>853</v>
      </c>
      <c r="D71" s="367" t="s">
        <v>1698</v>
      </c>
      <c r="E71" s="239" t="s">
        <v>176</v>
      </c>
      <c r="F71" s="138">
        <v>2.4</v>
      </c>
      <c r="G71" s="239" t="s">
        <v>60</v>
      </c>
      <c r="H71" s="283" t="s">
        <v>1699</v>
      </c>
      <c r="I71" s="164"/>
      <c r="J71" s="104"/>
      <c r="K71" s="138"/>
      <c r="L71" s="138"/>
      <c r="M71" s="145"/>
      <c r="N71" s="145"/>
      <c r="O71" s="138">
        <v>0.0</v>
      </c>
      <c r="P71" s="138">
        <v>1.0</v>
      </c>
      <c r="Q71" s="138">
        <v>1.0</v>
      </c>
      <c r="R71" s="145" t="b">
        <v>0</v>
      </c>
      <c r="S71" s="145" t="b">
        <v>0</v>
      </c>
      <c r="T71" s="145"/>
      <c r="U71" s="166" t="s">
        <v>186</v>
      </c>
      <c r="V71" s="166" t="b">
        <v>1</v>
      </c>
    </row>
    <row r="72" outlineLevel="1">
      <c r="A72" s="146"/>
      <c r="B72" s="402" t="s">
        <v>524</v>
      </c>
      <c r="C72" s="239" t="s">
        <v>856</v>
      </c>
      <c r="D72" s="146"/>
      <c r="E72" s="239" t="s">
        <v>204</v>
      </c>
      <c r="F72" s="138">
        <v>3.5999999999999996</v>
      </c>
      <c r="G72" s="239" t="s">
        <v>147</v>
      </c>
      <c r="H72" s="212"/>
      <c r="J72" s="210"/>
      <c r="K72" s="138"/>
      <c r="L72" s="138"/>
      <c r="M72" s="145"/>
      <c r="N72" s="145"/>
      <c r="O72" s="138">
        <v>0.0</v>
      </c>
      <c r="P72" s="138">
        <v>1.0</v>
      </c>
      <c r="Q72" s="138">
        <v>0.8</v>
      </c>
      <c r="R72" s="145" t="b">
        <v>1</v>
      </c>
      <c r="S72" s="145" t="b">
        <v>1</v>
      </c>
      <c r="T72" s="145"/>
      <c r="U72" s="146"/>
      <c r="V72" s="146"/>
    </row>
    <row r="73" outlineLevel="1">
      <c r="A73" s="146"/>
      <c r="B73" s="402" t="s">
        <v>1700</v>
      </c>
      <c r="C73" s="239" t="s">
        <v>1701</v>
      </c>
      <c r="D73" s="146"/>
      <c r="E73" s="239" t="s">
        <v>176</v>
      </c>
      <c r="F73" s="138">
        <v>2.4</v>
      </c>
      <c r="G73" s="239" t="s">
        <v>60</v>
      </c>
      <c r="H73" s="212"/>
      <c r="J73" s="210"/>
      <c r="K73" s="138"/>
      <c r="L73" s="138"/>
      <c r="M73" s="145"/>
      <c r="N73" s="145"/>
      <c r="O73" s="138">
        <v>0.0</v>
      </c>
      <c r="P73" s="138">
        <v>1.0</v>
      </c>
      <c r="Q73" s="138">
        <v>0.8</v>
      </c>
      <c r="R73" s="145" t="b">
        <v>1</v>
      </c>
      <c r="S73" s="145" t="b">
        <v>1</v>
      </c>
      <c r="T73" s="145"/>
      <c r="U73" s="146"/>
      <c r="V73" s="146"/>
    </row>
    <row r="74" outlineLevel="1">
      <c r="A74" s="156"/>
      <c r="B74" s="402" t="s">
        <v>1702</v>
      </c>
      <c r="C74" s="239" t="s">
        <v>601</v>
      </c>
      <c r="D74" s="156"/>
      <c r="E74" s="239" t="s">
        <v>176</v>
      </c>
      <c r="F74" s="138">
        <v>2.4</v>
      </c>
      <c r="G74" s="239" t="s">
        <v>60</v>
      </c>
      <c r="H74" s="106"/>
      <c r="I74" s="168"/>
      <c r="J74" s="107"/>
      <c r="K74" s="138"/>
      <c r="L74" s="138"/>
      <c r="M74" s="145"/>
      <c r="N74" s="145"/>
      <c r="O74" s="138">
        <v>0.0</v>
      </c>
      <c r="P74" s="138">
        <v>1.0</v>
      </c>
      <c r="Q74" s="138">
        <v>0.8</v>
      </c>
      <c r="R74" s="145" t="b">
        <v>1</v>
      </c>
      <c r="S74" s="145" t="b">
        <v>1</v>
      </c>
      <c r="T74" s="145"/>
      <c r="U74" s="156"/>
      <c r="V74" s="156"/>
    </row>
    <row r="75" outlineLevel="1">
      <c r="A75" s="230" t="s">
        <v>1703</v>
      </c>
      <c r="B75" s="109"/>
      <c r="C75" s="231" t="s">
        <v>48</v>
      </c>
      <c r="D75" s="231" t="s">
        <v>49</v>
      </c>
      <c r="E75" s="232" t="s">
        <v>50</v>
      </c>
      <c r="F75" s="233" t="s">
        <v>51</v>
      </c>
      <c r="G75" s="232" t="s">
        <v>52</v>
      </c>
      <c r="H75" s="382" t="s">
        <v>53</v>
      </c>
      <c r="I75" s="110"/>
      <c r="J75" s="109"/>
      <c r="K75" s="235" t="s">
        <v>137</v>
      </c>
      <c r="L75" s="235" t="s">
        <v>138</v>
      </c>
      <c r="M75" s="235" t="s">
        <v>139</v>
      </c>
      <c r="N75" s="235" t="s">
        <v>140</v>
      </c>
      <c r="O75" s="236" t="s">
        <v>141</v>
      </c>
      <c r="P75" s="235" t="s">
        <v>142</v>
      </c>
      <c r="Q75" s="236" t="s">
        <v>143</v>
      </c>
      <c r="R75" s="235" t="s">
        <v>179</v>
      </c>
      <c r="S75" s="236" t="s">
        <v>180</v>
      </c>
      <c r="T75" s="236" t="s">
        <v>181</v>
      </c>
      <c r="U75" s="236" t="s">
        <v>182</v>
      </c>
      <c r="V75" s="236" t="s">
        <v>183</v>
      </c>
    </row>
    <row r="76" outlineLevel="1">
      <c r="A76" s="1202" t="s">
        <v>184</v>
      </c>
      <c r="B76" s="402"/>
      <c r="C76" s="239" t="s">
        <v>1704</v>
      </c>
      <c r="D76" s="239" t="s">
        <v>393</v>
      </c>
      <c r="E76" s="239" t="s">
        <v>150</v>
      </c>
      <c r="F76" s="138">
        <v>6.0</v>
      </c>
      <c r="G76" s="239" t="s">
        <v>102</v>
      </c>
      <c r="H76" s="151" t="s">
        <v>1705</v>
      </c>
      <c r="I76" s="110"/>
      <c r="J76" s="109"/>
      <c r="K76" s="138"/>
      <c r="L76" s="138"/>
      <c r="M76" s="145"/>
      <c r="N76" s="145"/>
      <c r="O76" s="138">
        <v>5.0</v>
      </c>
      <c r="P76" s="138">
        <v>0.5</v>
      </c>
      <c r="Q76" s="138">
        <v>0.0</v>
      </c>
      <c r="R76" s="145" t="b">
        <v>0</v>
      </c>
      <c r="S76" s="145" t="b">
        <v>0</v>
      </c>
      <c r="T76" s="145"/>
      <c r="U76" s="145" t="b">
        <v>0</v>
      </c>
      <c r="V76" s="145" t="b">
        <v>0</v>
      </c>
    </row>
    <row r="77">
      <c r="A77" s="223"/>
      <c r="B77" s="224"/>
      <c r="C77" s="225"/>
      <c r="D77" s="225"/>
      <c r="E77" s="226"/>
      <c r="F77" s="226"/>
      <c r="G77" s="226"/>
      <c r="H77" s="227"/>
      <c r="I77" s="227"/>
      <c r="J77" s="228"/>
      <c r="K77" s="228"/>
      <c r="L77" s="228"/>
      <c r="M77" s="228"/>
      <c r="N77" s="228"/>
      <c r="O77" s="228"/>
      <c r="P77" s="228"/>
      <c r="Q77" s="228"/>
      <c r="R77" s="228"/>
      <c r="S77" s="228"/>
      <c r="T77" s="228"/>
      <c r="U77" s="118"/>
      <c r="V77" s="118"/>
    </row>
    <row r="78">
      <c r="A78" s="264" t="s">
        <v>211</v>
      </c>
      <c r="B78" s="104"/>
      <c r="C78" s="227"/>
      <c r="D78" s="227"/>
      <c r="E78" s="228"/>
      <c r="F78" s="265"/>
      <c r="G78" s="265"/>
      <c r="H78" s="228"/>
      <c r="I78" s="228"/>
      <c r="J78" s="228"/>
      <c r="K78" s="228"/>
      <c r="L78" s="228"/>
      <c r="M78" s="228"/>
      <c r="N78" s="228"/>
      <c r="O78" s="228"/>
      <c r="P78" s="228"/>
      <c r="Q78" s="228"/>
      <c r="R78" s="228"/>
      <c r="S78" s="228"/>
      <c r="T78" s="228"/>
      <c r="U78" s="228"/>
      <c r="V78" s="228"/>
    </row>
    <row r="79" outlineLevel="1">
      <c r="A79" s="106"/>
      <c r="B79" s="107"/>
      <c r="C79" s="266" t="s">
        <v>48</v>
      </c>
      <c r="D79" s="266" t="s">
        <v>49</v>
      </c>
      <c r="E79" s="266" t="s">
        <v>50</v>
      </c>
      <c r="F79" s="267" t="s">
        <v>51</v>
      </c>
      <c r="G79" s="227"/>
      <c r="H79" s="227"/>
      <c r="I79" s="227"/>
      <c r="J79" s="228"/>
      <c r="K79" s="228"/>
      <c r="L79" s="228"/>
      <c r="M79" s="228"/>
      <c r="N79" s="228"/>
      <c r="O79" s="228"/>
      <c r="P79" s="228"/>
      <c r="Q79" s="228"/>
      <c r="R79" s="228"/>
      <c r="S79" s="228"/>
      <c r="T79" s="228"/>
      <c r="U79" s="228"/>
      <c r="V79" s="228"/>
    </row>
    <row r="80" outlineLevel="1">
      <c r="A80" s="268" t="s">
        <v>212</v>
      </c>
      <c r="B80" s="269" t="s">
        <v>212</v>
      </c>
      <c r="C80" s="239" t="s">
        <v>213</v>
      </c>
      <c r="D80" s="239" t="s">
        <v>86</v>
      </c>
      <c r="E80" s="239" t="s">
        <v>214</v>
      </c>
      <c r="F80" s="138">
        <v>1.56</v>
      </c>
      <c r="G80" s="227"/>
      <c r="H80" s="227"/>
      <c r="I80" s="227"/>
      <c r="J80" s="228"/>
      <c r="K80" s="228"/>
      <c r="L80" s="228"/>
      <c r="M80" s="228"/>
      <c r="N80" s="228"/>
      <c r="O80" s="228"/>
      <c r="P80" s="228"/>
      <c r="Q80" s="228"/>
      <c r="R80" s="228"/>
      <c r="S80" s="228"/>
      <c r="T80" s="228"/>
      <c r="U80" s="228"/>
      <c r="V80" s="228"/>
    </row>
    <row r="81" outlineLevel="1">
      <c r="A81" s="270" t="s">
        <v>215</v>
      </c>
      <c r="B81" s="269" t="s">
        <v>216</v>
      </c>
      <c r="C81" s="239" t="s">
        <v>217</v>
      </c>
      <c r="D81" s="239" t="s">
        <v>218</v>
      </c>
      <c r="E81" s="271"/>
      <c r="F81" s="272"/>
      <c r="G81" s="272"/>
      <c r="H81" s="227"/>
      <c r="I81" s="227"/>
      <c r="J81" s="228"/>
      <c r="K81" s="228"/>
      <c r="L81" s="228"/>
      <c r="M81" s="228"/>
      <c r="N81" s="228"/>
      <c r="O81" s="228"/>
      <c r="P81" s="228"/>
      <c r="Q81" s="228"/>
      <c r="R81" s="228"/>
      <c r="S81" s="228"/>
      <c r="T81" s="228"/>
      <c r="U81" s="228"/>
      <c r="V81" s="228"/>
    </row>
    <row r="82" outlineLevel="1">
      <c r="A82" s="212"/>
      <c r="B82" s="269" t="s">
        <v>219</v>
      </c>
      <c r="C82" s="239" t="s">
        <v>220</v>
      </c>
      <c r="D82" s="239" t="s">
        <v>221</v>
      </c>
      <c r="E82" s="271"/>
      <c r="F82" s="272"/>
      <c r="G82" s="272"/>
      <c r="H82" s="227"/>
      <c r="I82" s="227"/>
      <c r="J82" s="228"/>
      <c r="K82" s="228"/>
      <c r="L82" s="228"/>
      <c r="M82" s="228"/>
      <c r="N82" s="228"/>
      <c r="O82" s="228"/>
      <c r="P82" s="228"/>
      <c r="Q82" s="228"/>
      <c r="R82" s="228"/>
      <c r="S82" s="228"/>
      <c r="T82" s="228"/>
      <c r="U82" s="228"/>
      <c r="V82" s="228"/>
    </row>
    <row r="83" outlineLevel="1">
      <c r="A83" s="106"/>
      <c r="B83" s="269" t="s">
        <v>222</v>
      </c>
      <c r="C83" s="239" t="s">
        <v>223</v>
      </c>
      <c r="D83" s="239">
        <v>37.0</v>
      </c>
      <c r="E83" s="227"/>
      <c r="F83" s="272"/>
      <c r="G83" s="272"/>
      <c r="H83" s="227"/>
      <c r="I83" s="227"/>
      <c r="J83" s="228"/>
      <c r="K83" s="228"/>
      <c r="L83" s="228"/>
      <c r="M83" s="228"/>
      <c r="N83" s="228"/>
      <c r="O83" s="228"/>
      <c r="P83" s="228"/>
      <c r="Q83" s="228"/>
      <c r="R83" s="228"/>
      <c r="S83" s="228"/>
      <c r="T83" s="228"/>
      <c r="U83" s="228"/>
      <c r="V83" s="228"/>
    </row>
    <row r="84" outlineLevel="1">
      <c r="A84" s="273" t="s">
        <v>225</v>
      </c>
      <c r="B84" s="109"/>
      <c r="C84" s="266" t="s">
        <v>48</v>
      </c>
      <c r="D84" s="266" t="s">
        <v>49</v>
      </c>
      <c r="E84" s="266" t="s">
        <v>50</v>
      </c>
      <c r="F84" s="267" t="s">
        <v>51</v>
      </c>
      <c r="G84" s="274" t="s">
        <v>53</v>
      </c>
      <c r="H84" s="110"/>
      <c r="I84" s="110"/>
      <c r="J84" s="109"/>
      <c r="K84" s="275" t="str">
        <f>'テンプレート'!K97</f>
        <v>ベクトル</v>
      </c>
      <c r="L84" s="275" t="str">
        <f>'テンプレート'!L97</f>
        <v>KBG (R.E.)</v>
      </c>
      <c r="M84" s="275" t="str">
        <f>'テンプレート'!M97</f>
        <v>BKB (R.A.)</v>
      </c>
      <c r="N84" s="275" t="str">
        <f>'テンプレート'!N97</f>
        <v>FKB (R.F.)</v>
      </c>
      <c r="O84" s="276" t="str">
        <f>'テンプレート'!O97</f>
        <v>盾削り値</v>
      </c>
      <c r="P84" s="275" t="str">
        <f>'テンプレート'!P97</f>
        <v>ﾋｯﾄｽﾄｯﾌﾟ</v>
      </c>
      <c r="Q84" s="276" t="str">
        <f>'テンプレート'!Q97</f>
        <v>ずらし</v>
      </c>
      <c r="R84" s="277"/>
      <c r="S84" s="277"/>
      <c r="T84" s="277"/>
      <c r="U84" s="277"/>
      <c r="V84" s="277"/>
    </row>
    <row r="85" outlineLevel="1">
      <c r="A85" s="278" t="s">
        <v>226</v>
      </c>
      <c r="B85" s="269" t="s">
        <v>227</v>
      </c>
      <c r="C85" s="113" t="s">
        <v>223</v>
      </c>
      <c r="D85" s="279">
        <v>33.0</v>
      </c>
      <c r="E85" s="239" t="s">
        <v>73</v>
      </c>
      <c r="F85" s="138">
        <v>4.8</v>
      </c>
      <c r="G85" s="416"/>
      <c r="H85" s="164"/>
      <c r="I85" s="164"/>
      <c r="J85" s="104"/>
      <c r="K85" s="282"/>
      <c r="L85" s="282"/>
      <c r="M85" s="363"/>
      <c r="N85" s="363"/>
      <c r="O85" s="145">
        <v>1.0</v>
      </c>
      <c r="P85" s="145">
        <v>1.0</v>
      </c>
      <c r="Q85" s="145">
        <v>1.0</v>
      </c>
      <c r="R85" s="277"/>
      <c r="S85" s="228"/>
      <c r="T85" s="228"/>
      <c r="U85" s="228"/>
      <c r="V85" s="228"/>
    </row>
    <row r="86" outlineLevel="1">
      <c r="A86" s="156"/>
      <c r="B86" s="269" t="s">
        <v>225</v>
      </c>
      <c r="C86" s="113">
        <v>12.0</v>
      </c>
      <c r="D86" s="156"/>
      <c r="E86" s="239" t="s">
        <v>204</v>
      </c>
      <c r="F86" s="138">
        <v>3.5999999999999996</v>
      </c>
      <c r="G86" s="106"/>
      <c r="H86" s="168"/>
      <c r="I86" s="168"/>
      <c r="J86" s="107"/>
      <c r="K86" s="282"/>
      <c r="L86" s="282"/>
      <c r="M86" s="363"/>
      <c r="N86" s="363"/>
      <c r="O86" s="261"/>
      <c r="P86" s="261"/>
      <c r="Q86" s="261"/>
      <c r="R86" s="277"/>
      <c r="S86" s="228"/>
      <c r="T86" s="228"/>
      <c r="U86" s="228"/>
      <c r="V86" s="228"/>
    </row>
    <row r="87" outlineLevel="1">
      <c r="A87" s="278" t="s">
        <v>229</v>
      </c>
      <c r="B87" s="269" t="s">
        <v>866</v>
      </c>
      <c r="C87" s="113" t="s">
        <v>1706</v>
      </c>
      <c r="D87" s="279">
        <v>41.0</v>
      </c>
      <c r="E87" s="239" t="s">
        <v>204</v>
      </c>
      <c r="F87" s="138">
        <v>3.5999999999999996</v>
      </c>
      <c r="G87" s="413" t="s">
        <v>868</v>
      </c>
      <c r="H87" s="164"/>
      <c r="I87" s="164"/>
      <c r="J87" s="104"/>
      <c r="K87" s="282"/>
      <c r="L87" s="282"/>
      <c r="M87" s="363"/>
      <c r="N87" s="363"/>
      <c r="O87" s="145">
        <v>0.0</v>
      </c>
      <c r="P87" s="145">
        <v>1.0</v>
      </c>
      <c r="Q87" s="145">
        <v>1.0</v>
      </c>
      <c r="R87" s="277"/>
      <c r="S87" s="228"/>
      <c r="T87" s="228"/>
      <c r="U87" s="228"/>
      <c r="V87" s="228"/>
    </row>
    <row r="88" outlineLevel="1">
      <c r="A88" s="156"/>
      <c r="B88" s="269" t="s">
        <v>225</v>
      </c>
      <c r="C88" s="113">
        <v>9.0</v>
      </c>
      <c r="D88" s="156"/>
      <c r="E88" s="239" t="s">
        <v>86</v>
      </c>
      <c r="F88" s="138">
        <v>7.199999999999999</v>
      </c>
      <c r="G88" s="106"/>
      <c r="H88" s="168"/>
      <c r="I88" s="168"/>
      <c r="J88" s="107"/>
      <c r="K88" s="282"/>
      <c r="L88" s="282"/>
      <c r="M88" s="363"/>
      <c r="N88" s="363"/>
      <c r="O88" s="261"/>
      <c r="P88" s="261"/>
      <c r="Q88" s="261"/>
      <c r="R88" s="277"/>
      <c r="S88" s="228"/>
      <c r="T88" s="228"/>
      <c r="U88" s="228"/>
      <c r="V88" s="228"/>
    </row>
    <row r="89" outlineLevel="1">
      <c r="A89" s="278" t="s">
        <v>233</v>
      </c>
      <c r="B89" s="269" t="s">
        <v>866</v>
      </c>
      <c r="C89" s="239" t="s">
        <v>1707</v>
      </c>
      <c r="D89" s="279">
        <v>38.0</v>
      </c>
      <c r="E89" s="239" t="s">
        <v>73</v>
      </c>
      <c r="F89" s="138">
        <v>4.8</v>
      </c>
      <c r="G89" s="413" t="s">
        <v>868</v>
      </c>
      <c r="H89" s="164"/>
      <c r="I89" s="164"/>
      <c r="J89" s="104"/>
      <c r="K89" s="282"/>
      <c r="L89" s="282"/>
      <c r="M89" s="363"/>
      <c r="N89" s="363"/>
      <c r="O89" s="145">
        <v>0.0</v>
      </c>
      <c r="P89" s="145">
        <v>1.0</v>
      </c>
      <c r="Q89" s="145">
        <v>1.0</v>
      </c>
      <c r="R89" s="277"/>
      <c r="S89" s="228"/>
      <c r="T89" s="228"/>
      <c r="U89" s="228"/>
      <c r="V89" s="228"/>
    </row>
    <row r="90" outlineLevel="1">
      <c r="A90" s="156"/>
      <c r="B90" s="269" t="s">
        <v>225</v>
      </c>
      <c r="C90" s="113">
        <v>7.0</v>
      </c>
      <c r="D90" s="156"/>
      <c r="E90" s="239" t="s">
        <v>73</v>
      </c>
      <c r="F90" s="138">
        <v>4.8</v>
      </c>
      <c r="G90" s="106"/>
      <c r="H90" s="168"/>
      <c r="I90" s="168"/>
      <c r="J90" s="107"/>
      <c r="K90" s="282"/>
      <c r="L90" s="282"/>
      <c r="M90" s="363"/>
      <c r="N90" s="363"/>
      <c r="O90" s="261"/>
      <c r="P90" s="261"/>
      <c r="Q90" s="261"/>
      <c r="R90" s="277"/>
      <c r="S90" s="117"/>
      <c r="T90" s="117"/>
      <c r="U90" s="117"/>
      <c r="V90" s="117"/>
    </row>
    <row r="91" outlineLevel="1">
      <c r="A91" s="278" t="s">
        <v>234</v>
      </c>
      <c r="B91" s="269" t="s">
        <v>866</v>
      </c>
      <c r="C91" s="113" t="s">
        <v>1708</v>
      </c>
      <c r="D91" s="279">
        <v>43.0</v>
      </c>
      <c r="E91" s="239" t="s">
        <v>176</v>
      </c>
      <c r="F91" s="138">
        <v>2.4</v>
      </c>
      <c r="G91" s="413" t="s">
        <v>868</v>
      </c>
      <c r="H91" s="164"/>
      <c r="I91" s="164"/>
      <c r="J91" s="104"/>
      <c r="K91" s="282"/>
      <c r="L91" s="282"/>
      <c r="M91" s="363"/>
      <c r="N91" s="363"/>
      <c r="O91" s="145">
        <v>0.0</v>
      </c>
      <c r="P91" s="145">
        <v>1.0</v>
      </c>
      <c r="Q91" s="145">
        <v>1.0</v>
      </c>
      <c r="R91" s="277"/>
      <c r="S91" s="117"/>
      <c r="T91" s="117"/>
      <c r="U91" s="117"/>
      <c r="V91" s="117"/>
    </row>
    <row r="92" outlineLevel="1">
      <c r="A92" s="156"/>
      <c r="B92" s="269" t="s">
        <v>225</v>
      </c>
      <c r="C92" s="113">
        <v>33.0</v>
      </c>
      <c r="D92" s="156"/>
      <c r="E92" s="239" t="s">
        <v>204</v>
      </c>
      <c r="F92" s="138">
        <v>3.5999999999999996</v>
      </c>
      <c r="G92" s="106"/>
      <c r="H92" s="168"/>
      <c r="I92" s="168"/>
      <c r="J92" s="107"/>
      <c r="K92" s="282"/>
      <c r="L92" s="282"/>
      <c r="M92" s="363"/>
      <c r="N92" s="363"/>
      <c r="O92" s="261"/>
      <c r="P92" s="261"/>
      <c r="Q92" s="261"/>
      <c r="R92" s="277"/>
      <c r="S92" s="117"/>
      <c r="T92" s="117"/>
      <c r="U92" s="117"/>
      <c r="V92" s="117"/>
    </row>
    <row r="93">
      <c r="A93" s="223"/>
      <c r="B93" s="224"/>
      <c r="C93" s="225"/>
      <c r="D93" s="225"/>
      <c r="E93" s="227"/>
      <c r="F93" s="177"/>
      <c r="G93" s="177"/>
      <c r="H93" s="227"/>
      <c r="I93" s="227"/>
      <c r="J93" s="228"/>
      <c r="K93" s="228"/>
      <c r="L93" s="111"/>
      <c r="M93" s="111"/>
      <c r="N93" s="111"/>
      <c r="O93" s="117"/>
      <c r="P93" s="117"/>
      <c r="Q93" s="111"/>
      <c r="R93" s="111"/>
      <c r="S93" s="111"/>
      <c r="T93" s="111"/>
      <c r="U93" s="111"/>
      <c r="V93" s="111"/>
    </row>
    <row r="94">
      <c r="A94" s="284" t="s">
        <v>241</v>
      </c>
      <c r="B94" s="104"/>
      <c r="C94" s="265"/>
      <c r="D94" s="111"/>
      <c r="E94" s="111"/>
      <c r="F94" s="111"/>
      <c r="G94" s="111"/>
      <c r="H94" s="111"/>
      <c r="I94" s="111"/>
      <c r="J94" s="118"/>
      <c r="K94" s="111"/>
      <c r="L94" s="111"/>
      <c r="M94" s="111"/>
      <c r="N94" s="111"/>
      <c r="O94" s="111"/>
      <c r="P94" s="111"/>
      <c r="Q94" s="118"/>
      <c r="R94" s="111"/>
      <c r="S94" s="111"/>
      <c r="T94" s="111"/>
      <c r="U94" s="111"/>
      <c r="V94" s="111"/>
    </row>
    <row r="95" outlineLevel="1">
      <c r="A95" s="106"/>
      <c r="B95" s="107"/>
      <c r="C95" s="285" t="s">
        <v>235</v>
      </c>
      <c r="D95" s="285" t="s">
        <v>236</v>
      </c>
      <c r="E95" s="285" t="s">
        <v>49</v>
      </c>
      <c r="F95" s="285" t="s">
        <v>237</v>
      </c>
      <c r="G95" s="286"/>
      <c r="H95" s="227"/>
      <c r="I95" s="227"/>
      <c r="J95" s="228"/>
      <c r="K95" s="228"/>
      <c r="L95" s="111"/>
      <c r="M95" s="111"/>
      <c r="N95" s="111"/>
      <c r="O95" s="111"/>
      <c r="P95" s="111"/>
      <c r="Q95" s="111"/>
      <c r="R95" s="111"/>
      <c r="S95" s="111"/>
      <c r="T95" s="111"/>
      <c r="U95" s="111"/>
      <c r="V95" s="111"/>
    </row>
    <row r="96" outlineLevel="1">
      <c r="A96" s="287" t="s">
        <v>395</v>
      </c>
      <c r="B96" s="288" t="s">
        <v>216</v>
      </c>
      <c r="C96" s="113" t="str">
        <f t="array" ref="C96">INDEX('回避'!$C$3:$U$84, MATCH($A$1,'回避'!$A$3:$A$91,0), MATCH(C95,'回避'!$C$2:$F$2,0))</f>
        <v>3-17</v>
      </c>
      <c r="D96" s="113" t="str">
        <f t="array" ref="D96">INDEX('回避'!$C$3:$U$84, MATCH($A$1,'回避'!$A$3:$A$91,0), MATCH(D95,'回避'!$C$2:$F$2,0))</f>
        <v>6-17</v>
      </c>
      <c r="E96" s="113" t="str">
        <f t="array" ref="E96">INDEX('回避'!$C$3:$U$84, MATCH($A$1,'回避'!$A$3:$A$91,0), MATCH(E95,'回避'!$C$2:$F$2,0))</f>
        <v>25 (20)</v>
      </c>
      <c r="F96" s="113" t="str">
        <f t="array" ref="F96">INDEX('回避'!$C$3:$U$84, MATCH($A$1,'回避'!$A$3:$A$91,0), MATCH(F95,'回避'!$C$2:$F$2,0))</f>
        <v>33 (27)</v>
      </c>
      <c r="G96" s="272"/>
      <c r="H96" s="227"/>
      <c r="I96" s="227"/>
      <c r="J96" s="228"/>
      <c r="K96" s="228"/>
      <c r="L96" s="228"/>
      <c r="M96" s="111"/>
      <c r="N96" s="111"/>
      <c r="O96" s="111"/>
      <c r="P96" s="111"/>
      <c r="Q96" s="111"/>
      <c r="R96" s="111"/>
      <c r="S96" s="111"/>
      <c r="T96" s="111"/>
      <c r="U96" s="111"/>
      <c r="V96" s="111"/>
    </row>
    <row r="97" outlineLevel="1">
      <c r="A97" s="212"/>
      <c r="B97" s="288" t="s">
        <v>245</v>
      </c>
      <c r="C97" s="113" t="str">
        <f t="array" ref="C97">INDEX('回避'!$G$3:$U$84, MATCH($A$1,'回避'!$A$3:$A$91,0), MATCH(C95,'回避'!$G$2:$J$2,0))</f>
        <v>4-15</v>
      </c>
      <c r="D97" s="113" t="str">
        <f t="array" ref="D97">INDEX('回避'!$G$3:$U$84, MATCH($A$1,'回避'!$A$3:$A$91,0), MATCH(D95,'回避'!$G$2:$J$2,0))</f>
        <v>8-14</v>
      </c>
      <c r="E97" s="113" t="str">
        <f t="array" ref="E97">INDEX('回避'!$G$3:$U$84, MATCH($A$1,'回避'!$A$3:$A$91,0), MATCH(E95,'回避'!$G$2:$J$2,0))</f>
        <v>29</v>
      </c>
      <c r="F97" s="113">
        <f t="array" ref="F97">INDEX('回避'!$G$3:$U$84, MATCH($A$1,'回避'!$A$3:$A$91,0), MATCH(F95,'回避'!$G$2:$J$2,0))</f>
        <v>38</v>
      </c>
      <c r="G97" s="289"/>
      <c r="H97" s="227"/>
      <c r="I97" s="227"/>
      <c r="J97" s="228"/>
      <c r="K97" s="228"/>
      <c r="L97" s="228"/>
      <c r="M97" s="228"/>
      <c r="N97" s="228"/>
      <c r="O97" s="111"/>
      <c r="P97" s="111"/>
      <c r="Q97" s="111"/>
      <c r="R97" s="111"/>
      <c r="S97" s="111"/>
      <c r="T97" s="111"/>
      <c r="U97" s="111"/>
      <c r="V97" s="111"/>
    </row>
    <row r="98" outlineLevel="1">
      <c r="A98" s="106"/>
      <c r="B98" s="288" t="s">
        <v>246</v>
      </c>
      <c r="C98" s="113" t="str">
        <f t="array" ref="C98">INDEX('回避'!$K$3:$U$84, MATCH($A$1,'回避'!$A$3:$A$91,0), MATCH(C95,'回避'!$K$2:$N$2,0))</f>
        <v>5-16</v>
      </c>
      <c r="D98" s="113" t="str">
        <f t="array" ref="D98">INDEX('回避'!$K$3:$U$84, MATCH($A$1,'回避'!$A$3:$A$91,0), MATCH(D95,'回避'!$K$2:$N$2,0))</f>
        <v>9-14</v>
      </c>
      <c r="E98" s="113" t="str">
        <f t="array" ref="E98">INDEX('回避'!$K$3:$U$84, MATCH($A$1,'回避'!$A$3:$A$91,0), MATCH(E95,'回避'!$K$2:$N$2,0))</f>
        <v>34</v>
      </c>
      <c r="F98" s="113" t="str">
        <f t="array" ref="F98">INDEX('回避'!$K$3:$U$84, MATCH($A$1,'回避'!$A$3:$A$91,0), MATCH(F95,'回避'!$K$2:$N$2,0))</f>
        <v>51</v>
      </c>
      <c r="G98" s="289"/>
      <c r="H98" s="290"/>
      <c r="I98" s="290"/>
      <c r="J98" s="117"/>
      <c r="K98" s="117"/>
      <c r="L98" s="117"/>
      <c r="M98" s="117"/>
      <c r="N98" s="117"/>
      <c r="O98" s="111"/>
      <c r="P98" s="111"/>
      <c r="Q98" s="111"/>
      <c r="R98" s="111"/>
      <c r="S98" s="111"/>
      <c r="T98" s="111"/>
      <c r="U98" s="111"/>
      <c r="V98" s="111"/>
    </row>
    <row r="99" outlineLevel="1">
      <c r="A99" s="287" t="s">
        <v>396</v>
      </c>
      <c r="B99" s="288" t="s">
        <v>397</v>
      </c>
      <c r="C99" s="113" t="str">
        <f t="array" ref="C99">INDEX('回避'!$O$3:$U$84, MATCH($A$1,'回避'!$A$3:$A$91,0), MATCH(C95,'回避'!$O$2:$R$2,0))</f>
        <v>2-27</v>
      </c>
      <c r="D99" s="113" t="str">
        <f t="array" ref="D99">INDEX('回避'!$O$3:$U$84, MATCH($A$1,'回避'!$A$3:$A$91,0), MATCH(D95,'回避'!$O$2:$R$2,0))</f>
        <v>5-25</v>
      </c>
      <c r="E99" s="113" t="str">
        <f t="array" ref="E99">INDEX('回避'!$O$3:$U$84, MATCH($A$1,'回避'!$A$3:$A$91,0), MATCH(E95,'回避'!$O$2:$R$2,0))</f>
        <v>43</v>
      </c>
      <c r="F99" s="177"/>
      <c r="G99" s="177"/>
      <c r="H99" s="118"/>
      <c r="I99" s="118"/>
      <c r="J99" s="111"/>
      <c r="K99" s="111"/>
      <c r="L99" s="111"/>
      <c r="M99" s="111"/>
      <c r="N99" s="111"/>
      <c r="O99" s="228"/>
      <c r="P99" s="228"/>
      <c r="Q99" s="228"/>
      <c r="R99" s="228"/>
      <c r="S99" s="228"/>
      <c r="T99" s="228"/>
      <c r="U99" s="228"/>
      <c r="V99" s="228"/>
    </row>
    <row r="100" outlineLevel="1">
      <c r="A100" s="106"/>
      <c r="B100" s="288" t="s">
        <v>398</v>
      </c>
      <c r="C100" s="113" t="str">
        <f t="array" ref="C100">INDEX('回避'!$S$3:$U$84, MATCH($A$1,'回避'!$A$3:$A$91,0), MATCH(C95,'回避'!$S$2:$U$2,0))</f>
        <v>2-20</v>
      </c>
      <c r="D100" s="113" t="str">
        <f t="array" ref="D100">INDEX('回避'!$S$3:$U$84, MATCH($A$1,'回避'!$A$3:$A$91,0), MATCH(D95,'回避'!$S$2:$U$2,0))</f>
        <v>5-19</v>
      </c>
      <c r="E100" s="113" t="str">
        <f t="array" ref="E100">INDEX('回避'!$S$3:$U$84, MATCH($A$1,'回避'!$A$3:$A$91,0), MATCH(E95,'回避'!$S$2:$U$2,0))</f>
        <v>真横：73
真上：94
真下：61</v>
      </c>
      <c r="F100" s="289"/>
      <c r="G100" s="289"/>
      <c r="H100" s="118"/>
      <c r="I100" s="118"/>
      <c r="J100" s="117"/>
      <c r="K100" s="117"/>
      <c r="L100" s="117"/>
      <c r="M100" s="117"/>
      <c r="N100" s="111"/>
      <c r="O100" s="118"/>
      <c r="P100" s="118"/>
      <c r="Q100" s="118"/>
      <c r="R100" s="118"/>
      <c r="S100" s="118"/>
      <c r="T100" s="118"/>
      <c r="U100" s="118"/>
      <c r="V100" s="118"/>
    </row>
    <row r="101">
      <c r="A101" s="291"/>
      <c r="B101" s="292"/>
      <c r="C101" s="286"/>
      <c r="D101" s="286"/>
      <c r="E101" s="293"/>
      <c r="F101" s="286"/>
      <c r="G101" s="286"/>
      <c r="H101" s="286"/>
      <c r="I101" s="286"/>
      <c r="J101" s="111"/>
      <c r="K101" s="227"/>
      <c r="L101" s="227"/>
      <c r="M101" s="227"/>
      <c r="N101" s="227"/>
      <c r="O101" s="118"/>
      <c r="P101" s="118"/>
      <c r="Q101" s="118"/>
      <c r="R101" s="118"/>
      <c r="S101" s="118"/>
      <c r="T101" s="118"/>
      <c r="U101" s="118"/>
      <c r="V101" s="118"/>
    </row>
    <row r="102">
      <c r="A102" s="294" t="s">
        <v>238</v>
      </c>
      <c r="B102" s="104"/>
      <c r="C102" s="228"/>
      <c r="D102" s="117"/>
      <c r="E102" s="228"/>
      <c r="F102" s="114"/>
      <c r="G102" s="114"/>
      <c r="H102" s="117"/>
      <c r="I102" s="117"/>
      <c r="J102" s="118"/>
      <c r="K102" s="118"/>
      <c r="L102" s="118"/>
      <c r="M102" s="118"/>
      <c r="N102" s="118"/>
      <c r="O102" s="118"/>
      <c r="P102" s="118"/>
      <c r="Q102" s="118"/>
      <c r="R102" s="118"/>
      <c r="S102" s="118"/>
      <c r="T102" s="118"/>
      <c r="U102" s="118"/>
      <c r="V102" s="118"/>
    </row>
    <row r="103" outlineLevel="1">
      <c r="A103" s="106"/>
      <c r="B103" s="107"/>
      <c r="C103" s="295" t="s">
        <v>235</v>
      </c>
      <c r="D103" s="295" t="s">
        <v>49</v>
      </c>
      <c r="E103" s="295" t="s">
        <v>48</v>
      </c>
      <c r="F103" s="295" t="s">
        <v>50</v>
      </c>
      <c r="G103" s="296" t="s">
        <v>51</v>
      </c>
      <c r="H103" s="228"/>
      <c r="I103" s="228"/>
      <c r="J103" s="117"/>
      <c r="K103" s="297" t="str">
        <f>'テンプレート'!K116</f>
        <v>アイテム取得</v>
      </c>
      <c r="L103" s="109"/>
      <c r="M103" s="298" t="str">
        <f>'テンプレート'!M116</f>
        <v>取得フレーム</v>
      </c>
      <c r="N103" s="298" t="str">
        <f>'テンプレート'!N116</f>
        <v>全体フレーム</v>
      </c>
      <c r="O103" s="118"/>
      <c r="P103" s="118"/>
      <c r="Q103" s="118"/>
      <c r="R103" s="118"/>
      <c r="S103" s="118"/>
      <c r="T103" s="118"/>
      <c r="U103" s="118"/>
      <c r="V103" s="118"/>
    </row>
    <row r="104" outlineLevel="1">
      <c r="A104" s="299" t="s">
        <v>239</v>
      </c>
      <c r="B104" s="300" t="s">
        <v>240</v>
      </c>
      <c r="C104" s="301"/>
      <c r="D104" s="113">
        <f t="array" ref="D104">INDEX('崖行動・受け身'!$C$3:$C109, MATCH($A$1,'崖行動・受け身'!$A$3:$A$115,0), MATCH(D103,'崖行動・受け身'!$C$2,0))</f>
        <v>19</v>
      </c>
      <c r="E104" s="301"/>
      <c r="F104" s="301"/>
      <c r="G104" s="301"/>
      <c r="H104" s="228"/>
      <c r="I104" s="228"/>
      <c r="J104" s="111"/>
      <c r="K104" s="302" t="str">
        <f>'テンプレート'!K117</f>
        <v>小アイテム</v>
      </c>
      <c r="L104" s="303" t="str">
        <f>'テンプレート'!L117</f>
        <v>その場</v>
      </c>
      <c r="M104" s="113" t="s">
        <v>76</v>
      </c>
      <c r="N104" s="113">
        <v>7.0</v>
      </c>
      <c r="O104" s="118"/>
      <c r="P104" s="118"/>
      <c r="Q104" s="118"/>
      <c r="R104" s="118"/>
      <c r="S104" s="118"/>
      <c r="T104" s="118"/>
      <c r="U104" s="118"/>
      <c r="V104" s="118"/>
    </row>
    <row r="105" outlineLevel="1">
      <c r="A105" s="146"/>
      <c r="B105" s="300" t="s">
        <v>216</v>
      </c>
      <c r="C105" s="113" t="str">
        <f t="array" ref="C105">INDEX('崖行動・受け身'!$D$3:$E109, MATCH($A$1,'崖行動・受け身'!$A$3:$A$115,0), MATCH(C103,'崖行動・受け身'!$D$2:$E$2,0))</f>
        <v>1-33</v>
      </c>
      <c r="D105" s="113">
        <f t="array" ref="D105">INDEX('崖行動・受け身'!$D$3:$E109, MATCH($A$1,'崖行動・受け身'!$A$3:$A$115,0), MATCH(D103,'崖行動・受け身'!$D$2:$E$2,0))</f>
        <v>34</v>
      </c>
      <c r="E105" s="301"/>
      <c r="F105" s="301"/>
      <c r="G105" s="301"/>
      <c r="H105" s="228"/>
      <c r="I105" s="228"/>
      <c r="J105" s="117"/>
      <c r="K105" s="156"/>
      <c r="L105" s="303" t="str">
        <f>'テンプレート'!L118</f>
        <v>歩き</v>
      </c>
      <c r="M105" s="113" t="s">
        <v>76</v>
      </c>
      <c r="N105" s="113">
        <v>19.0</v>
      </c>
      <c r="O105" s="118"/>
      <c r="P105" s="118"/>
      <c r="Q105" s="118"/>
      <c r="R105" s="118"/>
      <c r="S105" s="118"/>
      <c r="T105" s="118"/>
      <c r="U105" s="118"/>
      <c r="V105" s="118"/>
    </row>
    <row r="106" outlineLevel="1">
      <c r="A106" s="146"/>
      <c r="B106" s="300" t="s">
        <v>241</v>
      </c>
      <c r="C106" s="113" t="str">
        <f t="array" ref="C106">INDEX('崖行動・受け身'!$F$3:$G$115, MATCH($A$1,'崖行動・受け身'!$A$3:$A$115,0), MATCH(C103,'崖行動・受け身'!$F$2:$G$2,0))</f>
        <v>1-27</v>
      </c>
      <c r="D106" s="113">
        <f t="array" ref="D106">INDEX('崖行動・受け身'!$F$3:$G$115, MATCH($A$1,'崖行動・受け身'!$A$3:$A$115,0), MATCH(D103,'崖行動・受け身'!$F$2:$G$2,0))</f>
        <v>45</v>
      </c>
      <c r="E106" s="301"/>
      <c r="F106" s="301"/>
      <c r="G106" s="301"/>
      <c r="H106" s="228"/>
      <c r="I106" s="228"/>
      <c r="J106" s="111"/>
      <c r="K106" s="304" t="str">
        <f>'テンプレート'!K119</f>
        <v>アイテム投擲</v>
      </c>
      <c r="L106" s="109"/>
      <c r="M106" s="298" t="str">
        <f>'テンプレート'!M119</f>
        <v>投擲フレーム</v>
      </c>
      <c r="N106" s="298" t="str">
        <f>'テンプレート'!N119</f>
        <v>全体フレーム</v>
      </c>
      <c r="O106" s="118"/>
      <c r="P106" s="118"/>
      <c r="Q106" s="118"/>
      <c r="R106" s="118"/>
      <c r="S106" s="118"/>
      <c r="T106" s="118"/>
      <c r="U106" s="118"/>
      <c r="V106" s="118"/>
    </row>
    <row r="107" outlineLevel="1">
      <c r="A107" s="146"/>
      <c r="B107" s="300" t="s">
        <v>242</v>
      </c>
      <c r="C107" s="113" t="str">
        <f t="array" ref="C107">INDEX('崖行動・受け身'!$H$3:$I$115, MATCH($A$1,'崖行動・受け身'!$A$3:$A$115,0), MATCH(C103,'崖行動・受け身'!$H$2:$I$2,0))</f>
        <v>1-12</v>
      </c>
      <c r="D107" s="113">
        <f t="array" ref="D107">INDEX('崖行動・受け身'!$H$3:$I$115, MATCH($A$1,'崖行動・受け身'!$A$3:$A$115,0), MATCH(D103,'崖行動・受け身'!$H$2:$I$2,0))</f>
        <v>14</v>
      </c>
      <c r="E107" s="301"/>
      <c r="F107" s="301"/>
      <c r="G107" s="301"/>
      <c r="H107" s="228"/>
      <c r="I107" s="228"/>
      <c r="J107" s="117"/>
      <c r="K107" s="305" t="str">
        <f>'テンプレート'!K120</f>
        <v>地上投擲</v>
      </c>
      <c r="L107" s="303" t="str">
        <f>'テンプレート'!L120</f>
        <v>前投げ</v>
      </c>
      <c r="M107" s="113" t="s">
        <v>274</v>
      </c>
      <c r="N107" s="113">
        <v>24.0</v>
      </c>
      <c r="O107" s="111"/>
      <c r="P107" s="111"/>
      <c r="Q107" s="111"/>
      <c r="R107" s="111"/>
      <c r="S107" s="111"/>
      <c r="T107" s="111"/>
      <c r="U107" s="111"/>
      <c r="V107" s="111"/>
    </row>
    <row r="108" outlineLevel="1">
      <c r="A108" s="156"/>
      <c r="B108" s="300" t="s">
        <v>243</v>
      </c>
      <c r="C108" s="113" t="str">
        <f t="array" ref="C108">INDEX('崖行動・受け身'!$J$3:$M$115, MATCH($A$1,'崖行動・受け身'!$A$3:$A$115,0), MATCH(C103,'崖行動・受け身'!$J$2:$M$2,0))</f>
        <v>1-22</v>
      </c>
      <c r="D108" s="113">
        <f t="array" ref="D108">INDEX('崖行動・受け身'!$J$3:$M$115, MATCH($A$1,'崖行動・受け身'!$A$3:$A$115,0), MATCH(D103,'崖行動・受け身'!$J$2:$M$2,0))</f>
        <v>55</v>
      </c>
      <c r="E108" s="113" t="str">
        <f t="array" ref="E108">INDEX('崖行動・受け身'!$J$3:$M$115, MATCH($A$1,'崖行動・受け身'!$A$3:$A$115,0), MATCH(E103,'崖行動・受け身'!$J$2:$M$2,0))</f>
        <v>20-22</v>
      </c>
      <c r="F108" s="113">
        <f t="array" ref="F108">INDEX('崖行動・受け身'!$J$3:$M$115, MATCH($A$1,'崖行動・受け身'!$A$3:$A$115,0), MATCH(F103,'崖行動・受け身'!$J$2:$M$2,0))</f>
        <v>9</v>
      </c>
      <c r="G108" s="113">
        <f>F108*1.2</f>
        <v>10.8</v>
      </c>
      <c r="H108" s="228"/>
      <c r="I108" s="228"/>
      <c r="J108" s="111"/>
      <c r="K108" s="146"/>
      <c r="L108" s="303" t="str">
        <f>'テンプレート'!L121</f>
        <v>後投げ</v>
      </c>
      <c r="M108" s="113" t="s">
        <v>129</v>
      </c>
      <c r="N108" s="113">
        <v>24.0</v>
      </c>
      <c r="O108" s="111"/>
      <c r="P108" s="111"/>
      <c r="Q108" s="111"/>
      <c r="R108" s="111"/>
      <c r="S108" s="111"/>
      <c r="T108" s="111"/>
      <c r="U108" s="111"/>
      <c r="V108" s="111"/>
    </row>
    <row r="109" outlineLevel="1">
      <c r="A109" s="299" t="s">
        <v>244</v>
      </c>
      <c r="B109" s="300" t="s">
        <v>216</v>
      </c>
      <c r="C109" s="113" t="str">
        <f t="array" ref="C109">INDEX('崖行動・受け身'!$N$3:$O$115, MATCH($A$1,'崖行動・受け身'!$A$3:$A$115,0), MATCH(C103,'崖行動・受け身'!$N$2:$O$2,0))</f>
        <v>1-20</v>
      </c>
      <c r="D109" s="113">
        <f t="array" ref="D109">INDEX('崖行動・受け身'!$N$3:$O$115, MATCH($A$1,'崖行動・受け身'!$A$3:$A$115,0), MATCH(D103,'崖行動・受け身'!$N$2:$O$2,0))</f>
        <v>26</v>
      </c>
      <c r="E109" s="301"/>
      <c r="F109" s="301"/>
      <c r="G109" s="301"/>
      <c r="H109" s="228"/>
      <c r="I109" s="228"/>
      <c r="J109" s="117"/>
      <c r="K109" s="146"/>
      <c r="L109" s="303" t="str">
        <f>'テンプレート'!L122</f>
        <v>上投げ</v>
      </c>
      <c r="M109" s="113" t="s">
        <v>228</v>
      </c>
      <c r="N109" s="113">
        <v>23.0</v>
      </c>
      <c r="O109" s="228"/>
      <c r="P109" s="228"/>
      <c r="Q109" s="228"/>
      <c r="R109" s="228"/>
      <c r="S109" s="228"/>
      <c r="T109" s="228"/>
      <c r="U109" s="228"/>
      <c r="V109" s="228"/>
    </row>
    <row r="110" outlineLevel="1">
      <c r="A110" s="146"/>
      <c r="B110" s="300" t="s">
        <v>245</v>
      </c>
      <c r="C110" s="113" t="str">
        <f t="array" ref="C110">INDEX('崖行動・受け身'!$P$3:$Q$115, MATCH($A$1,'崖行動・受け身'!$A$3:$A$115,0), MATCH(C103,'崖行動・受け身'!$P$2:$Q$2,0))</f>
        <v>1-20</v>
      </c>
      <c r="D110" s="113">
        <f t="array" ref="D110">INDEX('崖行動・受け身'!$P$3:$Q$115, MATCH($A$1,'崖行動・受け身'!$A$3:$A$115,0), MATCH(D103,'崖行動・受け身'!$P$2:$Q$2,0))</f>
        <v>40</v>
      </c>
      <c r="E110" s="301"/>
      <c r="F110" s="301"/>
      <c r="G110" s="301"/>
      <c r="H110" s="228"/>
      <c r="I110" s="228"/>
      <c r="J110" s="111"/>
      <c r="K110" s="146"/>
      <c r="L110" s="303" t="str">
        <f>'テンプレート'!L123</f>
        <v>下投げ</v>
      </c>
      <c r="M110" s="113" t="s">
        <v>80</v>
      </c>
      <c r="N110" s="113">
        <v>19.0</v>
      </c>
      <c r="O110" s="118"/>
      <c r="P110" s="118"/>
      <c r="Q110" s="118"/>
      <c r="R110" s="118"/>
      <c r="S110" s="118"/>
      <c r="T110" s="118"/>
      <c r="U110" s="118"/>
      <c r="V110" s="118"/>
    </row>
    <row r="111" outlineLevel="1">
      <c r="A111" s="156"/>
      <c r="B111" s="300" t="s">
        <v>246</v>
      </c>
      <c r="C111" s="113" t="str">
        <f t="array" ref="C111">INDEX('崖行動・受け身'!$R$3:$S$115, MATCH($A$1,'崖行動・受け身'!$A$3:$A$115,0), MATCH(C103,'崖行動・受け身'!$R$2:$S$2,0))</f>
        <v>1-20</v>
      </c>
      <c r="D111" s="113">
        <f t="array" ref="D111">INDEX('崖行動・受け身'!$R$3:$S$115, MATCH($A$1,'崖行動・受け身'!$A$3:$A$115,0), MATCH(D103,'崖行動・受け身'!$R$2:$S$2,0))</f>
        <v>40</v>
      </c>
      <c r="E111" s="301"/>
      <c r="F111" s="301"/>
      <c r="G111" s="301"/>
      <c r="H111" s="228"/>
      <c r="I111" s="228"/>
      <c r="J111" s="117"/>
      <c r="K111" s="146"/>
      <c r="L111" s="306" t="str">
        <f>'テンプレート'!L124</f>
        <v>ダッシュ</v>
      </c>
      <c r="M111" s="113" t="s">
        <v>86</v>
      </c>
      <c r="N111" s="113">
        <v>37.0</v>
      </c>
      <c r="O111" s="118"/>
      <c r="P111" s="118"/>
      <c r="Q111" s="118"/>
      <c r="R111" s="118"/>
      <c r="S111" s="118"/>
      <c r="T111" s="118"/>
      <c r="U111" s="118"/>
      <c r="V111" s="118"/>
    </row>
    <row r="112" outlineLevel="1">
      <c r="A112" s="299" t="s">
        <v>247</v>
      </c>
      <c r="B112" s="300" t="s">
        <v>248</v>
      </c>
      <c r="C112" s="301"/>
      <c r="D112" s="113" t="str">
        <f t="array" ref="D112">INDEX('起きあがり'!$C$3:$C109, MATCH($A$1,'起きあがり'!$A$3:$A$115,0), MATCH(D103,'起きあがり'!$C$2:$AD$2,0))</f>
        <v>25</v>
      </c>
      <c r="E112" s="301"/>
      <c r="F112" s="301"/>
      <c r="G112" s="301"/>
      <c r="H112" s="228"/>
      <c r="I112" s="228"/>
      <c r="J112" s="111"/>
      <c r="K112" s="156"/>
      <c r="L112" s="306" t="str">
        <f>'テンプレート'!L125</f>
        <v>その場捨て</v>
      </c>
      <c r="M112" s="113" t="s">
        <v>93</v>
      </c>
      <c r="N112" s="113">
        <v>23.0</v>
      </c>
      <c r="O112" s="118"/>
      <c r="P112" s="118"/>
      <c r="Q112" s="118"/>
      <c r="R112" s="118"/>
      <c r="S112" s="118"/>
      <c r="T112" s="118"/>
      <c r="U112" s="118"/>
      <c r="V112" s="118"/>
    </row>
    <row r="113" outlineLevel="1">
      <c r="A113" s="146"/>
      <c r="B113" s="300" t="s">
        <v>216</v>
      </c>
      <c r="C113" s="307" t="str">
        <f t="array" ref="C113">INDEX('起きあがり'!$D$3:$E109, MATCH($A$1,'起きあがり'!$A$3:$A$115,0), MATCH(C103,'起きあがり'!$D$2:$AD$2,0))</f>
        <v>1-22</v>
      </c>
      <c r="D113" s="308">
        <f t="array" ref="D113">INDEX('起きあがり'!$D$3:$E109, MATCH($A$1,'起きあがり'!$A$3:$A$115,0), MATCH(D103,'起きあがり'!$D$2:$AD$2,0))</f>
        <v>29</v>
      </c>
      <c r="E113" s="301"/>
      <c r="F113" s="301"/>
      <c r="G113" s="301"/>
      <c r="H113" s="228"/>
      <c r="I113" s="228"/>
      <c r="J113" s="117"/>
      <c r="K113" s="305" t="str">
        <f>'テンプレート'!K126</f>
        <v>空中投擲</v>
      </c>
      <c r="L113" s="303" t="str">
        <f>'テンプレート'!L126</f>
        <v>前投げ</v>
      </c>
      <c r="M113" s="113" t="s">
        <v>274</v>
      </c>
      <c r="N113" s="113">
        <v>24.0</v>
      </c>
      <c r="O113" s="118"/>
      <c r="P113" s="118"/>
      <c r="Q113" s="118"/>
      <c r="R113" s="118"/>
      <c r="S113" s="118"/>
      <c r="T113" s="118"/>
      <c r="U113" s="118"/>
      <c r="V113" s="118"/>
    </row>
    <row r="114" outlineLevel="1">
      <c r="A114" s="146"/>
      <c r="B114" s="300" t="s">
        <v>245</v>
      </c>
      <c r="C114" s="307" t="str">
        <f t="array" ref="C114">INDEX('起きあがり'!$F$3:$G$115, MATCH($A$1,'起きあがり'!$A$3:$A$115,0), MATCH(C103,'起きあがり'!$F$2:$AD$2,0))</f>
        <v>1-19</v>
      </c>
      <c r="D114" s="308">
        <f t="array" ref="D114">INDEX('起きあがり'!$F$3:$G$115, MATCH($A$1,'起きあがり'!$A$3:$A$115,0), MATCH(D103,'起きあがり'!$F$2:$AD$2,0))</f>
        <v>35</v>
      </c>
      <c r="E114" s="301"/>
      <c r="F114" s="301"/>
      <c r="G114" s="301"/>
      <c r="H114" s="228"/>
      <c r="I114" s="228"/>
      <c r="J114" s="111"/>
      <c r="K114" s="146"/>
      <c r="L114" s="303" t="str">
        <f>'テンプレート'!L127</f>
        <v>後投げ</v>
      </c>
      <c r="M114" s="113" t="s">
        <v>129</v>
      </c>
      <c r="N114" s="113">
        <v>24.0</v>
      </c>
      <c r="O114" s="118"/>
      <c r="P114" s="118"/>
      <c r="Q114" s="118"/>
      <c r="R114" s="118"/>
      <c r="S114" s="118"/>
      <c r="T114" s="118"/>
      <c r="U114" s="118"/>
      <c r="V114" s="118"/>
    </row>
    <row r="115" outlineLevel="1">
      <c r="A115" s="146"/>
      <c r="B115" s="300" t="s">
        <v>246</v>
      </c>
      <c r="C115" s="113" t="str">
        <f t="array" ref="C115">INDEX('起きあがり'!$H$3:$I$115, MATCH($A$1,'起きあがり'!$A$3:$A$115,0), MATCH(C103,'起きあがり'!$H$2:$AD$2,0))</f>
        <v>1-20</v>
      </c>
      <c r="D115" s="113">
        <f t="array" ref="D115">INDEX('起きあがり'!$H$3:$I$115, MATCH($A$1,'起きあがり'!$A$3:$A$115,0), MATCH(D103,'起きあがり'!$H$2:$AD$2,0))</f>
        <v>35</v>
      </c>
      <c r="E115" s="301"/>
      <c r="F115" s="301"/>
      <c r="G115" s="301"/>
      <c r="H115" s="228"/>
      <c r="I115" s="228"/>
      <c r="J115" s="117"/>
      <c r="K115" s="146"/>
      <c r="L115" s="303" t="str">
        <f>'テンプレート'!L128</f>
        <v>上投げ</v>
      </c>
      <c r="M115" s="113" t="s">
        <v>228</v>
      </c>
      <c r="N115" s="113">
        <v>23.0</v>
      </c>
      <c r="O115" s="118"/>
      <c r="P115" s="118"/>
      <c r="Q115" s="118"/>
      <c r="R115" s="118"/>
      <c r="S115" s="118"/>
      <c r="T115" s="118"/>
      <c r="U115" s="118"/>
      <c r="V115" s="118"/>
    </row>
    <row r="116" outlineLevel="1">
      <c r="A116" s="146"/>
      <c r="B116" s="300" t="s">
        <v>249</v>
      </c>
      <c r="C116" s="309" t="str">
        <f t="array" ref="C116">INDEX('起きあがり'!$J$3:$M$115, MATCH($A$1,'起きあがり'!$A$3:$A$115,0), MATCH(C103,'起きあがり'!$J$2:$AD$2,0))</f>
        <v>1-25</v>
      </c>
      <c r="D116" s="310">
        <f t="array" ref="D116">INDEX('起きあがり'!$J$3:$M$115, MATCH($A$1,'起きあがり'!$A$3:$A$115,0), MATCH(D103,'起きあがり'!$J$2:$AD$2,0))</f>
        <v>45</v>
      </c>
      <c r="E116" s="307" t="str">
        <f t="array" ref="E116">INDEX('起きあがり'!$J$3:$M$115, MATCH($A$1,'起きあがり'!$A$3:$A$115,0), MATCH(E103,'起きあがり'!$J$2:$AD$2,0))</f>
        <v>14-15</v>
      </c>
      <c r="F116" s="308">
        <f t="array" ref="F116">INDEX('起きあがり'!$J$3:$M$115, MATCH($A$1,'起きあがり'!$A$3:$A$115,0), MATCH(F103,'起きあがり'!$J$2:$AD$2,0))</f>
        <v>7</v>
      </c>
      <c r="G116" s="113">
        <f t="shared" ref="G116:G117" si="1">F116*1.2</f>
        <v>8.4</v>
      </c>
      <c r="H116" s="228"/>
      <c r="I116" s="228"/>
      <c r="J116" s="111"/>
      <c r="K116" s="156"/>
      <c r="L116" s="303" t="str">
        <f>'テンプレート'!L129</f>
        <v>下投げ</v>
      </c>
      <c r="M116" s="113" t="s">
        <v>80</v>
      </c>
      <c r="N116" s="113">
        <v>19.0</v>
      </c>
      <c r="O116" s="111"/>
      <c r="P116" s="111"/>
      <c r="Q116" s="111"/>
      <c r="R116" s="111"/>
      <c r="S116" s="111"/>
      <c r="T116" s="111"/>
      <c r="U116" s="111"/>
      <c r="V116" s="111"/>
    </row>
    <row r="117" outlineLevel="1">
      <c r="A117" s="156"/>
      <c r="B117" s="311" t="s">
        <v>250</v>
      </c>
      <c r="C117" s="156"/>
      <c r="D117" s="156"/>
      <c r="E117" s="307" t="str">
        <f t="array" ref="E117">INDEX('起きあがり'!$N$3:$O$115, MATCH($A$1,'起きあがり'!$A$3:$A$115,0), MATCH(E103,'起きあがり'!$N$2:$AD$2,0))</f>
        <v>24-25</v>
      </c>
      <c r="F117" s="308">
        <f t="array" ref="F117">INDEX('起きあがり'!$N$3:$O$115, MATCH($A$1,'起きあがり'!$A$3:$A$115,0), MATCH(F103,'起きあがり'!$N$2:$AD$2,0))</f>
        <v>7</v>
      </c>
      <c r="G117" s="113">
        <f t="shared" si="1"/>
        <v>8.4</v>
      </c>
      <c r="H117" s="228"/>
      <c r="I117" s="228"/>
      <c r="J117" s="111"/>
      <c r="K117" s="312" t="str">
        <f>'テンプレート'!K130</f>
        <v>踏み台ジャンプ</v>
      </c>
      <c r="L117" s="168"/>
      <c r="M117" s="298" t="str">
        <f>'テンプレート'!M130</f>
        <v>全体フレーム</v>
      </c>
      <c r="N117" s="114"/>
      <c r="O117" s="111"/>
      <c r="P117" s="111"/>
      <c r="Q117" s="111"/>
      <c r="R117" s="111"/>
      <c r="S117" s="111"/>
      <c r="T117" s="111"/>
      <c r="U117" s="111"/>
      <c r="V117" s="111"/>
    </row>
    <row r="118" outlineLevel="1">
      <c r="A118" s="299" t="s">
        <v>251</v>
      </c>
      <c r="B118" s="300" t="s">
        <v>248</v>
      </c>
      <c r="C118" s="301"/>
      <c r="D118" s="307" t="str">
        <f t="array" ref="D118">INDEX('起きあがり'!$C$3:$C109, MATCH($A$1,'起きあがり'!$A$3:$A$115,0), MATCH(D103,'起きあがり'!$C$2,0))</f>
        <v>25</v>
      </c>
      <c r="E118" s="301"/>
      <c r="F118" s="301"/>
      <c r="G118" s="301"/>
      <c r="H118" s="228"/>
      <c r="I118" s="228"/>
      <c r="J118" s="117"/>
      <c r="K118" s="313" t="str">
        <f>'テンプレート'!K131</f>
        <v>踏み</v>
      </c>
      <c r="L118" s="314" t="str">
        <f>'テンプレート'!L131</f>
        <v>踏み</v>
      </c>
      <c r="M118" s="113">
        <v>8.0</v>
      </c>
      <c r="N118" s="315"/>
      <c r="O118" s="111"/>
      <c r="P118" s="111"/>
      <c r="Q118" s="111"/>
      <c r="R118" s="111"/>
      <c r="S118" s="111"/>
      <c r="T118" s="111"/>
      <c r="U118" s="111"/>
      <c r="V118" s="111"/>
    </row>
    <row r="119" outlineLevel="1">
      <c r="A119" s="146"/>
      <c r="B119" s="300" t="s">
        <v>216</v>
      </c>
      <c r="C119" s="307" t="str">
        <f t="array" ref="C119">INDEX('起きあがり'!$P$3:$Q$115, MATCH($A$1,'起きあがり'!$A$3:$A$115,0), MATCH(C103,'起きあがり'!$P$2:$AD$2,0))</f>
        <v>1-22</v>
      </c>
      <c r="D119" s="308">
        <f t="array" ref="D119">INDEX('起きあがり'!$P$3:$Q$115, MATCH($A$1,'起きあがり'!$A$3:$A$115,0), MATCH(D103,'起きあがり'!$P$2:$AD$2,0))</f>
        <v>29</v>
      </c>
      <c r="E119" s="301"/>
      <c r="F119" s="301"/>
      <c r="G119" s="301"/>
      <c r="H119" s="228"/>
      <c r="I119" s="228"/>
      <c r="J119" s="111"/>
      <c r="K119" s="305" t="str">
        <f>'テンプレート'!K132</f>
        <v>踏まれ</v>
      </c>
      <c r="L119" s="314" t="str">
        <f>'テンプレート'!L132</f>
        <v>地上踏まれ</v>
      </c>
      <c r="M119" s="113" t="s">
        <v>76</v>
      </c>
      <c r="N119" s="315"/>
      <c r="O119" s="228"/>
      <c r="P119" s="228"/>
      <c r="Q119" s="228"/>
      <c r="R119" s="228"/>
      <c r="S119" s="228"/>
      <c r="T119" s="228"/>
      <c r="U119" s="228"/>
      <c r="V119" s="228"/>
    </row>
    <row r="120" outlineLevel="1">
      <c r="A120" s="146"/>
      <c r="B120" s="300" t="s">
        <v>245</v>
      </c>
      <c r="C120" s="307" t="str">
        <f t="array" ref="C120">INDEX('起きあがり'!$R$3:$S$115, MATCH($A$1,'起きあがり'!$A$3:$A$115,0), MATCH(C103,'起きあがり'!$R$2:$AD$2,0))</f>
        <v>1-19</v>
      </c>
      <c r="D120" s="308">
        <f t="array" ref="D120">INDEX('起きあがり'!$R$3:$S$115, MATCH($A$1,'起きあがり'!$A$3:$A$115,0), MATCH(D103,'起きあがり'!$R$2:$AD$2,0))</f>
        <v>35</v>
      </c>
      <c r="E120" s="301"/>
      <c r="F120" s="301"/>
      <c r="G120" s="301"/>
      <c r="H120" s="228"/>
      <c r="I120" s="228"/>
      <c r="J120" s="117"/>
      <c r="K120" s="146"/>
      <c r="L120" s="314" t="s">
        <v>693</v>
      </c>
      <c r="M120" s="113">
        <v>28.0</v>
      </c>
      <c r="N120" s="102"/>
      <c r="O120" s="118"/>
      <c r="P120" s="118"/>
      <c r="Q120" s="118"/>
      <c r="R120" s="118"/>
      <c r="S120" s="118"/>
      <c r="T120" s="118"/>
      <c r="U120" s="118"/>
      <c r="V120" s="118"/>
    </row>
    <row r="121" outlineLevel="1">
      <c r="A121" s="146"/>
      <c r="B121" s="300" t="s">
        <v>246</v>
      </c>
      <c r="C121" s="307" t="str">
        <f t="array" ref="C121">INDEX('起きあがり'!$T$3:$U$115, MATCH($A$1,'起きあがり'!$A$3:$A$115,0), MATCH(C103,'起きあがり'!$T$2:$AD$2,0))</f>
        <v>1-24</v>
      </c>
      <c r="D121" s="308">
        <f t="array" ref="D121">INDEX('起きあがり'!$T$3:$U$115, MATCH($A$1,'起きあがり'!$A$3:$A$115,0), MATCH(D103,'起きあがり'!$T$2:$AD$2,0))</f>
        <v>35</v>
      </c>
      <c r="E121" s="301"/>
      <c r="F121" s="301"/>
      <c r="G121" s="301"/>
      <c r="H121" s="228"/>
      <c r="I121" s="228"/>
      <c r="J121" s="111"/>
      <c r="K121" s="146"/>
      <c r="L121" s="314" t="str">
        <f>'テンプレート'!L134</f>
        <v>空中踏まれ</v>
      </c>
      <c r="M121" s="113">
        <v>8.0</v>
      </c>
      <c r="N121" s="102"/>
      <c r="O121" s="118"/>
      <c r="P121" s="118"/>
      <c r="Q121" s="118"/>
      <c r="R121" s="118"/>
      <c r="S121" s="118"/>
      <c r="T121" s="118"/>
      <c r="U121" s="118"/>
      <c r="V121" s="118"/>
    </row>
    <row r="122" outlineLevel="1">
      <c r="A122" s="146"/>
      <c r="B122" s="300" t="s">
        <v>249</v>
      </c>
      <c r="C122" s="309" t="str">
        <f t="array" ref="C122">INDEX('起きあがり'!$V$3:$Y$115, MATCH($A$1,'起きあがり'!$A$3:$A$115,0), MATCH(C103,'起きあがり'!$V$2:$AD$2,0))</f>
        <v>1-24</v>
      </c>
      <c r="D122" s="310">
        <f t="array" ref="D122">INDEX('起きあがり'!$V$3:$Y$115, MATCH($A$1,'起きあがり'!$A$3:$A$115,0), MATCH(D103,'起きあがり'!$V$2:$AD$2,0))</f>
        <v>45</v>
      </c>
      <c r="E122" s="307" t="str">
        <f t="array" ref="E122">INDEX('起きあがり'!$V$3:$Y$115, MATCH($A$1,'起きあがり'!$A$3:$A$115,0), MATCH(E103,'起きあがり'!$V$2:$AD$2,0))</f>
        <v>14-15</v>
      </c>
      <c r="F122" s="308">
        <f t="array" ref="F122">INDEX('起きあがり'!$V$3:$Y$115, MATCH($A$1,'起きあがり'!$A$3:$A$115,0), MATCH(F103,'起きあがり'!$V$2:$AD$2,0))</f>
        <v>7</v>
      </c>
      <c r="G122" s="113">
        <f t="shared" ref="G122:G123" si="2">F122*1.2</f>
        <v>8.4</v>
      </c>
      <c r="H122" s="228"/>
      <c r="I122" s="228"/>
      <c r="J122" s="117"/>
      <c r="K122" s="146"/>
      <c r="L122" s="314" t="str">
        <f>'テンプレート'!L135</f>
        <v>空中落下</v>
      </c>
      <c r="M122" s="113">
        <v>33.0</v>
      </c>
      <c r="N122" s="102"/>
      <c r="O122" s="118"/>
      <c r="P122" s="118"/>
      <c r="Q122" s="118"/>
      <c r="R122" s="118"/>
      <c r="S122" s="118"/>
      <c r="T122" s="118"/>
      <c r="U122" s="118"/>
      <c r="V122" s="118"/>
    </row>
    <row r="123" outlineLevel="1">
      <c r="A123" s="156"/>
      <c r="B123" s="311" t="s">
        <v>250</v>
      </c>
      <c r="C123" s="156"/>
      <c r="D123" s="156"/>
      <c r="E123" s="307" t="str">
        <f t="array" ref="E123">INDEX('起きあがり'!$Z$3:$AA$115, MATCH($A$1,'起きあがり'!$A$3:$A$115,0), MATCH(E103,'起きあがり'!$Z$2:$AD$2,0))</f>
        <v>23-24</v>
      </c>
      <c r="F123" s="308">
        <f t="array" ref="F123">INDEX('起きあがり'!$Z$3:$AA$115, MATCH($A$1,'起きあがり'!$A$3:$A$115,0), MATCH(F103,'起きあがり'!$Z$2:$AD$2,0))</f>
        <v>7</v>
      </c>
      <c r="G123" s="113">
        <f t="shared" si="2"/>
        <v>8.4</v>
      </c>
      <c r="H123" s="228"/>
      <c r="I123" s="228"/>
      <c r="J123" s="117"/>
      <c r="K123" s="304" t="str">
        <f>'テンプレート'!K136</f>
        <v>倒れダメージ</v>
      </c>
      <c r="L123" s="110"/>
      <c r="M123" s="298" t="str">
        <f>'テンプレート'!M136</f>
        <v>全体フレーム</v>
      </c>
      <c r="N123" s="102"/>
      <c r="O123" s="118"/>
      <c r="P123" s="118"/>
      <c r="Q123" s="118"/>
      <c r="R123" s="118"/>
      <c r="S123" s="118"/>
      <c r="T123" s="118"/>
      <c r="U123" s="118"/>
      <c r="V123" s="118"/>
    </row>
    <row r="124" outlineLevel="1">
      <c r="A124" s="299" t="s">
        <v>252</v>
      </c>
      <c r="B124" s="300" t="s">
        <v>253</v>
      </c>
      <c r="C124" s="307" t="str">
        <f t="array" ref="C124">INDEX('転倒'!$C$3:$D109, MATCH($A$1,'転倒'!$A$3:$A$115,0), MATCH(C103,'転倒'!$C$2:$AC$2,0))</f>
        <v>1-5</v>
      </c>
      <c r="D124" s="308">
        <f t="array" ref="D124">INDEX('転倒'!$C$3:$D109, MATCH($A$1,'転倒'!$A$3:$A$115,0), MATCH(D103,'転倒'!$C$2:$AC$2,0))</f>
        <v>29</v>
      </c>
      <c r="E124" s="301"/>
      <c r="F124" s="301"/>
      <c r="G124" s="301"/>
      <c r="H124" s="228"/>
      <c r="I124" s="228"/>
      <c r="J124" s="111"/>
      <c r="K124" s="313" t="str">
        <f>'テンプレート'!K137</f>
        <v>あお向け倒れ</v>
      </c>
      <c r="L124" s="306" t="str">
        <f>'テンプレート'!L137</f>
        <v>モーション大</v>
      </c>
      <c r="M124" s="113">
        <v>39.0</v>
      </c>
      <c r="N124" s="315"/>
      <c r="O124" s="118"/>
      <c r="P124" s="118"/>
      <c r="Q124" s="118"/>
      <c r="R124" s="118"/>
      <c r="S124" s="118"/>
      <c r="T124" s="118"/>
      <c r="U124" s="118"/>
      <c r="V124" s="118"/>
    </row>
    <row r="125" outlineLevel="1">
      <c r="A125" s="146"/>
      <c r="B125" s="300" t="s">
        <v>254</v>
      </c>
      <c r="C125" s="307" t="str">
        <f t="array" ref="C125">INDEX('転倒'!$E$3:$F109, MATCH($A$1,'転倒'!$A$3:$A$115,0), MATCH(C103,'転倒'!$E$2:$AC$2,0))</f>
        <v>1-5</v>
      </c>
      <c r="D125" s="308">
        <f t="array" ref="D125">INDEX('転倒'!$E$3:$F109, MATCH($A$1,'転倒'!$A$3:$A$115,0), MATCH(D103,'転倒'!$E$2:$AC$2,0))</f>
        <v>39</v>
      </c>
      <c r="E125" s="301"/>
      <c r="F125" s="301"/>
      <c r="G125" s="301"/>
      <c r="H125" s="228"/>
      <c r="I125" s="228"/>
      <c r="J125" s="117"/>
      <c r="K125" s="313" t="str">
        <f>'テンプレート'!K138</f>
        <v>うつ伏せ倒れ</v>
      </c>
      <c r="L125" s="306" t="str">
        <f>'テンプレート'!L138</f>
        <v>モーション大</v>
      </c>
      <c r="M125" s="113" t="s">
        <v>118</v>
      </c>
      <c r="N125" s="315"/>
      <c r="O125" s="118"/>
      <c r="P125" s="118"/>
      <c r="Q125" s="118"/>
      <c r="R125" s="118"/>
      <c r="S125" s="118"/>
      <c r="T125" s="118"/>
      <c r="U125" s="118"/>
      <c r="V125" s="118"/>
    </row>
    <row r="126" outlineLevel="1">
      <c r="A126" s="146"/>
      <c r="B126" s="300" t="s">
        <v>216</v>
      </c>
      <c r="C126" s="307" t="str">
        <f t="array" ref="C126">INDEX('転倒'!$G$3:$H$115, MATCH($A$1,'転倒'!$A$3:$A$115,0), MATCH(C103,'転倒'!$G$2:$AC$2,0))</f>
        <v>1-16</v>
      </c>
      <c r="D126" s="308">
        <f t="array" ref="D126">INDEX('転倒'!$G$3:$H$115, MATCH($A$1,'転倒'!$A$3:$A$115,0), MATCH(D103,'転倒'!$G$2:$AC$2,0))</f>
        <v>21</v>
      </c>
      <c r="E126" s="301"/>
      <c r="F126" s="301"/>
      <c r="G126" s="301"/>
      <c r="H126" s="228"/>
      <c r="I126" s="228"/>
      <c r="J126" s="111"/>
      <c r="K126" s="304" t="str">
        <f>'テンプレート'!K139</f>
        <v/>
      </c>
      <c r="L126" s="110"/>
      <c r="M126" s="298" t="str">
        <f>'テンプレート'!M139</f>
        <v/>
      </c>
      <c r="N126" s="102"/>
      <c r="O126" s="118"/>
      <c r="P126" s="118"/>
      <c r="Q126" s="118"/>
      <c r="R126" s="118"/>
      <c r="S126" s="118"/>
      <c r="T126" s="118"/>
      <c r="U126" s="118"/>
      <c r="V126" s="118"/>
    </row>
    <row r="127" outlineLevel="1">
      <c r="A127" s="146"/>
      <c r="B127" s="300" t="s">
        <v>245</v>
      </c>
      <c r="C127" s="307" t="str">
        <f t="array" ref="C127">INDEX('転倒'!$I$3:$J$115, MATCH($A$1,'転倒'!$A$3:$A$115,0), MATCH(C103,'転倒'!$I$2:$AC$2,0))</f>
        <v>1-9</v>
      </c>
      <c r="D127" s="308">
        <f t="array" ref="D127">INDEX('転倒'!$I$3:$J$115, MATCH($A$1,'転倒'!$A$3:$A$115,0), MATCH(D103,'転倒'!$I$2:$AC$2,0))</f>
        <v>28</v>
      </c>
      <c r="E127" s="301"/>
      <c r="F127" s="301"/>
      <c r="G127" s="301"/>
      <c r="H127" s="228"/>
      <c r="I127" s="228"/>
      <c r="J127" s="228"/>
      <c r="K127" s="316"/>
      <c r="L127" s="317" t="str">
        <f>'テンプレート'!L140</f>
        <v/>
      </c>
      <c r="M127" s="113" t="s">
        <v>76</v>
      </c>
      <c r="N127" s="102"/>
      <c r="O127" s="118"/>
      <c r="P127" s="118"/>
      <c r="Q127" s="118"/>
      <c r="R127" s="118"/>
      <c r="S127" s="118"/>
      <c r="T127" s="118"/>
      <c r="U127" s="118"/>
      <c r="V127" s="118"/>
    </row>
    <row r="128" outlineLevel="1">
      <c r="A128" s="146"/>
      <c r="B128" s="300" t="s">
        <v>246</v>
      </c>
      <c r="C128" s="307" t="str">
        <f t="array" ref="C128">INDEX('転倒'!$K$3:$L$115, MATCH($A$1,'転倒'!$A$3:$A$115,0), MATCH(C103,'転倒'!$K$2:$AC$2,0))</f>
        <v>1-9</v>
      </c>
      <c r="D128" s="308">
        <f t="array" ref="D128">INDEX('転倒'!$K$3:$L$115, MATCH($A$1,'転倒'!$A$3:$A$115,0), MATCH(D103,'転倒'!$K$2:$AC$2,0))</f>
        <v>28</v>
      </c>
      <c r="E128" s="301"/>
      <c r="F128" s="301"/>
      <c r="G128" s="301"/>
      <c r="H128" s="228"/>
      <c r="I128" s="228"/>
      <c r="J128" s="228"/>
      <c r="K128" s="318"/>
      <c r="L128" s="118"/>
      <c r="M128" s="118"/>
      <c r="N128" s="102"/>
      <c r="O128" s="118"/>
      <c r="P128" s="118"/>
      <c r="Q128" s="118"/>
      <c r="R128" s="118"/>
      <c r="S128" s="118"/>
      <c r="T128" s="118"/>
      <c r="U128" s="118"/>
      <c r="V128" s="118"/>
    </row>
    <row r="129" outlineLevel="1">
      <c r="A129" s="146"/>
      <c r="B129" s="300" t="s">
        <v>249</v>
      </c>
      <c r="C129" s="309" t="str">
        <f t="array" ref="C129">INDEX('転倒'!$M$3:$P$115, MATCH($A$1,'転倒'!$A$3:$A$115,0), MATCH(C103,'転倒'!$M$2:$AC$2,0))</f>
        <v>1-7</v>
      </c>
      <c r="D129" s="310">
        <f t="array" ref="D129">INDEX('転倒'!$M$3:$P$115, MATCH($A$1,'転倒'!$A$3:$A$115,0), MATCH(D103,'転倒'!$M$2:$AC$2,0))</f>
        <v>49</v>
      </c>
      <c r="E129" s="307" t="str">
        <f t="array" ref="E129">INDEX('転倒'!$M$3:$P$115, MATCH($A$1,'転倒'!$A$3:$A$115,0), MATCH(E103,'転倒'!$M$2:$AC$2,0))</f>
        <v>19-20</v>
      </c>
      <c r="F129" s="308">
        <f t="array" ref="F129">INDEX('転倒'!$M$3:$P$115, MATCH($A$1,'転倒'!$A$3:$A$115,0), MATCH(F103,'転倒'!$M$2:$AC$2,0))</f>
        <v>5</v>
      </c>
      <c r="G129" s="113">
        <f t="shared" ref="G129:G130" si="3">F129*1.2</f>
        <v>6</v>
      </c>
      <c r="H129" s="228"/>
      <c r="I129" s="228"/>
      <c r="J129" s="228"/>
      <c r="K129" s="118"/>
      <c r="L129" s="118"/>
      <c r="M129" s="118"/>
      <c r="N129" s="102"/>
      <c r="O129" s="102"/>
      <c r="P129" s="102"/>
      <c r="Q129" s="102"/>
      <c r="R129" s="118"/>
      <c r="S129" s="118"/>
      <c r="T129" s="118"/>
      <c r="U129" s="118"/>
      <c r="V129" s="118"/>
    </row>
    <row r="130" outlineLevel="1">
      <c r="A130" s="156"/>
      <c r="B130" s="311" t="s">
        <v>250</v>
      </c>
      <c r="C130" s="156"/>
      <c r="D130" s="156"/>
      <c r="E130" s="307" t="str">
        <f t="array" ref="E130">INDEX('転倒'!$Q$3:$R$115, MATCH($A$1,'転倒'!$A$3:$A$115,0), MATCH(E103,'転倒'!$Q$2:$AC$2,0))</f>
        <v>25-26</v>
      </c>
      <c r="F130" s="308">
        <f t="array" ref="F130">INDEX('転倒'!$Q$3:$R$115, MATCH($A$1,'転倒'!$A$3:$A$115,0), MATCH(F103,'転倒'!$Q$2:$AC$2,0))</f>
        <v>5</v>
      </c>
      <c r="G130" s="113">
        <f t="shared" si="3"/>
        <v>6</v>
      </c>
      <c r="H130" s="228"/>
      <c r="I130" s="228"/>
      <c r="J130" s="228"/>
      <c r="K130" s="118"/>
      <c r="L130" s="118"/>
      <c r="M130" s="118"/>
      <c r="N130" s="102"/>
      <c r="O130" s="102"/>
      <c r="P130" s="102"/>
      <c r="Q130" s="102"/>
      <c r="R130" s="118"/>
      <c r="S130" s="118"/>
      <c r="T130" s="118"/>
      <c r="U130" s="118"/>
      <c r="V130" s="118"/>
    </row>
    <row r="131" outlineLevel="1">
      <c r="A131" s="319"/>
      <c r="B131" s="320"/>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3" t="s">
        <v>255</v>
      </c>
      <c r="B132" s="109"/>
      <c r="C132" s="321"/>
      <c r="D132" s="321"/>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256</v>
      </c>
      <c r="B133" s="109"/>
      <c r="C133" s="325" t="s">
        <v>257</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258</v>
      </c>
      <c r="B134" s="327" t="s">
        <v>216</v>
      </c>
      <c r="C134" s="328" t="str">
        <f t="array" ref="C134">INDEX('アイテム'!$C$3:$D$114, MATCH($A$1,'アイテム'!$A$3:$A$114,0), MATCH(C133,'アイテム'!$C$2:$AQ$2,0))</f>
        <v>2</v>
      </c>
      <c r="D134" s="328">
        <f t="array" ref="D134">INDEX('アイテム'!$C$3:$D$114, MATCH($A$1,'アイテム'!$A$3:$A$114,0), MATCH(D133,'アイテム'!$C$2:$AQ$2,0))</f>
        <v>7</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219</v>
      </c>
      <c r="C135" s="328" t="str">
        <f t="array" ref="C135">INDEX('アイテム'!$E$3:$F$114, MATCH($A$1,'アイテム'!$A$3:$A$114,0), MATCH(C133,'アイテム'!$C$2:$AQ$2,0))</f>
        <v>3</v>
      </c>
      <c r="D135" s="328">
        <f t="array" ref="D135">INDEX('アイテム'!$E$3:$F$114, MATCH($A$1,'アイテム'!$A$3:$A$114,0), MATCH(D133,'アイテム'!$C$2:$AQ$2,0))</f>
        <v>19</v>
      </c>
      <c r="E135" s="322"/>
      <c r="F135" s="322"/>
      <c r="G135" s="114"/>
      <c r="H135" s="228"/>
      <c r="I135" s="228"/>
      <c r="J135" s="228"/>
      <c r="K135" s="118"/>
      <c r="L135" s="118"/>
      <c r="M135" s="118"/>
      <c r="N135" s="102"/>
      <c r="O135" s="102"/>
      <c r="P135" s="102"/>
      <c r="Q135" s="102"/>
      <c r="R135" s="118"/>
      <c r="S135" s="118"/>
      <c r="T135" s="118"/>
      <c r="U135" s="118"/>
      <c r="V135" s="118"/>
    </row>
    <row r="136" outlineLevel="1">
      <c r="A136" s="329" t="s">
        <v>259</v>
      </c>
      <c r="B136" s="327" t="s">
        <v>216</v>
      </c>
      <c r="C136" s="328">
        <f t="array" ref="C136">INDEX('アイテム'!$AA$3:$AB$114, MATCH($A$1,'アイテム'!$A$3:$A$114,0), MATCH(C133,'アイテム'!$C$2:$AQ$2,0))</f>
        <v>3</v>
      </c>
      <c r="D136" s="328" t="str">
        <f t="array" ref="D136">INDEX('アイテム'!$AA$3:$AB$114, MATCH($A$1,'アイテム'!$A$3:$A$114,0), MATCH(D133,'アイテム'!$C$2:$AQ$2,0))</f>
        <v>12</v>
      </c>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260</v>
      </c>
      <c r="B137" s="109"/>
      <c r="C137" s="325" t="s">
        <v>261</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262</v>
      </c>
      <c r="B138" s="327" t="s">
        <v>226</v>
      </c>
      <c r="C138" s="328" t="str">
        <f t="array" ref="C138">INDEX('アイテム'!$G$3:$H$114, MATCH($A$1,'アイテム'!$A$3:$A$114,0), MATCH(C133,'アイテム'!$C$2:$AQ$2,0))</f>
        <v>9</v>
      </c>
      <c r="D138" s="328">
        <f t="array" ref="D138">INDEX('アイテム'!$G$3:$H$114, MATCH($A$1,'アイテム'!$A$3:$A$114,0), MATCH(D133,'アイテム'!$C$2:$AQ$2,0))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t="str">
        <f t="array" ref="C139">INDEX('アイテム'!$I$3:$J$114, MATCH($A$1,'アイテム'!$A$3:$A$114,0), MATCH(C133,'アイテム'!$C$2:$AQ$2,0))</f>
        <v>12</v>
      </c>
      <c r="D139" s="328">
        <f t="array" ref="D139">INDEX('アイテム'!$I$3:$J$114, MATCH($A$1,'アイテム'!$A$3:$A$114,0), MATCH(D133,'アイテム'!$C$2:$AQ$2,0))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t="str">
        <f t="array" ref="C140">INDEX('アイテム'!$K$3:$L$114, MATCH($A$1,'アイテム'!$A$3:$A$114,0), MATCH(C133,'アイテム'!$C$2:$AQ$2,0))</f>
        <v>13</v>
      </c>
      <c r="D140" s="328">
        <f t="array" ref="D140">INDEX('アイテム'!$K$3:$L$114, MATCH($A$1,'アイテム'!$A$3:$A$114,0), MATCH(D133,'アイテム'!$C$2:$AQ$2,0))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234</v>
      </c>
      <c r="C141" s="328" t="str">
        <f t="array" ref="C141">INDEX('アイテム'!$M$3:$N$114, MATCH($A$1,'アイテム'!$A$3:$A$114,0), MATCH(C133,'アイテム'!$C$2:$AQ$2,0))</f>
        <v>8</v>
      </c>
      <c r="D141" s="328">
        <f t="array" ref="D141">INDEX('アイテム'!$M$3:$N$114, MATCH($A$1,'アイテム'!$A$3:$A$114,0), MATCH(D133,'アイテム'!$C$2:$AQ$2,0))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219</v>
      </c>
      <c r="C142" s="328" t="str">
        <f t="array" ref="C142">INDEX('アイテム'!$O$3:$P$114, MATCH($A$1,'アイテム'!$A$3:$A$114,0), MATCH(C133,'アイテム'!$C$2:$AQ$2,0))</f>
        <v>6</v>
      </c>
      <c r="D142" s="328">
        <f t="array" ref="D142">INDEX('アイテム'!$O$3:$P$114, MATCH($A$1,'アイテム'!$A$3:$A$114,0), MATCH(D133,'アイテム'!$C$2:$AQ$2,0))</f>
        <v>29</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263</v>
      </c>
      <c r="C143" s="328" t="str">
        <f t="array" ref="C143">INDEX('アイテム'!$Q$3:$R$114, MATCH($A$1,'アイテム'!$A$3:$A$114,0), MATCH(C133,'アイテム'!$C$2:$AQ$2,0))</f>
        <v>7</v>
      </c>
      <c r="D143" s="328">
        <f t="array" ref="D143">INDEX('アイテム'!$Q$3:$R$114, MATCH($A$1,'アイテム'!$A$3:$A$114,0), MATCH(D133,'アイテム'!$C$2:$AQ$2,0))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264</v>
      </c>
      <c r="B144" s="327" t="s">
        <v>226</v>
      </c>
      <c r="C144" s="328" t="str">
        <f t="array" ref="C144">INDEX('アイテム'!$S$3:$T$114, MATCH($A$1,'アイテム'!$A$3:$A$114,0), MATCH(C133,'アイテム'!$C$2:$AQ$2,0))</f>
        <v>9</v>
      </c>
      <c r="D144" s="328">
        <f t="array" ref="D144">INDEX('アイテム'!$S$3:$T$114, MATCH($A$1,'アイテム'!$A$3:$A$114,0), MATCH(D133,'アイテム'!$C$2:$AQ$2,0))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INDEX('アイテム'!$U$3:$V$114, MATCH($A$1,'アイテム'!$A$3:$A$114,0), MATCH(C133,'アイテム'!$C$2:$AQ$2,0))</f>
        <v>12</v>
      </c>
      <c r="D145" s="328">
        <f t="array" ref="D145">INDEX('アイテム'!$U$3:$V$114, MATCH($A$1,'アイテム'!$A$3:$A$114,0), MATCH(D133,'アイテム'!$C$2:$AQ$2,0))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INDEX('アイテム'!$W$3:$X$114, MATCH($A$1,'アイテム'!$A$3:$A$114,0), MATCH(C133,'アイテム'!$C$2:$AQ$2,0))</f>
        <v>13</v>
      </c>
      <c r="D146" s="328">
        <f t="array" ref="D146">INDEX('アイテム'!$W$3:$X$114, MATCH($A$1,'アイテム'!$A$3:$A$114,0), MATCH(D133,'アイテム'!$C$2:$AQ$2,0))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t="str">
        <f t="array" ref="C147">INDEX('アイテム'!$Y$3:$Z$114, MATCH($A$1,'アイテム'!$A$3:$A$114,0), MATCH(C133,'アイテム'!$C$2:$AQ$2,0))</f>
        <v>8</v>
      </c>
      <c r="D147" s="328">
        <f t="array" ref="D147">INDEX('アイテム'!$Y$3:$Z$114, MATCH($A$1,'アイテム'!$A$3:$A$114,0), MATCH(D133,'アイテム'!$C$2:$AQ$2,0))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265</v>
      </c>
      <c r="B148" s="327" t="s">
        <v>226</v>
      </c>
      <c r="C148" s="328">
        <f t="array" ref="C148">INDEX('アイテム'!$AC$3:$AD$114, MATCH($A$1,'アイテム'!$A$3:$A$114,0), MATCH(C133,'アイテム'!$C$2:$AQ$2,0))</f>
        <v>16</v>
      </c>
      <c r="D148" s="328" t="str">
        <f t="array" ref="D148">INDEX('アイテム'!$AC$3:$AD$114, MATCH($A$1,'アイテム'!$A$3:$A$114,0), MATCH(D133,'アイテム'!$C$2:$AQ$2,0))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f t="array" ref="C149">INDEX('アイテム'!$AE$3:$AF$114, MATCH($A$1,'アイテム'!$A$3:$A$114,0), MATCH(C133,'アイテム'!$C$2:$AQ$2,0))</f>
        <v>16</v>
      </c>
      <c r="D149" s="328" t="str">
        <f t="array" ref="D149">INDEX('アイテム'!$AE$3:$AF$114, MATCH($A$1,'アイテム'!$A$3:$A$114,0), MATCH(D133,'アイテム'!$C$2:$AQ$2,0))</f>
        <v>30</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f t="array" ref="C150">INDEX('アイテム'!$AG$3:$AH$114, MATCH($A$1,'アイテム'!$A$3:$A$114,0), MATCH(C133,'アイテム'!$C$2:$AQ$2,0))</f>
        <v>12</v>
      </c>
      <c r="D150" s="328" t="str">
        <f t="array" ref="D150">INDEX('アイテム'!$AG$3:$AH$114, MATCH($A$1,'アイテム'!$A$3:$A$114,0), MATCH(D133,'アイテム'!$C$2:$AQ$2,0))</f>
        <v>22</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f t="array" ref="C151">INDEX('アイテム'!$AI$3:$AJ$114, MATCH($A$1,'アイテム'!$A$3:$A$114,0), MATCH(C133,'アイテム'!$C$2:$AQ$2,0))</f>
        <v>9</v>
      </c>
      <c r="D151" s="328" t="str">
        <f t="array" ref="D151">INDEX('アイテム'!$AI$3:$AJ$114, MATCH($A$1,'アイテム'!$A$3:$A$114,0), MATCH(D133,'アイテム'!$C$2:$AQ$2,0))</f>
        <v>22</v>
      </c>
      <c r="E151" s="322"/>
      <c r="F151" s="322"/>
      <c r="G151" s="114"/>
      <c r="H151" s="228"/>
      <c r="I151" s="228"/>
      <c r="J151" s="228"/>
      <c r="K151" s="118"/>
      <c r="L151" s="118"/>
      <c r="M151" s="118"/>
      <c r="N151" s="102"/>
      <c r="O151" s="102"/>
      <c r="P151" s="102"/>
      <c r="Q151" s="102"/>
      <c r="R151" s="118"/>
      <c r="S151" s="118"/>
      <c r="T151" s="118"/>
      <c r="U151" s="118"/>
      <c r="V151" s="118"/>
    </row>
  </sheetData>
  <mergeCells count="145">
    <mergeCell ref="H26:J26"/>
    <mergeCell ref="H27:J27"/>
    <mergeCell ref="H28:J28"/>
    <mergeCell ref="H29:J29"/>
    <mergeCell ref="H30:J30"/>
    <mergeCell ref="H31:J32"/>
    <mergeCell ref="U31:U32"/>
    <mergeCell ref="H33:J33"/>
    <mergeCell ref="H34:J36"/>
    <mergeCell ref="U34:U36"/>
    <mergeCell ref="H37:J37"/>
    <mergeCell ref="H38:J39"/>
    <mergeCell ref="U38:U39"/>
    <mergeCell ref="U40:U42"/>
    <mergeCell ref="U63:U64"/>
    <mergeCell ref="U66:U69"/>
    <mergeCell ref="V66:V69"/>
    <mergeCell ref="U71:U74"/>
    <mergeCell ref="V71:V74"/>
    <mergeCell ref="R46:V46"/>
    <mergeCell ref="R47:V50"/>
    <mergeCell ref="R51:V53"/>
    <mergeCell ref="R54:V55"/>
    <mergeCell ref="R56:V56"/>
    <mergeCell ref="R57:V59"/>
    <mergeCell ref="V63:V64"/>
    <mergeCell ref="H70:J70"/>
    <mergeCell ref="H71:J74"/>
    <mergeCell ref="H75:J75"/>
    <mergeCell ref="H76:J76"/>
    <mergeCell ref="G84:J84"/>
    <mergeCell ref="G85:J86"/>
    <mergeCell ref="G87:J88"/>
    <mergeCell ref="K113:K116"/>
    <mergeCell ref="K119:K122"/>
    <mergeCell ref="K123:L123"/>
    <mergeCell ref="K126:L126"/>
    <mergeCell ref="G89:J90"/>
    <mergeCell ref="G91:J92"/>
    <mergeCell ref="K103:L103"/>
    <mergeCell ref="K104:K105"/>
    <mergeCell ref="K106:L106"/>
    <mergeCell ref="K107:K112"/>
    <mergeCell ref="K117:L117"/>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40:J42"/>
    <mergeCell ref="H43:J43"/>
    <mergeCell ref="I47:I50"/>
    <mergeCell ref="J47:J50"/>
    <mergeCell ref="I51:I53"/>
    <mergeCell ref="J51:J53"/>
    <mergeCell ref="I54:I55"/>
    <mergeCell ref="J54:J55"/>
    <mergeCell ref="D51:D53"/>
    <mergeCell ref="D54:D55"/>
    <mergeCell ref="A68:A69"/>
    <mergeCell ref="C68:C69"/>
    <mergeCell ref="D68:D69"/>
    <mergeCell ref="A57:A59"/>
    <mergeCell ref="C57:C58"/>
    <mergeCell ref="D57:D59"/>
    <mergeCell ref="E57:E58"/>
    <mergeCell ref="F57:F58"/>
    <mergeCell ref="G57:G58"/>
    <mergeCell ref="H57:H58"/>
    <mergeCell ref="I57:I59"/>
    <mergeCell ref="J57:J59"/>
    <mergeCell ref="H62:J62"/>
    <mergeCell ref="H63:J63"/>
    <mergeCell ref="H64:J64"/>
    <mergeCell ref="H65:J65"/>
    <mergeCell ref="H66:J69"/>
    <mergeCell ref="A124:A130"/>
    <mergeCell ref="A132:B132"/>
    <mergeCell ref="A133:B133"/>
    <mergeCell ref="A134:A135"/>
    <mergeCell ref="A137:B137"/>
    <mergeCell ref="A138:A143"/>
    <mergeCell ref="A144:A147"/>
    <mergeCell ref="A148:A151"/>
    <mergeCell ref="A109:A111"/>
    <mergeCell ref="A112:A117"/>
    <mergeCell ref="C116:C117"/>
    <mergeCell ref="D116:D117"/>
    <mergeCell ref="A118:A123"/>
    <mergeCell ref="D122:D123"/>
    <mergeCell ref="D129:D130"/>
    <mergeCell ref="A24:B25"/>
    <mergeCell ref="A26:A30"/>
    <mergeCell ref="A31:A32"/>
    <mergeCell ref="D31:D32"/>
    <mergeCell ref="A34:A36"/>
    <mergeCell ref="D34:D36"/>
    <mergeCell ref="D38:D39"/>
    <mergeCell ref="D40:D42"/>
    <mergeCell ref="A38:A39"/>
    <mergeCell ref="A40:A42"/>
    <mergeCell ref="A45:B46"/>
    <mergeCell ref="A47:A50"/>
    <mergeCell ref="D47:D50"/>
    <mergeCell ref="A51:A53"/>
    <mergeCell ref="A54:A55"/>
    <mergeCell ref="A61:B61"/>
    <mergeCell ref="A62:B62"/>
    <mergeCell ref="A65:B65"/>
    <mergeCell ref="A66:A67"/>
    <mergeCell ref="D66:D67"/>
    <mergeCell ref="A70:B70"/>
    <mergeCell ref="D71:D74"/>
    <mergeCell ref="D85:D86"/>
    <mergeCell ref="D87:D88"/>
    <mergeCell ref="D89:D90"/>
    <mergeCell ref="D91:D92"/>
    <mergeCell ref="A71:A74"/>
    <mergeCell ref="A75:B75"/>
    <mergeCell ref="A78:B79"/>
    <mergeCell ref="A81:A83"/>
    <mergeCell ref="A84:B84"/>
    <mergeCell ref="A85:A86"/>
    <mergeCell ref="A87:A88"/>
    <mergeCell ref="A89:A90"/>
    <mergeCell ref="A91:A92"/>
    <mergeCell ref="A94:B95"/>
    <mergeCell ref="A96:A98"/>
    <mergeCell ref="A99:A100"/>
    <mergeCell ref="A102:B103"/>
    <mergeCell ref="A104:A108"/>
    <mergeCell ref="C122:C123"/>
    <mergeCell ref="C129:C130"/>
  </mergeCells>
  <conditionalFormatting sqref="K1:K15 K17:K76 C28 E28:G28 K79:K127">
    <cfRule type="containsText" dxfId="0" priority="1" operator="containsText" text="361">
      <formula>NOT(ISERROR(SEARCH(("361"),(K1))))</formula>
    </cfRule>
  </conditionalFormatting>
  <conditionalFormatting sqref="K1:K15 K17:K76 C28 E28:G28 K79:K127">
    <cfRule type="containsText" dxfId="1" priority="2" operator="containsText" text="363">
      <formula>NOT(ISERROR(SEARCH(("363"),(K1))))</formula>
    </cfRule>
  </conditionalFormatting>
  <conditionalFormatting sqref="K1:K15 K17:K76 C28 E28:G28 K79:K127">
    <cfRule type="containsText" dxfId="1" priority="3" operator="containsText" text="365">
      <formula>NOT(ISERROR(SEARCH(("365"),(K1))))</formula>
    </cfRule>
  </conditionalFormatting>
  <conditionalFormatting sqref="K1:K15 K17:K76 C28 E28:G28 K79:K127">
    <cfRule type="containsText" dxfId="1" priority="4" operator="containsText" text="366">
      <formula>NOT(ISERROR(SEARCH(("366"),(K1))))</formula>
    </cfRule>
  </conditionalFormatting>
  <conditionalFormatting sqref="K1:K15 K17:K76 C28 E28:G28 K79:K127">
    <cfRule type="containsText" dxfId="1" priority="5" operator="containsText" text="367">
      <formula>NOT(ISERROR(SEARCH(("367"),(K1))))</formula>
    </cfRule>
  </conditionalFormatting>
  <conditionalFormatting sqref="P85:P92">
    <cfRule type="cellIs" dxfId="2" priority="6" operator="equal">
      <formula>"敵のみ"</formula>
    </cfRule>
  </conditionalFormatting>
  <conditionalFormatting sqref="C85:C92">
    <cfRule type="cellIs" dxfId="3" priority="7" operator="equal">
      <formula>"-"</formula>
    </cfRule>
  </conditionalFormatting>
  <conditionalFormatting sqref="O1:O76 O79:O151 P92">
    <cfRule type="cellIs" dxfId="4" priority="8" operator="greaterThan">
      <formula>0</formula>
    </cfRule>
  </conditionalFormatting>
  <conditionalFormatting sqref="P1:Q76 P79:Q151">
    <cfRule type="cellIs" dxfId="5" priority="9" operator="lessThan">
      <formula>1</formula>
    </cfRule>
  </conditionalFormatting>
  <conditionalFormatting sqref="P1:Q76 P79:Q151">
    <cfRule type="cellIs" dxfId="4" priority="10" operator="greaterThan">
      <formula>1</formula>
    </cfRule>
  </conditionalFormatting>
  <conditionalFormatting sqref="N25:N76 N79:N92">
    <cfRule type="cellIs" dxfId="6" priority="11" operator="greaterThan">
      <formula>0</formula>
    </cfRule>
  </conditionalFormatting>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DA8C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203">
        <v>21.0</v>
      </c>
      <c r="B1" s="1204"/>
      <c r="C1" s="1205" t="str">
        <f>IMAGE(VLOOKUP($A$1,Fighters!A2:AI114,12,FALSE),1)</f>
        <v>#REF!</v>
      </c>
      <c r="D1" s="1206"/>
      <c r="E1" s="1206"/>
      <c r="F1" s="1206"/>
      <c r="G1" s="1207"/>
      <c r="H1" s="1208"/>
      <c r="I1" s="1206"/>
      <c r="J1" s="1207"/>
      <c r="K1" s="1209"/>
      <c r="L1" s="1206"/>
      <c r="M1" s="1207"/>
      <c r="N1" s="1210"/>
      <c r="O1" s="1210"/>
      <c r="P1" s="1210"/>
      <c r="Q1" s="1210"/>
      <c r="R1" s="1211"/>
      <c r="S1" s="1211"/>
      <c r="T1" s="1211"/>
      <c r="U1" s="1211"/>
      <c r="V1" s="1211"/>
    </row>
    <row r="2">
      <c r="A2" s="1212" t="str">
        <f>VLOOKUP($A$1,Fighters!$A$2:$AI$81,6,FALSE)</f>
        <v>#5da8c8</v>
      </c>
      <c r="B2" s="1204"/>
      <c r="C2" s="1213"/>
      <c r="G2" s="1214"/>
      <c r="H2" s="1215"/>
      <c r="I2" s="1216"/>
      <c r="J2" s="1217"/>
      <c r="K2" s="1215"/>
      <c r="L2" s="1216"/>
      <c r="M2" s="1217"/>
      <c r="N2" s="1210"/>
      <c r="O2" s="1210"/>
      <c r="P2" s="1210"/>
      <c r="Q2" s="1210"/>
      <c r="R2" s="1211"/>
      <c r="S2" s="1211"/>
      <c r="T2" s="1211"/>
      <c r="U2" s="1211"/>
      <c r="V2" s="1211"/>
    </row>
    <row r="3">
      <c r="A3" s="1212" t="str">
        <f>VLOOKUP($A$1,Fighters!$A$2:$AI$81,14,FALSE)</f>
        <v>21. マルス</v>
      </c>
      <c r="B3" s="1204"/>
      <c r="C3" s="1213"/>
      <c r="G3" s="1214"/>
      <c r="H3" s="1218"/>
      <c r="I3" s="1218"/>
      <c r="J3" s="1218"/>
      <c r="K3" s="1219"/>
      <c r="L3" s="1219"/>
      <c r="M3" s="1219"/>
      <c r="N3" s="1210"/>
      <c r="O3" s="1210"/>
      <c r="P3" s="1210"/>
      <c r="Q3" s="1210"/>
      <c r="R3" s="1220"/>
      <c r="S3" s="1211"/>
      <c r="T3" s="1211"/>
      <c r="U3" s="1211"/>
      <c r="V3" s="1211"/>
    </row>
    <row r="4">
      <c r="A4" s="1212" t="str">
        <f>VLOOKUP($A$1,Fighters!$A$2:$AI$81,13,FALSE)</f>
        <v>1</v>
      </c>
      <c r="B4" s="1204"/>
      <c r="C4" s="1213"/>
      <c r="G4" s="1214"/>
      <c r="H4" s="1221"/>
      <c r="I4" s="1221"/>
      <c r="J4" s="1218"/>
      <c r="K4" s="1219"/>
      <c r="L4" s="1219"/>
      <c r="M4" s="1219"/>
      <c r="N4" s="1210"/>
      <c r="O4" s="1210"/>
      <c r="P4" s="1210"/>
      <c r="Q4" s="1210"/>
      <c r="R4" s="1220"/>
      <c r="S4" s="1211"/>
      <c r="T4" s="1211"/>
      <c r="U4" s="1211"/>
      <c r="V4" s="1211"/>
    </row>
    <row r="5" ht="16.5" customHeight="1">
      <c r="A5" s="1203"/>
      <c r="B5" s="1204"/>
      <c r="C5" s="1213"/>
      <c r="G5" s="1214"/>
      <c r="H5" s="1222"/>
      <c r="I5" s="1222"/>
      <c r="J5" s="1223"/>
      <c r="K5" s="1224"/>
      <c r="L5" s="1225"/>
      <c r="M5" s="1225"/>
      <c r="N5" s="1210"/>
      <c r="O5" s="1210"/>
      <c r="P5" s="1210"/>
      <c r="Q5" s="1210"/>
      <c r="R5" s="1220"/>
      <c r="S5" s="1211"/>
      <c r="T5" s="1211"/>
      <c r="U5" s="1211"/>
      <c r="V5" s="1211"/>
    </row>
    <row r="6">
      <c r="A6" s="1204"/>
      <c r="B6" s="1204"/>
      <c r="C6" s="1213"/>
      <c r="G6" s="1214"/>
      <c r="H6" s="1221"/>
      <c r="I6" s="1226" t="s">
        <v>39</v>
      </c>
      <c r="J6" s="1224"/>
      <c r="K6" s="1227"/>
      <c r="L6" s="1225"/>
      <c r="M6" s="1225"/>
      <c r="N6" s="1210"/>
      <c r="O6" s="1210"/>
      <c r="P6" s="1210"/>
      <c r="Q6" s="1210"/>
      <c r="R6" s="1220"/>
      <c r="S6" s="1211"/>
      <c r="T6" s="1211"/>
      <c r="U6" s="1211"/>
      <c r="V6" s="1211"/>
    </row>
    <row r="7">
      <c r="A7" s="1204"/>
      <c r="B7" s="1204"/>
      <c r="C7" s="1213"/>
      <c r="G7" s="1214"/>
      <c r="H7" s="1222"/>
      <c r="I7" s="1222"/>
      <c r="J7" s="1224"/>
      <c r="K7" s="1227"/>
      <c r="L7" s="1225"/>
      <c r="M7" s="1225"/>
      <c r="N7" s="1210"/>
      <c r="O7" s="1210"/>
      <c r="P7" s="1210"/>
      <c r="Q7" s="1210"/>
      <c r="R7" s="1220"/>
      <c r="S7" s="1211"/>
      <c r="T7" s="1211"/>
      <c r="U7" s="1211"/>
      <c r="V7" s="1211"/>
    </row>
    <row r="8">
      <c r="A8" s="1204"/>
      <c r="B8" s="1204"/>
      <c r="C8" s="1213"/>
      <c r="G8" s="1214"/>
      <c r="H8" s="1228">
        <v>44489.750922499996</v>
      </c>
      <c r="I8" s="1206"/>
      <c r="J8" s="1207"/>
      <c r="K8" s="1224"/>
      <c r="L8" s="1225"/>
      <c r="M8" s="1225"/>
      <c r="N8" s="1210"/>
      <c r="O8" s="1210"/>
      <c r="P8" s="1210"/>
      <c r="Q8" s="1210"/>
      <c r="R8" s="1220"/>
      <c r="S8" s="1211"/>
      <c r="T8" s="1211"/>
      <c r="U8" s="1211"/>
      <c r="V8" s="1211"/>
    </row>
    <row r="9">
      <c r="A9" s="1204"/>
      <c r="B9" s="1204"/>
      <c r="C9" s="1213"/>
      <c r="G9" s="1214"/>
      <c r="H9" s="1215"/>
      <c r="I9" s="1216"/>
      <c r="J9" s="1217"/>
      <c r="K9" s="1211"/>
      <c r="L9" s="1210"/>
      <c r="M9" s="1210"/>
      <c r="N9" s="1210"/>
      <c r="O9" s="1210"/>
      <c r="P9" s="1210"/>
      <c r="Q9" s="1210"/>
      <c r="R9" s="1220"/>
      <c r="S9" s="1211"/>
      <c r="T9" s="1211"/>
      <c r="U9" s="1211"/>
      <c r="V9" s="1211"/>
    </row>
    <row r="10">
      <c r="A10" s="1204"/>
      <c r="B10" s="1204"/>
      <c r="C10" s="1213"/>
      <c r="G10" s="1214"/>
      <c r="H10" s="1229"/>
      <c r="I10" s="1229"/>
      <c r="J10" s="1211"/>
      <c r="K10" s="1211"/>
      <c r="L10" s="1210"/>
      <c r="M10" s="1210"/>
      <c r="N10" s="1210"/>
      <c r="O10" s="1210"/>
      <c r="P10" s="1210"/>
      <c r="Q10" s="1210"/>
      <c r="R10" s="1220"/>
      <c r="S10" s="1211"/>
      <c r="T10" s="1211"/>
      <c r="U10" s="1211"/>
      <c r="V10" s="1211"/>
    </row>
    <row r="11">
      <c r="A11" s="1230" t="s">
        <v>40</v>
      </c>
      <c r="B11" s="1207"/>
      <c r="C11" s="1213"/>
      <c r="G11" s="1214"/>
      <c r="H11" s="1222"/>
      <c r="I11" s="1222"/>
      <c r="J11" s="1211"/>
      <c r="K11" s="1211"/>
      <c r="L11" s="1210"/>
      <c r="M11" s="1210"/>
      <c r="N11" s="1210"/>
      <c r="O11" s="1210"/>
      <c r="P11" s="1210"/>
      <c r="Q11" s="1210"/>
      <c r="R11" s="1220"/>
      <c r="S11" s="1211"/>
      <c r="T11" s="1211"/>
      <c r="U11" s="1211"/>
      <c r="V11" s="1211"/>
    </row>
    <row r="12">
      <c r="A12" s="1215"/>
      <c r="B12" s="1217"/>
      <c r="C12" s="1215"/>
      <c r="D12" s="1216"/>
      <c r="E12" s="1216"/>
      <c r="F12" s="1216"/>
      <c r="G12" s="1217"/>
      <c r="H12" s="1231"/>
      <c r="I12" s="1231"/>
      <c r="J12" s="1204"/>
      <c r="K12" s="1204"/>
      <c r="L12" s="1210"/>
      <c r="M12" s="1210"/>
      <c r="N12" s="1210"/>
      <c r="O12" s="1210"/>
      <c r="P12" s="1210"/>
      <c r="Q12" s="1210"/>
      <c r="R12" s="1220"/>
      <c r="S12" s="1211"/>
      <c r="T12" s="1211"/>
      <c r="U12" s="1211"/>
      <c r="V12" s="1211"/>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90 [61st]</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2.255 [6th]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1.575 [1st]</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0.1342 [63rd]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33.66 [33rd]</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1.964 [23rd]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0.114 [31st]</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16.26 [39th]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1.071 [41st]</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38F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33.66 [39th]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1.58 [48th]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0.00375 [87th]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2.528 [45th]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0.075 [75th]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267</v>
      </c>
      <c r="D26" s="701" t="s">
        <v>92</v>
      </c>
      <c r="E26" s="139" t="s">
        <v>1709</v>
      </c>
      <c r="F26" s="138" t="s">
        <v>1710</v>
      </c>
      <c r="G26" s="139" t="s">
        <v>1711</v>
      </c>
      <c r="H26" s="786" t="s">
        <v>1712</v>
      </c>
      <c r="I26" s="110"/>
      <c r="J26" s="109"/>
      <c r="K26" s="138"/>
      <c r="L26" s="282"/>
      <c r="M26" s="363"/>
      <c r="N26" s="363"/>
      <c r="O26" s="145">
        <v>0.0</v>
      </c>
      <c r="P26" s="145">
        <v>1.0</v>
      </c>
      <c r="Q26" s="145">
        <v>1.0</v>
      </c>
      <c r="R26" s="100"/>
      <c r="S26" s="100"/>
      <c r="T26" s="100"/>
      <c r="U26" s="145" t="s">
        <v>69</v>
      </c>
      <c r="V26" s="100"/>
    </row>
    <row r="27" outlineLevel="1">
      <c r="A27" s="156"/>
      <c r="B27" s="147" t="s">
        <v>63</v>
      </c>
      <c r="C27" s="216" t="s">
        <v>717</v>
      </c>
      <c r="D27" s="467" t="s">
        <v>593</v>
      </c>
      <c r="E27" s="216" t="s">
        <v>1713</v>
      </c>
      <c r="F27" s="138" t="s">
        <v>1714</v>
      </c>
      <c r="G27" s="139" t="s">
        <v>1715</v>
      </c>
      <c r="H27" s="1232"/>
      <c r="I27" s="110"/>
      <c r="J27" s="109"/>
      <c r="K27" s="282"/>
      <c r="L27" s="282"/>
      <c r="M27" s="363"/>
      <c r="N27" s="363"/>
      <c r="O27" s="145">
        <v>0.0</v>
      </c>
      <c r="P27" s="145">
        <v>1.0</v>
      </c>
      <c r="Q27" s="145">
        <v>1.0</v>
      </c>
      <c r="R27" s="100"/>
      <c r="S27" s="100"/>
      <c r="T27" s="100"/>
      <c r="U27" s="145" t="s">
        <v>76</v>
      </c>
      <c r="V27" s="100"/>
    </row>
    <row r="28" outlineLevel="1">
      <c r="A28" s="170" t="s">
        <v>77</v>
      </c>
      <c r="B28" s="160"/>
      <c r="C28" s="467" t="s">
        <v>1159</v>
      </c>
      <c r="D28" s="467" t="s">
        <v>185</v>
      </c>
      <c r="E28" s="450" t="s">
        <v>1716</v>
      </c>
      <c r="F28" s="138" t="s">
        <v>1717</v>
      </c>
      <c r="G28" s="162" t="s">
        <v>1718</v>
      </c>
      <c r="H28" s="151" t="s">
        <v>1433</v>
      </c>
      <c r="I28" s="110"/>
      <c r="J28" s="109"/>
      <c r="K28" s="138"/>
      <c r="L28" s="282"/>
      <c r="M28" s="363"/>
      <c r="N28" s="363"/>
      <c r="O28" s="145">
        <v>0.0</v>
      </c>
      <c r="P28" s="145">
        <v>1.0</v>
      </c>
      <c r="Q28" s="145">
        <v>1.0</v>
      </c>
      <c r="R28" s="100"/>
      <c r="S28" s="100"/>
      <c r="T28" s="100"/>
      <c r="U28" s="145" t="s">
        <v>69</v>
      </c>
      <c r="V28" s="100"/>
    </row>
    <row r="29" outlineLevel="1">
      <c r="A29" s="170" t="s">
        <v>89</v>
      </c>
      <c r="B29" s="147"/>
      <c r="C29" s="467" t="s">
        <v>563</v>
      </c>
      <c r="D29" s="467" t="s">
        <v>72</v>
      </c>
      <c r="E29" s="467" t="s">
        <v>1719</v>
      </c>
      <c r="F29" s="138" t="s">
        <v>1720</v>
      </c>
      <c r="G29" s="139" t="s">
        <v>1721</v>
      </c>
      <c r="H29" s="1232"/>
      <c r="I29" s="110"/>
      <c r="J29" s="109"/>
      <c r="K29" s="138"/>
      <c r="L29" s="282"/>
      <c r="M29" s="363"/>
      <c r="N29" s="363"/>
      <c r="O29" s="145">
        <v>0.0</v>
      </c>
      <c r="P29" s="145">
        <v>1.0</v>
      </c>
      <c r="Q29" s="145">
        <v>1.0</v>
      </c>
      <c r="R29" s="100"/>
      <c r="S29" s="100"/>
      <c r="T29" s="100"/>
      <c r="U29" s="145" t="s">
        <v>96</v>
      </c>
      <c r="V29" s="100"/>
    </row>
    <row r="30" outlineLevel="1">
      <c r="A30" s="133" t="s">
        <v>97</v>
      </c>
      <c r="B30" s="160"/>
      <c r="C30" s="467" t="s">
        <v>549</v>
      </c>
      <c r="D30" s="455" t="s">
        <v>72</v>
      </c>
      <c r="E30" s="450" t="s">
        <v>1722</v>
      </c>
      <c r="F30" s="138" t="s">
        <v>1723</v>
      </c>
      <c r="G30" s="139" t="s">
        <v>1724</v>
      </c>
      <c r="H30" s="220"/>
      <c r="I30" s="164"/>
      <c r="J30" s="104"/>
      <c r="K30" s="282"/>
      <c r="L30" s="282"/>
      <c r="M30" s="363"/>
      <c r="N30" s="363"/>
      <c r="O30" s="145">
        <v>0.0</v>
      </c>
      <c r="P30" s="145">
        <v>1.0</v>
      </c>
      <c r="Q30" s="145">
        <v>1.0</v>
      </c>
      <c r="R30" s="100"/>
      <c r="S30" s="100"/>
      <c r="T30" s="100"/>
      <c r="U30" s="166" t="s">
        <v>69</v>
      </c>
      <c r="V30" s="100"/>
    </row>
    <row r="31" outlineLevel="1">
      <c r="A31" s="156"/>
      <c r="B31" s="147" t="s">
        <v>84</v>
      </c>
      <c r="C31" s="467" t="s">
        <v>272</v>
      </c>
      <c r="D31" s="107"/>
      <c r="E31" s="450" t="s">
        <v>1722</v>
      </c>
      <c r="F31" s="138" t="s">
        <v>1723</v>
      </c>
      <c r="G31" s="139" t="s">
        <v>1724</v>
      </c>
      <c r="H31" s="106"/>
      <c r="I31" s="168"/>
      <c r="J31" s="107"/>
      <c r="K31" s="145"/>
      <c r="L31" s="363"/>
      <c r="M31" s="363"/>
      <c r="N31" s="363"/>
      <c r="O31" s="145">
        <v>0.0</v>
      </c>
      <c r="P31" s="145">
        <v>1.0</v>
      </c>
      <c r="Q31" s="145">
        <v>1.0</v>
      </c>
      <c r="R31" s="100"/>
      <c r="S31" s="100"/>
      <c r="T31" s="100"/>
      <c r="U31" s="156"/>
      <c r="V31" s="100"/>
    </row>
    <row r="32" outlineLevel="1">
      <c r="A32" s="170" t="s">
        <v>103</v>
      </c>
      <c r="B32" s="160"/>
      <c r="C32" s="467" t="s">
        <v>319</v>
      </c>
      <c r="D32" s="467" t="s">
        <v>173</v>
      </c>
      <c r="E32" s="467" t="s">
        <v>1725</v>
      </c>
      <c r="F32" s="138" t="s">
        <v>1726</v>
      </c>
      <c r="G32" s="139" t="s">
        <v>1727</v>
      </c>
      <c r="H32" s="1232"/>
      <c r="I32" s="110"/>
      <c r="J32" s="109"/>
      <c r="K32" s="145"/>
      <c r="L32" s="363"/>
      <c r="M32" s="363"/>
      <c r="N32" s="363"/>
      <c r="O32" s="145">
        <v>0.0</v>
      </c>
      <c r="P32" s="145">
        <v>1.0</v>
      </c>
      <c r="Q32" s="145">
        <v>1.0</v>
      </c>
      <c r="R32" s="100"/>
      <c r="S32" s="100"/>
      <c r="T32" s="100"/>
      <c r="U32" s="145" t="s">
        <v>69</v>
      </c>
      <c r="V32" s="100"/>
    </row>
    <row r="33" outlineLevel="1">
      <c r="A33" s="170" t="s">
        <v>109</v>
      </c>
      <c r="B33" s="147"/>
      <c r="C33" s="467" t="s">
        <v>309</v>
      </c>
      <c r="D33" s="467" t="s">
        <v>455</v>
      </c>
      <c r="E33" s="467" t="s">
        <v>1728</v>
      </c>
      <c r="F33" s="138" t="s">
        <v>1729</v>
      </c>
      <c r="G33" s="139" t="s">
        <v>1730</v>
      </c>
      <c r="H33" s="1233" t="s">
        <v>130</v>
      </c>
      <c r="I33" s="110"/>
      <c r="J33" s="109"/>
      <c r="K33" s="282"/>
      <c r="L33" s="282"/>
      <c r="M33" s="363"/>
      <c r="N33" s="363"/>
      <c r="O33" s="145">
        <v>0.0</v>
      </c>
      <c r="P33" s="145">
        <v>1.0</v>
      </c>
      <c r="Q33" s="145" t="s">
        <v>1731</v>
      </c>
      <c r="R33" s="100"/>
      <c r="S33" s="100"/>
      <c r="T33" s="100"/>
      <c r="U33" s="145" t="s">
        <v>147</v>
      </c>
      <c r="V33" s="100"/>
    </row>
    <row r="34" outlineLevel="1">
      <c r="A34" s="133" t="s">
        <v>116</v>
      </c>
      <c r="B34" s="147" t="s">
        <v>683</v>
      </c>
      <c r="C34" s="467" t="s">
        <v>1732</v>
      </c>
      <c r="D34" s="455" t="s">
        <v>810</v>
      </c>
      <c r="E34" s="467" t="s">
        <v>204</v>
      </c>
      <c r="F34" s="138" t="s">
        <v>910</v>
      </c>
      <c r="G34" s="139" t="s">
        <v>60</v>
      </c>
      <c r="H34" s="240" t="s">
        <v>1733</v>
      </c>
      <c r="I34" s="164"/>
      <c r="J34" s="104"/>
      <c r="K34" s="363"/>
      <c r="L34" s="363"/>
      <c r="M34" s="363"/>
      <c r="N34" s="363"/>
      <c r="O34" s="145">
        <v>0.0</v>
      </c>
      <c r="P34" s="145">
        <v>1.0</v>
      </c>
      <c r="Q34" s="145">
        <v>1.0</v>
      </c>
      <c r="R34" s="100"/>
      <c r="S34" s="100"/>
      <c r="T34" s="100"/>
      <c r="U34" s="166" t="s">
        <v>62</v>
      </c>
      <c r="V34" s="100"/>
    </row>
    <row r="35" outlineLevel="1">
      <c r="A35" s="156"/>
      <c r="B35" s="147" t="s">
        <v>131</v>
      </c>
      <c r="C35" s="216" t="s">
        <v>1734</v>
      </c>
      <c r="D35" s="107"/>
      <c r="E35" s="467" t="s">
        <v>1735</v>
      </c>
      <c r="F35" s="138" t="s">
        <v>1736</v>
      </c>
      <c r="G35" s="139" t="s">
        <v>1737</v>
      </c>
      <c r="H35" s="106"/>
      <c r="I35" s="168"/>
      <c r="J35" s="107"/>
      <c r="K35" s="363"/>
      <c r="L35" s="363"/>
      <c r="M35" s="363"/>
      <c r="N35" s="363"/>
      <c r="O35" s="145">
        <v>0.0</v>
      </c>
      <c r="P35" s="145">
        <v>1.0</v>
      </c>
      <c r="Q35" s="145">
        <v>1.0</v>
      </c>
      <c r="R35" s="100"/>
      <c r="S35" s="100"/>
      <c r="T35" s="100"/>
      <c r="U35" s="156"/>
      <c r="V35" s="100"/>
    </row>
    <row r="36" outlineLevel="1">
      <c r="A36" s="133" t="s">
        <v>124</v>
      </c>
      <c r="B36" s="147" t="s">
        <v>125</v>
      </c>
      <c r="C36" s="216" t="s">
        <v>217</v>
      </c>
      <c r="D36" s="195" t="s">
        <v>300</v>
      </c>
      <c r="E36" s="467" t="s">
        <v>1738</v>
      </c>
      <c r="F36" s="138" t="s">
        <v>1739</v>
      </c>
      <c r="G36" s="139" t="s">
        <v>1740</v>
      </c>
      <c r="H36" s="240" t="s">
        <v>553</v>
      </c>
      <c r="I36" s="164"/>
      <c r="J36" s="104"/>
      <c r="K36" s="282"/>
      <c r="L36" s="282"/>
      <c r="M36" s="363"/>
      <c r="N36" s="363"/>
      <c r="O36" s="145">
        <v>0.0</v>
      </c>
      <c r="P36" s="145">
        <v>1.0</v>
      </c>
      <c r="Q36" s="145">
        <v>1.0</v>
      </c>
      <c r="R36" s="100"/>
      <c r="S36" s="100"/>
      <c r="T36" s="100"/>
      <c r="U36" s="166" t="s">
        <v>62</v>
      </c>
      <c r="V36" s="100"/>
    </row>
    <row r="37" outlineLevel="1">
      <c r="A37" s="156"/>
      <c r="B37" s="147" t="s">
        <v>131</v>
      </c>
      <c r="C37" s="216" t="s">
        <v>314</v>
      </c>
      <c r="D37" s="107"/>
      <c r="E37" s="467" t="s">
        <v>1741</v>
      </c>
      <c r="F37" s="138" t="s">
        <v>1742</v>
      </c>
      <c r="G37" s="139" t="s">
        <v>1743</v>
      </c>
      <c r="H37" s="106"/>
      <c r="I37" s="168"/>
      <c r="J37" s="107"/>
      <c r="K37" s="282"/>
      <c r="L37" s="282"/>
      <c r="M37" s="363"/>
      <c r="N37" s="363"/>
      <c r="O37" s="145">
        <v>0.0</v>
      </c>
      <c r="P37" s="145">
        <v>1.0</v>
      </c>
      <c r="Q37" s="145">
        <v>1.0</v>
      </c>
      <c r="R37" s="100"/>
      <c r="S37" s="100"/>
      <c r="T37" s="100"/>
      <c r="U37" s="156"/>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tr">
        <f>'テンプレート'!I56</f>
        <v>着地隙</v>
      </c>
      <c r="J40" s="184" t="s">
        <v>136</v>
      </c>
      <c r="K40" s="184" t="str">
        <f>'テンプレート'!K56</f>
        <v>ベクトル</v>
      </c>
      <c r="L40" s="184" t="str">
        <f>'テンプレート'!L56</f>
        <v>KBG (R.E.)</v>
      </c>
      <c r="M40" s="184" t="str">
        <f>'テンプレート'!M56</f>
        <v>BKB (R.A.)</v>
      </c>
      <c r="N40" s="184" t="str">
        <f>'テンプレート'!N56</f>
        <v>FKB (R.F.)</v>
      </c>
      <c r="O40" s="186" t="str">
        <f>'テンプレート'!O56</f>
        <v>盾削り値</v>
      </c>
      <c r="P40" s="184" t="str">
        <f>'テンプレート'!P56</f>
        <v>ﾋｯﾄｽﾄｯﾌﾟ</v>
      </c>
      <c r="Q40" s="186" t="str">
        <f>'テンプレート'!Q56</f>
        <v>ずらし</v>
      </c>
      <c r="R40" s="187" t="str">
        <f>'テンプレート'!R56</f>
        <v>備考</v>
      </c>
      <c r="S40" s="110"/>
      <c r="T40" s="110"/>
      <c r="U40" s="110"/>
      <c r="V40" s="110"/>
    </row>
    <row r="41" outlineLevel="1">
      <c r="A41" s="188" t="s">
        <v>144</v>
      </c>
      <c r="B41" s="373" t="s">
        <v>125</v>
      </c>
      <c r="C41" s="239" t="s">
        <v>217</v>
      </c>
      <c r="D41" s="452" t="s">
        <v>185</v>
      </c>
      <c r="E41" s="401" t="s">
        <v>1744</v>
      </c>
      <c r="F41" s="193" t="s">
        <v>1745</v>
      </c>
      <c r="G41" s="1234" t="s">
        <v>1746</v>
      </c>
      <c r="H41" s="138" t="s">
        <v>1747</v>
      </c>
      <c r="I41" s="454" t="str">
        <f t="array" ref="I41">INDEX('空中攻撃'!$O$3:$AA$109, MATCH($A$1,'空中攻撃'!$A$3:$A$109,0), MATCH(A41,'空中攻撃'!$O$2:$S$2,0))</f>
        <v>7</v>
      </c>
      <c r="J41" s="455" t="s">
        <v>1748</v>
      </c>
      <c r="K41" s="376"/>
      <c r="L41" s="377"/>
      <c r="M41" s="825"/>
      <c r="N41" s="825"/>
      <c r="O41" s="199">
        <v>0.0</v>
      </c>
      <c r="P41" s="199">
        <v>1.0</v>
      </c>
      <c r="Q41" s="199">
        <v>1.0</v>
      </c>
      <c r="R41" s="200"/>
      <c r="S41" s="164"/>
      <c r="T41" s="164"/>
      <c r="U41" s="164"/>
      <c r="V41" s="104"/>
    </row>
    <row r="42" outlineLevel="1">
      <c r="A42" s="156"/>
      <c r="B42" s="373" t="s">
        <v>131</v>
      </c>
      <c r="C42" s="239" t="s">
        <v>1749</v>
      </c>
      <c r="D42" s="107"/>
      <c r="E42" s="239" t="s">
        <v>1750</v>
      </c>
      <c r="F42" s="138" t="s">
        <v>1751</v>
      </c>
      <c r="G42" s="1235" t="s">
        <v>1752</v>
      </c>
      <c r="H42" s="138" t="s">
        <v>364</v>
      </c>
      <c r="I42" s="156"/>
      <c r="J42" s="107"/>
      <c r="K42" s="376"/>
      <c r="L42" s="377"/>
      <c r="M42" s="825"/>
      <c r="N42" s="825"/>
      <c r="O42" s="199">
        <v>0.0</v>
      </c>
      <c r="P42" s="199">
        <v>1.0</v>
      </c>
      <c r="Q42" s="199">
        <v>1.0</v>
      </c>
      <c r="R42" s="106"/>
      <c r="S42" s="168"/>
      <c r="T42" s="168"/>
      <c r="U42" s="168"/>
      <c r="V42" s="107"/>
    </row>
    <row r="43" outlineLevel="1">
      <c r="A43" s="213" t="s">
        <v>151</v>
      </c>
      <c r="B43" s="373"/>
      <c r="C43" s="239" t="s">
        <v>549</v>
      </c>
      <c r="D43" s="774">
        <v>37.0</v>
      </c>
      <c r="E43" s="239" t="s">
        <v>1753</v>
      </c>
      <c r="F43" s="138" t="s">
        <v>1754</v>
      </c>
      <c r="G43" s="1235" t="s">
        <v>1755</v>
      </c>
      <c r="H43" s="138" t="s">
        <v>1756</v>
      </c>
      <c r="I43" s="621" t="str">
        <f t="array" ref="I43">INDEX('空中攻撃'!$O$3:$AA$109, MATCH($A$1,'空中攻撃'!$A$3:$A$109,0), MATCH(A43,'空中攻撃'!$O$2:$S$2,0))</f>
        <v>10</v>
      </c>
      <c r="J43" s="467" t="s">
        <v>1757</v>
      </c>
      <c r="K43" s="376"/>
      <c r="L43" s="377"/>
      <c r="M43" s="825"/>
      <c r="N43" s="825"/>
      <c r="O43" s="199">
        <v>0.0</v>
      </c>
      <c r="P43" s="199">
        <v>1.0</v>
      </c>
      <c r="Q43" s="199">
        <v>1.0</v>
      </c>
      <c r="R43" s="218"/>
      <c r="S43" s="110"/>
      <c r="T43" s="110"/>
      <c r="U43" s="110"/>
      <c r="V43" s="109"/>
    </row>
    <row r="44" outlineLevel="1">
      <c r="A44" s="213" t="s">
        <v>157</v>
      </c>
      <c r="B44" s="373"/>
      <c r="C44" s="239" t="s">
        <v>733</v>
      </c>
      <c r="D44" s="774">
        <v>39.0</v>
      </c>
      <c r="E44" s="239" t="s">
        <v>1758</v>
      </c>
      <c r="F44" s="138" t="s">
        <v>1759</v>
      </c>
      <c r="G44" s="1235" t="s">
        <v>1760</v>
      </c>
      <c r="H44" s="138" t="s">
        <v>1756</v>
      </c>
      <c r="I44" s="621">
        <f t="array" ref="I44">INDEX('空中攻撃'!$O$3:$AA$109, MATCH($A$1,'空中攻撃'!$A$3:$A$109,0), MATCH(A44,'空中攻撃'!$O$2:$S$2,0))</f>
        <v>10</v>
      </c>
      <c r="J44" s="467" t="s">
        <v>740</v>
      </c>
      <c r="K44" s="376"/>
      <c r="L44" s="377"/>
      <c r="M44" s="825"/>
      <c r="N44" s="825"/>
      <c r="O44" s="199">
        <v>0.0</v>
      </c>
      <c r="P44" s="199">
        <v>1.0</v>
      </c>
      <c r="Q44" s="199">
        <v>1.0</v>
      </c>
      <c r="R44" s="218"/>
      <c r="S44" s="110"/>
      <c r="T44" s="110"/>
      <c r="U44" s="110"/>
      <c r="V44" s="109"/>
    </row>
    <row r="45" outlineLevel="1">
      <c r="A45" s="213" t="s">
        <v>162</v>
      </c>
      <c r="B45" s="373"/>
      <c r="C45" s="239" t="s">
        <v>1615</v>
      </c>
      <c r="D45" s="774" t="s">
        <v>146</v>
      </c>
      <c r="E45" s="239" t="s">
        <v>1761</v>
      </c>
      <c r="F45" s="138" t="s">
        <v>1762</v>
      </c>
      <c r="G45" s="1235" t="s">
        <v>1763</v>
      </c>
      <c r="H45" s="138" t="s">
        <v>1764</v>
      </c>
      <c r="I45" s="621" t="str">
        <f t="array" ref="I45">INDEX('空中攻撃'!$O$3:$AA$109, MATCH($A$1,'空中攻撃'!$A$3:$A$109,0), MATCH(A45,'空中攻撃'!$O$2:$S$2,0))</f>
        <v>8</v>
      </c>
      <c r="J45" s="467" t="s">
        <v>643</v>
      </c>
      <c r="K45" s="377"/>
      <c r="L45" s="377"/>
      <c r="M45" s="825"/>
      <c r="N45" s="825"/>
      <c r="O45" s="199">
        <v>0.0</v>
      </c>
      <c r="P45" s="199">
        <v>1.0</v>
      </c>
      <c r="Q45" s="199">
        <v>1.0</v>
      </c>
      <c r="R45" s="218"/>
      <c r="S45" s="110"/>
      <c r="T45" s="110"/>
      <c r="U45" s="110"/>
      <c r="V45" s="109"/>
    </row>
    <row r="46" outlineLevel="1">
      <c r="A46" s="188" t="s">
        <v>166</v>
      </c>
      <c r="B46" s="373"/>
      <c r="C46" s="239" t="s">
        <v>505</v>
      </c>
      <c r="D46" s="452">
        <v>59.0</v>
      </c>
      <c r="E46" s="239" t="s">
        <v>554</v>
      </c>
      <c r="F46" s="138" t="s">
        <v>555</v>
      </c>
      <c r="G46" s="1235" t="s">
        <v>1765</v>
      </c>
      <c r="H46" s="138" t="s">
        <v>1766</v>
      </c>
      <c r="I46" s="454">
        <f t="array" ref="I46">INDEX('空中攻撃'!$O$3:$AA$109, MATCH($A$1,'空中攻撃'!$A$3:$A$109,0), MATCH(A46,'空中攻撃'!$O$2:$S$2,0))</f>
        <v>14</v>
      </c>
      <c r="J46" s="455" t="s">
        <v>1767</v>
      </c>
      <c r="K46" s="377"/>
      <c r="L46" s="377"/>
      <c r="M46" s="825"/>
      <c r="N46" s="825"/>
      <c r="O46" s="199">
        <v>0.0</v>
      </c>
      <c r="P46" s="199">
        <v>1.0</v>
      </c>
      <c r="Q46" s="199">
        <v>1.0</v>
      </c>
      <c r="R46" s="220"/>
      <c r="S46" s="164"/>
      <c r="T46" s="164"/>
      <c r="U46" s="164"/>
      <c r="V46" s="104"/>
    </row>
    <row r="47" outlineLevel="1">
      <c r="A47" s="156"/>
      <c r="B47" s="373" t="s">
        <v>155</v>
      </c>
      <c r="C47" s="239" t="s">
        <v>232</v>
      </c>
      <c r="D47" s="107"/>
      <c r="E47" s="239" t="s">
        <v>386</v>
      </c>
      <c r="F47" s="138">
        <v>18.0</v>
      </c>
      <c r="G47" s="138">
        <v>15.3</v>
      </c>
      <c r="H47" s="138" t="s">
        <v>75</v>
      </c>
      <c r="I47" s="156"/>
      <c r="J47" s="107"/>
      <c r="K47" s="377"/>
      <c r="L47" s="377"/>
      <c r="M47" s="825"/>
      <c r="N47" s="825"/>
      <c r="O47" s="199">
        <v>0.0</v>
      </c>
      <c r="P47" s="199">
        <v>1.0</v>
      </c>
      <c r="Q47" s="199">
        <v>1.0</v>
      </c>
      <c r="R47" s="106"/>
      <c r="S47" s="168"/>
      <c r="T47" s="168"/>
      <c r="U47" s="168"/>
      <c r="V47" s="107"/>
    </row>
    <row r="48">
      <c r="A48" s="223"/>
      <c r="B48" s="224"/>
      <c r="C48" s="225"/>
      <c r="D48" s="225"/>
      <c r="E48" s="226"/>
      <c r="F48" s="226"/>
      <c r="G48" s="226"/>
      <c r="H48" s="227"/>
      <c r="I48" s="227"/>
      <c r="J48" s="228"/>
      <c r="K48" s="228"/>
      <c r="L48" s="228"/>
      <c r="M48" s="228"/>
      <c r="N48" s="228"/>
      <c r="O48" s="228"/>
      <c r="P48" s="228"/>
      <c r="Q48" s="118"/>
      <c r="R48" s="118"/>
      <c r="S48" s="118"/>
      <c r="T48" s="118"/>
      <c r="U48" s="118"/>
      <c r="V48" s="118"/>
    </row>
    <row r="49">
      <c r="A49" s="229" t="s">
        <v>177</v>
      </c>
      <c r="B49" s="109"/>
      <c r="C49" s="225"/>
      <c r="D49" s="225"/>
      <c r="E49" s="226"/>
      <c r="F49" s="226"/>
      <c r="G49" s="226"/>
      <c r="H49" s="227"/>
      <c r="I49" s="227"/>
      <c r="J49" s="228"/>
      <c r="K49" s="228"/>
      <c r="L49" s="228"/>
      <c r="M49" s="228"/>
      <c r="N49" s="228"/>
      <c r="O49" s="228"/>
      <c r="P49" s="228"/>
      <c r="Q49" s="118"/>
      <c r="R49" s="118"/>
      <c r="S49" s="118"/>
      <c r="T49" s="118"/>
      <c r="U49" s="118"/>
      <c r="V49" s="118"/>
    </row>
    <row r="50" outlineLevel="1">
      <c r="A50" s="230" t="s">
        <v>1768</v>
      </c>
      <c r="B50" s="109"/>
      <c r="C50" s="231" t="s">
        <v>48</v>
      </c>
      <c r="D50" s="231" t="s">
        <v>49</v>
      </c>
      <c r="E50" s="232" t="s">
        <v>50</v>
      </c>
      <c r="F50" s="233" t="s">
        <v>51</v>
      </c>
      <c r="G50" s="232" t="s">
        <v>52</v>
      </c>
      <c r="H50" s="234" t="s">
        <v>53</v>
      </c>
      <c r="I50" s="110"/>
      <c r="J50" s="109"/>
      <c r="K50" s="235" t="s">
        <v>137</v>
      </c>
      <c r="L50" s="235" t="s">
        <v>138</v>
      </c>
      <c r="M50" s="235" t="s">
        <v>139</v>
      </c>
      <c r="N50" s="235" t="s">
        <v>140</v>
      </c>
      <c r="O50" s="236" t="s">
        <v>141</v>
      </c>
      <c r="P50" s="235" t="s">
        <v>142</v>
      </c>
      <c r="Q50" s="236" t="s">
        <v>143</v>
      </c>
      <c r="R50" s="235" t="s">
        <v>179</v>
      </c>
      <c r="S50" s="236" t="s">
        <v>180</v>
      </c>
      <c r="T50" s="236" t="s">
        <v>181</v>
      </c>
      <c r="U50" s="236" t="s">
        <v>182</v>
      </c>
      <c r="V50" s="236" t="s">
        <v>183</v>
      </c>
    </row>
    <row r="51" outlineLevel="1">
      <c r="A51" s="237" t="s">
        <v>184</v>
      </c>
      <c r="B51" s="243" t="s">
        <v>1769</v>
      </c>
      <c r="C51" s="239" t="s">
        <v>296</v>
      </c>
      <c r="D51" s="367" t="s">
        <v>413</v>
      </c>
      <c r="E51" s="239" t="s">
        <v>1770</v>
      </c>
      <c r="F51" s="138" t="s">
        <v>1771</v>
      </c>
      <c r="G51" s="139" t="s">
        <v>1772</v>
      </c>
      <c r="H51" s="240" t="s">
        <v>1773</v>
      </c>
      <c r="I51" s="164"/>
      <c r="J51" s="104"/>
      <c r="K51" s="282"/>
      <c r="L51" s="282"/>
      <c r="M51" s="363"/>
      <c r="N51" s="363"/>
      <c r="O51" s="138">
        <v>25.0</v>
      </c>
      <c r="P51" s="138">
        <v>1.0</v>
      </c>
      <c r="Q51" s="138">
        <v>1.0</v>
      </c>
      <c r="R51" s="145" t="b">
        <v>0</v>
      </c>
      <c r="S51" s="145"/>
      <c r="T51" s="145"/>
      <c r="U51" s="166" t="s">
        <v>186</v>
      </c>
      <c r="V51" s="166" t="b">
        <v>1</v>
      </c>
    </row>
    <row r="52" outlineLevel="1">
      <c r="A52" s="146"/>
      <c r="B52" s="243" t="s">
        <v>90</v>
      </c>
      <c r="C52" s="239" t="s">
        <v>334</v>
      </c>
      <c r="D52" s="156"/>
      <c r="E52" s="239" t="s">
        <v>1774</v>
      </c>
      <c r="F52" s="138" t="s">
        <v>1775</v>
      </c>
      <c r="G52" s="139" t="s">
        <v>1772</v>
      </c>
      <c r="H52" s="212"/>
      <c r="J52" s="210"/>
      <c r="K52" s="282"/>
      <c r="L52" s="282"/>
      <c r="M52" s="363"/>
      <c r="N52" s="363"/>
      <c r="O52" s="138"/>
      <c r="P52" s="138"/>
      <c r="Q52" s="138"/>
      <c r="R52" s="145" t="b">
        <v>0</v>
      </c>
      <c r="S52" s="145" t="b">
        <v>0</v>
      </c>
      <c r="T52" s="145" t="b">
        <v>0</v>
      </c>
      <c r="U52" s="146"/>
      <c r="V52" s="146"/>
    </row>
    <row r="53" outlineLevel="1">
      <c r="A53" s="146"/>
      <c r="B53" s="663" t="s">
        <v>1776</v>
      </c>
      <c r="C53" s="239" t="s">
        <v>993</v>
      </c>
      <c r="D53" s="367" t="s">
        <v>1777</v>
      </c>
      <c r="E53" s="239" t="s">
        <v>1778</v>
      </c>
      <c r="F53" s="138" t="s">
        <v>1779</v>
      </c>
      <c r="G53" s="139" t="s">
        <v>1780</v>
      </c>
      <c r="H53" s="212"/>
      <c r="J53" s="210"/>
      <c r="K53" s="282"/>
      <c r="L53" s="282"/>
      <c r="M53" s="363"/>
      <c r="N53" s="363"/>
      <c r="O53" s="138"/>
      <c r="P53" s="138"/>
      <c r="Q53" s="138"/>
      <c r="R53" s="145" t="b">
        <v>0</v>
      </c>
      <c r="S53" s="145" t="b">
        <v>0</v>
      </c>
      <c r="T53" s="145" t="b">
        <v>0</v>
      </c>
      <c r="U53" s="146"/>
      <c r="V53" s="146"/>
    </row>
    <row r="54" outlineLevel="1">
      <c r="A54" s="146"/>
      <c r="B54" s="663" t="s">
        <v>1781</v>
      </c>
      <c r="C54" s="239" t="s">
        <v>1782</v>
      </c>
      <c r="D54" s="156"/>
      <c r="E54" s="239" t="s">
        <v>1783</v>
      </c>
      <c r="F54" s="138" t="s">
        <v>1784</v>
      </c>
      <c r="G54" s="139" t="s">
        <v>1780</v>
      </c>
      <c r="H54" s="106"/>
      <c r="I54" s="168"/>
      <c r="J54" s="107"/>
      <c r="K54" s="282"/>
      <c r="L54" s="282"/>
      <c r="M54" s="363"/>
      <c r="N54" s="363"/>
      <c r="O54" s="138">
        <v>50.0</v>
      </c>
      <c r="P54" s="138">
        <v>1.0</v>
      </c>
      <c r="Q54" s="138">
        <v>1.0</v>
      </c>
      <c r="R54" s="145" t="b">
        <v>0</v>
      </c>
      <c r="S54" s="145" t="b">
        <v>0</v>
      </c>
      <c r="T54" s="145"/>
      <c r="U54" s="156"/>
      <c r="V54" s="156"/>
    </row>
    <row r="55" outlineLevel="1">
      <c r="A55" s="230" t="s">
        <v>1785</v>
      </c>
      <c r="B55" s="109"/>
      <c r="C55" s="231" t="s">
        <v>48</v>
      </c>
      <c r="D55" s="231" t="s">
        <v>49</v>
      </c>
      <c r="E55" s="232" t="s">
        <v>50</v>
      </c>
      <c r="F55" s="233" t="s">
        <v>51</v>
      </c>
      <c r="G55" s="232" t="s">
        <v>52</v>
      </c>
      <c r="H55" s="234" t="s">
        <v>53</v>
      </c>
      <c r="I55" s="110"/>
      <c r="J55" s="109"/>
      <c r="K55" s="235" t="s">
        <v>137</v>
      </c>
      <c r="L55" s="235" t="s">
        <v>138</v>
      </c>
      <c r="M55" s="235" t="s">
        <v>139</v>
      </c>
      <c r="N55" s="235" t="s">
        <v>140</v>
      </c>
      <c r="O55" s="236" t="s">
        <v>141</v>
      </c>
      <c r="P55" s="235" t="s">
        <v>142</v>
      </c>
      <c r="Q55" s="236" t="s">
        <v>143</v>
      </c>
      <c r="R55" s="235" t="s">
        <v>179</v>
      </c>
      <c r="S55" s="236" t="s">
        <v>180</v>
      </c>
      <c r="T55" s="236" t="s">
        <v>181</v>
      </c>
      <c r="U55" s="236" t="s">
        <v>182</v>
      </c>
      <c r="V55" s="236" t="s">
        <v>183</v>
      </c>
    </row>
    <row r="56" outlineLevel="1">
      <c r="A56" s="237" t="s">
        <v>1786</v>
      </c>
      <c r="B56" s="243" t="s">
        <v>1787</v>
      </c>
      <c r="C56" s="239" t="s">
        <v>835</v>
      </c>
      <c r="D56" s="239" t="s">
        <v>1788</v>
      </c>
      <c r="E56" s="239" t="s">
        <v>1789</v>
      </c>
      <c r="F56" s="138" t="s">
        <v>1790</v>
      </c>
      <c r="G56" s="139" t="s">
        <v>451</v>
      </c>
      <c r="H56" s="283" t="s">
        <v>1791</v>
      </c>
      <c r="I56" s="164"/>
      <c r="J56" s="164"/>
      <c r="K56" s="282"/>
      <c r="L56" s="282"/>
      <c r="M56" s="363"/>
      <c r="N56" s="363"/>
      <c r="O56" s="138">
        <v>0.0</v>
      </c>
      <c r="P56" s="138">
        <v>1.0</v>
      </c>
      <c r="Q56" s="138">
        <v>0.8</v>
      </c>
      <c r="R56" s="145" t="b">
        <v>0</v>
      </c>
      <c r="S56" s="145" t="b">
        <v>0</v>
      </c>
      <c r="T56" s="145"/>
      <c r="U56" s="166" t="s">
        <v>186</v>
      </c>
      <c r="V56" s="166" t="b">
        <v>1</v>
      </c>
    </row>
    <row r="57" outlineLevel="1">
      <c r="A57" s="146"/>
      <c r="B57" s="243" t="s">
        <v>1792</v>
      </c>
      <c r="C57" s="239" t="s">
        <v>163</v>
      </c>
      <c r="D57" s="239" t="s">
        <v>1793</v>
      </c>
      <c r="E57" s="239" t="s">
        <v>1789</v>
      </c>
      <c r="F57" s="138" t="s">
        <v>1790</v>
      </c>
      <c r="G57" s="139" t="s">
        <v>451</v>
      </c>
      <c r="H57" s="283" t="s">
        <v>1794</v>
      </c>
      <c r="I57" s="164"/>
      <c r="J57" s="164"/>
      <c r="K57" s="138"/>
      <c r="L57" s="138"/>
      <c r="M57" s="145"/>
      <c r="N57" s="145"/>
      <c r="O57" s="138">
        <v>0.0</v>
      </c>
      <c r="P57" s="138">
        <v>1.0</v>
      </c>
      <c r="Q57" s="138">
        <v>0.8</v>
      </c>
      <c r="R57" s="145" t="b">
        <v>0</v>
      </c>
      <c r="S57" s="145" t="b">
        <v>0</v>
      </c>
      <c r="T57" s="145"/>
      <c r="U57" s="146"/>
      <c r="V57" s="146"/>
    </row>
    <row r="58" outlineLevel="1">
      <c r="A58" s="146"/>
      <c r="B58" s="243" t="s">
        <v>1795</v>
      </c>
      <c r="C58" s="239" t="s">
        <v>91</v>
      </c>
      <c r="D58" s="239" t="s">
        <v>1793</v>
      </c>
      <c r="E58" s="239" t="s">
        <v>1789</v>
      </c>
      <c r="F58" s="138" t="s">
        <v>1790</v>
      </c>
      <c r="G58" s="139" t="s">
        <v>451</v>
      </c>
      <c r="H58" s="283" t="s">
        <v>1796</v>
      </c>
      <c r="I58" s="164"/>
      <c r="J58" s="164"/>
      <c r="K58" s="138"/>
      <c r="L58" s="138"/>
      <c r="M58" s="145"/>
      <c r="N58" s="145"/>
      <c r="O58" s="138">
        <v>1.0</v>
      </c>
      <c r="P58" s="138">
        <v>1.0</v>
      </c>
      <c r="Q58" s="138">
        <v>0.8</v>
      </c>
      <c r="R58" s="145"/>
      <c r="S58" s="145"/>
      <c r="T58" s="145"/>
      <c r="U58" s="146"/>
      <c r="V58" s="146"/>
    </row>
    <row r="59" outlineLevel="1">
      <c r="A59" s="146"/>
      <c r="B59" s="243" t="s">
        <v>1797</v>
      </c>
      <c r="C59" s="239" t="s">
        <v>91</v>
      </c>
      <c r="D59" s="216" t="s">
        <v>1798</v>
      </c>
      <c r="E59" s="239" t="s">
        <v>1799</v>
      </c>
      <c r="F59" s="138" t="s">
        <v>1800</v>
      </c>
      <c r="G59" s="139" t="s">
        <v>1801</v>
      </c>
      <c r="H59" s="283" t="s">
        <v>1802</v>
      </c>
      <c r="I59" s="164"/>
      <c r="J59" s="164"/>
      <c r="K59" s="138"/>
      <c r="L59" s="138"/>
      <c r="M59" s="145"/>
      <c r="N59" s="145"/>
      <c r="O59" s="138">
        <v>1.0</v>
      </c>
      <c r="P59" s="138">
        <v>1.0</v>
      </c>
      <c r="Q59" s="138">
        <v>0.8</v>
      </c>
      <c r="R59" s="145"/>
      <c r="S59" s="145"/>
      <c r="T59" s="145"/>
      <c r="U59" s="146"/>
      <c r="V59" s="146"/>
    </row>
    <row r="60" outlineLevel="1">
      <c r="A60" s="146"/>
      <c r="B60" s="243" t="s">
        <v>1803</v>
      </c>
      <c r="C60" s="239" t="s">
        <v>270</v>
      </c>
      <c r="D60" s="216" t="s">
        <v>1798</v>
      </c>
      <c r="E60" s="239" t="s">
        <v>1799</v>
      </c>
      <c r="F60" s="138" t="s">
        <v>1800</v>
      </c>
      <c r="G60" s="139" t="s">
        <v>1801</v>
      </c>
      <c r="H60" s="283" t="s">
        <v>1804</v>
      </c>
      <c r="I60" s="164"/>
      <c r="J60" s="164"/>
      <c r="K60" s="138"/>
      <c r="L60" s="138"/>
      <c r="M60" s="145"/>
      <c r="N60" s="145"/>
      <c r="O60" s="138">
        <v>1.0</v>
      </c>
      <c r="P60" s="138">
        <v>1.0</v>
      </c>
      <c r="Q60" s="138">
        <v>0.8</v>
      </c>
      <c r="R60" s="145"/>
      <c r="S60" s="145"/>
      <c r="T60" s="145"/>
      <c r="U60" s="146"/>
      <c r="V60" s="146"/>
    </row>
    <row r="61" outlineLevel="1">
      <c r="A61" s="146"/>
      <c r="B61" s="243" t="s">
        <v>1805</v>
      </c>
      <c r="C61" s="239" t="s">
        <v>91</v>
      </c>
      <c r="D61" s="216" t="s">
        <v>1798</v>
      </c>
      <c r="E61" s="239" t="s">
        <v>1806</v>
      </c>
      <c r="F61" s="138" t="s">
        <v>1807</v>
      </c>
      <c r="G61" s="139" t="s">
        <v>1808</v>
      </c>
      <c r="H61" s="283" t="s">
        <v>1809</v>
      </c>
      <c r="I61" s="164"/>
      <c r="J61" s="164"/>
      <c r="K61" s="138"/>
      <c r="L61" s="138"/>
      <c r="M61" s="145"/>
      <c r="N61" s="145"/>
      <c r="O61" s="138">
        <v>1.0</v>
      </c>
      <c r="P61" s="138">
        <v>1.0</v>
      </c>
      <c r="Q61" s="138">
        <v>0.8</v>
      </c>
      <c r="R61" s="145"/>
      <c r="S61" s="145"/>
      <c r="T61" s="145"/>
      <c r="U61" s="146"/>
      <c r="V61" s="146"/>
    </row>
    <row r="62" outlineLevel="1">
      <c r="A62" s="146"/>
      <c r="B62" s="243" t="s">
        <v>1810</v>
      </c>
      <c r="C62" s="239" t="s">
        <v>322</v>
      </c>
      <c r="D62" s="216" t="s">
        <v>1811</v>
      </c>
      <c r="E62" s="239" t="s">
        <v>1812</v>
      </c>
      <c r="F62" s="138" t="s">
        <v>1813</v>
      </c>
      <c r="G62" s="139" t="s">
        <v>1814</v>
      </c>
      <c r="H62" s="362" t="s">
        <v>411</v>
      </c>
      <c r="I62" s="110"/>
      <c r="J62" s="109"/>
      <c r="K62" s="138"/>
      <c r="L62" s="138"/>
      <c r="M62" s="145"/>
      <c r="N62" s="145"/>
      <c r="O62" s="138">
        <v>1.0</v>
      </c>
      <c r="P62" s="138">
        <v>1.0</v>
      </c>
      <c r="Q62" s="138">
        <v>0.8</v>
      </c>
      <c r="R62" s="145"/>
      <c r="S62" s="145"/>
      <c r="T62" s="145"/>
      <c r="U62" s="146"/>
      <c r="V62" s="146"/>
    </row>
    <row r="63" outlineLevel="1">
      <c r="A63" s="146"/>
      <c r="B63" s="243" t="s">
        <v>1815</v>
      </c>
      <c r="C63" s="239" t="s">
        <v>277</v>
      </c>
      <c r="D63" s="216" t="s">
        <v>1816</v>
      </c>
      <c r="E63" s="239" t="s">
        <v>1817</v>
      </c>
      <c r="F63" s="138" t="s">
        <v>1818</v>
      </c>
      <c r="G63" s="139" t="s">
        <v>1819</v>
      </c>
      <c r="H63" s="362" t="s">
        <v>411</v>
      </c>
      <c r="I63" s="110"/>
      <c r="J63" s="109"/>
      <c r="K63" s="138"/>
      <c r="L63" s="138"/>
      <c r="M63" s="145"/>
      <c r="N63" s="145"/>
      <c r="O63" s="138">
        <v>5.0</v>
      </c>
      <c r="P63" s="138">
        <v>1.0</v>
      </c>
      <c r="Q63" s="138">
        <v>1.0</v>
      </c>
      <c r="R63" s="145"/>
      <c r="S63" s="145"/>
      <c r="T63" s="145"/>
      <c r="U63" s="146"/>
      <c r="V63" s="146"/>
    </row>
    <row r="64" outlineLevel="1">
      <c r="A64" s="146"/>
      <c r="B64" s="243" t="s">
        <v>1820</v>
      </c>
      <c r="C64" s="239" t="s">
        <v>1821</v>
      </c>
      <c r="D64" s="195" t="s">
        <v>1822</v>
      </c>
      <c r="E64" s="239" t="s">
        <v>176</v>
      </c>
      <c r="F64" s="138" t="s">
        <v>1823</v>
      </c>
      <c r="G64" s="139" t="s">
        <v>60</v>
      </c>
      <c r="H64" s="395" t="s">
        <v>411</v>
      </c>
      <c r="I64" s="164"/>
      <c r="J64" s="104"/>
      <c r="K64" s="138"/>
      <c r="L64" s="138"/>
      <c r="M64" s="145"/>
      <c r="N64" s="145"/>
      <c r="O64" s="1236" t="s">
        <v>1824</v>
      </c>
      <c r="P64" s="138">
        <v>1.0</v>
      </c>
      <c r="Q64" s="138">
        <v>1.0</v>
      </c>
      <c r="R64" s="145"/>
      <c r="S64" s="145"/>
      <c r="T64" s="145"/>
      <c r="U64" s="146"/>
      <c r="V64" s="146"/>
    </row>
    <row r="65" outlineLevel="1">
      <c r="A65" s="146"/>
      <c r="B65" s="243" t="s">
        <v>1825</v>
      </c>
      <c r="C65" s="239" t="s">
        <v>378</v>
      </c>
      <c r="D65" s="107"/>
      <c r="E65" s="239" t="s">
        <v>1826</v>
      </c>
      <c r="F65" s="138" t="s">
        <v>1827</v>
      </c>
      <c r="G65" s="139" t="s">
        <v>1819</v>
      </c>
      <c r="H65" s="106"/>
      <c r="I65" s="168"/>
      <c r="J65" s="107"/>
      <c r="K65" s="138"/>
      <c r="L65" s="138"/>
      <c r="M65" s="145"/>
      <c r="N65" s="145"/>
      <c r="O65" s="1236" t="s">
        <v>1828</v>
      </c>
      <c r="P65" s="138">
        <v>1.0</v>
      </c>
      <c r="Q65" s="138">
        <v>1.0</v>
      </c>
      <c r="R65" s="145" t="b">
        <v>0</v>
      </c>
      <c r="S65" s="145" t="b">
        <v>0</v>
      </c>
      <c r="T65" s="145"/>
      <c r="U65" s="156"/>
      <c r="V65" s="156"/>
    </row>
    <row r="66" outlineLevel="1">
      <c r="A66" s="230" t="s">
        <v>1829</v>
      </c>
      <c r="B66" s="109"/>
      <c r="C66" s="231" t="s">
        <v>48</v>
      </c>
      <c r="D66" s="231" t="s">
        <v>49</v>
      </c>
      <c r="E66" s="232" t="s">
        <v>50</v>
      </c>
      <c r="F66" s="233" t="s">
        <v>51</v>
      </c>
      <c r="G66" s="232" t="s">
        <v>52</v>
      </c>
      <c r="H66" s="234"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ht="25.5" customHeight="1" outlineLevel="1">
      <c r="A67" s="546" t="s">
        <v>184</v>
      </c>
      <c r="B67" s="870"/>
      <c r="C67" s="239" t="s">
        <v>150</v>
      </c>
      <c r="D67" s="400"/>
      <c r="E67" s="239" t="s">
        <v>232</v>
      </c>
      <c r="F67" s="138" t="s">
        <v>1830</v>
      </c>
      <c r="G67" s="139" t="s">
        <v>121</v>
      </c>
      <c r="H67" s="413" t="s">
        <v>1831</v>
      </c>
      <c r="I67" s="164"/>
      <c r="J67" s="104"/>
      <c r="K67" s="138"/>
      <c r="L67" s="138"/>
      <c r="M67" s="145"/>
      <c r="N67" s="145"/>
      <c r="O67" s="138">
        <v>0.0</v>
      </c>
      <c r="P67" s="138">
        <v>1.0</v>
      </c>
      <c r="Q67" s="138">
        <v>1.0</v>
      </c>
      <c r="R67" s="145" t="b">
        <v>0</v>
      </c>
      <c r="S67" s="145" t="b">
        <v>0</v>
      </c>
      <c r="T67" s="145"/>
      <c r="U67" s="166" t="s">
        <v>186</v>
      </c>
      <c r="V67" s="166" t="b">
        <v>1</v>
      </c>
    </row>
    <row r="68" ht="25.5" customHeight="1" outlineLevel="1">
      <c r="A68" s="146"/>
      <c r="B68" s="402" t="s">
        <v>187</v>
      </c>
      <c r="C68" s="239" t="s">
        <v>86</v>
      </c>
      <c r="D68" s="146"/>
      <c r="E68" s="239" t="s">
        <v>1832</v>
      </c>
      <c r="F68" s="138" t="s">
        <v>1833</v>
      </c>
      <c r="G68" s="139" t="s">
        <v>1834</v>
      </c>
      <c r="H68" s="212"/>
      <c r="J68" s="210"/>
      <c r="K68" s="138"/>
      <c r="L68" s="138"/>
      <c r="M68" s="145"/>
      <c r="N68" s="145"/>
      <c r="O68" s="138">
        <v>0.0</v>
      </c>
      <c r="P68" s="138">
        <v>1.0</v>
      </c>
      <c r="Q68" s="138">
        <v>1.0</v>
      </c>
      <c r="R68" s="145" t="b">
        <v>0</v>
      </c>
      <c r="S68" s="145" t="b">
        <v>0</v>
      </c>
      <c r="T68" s="145"/>
      <c r="U68" s="146"/>
      <c r="V68" s="146"/>
    </row>
    <row r="69" ht="25.5" customHeight="1" outlineLevel="1">
      <c r="A69" s="156"/>
      <c r="B69" s="402" t="s">
        <v>189</v>
      </c>
      <c r="C69" s="239" t="s">
        <v>733</v>
      </c>
      <c r="D69" s="156"/>
      <c r="E69" s="239" t="s">
        <v>93</v>
      </c>
      <c r="F69" s="138" t="s">
        <v>1835</v>
      </c>
      <c r="G69" s="139" t="s">
        <v>517</v>
      </c>
      <c r="H69" s="106"/>
      <c r="I69" s="168"/>
      <c r="J69" s="107"/>
      <c r="K69" s="138"/>
      <c r="L69" s="138"/>
      <c r="M69" s="145"/>
      <c r="N69" s="145"/>
      <c r="O69" s="138">
        <v>0.0</v>
      </c>
      <c r="P69" s="138">
        <v>1.0</v>
      </c>
      <c r="Q69" s="138">
        <v>1.0</v>
      </c>
      <c r="R69" s="145" t="b">
        <v>0</v>
      </c>
      <c r="S69" s="145" t="b">
        <v>0</v>
      </c>
      <c r="T69" s="145"/>
      <c r="U69" s="156"/>
      <c r="V69" s="156"/>
    </row>
    <row r="70" outlineLevel="1">
      <c r="A70" s="230" t="s">
        <v>1836</v>
      </c>
      <c r="B70" s="109"/>
      <c r="C70" s="231" t="s">
        <v>48</v>
      </c>
      <c r="D70" s="231" t="s">
        <v>49</v>
      </c>
      <c r="E70" s="232" t="s">
        <v>50</v>
      </c>
      <c r="F70" s="233" t="s">
        <v>51</v>
      </c>
      <c r="G70" s="232" t="s">
        <v>52</v>
      </c>
      <c r="H70" s="234"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236" t="s">
        <v>183</v>
      </c>
    </row>
    <row r="71" outlineLevel="1">
      <c r="A71" s="546" t="s">
        <v>184</v>
      </c>
      <c r="B71" s="402" t="s">
        <v>1837</v>
      </c>
      <c r="C71" s="239" t="s">
        <v>1838</v>
      </c>
      <c r="D71" s="239" t="s">
        <v>1839</v>
      </c>
      <c r="E71" s="409"/>
      <c r="F71" s="409"/>
      <c r="G71" s="409"/>
      <c r="H71" s="1233" t="s">
        <v>1840</v>
      </c>
      <c r="I71" s="110"/>
      <c r="J71" s="109"/>
      <c r="K71" s="281"/>
      <c r="L71" s="281"/>
      <c r="M71" s="281"/>
      <c r="N71" s="281"/>
      <c r="O71" s="281"/>
      <c r="P71" s="281"/>
      <c r="Q71" s="281"/>
      <c r="R71" s="281"/>
      <c r="S71" s="281"/>
      <c r="T71" s="281"/>
      <c r="U71" s="166" t="b">
        <v>0</v>
      </c>
      <c r="V71" s="166" t="b">
        <v>0</v>
      </c>
    </row>
    <row r="72" outlineLevel="1">
      <c r="A72" s="156"/>
      <c r="B72" s="402" t="s">
        <v>1242</v>
      </c>
      <c r="C72" s="239" t="s">
        <v>91</v>
      </c>
      <c r="D72" s="239" t="s">
        <v>384</v>
      </c>
      <c r="E72" s="239" t="s">
        <v>1841</v>
      </c>
      <c r="F72" s="138" t="s">
        <v>1842</v>
      </c>
      <c r="G72" s="139" t="s">
        <v>1843</v>
      </c>
      <c r="H72" s="410" t="s">
        <v>1844</v>
      </c>
      <c r="I72" s="110"/>
      <c r="J72" s="109"/>
      <c r="K72" s="138"/>
      <c r="L72" s="138"/>
      <c r="M72" s="145"/>
      <c r="N72" s="145"/>
      <c r="O72" s="138">
        <v>0.0</v>
      </c>
      <c r="P72" s="138">
        <v>1.0</v>
      </c>
      <c r="Q72" s="138">
        <v>1.0</v>
      </c>
      <c r="R72" s="145" t="b">
        <v>0</v>
      </c>
      <c r="S72" s="145" t="b">
        <v>0</v>
      </c>
      <c r="T72" s="145"/>
      <c r="U72" s="156"/>
      <c r="V72" s="156"/>
    </row>
    <row r="73">
      <c r="A73" s="223"/>
      <c r="B73" s="224"/>
      <c r="C73" s="225"/>
      <c r="D73" s="225"/>
      <c r="E73" s="226"/>
      <c r="F73" s="226"/>
      <c r="G73" s="226"/>
      <c r="H73" s="227"/>
      <c r="I73" s="227"/>
      <c r="J73" s="228"/>
      <c r="K73" s="228"/>
      <c r="L73" s="228"/>
      <c r="M73" s="228"/>
      <c r="N73" s="228"/>
      <c r="O73" s="228"/>
      <c r="P73" s="228"/>
      <c r="Q73" s="118"/>
      <c r="R73" s="118"/>
      <c r="S73" s="118"/>
      <c r="T73" s="118"/>
      <c r="U73" s="118"/>
      <c r="V73" s="118"/>
    </row>
    <row r="74">
      <c r="A74" s="264" t="s">
        <v>211</v>
      </c>
      <c r="B74" s="104"/>
      <c r="C74" s="227"/>
      <c r="D74" s="227"/>
      <c r="E74" s="228"/>
      <c r="F74" s="265"/>
      <c r="G74" s="265"/>
      <c r="H74" s="228"/>
      <c r="I74" s="228"/>
      <c r="J74" s="228"/>
      <c r="K74" s="228"/>
      <c r="L74" s="228"/>
      <c r="M74" s="228"/>
      <c r="N74" s="118"/>
      <c r="O74" s="118"/>
      <c r="P74" s="118"/>
      <c r="Q74" s="228"/>
      <c r="R74" s="228"/>
      <c r="S74" s="228"/>
      <c r="T74" s="228"/>
      <c r="U74" s="228"/>
      <c r="V74" s="228"/>
    </row>
    <row r="75" outlineLevel="1">
      <c r="A75" s="106"/>
      <c r="B75" s="107"/>
      <c r="C75" s="266" t="s">
        <v>48</v>
      </c>
      <c r="D75" s="266" t="s">
        <v>49</v>
      </c>
      <c r="E75" s="266" t="s">
        <v>50</v>
      </c>
      <c r="F75" s="267" t="s">
        <v>51</v>
      </c>
      <c r="G75" s="227"/>
      <c r="H75" s="227"/>
      <c r="I75" s="227"/>
      <c r="J75" s="228"/>
      <c r="K75" s="228"/>
      <c r="L75" s="228"/>
      <c r="M75" s="228"/>
      <c r="N75" s="228"/>
      <c r="O75" s="228"/>
      <c r="P75" s="228"/>
      <c r="Q75" s="228"/>
      <c r="R75" s="228"/>
      <c r="S75" s="228"/>
      <c r="T75" s="228"/>
      <c r="U75" s="228"/>
      <c r="V75" s="228"/>
    </row>
    <row r="76" outlineLevel="1">
      <c r="A76" s="268" t="s">
        <v>212</v>
      </c>
      <c r="B76" s="269" t="s">
        <v>212</v>
      </c>
      <c r="C76" s="239" t="s">
        <v>213</v>
      </c>
      <c r="D76" s="239" t="s">
        <v>86</v>
      </c>
      <c r="E76" s="239" t="s">
        <v>214</v>
      </c>
      <c r="F76" s="138">
        <v>1.56</v>
      </c>
      <c r="G76" s="227"/>
      <c r="H76" s="227"/>
      <c r="I76" s="227"/>
      <c r="J76" s="228"/>
      <c r="K76" s="228"/>
      <c r="L76" s="228"/>
      <c r="M76" s="228"/>
      <c r="N76" s="228"/>
      <c r="O76" s="228"/>
      <c r="P76" s="228"/>
      <c r="Q76" s="228"/>
      <c r="R76" s="228"/>
      <c r="S76" s="228"/>
      <c r="T76" s="228"/>
      <c r="U76" s="228"/>
      <c r="V76" s="228"/>
    </row>
    <row r="77" outlineLevel="1">
      <c r="A77" s="270" t="s">
        <v>215</v>
      </c>
      <c r="B77" s="269" t="s">
        <v>216</v>
      </c>
      <c r="C77" s="239" t="s">
        <v>217</v>
      </c>
      <c r="D77" s="239" t="s">
        <v>218</v>
      </c>
      <c r="E77" s="271"/>
      <c r="F77" s="272"/>
      <c r="G77" s="272"/>
      <c r="H77" s="227"/>
      <c r="I77" s="227"/>
      <c r="J77" s="228"/>
      <c r="K77" s="228"/>
      <c r="L77" s="228"/>
      <c r="M77" s="228"/>
      <c r="N77" s="228"/>
      <c r="O77" s="228"/>
      <c r="P77" s="228"/>
      <c r="Q77" s="228"/>
      <c r="R77" s="228"/>
      <c r="S77" s="228"/>
      <c r="T77" s="228"/>
      <c r="U77" s="228"/>
      <c r="V77" s="228"/>
    </row>
    <row r="78" outlineLevel="1">
      <c r="A78" s="212"/>
      <c r="B78" s="269" t="s">
        <v>219</v>
      </c>
      <c r="C78" s="239" t="s">
        <v>220</v>
      </c>
      <c r="D78" s="239" t="s">
        <v>221</v>
      </c>
      <c r="E78" s="271"/>
      <c r="F78" s="272"/>
      <c r="G78" s="272"/>
      <c r="H78" s="227"/>
      <c r="I78" s="227"/>
      <c r="J78" s="228"/>
      <c r="K78" s="228"/>
      <c r="L78" s="228"/>
      <c r="M78" s="228"/>
      <c r="N78" s="228"/>
      <c r="O78" s="228"/>
      <c r="P78" s="228"/>
      <c r="Q78" s="228"/>
      <c r="R78" s="228"/>
      <c r="S78" s="228"/>
      <c r="T78" s="228"/>
      <c r="U78" s="228"/>
      <c r="V78" s="228"/>
    </row>
    <row r="79" outlineLevel="1">
      <c r="A79" s="106"/>
      <c r="B79" s="269" t="s">
        <v>222</v>
      </c>
      <c r="C79" s="239" t="s">
        <v>223</v>
      </c>
      <c r="D79" s="239" t="s">
        <v>79</v>
      </c>
      <c r="E79" s="227"/>
      <c r="F79" s="272"/>
      <c r="G79" s="272"/>
      <c r="H79" s="227"/>
      <c r="I79" s="227"/>
      <c r="J79" s="228"/>
      <c r="K79" s="228"/>
      <c r="L79" s="228"/>
      <c r="M79" s="228"/>
      <c r="N79" s="228"/>
      <c r="O79" s="228"/>
      <c r="P79" s="228"/>
      <c r="Q79" s="228"/>
      <c r="R79" s="228"/>
      <c r="S79" s="228"/>
      <c r="T79" s="228"/>
      <c r="U79" s="228"/>
      <c r="V79" s="228"/>
    </row>
    <row r="80" outlineLevel="1">
      <c r="A80" s="273" t="s">
        <v>225</v>
      </c>
      <c r="B80" s="109"/>
      <c r="C80" s="266" t="s">
        <v>48</v>
      </c>
      <c r="D80" s="266" t="s">
        <v>49</v>
      </c>
      <c r="E80" s="266" t="s">
        <v>50</v>
      </c>
      <c r="F80" s="267" t="s">
        <v>51</v>
      </c>
      <c r="G80" s="274" t="s">
        <v>53</v>
      </c>
      <c r="H80" s="110"/>
      <c r="I80" s="110"/>
      <c r="J80" s="109"/>
      <c r="K80" s="275" t="str">
        <f>'テンプレート'!K97</f>
        <v>ベクトル</v>
      </c>
      <c r="L80" s="275" t="str">
        <f>'テンプレート'!L97</f>
        <v>KBG (R.E.)</v>
      </c>
      <c r="M80" s="275" t="str">
        <f>'テンプレート'!M97</f>
        <v>BKB (R.A.)</v>
      </c>
      <c r="N80" s="275" t="str">
        <f>'テンプレート'!N97</f>
        <v>FKB (R.F.)</v>
      </c>
      <c r="O80" s="276" t="str">
        <f>'テンプレート'!O97</f>
        <v>盾削り値</v>
      </c>
      <c r="P80" s="275" t="str">
        <f>'テンプレート'!P97</f>
        <v>ﾋｯﾄｽﾄｯﾌﾟ</v>
      </c>
      <c r="Q80" s="276" t="str">
        <f>'テンプレート'!Q97</f>
        <v>ずらし</v>
      </c>
      <c r="R80" s="277"/>
      <c r="S80" s="277"/>
      <c r="T80" s="277"/>
      <c r="U80" s="277"/>
      <c r="V80" s="277"/>
    </row>
    <row r="81" outlineLevel="1">
      <c r="A81" s="278" t="s">
        <v>226</v>
      </c>
      <c r="B81" s="269" t="s">
        <v>227</v>
      </c>
      <c r="C81" s="261"/>
      <c r="D81" s="279">
        <v>31.0</v>
      </c>
      <c r="E81" s="261"/>
      <c r="F81" s="261"/>
      <c r="G81" s="413" t="s">
        <v>1845</v>
      </c>
      <c r="H81" s="164"/>
      <c r="I81" s="164"/>
      <c r="J81" s="104"/>
      <c r="K81" s="261"/>
      <c r="L81" s="261"/>
      <c r="M81" s="261"/>
      <c r="N81" s="261"/>
      <c r="O81" s="261"/>
      <c r="P81" s="261"/>
      <c r="Q81" s="261"/>
      <c r="R81" s="277"/>
      <c r="S81" s="228"/>
      <c r="T81" s="228"/>
      <c r="U81" s="228"/>
      <c r="V81" s="228"/>
    </row>
    <row r="82" outlineLevel="1">
      <c r="A82" s="156"/>
      <c r="B82" s="269" t="s">
        <v>225</v>
      </c>
      <c r="C82" s="113">
        <v>15.0</v>
      </c>
      <c r="D82" s="156"/>
      <c r="E82" s="239" t="s">
        <v>73</v>
      </c>
      <c r="F82" s="138">
        <v>4.8</v>
      </c>
      <c r="G82" s="106"/>
      <c r="H82" s="168"/>
      <c r="I82" s="168"/>
      <c r="J82" s="107"/>
      <c r="K82" s="282"/>
      <c r="L82" s="282"/>
      <c r="M82" s="363"/>
      <c r="N82" s="363"/>
      <c r="O82" s="261"/>
      <c r="P82" s="261"/>
      <c r="Q82" s="261"/>
      <c r="R82" s="277"/>
      <c r="S82" s="228"/>
      <c r="T82" s="228"/>
      <c r="U82" s="228"/>
      <c r="V82" s="228"/>
    </row>
    <row r="83" outlineLevel="1">
      <c r="A83" s="278" t="s">
        <v>229</v>
      </c>
      <c r="B83" s="269" t="s">
        <v>227</v>
      </c>
      <c r="C83" s="261"/>
      <c r="D83" s="279">
        <v>44.0</v>
      </c>
      <c r="E83" s="261"/>
      <c r="F83" s="261"/>
      <c r="G83" s="413" t="s">
        <v>1846</v>
      </c>
      <c r="H83" s="164"/>
      <c r="I83" s="164"/>
      <c r="J83" s="104"/>
      <c r="K83" s="261"/>
      <c r="L83" s="261"/>
      <c r="M83" s="261"/>
      <c r="N83" s="261"/>
      <c r="O83" s="261"/>
      <c r="P83" s="261"/>
      <c r="Q83" s="261"/>
      <c r="R83" s="277"/>
      <c r="S83" s="228"/>
      <c r="T83" s="228"/>
      <c r="U83" s="228"/>
      <c r="V83" s="228"/>
    </row>
    <row r="84" outlineLevel="1">
      <c r="A84" s="156"/>
      <c r="B84" s="269" t="s">
        <v>225</v>
      </c>
      <c r="C84" s="239" t="s">
        <v>153</v>
      </c>
      <c r="D84" s="156"/>
      <c r="E84" s="239" t="s">
        <v>73</v>
      </c>
      <c r="F84" s="138">
        <v>4.8</v>
      </c>
      <c r="G84" s="106"/>
      <c r="H84" s="168"/>
      <c r="I84" s="168"/>
      <c r="J84" s="107"/>
      <c r="K84" s="282"/>
      <c r="L84" s="282"/>
      <c r="M84" s="363"/>
      <c r="N84" s="363"/>
      <c r="O84" s="261"/>
      <c r="P84" s="261"/>
      <c r="Q84" s="261"/>
      <c r="R84" s="277"/>
      <c r="S84" s="228"/>
      <c r="T84" s="228"/>
      <c r="U84" s="228"/>
      <c r="V84" s="228"/>
    </row>
    <row r="85" outlineLevel="1">
      <c r="A85" s="278" t="s">
        <v>233</v>
      </c>
      <c r="B85" s="269" t="s">
        <v>227</v>
      </c>
      <c r="C85" s="261"/>
      <c r="D85" s="279">
        <v>44.0</v>
      </c>
      <c r="E85" s="261"/>
      <c r="F85" s="261"/>
      <c r="G85" s="416"/>
      <c r="H85" s="164"/>
      <c r="I85" s="164"/>
      <c r="J85" s="104"/>
      <c r="K85" s="261"/>
      <c r="L85" s="261"/>
      <c r="M85" s="261"/>
      <c r="N85" s="261"/>
      <c r="O85" s="261"/>
      <c r="P85" s="261"/>
      <c r="Q85" s="261"/>
      <c r="R85" s="277"/>
      <c r="S85" s="228"/>
      <c r="T85" s="228"/>
      <c r="U85" s="228"/>
      <c r="V85" s="228"/>
    </row>
    <row r="86" outlineLevel="1">
      <c r="A86" s="156"/>
      <c r="B86" s="269" t="s">
        <v>225</v>
      </c>
      <c r="C86" s="113">
        <v>13.0</v>
      </c>
      <c r="D86" s="156"/>
      <c r="E86" s="239" t="s">
        <v>150</v>
      </c>
      <c r="F86" s="138">
        <v>6.0</v>
      </c>
      <c r="G86" s="106"/>
      <c r="H86" s="168"/>
      <c r="I86" s="168"/>
      <c r="J86" s="107"/>
      <c r="K86" s="282"/>
      <c r="L86" s="282"/>
      <c r="M86" s="363"/>
      <c r="N86" s="363"/>
      <c r="O86" s="261"/>
      <c r="P86" s="261"/>
      <c r="Q86" s="261"/>
      <c r="R86" s="277"/>
      <c r="S86" s="117"/>
      <c r="T86" s="117"/>
      <c r="U86" s="117"/>
      <c r="V86" s="117"/>
    </row>
    <row r="87" outlineLevel="1">
      <c r="A87" s="278" t="s">
        <v>234</v>
      </c>
      <c r="B87" s="269" t="s">
        <v>227</v>
      </c>
      <c r="C87" s="261"/>
      <c r="D87" s="279">
        <v>42.0</v>
      </c>
      <c r="E87" s="261"/>
      <c r="F87" s="261"/>
      <c r="G87" s="413" t="s">
        <v>1847</v>
      </c>
      <c r="H87" s="164"/>
      <c r="I87" s="164"/>
      <c r="J87" s="104"/>
      <c r="K87" s="261"/>
      <c r="L87" s="261"/>
      <c r="M87" s="261"/>
      <c r="N87" s="261"/>
      <c r="O87" s="261"/>
      <c r="P87" s="261"/>
      <c r="Q87" s="261"/>
      <c r="R87" s="277"/>
      <c r="S87" s="117"/>
      <c r="T87" s="117"/>
      <c r="U87" s="117"/>
      <c r="V87" s="117"/>
    </row>
    <row r="88" outlineLevel="1">
      <c r="A88" s="156"/>
      <c r="B88" s="269" t="s">
        <v>225</v>
      </c>
      <c r="C88" s="113">
        <v>16.0</v>
      </c>
      <c r="D88" s="156"/>
      <c r="E88" s="239" t="s">
        <v>73</v>
      </c>
      <c r="F88" s="138">
        <v>4.8</v>
      </c>
      <c r="G88" s="106"/>
      <c r="H88" s="168"/>
      <c r="I88" s="168"/>
      <c r="J88" s="107"/>
      <c r="K88" s="282"/>
      <c r="L88" s="282"/>
      <c r="M88" s="363"/>
      <c r="N88" s="363"/>
      <c r="O88" s="261"/>
      <c r="P88" s="261"/>
      <c r="Q88" s="261"/>
      <c r="R88" s="277"/>
      <c r="S88" s="117"/>
      <c r="T88" s="117"/>
      <c r="U88" s="117"/>
      <c r="V88" s="117"/>
    </row>
    <row r="89">
      <c r="A89" s="223"/>
      <c r="B89" s="224"/>
      <c r="C89" s="225"/>
      <c r="D89" s="225"/>
      <c r="E89" s="227"/>
      <c r="F89" s="177"/>
      <c r="G89" s="177"/>
      <c r="H89" s="227"/>
      <c r="I89" s="227"/>
      <c r="J89" s="228"/>
      <c r="K89" s="228"/>
      <c r="L89" s="111"/>
      <c r="M89" s="111"/>
      <c r="N89" s="111"/>
      <c r="O89" s="117"/>
      <c r="P89" s="117"/>
      <c r="Q89" s="111"/>
      <c r="R89" s="111"/>
      <c r="S89" s="111"/>
      <c r="T89" s="111"/>
      <c r="U89" s="111"/>
      <c r="V89" s="111"/>
    </row>
    <row r="90">
      <c r="A90" s="284" t="s">
        <v>241</v>
      </c>
      <c r="B90" s="104"/>
      <c r="C90" s="265"/>
      <c r="D90" s="111"/>
      <c r="E90" s="111"/>
      <c r="F90" s="111"/>
      <c r="G90" s="111"/>
      <c r="H90" s="111"/>
      <c r="I90" s="111"/>
      <c r="J90" s="118"/>
      <c r="K90" s="111"/>
      <c r="L90" s="111"/>
      <c r="M90" s="111"/>
      <c r="N90" s="111"/>
      <c r="O90" s="111"/>
      <c r="P90" s="111"/>
      <c r="Q90" s="118"/>
      <c r="R90" s="111"/>
      <c r="S90" s="111"/>
      <c r="T90" s="111"/>
      <c r="U90" s="111"/>
      <c r="V90" s="111"/>
    </row>
    <row r="91" outlineLevel="1">
      <c r="A91" s="106"/>
      <c r="B91" s="107"/>
      <c r="C91" s="285" t="s">
        <v>235</v>
      </c>
      <c r="D91" s="285" t="s">
        <v>236</v>
      </c>
      <c r="E91" s="285" t="s">
        <v>49</v>
      </c>
      <c r="F91" s="285" t="s">
        <v>237</v>
      </c>
      <c r="G91" s="286"/>
      <c r="H91" s="227"/>
      <c r="I91" s="227"/>
      <c r="J91" s="228"/>
      <c r="K91" s="228"/>
      <c r="L91" s="111"/>
      <c r="M91" s="111"/>
      <c r="N91" s="111"/>
      <c r="O91" s="111"/>
      <c r="P91" s="111"/>
      <c r="Q91" s="111"/>
      <c r="R91" s="111"/>
      <c r="S91" s="111"/>
      <c r="T91" s="111"/>
      <c r="U91" s="111"/>
      <c r="V91" s="111"/>
    </row>
    <row r="92" outlineLevel="1">
      <c r="A92" s="287" t="s">
        <v>395</v>
      </c>
      <c r="B92" s="288" t="s">
        <v>216</v>
      </c>
      <c r="C92" s="113" t="str">
        <f t="array" ref="C92">INDEX('回避'!$C$3:$U$84, MATCH($A$1,'回避'!$A$3:$A$91,0), MATCH(C91,'回避'!$C$2:$F$2,0))</f>
        <v>3-17</v>
      </c>
      <c r="D92" s="113" t="str">
        <f t="array" ref="D92">INDEX('回避'!$C$3:$U$84, MATCH($A$1,'回避'!$A$3:$A$91,0), MATCH(D91,'回避'!$C$2:$F$2,0))</f>
        <v>6-17</v>
      </c>
      <c r="E92" s="113" t="str">
        <f t="array" ref="E92">INDEX('回避'!$C$3:$U$84, MATCH($A$1,'回避'!$A$3:$A$91,0), MATCH(E91,'回避'!$C$2:$F$2,0))</f>
        <v>25 (20)</v>
      </c>
      <c r="F92" s="113" t="str">
        <f t="array" ref="F92">INDEX('回避'!$C$3:$U$84, MATCH($A$1,'回避'!$A$3:$A$91,0), MATCH(F91,'回避'!$C$2:$F$2,0))</f>
        <v>33 (27)</v>
      </c>
      <c r="G92" s="272"/>
      <c r="H92" s="227"/>
      <c r="I92" s="227"/>
      <c r="J92" s="228"/>
      <c r="K92" s="228"/>
      <c r="L92" s="228"/>
      <c r="M92" s="111"/>
      <c r="N92" s="111"/>
      <c r="O92" s="111"/>
      <c r="P92" s="111"/>
      <c r="Q92" s="111"/>
      <c r="R92" s="111"/>
      <c r="S92" s="111"/>
      <c r="T92" s="111"/>
      <c r="U92" s="111"/>
      <c r="V92" s="111"/>
    </row>
    <row r="93" outlineLevel="1">
      <c r="A93" s="212"/>
      <c r="B93" s="288" t="s">
        <v>245</v>
      </c>
      <c r="C93" s="113" t="str">
        <f t="array" ref="C93">INDEX('回避'!$G$3:$U$84, MATCH($A$1,'回避'!$A$3:$A$91,0), MATCH(C91,'回避'!$G$2:$J$2,0))</f>
        <v>4-15</v>
      </c>
      <c r="D93" s="113" t="str">
        <f t="array" ref="D93">INDEX('回避'!$G$3:$U$84, MATCH($A$1,'回避'!$A$3:$A$91,0), MATCH(D91,'回避'!$G$2:$J$2,0))</f>
        <v>8-14</v>
      </c>
      <c r="E93" s="113" t="str">
        <f t="array" ref="E93">INDEX('回避'!$G$3:$U$84, MATCH($A$1,'回避'!$A$3:$A$91,0), MATCH(E91,'回避'!$G$2:$J$2,0))</f>
        <v>29</v>
      </c>
      <c r="F93" s="113">
        <f t="array" ref="F93">INDEX('回避'!$G$3:$U$84, MATCH($A$1,'回避'!$A$3:$A$91,0), MATCH(F91,'回避'!$G$2:$J$2,0))</f>
        <v>38</v>
      </c>
      <c r="G93" s="289"/>
      <c r="H93" s="227"/>
      <c r="I93" s="227"/>
      <c r="J93" s="228"/>
      <c r="K93" s="228"/>
      <c r="L93" s="228"/>
      <c r="M93" s="228"/>
      <c r="N93" s="228"/>
      <c r="O93" s="111"/>
      <c r="P93" s="111"/>
      <c r="Q93" s="111"/>
      <c r="R93" s="111"/>
      <c r="S93" s="111"/>
      <c r="T93" s="111"/>
      <c r="U93" s="111"/>
      <c r="V93" s="111"/>
    </row>
    <row r="94" outlineLevel="1">
      <c r="A94" s="106"/>
      <c r="B94" s="288" t="s">
        <v>246</v>
      </c>
      <c r="C94" s="113" t="str">
        <f t="array" ref="C94">INDEX('回避'!$K$3:$U$84, MATCH($A$1,'回避'!$A$3:$A$91,0), MATCH(C91,'回避'!$K$2:$N$2,0))</f>
        <v>5-16</v>
      </c>
      <c r="D94" s="113" t="str">
        <f t="array" ref="D94">INDEX('回避'!$K$3:$U$84, MATCH($A$1,'回避'!$A$3:$A$91,0), MATCH(D91,'回避'!$K$2:$N$2,0))</f>
        <v>9-14</v>
      </c>
      <c r="E94" s="113" t="str">
        <f t="array" ref="E94">INDEX('回避'!$K$3:$U$84, MATCH($A$1,'回避'!$A$3:$A$91,0), MATCH(E91,'回避'!$K$2:$N$2,0))</f>
        <v>34</v>
      </c>
      <c r="F94" s="113" t="str">
        <f t="array" ref="F94">INDEX('回避'!$K$3:$U$84, MATCH($A$1,'回避'!$A$3:$A$91,0), MATCH(F91,'回避'!$K$2:$N$2,0))</f>
        <v>51</v>
      </c>
      <c r="G94" s="289"/>
      <c r="H94" s="290"/>
      <c r="I94" s="290"/>
      <c r="J94" s="117"/>
      <c r="K94" s="117"/>
      <c r="L94" s="117"/>
      <c r="M94" s="117"/>
      <c r="N94" s="117"/>
      <c r="O94" s="111"/>
      <c r="P94" s="111"/>
      <c r="Q94" s="111"/>
      <c r="R94" s="111"/>
      <c r="S94" s="111"/>
      <c r="T94" s="111"/>
      <c r="U94" s="111"/>
      <c r="V94" s="111"/>
    </row>
    <row r="95" outlineLevel="1">
      <c r="A95" s="287" t="s">
        <v>396</v>
      </c>
      <c r="B95" s="288" t="s">
        <v>397</v>
      </c>
      <c r="C95" s="113" t="str">
        <f t="array" ref="C95">INDEX('回避'!$O$3:$U$84, MATCH($A$1,'回避'!$A$3:$A$91,0), MATCH(C91,'回避'!$O$2:$R$2,0))</f>
        <v>3-29</v>
      </c>
      <c r="D95" s="113" t="str">
        <f t="array" ref="D95">INDEX('回避'!$O$3:$U$84, MATCH($A$1,'回避'!$A$3:$A$91,0), MATCH(D91,'回避'!$O$2:$R$2,0))</f>
        <v>6-27</v>
      </c>
      <c r="E95" s="113" t="str">
        <f t="array" ref="E95">INDEX('回避'!$O$3:$U$84, MATCH($A$1,'回避'!$A$3:$A$91,0), MATCH(E91,'回避'!$O$2:$R$2,0))</f>
        <v>52</v>
      </c>
      <c r="F95" s="177"/>
      <c r="G95" s="177"/>
      <c r="H95" s="118"/>
      <c r="I95" s="118"/>
      <c r="J95" s="111"/>
      <c r="K95" s="111"/>
      <c r="L95" s="111"/>
      <c r="M95" s="111"/>
      <c r="N95" s="111"/>
      <c r="O95" s="228"/>
      <c r="P95" s="228"/>
      <c r="Q95" s="228"/>
      <c r="R95" s="228"/>
      <c r="S95" s="228"/>
      <c r="T95" s="228"/>
      <c r="U95" s="228"/>
      <c r="V95" s="228"/>
    </row>
    <row r="96" outlineLevel="1">
      <c r="A96" s="106"/>
      <c r="B96" s="288" t="s">
        <v>398</v>
      </c>
      <c r="C96" s="113" t="str">
        <f t="array" ref="C96">INDEX('回避'!$S$3:$U$84, MATCH($A$1,'回避'!$A$3:$A$91,0), MATCH(C91,'回避'!$S$2:$U$2,0))</f>
        <v>3-21</v>
      </c>
      <c r="D96" s="113" t="str">
        <f t="array" ref="D96">INDEX('回避'!$S$3:$U$84, MATCH($A$1,'回避'!$A$3:$A$91,0), MATCH(D91,'回避'!$S$2:$U$2,0))</f>
        <v>6-20</v>
      </c>
      <c r="E96" s="113" t="str">
        <f t="array" ref="E96">INDEX('回避'!$S$3:$U$84, MATCH($A$1,'回避'!$A$3:$A$91,0), MATCH(E91,'回避'!$S$2:$U$2,0))</f>
        <v>真横：85
真上：116
真下：69</v>
      </c>
      <c r="F96" s="289"/>
      <c r="G96" s="289"/>
      <c r="H96" s="118"/>
      <c r="I96" s="118"/>
      <c r="J96" s="117"/>
      <c r="K96" s="117"/>
      <c r="L96" s="117"/>
      <c r="M96" s="117"/>
      <c r="N96" s="111"/>
      <c r="O96" s="118"/>
      <c r="P96" s="118"/>
      <c r="Q96" s="118"/>
      <c r="R96" s="118"/>
      <c r="S96" s="118"/>
      <c r="T96" s="118"/>
      <c r="U96" s="118"/>
      <c r="V96" s="118"/>
    </row>
    <row r="97">
      <c r="A97" s="291"/>
      <c r="B97" s="292"/>
      <c r="C97" s="286"/>
      <c r="D97" s="286"/>
      <c r="E97" s="293"/>
      <c r="F97" s="286"/>
      <c r="G97" s="286"/>
      <c r="H97" s="286"/>
      <c r="I97" s="286"/>
      <c r="J97" s="111"/>
      <c r="K97" s="227"/>
      <c r="L97" s="227"/>
      <c r="M97" s="227"/>
      <c r="N97" s="227"/>
      <c r="O97" s="118"/>
      <c r="P97" s="118"/>
      <c r="Q97" s="118"/>
      <c r="R97" s="118"/>
      <c r="S97" s="118"/>
      <c r="T97" s="118"/>
      <c r="U97" s="118"/>
      <c r="V97" s="118"/>
    </row>
    <row r="98">
      <c r="A98" s="294" t="s">
        <v>238</v>
      </c>
      <c r="B98" s="104"/>
      <c r="C98" s="228"/>
      <c r="D98" s="117"/>
      <c r="E98" s="228"/>
      <c r="F98" s="114"/>
      <c r="G98" s="114"/>
      <c r="H98" s="117"/>
      <c r="I98" s="117"/>
      <c r="J98" s="118"/>
      <c r="K98" s="118"/>
      <c r="L98" s="118"/>
      <c r="M98" s="118"/>
      <c r="N98" s="118"/>
      <c r="O98" s="118"/>
      <c r="P98" s="118"/>
      <c r="Q98" s="118"/>
      <c r="R98" s="118"/>
      <c r="S98" s="118"/>
      <c r="T98" s="118"/>
      <c r="U98" s="118"/>
      <c r="V98" s="118"/>
    </row>
    <row r="99" outlineLevel="1">
      <c r="A99" s="106"/>
      <c r="B99" s="107"/>
      <c r="C99" s="295" t="s">
        <v>235</v>
      </c>
      <c r="D99" s="295" t="s">
        <v>49</v>
      </c>
      <c r="E99" s="295" t="s">
        <v>48</v>
      </c>
      <c r="F99" s="295" t="s">
        <v>50</v>
      </c>
      <c r="G99" s="296" t="s">
        <v>51</v>
      </c>
      <c r="H99" s="228"/>
      <c r="I99" s="228"/>
      <c r="J99" s="117"/>
      <c r="K99" s="297" t="str">
        <f>'テンプレート'!K116</f>
        <v>アイテム取得</v>
      </c>
      <c r="L99" s="109"/>
      <c r="M99" s="298" t="str">
        <f>'テンプレート'!M116</f>
        <v>取得フレーム</v>
      </c>
      <c r="N99" s="298" t="str">
        <f>'テンプレート'!N116</f>
        <v>全体フレーム</v>
      </c>
      <c r="O99" s="118"/>
      <c r="P99" s="118"/>
      <c r="Q99" s="118"/>
      <c r="R99" s="118"/>
      <c r="S99" s="118"/>
      <c r="T99" s="118"/>
      <c r="U99" s="118"/>
      <c r="V99" s="118"/>
    </row>
    <row r="100" outlineLevel="1">
      <c r="A100" s="299" t="s">
        <v>239</v>
      </c>
      <c r="B100" s="300" t="s">
        <v>240</v>
      </c>
      <c r="C100" s="301"/>
      <c r="D100" s="113">
        <f t="array" ref="D100">INDEX('崖行動・受け身'!$C$3:$C104, MATCH($A$1,'崖行動・受け身'!$A$3:$A$115,0), MATCH(D99,'崖行動・受け身'!$C$2,0))</f>
        <v>19</v>
      </c>
      <c r="E100" s="301"/>
      <c r="F100" s="301"/>
      <c r="G100" s="301"/>
      <c r="H100" s="228"/>
      <c r="I100" s="228"/>
      <c r="J100" s="111"/>
      <c r="K100" s="302" t="str">
        <f>'テンプレート'!K117</f>
        <v>小アイテム</v>
      </c>
      <c r="L100" s="303" t="str">
        <f>'テンプレート'!L117</f>
        <v>その場</v>
      </c>
      <c r="M100" s="113" t="s">
        <v>76</v>
      </c>
      <c r="N100" s="113">
        <v>7.0</v>
      </c>
      <c r="O100" s="118"/>
      <c r="P100" s="118"/>
      <c r="Q100" s="118"/>
      <c r="R100" s="118"/>
      <c r="S100" s="118"/>
      <c r="T100" s="118"/>
      <c r="U100" s="118"/>
      <c r="V100" s="118"/>
    </row>
    <row r="101" outlineLevel="1">
      <c r="A101" s="146"/>
      <c r="B101" s="300" t="s">
        <v>216</v>
      </c>
      <c r="C101" s="113" t="str">
        <f t="array" ref="C101">INDEX('崖行動・受け身'!$D$3:$E104, MATCH($A$1,'崖行動・受け身'!$A$3:$A$115,0), MATCH(C99,'崖行動・受け身'!$D$2:$E$2,0))</f>
        <v>1-33</v>
      </c>
      <c r="D101" s="113">
        <f t="array" ref="D101">INDEX('崖行動・受け身'!$D$3:$E104, MATCH($A$1,'崖行動・受け身'!$A$3:$A$115,0), MATCH(D99,'崖行動・受け身'!$D$2:$E$2,0))</f>
        <v>34</v>
      </c>
      <c r="E101" s="301"/>
      <c r="F101" s="301"/>
      <c r="G101" s="301"/>
      <c r="H101" s="228"/>
      <c r="I101" s="228"/>
      <c r="J101" s="117"/>
      <c r="K101" s="156"/>
      <c r="L101" s="303" t="str">
        <f>'テンプレート'!L118</f>
        <v>歩き</v>
      </c>
      <c r="M101" s="113" t="s">
        <v>76</v>
      </c>
      <c r="N101" s="113">
        <v>19.0</v>
      </c>
      <c r="O101" s="118"/>
      <c r="P101" s="118"/>
      <c r="Q101" s="118"/>
      <c r="R101" s="118"/>
      <c r="S101" s="118"/>
      <c r="T101" s="118"/>
      <c r="U101" s="118"/>
      <c r="V101" s="118"/>
    </row>
    <row r="102" outlineLevel="1">
      <c r="A102" s="146"/>
      <c r="B102" s="300" t="s">
        <v>241</v>
      </c>
      <c r="C102" s="113" t="str">
        <f t="array" ref="C102">INDEX('崖行動・受け身'!$F$3:$G$115, MATCH($A$1,'崖行動・受け身'!$A$3:$A$115,0), MATCH(C99,'崖行動・受け身'!$F$2:$G$2,0))</f>
        <v>1-27</v>
      </c>
      <c r="D102" s="113">
        <f t="array" ref="D102">INDEX('崖行動・受け身'!$F$3:$G$115, MATCH($A$1,'崖行動・受け身'!$A$3:$A$115,0), MATCH(D99,'崖行動・受け身'!$F$2:$G$2,0))</f>
        <v>45</v>
      </c>
      <c r="E102" s="301"/>
      <c r="F102" s="301"/>
      <c r="G102" s="301"/>
      <c r="H102" s="228"/>
      <c r="I102" s="228"/>
      <c r="J102" s="111"/>
      <c r="K102" s="304" t="str">
        <f>'テンプレート'!K119</f>
        <v>アイテム投擲</v>
      </c>
      <c r="L102" s="109"/>
      <c r="M102" s="298" t="str">
        <f>'テンプレート'!M119</f>
        <v>投擲フレーム</v>
      </c>
      <c r="N102" s="298" t="str">
        <f>'テンプレート'!N119</f>
        <v>全体フレーム</v>
      </c>
      <c r="O102" s="118"/>
      <c r="P102" s="118"/>
      <c r="Q102" s="118"/>
      <c r="R102" s="118"/>
      <c r="S102" s="118"/>
      <c r="T102" s="118"/>
      <c r="U102" s="118"/>
      <c r="V102" s="118"/>
    </row>
    <row r="103" outlineLevel="1">
      <c r="A103" s="146"/>
      <c r="B103" s="300" t="s">
        <v>242</v>
      </c>
      <c r="C103" s="113" t="str">
        <f t="array" ref="C103">INDEX('崖行動・受け身'!$H$3:$I$115, MATCH($A$1,'崖行動・受け身'!$A$3:$A$115,0), MATCH(C99,'崖行動・受け身'!$H$2:$I$2,0))</f>
        <v>1-12</v>
      </c>
      <c r="D103" s="113">
        <f t="array" ref="D103">INDEX('崖行動・受け身'!$H$3:$I$115, MATCH($A$1,'崖行動・受け身'!$A$3:$A$115,0), MATCH(D99,'崖行動・受け身'!$H$2:$I$2,0))</f>
        <v>14</v>
      </c>
      <c r="E103" s="301"/>
      <c r="F103" s="301"/>
      <c r="G103" s="301"/>
      <c r="H103" s="228"/>
      <c r="I103" s="228"/>
      <c r="J103" s="117"/>
      <c r="K103" s="305" t="str">
        <f>'テンプレート'!K120</f>
        <v>地上投擲</v>
      </c>
      <c r="L103" s="303" t="str">
        <f>'テンプレート'!L120</f>
        <v>前投げ</v>
      </c>
      <c r="M103" s="113" t="s">
        <v>128</v>
      </c>
      <c r="N103" s="113">
        <v>29.0</v>
      </c>
      <c r="O103" s="111"/>
      <c r="P103" s="111"/>
      <c r="Q103" s="111"/>
      <c r="R103" s="111"/>
      <c r="S103" s="111"/>
      <c r="T103" s="111"/>
      <c r="U103" s="111"/>
      <c r="V103" s="111"/>
    </row>
    <row r="104" outlineLevel="1">
      <c r="A104" s="156"/>
      <c r="B104" s="300" t="s">
        <v>243</v>
      </c>
      <c r="C104" s="113" t="str">
        <f t="array" ref="C104">INDEX('崖行動・受け身'!$J$3:$M$115, MATCH($A$1,'崖行動・受け身'!$A$3:$A$115,0), MATCH(C99,'崖行動・受け身'!$J$2:$M$2,0))</f>
        <v>1-25</v>
      </c>
      <c r="D104" s="113">
        <f t="array" ref="D104">INDEX('崖行動・受け身'!$J$3:$M$115, MATCH($A$1,'崖行動・受け身'!$A$3:$A$115,0), MATCH(D99,'崖行動・受け身'!$J$2:$M$2,0))</f>
        <v>55</v>
      </c>
      <c r="E104" s="113" t="str">
        <f t="array" ref="E104">INDEX('崖行動・受け身'!$J$3:$M$115, MATCH($A$1,'崖行動・受け身'!$A$3:$A$115,0), MATCH(E99,'崖行動・受け身'!$J$2:$M$2,0))</f>
        <v>23-25</v>
      </c>
      <c r="F104" s="113">
        <f t="array" ref="F104">INDEX('崖行動・受け身'!$J$3:$M$115, MATCH($A$1,'崖行動・受け身'!$A$3:$A$115,0), MATCH(F99,'崖行動・受け身'!$J$2:$M$2,0))</f>
        <v>9</v>
      </c>
      <c r="G104" s="113">
        <f>F104*1.2</f>
        <v>10.8</v>
      </c>
      <c r="H104" s="228"/>
      <c r="I104" s="228"/>
      <c r="J104" s="111"/>
      <c r="K104" s="146"/>
      <c r="L104" s="303" t="str">
        <f>'テンプレート'!L121</f>
        <v>後投げ</v>
      </c>
      <c r="M104" s="113" t="s">
        <v>119</v>
      </c>
      <c r="N104" s="113">
        <v>29.0</v>
      </c>
      <c r="O104" s="111"/>
      <c r="P104" s="111"/>
      <c r="Q104" s="111"/>
      <c r="R104" s="111"/>
      <c r="S104" s="111"/>
      <c r="T104" s="111"/>
      <c r="U104" s="111"/>
      <c r="V104" s="111"/>
    </row>
    <row r="105" outlineLevel="1">
      <c r="A105" s="299" t="s">
        <v>244</v>
      </c>
      <c r="B105" s="300" t="s">
        <v>216</v>
      </c>
      <c r="C105" s="113" t="str">
        <f t="array" ref="C105">INDEX('崖行動・受け身'!$N$3:$O$115, MATCH($A$1,'崖行動・受け身'!$A$3:$A$115,0), MATCH(C99,'崖行動・受け身'!$N$2:$O$2,0))</f>
        <v>1-20</v>
      </c>
      <c r="D105" s="113">
        <f t="array" ref="D105">INDEX('崖行動・受け身'!$N$3:$O$115, MATCH($A$1,'崖行動・受け身'!$A$3:$A$115,0), MATCH(D99,'崖行動・受け身'!$N$2:$O$2,0))</f>
        <v>26</v>
      </c>
      <c r="E105" s="301"/>
      <c r="F105" s="301"/>
      <c r="G105" s="301"/>
      <c r="H105" s="228"/>
      <c r="I105" s="228"/>
      <c r="J105" s="117"/>
      <c r="K105" s="146"/>
      <c r="L105" s="303" t="str">
        <f>'テンプレート'!L122</f>
        <v>上投げ</v>
      </c>
      <c r="M105" s="113" t="s">
        <v>386</v>
      </c>
      <c r="N105" s="113">
        <v>29.0</v>
      </c>
      <c r="O105" s="228"/>
      <c r="P105" s="228"/>
      <c r="Q105" s="228"/>
      <c r="R105" s="228"/>
      <c r="S105" s="228"/>
      <c r="T105" s="228"/>
      <c r="U105" s="228"/>
      <c r="V105" s="228"/>
    </row>
    <row r="106" outlineLevel="1">
      <c r="A106" s="146"/>
      <c r="B106" s="300" t="s">
        <v>245</v>
      </c>
      <c r="C106" s="113" t="str">
        <f t="array" ref="C106">INDEX('崖行動・受け身'!$P$3:$Q$115, MATCH($A$1,'崖行動・受け身'!$A$3:$A$115,0), MATCH(C99,'崖行動・受け身'!$P$2:$Q$2,0))</f>
        <v>1-20</v>
      </c>
      <c r="D106" s="113">
        <f t="array" ref="D106">INDEX('崖行動・受け身'!$P$3:$Q$115, MATCH($A$1,'崖行動・受け身'!$A$3:$A$115,0), MATCH(D99,'崖行動・受け身'!$P$2:$Q$2,0))</f>
        <v>40</v>
      </c>
      <c r="E106" s="301"/>
      <c r="F106" s="301"/>
      <c r="G106" s="301"/>
      <c r="H106" s="228"/>
      <c r="I106" s="228"/>
      <c r="J106" s="111"/>
      <c r="K106" s="146"/>
      <c r="L106" s="303" t="str">
        <f>'テンプレート'!L123</f>
        <v>下投げ</v>
      </c>
      <c r="M106" s="113" t="s">
        <v>80</v>
      </c>
      <c r="N106" s="113">
        <v>21.0</v>
      </c>
      <c r="O106" s="118"/>
      <c r="P106" s="118"/>
      <c r="Q106" s="118"/>
      <c r="R106" s="118"/>
      <c r="S106" s="118"/>
      <c r="T106" s="118"/>
      <c r="U106" s="118"/>
      <c r="V106" s="118"/>
    </row>
    <row r="107" outlineLevel="1">
      <c r="A107" s="156"/>
      <c r="B107" s="300" t="s">
        <v>246</v>
      </c>
      <c r="C107" s="113" t="str">
        <f t="array" ref="C107">INDEX('崖行動・受け身'!$R$3:$S$115, MATCH($A$1,'崖行動・受け身'!$A$3:$A$115,0), MATCH(C99,'崖行動・受け身'!$R$2:$S$2,0))</f>
        <v>1-20</v>
      </c>
      <c r="D107" s="113">
        <f t="array" ref="D107">INDEX('崖行動・受け身'!$R$3:$S$115, MATCH($A$1,'崖行動・受け身'!$A$3:$A$115,0), MATCH(D99,'崖行動・受け身'!$R$2:$S$2,0))</f>
        <v>40</v>
      </c>
      <c r="E107" s="301"/>
      <c r="F107" s="301"/>
      <c r="G107" s="301"/>
      <c r="H107" s="228"/>
      <c r="I107" s="228"/>
      <c r="J107" s="117"/>
      <c r="K107" s="146"/>
      <c r="L107" s="306" t="str">
        <f>'テンプレート'!L124</f>
        <v>ダッシュ</v>
      </c>
      <c r="M107" s="113" t="s">
        <v>86</v>
      </c>
      <c r="N107" s="113">
        <v>39.0</v>
      </c>
      <c r="O107" s="118"/>
      <c r="P107" s="118"/>
      <c r="Q107" s="118"/>
      <c r="R107" s="118"/>
      <c r="S107" s="118"/>
      <c r="T107" s="118"/>
      <c r="U107" s="118"/>
      <c r="V107" s="118"/>
    </row>
    <row r="108" outlineLevel="1">
      <c r="A108" s="299" t="s">
        <v>247</v>
      </c>
      <c r="B108" s="300" t="s">
        <v>248</v>
      </c>
      <c r="C108" s="301"/>
      <c r="D108" s="113" t="str">
        <f t="array" ref="D108">INDEX('起きあがり'!$C$3:$C104, MATCH($A$1,'起きあがり'!$A$3:$A$115,0), MATCH(D99,'起きあがり'!$C$2:$AD$2,0))</f>
        <v>25</v>
      </c>
      <c r="E108" s="301"/>
      <c r="F108" s="301"/>
      <c r="G108" s="301"/>
      <c r="H108" s="228"/>
      <c r="I108" s="228"/>
      <c r="J108" s="111"/>
      <c r="K108" s="156"/>
      <c r="L108" s="306" t="str">
        <f>'テンプレート'!L125</f>
        <v>その場捨て</v>
      </c>
      <c r="M108" s="113" t="s">
        <v>93</v>
      </c>
      <c r="N108" s="113">
        <v>23.0</v>
      </c>
      <c r="O108" s="118"/>
      <c r="P108" s="118"/>
      <c r="Q108" s="118"/>
      <c r="R108" s="118"/>
      <c r="S108" s="118"/>
      <c r="T108" s="118"/>
      <c r="U108" s="118"/>
      <c r="V108" s="118"/>
    </row>
    <row r="109" outlineLevel="1">
      <c r="A109" s="146"/>
      <c r="B109" s="300" t="s">
        <v>216</v>
      </c>
      <c r="C109" s="307" t="str">
        <f t="array" ref="C109">INDEX('起きあがり'!$D$3:$E104, MATCH($A$1,'起きあがり'!$A$3:$A$115,0), MATCH(C99,'起きあがり'!$D$2:$AD$2,0))</f>
        <v>1-22</v>
      </c>
      <c r="D109" s="308">
        <f t="array" ref="D109">INDEX('起きあがり'!$D$3:$E104, MATCH($A$1,'起きあがり'!$A$3:$A$115,0), MATCH(D99,'起きあがり'!$D$2:$AD$2,0))</f>
        <v>29</v>
      </c>
      <c r="E109" s="301"/>
      <c r="F109" s="301"/>
      <c r="G109" s="301"/>
      <c r="H109" s="228"/>
      <c r="I109" s="228"/>
      <c r="J109" s="117"/>
      <c r="K109" s="305" t="str">
        <f>'テンプレート'!K126</f>
        <v>空中投擲</v>
      </c>
      <c r="L109" s="303" t="str">
        <f>'テンプレート'!L126</f>
        <v>前投げ</v>
      </c>
      <c r="M109" s="113" t="s">
        <v>128</v>
      </c>
      <c r="N109" s="113">
        <v>29.0</v>
      </c>
      <c r="O109" s="118"/>
      <c r="P109" s="118"/>
      <c r="Q109" s="118"/>
      <c r="R109" s="118"/>
      <c r="S109" s="118"/>
      <c r="T109" s="118"/>
      <c r="U109" s="118"/>
      <c r="V109" s="118"/>
    </row>
    <row r="110" outlineLevel="1">
      <c r="A110" s="146"/>
      <c r="B110" s="300" t="s">
        <v>245</v>
      </c>
      <c r="C110" s="307" t="str">
        <f t="array" ref="C110">INDEX('起きあがり'!$F$3:$G$115, MATCH($A$1,'起きあがり'!$A$3:$A$115,0), MATCH(C99,'起きあがり'!$F$2:$AD$2,0))</f>
        <v>1-19</v>
      </c>
      <c r="D110" s="308">
        <f t="array" ref="D110">INDEX('起きあがり'!$F$3:$G$115, MATCH($A$1,'起きあがり'!$A$3:$A$115,0), MATCH(D99,'起きあがり'!$F$2:$AD$2,0))</f>
        <v>35</v>
      </c>
      <c r="E110" s="301"/>
      <c r="F110" s="301"/>
      <c r="G110" s="301"/>
      <c r="H110" s="228"/>
      <c r="I110" s="228"/>
      <c r="J110" s="111"/>
      <c r="K110" s="146"/>
      <c r="L110" s="303" t="str">
        <f>'テンプレート'!L127</f>
        <v>後投げ</v>
      </c>
      <c r="M110" s="113" t="s">
        <v>119</v>
      </c>
      <c r="N110" s="113">
        <v>29.0</v>
      </c>
      <c r="O110" s="118"/>
      <c r="P110" s="118"/>
      <c r="Q110" s="118"/>
      <c r="R110" s="118"/>
      <c r="S110" s="118"/>
      <c r="T110" s="118"/>
      <c r="U110" s="118"/>
      <c r="V110" s="118"/>
    </row>
    <row r="111" outlineLevel="1">
      <c r="A111" s="146"/>
      <c r="B111" s="300" t="s">
        <v>246</v>
      </c>
      <c r="C111" s="113" t="str">
        <f t="array" ref="C111">INDEX('起きあがり'!$H$3:$I$115, MATCH($A$1,'起きあがり'!$A$3:$A$115,0), MATCH(C99,'起きあがり'!$H$2:$AD$2,0))</f>
        <v>1-19</v>
      </c>
      <c r="D111" s="113">
        <f t="array" ref="D111">INDEX('起きあがり'!$H$3:$I$115, MATCH($A$1,'起きあがり'!$A$3:$A$115,0), MATCH(D99,'起きあがり'!$H$2:$AD$2,0))</f>
        <v>35</v>
      </c>
      <c r="E111" s="301"/>
      <c r="F111" s="301"/>
      <c r="G111" s="301"/>
      <c r="H111" s="228"/>
      <c r="I111" s="228"/>
      <c r="J111" s="117"/>
      <c r="K111" s="146"/>
      <c r="L111" s="303" t="str">
        <f>'テンプレート'!L128</f>
        <v>上投げ</v>
      </c>
      <c r="M111" s="113" t="s">
        <v>386</v>
      </c>
      <c r="N111" s="113">
        <v>29.0</v>
      </c>
      <c r="O111" s="118"/>
      <c r="P111" s="118"/>
      <c r="Q111" s="118"/>
      <c r="R111" s="118"/>
      <c r="S111" s="118"/>
      <c r="T111" s="118"/>
      <c r="U111" s="118"/>
      <c r="V111" s="118"/>
    </row>
    <row r="112" outlineLevel="1">
      <c r="A112" s="146"/>
      <c r="B112" s="300" t="s">
        <v>249</v>
      </c>
      <c r="C112" s="309" t="str">
        <f t="array" ref="C112">INDEX('起きあがり'!$J$3:$M$115, MATCH($A$1,'起きあがり'!$A$3:$A$115,0), MATCH(C99,'起きあがり'!$J$2:$AD$2,0))</f>
        <v>1-24</v>
      </c>
      <c r="D112" s="310">
        <f t="array" ref="D112">INDEX('起きあがり'!$J$3:$M$115, MATCH($A$1,'起きあがり'!$A$3:$A$115,0), MATCH(D99,'起きあがり'!$J$2:$AD$2,0))</f>
        <v>45</v>
      </c>
      <c r="E112" s="307" t="str">
        <f t="array" ref="E112">INDEX('起きあがり'!$J$3:$M$115, MATCH($A$1,'起きあがり'!$A$3:$A$115,0), MATCH(E99,'起きあがり'!$J$2:$AD$2,0))</f>
        <v>16-17</v>
      </c>
      <c r="F112" s="308">
        <f t="array" ref="F112">INDEX('起きあがり'!$J$3:$M$115, MATCH($A$1,'起きあがり'!$A$3:$A$115,0), MATCH(F99,'起きあがり'!$J$2:$AD$2,0))</f>
        <v>7</v>
      </c>
      <c r="G112" s="113">
        <f t="shared" ref="G112:G113" si="1">F112*1.2</f>
        <v>8.4</v>
      </c>
      <c r="H112" s="228"/>
      <c r="I112" s="228"/>
      <c r="J112" s="111"/>
      <c r="K112" s="156"/>
      <c r="L112" s="303" t="str">
        <f>'テンプレート'!L129</f>
        <v>下投げ</v>
      </c>
      <c r="M112" s="113" t="s">
        <v>80</v>
      </c>
      <c r="N112" s="113">
        <v>21.0</v>
      </c>
      <c r="O112" s="111"/>
      <c r="P112" s="111"/>
      <c r="Q112" s="111"/>
      <c r="R112" s="111"/>
      <c r="S112" s="111"/>
      <c r="T112" s="111"/>
      <c r="U112" s="111"/>
      <c r="V112" s="111"/>
    </row>
    <row r="113" outlineLevel="1">
      <c r="A113" s="156"/>
      <c r="B113" s="311" t="s">
        <v>250</v>
      </c>
      <c r="C113" s="156"/>
      <c r="D113" s="156"/>
      <c r="E113" s="307" t="str">
        <f t="array" ref="E113">INDEX('起きあがり'!$N$3:$O$115, MATCH($A$1,'起きあがり'!$A$3:$A$115,0), MATCH(E99,'起きあがり'!$N$2:$AD$2,0))</f>
        <v>23-24</v>
      </c>
      <c r="F113" s="308">
        <f t="array" ref="F113">INDEX('起きあがり'!$N$3:$O$115, MATCH($A$1,'起きあがり'!$A$3:$A$115,0), MATCH(F99,'起きあがり'!$N$2:$AD$2,0))</f>
        <v>7</v>
      </c>
      <c r="G113" s="113">
        <f t="shared" si="1"/>
        <v>8.4</v>
      </c>
      <c r="H113" s="228"/>
      <c r="I113" s="228"/>
      <c r="J113" s="111"/>
      <c r="K113" s="312" t="str">
        <f>'テンプレート'!K130</f>
        <v>踏み台ジャンプ</v>
      </c>
      <c r="L113" s="168"/>
      <c r="M113" s="298" t="str">
        <f>'テンプレート'!M130</f>
        <v>全体フレーム</v>
      </c>
      <c r="N113" s="114"/>
      <c r="O113" s="111"/>
      <c r="P113" s="111"/>
      <c r="Q113" s="111"/>
      <c r="R113" s="111"/>
      <c r="S113" s="111"/>
      <c r="T113" s="111"/>
      <c r="U113" s="111"/>
      <c r="V113" s="111"/>
    </row>
    <row r="114" outlineLevel="1">
      <c r="A114" s="299" t="s">
        <v>251</v>
      </c>
      <c r="B114" s="300" t="s">
        <v>248</v>
      </c>
      <c r="C114" s="301"/>
      <c r="D114" s="307" t="str">
        <f t="array" ref="D114">INDEX('起きあがり'!$C$3:$C104, MATCH($A$1,'起きあがり'!$A$3:$A$115,0), MATCH(D99,'起きあがり'!$C$2,0))</f>
        <v>25</v>
      </c>
      <c r="E114" s="301"/>
      <c r="F114" s="301"/>
      <c r="G114" s="301"/>
      <c r="H114" s="228"/>
      <c r="I114" s="228"/>
      <c r="J114" s="117"/>
      <c r="K114" s="313" t="str">
        <f>'テンプレート'!K131</f>
        <v>踏み</v>
      </c>
      <c r="L114" s="314" t="str">
        <f>'テンプレート'!L131</f>
        <v>踏み</v>
      </c>
      <c r="M114" s="113">
        <v>7.0</v>
      </c>
      <c r="N114" s="315"/>
      <c r="O114" s="111"/>
      <c r="P114" s="111"/>
      <c r="Q114" s="111"/>
      <c r="R114" s="111"/>
      <c r="S114" s="111"/>
      <c r="T114" s="111"/>
      <c r="U114" s="111"/>
      <c r="V114" s="111"/>
    </row>
    <row r="115" outlineLevel="1">
      <c r="A115" s="146"/>
      <c r="B115" s="300" t="s">
        <v>216</v>
      </c>
      <c r="C115" s="307" t="str">
        <f t="array" ref="C115">INDEX('起きあがり'!$P$3:$Q$115, MATCH($A$1,'起きあがり'!$A$3:$A$115,0), MATCH(C99,'起きあがり'!$P$2:$AD$2,0))</f>
        <v>1-22</v>
      </c>
      <c r="D115" s="308">
        <f t="array" ref="D115">INDEX('起きあがり'!$P$3:$Q$115, MATCH($A$1,'起きあがり'!$A$3:$A$115,0), MATCH(D99,'起きあがり'!$P$2:$AD$2,0))</f>
        <v>29</v>
      </c>
      <c r="E115" s="301"/>
      <c r="F115" s="301"/>
      <c r="G115" s="301"/>
      <c r="H115" s="228"/>
      <c r="I115" s="228"/>
      <c r="J115" s="111"/>
      <c r="K115" s="305" t="str">
        <f>'テンプレート'!K132</f>
        <v>踏まれ</v>
      </c>
      <c r="L115" s="314" t="str">
        <f>'テンプレート'!L132</f>
        <v>地上踏まれ</v>
      </c>
      <c r="M115" s="113" t="s">
        <v>76</v>
      </c>
      <c r="N115" s="315"/>
      <c r="O115" s="228"/>
      <c r="P115" s="228"/>
      <c r="Q115" s="228"/>
      <c r="R115" s="228"/>
      <c r="S115" s="228"/>
      <c r="T115" s="228"/>
      <c r="U115" s="228"/>
      <c r="V115" s="228"/>
    </row>
    <row r="116" outlineLevel="1">
      <c r="A116" s="146"/>
      <c r="B116" s="300" t="s">
        <v>245</v>
      </c>
      <c r="C116" s="307" t="str">
        <f t="array" ref="C116">INDEX('起きあがり'!$R$3:$S$115, MATCH($A$1,'起きあがり'!$A$3:$A$115,0), MATCH(C99,'起きあがり'!$R$2:$AD$2,0))</f>
        <v>1-19</v>
      </c>
      <c r="D116" s="308">
        <f t="array" ref="D116">INDEX('起きあがり'!$R$3:$S$115, MATCH($A$1,'起きあがり'!$A$3:$A$115,0), MATCH(D99,'起きあがり'!$R$2:$AD$2,0))</f>
        <v>35</v>
      </c>
      <c r="E116" s="301"/>
      <c r="F116" s="301"/>
      <c r="G116" s="301"/>
      <c r="H116" s="228"/>
      <c r="I116" s="228"/>
      <c r="J116" s="117"/>
      <c r="K116" s="146"/>
      <c r="L116" s="314" t="s">
        <v>693</v>
      </c>
      <c r="M116" s="113">
        <v>28.0</v>
      </c>
      <c r="N116" s="102"/>
      <c r="O116" s="118"/>
      <c r="P116" s="118"/>
      <c r="Q116" s="118"/>
      <c r="R116" s="118"/>
      <c r="S116" s="118"/>
      <c r="T116" s="118"/>
      <c r="U116" s="118"/>
      <c r="V116" s="118"/>
    </row>
    <row r="117" outlineLevel="1">
      <c r="A117" s="146"/>
      <c r="B117" s="300" t="s">
        <v>246</v>
      </c>
      <c r="C117" s="307" t="str">
        <f t="array" ref="C117">INDEX('起きあがり'!$T$3:$U$115, MATCH($A$1,'起きあがり'!$A$3:$A$115,0), MATCH(C99,'起きあがり'!$T$2:$AD$2,0))</f>
        <v>1-24</v>
      </c>
      <c r="D117" s="308">
        <f t="array" ref="D117">INDEX('起きあがり'!$T$3:$U$115, MATCH($A$1,'起きあがり'!$A$3:$A$115,0), MATCH(D99,'起きあがり'!$T$2:$AD$2,0))</f>
        <v>35</v>
      </c>
      <c r="E117" s="301"/>
      <c r="F117" s="301"/>
      <c r="G117" s="301"/>
      <c r="H117" s="228"/>
      <c r="I117" s="228"/>
      <c r="J117" s="111"/>
      <c r="K117" s="146"/>
      <c r="L117" s="314" t="str">
        <f>'テンプレート'!L134</f>
        <v>空中踏まれ</v>
      </c>
      <c r="M117" s="113">
        <v>12.0</v>
      </c>
      <c r="N117" s="102"/>
      <c r="O117" s="118"/>
      <c r="P117" s="118"/>
      <c r="Q117" s="118"/>
      <c r="R117" s="118"/>
      <c r="S117" s="118"/>
      <c r="T117" s="118"/>
      <c r="U117" s="118"/>
      <c r="V117" s="118"/>
    </row>
    <row r="118" outlineLevel="1">
      <c r="A118" s="146"/>
      <c r="B118" s="300" t="s">
        <v>249</v>
      </c>
      <c r="C118" s="309" t="str">
        <f t="array" ref="C118">INDEX('起きあがり'!$V$3:$Y$115, MATCH($A$1,'起きあがり'!$A$3:$A$115,0), MATCH(C99,'起きあがり'!$V$2:$AD$2,0))</f>
        <v>1-23</v>
      </c>
      <c r="D118" s="310">
        <f t="array" ref="D118">INDEX('起きあがり'!$V$3:$Y$115, MATCH($A$1,'起きあがり'!$A$3:$A$115,0), MATCH(D99,'起きあがり'!$V$2:$AD$2,0))</f>
        <v>45</v>
      </c>
      <c r="E118" s="307" t="str">
        <f t="array" ref="E118">INDEX('起きあがり'!$V$3:$Y$115, MATCH($A$1,'起きあがり'!$A$3:$A$115,0), MATCH(E99,'起きあがり'!$V$2:$AD$2,0))</f>
        <v>16-17</v>
      </c>
      <c r="F118" s="308">
        <f t="array" ref="F118">INDEX('起きあがり'!$V$3:$Y$115, MATCH($A$1,'起きあがり'!$A$3:$A$115,0), MATCH(F99,'起きあがり'!$V$2:$AD$2,0))</f>
        <v>7</v>
      </c>
      <c r="G118" s="113">
        <f t="shared" ref="G118:G119" si="2">F118*1.2</f>
        <v>8.4</v>
      </c>
      <c r="H118" s="228"/>
      <c r="I118" s="228"/>
      <c r="J118" s="117"/>
      <c r="K118" s="146"/>
      <c r="L118" s="314" t="str">
        <f>'テンプレート'!L135</f>
        <v>空中落下</v>
      </c>
      <c r="M118" s="113">
        <v>36.0</v>
      </c>
      <c r="N118" s="102"/>
      <c r="O118" s="118"/>
      <c r="P118" s="118"/>
      <c r="Q118" s="118"/>
      <c r="R118" s="118"/>
      <c r="S118" s="118"/>
      <c r="T118" s="118"/>
      <c r="U118" s="118"/>
      <c r="V118" s="118"/>
    </row>
    <row r="119" outlineLevel="1">
      <c r="A119" s="156"/>
      <c r="B119" s="311" t="s">
        <v>250</v>
      </c>
      <c r="C119" s="156"/>
      <c r="D119" s="156"/>
      <c r="E119" s="307" t="str">
        <f t="array" ref="E119">INDEX('起きあがり'!$Z$3:$AA$115, MATCH($A$1,'起きあがり'!$A$3:$A$115,0), MATCH(E99,'起きあがり'!$Z$2:$AD$2,0))</f>
        <v>22-23</v>
      </c>
      <c r="F119" s="308">
        <f t="array" ref="F119">INDEX('起きあがり'!$Z$3:$AA$115, MATCH($A$1,'起きあがり'!$A$3:$A$115,0), MATCH(F99,'起きあがり'!$Z$2:$AD$2,0))</f>
        <v>7</v>
      </c>
      <c r="G119" s="113">
        <f t="shared" si="2"/>
        <v>8.4</v>
      </c>
      <c r="H119" s="228"/>
      <c r="I119" s="228"/>
      <c r="J119" s="117"/>
      <c r="K119" s="304" t="str">
        <f>'テンプレート'!K136</f>
        <v>倒れダメージ</v>
      </c>
      <c r="L119" s="110"/>
      <c r="M119" s="298" t="str">
        <f>'テンプレート'!M136</f>
        <v>全体フレーム</v>
      </c>
      <c r="N119" s="102"/>
      <c r="O119" s="118"/>
      <c r="P119" s="118"/>
      <c r="Q119" s="118"/>
      <c r="R119" s="118"/>
      <c r="S119" s="118"/>
      <c r="T119" s="118"/>
      <c r="U119" s="118"/>
      <c r="V119" s="118"/>
    </row>
    <row r="120" outlineLevel="1">
      <c r="A120" s="299" t="s">
        <v>252</v>
      </c>
      <c r="B120" s="300" t="s">
        <v>253</v>
      </c>
      <c r="C120" s="307" t="str">
        <f t="array" ref="C120">INDEX('転倒'!$C$3:$D104, MATCH($A$1,'転倒'!$A$3:$A$115,0), MATCH(C99,'転倒'!$C$2:$AC$2,0))</f>
        <v>1-5</v>
      </c>
      <c r="D120" s="308">
        <f t="array" ref="D120">INDEX('転倒'!$C$3:$D104, MATCH($A$1,'転倒'!$A$3:$A$115,0), MATCH(D99,'転倒'!$C$2:$AC$2,0))</f>
        <v>29</v>
      </c>
      <c r="E120" s="301"/>
      <c r="F120" s="301"/>
      <c r="G120" s="301"/>
      <c r="H120" s="228"/>
      <c r="I120" s="228"/>
      <c r="J120" s="111"/>
      <c r="K120" s="313" t="str">
        <f>'テンプレート'!K137</f>
        <v>あお向け倒れ</v>
      </c>
      <c r="L120" s="306" t="str">
        <f>'テンプレート'!L137</f>
        <v>モーション大</v>
      </c>
      <c r="M120" s="113">
        <v>39.0</v>
      </c>
      <c r="N120" s="315"/>
      <c r="O120" s="118"/>
      <c r="P120" s="118"/>
      <c r="Q120" s="118"/>
      <c r="R120" s="118"/>
      <c r="S120" s="118"/>
      <c r="T120" s="118"/>
      <c r="U120" s="118"/>
      <c r="V120" s="118"/>
    </row>
    <row r="121" outlineLevel="1">
      <c r="A121" s="146"/>
      <c r="B121" s="300" t="s">
        <v>254</v>
      </c>
      <c r="C121" s="307" t="str">
        <f t="array" ref="C121">INDEX('転倒'!$E$3:$F104, MATCH($A$1,'転倒'!$A$3:$A$115,0), MATCH(C99,'転倒'!$E$2:$AC$2,0))</f>
        <v>1-5</v>
      </c>
      <c r="D121" s="308">
        <f t="array" ref="D121">INDEX('転倒'!$E$3:$F104, MATCH($A$1,'転倒'!$A$3:$A$115,0), MATCH(D99,'転倒'!$E$2:$AC$2,0))</f>
        <v>39</v>
      </c>
      <c r="E121" s="301"/>
      <c r="F121" s="301"/>
      <c r="G121" s="301"/>
      <c r="H121" s="228"/>
      <c r="I121" s="228"/>
      <c r="J121" s="117"/>
      <c r="K121" s="313" t="str">
        <f>'テンプレート'!K138</f>
        <v>うつ伏せ倒れ</v>
      </c>
      <c r="L121" s="306" t="str">
        <f>'テンプレート'!L138</f>
        <v>モーション大</v>
      </c>
      <c r="M121" s="113" t="s">
        <v>118</v>
      </c>
      <c r="N121" s="315"/>
      <c r="O121" s="118"/>
      <c r="P121" s="118"/>
      <c r="Q121" s="118"/>
      <c r="R121" s="118"/>
      <c r="S121" s="118"/>
      <c r="T121" s="118"/>
      <c r="U121" s="118"/>
      <c r="V121" s="118"/>
    </row>
    <row r="122" outlineLevel="1">
      <c r="A122" s="146"/>
      <c r="B122" s="300" t="s">
        <v>216</v>
      </c>
      <c r="C122" s="307" t="str">
        <f t="array" ref="C122">INDEX('転倒'!$G$3:$H$115, MATCH($A$1,'転倒'!$A$3:$A$115,0), MATCH(C99,'転倒'!$G$2:$AC$2,0))</f>
        <v>1-16</v>
      </c>
      <c r="D122" s="308">
        <f t="array" ref="D122">INDEX('転倒'!$G$3:$H$115, MATCH($A$1,'転倒'!$A$3:$A$115,0), MATCH(D99,'転倒'!$G$2:$AC$2,0))</f>
        <v>21</v>
      </c>
      <c r="E122" s="301"/>
      <c r="F122" s="301"/>
      <c r="G122" s="301"/>
      <c r="H122" s="228"/>
      <c r="I122" s="228"/>
      <c r="J122" s="111"/>
      <c r="K122" s="304" t="str">
        <f>'テンプレート'!K139</f>
        <v/>
      </c>
      <c r="L122" s="110"/>
      <c r="M122" s="298" t="str">
        <f>'テンプレート'!M139</f>
        <v/>
      </c>
      <c r="N122" s="102"/>
      <c r="O122" s="118"/>
      <c r="P122" s="118"/>
      <c r="Q122" s="118"/>
      <c r="R122" s="118"/>
      <c r="S122" s="118"/>
      <c r="T122" s="118"/>
      <c r="U122" s="118"/>
      <c r="V122" s="118"/>
    </row>
    <row r="123" outlineLevel="1">
      <c r="A123" s="146"/>
      <c r="B123" s="300" t="s">
        <v>245</v>
      </c>
      <c r="C123" s="307" t="str">
        <f t="array" ref="C123">INDEX('転倒'!$I$3:$J$115, MATCH($A$1,'転倒'!$A$3:$A$115,0), MATCH(C99,'転倒'!$I$2:$AC$2,0))</f>
        <v>1-9</v>
      </c>
      <c r="D123" s="308">
        <f t="array" ref="D123">INDEX('転倒'!$I$3:$J$115, MATCH($A$1,'転倒'!$A$3:$A$115,0), MATCH(D99,'転倒'!$I$2:$AC$2,0))</f>
        <v>28</v>
      </c>
      <c r="E123" s="301"/>
      <c r="F123" s="301"/>
      <c r="G123" s="301"/>
      <c r="H123" s="228"/>
      <c r="I123" s="228"/>
      <c r="J123" s="228"/>
      <c r="K123" s="316"/>
      <c r="L123" s="317" t="str">
        <f>'テンプレート'!L140</f>
        <v/>
      </c>
      <c r="M123" s="113" t="s">
        <v>76</v>
      </c>
      <c r="N123" s="102"/>
      <c r="O123" s="118"/>
      <c r="P123" s="118"/>
      <c r="Q123" s="118"/>
      <c r="R123" s="118"/>
      <c r="S123" s="118"/>
      <c r="T123" s="118"/>
      <c r="U123" s="118"/>
      <c r="V123" s="118"/>
    </row>
    <row r="124" outlineLevel="1">
      <c r="A124" s="146"/>
      <c r="B124" s="300" t="s">
        <v>246</v>
      </c>
      <c r="C124" s="307" t="str">
        <f t="array" ref="C124">INDEX('転倒'!$K$3:$L$115, MATCH($A$1,'転倒'!$A$3:$A$115,0), MATCH(C99,'転倒'!$K$2:$AC$2,0))</f>
        <v>1-9</v>
      </c>
      <c r="D124" s="308">
        <f t="array" ref="D124">INDEX('転倒'!$K$3:$L$115, MATCH($A$1,'転倒'!$A$3:$A$115,0), MATCH(D99,'転倒'!$K$2:$AC$2,0))</f>
        <v>28</v>
      </c>
      <c r="E124" s="301"/>
      <c r="F124" s="301"/>
      <c r="G124" s="301"/>
      <c r="H124" s="228"/>
      <c r="I124" s="228"/>
      <c r="J124" s="228"/>
      <c r="K124" s="318"/>
      <c r="L124" s="118"/>
      <c r="M124" s="118"/>
      <c r="N124" s="102"/>
      <c r="O124" s="118"/>
      <c r="P124" s="118"/>
      <c r="Q124" s="118"/>
      <c r="R124" s="118"/>
      <c r="S124" s="118"/>
      <c r="T124" s="118"/>
      <c r="U124" s="118"/>
      <c r="V124" s="118"/>
    </row>
    <row r="125" outlineLevel="1">
      <c r="A125" s="146"/>
      <c r="B125" s="300" t="s">
        <v>249</v>
      </c>
      <c r="C125" s="309" t="str">
        <f t="array" ref="C125">INDEX('転倒'!$M$3:$P$115, MATCH($A$1,'転倒'!$A$3:$A$115,0), MATCH(C99,'転倒'!$M$2:$AC$2,0))</f>
        <v>1-7</v>
      </c>
      <c r="D125" s="310">
        <f t="array" ref="D125">INDEX('転倒'!$M$3:$P$115, MATCH($A$1,'転倒'!$A$3:$A$115,0), MATCH(D99,'転倒'!$M$2:$AC$2,0))</f>
        <v>49</v>
      </c>
      <c r="E125" s="307" t="str">
        <f t="array" ref="E125">INDEX('転倒'!$M$3:$P$115, MATCH($A$1,'転倒'!$A$3:$A$115,0), MATCH(E99,'転倒'!$M$2:$AC$2,0))</f>
        <v>20-21</v>
      </c>
      <c r="F125" s="308">
        <f t="array" ref="F125">INDEX('転倒'!$M$3:$P$115, MATCH($A$1,'転倒'!$A$3:$A$115,0), MATCH(F99,'転倒'!$M$2:$AC$2,0))</f>
        <v>5</v>
      </c>
      <c r="G125" s="113">
        <f t="shared" ref="G125:G126" si="3">F125*1.2</f>
        <v>6</v>
      </c>
      <c r="H125" s="228"/>
      <c r="I125" s="228"/>
      <c r="J125" s="228"/>
      <c r="K125" s="118"/>
      <c r="L125" s="118"/>
      <c r="M125" s="118"/>
      <c r="N125" s="102"/>
      <c r="O125" s="102"/>
      <c r="P125" s="102"/>
      <c r="Q125" s="102"/>
      <c r="R125" s="118"/>
      <c r="S125" s="118"/>
      <c r="T125" s="118"/>
      <c r="U125" s="118"/>
      <c r="V125" s="118"/>
    </row>
    <row r="126" outlineLevel="1">
      <c r="A126" s="156"/>
      <c r="B126" s="311" t="s">
        <v>250</v>
      </c>
      <c r="C126" s="156"/>
      <c r="D126" s="156"/>
      <c r="E126" s="307" t="str">
        <f t="array" ref="E126">INDEX('転倒'!$Q$3:$R$115, MATCH($A$1,'転倒'!$A$3:$A$115,0), MATCH(E99,'転倒'!$Q$2:$AC$2,0))</f>
        <v>29-30</v>
      </c>
      <c r="F126" s="308">
        <f t="array" ref="F126">INDEX('転倒'!$Q$3:$R$115, MATCH($A$1,'転倒'!$A$3:$A$115,0), MATCH(F99,'転倒'!$Q$2:$AC$2,0))</f>
        <v>5</v>
      </c>
      <c r="G126" s="113">
        <f t="shared" si="3"/>
        <v>6</v>
      </c>
      <c r="H126" s="228"/>
      <c r="I126" s="228"/>
      <c r="J126" s="228"/>
      <c r="K126" s="118"/>
      <c r="L126" s="118"/>
      <c r="M126" s="118"/>
      <c r="N126" s="102"/>
      <c r="O126" s="102"/>
      <c r="P126" s="102"/>
      <c r="Q126" s="102"/>
      <c r="R126" s="118"/>
      <c r="S126" s="118"/>
      <c r="T126" s="118"/>
      <c r="U126" s="118"/>
      <c r="V126" s="118"/>
    </row>
    <row r="127" outlineLevel="1">
      <c r="A127" s="319"/>
      <c r="B127" s="320"/>
      <c r="C127" s="321"/>
      <c r="D127" s="321"/>
      <c r="E127" s="322"/>
      <c r="F127" s="322"/>
      <c r="G127" s="114"/>
      <c r="H127" s="228"/>
      <c r="I127" s="228"/>
      <c r="J127" s="228"/>
      <c r="K127" s="118"/>
      <c r="L127" s="118"/>
      <c r="M127" s="118"/>
      <c r="N127" s="102"/>
      <c r="O127" s="102"/>
      <c r="P127" s="102"/>
      <c r="Q127" s="102"/>
      <c r="R127" s="118"/>
      <c r="S127" s="118"/>
      <c r="T127" s="118"/>
      <c r="U127" s="118"/>
      <c r="V127" s="118"/>
    </row>
    <row r="128" outlineLevel="1">
      <c r="A128" s="323" t="s">
        <v>255</v>
      </c>
      <c r="B128" s="109"/>
      <c r="C128" s="321"/>
      <c r="D128" s="321"/>
      <c r="E128" s="322"/>
      <c r="F128" s="322"/>
      <c r="G128" s="114"/>
      <c r="H128" s="228"/>
      <c r="I128" s="228"/>
      <c r="J128" s="228"/>
      <c r="K128" s="118"/>
      <c r="L128" s="118"/>
      <c r="M128" s="118"/>
      <c r="N128" s="102"/>
      <c r="O128" s="102"/>
      <c r="P128" s="102"/>
      <c r="Q128" s="102"/>
      <c r="R128" s="118"/>
      <c r="S128" s="118"/>
      <c r="T128" s="118"/>
      <c r="U128" s="118"/>
      <c r="V128" s="118"/>
    </row>
    <row r="129" outlineLevel="1">
      <c r="A129" s="324" t="s">
        <v>256</v>
      </c>
      <c r="B129" s="109"/>
      <c r="C129" s="325" t="s">
        <v>257</v>
      </c>
      <c r="D129" s="325" t="s">
        <v>49</v>
      </c>
      <c r="E129" s="322"/>
      <c r="F129" s="322"/>
      <c r="G129" s="114"/>
      <c r="H129" s="228"/>
      <c r="I129" s="228"/>
      <c r="J129" s="228"/>
      <c r="K129" s="118"/>
      <c r="L129" s="118"/>
      <c r="M129" s="118"/>
      <c r="N129" s="102"/>
      <c r="O129" s="102"/>
      <c r="P129" s="102"/>
      <c r="Q129" s="102"/>
      <c r="R129" s="118"/>
      <c r="S129" s="118"/>
      <c r="T129" s="118"/>
      <c r="U129" s="118"/>
      <c r="V129" s="118"/>
    </row>
    <row r="130" outlineLevel="1">
      <c r="A130" s="326" t="s">
        <v>258</v>
      </c>
      <c r="B130" s="327" t="s">
        <v>216</v>
      </c>
      <c r="C130" s="328" t="str">
        <f t="array" ref="C130">INDEX('アイテム'!$C$3:$D$114, MATCH($A$1,'アイテム'!$A$3:$A$114,0), MATCH(C129,'アイテム'!$C$2:$AQ$2,0))</f>
        <v>3</v>
      </c>
      <c r="D130" s="328">
        <f t="array" ref="D130">INDEX('アイテム'!$C$3:$D$114, MATCH($A$1,'アイテム'!$A$3:$A$114,0), MATCH(D129,'アイテム'!$C$2:$AQ$2,0))</f>
        <v>7</v>
      </c>
      <c r="E130" s="322"/>
      <c r="F130" s="322"/>
      <c r="G130" s="114"/>
      <c r="H130" s="228"/>
      <c r="I130" s="228"/>
      <c r="J130" s="228"/>
      <c r="K130" s="118"/>
      <c r="L130" s="118"/>
      <c r="M130" s="118"/>
      <c r="N130" s="102"/>
      <c r="O130" s="102"/>
      <c r="P130" s="102"/>
      <c r="Q130" s="102"/>
      <c r="R130" s="118"/>
      <c r="S130" s="118"/>
      <c r="T130" s="118"/>
      <c r="U130" s="118"/>
      <c r="V130" s="118"/>
    </row>
    <row r="131" outlineLevel="1">
      <c r="A131" s="156"/>
      <c r="B131" s="327" t="s">
        <v>219</v>
      </c>
      <c r="C131" s="328" t="str">
        <f t="array" ref="C131">INDEX('アイテム'!$E$3:$F$114, MATCH($A$1,'アイテム'!$A$3:$A$114,0), MATCH(C129,'アイテム'!$C$2:$AQ$2,0))</f>
        <v>2</v>
      </c>
      <c r="D131" s="328">
        <f t="array" ref="D131">INDEX('アイテム'!$E$3:$F$114, MATCH($A$1,'アイテム'!$A$3:$A$114,0), MATCH(D129,'アイテム'!$C$2:$AQ$2,0))</f>
        <v>19</v>
      </c>
      <c r="E131" s="322"/>
      <c r="F131" s="322"/>
      <c r="G131" s="114"/>
      <c r="H131" s="228"/>
      <c r="I131" s="228"/>
      <c r="J131" s="228"/>
      <c r="K131" s="118"/>
      <c r="L131" s="118"/>
      <c r="M131" s="118"/>
      <c r="N131" s="102"/>
      <c r="O131" s="102"/>
      <c r="P131" s="102"/>
      <c r="Q131" s="102"/>
      <c r="R131" s="118"/>
      <c r="S131" s="118"/>
      <c r="T131" s="118"/>
      <c r="U131" s="118"/>
      <c r="V131" s="118"/>
    </row>
    <row r="132" outlineLevel="1">
      <c r="A132" s="329" t="s">
        <v>259</v>
      </c>
      <c r="B132" s="327" t="s">
        <v>216</v>
      </c>
      <c r="C132" s="328">
        <f t="array" ref="C132">INDEX('アイテム'!$AA$3:$AB$114, MATCH($A$1,'アイテム'!$A$3:$A$114,0), MATCH(C129,'アイテム'!$C$2:$AQ$2,0))</f>
        <v>5</v>
      </c>
      <c r="D132" s="328" t="str">
        <f t="array" ref="D132">INDEX('アイテム'!$AA$3:$AB$114, MATCH($A$1,'アイテム'!$A$3:$A$114,0), MATCH(D129,'アイテム'!$C$2:$AQ$2,0))</f>
        <v>12</v>
      </c>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260</v>
      </c>
      <c r="B133" s="109"/>
      <c r="C133" s="325" t="s">
        <v>261</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262</v>
      </c>
      <c r="B134" s="327" t="s">
        <v>226</v>
      </c>
      <c r="C134" s="328" t="str">
        <f t="array" ref="C134">INDEX('アイテム'!$G$3:$H$114, MATCH($A$1,'アイテム'!$A$3:$A$114,0), MATCH(C129,'アイテム'!$C$2:$AQ$2,0))</f>
        <v>10</v>
      </c>
      <c r="D134" s="328">
        <f t="array" ref="D134">INDEX('アイテム'!$G$3:$H$114, MATCH($A$1,'アイテム'!$A$3:$A$114,0), MATCH(D129,'アイテム'!$C$2:$AQ$2,0))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229</v>
      </c>
      <c r="C135" s="328" t="str">
        <f t="array" ref="C135">INDEX('アイテム'!$I$3:$J$114, MATCH($A$1,'アイテム'!$A$3:$A$114,0), MATCH(C129,'アイテム'!$C$2:$AQ$2,0))</f>
        <v>14</v>
      </c>
      <c r="D135" s="328">
        <f t="array" ref="D135">INDEX('アイテム'!$I$3:$J$114, MATCH($A$1,'アイテム'!$A$3:$A$114,0), MATCH(D129,'アイテム'!$C$2:$AQ$2,0))</f>
        <v>24</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233</v>
      </c>
      <c r="C136" s="328" t="str">
        <f t="array" ref="C136">INDEX('アイテム'!$K$3:$L$114, MATCH($A$1,'アイテム'!$A$3:$A$114,0), MATCH(C129,'アイテム'!$C$2:$AQ$2,0))</f>
        <v>15</v>
      </c>
      <c r="D136" s="328">
        <f t="array" ref="D136">INDEX('アイテム'!$K$3:$L$114, MATCH($A$1,'アイテム'!$A$3:$A$114,0), MATCH(D129,'アイテム'!$C$2:$AQ$2,0))</f>
        <v>23</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234</v>
      </c>
      <c r="C137" s="328" t="str">
        <f t="array" ref="C137">INDEX('アイテム'!$M$3:$N$114, MATCH($A$1,'アイテム'!$A$3:$A$114,0), MATCH(C129,'アイテム'!$C$2:$AQ$2,0))</f>
        <v>8</v>
      </c>
      <c r="D137" s="328">
        <f t="array" ref="D137">INDEX('アイテム'!$M$3:$N$114, MATCH($A$1,'アイテム'!$A$3:$A$114,0), MATCH(D129,'アイテム'!$C$2:$AQ$2,0))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219</v>
      </c>
      <c r="C138" s="328" t="str">
        <f t="array" ref="C138">INDEX('アイテム'!$O$3:$P$114, MATCH($A$1,'アイテム'!$A$3:$A$114,0), MATCH(C129,'アイテム'!$C$2:$AQ$2,0))</f>
        <v>6</v>
      </c>
      <c r="D138" s="328">
        <f t="array" ref="D138">INDEX('アイテム'!$O$3:$P$114, MATCH($A$1,'アイテム'!$A$3:$A$114,0), MATCH(D129,'アイテム'!$C$2:$AQ$2,0))</f>
        <v>29</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263</v>
      </c>
      <c r="C139" s="328" t="str">
        <f t="array" ref="C139">INDEX('アイテム'!$Q$3:$R$114, MATCH($A$1,'アイテム'!$A$3:$A$114,0), MATCH(C129,'アイテム'!$C$2:$AQ$2,0))</f>
        <v>7</v>
      </c>
      <c r="D139" s="328">
        <f t="array" ref="D139">INDEX('アイテム'!$Q$3:$R$114, MATCH($A$1,'アイテム'!$A$3:$A$114,0), MATCH(D129,'アイテム'!$C$2:$AQ$2,0))</f>
        <v>23</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264</v>
      </c>
      <c r="B140" s="327" t="s">
        <v>226</v>
      </c>
      <c r="C140" s="328" t="str">
        <f t="array" ref="C140">INDEX('アイテム'!$S$3:$T$114, MATCH($A$1,'アイテム'!$A$3:$A$114,0), MATCH(C129,'アイテム'!$C$2:$AQ$2,0))</f>
        <v>10</v>
      </c>
      <c r="D140" s="328">
        <f t="array" ref="D140">INDEX('アイテム'!$S$3:$T$114, MATCH($A$1,'アイテム'!$A$3:$A$114,0), MATCH(D129,'アイテム'!$C$2:$AQ$2,0))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INDEX('アイテム'!$U$3:$V$114, MATCH($A$1,'アイテム'!$A$3:$A$114,0), MATCH(C129,'アイテム'!$C$2:$AQ$2,0))</f>
        <v>14</v>
      </c>
      <c r="D141" s="328">
        <f t="array" ref="D141">INDEX('アイテム'!$U$3:$V$114, MATCH($A$1,'アイテム'!$A$3:$A$114,0), MATCH(D129,'アイテム'!$C$2:$AQ$2,0))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INDEX('アイテム'!$W$3:$X$114, MATCH($A$1,'アイテム'!$A$3:$A$114,0), MATCH(C129,'アイテム'!$C$2:$AQ$2,0))</f>
        <v>15</v>
      </c>
      <c r="D142" s="328">
        <f t="array" ref="D142">INDEX('アイテム'!$W$3:$X$114, MATCH($A$1,'アイテム'!$A$3:$A$114,0), MATCH(D129,'アイテム'!$C$2:$AQ$2,0))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234</v>
      </c>
      <c r="C143" s="328" t="str">
        <f t="array" ref="C143">INDEX('アイテム'!$Y$3:$Z$114, MATCH($A$1,'アイテム'!$A$3:$A$114,0), MATCH(C129,'アイテム'!$C$2:$AQ$2,0))</f>
        <v>8</v>
      </c>
      <c r="D143" s="328">
        <f t="array" ref="D143">INDEX('アイテム'!$Y$3:$Z$114, MATCH($A$1,'アイテム'!$A$3:$A$114,0), MATCH(D129,'アイテム'!$C$2:$AQ$2,0))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265</v>
      </c>
      <c r="B144" s="327" t="s">
        <v>226</v>
      </c>
      <c r="C144" s="328">
        <f t="array" ref="C144">INDEX('アイテム'!$AC$3:$AD$114, MATCH($A$1,'アイテム'!$A$3:$A$114,0), MATCH(C129,'アイテム'!$C$2:$AQ$2,0))</f>
        <v>18</v>
      </c>
      <c r="D144" s="328" t="str">
        <f t="array" ref="D144">INDEX('アイテム'!$AC$3:$AD$114, MATCH($A$1,'アイテム'!$A$3:$A$114,0), MATCH(D129,'アイテム'!$C$2:$AQ$2,0))</f>
        <v>30</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f t="array" ref="C145">INDEX('アイテム'!$AE$3:$AF$114, MATCH($A$1,'アイテム'!$A$3:$A$114,0), MATCH(C129,'アイテム'!$C$2:$AQ$2,0))</f>
        <v>16</v>
      </c>
      <c r="D145" s="328" t="str">
        <f t="array" ref="D145">INDEX('アイテム'!$AE$3:$AF$114, MATCH($A$1,'アイテム'!$A$3:$A$114,0), MATCH(D129,'アイテム'!$C$2:$AQ$2,0))</f>
        <v>30</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f t="array" ref="C146">INDEX('アイテム'!$AG$3:$AH$114, MATCH($A$1,'アイテム'!$A$3:$A$114,0), MATCH(C129,'アイテム'!$C$2:$AQ$2,0))</f>
        <v>12</v>
      </c>
      <c r="D146" s="328" t="str">
        <f t="array" ref="D146">INDEX('アイテム'!$AG$3:$AH$114, MATCH($A$1,'アイテム'!$A$3:$A$114,0), MATCH(D129,'アイテム'!$C$2:$AQ$2,0))</f>
        <v>22</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f t="array" ref="C147">INDEX('アイテム'!$AI$3:$AJ$114, MATCH($A$1,'アイテム'!$A$3:$A$114,0), MATCH(C129,'アイテム'!$C$2:$AQ$2,0))</f>
        <v>11</v>
      </c>
      <c r="D147" s="328" t="str">
        <f t="array" ref="D147">INDEX('アイテム'!$AI$3:$AJ$114, MATCH($A$1,'アイテム'!$A$3:$A$114,0), MATCH(D129,'アイテム'!$C$2:$AQ$2,0))</f>
        <v>22</v>
      </c>
      <c r="E147" s="322"/>
      <c r="F147" s="322"/>
      <c r="G147" s="114"/>
      <c r="H147" s="228"/>
      <c r="I147" s="228"/>
      <c r="J147" s="228"/>
      <c r="K147" s="118"/>
      <c r="L147" s="118"/>
      <c r="M147" s="118"/>
      <c r="N147" s="102"/>
      <c r="O147" s="102"/>
      <c r="P147" s="102"/>
      <c r="Q147" s="102"/>
      <c r="R147" s="118"/>
      <c r="S147" s="118"/>
      <c r="T147" s="118"/>
      <c r="U147" s="118"/>
      <c r="V147" s="118"/>
    </row>
  </sheetData>
  <mergeCells count="137">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1"/>
    <mergeCell ref="U30:U31"/>
    <mergeCell ref="H32:J32"/>
    <mergeCell ref="A24:B25"/>
    <mergeCell ref="A26:A27"/>
    <mergeCell ref="A30:A31"/>
    <mergeCell ref="D30:D31"/>
    <mergeCell ref="A34:A35"/>
    <mergeCell ref="D34:D35"/>
    <mergeCell ref="D36:D37"/>
    <mergeCell ref="H33:J33"/>
    <mergeCell ref="H34:J35"/>
    <mergeCell ref="U34:U35"/>
    <mergeCell ref="H36:J37"/>
    <mergeCell ref="U36:U37"/>
    <mergeCell ref="I41:I42"/>
    <mergeCell ref="J41:J42"/>
    <mergeCell ref="U51:U54"/>
    <mergeCell ref="U56:U65"/>
    <mergeCell ref="V56:V65"/>
    <mergeCell ref="U67:U69"/>
    <mergeCell ref="V67:V69"/>
    <mergeCell ref="U71:U72"/>
    <mergeCell ref="V71:V72"/>
    <mergeCell ref="R40:V40"/>
    <mergeCell ref="R41:V42"/>
    <mergeCell ref="R43:V43"/>
    <mergeCell ref="R44:V44"/>
    <mergeCell ref="R45:V45"/>
    <mergeCell ref="R46:V47"/>
    <mergeCell ref="V51:V54"/>
    <mergeCell ref="H60:J60"/>
    <mergeCell ref="H61:J61"/>
    <mergeCell ref="H62:J62"/>
    <mergeCell ref="H63:J63"/>
    <mergeCell ref="H64:J65"/>
    <mergeCell ref="H66:J66"/>
    <mergeCell ref="H67:J69"/>
    <mergeCell ref="H70:J70"/>
    <mergeCell ref="H71:J71"/>
    <mergeCell ref="H72:J72"/>
    <mergeCell ref="G80:J80"/>
    <mergeCell ref="G81:J82"/>
    <mergeCell ref="G83:J84"/>
    <mergeCell ref="G85:J86"/>
    <mergeCell ref="K115:K118"/>
    <mergeCell ref="K119:L119"/>
    <mergeCell ref="K122:L122"/>
    <mergeCell ref="G87:J88"/>
    <mergeCell ref="K99:L99"/>
    <mergeCell ref="K100:K101"/>
    <mergeCell ref="K102:L102"/>
    <mergeCell ref="K103:K108"/>
    <mergeCell ref="K109:K112"/>
    <mergeCell ref="K113:L113"/>
    <mergeCell ref="A100:A104"/>
    <mergeCell ref="A105:A107"/>
    <mergeCell ref="A108:A113"/>
    <mergeCell ref="C112:C113"/>
    <mergeCell ref="D112:D113"/>
    <mergeCell ref="C118:C119"/>
    <mergeCell ref="D118:D119"/>
    <mergeCell ref="A114:A119"/>
    <mergeCell ref="A120:A126"/>
    <mergeCell ref="C125:C126"/>
    <mergeCell ref="D125:D126"/>
    <mergeCell ref="A128:B128"/>
    <mergeCell ref="A129:B129"/>
    <mergeCell ref="A133:B133"/>
    <mergeCell ref="A36:A37"/>
    <mergeCell ref="A39:B40"/>
    <mergeCell ref="A41:A42"/>
    <mergeCell ref="D41:D42"/>
    <mergeCell ref="D46:D47"/>
    <mergeCell ref="I46:I47"/>
    <mergeCell ref="J46:J47"/>
    <mergeCell ref="H50:J50"/>
    <mergeCell ref="H51:J54"/>
    <mergeCell ref="H55:J55"/>
    <mergeCell ref="H56:J56"/>
    <mergeCell ref="H57:J57"/>
    <mergeCell ref="H58:J58"/>
    <mergeCell ref="H59:J59"/>
    <mergeCell ref="D53:D54"/>
    <mergeCell ref="D64:D65"/>
    <mergeCell ref="D67:D69"/>
    <mergeCell ref="D81:D82"/>
    <mergeCell ref="D83:D84"/>
    <mergeCell ref="D85:D86"/>
    <mergeCell ref="D87:D88"/>
    <mergeCell ref="A56:A65"/>
    <mergeCell ref="A67:A69"/>
    <mergeCell ref="A71:A72"/>
    <mergeCell ref="A77:A79"/>
    <mergeCell ref="A81:A82"/>
    <mergeCell ref="A83:A84"/>
    <mergeCell ref="A85:A86"/>
    <mergeCell ref="A87:A88"/>
    <mergeCell ref="A46:A47"/>
    <mergeCell ref="A49:B49"/>
    <mergeCell ref="A50:B50"/>
    <mergeCell ref="A51:A54"/>
    <mergeCell ref="D51:D52"/>
    <mergeCell ref="A55:B55"/>
    <mergeCell ref="A66:B66"/>
    <mergeCell ref="A70:B70"/>
    <mergeCell ref="A74:B75"/>
    <mergeCell ref="A80:B80"/>
    <mergeCell ref="A90:B91"/>
    <mergeCell ref="A92:A94"/>
    <mergeCell ref="A95:A96"/>
    <mergeCell ref="A98:B99"/>
    <mergeCell ref="A130:A131"/>
    <mergeCell ref="A134:A139"/>
    <mergeCell ref="A140:A143"/>
    <mergeCell ref="A144:A147"/>
  </mergeCells>
  <conditionalFormatting sqref="K1:K15 K17:K70 K72:K123 C81 E81:F81 C83 E83:F83 C85 E85:F85 C87 E87:F87">
    <cfRule type="containsText" dxfId="0" priority="1" operator="containsText" text="361">
      <formula>NOT(ISERROR(SEARCH(("361"),(K1))))</formula>
    </cfRule>
  </conditionalFormatting>
  <conditionalFormatting sqref="K1:K15 K17:K70 K72:K123 C81 E81:F81 C83 E83:F83 C85 E85:F85 C87 E87:F87">
    <cfRule type="containsText" dxfId="1" priority="2" operator="containsText" text="363">
      <formula>NOT(ISERROR(SEARCH(("363"),(K1))))</formula>
    </cfRule>
  </conditionalFormatting>
  <conditionalFormatting sqref="K1:K15 K17:K70 K72:K123 C81 E81:F81 C83 E83:F83 C85 E85:F85 C87 E87:F87">
    <cfRule type="containsText" dxfId="1" priority="3" operator="containsText" text="365">
      <formula>NOT(ISERROR(SEARCH(("365"),(K1))))</formula>
    </cfRule>
  </conditionalFormatting>
  <conditionalFormatting sqref="K1:K15 K17:K70 K72:K123 C81 E81:F81 C83 E83:F83 C85 E85:F85 C87 E87:F87">
    <cfRule type="containsText" dxfId="1" priority="4" operator="containsText" text="366">
      <formula>NOT(ISERROR(SEARCH(("366"),(K1))))</formula>
    </cfRule>
  </conditionalFormatting>
  <conditionalFormatting sqref="K1:K15 K17:K70 K72:K123 C81 E81:F81 C83 E83:F83 C85 E85:F85 C87 E87:F87">
    <cfRule type="containsText" dxfId="1" priority="5" operator="containsText" text="367">
      <formula>NOT(ISERROR(SEARCH(("367"),(K1))))</formula>
    </cfRule>
  </conditionalFormatting>
  <conditionalFormatting sqref="P81:P88">
    <cfRule type="cellIs" dxfId="2" priority="6" operator="equal">
      <formula>"敵のみ"</formula>
    </cfRule>
  </conditionalFormatting>
  <conditionalFormatting sqref="C81:C88">
    <cfRule type="cellIs" dxfId="3" priority="7" operator="equal">
      <formula>"-"</formula>
    </cfRule>
  </conditionalFormatting>
  <conditionalFormatting sqref="O1:O70 O72:O147 C81 E81:F81 K81:N81 P81:Q88 C83 E83:F83 K83:N83 C85 E85:F85 K85:N85 C87 E87:F87 K87:N87">
    <cfRule type="cellIs" dxfId="4" priority="8" operator="greaterThan">
      <formula>0</formula>
    </cfRule>
  </conditionalFormatting>
  <conditionalFormatting sqref="P1:Q70 P72:Q147">
    <cfRule type="cellIs" dxfId="5" priority="9" operator="lessThan">
      <formula>1</formula>
    </cfRule>
  </conditionalFormatting>
  <conditionalFormatting sqref="P1:Q70 P72:Q147">
    <cfRule type="cellIs" dxfId="4" priority="10" operator="greaterThan">
      <formula>1</formula>
    </cfRule>
  </conditionalFormatting>
  <conditionalFormatting sqref="N25:N70 N72:N88">
    <cfRule type="cellIs" dxfId="6" priority="11" operator="greaterThan">
      <formula>0</formula>
    </cfRule>
  </conditionalFormatting>
  <conditionalFormatting sqref="N1:N15 N17:N70 N72:N147">
    <cfRule type="containsText" dxfId="6" priority="12" operator="containsText" text="/">
      <formula>NOT(ISERROR(SEARCH(("/"),(N1))))</formula>
    </cfRule>
  </conditionalFormatting>
  <drawing r:id="rId2"/>
  <legacyDrawing r:id="rId3"/>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A6C7"/>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237" t="s">
        <v>1848</v>
      </c>
      <c r="B1" s="1238"/>
      <c r="C1" s="1239" t="str">
        <f>IMAGE(VLOOKUP($A$1,Fighters!A2:AI114,12,FALSE),1)</f>
        <v>#REF!</v>
      </c>
      <c r="D1" s="1240"/>
      <c r="E1" s="1240"/>
      <c r="F1" s="1240"/>
      <c r="G1" s="1241"/>
      <c r="H1" s="1242"/>
      <c r="I1" s="1240"/>
      <c r="J1" s="1241"/>
      <c r="K1" s="1243"/>
      <c r="L1" s="1240"/>
      <c r="M1" s="1241"/>
      <c r="N1" s="1244"/>
      <c r="O1" s="1244"/>
      <c r="P1" s="1244"/>
      <c r="Q1" s="1244"/>
      <c r="R1" s="1245"/>
      <c r="S1" s="1245"/>
      <c r="T1" s="1245"/>
      <c r="U1" s="1245"/>
      <c r="V1" s="1245"/>
    </row>
    <row r="2">
      <c r="A2" s="1246" t="str">
        <f>VLOOKUP($A$1,Fighters!$A$2:$AI$81,6,FALSE)</f>
        <v>#7ea6c7</v>
      </c>
      <c r="B2" s="1238"/>
      <c r="C2" s="1247"/>
      <c r="G2" s="1248"/>
      <c r="H2" s="1249"/>
      <c r="I2" s="1250"/>
      <c r="J2" s="1251"/>
      <c r="K2" s="1249"/>
      <c r="L2" s="1250"/>
      <c r="M2" s="1251"/>
      <c r="N2" s="1244"/>
      <c r="O2" s="1244"/>
      <c r="P2" s="1244"/>
      <c r="Q2" s="1244"/>
      <c r="R2" s="1245"/>
      <c r="S2" s="1245"/>
      <c r="T2" s="1245"/>
      <c r="U2" s="1245"/>
      <c r="V2" s="1245"/>
    </row>
    <row r="3">
      <c r="A3" s="1246" t="str">
        <f>VLOOKUP($A$1,Fighters!$A$2:$AI$81,14,FALSE)</f>
        <v>21'. ルキナ</v>
      </c>
      <c r="B3" s="1238"/>
      <c r="C3" s="1247"/>
      <c r="G3" s="1248"/>
      <c r="H3" s="1252"/>
      <c r="I3" s="1252"/>
      <c r="J3" s="1252"/>
      <c r="K3" s="1253"/>
      <c r="L3" s="1253"/>
      <c r="M3" s="1253"/>
      <c r="N3" s="1244"/>
      <c r="O3" s="1244"/>
      <c r="P3" s="1244"/>
      <c r="Q3" s="1244"/>
      <c r="R3" s="1254"/>
      <c r="S3" s="1245"/>
      <c r="T3" s="1245"/>
      <c r="U3" s="1245"/>
      <c r="V3" s="1245"/>
    </row>
    <row r="4">
      <c r="A4" s="1246" t="str">
        <f>VLOOKUP($A$1,Fighters!$A$2:$AI$81,13,FALSE)</f>
        <v>1</v>
      </c>
      <c r="B4" s="1238"/>
      <c r="C4" s="1247"/>
      <c r="G4" s="1248"/>
      <c r="H4" s="1255"/>
      <c r="I4" s="1255"/>
      <c r="J4" s="1252"/>
      <c r="K4" s="1253"/>
      <c r="L4" s="1253"/>
      <c r="M4" s="1253"/>
      <c r="N4" s="1244"/>
      <c r="O4" s="1244"/>
      <c r="P4" s="1244"/>
      <c r="Q4" s="1244"/>
      <c r="R4" s="1254"/>
      <c r="S4" s="1245"/>
      <c r="T4" s="1245"/>
      <c r="U4" s="1245"/>
      <c r="V4" s="1245"/>
    </row>
    <row r="5" ht="16.5" customHeight="1">
      <c r="A5" s="1237"/>
      <c r="B5" s="1238"/>
      <c r="C5" s="1247"/>
      <c r="G5" s="1248"/>
      <c r="H5" s="1256"/>
      <c r="I5" s="1256"/>
      <c r="J5" s="1257"/>
      <c r="K5" s="1258"/>
      <c r="L5" s="1259"/>
      <c r="M5" s="1259"/>
      <c r="N5" s="1244"/>
      <c r="O5" s="1244"/>
      <c r="P5" s="1244"/>
      <c r="Q5" s="1244"/>
      <c r="R5" s="1254"/>
      <c r="S5" s="1245"/>
      <c r="T5" s="1245"/>
      <c r="U5" s="1245"/>
      <c r="V5" s="1245"/>
    </row>
    <row r="6">
      <c r="A6" s="1238"/>
      <c r="B6" s="1238"/>
      <c r="C6" s="1247"/>
      <c r="G6" s="1248"/>
      <c r="H6" s="1255"/>
      <c r="I6" s="1260" t="s">
        <v>39</v>
      </c>
      <c r="J6" s="1258"/>
      <c r="K6" s="1261"/>
      <c r="L6" s="1259"/>
      <c r="M6" s="1259"/>
      <c r="N6" s="1244"/>
      <c r="O6" s="1244"/>
      <c r="P6" s="1244"/>
      <c r="Q6" s="1244"/>
      <c r="R6" s="1254"/>
      <c r="S6" s="1245"/>
      <c r="T6" s="1245"/>
      <c r="U6" s="1245"/>
      <c r="V6" s="1245"/>
    </row>
    <row r="7">
      <c r="A7" s="1238"/>
      <c r="B7" s="1238"/>
      <c r="C7" s="1247"/>
      <c r="G7" s="1248"/>
      <c r="H7" s="1256"/>
      <c r="I7" s="1256"/>
      <c r="J7" s="1258"/>
      <c r="K7" s="1261"/>
      <c r="L7" s="1259"/>
      <c r="M7" s="1259"/>
      <c r="N7" s="1244"/>
      <c r="O7" s="1244"/>
      <c r="P7" s="1244"/>
      <c r="Q7" s="1244"/>
      <c r="R7" s="1254"/>
      <c r="S7" s="1245"/>
      <c r="T7" s="1245"/>
      <c r="U7" s="1245"/>
      <c r="V7" s="1245"/>
    </row>
    <row r="8">
      <c r="A8" s="1238"/>
      <c r="B8" s="1238"/>
      <c r="C8" s="1247"/>
      <c r="G8" s="1248"/>
      <c r="H8" s="1262">
        <v>44489.75130876157</v>
      </c>
      <c r="I8" s="1240"/>
      <c r="J8" s="1241"/>
      <c r="K8" s="1258"/>
      <c r="L8" s="1259"/>
      <c r="M8" s="1259"/>
      <c r="N8" s="1244"/>
      <c r="O8" s="1244"/>
      <c r="P8" s="1244"/>
      <c r="Q8" s="1244"/>
      <c r="R8" s="1254"/>
      <c r="S8" s="1245"/>
      <c r="T8" s="1245"/>
      <c r="U8" s="1245"/>
      <c r="V8" s="1245"/>
    </row>
    <row r="9">
      <c r="A9" s="1238"/>
      <c r="B9" s="1238"/>
      <c r="C9" s="1247"/>
      <c r="G9" s="1248"/>
      <c r="H9" s="1249"/>
      <c r="I9" s="1250"/>
      <c r="J9" s="1251"/>
      <c r="K9" s="1245"/>
      <c r="L9" s="1244"/>
      <c r="M9" s="1244"/>
      <c r="N9" s="1244"/>
      <c r="O9" s="1244"/>
      <c r="P9" s="1244"/>
      <c r="Q9" s="1244"/>
      <c r="R9" s="1254"/>
      <c r="S9" s="1245"/>
      <c r="T9" s="1245"/>
      <c r="U9" s="1245"/>
      <c r="V9" s="1245"/>
    </row>
    <row r="10">
      <c r="A10" s="1238"/>
      <c r="B10" s="1238"/>
      <c r="C10" s="1247"/>
      <c r="G10" s="1248"/>
      <c r="H10" s="1263"/>
      <c r="I10" s="1263"/>
      <c r="J10" s="1245"/>
      <c r="K10" s="1245"/>
      <c r="L10" s="1244"/>
      <c r="M10" s="1244"/>
      <c r="N10" s="1244"/>
      <c r="O10" s="1244"/>
      <c r="P10" s="1244"/>
      <c r="Q10" s="1244"/>
      <c r="R10" s="1254"/>
      <c r="S10" s="1245"/>
      <c r="T10" s="1245"/>
      <c r="U10" s="1245"/>
      <c r="V10" s="1245"/>
    </row>
    <row r="11">
      <c r="A11" s="1264" t="s">
        <v>40</v>
      </c>
      <c r="B11" s="1241"/>
      <c r="C11" s="1247"/>
      <c r="G11" s="1248"/>
      <c r="H11" s="1256"/>
      <c r="I11" s="1256"/>
      <c r="J11" s="1245"/>
      <c r="K11" s="1245"/>
      <c r="L11" s="1244"/>
      <c r="M11" s="1244"/>
      <c r="N11" s="1244"/>
      <c r="O11" s="1244"/>
      <c r="P11" s="1244"/>
      <c r="Q11" s="1244"/>
      <c r="R11" s="1254"/>
      <c r="S11" s="1245"/>
      <c r="T11" s="1245"/>
      <c r="U11" s="1245"/>
      <c r="V11" s="1245"/>
    </row>
    <row r="12">
      <c r="A12" s="1249"/>
      <c r="B12" s="1251"/>
      <c r="C12" s="1249"/>
      <c r="D12" s="1250"/>
      <c r="E12" s="1250"/>
      <c r="F12" s="1250"/>
      <c r="G12" s="1251"/>
      <c r="H12" s="1265"/>
      <c r="I12" s="1265"/>
      <c r="J12" s="1238"/>
      <c r="K12" s="1238"/>
      <c r="L12" s="1244"/>
      <c r="M12" s="1244"/>
      <c r="N12" s="1244"/>
      <c r="O12" s="1244"/>
      <c r="P12" s="1244"/>
      <c r="Q12" s="1244"/>
      <c r="R12" s="1254"/>
      <c r="S12" s="1245"/>
      <c r="T12" s="1245"/>
      <c r="U12" s="1245"/>
      <c r="V12" s="1245"/>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90 [61st]</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2.255 [6th]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1.575 [1st]</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0.1342 [63rd]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33.66 [33rd]</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1.964 [23rd]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0.114 [31st]</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16.26 [39th]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1.071 [41st]</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38F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33.66 [39th]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1.58 [48th]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0.00375 [87th]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2.528 [45th]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0.075 [75th]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267</v>
      </c>
      <c r="D26" s="701" t="s">
        <v>92</v>
      </c>
      <c r="E26" s="139" t="s">
        <v>1849</v>
      </c>
      <c r="F26" s="138">
        <v>3.99</v>
      </c>
      <c r="G26" s="139" t="s">
        <v>147</v>
      </c>
      <c r="H26" s="786" t="s">
        <v>1712</v>
      </c>
      <c r="I26" s="110"/>
      <c r="J26" s="109"/>
      <c r="K26" s="138"/>
      <c r="L26" s="282"/>
      <c r="M26" s="363"/>
      <c r="N26" s="363"/>
      <c r="O26" s="145">
        <v>0.0</v>
      </c>
      <c r="P26" s="145">
        <v>1.0</v>
      </c>
      <c r="Q26" s="145">
        <v>1.0</v>
      </c>
      <c r="R26" s="100"/>
      <c r="S26" s="100"/>
      <c r="T26" s="100"/>
      <c r="U26" s="145" t="s">
        <v>69</v>
      </c>
      <c r="V26" s="100"/>
    </row>
    <row r="27" outlineLevel="1">
      <c r="A27" s="156"/>
      <c r="B27" s="147" t="s">
        <v>63</v>
      </c>
      <c r="C27" s="216" t="s">
        <v>717</v>
      </c>
      <c r="D27" s="467" t="s">
        <v>593</v>
      </c>
      <c r="E27" s="216" t="s">
        <v>1850</v>
      </c>
      <c r="F27" s="138">
        <v>5.7</v>
      </c>
      <c r="G27" s="139" t="s">
        <v>75</v>
      </c>
      <c r="H27" s="1232"/>
      <c r="I27" s="110"/>
      <c r="J27" s="109"/>
      <c r="K27" s="282"/>
      <c r="L27" s="282"/>
      <c r="M27" s="363"/>
      <c r="N27" s="363"/>
      <c r="O27" s="145">
        <v>0.0</v>
      </c>
      <c r="P27" s="145">
        <v>1.0</v>
      </c>
      <c r="Q27" s="145">
        <v>1.0</v>
      </c>
      <c r="R27" s="100"/>
      <c r="S27" s="100"/>
      <c r="T27" s="100"/>
      <c r="U27" s="145" t="s">
        <v>76</v>
      </c>
      <c r="V27" s="100"/>
    </row>
    <row r="28" outlineLevel="1">
      <c r="A28" s="170" t="s">
        <v>77</v>
      </c>
      <c r="B28" s="160"/>
      <c r="C28" s="467" t="s">
        <v>1159</v>
      </c>
      <c r="D28" s="467" t="s">
        <v>185</v>
      </c>
      <c r="E28" s="216" t="s">
        <v>1851</v>
      </c>
      <c r="F28" s="138">
        <v>13.110000000000001</v>
      </c>
      <c r="G28" s="162" t="s">
        <v>1187</v>
      </c>
      <c r="H28" s="1233" t="s">
        <v>1852</v>
      </c>
      <c r="I28" s="110"/>
      <c r="J28" s="109"/>
      <c r="K28" s="138"/>
      <c r="L28" s="282"/>
      <c r="M28" s="363"/>
      <c r="N28" s="363"/>
      <c r="O28" s="145">
        <v>0.0</v>
      </c>
      <c r="P28" s="145">
        <v>1.0</v>
      </c>
      <c r="Q28" s="145">
        <v>1.0</v>
      </c>
      <c r="R28" s="100"/>
      <c r="S28" s="100"/>
      <c r="T28" s="100"/>
      <c r="U28" s="145" t="s">
        <v>69</v>
      </c>
      <c r="V28" s="100"/>
    </row>
    <row r="29" outlineLevel="1">
      <c r="A29" s="170" t="s">
        <v>89</v>
      </c>
      <c r="B29" s="147"/>
      <c r="C29" s="467" t="s">
        <v>563</v>
      </c>
      <c r="D29" s="467" t="s">
        <v>72</v>
      </c>
      <c r="E29" s="216" t="s">
        <v>232</v>
      </c>
      <c r="F29" s="138">
        <v>13.2</v>
      </c>
      <c r="G29" s="139" t="s">
        <v>121</v>
      </c>
      <c r="H29" s="1232"/>
      <c r="I29" s="110"/>
      <c r="J29" s="109"/>
      <c r="K29" s="138"/>
      <c r="L29" s="282"/>
      <c r="M29" s="363"/>
      <c r="N29" s="363"/>
      <c r="O29" s="145">
        <v>0.0</v>
      </c>
      <c r="P29" s="145">
        <v>1.0</v>
      </c>
      <c r="Q29" s="145">
        <v>1.0</v>
      </c>
      <c r="R29" s="100"/>
      <c r="S29" s="100"/>
      <c r="T29" s="100"/>
      <c r="U29" s="145" t="s">
        <v>96</v>
      </c>
      <c r="V29" s="100"/>
    </row>
    <row r="30" outlineLevel="1">
      <c r="A30" s="133" t="s">
        <v>97</v>
      </c>
      <c r="B30" s="147" t="s">
        <v>152</v>
      </c>
      <c r="C30" s="467" t="s">
        <v>549</v>
      </c>
      <c r="D30" s="455" t="s">
        <v>72</v>
      </c>
      <c r="E30" s="467" t="s">
        <v>1853</v>
      </c>
      <c r="F30" s="138">
        <v>9.12</v>
      </c>
      <c r="G30" s="139" t="s">
        <v>123</v>
      </c>
      <c r="H30" s="220"/>
      <c r="I30" s="164"/>
      <c r="J30" s="104"/>
      <c r="K30" s="282"/>
      <c r="L30" s="282"/>
      <c r="M30" s="363"/>
      <c r="N30" s="363"/>
      <c r="O30" s="145">
        <v>0.0</v>
      </c>
      <c r="P30" s="145">
        <v>1.0</v>
      </c>
      <c r="Q30" s="145">
        <v>1.0</v>
      </c>
      <c r="R30" s="100"/>
      <c r="S30" s="100"/>
      <c r="T30" s="100"/>
      <c r="U30" s="166" t="s">
        <v>69</v>
      </c>
      <c r="V30" s="100"/>
    </row>
    <row r="31" outlineLevel="1">
      <c r="A31" s="156"/>
      <c r="B31" s="147"/>
      <c r="C31" s="467" t="s">
        <v>272</v>
      </c>
      <c r="D31" s="107"/>
      <c r="E31" s="467" t="s">
        <v>1854</v>
      </c>
      <c r="F31" s="138">
        <v>9.69</v>
      </c>
      <c r="G31" s="139" t="s">
        <v>123</v>
      </c>
      <c r="H31" s="106"/>
      <c r="I31" s="168"/>
      <c r="J31" s="107"/>
      <c r="K31" s="145"/>
      <c r="L31" s="363"/>
      <c r="M31" s="363"/>
      <c r="N31" s="363"/>
      <c r="O31" s="145">
        <v>0.0</v>
      </c>
      <c r="P31" s="145">
        <v>1.0</v>
      </c>
      <c r="Q31" s="145">
        <v>1.0</v>
      </c>
      <c r="R31" s="100"/>
      <c r="S31" s="100"/>
      <c r="T31" s="100"/>
      <c r="U31" s="156"/>
      <c r="V31" s="100"/>
    </row>
    <row r="32" outlineLevel="1">
      <c r="A32" s="170" t="s">
        <v>103</v>
      </c>
      <c r="B32" s="160"/>
      <c r="C32" s="467" t="s">
        <v>319</v>
      </c>
      <c r="D32" s="467" t="s">
        <v>173</v>
      </c>
      <c r="E32" s="467" t="s">
        <v>1855</v>
      </c>
      <c r="F32" s="138">
        <v>10.2</v>
      </c>
      <c r="G32" s="139" t="s">
        <v>123</v>
      </c>
      <c r="H32" s="1232"/>
      <c r="I32" s="110"/>
      <c r="J32" s="109"/>
      <c r="K32" s="145"/>
      <c r="L32" s="363"/>
      <c r="M32" s="363"/>
      <c r="N32" s="363"/>
      <c r="O32" s="145">
        <v>0.0</v>
      </c>
      <c r="P32" s="145">
        <v>1.0</v>
      </c>
      <c r="Q32" s="145">
        <v>1.0</v>
      </c>
      <c r="R32" s="100"/>
      <c r="S32" s="100"/>
      <c r="T32" s="100"/>
      <c r="U32" s="145" t="s">
        <v>69</v>
      </c>
      <c r="V32" s="100"/>
    </row>
    <row r="33" outlineLevel="1">
      <c r="A33" s="170" t="s">
        <v>109</v>
      </c>
      <c r="B33" s="147"/>
      <c r="C33" s="467" t="s">
        <v>309</v>
      </c>
      <c r="D33" s="467" t="s">
        <v>455</v>
      </c>
      <c r="E33" s="467" t="s">
        <v>386</v>
      </c>
      <c r="F33" s="138">
        <v>18.0</v>
      </c>
      <c r="G33" s="139" t="s">
        <v>121</v>
      </c>
      <c r="H33" s="1233" t="s">
        <v>130</v>
      </c>
      <c r="I33" s="110"/>
      <c r="J33" s="109"/>
      <c r="K33" s="282"/>
      <c r="L33" s="282"/>
      <c r="M33" s="363"/>
      <c r="N33" s="363"/>
      <c r="O33" s="145">
        <v>0.0</v>
      </c>
      <c r="P33" s="145">
        <v>1.0</v>
      </c>
      <c r="Q33" s="145">
        <v>1.0</v>
      </c>
      <c r="R33" s="100"/>
      <c r="S33" s="100"/>
      <c r="T33" s="100"/>
      <c r="U33" s="145" t="s">
        <v>147</v>
      </c>
      <c r="V33" s="100"/>
    </row>
    <row r="34" outlineLevel="1">
      <c r="A34" s="133" t="s">
        <v>116</v>
      </c>
      <c r="B34" s="147" t="s">
        <v>125</v>
      </c>
      <c r="C34" s="467" t="s">
        <v>1732</v>
      </c>
      <c r="D34" s="455" t="s">
        <v>810</v>
      </c>
      <c r="E34" s="467" t="s">
        <v>204</v>
      </c>
      <c r="F34" s="138">
        <v>3.5999999999999996</v>
      </c>
      <c r="G34" s="139" t="s">
        <v>60</v>
      </c>
      <c r="H34" s="240" t="s">
        <v>1856</v>
      </c>
      <c r="I34" s="164"/>
      <c r="J34" s="104"/>
      <c r="K34" s="363"/>
      <c r="L34" s="363"/>
      <c r="M34" s="363"/>
      <c r="N34" s="363"/>
      <c r="O34" s="145">
        <v>0.0</v>
      </c>
      <c r="P34" s="145">
        <v>1.0</v>
      </c>
      <c r="Q34" s="145">
        <v>1.0</v>
      </c>
      <c r="R34" s="100"/>
      <c r="S34" s="100"/>
      <c r="T34" s="100"/>
      <c r="U34" s="166" t="s">
        <v>62</v>
      </c>
      <c r="V34" s="100"/>
    </row>
    <row r="35" outlineLevel="1">
      <c r="A35" s="156"/>
      <c r="B35" s="147" t="s">
        <v>131</v>
      </c>
      <c r="C35" s="216" t="s">
        <v>1734</v>
      </c>
      <c r="D35" s="107"/>
      <c r="E35" s="467" t="s">
        <v>1857</v>
      </c>
      <c r="F35" s="138">
        <v>17.099999999999998</v>
      </c>
      <c r="G35" s="139" t="s">
        <v>121</v>
      </c>
      <c r="H35" s="106"/>
      <c r="I35" s="168"/>
      <c r="J35" s="107"/>
      <c r="K35" s="363"/>
      <c r="L35" s="363"/>
      <c r="M35" s="363"/>
      <c r="N35" s="363"/>
      <c r="O35" s="145">
        <v>0.0</v>
      </c>
      <c r="P35" s="145">
        <v>1.0</v>
      </c>
      <c r="Q35" s="145">
        <v>1.0</v>
      </c>
      <c r="R35" s="100"/>
      <c r="S35" s="100"/>
      <c r="T35" s="100"/>
      <c r="U35" s="156"/>
      <c r="V35" s="100"/>
    </row>
    <row r="36" outlineLevel="1">
      <c r="A36" s="133" t="s">
        <v>124</v>
      </c>
      <c r="B36" s="147" t="s">
        <v>125</v>
      </c>
      <c r="C36" s="216" t="s">
        <v>217</v>
      </c>
      <c r="D36" s="195" t="s">
        <v>300</v>
      </c>
      <c r="E36" s="467" t="s">
        <v>1858</v>
      </c>
      <c r="F36" s="138">
        <v>11.4</v>
      </c>
      <c r="G36" s="139" t="s">
        <v>95</v>
      </c>
      <c r="H36" s="240" t="s">
        <v>553</v>
      </c>
      <c r="I36" s="164"/>
      <c r="J36" s="104"/>
      <c r="K36" s="282"/>
      <c r="L36" s="282"/>
      <c r="M36" s="363"/>
      <c r="N36" s="363"/>
      <c r="O36" s="145">
        <v>0.0</v>
      </c>
      <c r="P36" s="145">
        <v>1.0</v>
      </c>
      <c r="Q36" s="145">
        <v>1.0</v>
      </c>
      <c r="R36" s="100"/>
      <c r="S36" s="100"/>
      <c r="T36" s="100"/>
      <c r="U36" s="166" t="s">
        <v>62</v>
      </c>
      <c r="V36" s="100"/>
    </row>
    <row r="37" outlineLevel="1">
      <c r="A37" s="156"/>
      <c r="B37" s="147" t="s">
        <v>131</v>
      </c>
      <c r="C37" s="216" t="s">
        <v>314</v>
      </c>
      <c r="D37" s="107"/>
      <c r="E37" s="467" t="s">
        <v>119</v>
      </c>
      <c r="F37" s="138">
        <v>16.8</v>
      </c>
      <c r="G37" s="139" t="s">
        <v>121</v>
      </c>
      <c r="H37" s="106"/>
      <c r="I37" s="168"/>
      <c r="J37" s="107"/>
      <c r="K37" s="282"/>
      <c r="L37" s="282"/>
      <c r="M37" s="363"/>
      <c r="N37" s="363"/>
      <c r="O37" s="145">
        <v>0.0</v>
      </c>
      <c r="P37" s="145">
        <v>1.0</v>
      </c>
      <c r="Q37" s="145">
        <v>1.0</v>
      </c>
      <c r="R37" s="100"/>
      <c r="S37" s="100"/>
      <c r="T37" s="100"/>
      <c r="U37" s="156"/>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tr">
        <f>'テンプレート'!I56</f>
        <v>着地隙</v>
      </c>
      <c r="J40" s="184" t="s">
        <v>136</v>
      </c>
      <c r="K40" s="184" t="str">
        <f>'テンプレート'!K56</f>
        <v>ベクトル</v>
      </c>
      <c r="L40" s="184" t="str">
        <f>'テンプレート'!L56</f>
        <v>KBG (R.E.)</v>
      </c>
      <c r="M40" s="184" t="str">
        <f>'テンプレート'!M56</f>
        <v>BKB (R.A.)</v>
      </c>
      <c r="N40" s="184" t="str">
        <f>'テンプレート'!N56</f>
        <v>FKB (R.F.)</v>
      </c>
      <c r="O40" s="186" t="str">
        <f>'テンプレート'!O56</f>
        <v>盾削り値</v>
      </c>
      <c r="P40" s="184" t="str">
        <f>'テンプレート'!P56</f>
        <v>ﾋｯﾄｽﾄｯﾌﾟ</v>
      </c>
      <c r="Q40" s="186" t="str">
        <f>'テンプレート'!Q56</f>
        <v>ずらし</v>
      </c>
      <c r="R40" s="187" t="str">
        <f>'テンプレート'!R56</f>
        <v>備考</v>
      </c>
      <c r="S40" s="110"/>
      <c r="T40" s="110"/>
      <c r="U40" s="110"/>
      <c r="V40" s="110"/>
    </row>
    <row r="41" outlineLevel="1">
      <c r="A41" s="188" t="s">
        <v>144</v>
      </c>
      <c r="B41" s="373" t="s">
        <v>125</v>
      </c>
      <c r="C41" s="239" t="s">
        <v>217</v>
      </c>
      <c r="D41" s="452" t="s">
        <v>185</v>
      </c>
      <c r="E41" s="401" t="s">
        <v>1859</v>
      </c>
      <c r="F41" s="138">
        <v>5.13</v>
      </c>
      <c r="G41" s="138">
        <v>4.3605</v>
      </c>
      <c r="H41" s="138" t="s">
        <v>60</v>
      </c>
      <c r="I41" s="454" t="str">
        <f t="array" ref="I41">INDEX('空中攻撃'!$O$3:$AA$109, MATCH($A$1,'空中攻撃'!$A$3:$A$109,0), MATCH(A41,'空中攻撃'!$O$2:$S$2,0))</f>
        <v>7</v>
      </c>
      <c r="J41" s="455" t="s">
        <v>1748</v>
      </c>
      <c r="K41" s="376"/>
      <c r="L41" s="377"/>
      <c r="M41" s="825"/>
      <c r="N41" s="825"/>
      <c r="O41" s="199">
        <v>0.0</v>
      </c>
      <c r="P41" s="199">
        <v>1.0</v>
      </c>
      <c r="Q41" s="199">
        <v>1.0</v>
      </c>
      <c r="R41" s="200"/>
      <c r="S41" s="164"/>
      <c r="T41" s="164"/>
      <c r="U41" s="164"/>
      <c r="V41" s="104"/>
    </row>
    <row r="42" outlineLevel="1">
      <c r="A42" s="156"/>
      <c r="B42" s="373" t="s">
        <v>131</v>
      </c>
      <c r="C42" s="239" t="s">
        <v>1749</v>
      </c>
      <c r="D42" s="107"/>
      <c r="E42" s="239" t="s">
        <v>1860</v>
      </c>
      <c r="F42" s="138">
        <v>10.26</v>
      </c>
      <c r="G42" s="138">
        <v>8.721</v>
      </c>
      <c r="H42" s="138" t="s">
        <v>147</v>
      </c>
      <c r="I42" s="156"/>
      <c r="J42" s="107"/>
      <c r="K42" s="376"/>
      <c r="L42" s="377"/>
      <c r="M42" s="825"/>
      <c r="N42" s="825"/>
      <c r="O42" s="199">
        <v>0.0</v>
      </c>
      <c r="P42" s="199">
        <v>1.0</v>
      </c>
      <c r="Q42" s="199">
        <v>1.0</v>
      </c>
      <c r="R42" s="106"/>
      <c r="S42" s="168"/>
      <c r="T42" s="168"/>
      <c r="U42" s="168"/>
      <c r="V42" s="107"/>
    </row>
    <row r="43" outlineLevel="1">
      <c r="A43" s="213" t="s">
        <v>151</v>
      </c>
      <c r="B43" s="373"/>
      <c r="C43" s="239" t="s">
        <v>549</v>
      </c>
      <c r="D43" s="774">
        <v>37.0</v>
      </c>
      <c r="E43" s="239" t="s">
        <v>159</v>
      </c>
      <c r="F43" s="138">
        <v>12.6</v>
      </c>
      <c r="G43" s="138">
        <v>10.71</v>
      </c>
      <c r="H43" s="138" t="s">
        <v>147</v>
      </c>
      <c r="I43" s="621" t="str">
        <f t="array" ref="I43">INDEX('空中攻撃'!$O$3:$AA$109, MATCH($A$1,'空中攻撃'!$A$3:$A$109,0), MATCH(A43,'空中攻撃'!$O$2:$S$2,0))</f>
        <v>10</v>
      </c>
      <c r="J43" s="467" t="s">
        <v>1757</v>
      </c>
      <c r="K43" s="376"/>
      <c r="L43" s="377"/>
      <c r="M43" s="825"/>
      <c r="N43" s="825"/>
      <c r="O43" s="199">
        <v>0.0</v>
      </c>
      <c r="P43" s="199">
        <v>1.0</v>
      </c>
      <c r="Q43" s="199">
        <v>1.0</v>
      </c>
      <c r="R43" s="218"/>
      <c r="S43" s="110"/>
      <c r="T43" s="110"/>
      <c r="U43" s="110"/>
      <c r="V43" s="109"/>
    </row>
    <row r="44" outlineLevel="1">
      <c r="A44" s="213" t="s">
        <v>157</v>
      </c>
      <c r="B44" s="373"/>
      <c r="C44" s="239" t="s">
        <v>733</v>
      </c>
      <c r="D44" s="774">
        <v>39.0</v>
      </c>
      <c r="E44" s="239" t="s">
        <v>1861</v>
      </c>
      <c r="F44" s="138">
        <v>14.25</v>
      </c>
      <c r="G44" s="138">
        <v>12.1125</v>
      </c>
      <c r="H44" s="138" t="s">
        <v>75</v>
      </c>
      <c r="I44" s="621">
        <f t="array" ref="I44">INDEX('空中攻撃'!$O$3:$AA$109, MATCH($A$1,'空中攻撃'!$A$3:$A$109,0), MATCH(A44,'空中攻撃'!$O$2:$S$2,0))</f>
        <v>10</v>
      </c>
      <c r="J44" s="467" t="s">
        <v>740</v>
      </c>
      <c r="K44" s="376"/>
      <c r="L44" s="377"/>
      <c r="M44" s="825"/>
      <c r="N44" s="825"/>
      <c r="O44" s="199">
        <v>0.0</v>
      </c>
      <c r="P44" s="199">
        <v>1.0</v>
      </c>
      <c r="Q44" s="199">
        <v>1.0</v>
      </c>
      <c r="R44" s="218"/>
      <c r="S44" s="110"/>
      <c r="T44" s="110"/>
      <c r="U44" s="110"/>
      <c r="V44" s="109"/>
    </row>
    <row r="45" outlineLevel="1">
      <c r="A45" s="213" t="s">
        <v>162</v>
      </c>
      <c r="B45" s="373"/>
      <c r="C45" s="239" t="s">
        <v>1615</v>
      </c>
      <c r="D45" s="774" t="s">
        <v>146</v>
      </c>
      <c r="E45" s="239" t="s">
        <v>1862</v>
      </c>
      <c r="F45" s="138">
        <v>13.68</v>
      </c>
      <c r="G45" s="138">
        <v>11.628</v>
      </c>
      <c r="H45" s="138" t="s">
        <v>75</v>
      </c>
      <c r="I45" s="621" t="str">
        <f t="array" ref="I45">INDEX('空中攻撃'!$O$3:$AA$109, MATCH($A$1,'空中攻撃'!$A$3:$A$109,0), MATCH(A45,'空中攻撃'!$O$2:$S$2,0))</f>
        <v>8</v>
      </c>
      <c r="J45" s="467" t="s">
        <v>643</v>
      </c>
      <c r="K45" s="377"/>
      <c r="L45" s="377"/>
      <c r="M45" s="825"/>
      <c r="N45" s="825"/>
      <c r="O45" s="199">
        <v>0.0</v>
      </c>
      <c r="P45" s="199">
        <v>1.0</v>
      </c>
      <c r="Q45" s="199">
        <v>1.0</v>
      </c>
      <c r="R45" s="218"/>
      <c r="S45" s="110"/>
      <c r="T45" s="110"/>
      <c r="U45" s="110"/>
      <c r="V45" s="109"/>
    </row>
    <row r="46" outlineLevel="1">
      <c r="A46" s="188" t="s">
        <v>166</v>
      </c>
      <c r="B46" s="373"/>
      <c r="C46" s="239" t="s">
        <v>505</v>
      </c>
      <c r="D46" s="452">
        <v>59.0</v>
      </c>
      <c r="E46" s="239" t="s">
        <v>1863</v>
      </c>
      <c r="F46" s="138">
        <v>14.819999999999999</v>
      </c>
      <c r="G46" s="138">
        <v>12.597</v>
      </c>
      <c r="H46" s="138" t="s">
        <v>75</v>
      </c>
      <c r="I46" s="454">
        <f t="array" ref="I46">INDEX('空中攻撃'!$O$3:$AA$109, MATCH($A$1,'空中攻撃'!$A$3:$A$109,0), MATCH(A46,'空中攻撃'!$O$2:$S$2,0))</f>
        <v>14</v>
      </c>
      <c r="J46" s="455" t="s">
        <v>1767</v>
      </c>
      <c r="K46" s="377"/>
      <c r="L46" s="377"/>
      <c r="M46" s="825"/>
      <c r="N46" s="825"/>
      <c r="O46" s="199">
        <v>0.0</v>
      </c>
      <c r="P46" s="199">
        <v>1.0</v>
      </c>
      <c r="Q46" s="199">
        <v>1.0</v>
      </c>
      <c r="R46" s="220"/>
      <c r="S46" s="164"/>
      <c r="T46" s="164"/>
      <c r="U46" s="164"/>
      <c r="V46" s="104"/>
    </row>
    <row r="47" outlineLevel="1">
      <c r="A47" s="156"/>
      <c r="B47" s="373" t="s">
        <v>155</v>
      </c>
      <c r="C47" s="239" t="s">
        <v>232</v>
      </c>
      <c r="D47" s="107"/>
      <c r="E47" s="239" t="s">
        <v>1857</v>
      </c>
      <c r="F47" s="138">
        <v>17.099999999999998</v>
      </c>
      <c r="G47" s="138">
        <v>14.535</v>
      </c>
      <c r="H47" s="138" t="s">
        <v>75</v>
      </c>
      <c r="I47" s="156"/>
      <c r="J47" s="107"/>
      <c r="K47" s="377"/>
      <c r="L47" s="377"/>
      <c r="M47" s="825"/>
      <c r="N47" s="825"/>
      <c r="O47" s="199">
        <v>0.0</v>
      </c>
      <c r="P47" s="199">
        <v>1.0</v>
      </c>
      <c r="Q47" s="199">
        <v>1.0</v>
      </c>
      <c r="R47" s="106"/>
      <c r="S47" s="168"/>
      <c r="T47" s="168"/>
      <c r="U47" s="168"/>
      <c r="V47" s="107"/>
    </row>
    <row r="48">
      <c r="A48" s="223"/>
      <c r="B48" s="224"/>
      <c r="C48" s="225"/>
      <c r="D48" s="225"/>
      <c r="E48" s="226"/>
      <c r="F48" s="226"/>
      <c r="G48" s="226"/>
      <c r="H48" s="227"/>
      <c r="I48" s="227"/>
      <c r="J48" s="228"/>
      <c r="K48" s="228"/>
      <c r="L48" s="228"/>
      <c r="M48" s="228"/>
      <c r="N48" s="228"/>
      <c r="O48" s="228"/>
      <c r="P48" s="228"/>
      <c r="Q48" s="118"/>
      <c r="R48" s="118"/>
      <c r="S48" s="118"/>
      <c r="T48" s="118"/>
      <c r="U48" s="118"/>
      <c r="V48" s="118"/>
    </row>
    <row r="49">
      <c r="A49" s="229" t="s">
        <v>177</v>
      </c>
      <c r="B49" s="109"/>
      <c r="C49" s="225"/>
      <c r="D49" s="225"/>
      <c r="E49" s="226"/>
      <c r="F49" s="226"/>
      <c r="G49" s="226"/>
      <c r="H49" s="227"/>
      <c r="I49" s="227"/>
      <c r="J49" s="228"/>
      <c r="K49" s="228"/>
      <c r="L49" s="228"/>
      <c r="M49" s="228"/>
      <c r="N49" s="228"/>
      <c r="O49" s="228"/>
      <c r="P49" s="228"/>
      <c r="Q49" s="118"/>
      <c r="R49" s="118"/>
      <c r="S49" s="118"/>
      <c r="T49" s="118"/>
      <c r="U49" s="118"/>
      <c r="V49" s="118"/>
    </row>
    <row r="50" outlineLevel="1">
      <c r="A50" s="230" t="s">
        <v>1768</v>
      </c>
      <c r="B50" s="109"/>
      <c r="C50" s="231" t="s">
        <v>48</v>
      </c>
      <c r="D50" s="231" t="s">
        <v>49</v>
      </c>
      <c r="E50" s="232" t="s">
        <v>50</v>
      </c>
      <c r="F50" s="233" t="s">
        <v>51</v>
      </c>
      <c r="G50" s="232" t="str">
        <f>'テンプレート'!G72</f>
        <v>ガード硬直</v>
      </c>
      <c r="H50" s="234" t="str">
        <f>'テンプレート'!H72</f>
        <v>備考</v>
      </c>
      <c r="I50" s="110"/>
      <c r="J50" s="109"/>
      <c r="K50" s="235" t="str">
        <f>'テンプレート'!K72</f>
        <v>ベクトル</v>
      </c>
      <c r="L50" s="235" t="str">
        <f>'テンプレート'!L72</f>
        <v>KBG (R.E.)</v>
      </c>
      <c r="M50" s="235" t="str">
        <f>'テンプレート'!M72</f>
        <v>BKB (R.A.)</v>
      </c>
      <c r="N50" s="235" t="str">
        <f>'テンプレート'!N72</f>
        <v>FKB (R.F.)</v>
      </c>
      <c r="O50" s="236" t="str">
        <f>'テンプレート'!O72</f>
        <v>盾削り値</v>
      </c>
      <c r="P50" s="235" t="str">
        <f>'テンプレート'!P72</f>
        <v>ﾋｯﾄｽﾄｯﾌﾟ</v>
      </c>
      <c r="Q50" s="236" t="str">
        <f>'テンプレート'!Q72</f>
        <v>ずらし</v>
      </c>
      <c r="R50" s="235" t="str">
        <f>'テンプレート'!R72</f>
        <v>相殺</v>
      </c>
      <c r="S50" s="236" t="str">
        <f>'テンプレート'!S72</f>
        <v>相殺ﾓｰｼｮﾝ</v>
      </c>
      <c r="T50" s="236" t="str">
        <f>'テンプレート'!T72</f>
        <v>飛び道具</v>
      </c>
      <c r="U50" s="236" t="str">
        <f>'テンプレート'!U72</f>
        <v>慣性反転</v>
      </c>
      <c r="V50" s="236" t="str">
        <f>'テンプレート'!V72</f>
        <v>向き反転</v>
      </c>
    </row>
    <row r="51" ht="28.5" customHeight="1" outlineLevel="1">
      <c r="A51" s="237" t="s">
        <v>184</v>
      </c>
      <c r="B51" s="243" t="s">
        <v>1769</v>
      </c>
      <c r="C51" s="239" t="s">
        <v>296</v>
      </c>
      <c r="D51" s="367" t="s">
        <v>413</v>
      </c>
      <c r="E51" s="239">
        <v>9.774999999999999</v>
      </c>
      <c r="F51" s="138">
        <v>11.729999999999999</v>
      </c>
      <c r="G51" s="139" t="s">
        <v>123</v>
      </c>
      <c r="H51" s="240" t="s">
        <v>1864</v>
      </c>
      <c r="I51" s="164"/>
      <c r="J51" s="104"/>
      <c r="K51" s="282"/>
      <c r="L51" s="282"/>
      <c r="M51" s="363"/>
      <c r="N51" s="363"/>
      <c r="O51" s="138">
        <v>25.0</v>
      </c>
      <c r="P51" s="138">
        <v>1.0</v>
      </c>
      <c r="Q51" s="138">
        <v>1.0</v>
      </c>
      <c r="R51" s="145" t="b">
        <v>0</v>
      </c>
      <c r="S51" s="145"/>
      <c r="T51" s="145"/>
      <c r="U51" s="166" t="s">
        <v>186</v>
      </c>
      <c r="V51" s="166" t="b">
        <v>1</v>
      </c>
    </row>
    <row r="52" outlineLevel="1">
      <c r="A52" s="146"/>
      <c r="B52" s="243" t="s">
        <v>90</v>
      </c>
      <c r="C52" s="239" t="s">
        <v>334</v>
      </c>
      <c r="D52" s="156"/>
      <c r="E52" s="239" t="s">
        <v>1855</v>
      </c>
      <c r="F52" s="138">
        <v>10.2</v>
      </c>
      <c r="G52" s="139" t="s">
        <v>123</v>
      </c>
      <c r="H52" s="212"/>
      <c r="J52" s="210"/>
      <c r="K52" s="282"/>
      <c r="L52" s="282"/>
      <c r="M52" s="363"/>
      <c r="N52" s="363"/>
      <c r="O52" s="138"/>
      <c r="P52" s="138"/>
      <c r="Q52" s="138"/>
      <c r="R52" s="145" t="b">
        <v>0</v>
      </c>
      <c r="S52" s="145" t="b">
        <v>0</v>
      </c>
      <c r="T52" s="145" t="b">
        <v>0</v>
      </c>
      <c r="U52" s="146"/>
      <c r="V52" s="146"/>
    </row>
    <row r="53" ht="28.5" customHeight="1" outlineLevel="1">
      <c r="A53" s="146"/>
      <c r="B53" s="663" t="s">
        <v>1776</v>
      </c>
      <c r="C53" s="239" t="s">
        <v>993</v>
      </c>
      <c r="D53" s="367" t="s">
        <v>1777</v>
      </c>
      <c r="E53" s="239">
        <v>26.45</v>
      </c>
      <c r="F53" s="138">
        <v>31.74</v>
      </c>
      <c r="G53" s="139" t="s">
        <v>1865</v>
      </c>
      <c r="H53" s="212"/>
      <c r="J53" s="210"/>
      <c r="K53" s="282"/>
      <c r="L53" s="282"/>
      <c r="M53" s="363"/>
      <c r="N53" s="363"/>
      <c r="O53" s="138"/>
      <c r="P53" s="138"/>
      <c r="Q53" s="138"/>
      <c r="R53" s="145" t="b">
        <v>0</v>
      </c>
      <c r="S53" s="145" t="b">
        <v>0</v>
      </c>
      <c r="T53" s="145" t="b">
        <v>0</v>
      </c>
      <c r="U53" s="146"/>
      <c r="V53" s="146"/>
    </row>
    <row r="54" ht="28.5" customHeight="1" outlineLevel="1">
      <c r="A54" s="146"/>
      <c r="B54" s="663" t="s">
        <v>1781</v>
      </c>
      <c r="C54" s="239" t="s">
        <v>1782</v>
      </c>
      <c r="D54" s="156"/>
      <c r="E54" s="239" t="s">
        <v>173</v>
      </c>
      <c r="F54" s="138">
        <v>27.599999999999998</v>
      </c>
      <c r="G54" s="139" t="s">
        <v>1865</v>
      </c>
      <c r="H54" s="106"/>
      <c r="I54" s="168"/>
      <c r="J54" s="107"/>
      <c r="K54" s="282"/>
      <c r="L54" s="282"/>
      <c r="M54" s="363"/>
      <c r="N54" s="363"/>
      <c r="O54" s="138">
        <v>50.0</v>
      </c>
      <c r="P54" s="138">
        <v>1.0</v>
      </c>
      <c r="Q54" s="138">
        <v>1.0</v>
      </c>
      <c r="R54" s="145" t="b">
        <v>0</v>
      </c>
      <c r="S54" s="145" t="b">
        <v>0</v>
      </c>
      <c r="T54" s="145"/>
      <c r="U54" s="156"/>
      <c r="V54" s="156"/>
    </row>
    <row r="55" outlineLevel="1">
      <c r="A55" s="230" t="s">
        <v>1785</v>
      </c>
      <c r="B55" s="109"/>
      <c r="C55" s="231" t="s">
        <v>48</v>
      </c>
      <c r="D55" s="231" t="s">
        <v>49</v>
      </c>
      <c r="E55" s="232" t="s">
        <v>50</v>
      </c>
      <c r="F55" s="233" t="s">
        <v>51</v>
      </c>
      <c r="G55" s="232" t="str">
        <f>'テンプレート'!G75</f>
        <v>ガード硬直</v>
      </c>
      <c r="H55" s="234" t="str">
        <f>'テンプレート'!H75</f>
        <v>備考</v>
      </c>
      <c r="I55" s="110"/>
      <c r="J55" s="109"/>
      <c r="K55" s="235" t="str">
        <f>'テンプレート'!K75</f>
        <v>ベクトル</v>
      </c>
      <c r="L55" s="235" t="str">
        <f>'テンプレート'!L75</f>
        <v>KBG (R.E.)</v>
      </c>
      <c r="M55" s="235" t="str">
        <f>'テンプレート'!M75</f>
        <v>BKB (R.A.)</v>
      </c>
      <c r="N55" s="235" t="str">
        <f>'テンプレート'!N75</f>
        <v>FKB (R.F.)</v>
      </c>
      <c r="O55" s="236" t="str">
        <f>'テンプレート'!O75</f>
        <v>盾削り値</v>
      </c>
      <c r="P55" s="235" t="str">
        <f>'テンプレート'!P75</f>
        <v>ﾋｯﾄｽﾄｯﾌﾟ</v>
      </c>
      <c r="Q55" s="236" t="str">
        <f>'テンプレート'!Q75</f>
        <v>ずらし</v>
      </c>
      <c r="R55" s="235" t="str">
        <f>'テンプレート'!R75</f>
        <v>相殺</v>
      </c>
      <c r="S55" s="236" t="str">
        <f>'テンプレート'!S75</f>
        <v>相殺ﾓｰｼｮﾝ</v>
      </c>
      <c r="T55" s="236" t="str">
        <f>'テンプレート'!T75</f>
        <v>飛び道具</v>
      </c>
      <c r="U55" s="236" t="str">
        <f>'テンプレート'!U75</f>
        <v>慣性反転</v>
      </c>
      <c r="V55" s="236" t="str">
        <f>'テンプレート'!V75</f>
        <v>向き反転</v>
      </c>
    </row>
    <row r="56" outlineLevel="1">
      <c r="A56" s="237" t="s">
        <v>1786</v>
      </c>
      <c r="B56" s="243" t="s">
        <v>1787</v>
      </c>
      <c r="C56" s="239" t="s">
        <v>835</v>
      </c>
      <c r="D56" s="239" t="s">
        <v>1788</v>
      </c>
      <c r="E56" s="239" t="s">
        <v>1866</v>
      </c>
      <c r="F56" s="138">
        <v>3.42</v>
      </c>
      <c r="G56" s="239" t="s">
        <v>147</v>
      </c>
      <c r="H56" s="283" t="s">
        <v>1791</v>
      </c>
      <c r="I56" s="164"/>
      <c r="J56" s="164"/>
      <c r="K56" s="282"/>
      <c r="L56" s="282"/>
      <c r="M56" s="363"/>
      <c r="N56" s="363"/>
      <c r="O56" s="138">
        <v>0.0</v>
      </c>
      <c r="P56" s="138">
        <v>1.0</v>
      </c>
      <c r="Q56" s="138">
        <v>1.0</v>
      </c>
      <c r="R56" s="145" t="b">
        <v>0</v>
      </c>
      <c r="S56" s="145" t="b">
        <v>0</v>
      </c>
      <c r="T56" s="145"/>
      <c r="U56" s="166" t="s">
        <v>186</v>
      </c>
      <c r="V56" s="166" t="b">
        <v>1</v>
      </c>
    </row>
    <row r="57" outlineLevel="1">
      <c r="A57" s="146"/>
      <c r="B57" s="243" t="s">
        <v>1792</v>
      </c>
      <c r="C57" s="239" t="s">
        <v>163</v>
      </c>
      <c r="D57" s="239" t="s">
        <v>1793</v>
      </c>
      <c r="E57" s="239" t="s">
        <v>1866</v>
      </c>
      <c r="F57" s="138">
        <v>3.42</v>
      </c>
      <c r="G57" s="239" t="s">
        <v>147</v>
      </c>
      <c r="H57" s="283" t="s">
        <v>1867</v>
      </c>
      <c r="I57" s="164"/>
      <c r="J57" s="164"/>
      <c r="K57" s="138"/>
      <c r="L57" s="138"/>
      <c r="M57" s="145"/>
      <c r="N57" s="145"/>
      <c r="O57" s="138">
        <v>0.0</v>
      </c>
      <c r="P57" s="138">
        <v>1.0</v>
      </c>
      <c r="Q57" s="138">
        <v>1.0</v>
      </c>
      <c r="R57" s="145" t="b">
        <v>0</v>
      </c>
      <c r="S57" s="145" t="b">
        <v>0</v>
      </c>
      <c r="T57" s="145"/>
      <c r="U57" s="146"/>
      <c r="V57" s="146"/>
    </row>
    <row r="58" outlineLevel="1">
      <c r="A58" s="146"/>
      <c r="B58" s="243" t="s">
        <v>1795</v>
      </c>
      <c r="C58" s="239" t="s">
        <v>91</v>
      </c>
      <c r="D58" s="239" t="s">
        <v>1793</v>
      </c>
      <c r="E58" s="239" t="s">
        <v>1866</v>
      </c>
      <c r="F58" s="138">
        <v>3.42</v>
      </c>
      <c r="G58" s="239" t="s">
        <v>147</v>
      </c>
      <c r="H58" s="283" t="s">
        <v>1868</v>
      </c>
      <c r="I58" s="164"/>
      <c r="J58" s="164"/>
      <c r="K58" s="138"/>
      <c r="L58" s="138"/>
      <c r="M58" s="145"/>
      <c r="N58" s="145"/>
      <c r="O58" s="138">
        <v>1.0</v>
      </c>
      <c r="P58" s="138">
        <v>1.0</v>
      </c>
      <c r="Q58" s="138">
        <v>1.0</v>
      </c>
      <c r="R58" s="145"/>
      <c r="S58" s="145"/>
      <c r="T58" s="145"/>
      <c r="U58" s="146"/>
      <c r="V58" s="146"/>
    </row>
    <row r="59" outlineLevel="1">
      <c r="A59" s="146"/>
      <c r="B59" s="243" t="s">
        <v>1797</v>
      </c>
      <c r="C59" s="239" t="s">
        <v>91</v>
      </c>
      <c r="D59" s="216" t="s">
        <v>1798</v>
      </c>
      <c r="E59" s="239" t="s">
        <v>1849</v>
      </c>
      <c r="F59" s="138">
        <v>3.99</v>
      </c>
      <c r="G59" s="239" t="s">
        <v>147</v>
      </c>
      <c r="H59" s="283" t="s">
        <v>1869</v>
      </c>
      <c r="I59" s="164"/>
      <c r="J59" s="164"/>
      <c r="K59" s="138"/>
      <c r="L59" s="138"/>
      <c r="M59" s="145"/>
      <c r="N59" s="145"/>
      <c r="O59" s="138">
        <v>1.0</v>
      </c>
      <c r="P59" s="138">
        <v>1.0</v>
      </c>
      <c r="Q59" s="138">
        <v>1.0</v>
      </c>
      <c r="R59" s="145"/>
      <c r="S59" s="145"/>
      <c r="T59" s="145"/>
      <c r="U59" s="146"/>
      <c r="V59" s="146"/>
    </row>
    <row r="60" outlineLevel="1">
      <c r="A60" s="146"/>
      <c r="B60" s="243" t="s">
        <v>1803</v>
      </c>
      <c r="C60" s="239" t="s">
        <v>270</v>
      </c>
      <c r="D60" s="216" t="s">
        <v>1798</v>
      </c>
      <c r="E60" s="239" t="s">
        <v>1849</v>
      </c>
      <c r="F60" s="138">
        <v>3.99</v>
      </c>
      <c r="G60" s="239" t="s">
        <v>147</v>
      </c>
      <c r="H60" s="283" t="s">
        <v>1870</v>
      </c>
      <c r="I60" s="164"/>
      <c r="J60" s="164"/>
      <c r="K60" s="138"/>
      <c r="L60" s="138"/>
      <c r="M60" s="145"/>
      <c r="N60" s="145"/>
      <c r="O60" s="138">
        <v>1.0</v>
      </c>
      <c r="P60" s="138">
        <v>1.0</v>
      </c>
      <c r="Q60" s="138">
        <v>1.0</v>
      </c>
      <c r="R60" s="145"/>
      <c r="S60" s="145"/>
      <c r="T60" s="145"/>
      <c r="U60" s="146"/>
      <c r="V60" s="146"/>
    </row>
    <row r="61" outlineLevel="1">
      <c r="A61" s="146"/>
      <c r="B61" s="243" t="s">
        <v>1805</v>
      </c>
      <c r="C61" s="239" t="s">
        <v>91</v>
      </c>
      <c r="D61" s="216" t="s">
        <v>1798</v>
      </c>
      <c r="E61" s="239" t="s">
        <v>1849</v>
      </c>
      <c r="F61" s="138">
        <v>3.99</v>
      </c>
      <c r="G61" s="239" t="s">
        <v>147</v>
      </c>
      <c r="H61" s="283" t="s">
        <v>1871</v>
      </c>
      <c r="I61" s="164"/>
      <c r="J61" s="164"/>
      <c r="K61" s="138"/>
      <c r="L61" s="138"/>
      <c r="M61" s="145"/>
      <c r="N61" s="145"/>
      <c r="O61" s="138">
        <v>1.0</v>
      </c>
      <c r="P61" s="138">
        <v>1.0</v>
      </c>
      <c r="Q61" s="138">
        <v>1.0</v>
      </c>
      <c r="R61" s="145"/>
      <c r="S61" s="145"/>
      <c r="T61" s="145"/>
      <c r="U61" s="146"/>
      <c r="V61" s="146"/>
    </row>
    <row r="62" outlineLevel="1">
      <c r="A62" s="146"/>
      <c r="B62" s="243" t="s">
        <v>1810</v>
      </c>
      <c r="C62" s="239" t="s">
        <v>322</v>
      </c>
      <c r="D62" s="216" t="s">
        <v>1811</v>
      </c>
      <c r="E62" s="239" t="s">
        <v>1872</v>
      </c>
      <c r="F62" s="138">
        <v>6.84</v>
      </c>
      <c r="G62" s="239" t="s">
        <v>102</v>
      </c>
      <c r="H62" s="362" t="s">
        <v>411</v>
      </c>
      <c r="I62" s="110"/>
      <c r="J62" s="109"/>
      <c r="K62" s="138"/>
      <c r="L62" s="138"/>
      <c r="M62" s="145"/>
      <c r="N62" s="145"/>
      <c r="O62" s="138">
        <v>1.0</v>
      </c>
      <c r="P62" s="138">
        <v>1.0</v>
      </c>
      <c r="Q62" s="138">
        <v>1.0</v>
      </c>
      <c r="R62" s="145"/>
      <c r="S62" s="145"/>
      <c r="T62" s="145"/>
      <c r="U62" s="146"/>
      <c r="V62" s="146"/>
    </row>
    <row r="63" outlineLevel="1">
      <c r="A63" s="146"/>
      <c r="B63" s="243" t="s">
        <v>1815</v>
      </c>
      <c r="C63" s="239" t="s">
        <v>277</v>
      </c>
      <c r="D63" s="216" t="s">
        <v>1816</v>
      </c>
      <c r="E63" s="239" t="s">
        <v>1850</v>
      </c>
      <c r="F63" s="138">
        <v>5.7</v>
      </c>
      <c r="G63" s="239" t="s">
        <v>75</v>
      </c>
      <c r="H63" s="362" t="s">
        <v>411</v>
      </c>
      <c r="I63" s="110"/>
      <c r="J63" s="109"/>
      <c r="K63" s="138"/>
      <c r="L63" s="138"/>
      <c r="M63" s="145"/>
      <c r="N63" s="145"/>
      <c r="O63" s="138">
        <v>5.0</v>
      </c>
      <c r="P63" s="138">
        <v>1.0</v>
      </c>
      <c r="Q63" s="138">
        <v>1.0</v>
      </c>
      <c r="R63" s="145"/>
      <c r="S63" s="145"/>
      <c r="T63" s="145"/>
      <c r="U63" s="146"/>
      <c r="V63" s="146"/>
    </row>
    <row r="64" outlineLevel="1">
      <c r="A64" s="146"/>
      <c r="B64" s="243" t="s">
        <v>1820</v>
      </c>
      <c r="C64" s="239" t="s">
        <v>1873</v>
      </c>
      <c r="D64" s="195" t="s">
        <v>1822</v>
      </c>
      <c r="E64" s="239" t="s">
        <v>176</v>
      </c>
      <c r="F64" s="138">
        <v>2.4</v>
      </c>
      <c r="G64" s="239" t="s">
        <v>60</v>
      </c>
      <c r="H64" s="395" t="s">
        <v>411</v>
      </c>
      <c r="I64" s="164"/>
      <c r="J64" s="104"/>
      <c r="K64" s="138"/>
      <c r="L64" s="138"/>
      <c r="M64" s="145"/>
      <c r="N64" s="145"/>
      <c r="O64" s="1236" t="s">
        <v>1824</v>
      </c>
      <c r="P64" s="138">
        <v>1.0</v>
      </c>
      <c r="Q64" s="138">
        <v>1.0</v>
      </c>
      <c r="R64" s="145"/>
      <c r="S64" s="145"/>
      <c r="T64" s="145"/>
      <c r="U64" s="146"/>
      <c r="V64" s="146"/>
    </row>
    <row r="65" outlineLevel="1">
      <c r="A65" s="146"/>
      <c r="B65" s="243" t="s">
        <v>1825</v>
      </c>
      <c r="C65" s="239" t="s">
        <v>378</v>
      </c>
      <c r="D65" s="107"/>
      <c r="E65" s="239" t="s">
        <v>1859</v>
      </c>
      <c r="F65" s="138">
        <v>5.13</v>
      </c>
      <c r="G65" s="239" t="s">
        <v>75</v>
      </c>
      <c r="H65" s="106"/>
      <c r="I65" s="168"/>
      <c r="J65" s="107"/>
      <c r="K65" s="138"/>
      <c r="L65" s="138"/>
      <c r="M65" s="145"/>
      <c r="N65" s="145"/>
      <c r="O65" s="1236" t="s">
        <v>1828</v>
      </c>
      <c r="P65" s="138">
        <v>1.0</v>
      </c>
      <c r="Q65" s="138">
        <v>1.0</v>
      </c>
      <c r="R65" s="145" t="b">
        <v>0</v>
      </c>
      <c r="S65" s="145" t="b">
        <v>0</v>
      </c>
      <c r="T65" s="145"/>
      <c r="U65" s="156"/>
      <c r="V65" s="156"/>
    </row>
    <row r="66" outlineLevel="1">
      <c r="A66" s="230" t="s">
        <v>1829</v>
      </c>
      <c r="B66" s="109"/>
      <c r="C66" s="231" t="s">
        <v>48</v>
      </c>
      <c r="D66" s="231" t="s">
        <v>49</v>
      </c>
      <c r="E66" s="232" t="s">
        <v>50</v>
      </c>
      <c r="F66" s="233" t="s">
        <v>51</v>
      </c>
      <c r="G66" s="232" t="str">
        <f>'テンプレート'!G80</f>
        <v>ガード硬直</v>
      </c>
      <c r="H66" s="234" t="str">
        <f>'テンプレート'!H80</f>
        <v>備考</v>
      </c>
      <c r="I66" s="110"/>
      <c r="J66" s="109"/>
      <c r="K66" s="235" t="str">
        <f>'テンプレート'!K80</f>
        <v>ベクトル</v>
      </c>
      <c r="L66" s="235" t="str">
        <f>'テンプレート'!L80</f>
        <v>KBG (R.E.)</v>
      </c>
      <c r="M66" s="235" t="str">
        <f>'テンプレート'!M80</f>
        <v>BKB (R.A.)</v>
      </c>
      <c r="N66" s="235" t="str">
        <f>'テンプレート'!N80</f>
        <v>FKB (R.F.)</v>
      </c>
      <c r="O66" s="236" t="str">
        <f>'テンプレート'!O80</f>
        <v>盾削り値</v>
      </c>
      <c r="P66" s="235" t="str">
        <f>'テンプレート'!P80</f>
        <v>ﾋｯﾄｽﾄｯﾌﾟ</v>
      </c>
      <c r="Q66" s="236" t="str">
        <f>'テンプレート'!Q80</f>
        <v>ずらし</v>
      </c>
      <c r="R66" s="235" t="str">
        <f>'テンプレート'!R80</f>
        <v>相殺</v>
      </c>
      <c r="S66" s="236" t="str">
        <f>'テンプレート'!S80</f>
        <v>相殺ﾓｰｼｮﾝ</v>
      </c>
      <c r="T66" s="236" t="str">
        <f>'テンプレート'!T80</f>
        <v>飛び道具</v>
      </c>
      <c r="U66" s="236" t="str">
        <f>'テンプレート'!U80</f>
        <v>慣性反転</v>
      </c>
      <c r="V66" s="236" t="str">
        <f>'テンプレート'!V80</f>
        <v>向き反転</v>
      </c>
    </row>
    <row r="67" ht="26.25" customHeight="1" outlineLevel="1">
      <c r="A67" s="546" t="s">
        <v>184</v>
      </c>
      <c r="B67" s="870"/>
      <c r="C67" s="239" t="s">
        <v>150</v>
      </c>
      <c r="D67" s="400"/>
      <c r="E67" s="239" t="s">
        <v>232</v>
      </c>
      <c r="F67" s="138">
        <v>13.2</v>
      </c>
      <c r="G67" s="239" t="s">
        <v>121</v>
      </c>
      <c r="H67" s="413" t="s">
        <v>1831</v>
      </c>
      <c r="I67" s="164"/>
      <c r="J67" s="104"/>
      <c r="K67" s="138"/>
      <c r="L67" s="138"/>
      <c r="M67" s="145"/>
      <c r="N67" s="145"/>
      <c r="O67" s="138">
        <v>0.0</v>
      </c>
      <c r="P67" s="138">
        <v>1.0</v>
      </c>
      <c r="Q67" s="138">
        <v>1.0</v>
      </c>
      <c r="R67" s="145" t="b">
        <v>0</v>
      </c>
      <c r="S67" s="145" t="b">
        <v>0</v>
      </c>
      <c r="T67" s="145"/>
      <c r="U67" s="166" t="s">
        <v>186</v>
      </c>
      <c r="V67" s="166" t="b">
        <v>1</v>
      </c>
    </row>
    <row r="68" ht="26.25" customHeight="1" outlineLevel="1">
      <c r="A68" s="146"/>
      <c r="B68" s="402" t="s">
        <v>187</v>
      </c>
      <c r="C68" s="239" t="s">
        <v>86</v>
      </c>
      <c r="D68" s="146"/>
      <c r="E68" s="239" t="s">
        <v>1832</v>
      </c>
      <c r="F68" s="1235" t="s">
        <v>1833</v>
      </c>
      <c r="G68" s="239" t="s">
        <v>1874</v>
      </c>
      <c r="H68" s="212"/>
      <c r="J68" s="210"/>
      <c r="K68" s="138"/>
      <c r="L68" s="138"/>
      <c r="M68" s="145"/>
      <c r="N68" s="145"/>
      <c r="O68" s="138">
        <v>0.0</v>
      </c>
      <c r="P68" s="138">
        <v>1.0</v>
      </c>
      <c r="Q68" s="138">
        <v>1.0</v>
      </c>
      <c r="R68" s="145" t="b">
        <v>0</v>
      </c>
      <c r="S68" s="145" t="b">
        <v>0</v>
      </c>
      <c r="T68" s="145"/>
      <c r="U68" s="146"/>
      <c r="V68" s="146"/>
    </row>
    <row r="69" ht="26.25" customHeight="1" outlineLevel="1">
      <c r="A69" s="156"/>
      <c r="B69" s="402" t="s">
        <v>189</v>
      </c>
      <c r="C69" s="239" t="s">
        <v>733</v>
      </c>
      <c r="D69" s="156"/>
      <c r="E69" s="239" t="s">
        <v>93</v>
      </c>
      <c r="F69" s="138" t="s">
        <v>1835</v>
      </c>
      <c r="G69" s="239" t="s">
        <v>517</v>
      </c>
      <c r="H69" s="106"/>
      <c r="I69" s="168"/>
      <c r="J69" s="107"/>
      <c r="K69" s="138"/>
      <c r="L69" s="138"/>
      <c r="M69" s="145"/>
      <c r="N69" s="145"/>
      <c r="O69" s="138">
        <v>0.0</v>
      </c>
      <c r="P69" s="138">
        <v>1.0</v>
      </c>
      <c r="Q69" s="138">
        <v>1.0</v>
      </c>
      <c r="R69" s="145" t="b">
        <v>0</v>
      </c>
      <c r="S69" s="145" t="b">
        <v>0</v>
      </c>
      <c r="T69" s="145"/>
      <c r="U69" s="156"/>
      <c r="V69" s="156"/>
    </row>
    <row r="70" outlineLevel="1">
      <c r="A70" s="230" t="s">
        <v>1836</v>
      </c>
      <c r="B70" s="109"/>
      <c r="C70" s="231" t="s">
        <v>48</v>
      </c>
      <c r="D70" s="231" t="s">
        <v>49</v>
      </c>
      <c r="E70" s="232" t="s">
        <v>50</v>
      </c>
      <c r="F70" s="233" t="s">
        <v>51</v>
      </c>
      <c r="G70" s="232" t="str">
        <f>'テンプレート'!G85</f>
        <v>ガード硬直</v>
      </c>
      <c r="H70" s="234" t="str">
        <f>'テンプレート'!H85</f>
        <v>備考</v>
      </c>
      <c r="I70" s="110"/>
      <c r="J70" s="109"/>
      <c r="K70" s="235" t="str">
        <f>'テンプレート'!K85</f>
        <v>ベクトル</v>
      </c>
      <c r="L70" s="235" t="str">
        <f>'テンプレート'!L85</f>
        <v>KBG (R.E.)</v>
      </c>
      <c r="M70" s="235" t="str">
        <f>'テンプレート'!M85</f>
        <v>BKB (R.A.)</v>
      </c>
      <c r="N70" s="235" t="str">
        <f>'テンプレート'!N85</f>
        <v>FKB (R.F.)</v>
      </c>
      <c r="O70" s="236" t="str">
        <f>'テンプレート'!O85</f>
        <v>盾削り値</v>
      </c>
      <c r="P70" s="235" t="str">
        <f>'テンプレート'!P85</f>
        <v>ﾋｯﾄｽﾄｯﾌﾟ</v>
      </c>
      <c r="Q70" s="236" t="str">
        <f>'テンプレート'!Q85</f>
        <v>ずらし</v>
      </c>
      <c r="R70" s="235" t="str">
        <f>'テンプレート'!R85</f>
        <v>相殺</v>
      </c>
      <c r="S70" s="236" t="str">
        <f>'テンプレート'!S85</f>
        <v>相殺ﾓｰｼｮﾝ</v>
      </c>
      <c r="T70" s="236" t="str">
        <f>'テンプレート'!T85</f>
        <v>飛び道具</v>
      </c>
      <c r="U70" s="236" t="str">
        <f>'テンプレート'!U85</f>
        <v>慣性反転</v>
      </c>
      <c r="V70" s="236" t="str">
        <f>'テンプレート'!V85</f>
        <v>向き反転</v>
      </c>
    </row>
    <row r="71" outlineLevel="1">
      <c r="A71" s="546" t="s">
        <v>184</v>
      </c>
      <c r="B71" s="402" t="s">
        <v>1242</v>
      </c>
      <c r="C71" s="244" t="s">
        <v>1838</v>
      </c>
      <c r="D71" s="244" t="s">
        <v>1839</v>
      </c>
      <c r="E71" s="409"/>
      <c r="F71" s="409"/>
      <c r="G71" s="409"/>
      <c r="H71" s="247" t="s">
        <v>1875</v>
      </c>
      <c r="I71" s="110"/>
      <c r="J71" s="109"/>
      <c r="K71" s="281"/>
      <c r="L71" s="281"/>
      <c r="M71" s="281"/>
      <c r="N71" s="281"/>
      <c r="O71" s="281"/>
      <c r="P71" s="281"/>
      <c r="Q71" s="281"/>
      <c r="R71" s="281"/>
      <c r="S71" s="281"/>
      <c r="T71" s="281"/>
      <c r="U71" s="166" t="b">
        <v>0</v>
      </c>
      <c r="V71" s="166" t="b">
        <v>0</v>
      </c>
    </row>
    <row r="72" outlineLevel="1">
      <c r="A72" s="156"/>
      <c r="B72" s="402" t="s">
        <v>243</v>
      </c>
      <c r="C72" s="239" t="s">
        <v>91</v>
      </c>
      <c r="D72" s="239" t="s">
        <v>384</v>
      </c>
      <c r="E72" s="239" t="s">
        <v>1841</v>
      </c>
      <c r="F72" s="138" t="s">
        <v>1842</v>
      </c>
      <c r="G72" s="139" t="s">
        <v>1843</v>
      </c>
      <c r="H72" s="410" t="s">
        <v>1844</v>
      </c>
      <c r="I72" s="110"/>
      <c r="J72" s="109"/>
      <c r="K72" s="138"/>
      <c r="L72" s="138"/>
      <c r="M72" s="145"/>
      <c r="N72" s="145"/>
      <c r="O72" s="138">
        <v>0.0</v>
      </c>
      <c r="P72" s="138">
        <v>1.0</v>
      </c>
      <c r="Q72" s="138">
        <v>1.0</v>
      </c>
      <c r="R72" s="145" t="b">
        <v>0</v>
      </c>
      <c r="S72" s="145" t="b">
        <v>0</v>
      </c>
      <c r="T72" s="145"/>
      <c r="U72" s="156"/>
      <c r="V72" s="156"/>
    </row>
    <row r="73">
      <c r="A73" s="223"/>
      <c r="B73" s="224"/>
      <c r="C73" s="225"/>
      <c r="D73" s="225"/>
      <c r="E73" s="226"/>
      <c r="F73" s="226"/>
      <c r="G73" s="226"/>
      <c r="H73" s="227"/>
      <c r="I73" s="227"/>
      <c r="J73" s="228"/>
      <c r="K73" s="228"/>
      <c r="L73" s="228"/>
      <c r="M73" s="228"/>
      <c r="N73" s="228"/>
      <c r="O73" s="228"/>
      <c r="P73" s="228"/>
      <c r="Q73" s="118"/>
      <c r="R73" s="118"/>
      <c r="S73" s="118"/>
      <c r="T73" s="118"/>
      <c r="U73" s="118"/>
      <c r="V73" s="118"/>
    </row>
    <row r="74">
      <c r="A74" s="264" t="s">
        <v>211</v>
      </c>
      <c r="B74" s="104"/>
      <c r="C74" s="227"/>
      <c r="D74" s="227"/>
      <c r="E74" s="228"/>
      <c r="F74" s="265"/>
      <c r="G74" s="265"/>
      <c r="H74" s="228"/>
      <c r="I74" s="228"/>
      <c r="J74" s="228"/>
      <c r="K74" s="228"/>
      <c r="L74" s="228"/>
      <c r="M74" s="228"/>
      <c r="N74" s="118"/>
      <c r="O74" s="118"/>
      <c r="P74" s="118"/>
      <c r="Q74" s="228"/>
      <c r="R74" s="228"/>
      <c r="S74" s="228"/>
      <c r="T74" s="228"/>
      <c r="U74" s="228"/>
      <c r="V74" s="228"/>
    </row>
    <row r="75" outlineLevel="1">
      <c r="A75" s="106"/>
      <c r="B75" s="107"/>
      <c r="C75" s="266" t="s">
        <v>48</v>
      </c>
      <c r="D75" s="266" t="s">
        <v>49</v>
      </c>
      <c r="E75" s="266" t="s">
        <v>50</v>
      </c>
      <c r="F75" s="267" t="s">
        <v>51</v>
      </c>
      <c r="G75" s="227"/>
      <c r="H75" s="227"/>
      <c r="I75" s="227"/>
      <c r="J75" s="228"/>
      <c r="K75" s="228"/>
      <c r="L75" s="228"/>
      <c r="M75" s="228"/>
      <c r="N75" s="228"/>
      <c r="O75" s="228"/>
      <c r="P75" s="228"/>
      <c r="Q75" s="228"/>
      <c r="R75" s="228"/>
      <c r="S75" s="228"/>
      <c r="T75" s="228"/>
      <c r="U75" s="228"/>
      <c r="V75" s="228"/>
    </row>
    <row r="76" outlineLevel="1">
      <c r="A76" s="268" t="s">
        <v>212</v>
      </c>
      <c r="B76" s="269" t="s">
        <v>212</v>
      </c>
      <c r="C76" s="239" t="s">
        <v>213</v>
      </c>
      <c r="D76" s="239" t="s">
        <v>86</v>
      </c>
      <c r="E76" s="239" t="s">
        <v>214</v>
      </c>
      <c r="F76" s="138">
        <v>1.56</v>
      </c>
      <c r="G76" s="227"/>
      <c r="H76" s="227"/>
      <c r="I76" s="227"/>
      <c r="J76" s="228"/>
      <c r="K76" s="228"/>
      <c r="L76" s="228"/>
      <c r="M76" s="228"/>
      <c r="N76" s="228"/>
      <c r="O76" s="228"/>
      <c r="P76" s="228"/>
      <c r="Q76" s="228"/>
      <c r="R76" s="228"/>
      <c r="S76" s="228"/>
      <c r="T76" s="228"/>
      <c r="U76" s="228"/>
      <c r="V76" s="228"/>
    </row>
    <row r="77" outlineLevel="1">
      <c r="A77" s="270" t="s">
        <v>215</v>
      </c>
      <c r="B77" s="269" t="s">
        <v>216</v>
      </c>
      <c r="C77" s="239" t="s">
        <v>217</v>
      </c>
      <c r="D77" s="239" t="s">
        <v>218</v>
      </c>
      <c r="E77" s="271"/>
      <c r="F77" s="272"/>
      <c r="G77" s="272"/>
      <c r="H77" s="227"/>
      <c r="I77" s="227"/>
      <c r="J77" s="228"/>
      <c r="K77" s="228"/>
      <c r="L77" s="228"/>
      <c r="M77" s="228"/>
      <c r="N77" s="228"/>
      <c r="O77" s="228"/>
      <c r="P77" s="228"/>
      <c r="Q77" s="228"/>
      <c r="R77" s="228"/>
      <c r="S77" s="228"/>
      <c r="T77" s="228"/>
      <c r="U77" s="228"/>
      <c r="V77" s="228"/>
    </row>
    <row r="78" outlineLevel="1">
      <c r="A78" s="212"/>
      <c r="B78" s="269" t="s">
        <v>219</v>
      </c>
      <c r="C78" s="239" t="s">
        <v>220</v>
      </c>
      <c r="D78" s="239" t="s">
        <v>221</v>
      </c>
      <c r="E78" s="271"/>
      <c r="F78" s="272"/>
      <c r="G78" s="272"/>
      <c r="H78" s="227"/>
      <c r="I78" s="227"/>
      <c r="J78" s="228"/>
      <c r="K78" s="228"/>
      <c r="L78" s="228"/>
      <c r="M78" s="228"/>
      <c r="N78" s="228"/>
      <c r="O78" s="228"/>
      <c r="P78" s="228"/>
      <c r="Q78" s="228"/>
      <c r="R78" s="228"/>
      <c r="S78" s="228"/>
      <c r="T78" s="228"/>
      <c r="U78" s="228"/>
      <c r="V78" s="228"/>
    </row>
    <row r="79" outlineLevel="1">
      <c r="A79" s="106"/>
      <c r="B79" s="269" t="s">
        <v>222</v>
      </c>
      <c r="C79" s="239" t="s">
        <v>223</v>
      </c>
      <c r="D79" s="239" t="s">
        <v>79</v>
      </c>
      <c r="E79" s="227"/>
      <c r="F79" s="272"/>
      <c r="G79" s="272"/>
      <c r="H79" s="227"/>
      <c r="I79" s="227"/>
      <c r="J79" s="228"/>
      <c r="K79" s="228"/>
      <c r="L79" s="228"/>
      <c r="M79" s="228"/>
      <c r="N79" s="228"/>
      <c r="O79" s="228"/>
      <c r="P79" s="228"/>
      <c r="Q79" s="228"/>
      <c r="R79" s="228"/>
      <c r="S79" s="228"/>
      <c r="T79" s="228"/>
      <c r="U79" s="228"/>
      <c r="V79" s="228"/>
    </row>
    <row r="80" outlineLevel="1">
      <c r="A80" s="273" t="s">
        <v>225</v>
      </c>
      <c r="B80" s="109"/>
      <c r="C80" s="266" t="s">
        <v>48</v>
      </c>
      <c r="D80" s="266" t="s">
        <v>49</v>
      </c>
      <c r="E80" s="266" t="s">
        <v>50</v>
      </c>
      <c r="F80" s="267" t="s">
        <v>51</v>
      </c>
      <c r="G80" s="274" t="s">
        <v>53</v>
      </c>
      <c r="H80" s="110"/>
      <c r="I80" s="110"/>
      <c r="J80" s="109"/>
      <c r="K80" s="275" t="str">
        <f>'テンプレート'!K97</f>
        <v>ベクトル</v>
      </c>
      <c r="L80" s="275" t="str">
        <f>'テンプレート'!L97</f>
        <v>KBG (R.E.)</v>
      </c>
      <c r="M80" s="275" t="str">
        <f>'テンプレート'!M97</f>
        <v>BKB (R.A.)</v>
      </c>
      <c r="N80" s="275" t="str">
        <f>'テンプレート'!N97</f>
        <v>FKB (R.F.)</v>
      </c>
      <c r="O80" s="276" t="str">
        <f>'テンプレート'!O97</f>
        <v>盾削り値</v>
      </c>
      <c r="P80" s="275" t="str">
        <f>'テンプレート'!P97</f>
        <v>ﾋｯﾄｽﾄｯﾌﾟ</v>
      </c>
      <c r="Q80" s="276" t="str">
        <f>'テンプレート'!Q97</f>
        <v>ずらし</v>
      </c>
      <c r="R80" s="277"/>
      <c r="S80" s="277"/>
      <c r="T80" s="277"/>
      <c r="U80" s="277"/>
      <c r="V80" s="277"/>
    </row>
    <row r="81" outlineLevel="1">
      <c r="A81" s="278" t="s">
        <v>226</v>
      </c>
      <c r="B81" s="269" t="s">
        <v>227</v>
      </c>
      <c r="C81" s="261"/>
      <c r="D81" s="279">
        <v>31.0</v>
      </c>
      <c r="E81" s="261"/>
      <c r="F81" s="261"/>
      <c r="G81" s="413" t="s">
        <v>1845</v>
      </c>
      <c r="H81" s="164"/>
      <c r="I81" s="164"/>
      <c r="J81" s="104"/>
      <c r="K81" s="261"/>
      <c r="L81" s="261"/>
      <c r="M81" s="261"/>
      <c r="N81" s="261"/>
      <c r="O81" s="261"/>
      <c r="P81" s="261"/>
      <c r="Q81" s="261"/>
      <c r="R81" s="277"/>
      <c r="S81" s="228"/>
      <c r="T81" s="228"/>
      <c r="U81" s="228"/>
      <c r="V81" s="228"/>
    </row>
    <row r="82" outlineLevel="1">
      <c r="A82" s="156"/>
      <c r="B82" s="269" t="s">
        <v>225</v>
      </c>
      <c r="C82" s="113">
        <v>15.0</v>
      </c>
      <c r="D82" s="156"/>
      <c r="E82" s="239" t="s">
        <v>73</v>
      </c>
      <c r="F82" s="138">
        <v>4.8</v>
      </c>
      <c r="G82" s="106"/>
      <c r="H82" s="168"/>
      <c r="I82" s="168"/>
      <c r="J82" s="107"/>
      <c r="K82" s="282"/>
      <c r="L82" s="282"/>
      <c r="M82" s="363"/>
      <c r="N82" s="363"/>
      <c r="O82" s="261"/>
      <c r="P82" s="261"/>
      <c r="Q82" s="261"/>
      <c r="R82" s="277"/>
      <c r="S82" s="228"/>
      <c r="T82" s="228"/>
      <c r="U82" s="228"/>
      <c r="V82" s="228"/>
    </row>
    <row r="83" outlineLevel="1">
      <c r="A83" s="278" t="s">
        <v>229</v>
      </c>
      <c r="B83" s="269" t="s">
        <v>227</v>
      </c>
      <c r="C83" s="261"/>
      <c r="D83" s="279">
        <v>44.0</v>
      </c>
      <c r="E83" s="261"/>
      <c r="F83" s="261"/>
      <c r="G83" s="413" t="s">
        <v>1876</v>
      </c>
      <c r="H83" s="164"/>
      <c r="I83" s="164"/>
      <c r="J83" s="104"/>
      <c r="K83" s="261"/>
      <c r="L83" s="261"/>
      <c r="M83" s="261"/>
      <c r="N83" s="261"/>
      <c r="O83" s="261"/>
      <c r="P83" s="261"/>
      <c r="Q83" s="261"/>
      <c r="R83" s="277"/>
      <c r="S83" s="228"/>
      <c r="T83" s="228"/>
      <c r="U83" s="228"/>
      <c r="V83" s="228"/>
    </row>
    <row r="84" outlineLevel="1">
      <c r="A84" s="156"/>
      <c r="B84" s="269" t="s">
        <v>225</v>
      </c>
      <c r="C84" s="239" t="s">
        <v>153</v>
      </c>
      <c r="D84" s="156"/>
      <c r="E84" s="239" t="s">
        <v>73</v>
      </c>
      <c r="F84" s="138">
        <v>4.8</v>
      </c>
      <c r="G84" s="106"/>
      <c r="H84" s="168"/>
      <c r="I84" s="168"/>
      <c r="J84" s="107"/>
      <c r="K84" s="282"/>
      <c r="L84" s="282"/>
      <c r="M84" s="363"/>
      <c r="N84" s="363"/>
      <c r="O84" s="261"/>
      <c r="P84" s="261"/>
      <c r="Q84" s="261"/>
      <c r="R84" s="277"/>
      <c r="S84" s="228"/>
      <c r="T84" s="228"/>
      <c r="U84" s="228"/>
      <c r="V84" s="228"/>
    </row>
    <row r="85" outlineLevel="1">
      <c r="A85" s="278" t="s">
        <v>233</v>
      </c>
      <c r="B85" s="269" t="s">
        <v>227</v>
      </c>
      <c r="C85" s="261"/>
      <c r="D85" s="279">
        <v>44.0</v>
      </c>
      <c r="E85" s="261"/>
      <c r="F85" s="261"/>
      <c r="G85" s="416"/>
      <c r="H85" s="164"/>
      <c r="I85" s="164"/>
      <c r="J85" s="104"/>
      <c r="K85" s="261"/>
      <c r="L85" s="261"/>
      <c r="M85" s="261"/>
      <c r="N85" s="261"/>
      <c r="O85" s="261"/>
      <c r="P85" s="261"/>
      <c r="Q85" s="261"/>
      <c r="R85" s="277"/>
      <c r="S85" s="228"/>
      <c r="T85" s="228"/>
      <c r="U85" s="228"/>
      <c r="V85" s="228"/>
    </row>
    <row r="86" outlineLevel="1">
      <c r="A86" s="156"/>
      <c r="B86" s="269" t="s">
        <v>225</v>
      </c>
      <c r="C86" s="113">
        <v>13.0</v>
      </c>
      <c r="D86" s="156"/>
      <c r="E86" s="239" t="s">
        <v>150</v>
      </c>
      <c r="F86" s="138">
        <v>6.0</v>
      </c>
      <c r="G86" s="106"/>
      <c r="H86" s="168"/>
      <c r="I86" s="168"/>
      <c r="J86" s="107"/>
      <c r="K86" s="282"/>
      <c r="L86" s="282"/>
      <c r="M86" s="363"/>
      <c r="N86" s="363"/>
      <c r="O86" s="261"/>
      <c r="P86" s="261"/>
      <c r="Q86" s="261"/>
      <c r="R86" s="277"/>
      <c r="S86" s="117"/>
      <c r="T86" s="117"/>
      <c r="U86" s="117"/>
      <c r="V86" s="117"/>
    </row>
    <row r="87" outlineLevel="1">
      <c r="A87" s="278" t="s">
        <v>234</v>
      </c>
      <c r="B87" s="269" t="s">
        <v>227</v>
      </c>
      <c r="C87" s="261"/>
      <c r="D87" s="279">
        <v>42.0</v>
      </c>
      <c r="E87" s="261"/>
      <c r="F87" s="261"/>
      <c r="G87" s="413" t="s">
        <v>1877</v>
      </c>
      <c r="H87" s="164"/>
      <c r="I87" s="164"/>
      <c r="J87" s="104"/>
      <c r="K87" s="261"/>
      <c r="L87" s="261"/>
      <c r="M87" s="261"/>
      <c r="N87" s="261"/>
      <c r="O87" s="261"/>
      <c r="P87" s="261"/>
      <c r="Q87" s="261"/>
      <c r="R87" s="277"/>
      <c r="S87" s="117"/>
      <c r="T87" s="117"/>
      <c r="U87" s="117"/>
      <c r="V87" s="117"/>
    </row>
    <row r="88" outlineLevel="1">
      <c r="A88" s="156"/>
      <c r="B88" s="269" t="s">
        <v>225</v>
      </c>
      <c r="C88" s="113">
        <v>16.0</v>
      </c>
      <c r="D88" s="156"/>
      <c r="E88" s="239" t="s">
        <v>73</v>
      </c>
      <c r="F88" s="138">
        <v>4.8</v>
      </c>
      <c r="G88" s="106"/>
      <c r="H88" s="168"/>
      <c r="I88" s="168"/>
      <c r="J88" s="107"/>
      <c r="K88" s="282"/>
      <c r="L88" s="282"/>
      <c r="M88" s="363"/>
      <c r="N88" s="363"/>
      <c r="O88" s="261"/>
      <c r="P88" s="261"/>
      <c r="Q88" s="261"/>
      <c r="R88" s="277"/>
      <c r="S88" s="117"/>
      <c r="T88" s="117"/>
      <c r="U88" s="117"/>
      <c r="V88" s="117"/>
    </row>
    <row r="89">
      <c r="A89" s="223"/>
      <c r="B89" s="224"/>
      <c r="C89" s="225"/>
      <c r="D89" s="225"/>
      <c r="E89" s="227"/>
      <c r="F89" s="177"/>
      <c r="G89" s="177"/>
      <c r="H89" s="227"/>
      <c r="I89" s="227"/>
      <c r="J89" s="228"/>
      <c r="K89" s="228"/>
      <c r="L89" s="111"/>
      <c r="M89" s="111"/>
      <c r="N89" s="111"/>
      <c r="O89" s="117"/>
      <c r="P89" s="117"/>
      <c r="Q89" s="111"/>
      <c r="R89" s="111"/>
      <c r="S89" s="111"/>
      <c r="T89" s="111"/>
      <c r="U89" s="111"/>
      <c r="V89" s="111"/>
    </row>
    <row r="90">
      <c r="A90" s="284" t="s">
        <v>241</v>
      </c>
      <c r="B90" s="104"/>
      <c r="C90" s="265"/>
      <c r="D90" s="111"/>
      <c r="E90" s="111"/>
      <c r="F90" s="111"/>
      <c r="G90" s="111"/>
      <c r="H90" s="111"/>
      <c r="I90" s="111"/>
      <c r="J90" s="118"/>
      <c r="K90" s="111"/>
      <c r="L90" s="111"/>
      <c r="M90" s="111"/>
      <c r="N90" s="111"/>
      <c r="O90" s="111"/>
      <c r="P90" s="111"/>
      <c r="Q90" s="118"/>
      <c r="R90" s="111"/>
      <c r="S90" s="111"/>
      <c r="T90" s="111"/>
      <c r="U90" s="111"/>
      <c r="V90" s="111"/>
    </row>
    <row r="91" outlineLevel="1">
      <c r="A91" s="106"/>
      <c r="B91" s="107"/>
      <c r="C91" s="285" t="s">
        <v>235</v>
      </c>
      <c r="D91" s="285" t="s">
        <v>236</v>
      </c>
      <c r="E91" s="285" t="s">
        <v>49</v>
      </c>
      <c r="F91" s="285" t="s">
        <v>237</v>
      </c>
      <c r="G91" s="286"/>
      <c r="H91" s="227"/>
      <c r="I91" s="227"/>
      <c r="J91" s="228"/>
      <c r="K91" s="228"/>
      <c r="L91" s="111"/>
      <c r="M91" s="111"/>
      <c r="N91" s="111"/>
      <c r="O91" s="111"/>
      <c r="P91" s="111"/>
      <c r="Q91" s="111"/>
      <c r="R91" s="111"/>
      <c r="S91" s="111"/>
      <c r="T91" s="111"/>
      <c r="U91" s="111"/>
      <c r="V91" s="111"/>
    </row>
    <row r="92" outlineLevel="1">
      <c r="A92" s="287" t="s">
        <v>395</v>
      </c>
      <c r="B92" s="288" t="s">
        <v>216</v>
      </c>
      <c r="C92" s="113" t="str">
        <f t="array" ref="C92">INDEX('回避'!$C$3:$U$84, MATCH($A$1,'回避'!$A$3:$A$91,0), MATCH(C91,'回避'!$C$2:$F$2,0))</f>
        <v>3-17</v>
      </c>
      <c r="D92" s="113" t="str">
        <f t="array" ref="D92">INDEX('回避'!$C$3:$U$84, MATCH($A$1,'回避'!$A$3:$A$91,0), MATCH(D91,'回避'!$C$2:$F$2,0))</f>
        <v>6-17</v>
      </c>
      <c r="E92" s="113" t="str">
        <f t="array" ref="E92">INDEX('回避'!$C$3:$U$84, MATCH($A$1,'回避'!$A$3:$A$91,0), MATCH(E91,'回避'!$C$2:$F$2,0))</f>
        <v>25 (20)</v>
      </c>
      <c r="F92" s="113" t="str">
        <f t="array" ref="F92">INDEX('回避'!$C$3:$U$84, MATCH($A$1,'回避'!$A$3:$A$91,0), MATCH(F91,'回避'!$C$2:$F$2,0))</f>
        <v>33 (27)</v>
      </c>
      <c r="G92" s="272"/>
      <c r="H92" s="227"/>
      <c r="I92" s="227"/>
      <c r="J92" s="228"/>
      <c r="K92" s="228"/>
      <c r="L92" s="228"/>
      <c r="M92" s="111"/>
      <c r="N92" s="111"/>
      <c r="O92" s="111"/>
      <c r="P92" s="111"/>
      <c r="Q92" s="111"/>
      <c r="R92" s="111"/>
      <c r="S92" s="111"/>
      <c r="T92" s="111"/>
      <c r="U92" s="111"/>
      <c r="V92" s="111"/>
    </row>
    <row r="93" outlineLevel="1">
      <c r="A93" s="212"/>
      <c r="B93" s="288" t="s">
        <v>245</v>
      </c>
      <c r="C93" s="113" t="str">
        <f t="array" ref="C93">INDEX('回避'!$G$3:$U$84, MATCH($A$1,'回避'!$A$3:$A$91,0), MATCH(C91,'回避'!$G$2:$J$2,0))</f>
        <v>4-15</v>
      </c>
      <c r="D93" s="113" t="str">
        <f t="array" ref="D93">INDEX('回避'!$G$3:$U$84, MATCH($A$1,'回避'!$A$3:$A$91,0), MATCH(D91,'回避'!$G$2:$J$2,0))</f>
        <v>8-14</v>
      </c>
      <c r="E93" s="113" t="str">
        <f t="array" ref="E93">INDEX('回避'!$G$3:$U$84, MATCH($A$1,'回避'!$A$3:$A$91,0), MATCH(E91,'回避'!$G$2:$J$2,0))</f>
        <v>29</v>
      </c>
      <c r="F93" s="113">
        <f t="array" ref="F93">INDEX('回避'!$G$3:$U$84, MATCH($A$1,'回避'!$A$3:$A$91,0), MATCH(F91,'回避'!$G$2:$J$2,0))</f>
        <v>38</v>
      </c>
      <c r="G93" s="289"/>
      <c r="H93" s="227"/>
      <c r="I93" s="227"/>
      <c r="J93" s="228"/>
      <c r="K93" s="228"/>
      <c r="L93" s="228"/>
      <c r="M93" s="228"/>
      <c r="N93" s="228"/>
      <c r="O93" s="111"/>
      <c r="P93" s="111"/>
      <c r="Q93" s="111"/>
      <c r="R93" s="111"/>
      <c r="S93" s="111"/>
      <c r="T93" s="111"/>
      <c r="U93" s="111"/>
      <c r="V93" s="111"/>
    </row>
    <row r="94" outlineLevel="1">
      <c r="A94" s="106"/>
      <c r="B94" s="288" t="s">
        <v>246</v>
      </c>
      <c r="C94" s="113" t="str">
        <f t="array" ref="C94">INDEX('回避'!$K$3:$U$84, MATCH($A$1,'回避'!$A$3:$A$91,0), MATCH(C91,'回避'!$K$2:$N$2,0))</f>
        <v>5-16</v>
      </c>
      <c r="D94" s="113" t="str">
        <f t="array" ref="D94">INDEX('回避'!$K$3:$U$84, MATCH($A$1,'回避'!$A$3:$A$91,0), MATCH(D91,'回避'!$K$2:$N$2,0))</f>
        <v>9-14</v>
      </c>
      <c r="E94" s="113" t="str">
        <f t="array" ref="E94">INDEX('回避'!$K$3:$U$84, MATCH($A$1,'回避'!$A$3:$A$91,0), MATCH(E91,'回避'!$K$2:$N$2,0))</f>
        <v>34</v>
      </c>
      <c r="F94" s="113" t="str">
        <f t="array" ref="F94">INDEX('回避'!$K$3:$U$84, MATCH($A$1,'回避'!$A$3:$A$91,0), MATCH(F91,'回避'!$K$2:$N$2,0))</f>
        <v>51</v>
      </c>
      <c r="G94" s="289"/>
      <c r="H94" s="290"/>
      <c r="I94" s="290"/>
      <c r="J94" s="117"/>
      <c r="K94" s="117"/>
      <c r="L94" s="117"/>
      <c r="M94" s="117"/>
      <c r="N94" s="117"/>
      <c r="O94" s="111"/>
      <c r="P94" s="111"/>
      <c r="Q94" s="111"/>
      <c r="R94" s="111"/>
      <c r="S94" s="111"/>
      <c r="T94" s="111"/>
      <c r="U94" s="111"/>
      <c r="V94" s="111"/>
    </row>
    <row r="95" outlineLevel="1">
      <c r="A95" s="287" t="s">
        <v>396</v>
      </c>
      <c r="B95" s="288" t="s">
        <v>397</v>
      </c>
      <c r="C95" s="113" t="str">
        <f t="array" ref="C95">INDEX('回避'!$O$3:$U$84, MATCH($A$1,'回避'!$A$3:$A$91,0), MATCH(C91,'回避'!$O$2:$R$2,0))</f>
        <v>3-29</v>
      </c>
      <c r="D95" s="113" t="str">
        <f t="array" ref="D95">INDEX('回避'!$O$3:$U$84, MATCH($A$1,'回避'!$A$3:$A$91,0), MATCH(D91,'回避'!$O$2:$R$2,0))</f>
        <v>6-27</v>
      </c>
      <c r="E95" s="113" t="str">
        <f t="array" ref="E95">INDEX('回避'!$O$3:$U$84, MATCH($A$1,'回避'!$A$3:$A$91,0), MATCH(E91,'回避'!$O$2:$R$2,0))</f>
        <v>52</v>
      </c>
      <c r="F95" s="177"/>
      <c r="G95" s="177"/>
      <c r="H95" s="118"/>
      <c r="I95" s="118"/>
      <c r="J95" s="111"/>
      <c r="K95" s="111"/>
      <c r="L95" s="111"/>
      <c r="M95" s="111"/>
      <c r="N95" s="111"/>
      <c r="O95" s="228"/>
      <c r="P95" s="228"/>
      <c r="Q95" s="228"/>
      <c r="R95" s="228"/>
      <c r="S95" s="228"/>
      <c r="T95" s="228"/>
      <c r="U95" s="228"/>
      <c r="V95" s="228"/>
    </row>
    <row r="96" outlineLevel="1">
      <c r="A96" s="106"/>
      <c r="B96" s="288" t="s">
        <v>398</v>
      </c>
      <c r="C96" s="113" t="str">
        <f t="array" ref="C96">INDEX('回避'!$S$3:$U$84, MATCH($A$1,'回避'!$A$3:$A$91,0), MATCH(C91,'回避'!$S$2:$U$2,0))</f>
        <v>3-21</v>
      </c>
      <c r="D96" s="113" t="str">
        <f t="array" ref="D96">INDEX('回避'!$S$3:$U$84, MATCH($A$1,'回避'!$A$3:$A$91,0), MATCH(D91,'回避'!$S$2:$U$2,0))</f>
        <v>6-20</v>
      </c>
      <c r="E96" s="113" t="str">
        <f t="array" ref="E96">INDEX('回避'!$S$3:$U$84, MATCH($A$1,'回避'!$A$3:$A$91,0), MATCH(E91,'回避'!$S$2:$U$2,0))</f>
        <v>真横：85
真上：116
真下：69</v>
      </c>
      <c r="F96" s="289"/>
      <c r="G96" s="289"/>
      <c r="H96" s="118"/>
      <c r="I96" s="118"/>
      <c r="J96" s="117"/>
      <c r="K96" s="117"/>
      <c r="L96" s="117"/>
      <c r="M96" s="117"/>
      <c r="N96" s="111"/>
      <c r="O96" s="118"/>
      <c r="P96" s="118"/>
      <c r="Q96" s="118"/>
      <c r="R96" s="118"/>
      <c r="S96" s="118"/>
      <c r="T96" s="118"/>
      <c r="U96" s="118"/>
      <c r="V96" s="118"/>
    </row>
    <row r="97">
      <c r="A97" s="291"/>
      <c r="B97" s="292"/>
      <c r="C97" s="286"/>
      <c r="D97" s="286"/>
      <c r="E97" s="293"/>
      <c r="F97" s="286"/>
      <c r="G97" s="286"/>
      <c r="H97" s="286"/>
      <c r="I97" s="286"/>
      <c r="J97" s="111"/>
      <c r="K97" s="227"/>
      <c r="L97" s="227"/>
      <c r="M97" s="227"/>
      <c r="N97" s="227"/>
      <c r="O97" s="118"/>
      <c r="P97" s="118"/>
      <c r="Q97" s="118"/>
      <c r="R97" s="118"/>
      <c r="S97" s="118"/>
      <c r="T97" s="118"/>
      <c r="U97" s="118"/>
      <c r="V97" s="118"/>
    </row>
    <row r="98">
      <c r="A98" s="294" t="s">
        <v>238</v>
      </c>
      <c r="B98" s="104"/>
      <c r="C98" s="228"/>
      <c r="D98" s="117"/>
      <c r="E98" s="228"/>
      <c r="F98" s="114"/>
      <c r="G98" s="114"/>
      <c r="H98" s="117"/>
      <c r="I98" s="117"/>
      <c r="J98" s="118"/>
      <c r="K98" s="118"/>
      <c r="L98" s="118"/>
      <c r="M98" s="118"/>
      <c r="N98" s="118"/>
      <c r="O98" s="118"/>
      <c r="P98" s="118"/>
      <c r="Q98" s="118"/>
      <c r="R98" s="118"/>
      <c r="S98" s="118"/>
      <c r="T98" s="118"/>
      <c r="U98" s="118"/>
      <c r="V98" s="118"/>
    </row>
    <row r="99" outlineLevel="1">
      <c r="A99" s="106"/>
      <c r="B99" s="107"/>
      <c r="C99" s="295" t="s">
        <v>235</v>
      </c>
      <c r="D99" s="295" t="s">
        <v>49</v>
      </c>
      <c r="E99" s="295" t="s">
        <v>48</v>
      </c>
      <c r="F99" s="295" t="s">
        <v>50</v>
      </c>
      <c r="G99" s="296" t="s">
        <v>51</v>
      </c>
      <c r="H99" s="228"/>
      <c r="I99" s="228"/>
      <c r="J99" s="117"/>
      <c r="K99" s="297" t="str">
        <f>'テンプレート'!K116</f>
        <v>アイテム取得</v>
      </c>
      <c r="L99" s="109"/>
      <c r="M99" s="298" t="str">
        <f>'テンプレート'!M116</f>
        <v>取得フレーム</v>
      </c>
      <c r="N99" s="298" t="str">
        <f>'テンプレート'!N116</f>
        <v>全体フレーム</v>
      </c>
      <c r="O99" s="118"/>
      <c r="P99" s="118"/>
      <c r="Q99" s="118"/>
      <c r="R99" s="118"/>
      <c r="S99" s="118"/>
      <c r="T99" s="118"/>
      <c r="U99" s="118"/>
      <c r="V99" s="118"/>
    </row>
    <row r="100" outlineLevel="1">
      <c r="A100" s="299" t="s">
        <v>239</v>
      </c>
      <c r="B100" s="300" t="s">
        <v>240</v>
      </c>
      <c r="C100" s="301"/>
      <c r="D100" s="113">
        <f t="array" ref="D100">INDEX('崖行動・受け身'!$C$3:$C103, MATCH($A$1,'崖行動・受け身'!$A$3:$A$115,0), MATCH(D99,'崖行動・受け身'!$C$2,0))</f>
        <v>19</v>
      </c>
      <c r="E100" s="301"/>
      <c r="F100" s="301"/>
      <c r="G100" s="301"/>
      <c r="H100" s="228"/>
      <c r="I100" s="228"/>
      <c r="J100" s="111"/>
      <c r="K100" s="302" t="str">
        <f>'テンプレート'!K117</f>
        <v>小アイテム</v>
      </c>
      <c r="L100" s="303" t="str">
        <f>'テンプレート'!L117</f>
        <v>その場</v>
      </c>
      <c r="M100" s="113" t="s">
        <v>76</v>
      </c>
      <c r="N100" s="113">
        <v>7.0</v>
      </c>
      <c r="O100" s="118"/>
      <c r="P100" s="118"/>
      <c r="Q100" s="118"/>
      <c r="R100" s="118"/>
      <c r="S100" s="118"/>
      <c r="T100" s="118"/>
      <c r="U100" s="118"/>
      <c r="V100" s="118"/>
    </row>
    <row r="101" outlineLevel="1">
      <c r="A101" s="146"/>
      <c r="B101" s="300" t="s">
        <v>216</v>
      </c>
      <c r="C101" s="113" t="str">
        <f t="array" ref="C101">INDEX('崖行動・受け身'!$D$3:$E103, MATCH($A$1,'崖行動・受け身'!$A$3:$A$115,0), MATCH(C99,'崖行動・受け身'!$D$2:$E$2,0))</f>
        <v>1-33</v>
      </c>
      <c r="D101" s="113">
        <f t="array" ref="D101">INDEX('崖行動・受け身'!$D$3:$E103, MATCH($A$1,'崖行動・受け身'!$A$3:$A$115,0), MATCH(D99,'崖行動・受け身'!$D$2:$E$2,0))</f>
        <v>34</v>
      </c>
      <c r="E101" s="301"/>
      <c r="F101" s="301"/>
      <c r="G101" s="301"/>
      <c r="H101" s="228"/>
      <c r="I101" s="228"/>
      <c r="J101" s="117"/>
      <c r="K101" s="156"/>
      <c r="L101" s="303" t="str">
        <f>'テンプレート'!L118</f>
        <v>歩き</v>
      </c>
      <c r="M101" s="113" t="s">
        <v>76</v>
      </c>
      <c r="N101" s="113">
        <v>19.0</v>
      </c>
      <c r="O101" s="118"/>
      <c r="P101" s="118"/>
      <c r="Q101" s="118"/>
      <c r="R101" s="118"/>
      <c r="S101" s="118"/>
      <c r="T101" s="118"/>
      <c r="U101" s="118"/>
      <c r="V101" s="118"/>
    </row>
    <row r="102" outlineLevel="1">
      <c r="A102" s="146"/>
      <c r="B102" s="300" t="s">
        <v>241</v>
      </c>
      <c r="C102" s="113" t="str">
        <f t="array" ref="C102">INDEX('崖行動・受け身'!$F$3:$G$115, MATCH($A$1,'崖行動・受け身'!$A$3:$A$115,0), MATCH(C99,'崖行動・受け身'!$F$2:$G$2,0))</f>
        <v>1-27</v>
      </c>
      <c r="D102" s="113">
        <f t="array" ref="D102">INDEX('崖行動・受け身'!$F$3:$G$115, MATCH($A$1,'崖行動・受け身'!$A$3:$A$115,0), MATCH(D99,'崖行動・受け身'!$F$2:$G$2,0))</f>
        <v>45</v>
      </c>
      <c r="E102" s="301"/>
      <c r="F102" s="301"/>
      <c r="G102" s="301"/>
      <c r="H102" s="228"/>
      <c r="I102" s="228"/>
      <c r="J102" s="111"/>
      <c r="K102" s="304" t="str">
        <f>'テンプレート'!K119</f>
        <v>アイテム投擲</v>
      </c>
      <c r="L102" s="109"/>
      <c r="M102" s="298" t="str">
        <f>'テンプレート'!M119</f>
        <v>投擲フレーム</v>
      </c>
      <c r="N102" s="298" t="str">
        <f>'テンプレート'!N119</f>
        <v>全体フレーム</v>
      </c>
      <c r="O102" s="118"/>
      <c r="P102" s="118"/>
      <c r="Q102" s="118"/>
      <c r="R102" s="118"/>
      <c r="S102" s="118"/>
      <c r="T102" s="118"/>
      <c r="U102" s="118"/>
      <c r="V102" s="118"/>
    </row>
    <row r="103" outlineLevel="1">
      <c r="A103" s="146"/>
      <c r="B103" s="300" t="s">
        <v>242</v>
      </c>
      <c r="C103" s="113" t="str">
        <f t="array" ref="C103">INDEX('崖行動・受け身'!$H$3:$I$115, MATCH($A$1,'崖行動・受け身'!$A$3:$A$115,0), MATCH(C99,'崖行動・受け身'!$H$2:$I$2,0))</f>
        <v>1-12</v>
      </c>
      <c r="D103" s="113">
        <f t="array" ref="D103">INDEX('崖行動・受け身'!$H$3:$I$115, MATCH($A$1,'崖行動・受け身'!$A$3:$A$115,0), MATCH(D99,'崖行動・受け身'!$H$2:$I$2,0))</f>
        <v>14</v>
      </c>
      <c r="E103" s="301"/>
      <c r="F103" s="301"/>
      <c r="G103" s="301"/>
      <c r="H103" s="228"/>
      <c r="I103" s="228"/>
      <c r="J103" s="117"/>
      <c r="K103" s="305" t="str">
        <f>'テンプレート'!K120</f>
        <v>地上投擲</v>
      </c>
      <c r="L103" s="303" t="str">
        <f>'テンプレート'!L120</f>
        <v>前投げ</v>
      </c>
      <c r="M103" s="113" t="s">
        <v>128</v>
      </c>
      <c r="N103" s="113">
        <v>29.0</v>
      </c>
      <c r="O103" s="111"/>
      <c r="P103" s="111"/>
      <c r="Q103" s="111"/>
      <c r="R103" s="111"/>
      <c r="S103" s="111"/>
      <c r="T103" s="111"/>
      <c r="U103" s="111"/>
      <c r="V103" s="111"/>
    </row>
    <row r="104" outlineLevel="1">
      <c r="A104" s="156"/>
      <c r="B104" s="300" t="s">
        <v>243</v>
      </c>
      <c r="C104" s="113" t="str">
        <f t="array" ref="C104">INDEX('崖行動・受け身'!$J$3:$M$115, MATCH($A$1,'崖行動・受け身'!$A$3:$A$115,0), MATCH(C99,'崖行動・受け身'!$J$2:$M$2,0))</f>
        <v>1-25</v>
      </c>
      <c r="D104" s="113">
        <f t="array" ref="D104">INDEX('崖行動・受け身'!$J$3:$M$115, MATCH($A$1,'崖行動・受け身'!$A$3:$A$115,0), MATCH(D99,'崖行動・受け身'!$J$2:$M$2,0))</f>
        <v>55</v>
      </c>
      <c r="E104" s="113" t="str">
        <f t="array" ref="E104">INDEX('崖行動・受け身'!$J$3:$M$115, MATCH($A$1,'崖行動・受け身'!$A$3:$A$115,0), MATCH(E99,'崖行動・受け身'!$J$2:$M$2,0))</f>
        <v>23-25</v>
      </c>
      <c r="F104" s="113">
        <f t="array" ref="F104">INDEX('崖行動・受け身'!$J$3:$M$115, MATCH($A$1,'崖行動・受け身'!$A$3:$A$115,0), MATCH(F99,'崖行動・受け身'!$J$2:$M$2,0))</f>
        <v>9</v>
      </c>
      <c r="G104" s="113">
        <f>F104*1.2</f>
        <v>10.8</v>
      </c>
      <c r="H104" s="228"/>
      <c r="I104" s="228"/>
      <c r="J104" s="111"/>
      <c r="K104" s="146"/>
      <c r="L104" s="303" t="str">
        <f>'テンプレート'!L121</f>
        <v>後投げ</v>
      </c>
      <c r="M104" s="113" t="s">
        <v>119</v>
      </c>
      <c r="N104" s="113">
        <v>29.0</v>
      </c>
      <c r="O104" s="111"/>
      <c r="P104" s="111"/>
      <c r="Q104" s="111"/>
      <c r="R104" s="111"/>
      <c r="S104" s="111"/>
      <c r="T104" s="111"/>
      <c r="U104" s="111"/>
      <c r="V104" s="111"/>
    </row>
    <row r="105" outlineLevel="1">
      <c r="A105" s="299" t="s">
        <v>244</v>
      </c>
      <c r="B105" s="300" t="s">
        <v>216</v>
      </c>
      <c r="C105" s="113" t="str">
        <f t="array" ref="C105">INDEX('崖行動・受け身'!$N$3:$O$115, MATCH($A$1,'崖行動・受け身'!$A$3:$A$115,0), MATCH(C99,'崖行動・受け身'!$N$2:$O$2,0))</f>
        <v>1-20</v>
      </c>
      <c r="D105" s="113">
        <f t="array" ref="D105">INDEX('崖行動・受け身'!$N$3:$O$115, MATCH($A$1,'崖行動・受け身'!$A$3:$A$115,0), MATCH(D99,'崖行動・受け身'!$N$2:$O$2,0))</f>
        <v>26</v>
      </c>
      <c r="E105" s="301"/>
      <c r="F105" s="301"/>
      <c r="G105" s="301"/>
      <c r="H105" s="228"/>
      <c r="I105" s="228"/>
      <c r="J105" s="117"/>
      <c r="K105" s="146"/>
      <c r="L105" s="303" t="str">
        <f>'テンプレート'!L122</f>
        <v>上投げ</v>
      </c>
      <c r="M105" s="113" t="s">
        <v>386</v>
      </c>
      <c r="N105" s="113">
        <v>29.0</v>
      </c>
      <c r="O105" s="228"/>
      <c r="P105" s="228"/>
      <c r="Q105" s="228"/>
      <c r="R105" s="228"/>
      <c r="S105" s="228"/>
      <c r="T105" s="228"/>
      <c r="U105" s="228"/>
      <c r="V105" s="228"/>
    </row>
    <row r="106" outlineLevel="1">
      <c r="A106" s="146"/>
      <c r="B106" s="300" t="s">
        <v>245</v>
      </c>
      <c r="C106" s="113" t="str">
        <f t="array" ref="C106">INDEX('崖行動・受け身'!$P$3:$Q$115, MATCH($A$1,'崖行動・受け身'!$A$3:$A$115,0), MATCH(C99,'崖行動・受け身'!$P$2:$Q$2,0))</f>
        <v>1-20</v>
      </c>
      <c r="D106" s="113">
        <f t="array" ref="D106">INDEX('崖行動・受け身'!$P$3:$Q$115, MATCH($A$1,'崖行動・受け身'!$A$3:$A$115,0), MATCH(D99,'崖行動・受け身'!$P$2:$Q$2,0))</f>
        <v>40</v>
      </c>
      <c r="E106" s="301"/>
      <c r="F106" s="301"/>
      <c r="G106" s="301"/>
      <c r="H106" s="228"/>
      <c r="I106" s="228"/>
      <c r="J106" s="111"/>
      <c r="K106" s="146"/>
      <c r="L106" s="303" t="str">
        <f>'テンプレート'!L123</f>
        <v>下投げ</v>
      </c>
      <c r="M106" s="113" t="s">
        <v>80</v>
      </c>
      <c r="N106" s="113">
        <v>21.0</v>
      </c>
      <c r="O106" s="118"/>
      <c r="P106" s="118"/>
      <c r="Q106" s="118"/>
      <c r="R106" s="118"/>
      <c r="S106" s="118"/>
      <c r="T106" s="118"/>
      <c r="U106" s="118"/>
      <c r="V106" s="118"/>
    </row>
    <row r="107" outlineLevel="1">
      <c r="A107" s="156"/>
      <c r="B107" s="300" t="s">
        <v>246</v>
      </c>
      <c r="C107" s="113" t="str">
        <f t="array" ref="C107">INDEX('崖行動・受け身'!$R$3:$S$115, MATCH($A$1,'崖行動・受け身'!$A$3:$A$115,0), MATCH(C99,'崖行動・受け身'!$R$2:$S$2,0))</f>
        <v>1-20</v>
      </c>
      <c r="D107" s="113">
        <f t="array" ref="D107">INDEX('崖行動・受け身'!$R$3:$S$115, MATCH($A$1,'崖行動・受け身'!$A$3:$A$115,0), MATCH(D99,'崖行動・受け身'!$R$2:$S$2,0))</f>
        <v>40</v>
      </c>
      <c r="E107" s="301"/>
      <c r="F107" s="301"/>
      <c r="G107" s="301"/>
      <c r="H107" s="228"/>
      <c r="I107" s="228"/>
      <c r="J107" s="117"/>
      <c r="K107" s="146"/>
      <c r="L107" s="306" t="str">
        <f>'テンプレート'!L124</f>
        <v>ダッシュ</v>
      </c>
      <c r="M107" s="113" t="s">
        <v>86</v>
      </c>
      <c r="N107" s="113">
        <v>39.0</v>
      </c>
      <c r="O107" s="118"/>
      <c r="P107" s="118"/>
      <c r="Q107" s="118"/>
      <c r="R107" s="118"/>
      <c r="S107" s="118"/>
      <c r="T107" s="118"/>
      <c r="U107" s="118"/>
      <c r="V107" s="118"/>
    </row>
    <row r="108" outlineLevel="1">
      <c r="A108" s="299" t="s">
        <v>247</v>
      </c>
      <c r="B108" s="300" t="s">
        <v>248</v>
      </c>
      <c r="C108" s="301"/>
      <c r="D108" s="113" t="str">
        <f t="array" ref="D108">INDEX('起きあがり'!$C$3:$C103, MATCH($A$1,'起きあがり'!$A$3:$A$115,0), MATCH(D99,'起きあがり'!$C$2:$AD$2,0))</f>
        <v>25</v>
      </c>
      <c r="E108" s="301"/>
      <c r="F108" s="301"/>
      <c r="G108" s="301"/>
      <c r="H108" s="228"/>
      <c r="I108" s="228"/>
      <c r="J108" s="111"/>
      <c r="K108" s="156"/>
      <c r="L108" s="306" t="str">
        <f>'テンプレート'!L125</f>
        <v>その場捨て</v>
      </c>
      <c r="M108" s="113" t="s">
        <v>93</v>
      </c>
      <c r="N108" s="113">
        <v>23.0</v>
      </c>
      <c r="O108" s="118"/>
      <c r="P108" s="118"/>
      <c r="Q108" s="118"/>
      <c r="R108" s="118"/>
      <c r="S108" s="118"/>
      <c r="T108" s="118"/>
      <c r="U108" s="118"/>
      <c r="V108" s="118"/>
    </row>
    <row r="109" outlineLevel="1">
      <c r="A109" s="146"/>
      <c r="B109" s="300" t="s">
        <v>216</v>
      </c>
      <c r="C109" s="307" t="str">
        <f t="array" ref="C109">INDEX('起きあがり'!$D$3:$E103, MATCH($A$1,'起きあがり'!$A$3:$A$115,0), MATCH(C99,'起きあがり'!$D$2:$AD$2,0))</f>
        <v>1-22</v>
      </c>
      <c r="D109" s="308">
        <f t="array" ref="D109">INDEX('起きあがり'!$D$3:$E103, MATCH($A$1,'起きあがり'!$A$3:$A$115,0), MATCH(D99,'起きあがり'!$D$2:$AD$2,0))</f>
        <v>29</v>
      </c>
      <c r="E109" s="301"/>
      <c r="F109" s="301"/>
      <c r="G109" s="301"/>
      <c r="H109" s="228"/>
      <c r="I109" s="228"/>
      <c r="J109" s="117"/>
      <c r="K109" s="305" t="str">
        <f>'テンプレート'!K126</f>
        <v>空中投擲</v>
      </c>
      <c r="L109" s="303" t="str">
        <f>'テンプレート'!L126</f>
        <v>前投げ</v>
      </c>
      <c r="M109" s="113" t="s">
        <v>128</v>
      </c>
      <c r="N109" s="113">
        <v>29.0</v>
      </c>
      <c r="O109" s="118"/>
      <c r="P109" s="118"/>
      <c r="Q109" s="118"/>
      <c r="R109" s="118"/>
      <c r="S109" s="118"/>
      <c r="T109" s="118"/>
      <c r="U109" s="118"/>
      <c r="V109" s="118"/>
    </row>
    <row r="110" outlineLevel="1">
      <c r="A110" s="146"/>
      <c r="B110" s="300" t="s">
        <v>245</v>
      </c>
      <c r="C110" s="307" t="str">
        <f t="array" ref="C110">INDEX('起きあがり'!$F$3:$G$115, MATCH($A$1,'起きあがり'!$A$3:$A$115,0), MATCH(C99,'起きあがり'!$F$2:$AD$2,0))</f>
        <v>1-19</v>
      </c>
      <c r="D110" s="308">
        <f t="array" ref="D110">INDEX('起きあがり'!$F$3:$G$115, MATCH($A$1,'起きあがり'!$A$3:$A$115,0), MATCH(D99,'起きあがり'!$F$2:$AD$2,0))</f>
        <v>35</v>
      </c>
      <c r="E110" s="301"/>
      <c r="F110" s="301"/>
      <c r="G110" s="301"/>
      <c r="H110" s="228"/>
      <c r="I110" s="228"/>
      <c r="J110" s="111"/>
      <c r="K110" s="146"/>
      <c r="L110" s="303" t="str">
        <f>'テンプレート'!L127</f>
        <v>後投げ</v>
      </c>
      <c r="M110" s="113" t="s">
        <v>119</v>
      </c>
      <c r="N110" s="113">
        <v>29.0</v>
      </c>
      <c r="O110" s="118"/>
      <c r="P110" s="118"/>
      <c r="Q110" s="118"/>
      <c r="R110" s="118"/>
      <c r="S110" s="118"/>
      <c r="T110" s="118"/>
      <c r="U110" s="118"/>
      <c r="V110" s="118"/>
    </row>
    <row r="111" outlineLevel="1">
      <c r="A111" s="146"/>
      <c r="B111" s="300" t="s">
        <v>246</v>
      </c>
      <c r="C111" s="113" t="str">
        <f t="array" ref="C111">INDEX('起きあがり'!$H$3:$I$115, MATCH($A$1,'起きあがり'!$A$3:$A$115,0), MATCH(C99,'起きあがり'!$H$2:$AD$2,0))</f>
        <v>1-19</v>
      </c>
      <c r="D111" s="113">
        <f t="array" ref="D111">INDEX('起きあがり'!$H$3:$I$115, MATCH($A$1,'起きあがり'!$A$3:$A$115,0), MATCH(D99,'起きあがり'!$H$2:$AD$2,0))</f>
        <v>35</v>
      </c>
      <c r="E111" s="301"/>
      <c r="F111" s="301"/>
      <c r="G111" s="301"/>
      <c r="H111" s="228"/>
      <c r="I111" s="228"/>
      <c r="J111" s="117"/>
      <c r="K111" s="146"/>
      <c r="L111" s="303" t="str">
        <f>'テンプレート'!L128</f>
        <v>上投げ</v>
      </c>
      <c r="M111" s="113" t="s">
        <v>386</v>
      </c>
      <c r="N111" s="113">
        <v>29.0</v>
      </c>
      <c r="O111" s="118"/>
      <c r="P111" s="118"/>
      <c r="Q111" s="118"/>
      <c r="R111" s="118"/>
      <c r="S111" s="118"/>
      <c r="T111" s="118"/>
      <c r="U111" s="118"/>
      <c r="V111" s="118"/>
    </row>
    <row r="112" outlineLevel="1">
      <c r="A112" s="146"/>
      <c r="B112" s="300" t="s">
        <v>249</v>
      </c>
      <c r="C112" s="309" t="str">
        <f t="array" ref="C112">INDEX('起きあがり'!$J$3:$M$115, MATCH($A$1,'起きあがり'!$A$3:$A$115,0), MATCH(C99,'起きあがり'!$J$2:$AD$2,0))</f>
        <v>1-24</v>
      </c>
      <c r="D112" s="310">
        <f t="array" ref="D112">INDEX('起きあがり'!$J$3:$M$115, MATCH($A$1,'起きあがり'!$A$3:$A$115,0), MATCH(D99,'起きあがり'!$J$2:$AD$2,0))</f>
        <v>45</v>
      </c>
      <c r="E112" s="307" t="str">
        <f t="array" ref="E112">INDEX('起きあがり'!$J$3:$M$115, MATCH($A$1,'起きあがり'!$A$3:$A$115,0), MATCH(E99,'起きあがり'!$J$2:$AD$2,0))</f>
        <v>16-17</v>
      </c>
      <c r="F112" s="308">
        <f t="array" ref="F112">INDEX('起きあがり'!$J$3:$M$115, MATCH($A$1,'起きあがり'!$A$3:$A$115,0), MATCH(F99,'起きあがり'!$J$2:$AD$2,0))</f>
        <v>7</v>
      </c>
      <c r="G112" s="113">
        <f t="shared" ref="G112:G113" si="1">F112*1.2</f>
        <v>8.4</v>
      </c>
      <c r="H112" s="228"/>
      <c r="I112" s="228"/>
      <c r="J112" s="111"/>
      <c r="K112" s="156"/>
      <c r="L112" s="303" t="str">
        <f>'テンプレート'!L129</f>
        <v>下投げ</v>
      </c>
      <c r="M112" s="113" t="s">
        <v>80</v>
      </c>
      <c r="N112" s="113">
        <v>21.0</v>
      </c>
      <c r="O112" s="111"/>
      <c r="P112" s="111"/>
      <c r="Q112" s="111"/>
      <c r="R112" s="111"/>
      <c r="S112" s="111"/>
      <c r="T112" s="111"/>
      <c r="U112" s="111"/>
      <c r="V112" s="111"/>
    </row>
    <row r="113" outlineLevel="1">
      <c r="A113" s="156"/>
      <c r="B113" s="311" t="s">
        <v>250</v>
      </c>
      <c r="C113" s="156"/>
      <c r="D113" s="156"/>
      <c r="E113" s="307" t="str">
        <f t="array" ref="E113">INDEX('起きあがり'!$N$3:$O$115, MATCH($A$1,'起きあがり'!$A$3:$A$115,0), MATCH(E99,'起きあがり'!$N$2:$AD$2,0))</f>
        <v>23-24</v>
      </c>
      <c r="F113" s="308">
        <f t="array" ref="F113">INDEX('起きあがり'!$N$3:$O$115, MATCH($A$1,'起きあがり'!$A$3:$A$115,0), MATCH(F99,'起きあがり'!$N$2:$AD$2,0))</f>
        <v>7</v>
      </c>
      <c r="G113" s="113">
        <f t="shared" si="1"/>
        <v>8.4</v>
      </c>
      <c r="H113" s="228"/>
      <c r="I113" s="228"/>
      <c r="J113" s="111"/>
      <c r="K113" s="312" t="str">
        <f>'テンプレート'!K130</f>
        <v>踏み台ジャンプ</v>
      </c>
      <c r="L113" s="168"/>
      <c r="M113" s="298" t="str">
        <f>'テンプレート'!M130</f>
        <v>全体フレーム</v>
      </c>
      <c r="N113" s="114"/>
      <c r="O113" s="111"/>
      <c r="P113" s="111"/>
      <c r="Q113" s="111"/>
      <c r="R113" s="111"/>
      <c r="S113" s="111"/>
      <c r="T113" s="111"/>
      <c r="U113" s="111"/>
      <c r="V113" s="111"/>
    </row>
    <row r="114" outlineLevel="1">
      <c r="A114" s="299" t="s">
        <v>251</v>
      </c>
      <c r="B114" s="300" t="s">
        <v>248</v>
      </c>
      <c r="C114" s="301"/>
      <c r="D114" s="307" t="str">
        <f t="array" ref="D114">INDEX('起きあがり'!$C$3:$C103, MATCH($A$1,'起きあがり'!$A$3:$A$115,0), MATCH(D99,'起きあがり'!$C$2,0))</f>
        <v>25</v>
      </c>
      <c r="E114" s="301"/>
      <c r="F114" s="301"/>
      <c r="G114" s="301"/>
      <c r="H114" s="228"/>
      <c r="I114" s="228"/>
      <c r="J114" s="117"/>
      <c r="K114" s="313" t="str">
        <f>'テンプレート'!K131</f>
        <v>踏み</v>
      </c>
      <c r="L114" s="314" t="str">
        <f>'テンプレート'!L131</f>
        <v>踏み</v>
      </c>
      <c r="M114" s="113">
        <v>8.0</v>
      </c>
      <c r="N114" s="315"/>
      <c r="O114" s="111"/>
      <c r="P114" s="111"/>
      <c r="Q114" s="111"/>
      <c r="R114" s="111"/>
      <c r="S114" s="111"/>
      <c r="T114" s="111"/>
      <c r="U114" s="111"/>
      <c r="V114" s="111"/>
    </row>
    <row r="115" outlineLevel="1">
      <c r="A115" s="146"/>
      <c r="B115" s="300" t="s">
        <v>216</v>
      </c>
      <c r="C115" s="307" t="str">
        <f t="array" ref="C115">INDEX('起きあがり'!$P$3:$Q$115, MATCH($A$1,'起きあがり'!$A$3:$A$115,0), MATCH(C99,'起きあがり'!$P$2:$AD$2,0))</f>
        <v>1-22</v>
      </c>
      <c r="D115" s="308">
        <f t="array" ref="D115">INDEX('起きあがり'!$P$3:$Q$115, MATCH($A$1,'起きあがり'!$A$3:$A$115,0), MATCH(D99,'起きあがり'!$P$2:$AD$2,0))</f>
        <v>29</v>
      </c>
      <c r="E115" s="301"/>
      <c r="F115" s="301"/>
      <c r="G115" s="301"/>
      <c r="H115" s="228"/>
      <c r="I115" s="228"/>
      <c r="J115" s="111"/>
      <c r="K115" s="305" t="str">
        <f>'テンプレート'!K132</f>
        <v>踏まれ</v>
      </c>
      <c r="L115" s="314" t="str">
        <f>'テンプレート'!L132</f>
        <v>地上踏まれ</v>
      </c>
      <c r="M115" s="113" t="s">
        <v>76</v>
      </c>
      <c r="N115" s="315"/>
      <c r="O115" s="228"/>
      <c r="P115" s="228"/>
      <c r="Q115" s="228"/>
      <c r="R115" s="228"/>
      <c r="S115" s="228"/>
      <c r="T115" s="228"/>
      <c r="U115" s="228"/>
      <c r="V115" s="228"/>
    </row>
    <row r="116" outlineLevel="1">
      <c r="A116" s="146"/>
      <c r="B116" s="300" t="s">
        <v>245</v>
      </c>
      <c r="C116" s="307" t="str">
        <f t="array" ref="C116">INDEX('起きあがり'!$R$3:$S$115, MATCH($A$1,'起きあがり'!$A$3:$A$115,0), MATCH(C99,'起きあがり'!$R$2:$AD$2,0))</f>
        <v>1-19</v>
      </c>
      <c r="D116" s="308">
        <f t="array" ref="D116">INDEX('起きあがり'!$R$3:$S$115, MATCH($A$1,'起きあがり'!$A$3:$A$115,0), MATCH(D99,'起きあがり'!$R$2:$AD$2,0))</f>
        <v>35</v>
      </c>
      <c r="E116" s="301"/>
      <c r="F116" s="301"/>
      <c r="G116" s="301"/>
      <c r="H116" s="228"/>
      <c r="I116" s="228"/>
      <c r="J116" s="117"/>
      <c r="K116" s="146"/>
      <c r="L116" s="314" t="s">
        <v>693</v>
      </c>
      <c r="M116" s="113">
        <v>28.0</v>
      </c>
      <c r="N116" s="102"/>
      <c r="O116" s="118"/>
      <c r="P116" s="118"/>
      <c r="Q116" s="118"/>
      <c r="R116" s="118"/>
      <c r="S116" s="118"/>
      <c r="T116" s="118"/>
      <c r="U116" s="118"/>
      <c r="V116" s="118"/>
    </row>
    <row r="117" outlineLevel="1">
      <c r="A117" s="146"/>
      <c r="B117" s="300" t="s">
        <v>246</v>
      </c>
      <c r="C117" s="307" t="str">
        <f t="array" ref="C117">INDEX('起きあがり'!$T$3:$U$115, MATCH($A$1,'起きあがり'!$A$3:$A$115,0), MATCH(C99,'起きあがり'!$T$2:$AD$2,0))</f>
        <v>1-19</v>
      </c>
      <c r="D117" s="308">
        <f t="array" ref="D117">INDEX('起きあがり'!$T$3:$U$115, MATCH($A$1,'起きあがり'!$A$3:$A$115,0), MATCH(D99,'起きあがり'!$T$2:$AD$2,0))</f>
        <v>35</v>
      </c>
      <c r="E117" s="301"/>
      <c r="F117" s="301"/>
      <c r="G117" s="301"/>
      <c r="H117" s="228"/>
      <c r="I117" s="228"/>
      <c r="J117" s="111"/>
      <c r="K117" s="146"/>
      <c r="L117" s="314" t="str">
        <f>'テンプレート'!L134</f>
        <v>空中踏まれ</v>
      </c>
      <c r="M117" s="113">
        <v>12.0</v>
      </c>
      <c r="N117" s="102"/>
      <c r="O117" s="118"/>
      <c r="P117" s="118"/>
      <c r="Q117" s="118"/>
      <c r="R117" s="118"/>
      <c r="S117" s="118"/>
      <c r="T117" s="118"/>
      <c r="U117" s="118"/>
      <c r="V117" s="118"/>
    </row>
    <row r="118" outlineLevel="1">
      <c r="A118" s="146"/>
      <c r="B118" s="300" t="s">
        <v>249</v>
      </c>
      <c r="C118" s="309" t="str">
        <f t="array" ref="C118">INDEX('起きあがり'!$V$3:$Y$115, MATCH($A$1,'起きあがり'!$A$3:$A$115,0), MATCH(C99,'起きあがり'!$V$2:$AD$2,0))</f>
        <v>1-23</v>
      </c>
      <c r="D118" s="310">
        <f t="array" ref="D118">INDEX('起きあがり'!$V$3:$Y$115, MATCH($A$1,'起きあがり'!$A$3:$A$115,0), MATCH(D99,'起きあがり'!$V$2:$AD$2,0))</f>
        <v>45</v>
      </c>
      <c r="E118" s="307" t="str">
        <f t="array" ref="E118">INDEX('起きあがり'!$V$3:$Y$115, MATCH($A$1,'起きあがり'!$A$3:$A$115,0), MATCH(E99,'起きあがり'!$V$2:$AD$2,0))</f>
        <v>16-17</v>
      </c>
      <c r="F118" s="308">
        <f t="array" ref="F118">INDEX('起きあがり'!$V$3:$Y$115, MATCH($A$1,'起きあがり'!$A$3:$A$115,0), MATCH(F99,'起きあがり'!$V$2:$AD$2,0))</f>
        <v>7</v>
      </c>
      <c r="G118" s="113">
        <f t="shared" ref="G118:G119" si="2">F118*1.2</f>
        <v>8.4</v>
      </c>
      <c r="H118" s="228"/>
      <c r="I118" s="228"/>
      <c r="J118" s="117"/>
      <c r="K118" s="146"/>
      <c r="L118" s="314" t="str">
        <f>'テンプレート'!L135</f>
        <v>空中落下</v>
      </c>
      <c r="M118" s="113">
        <v>37.0</v>
      </c>
      <c r="N118" s="102"/>
      <c r="O118" s="118"/>
      <c r="P118" s="118"/>
      <c r="Q118" s="118"/>
      <c r="R118" s="118"/>
      <c r="S118" s="118"/>
      <c r="T118" s="118"/>
      <c r="U118" s="118"/>
      <c r="V118" s="118"/>
    </row>
    <row r="119" outlineLevel="1">
      <c r="A119" s="156"/>
      <c r="B119" s="311" t="s">
        <v>250</v>
      </c>
      <c r="C119" s="156"/>
      <c r="D119" s="156"/>
      <c r="E119" s="307" t="str">
        <f t="array" ref="E119">INDEX('起きあがり'!$Z$3:$AA$115, MATCH($A$1,'起きあがり'!$A$3:$A$115,0), MATCH(E99,'起きあがり'!$Z$2:$AD$2,0))</f>
        <v>22-23</v>
      </c>
      <c r="F119" s="308">
        <f t="array" ref="F119">INDEX('起きあがり'!$Z$3:$AA$115, MATCH($A$1,'起きあがり'!$A$3:$A$115,0), MATCH(F99,'起きあがり'!$Z$2:$AD$2,0))</f>
        <v>7</v>
      </c>
      <c r="G119" s="113">
        <f t="shared" si="2"/>
        <v>8.4</v>
      </c>
      <c r="H119" s="228"/>
      <c r="I119" s="228"/>
      <c r="J119" s="117"/>
      <c r="K119" s="304" t="str">
        <f>'テンプレート'!K136</f>
        <v>倒れダメージ</v>
      </c>
      <c r="L119" s="110"/>
      <c r="M119" s="298" t="str">
        <f>'テンプレート'!M136</f>
        <v>全体フレーム</v>
      </c>
      <c r="N119" s="102"/>
      <c r="O119" s="118"/>
      <c r="P119" s="118"/>
      <c r="Q119" s="118"/>
      <c r="R119" s="118"/>
      <c r="S119" s="118"/>
      <c r="T119" s="118"/>
      <c r="U119" s="118"/>
      <c r="V119" s="118"/>
    </row>
    <row r="120" outlineLevel="1">
      <c r="A120" s="299" t="s">
        <v>252</v>
      </c>
      <c r="B120" s="300" t="s">
        <v>253</v>
      </c>
      <c r="C120" s="307" t="str">
        <f t="array" ref="C120">INDEX('転倒'!$C$3:$D103, MATCH($A$1,'転倒'!$A$3:$A$115,0), MATCH(C99,'転倒'!$C$2:$AC$2,0))</f>
        <v>1-5</v>
      </c>
      <c r="D120" s="308">
        <f t="array" ref="D120">INDEX('転倒'!$C$3:$D103, MATCH($A$1,'転倒'!$A$3:$A$115,0), MATCH(D99,'転倒'!$C$2:$AC$2,0))</f>
        <v>29</v>
      </c>
      <c r="E120" s="301"/>
      <c r="F120" s="301"/>
      <c r="G120" s="301"/>
      <c r="H120" s="228"/>
      <c r="I120" s="228"/>
      <c r="J120" s="111"/>
      <c r="K120" s="313" t="str">
        <f>'テンプレート'!K137</f>
        <v>あお向け倒れ</v>
      </c>
      <c r="L120" s="306" t="str">
        <f>'テンプレート'!L137</f>
        <v>モーション大</v>
      </c>
      <c r="M120" s="113">
        <v>39.0</v>
      </c>
      <c r="N120" s="315"/>
      <c r="O120" s="118"/>
      <c r="P120" s="118"/>
      <c r="Q120" s="118"/>
      <c r="R120" s="118"/>
      <c r="S120" s="118"/>
      <c r="T120" s="118"/>
      <c r="U120" s="118"/>
      <c r="V120" s="118"/>
    </row>
    <row r="121" outlineLevel="1">
      <c r="A121" s="146"/>
      <c r="B121" s="300" t="s">
        <v>254</v>
      </c>
      <c r="C121" s="307" t="str">
        <f t="array" ref="C121">INDEX('転倒'!$E$3:$F103, MATCH($A$1,'転倒'!$A$3:$A$115,0), MATCH(C99,'転倒'!$E$2:$AC$2,0))</f>
        <v>1-5</v>
      </c>
      <c r="D121" s="308">
        <f t="array" ref="D121">INDEX('転倒'!$E$3:$F103, MATCH($A$1,'転倒'!$A$3:$A$115,0), MATCH(D99,'転倒'!$E$2:$AC$2,0))</f>
        <v>39</v>
      </c>
      <c r="E121" s="301"/>
      <c r="F121" s="301"/>
      <c r="G121" s="301"/>
      <c r="H121" s="228"/>
      <c r="I121" s="228"/>
      <c r="J121" s="117"/>
      <c r="K121" s="313" t="str">
        <f>'テンプレート'!K138</f>
        <v>うつ伏せ倒れ</v>
      </c>
      <c r="L121" s="306" t="str">
        <f>'テンプレート'!L138</f>
        <v>モーション大</v>
      </c>
      <c r="M121" s="113" t="s">
        <v>118</v>
      </c>
      <c r="N121" s="315"/>
      <c r="O121" s="118"/>
      <c r="P121" s="118"/>
      <c r="Q121" s="118"/>
      <c r="R121" s="118"/>
      <c r="S121" s="118"/>
      <c r="T121" s="118"/>
      <c r="U121" s="118"/>
      <c r="V121" s="118"/>
    </row>
    <row r="122" outlineLevel="1">
      <c r="A122" s="146"/>
      <c r="B122" s="300" t="s">
        <v>216</v>
      </c>
      <c r="C122" s="307" t="str">
        <f t="array" ref="C122">INDEX('転倒'!$G$3:$H$115, MATCH($A$1,'転倒'!$A$3:$A$115,0), MATCH(C99,'転倒'!$G$2:$AC$2,0))</f>
        <v>1-16</v>
      </c>
      <c r="D122" s="308">
        <f t="array" ref="D122">INDEX('転倒'!$G$3:$H$115, MATCH($A$1,'転倒'!$A$3:$A$115,0), MATCH(D99,'転倒'!$G$2:$AC$2,0))</f>
        <v>21</v>
      </c>
      <c r="E122" s="301"/>
      <c r="F122" s="301"/>
      <c r="G122" s="301"/>
      <c r="H122" s="228"/>
      <c r="I122" s="228"/>
      <c r="J122" s="111"/>
      <c r="K122" s="304" t="str">
        <f>'テンプレート'!K139</f>
        <v/>
      </c>
      <c r="L122" s="110"/>
      <c r="M122" s="298" t="str">
        <f>'テンプレート'!M139</f>
        <v/>
      </c>
      <c r="N122" s="102"/>
      <c r="O122" s="118"/>
      <c r="P122" s="118"/>
      <c r="Q122" s="118"/>
      <c r="R122" s="118"/>
      <c r="S122" s="118"/>
      <c r="T122" s="118"/>
      <c r="U122" s="118"/>
      <c r="V122" s="118"/>
    </row>
    <row r="123" outlineLevel="1">
      <c r="A123" s="146"/>
      <c r="B123" s="300" t="s">
        <v>245</v>
      </c>
      <c r="C123" s="307" t="str">
        <f t="array" ref="C123">INDEX('転倒'!$I$3:$J$115, MATCH($A$1,'転倒'!$A$3:$A$115,0), MATCH(C99,'転倒'!$I$2:$AC$2,0))</f>
        <v>1-9</v>
      </c>
      <c r="D123" s="308">
        <f t="array" ref="D123">INDEX('転倒'!$I$3:$J$115, MATCH($A$1,'転倒'!$A$3:$A$115,0), MATCH(D99,'転倒'!$I$2:$AC$2,0))</f>
        <v>28</v>
      </c>
      <c r="E123" s="301"/>
      <c r="F123" s="301"/>
      <c r="G123" s="301"/>
      <c r="H123" s="228"/>
      <c r="I123" s="228"/>
      <c r="J123" s="228"/>
      <c r="K123" s="316"/>
      <c r="L123" s="317" t="str">
        <f>'テンプレート'!L140</f>
        <v/>
      </c>
      <c r="M123" s="113" t="s">
        <v>76</v>
      </c>
      <c r="N123" s="102"/>
      <c r="O123" s="118"/>
      <c r="P123" s="118"/>
      <c r="Q123" s="118"/>
      <c r="R123" s="118"/>
      <c r="S123" s="118"/>
      <c r="T123" s="118"/>
      <c r="U123" s="118"/>
      <c r="V123" s="118"/>
    </row>
    <row r="124" outlineLevel="1">
      <c r="A124" s="146"/>
      <c r="B124" s="300" t="s">
        <v>246</v>
      </c>
      <c r="C124" s="307" t="str">
        <f t="array" ref="C124">INDEX('転倒'!$K$3:$L$115, MATCH($A$1,'転倒'!$A$3:$A$115,0), MATCH(C99,'転倒'!$K$2:$AC$2,0))</f>
        <v>1-9</v>
      </c>
      <c r="D124" s="308">
        <f t="array" ref="D124">INDEX('転倒'!$K$3:$L$115, MATCH($A$1,'転倒'!$A$3:$A$115,0), MATCH(D99,'転倒'!$K$2:$AC$2,0))</f>
        <v>28</v>
      </c>
      <c r="E124" s="301"/>
      <c r="F124" s="301"/>
      <c r="G124" s="301"/>
      <c r="H124" s="228"/>
      <c r="I124" s="228"/>
      <c r="J124" s="228"/>
      <c r="K124" s="318"/>
      <c r="L124" s="118"/>
      <c r="M124" s="118"/>
      <c r="N124" s="102"/>
      <c r="O124" s="118"/>
      <c r="P124" s="118"/>
      <c r="Q124" s="118"/>
      <c r="R124" s="118"/>
      <c r="S124" s="118"/>
      <c r="T124" s="118"/>
      <c r="U124" s="118"/>
      <c r="V124" s="118"/>
    </row>
    <row r="125" outlineLevel="1">
      <c r="A125" s="146"/>
      <c r="B125" s="300" t="s">
        <v>249</v>
      </c>
      <c r="C125" s="309" t="str">
        <f t="array" ref="C125">INDEX('転倒'!$M$3:$P$115, MATCH($A$1,'転倒'!$A$3:$A$115,0), MATCH(C99,'転倒'!$M$2:$AC$2,0))</f>
        <v>1-7</v>
      </c>
      <c r="D125" s="310">
        <f t="array" ref="D125">INDEX('転倒'!$M$3:$P$115, MATCH($A$1,'転倒'!$A$3:$A$115,0), MATCH(D99,'転倒'!$M$2:$AC$2,0))</f>
        <v>49</v>
      </c>
      <c r="E125" s="307" t="str">
        <f t="array" ref="E125">INDEX('転倒'!$M$3:$P$115, MATCH($A$1,'転倒'!$A$3:$A$115,0), MATCH(E99,'転倒'!$M$2:$AC$2,0))</f>
        <v>20-21</v>
      </c>
      <c r="F125" s="308">
        <f t="array" ref="F125">INDEX('転倒'!$M$3:$P$115, MATCH($A$1,'転倒'!$A$3:$A$115,0), MATCH(F99,'転倒'!$M$2:$AC$2,0))</f>
        <v>5</v>
      </c>
      <c r="G125" s="113">
        <f t="shared" ref="G125:G126" si="3">F125*1.2</f>
        <v>6</v>
      </c>
      <c r="H125" s="228"/>
      <c r="I125" s="228"/>
      <c r="J125" s="228"/>
      <c r="K125" s="118"/>
      <c r="L125" s="118"/>
      <c r="M125" s="118"/>
      <c r="N125" s="102"/>
      <c r="O125" s="102"/>
      <c r="P125" s="102"/>
      <c r="Q125" s="102"/>
      <c r="R125" s="118"/>
      <c r="S125" s="118"/>
      <c r="T125" s="118"/>
      <c r="U125" s="118"/>
      <c r="V125" s="118"/>
    </row>
    <row r="126" outlineLevel="1">
      <c r="A126" s="156"/>
      <c r="B126" s="311" t="s">
        <v>250</v>
      </c>
      <c r="C126" s="156"/>
      <c r="D126" s="156"/>
      <c r="E126" s="307" t="str">
        <f t="array" ref="E126">INDEX('転倒'!$Q$3:$R$115, MATCH($A$1,'転倒'!$A$3:$A$115,0), MATCH(E99,'転倒'!$Q$2:$AC$2,0))</f>
        <v>29-30</v>
      </c>
      <c r="F126" s="308">
        <f t="array" ref="F126">INDEX('転倒'!$Q$3:$R$115, MATCH($A$1,'転倒'!$A$3:$A$115,0), MATCH(F99,'転倒'!$Q$2:$AC$2,0))</f>
        <v>5</v>
      </c>
      <c r="G126" s="113">
        <f t="shared" si="3"/>
        <v>6</v>
      </c>
      <c r="H126" s="228"/>
      <c r="I126" s="228"/>
      <c r="J126" s="228"/>
      <c r="K126" s="118"/>
      <c r="L126" s="118"/>
      <c r="M126" s="118"/>
      <c r="N126" s="102"/>
      <c r="O126" s="102"/>
      <c r="P126" s="102"/>
      <c r="Q126" s="102"/>
      <c r="R126" s="118"/>
      <c r="S126" s="118"/>
      <c r="T126" s="118"/>
      <c r="U126" s="118"/>
      <c r="V126" s="118"/>
    </row>
    <row r="127" outlineLevel="1">
      <c r="A127" s="319"/>
      <c r="B127" s="320"/>
      <c r="C127" s="321"/>
      <c r="D127" s="321"/>
      <c r="E127" s="322"/>
      <c r="F127" s="322"/>
      <c r="G127" s="114"/>
      <c r="H127" s="228"/>
      <c r="I127" s="228"/>
      <c r="J127" s="228"/>
      <c r="K127" s="118"/>
      <c r="L127" s="118"/>
      <c r="M127" s="118"/>
      <c r="N127" s="102"/>
      <c r="O127" s="102"/>
      <c r="P127" s="102"/>
      <c r="Q127" s="102"/>
      <c r="R127" s="118"/>
      <c r="S127" s="118"/>
      <c r="T127" s="118"/>
      <c r="U127" s="118"/>
      <c r="V127" s="118"/>
    </row>
    <row r="128" outlineLevel="1">
      <c r="A128" s="323" t="s">
        <v>255</v>
      </c>
      <c r="B128" s="109"/>
      <c r="C128" s="321"/>
      <c r="D128" s="321"/>
      <c r="E128" s="322"/>
      <c r="F128" s="322"/>
      <c r="G128" s="114"/>
      <c r="H128" s="228"/>
      <c r="I128" s="228"/>
      <c r="J128" s="228"/>
      <c r="K128" s="118"/>
      <c r="L128" s="118"/>
      <c r="M128" s="118"/>
      <c r="N128" s="102"/>
      <c r="O128" s="102"/>
      <c r="P128" s="102"/>
      <c r="Q128" s="102"/>
      <c r="R128" s="118"/>
      <c r="S128" s="118"/>
      <c r="T128" s="118"/>
      <c r="U128" s="118"/>
      <c r="V128" s="118"/>
    </row>
    <row r="129" outlineLevel="1">
      <c r="A129" s="324" t="s">
        <v>256</v>
      </c>
      <c r="B129" s="109"/>
      <c r="C129" s="325" t="s">
        <v>257</v>
      </c>
      <c r="D129" s="325" t="s">
        <v>49</v>
      </c>
      <c r="E129" s="322"/>
      <c r="F129" s="322"/>
      <c r="G129" s="114"/>
      <c r="H129" s="228"/>
      <c r="I129" s="228"/>
      <c r="J129" s="228"/>
      <c r="K129" s="118"/>
      <c r="L129" s="118"/>
      <c r="M129" s="118"/>
      <c r="N129" s="102"/>
      <c r="O129" s="102"/>
      <c r="P129" s="102"/>
      <c r="Q129" s="102"/>
      <c r="R129" s="118"/>
      <c r="S129" s="118"/>
      <c r="T129" s="118"/>
      <c r="U129" s="118"/>
      <c r="V129" s="118"/>
    </row>
    <row r="130" outlineLevel="1">
      <c r="A130" s="326" t="s">
        <v>258</v>
      </c>
      <c r="B130" s="327" t="s">
        <v>216</v>
      </c>
      <c r="C130" s="328" t="str">
        <f t="array" ref="C130">INDEX('アイテム'!$C$3:$D$114, MATCH($A$1,'アイテム'!$A$3:$A$114,0), MATCH(C129,'アイテム'!$C$2:$AQ$2,0))</f>
        <v>3</v>
      </c>
      <c r="D130" s="328">
        <f t="array" ref="D130">INDEX('アイテム'!$C$3:$D$114, MATCH($A$1,'アイテム'!$A$3:$A$114,0), MATCH(D129,'アイテム'!$C$2:$AQ$2,0))</f>
        <v>7</v>
      </c>
      <c r="E130" s="322"/>
      <c r="F130" s="322"/>
      <c r="G130" s="114"/>
      <c r="H130" s="228"/>
      <c r="I130" s="228"/>
      <c r="J130" s="228"/>
      <c r="K130" s="118"/>
      <c r="L130" s="118"/>
      <c r="M130" s="118"/>
      <c r="N130" s="102"/>
      <c r="O130" s="102"/>
      <c r="P130" s="102"/>
      <c r="Q130" s="102"/>
      <c r="R130" s="118"/>
      <c r="S130" s="118"/>
      <c r="T130" s="118"/>
      <c r="U130" s="118"/>
      <c r="V130" s="118"/>
    </row>
    <row r="131" outlineLevel="1">
      <c r="A131" s="156"/>
      <c r="B131" s="327" t="s">
        <v>219</v>
      </c>
      <c r="C131" s="328" t="str">
        <f t="array" ref="C131">INDEX('アイテム'!$E$3:$F$114, MATCH($A$1,'アイテム'!$A$3:$A$114,0), MATCH(C129,'アイテム'!$C$2:$AQ$2,0))</f>
        <v>2</v>
      </c>
      <c r="D131" s="328">
        <f t="array" ref="D131">INDEX('アイテム'!$E$3:$F$114, MATCH($A$1,'アイテム'!$A$3:$A$114,0), MATCH(D129,'アイテム'!$C$2:$AQ$2,0))</f>
        <v>19</v>
      </c>
      <c r="E131" s="322"/>
      <c r="F131" s="322"/>
      <c r="G131" s="114"/>
      <c r="H131" s="228"/>
      <c r="I131" s="228"/>
      <c r="J131" s="228"/>
      <c r="K131" s="118"/>
      <c r="L131" s="118"/>
      <c r="M131" s="118"/>
      <c r="N131" s="102"/>
      <c r="O131" s="102"/>
      <c r="P131" s="102"/>
      <c r="Q131" s="102"/>
      <c r="R131" s="118"/>
      <c r="S131" s="118"/>
      <c r="T131" s="118"/>
      <c r="U131" s="118"/>
      <c r="V131" s="118"/>
    </row>
    <row r="132" outlineLevel="1">
      <c r="A132" s="329" t="s">
        <v>259</v>
      </c>
      <c r="B132" s="327" t="s">
        <v>216</v>
      </c>
      <c r="C132" s="328">
        <f t="array" ref="C132">INDEX('アイテム'!$AA$3:$AB$114, MATCH($A$1,'アイテム'!$A$3:$A$114,0), MATCH(C129,'アイテム'!$C$2:$AQ$2,0))</f>
        <v>5</v>
      </c>
      <c r="D132" s="328" t="str">
        <f t="array" ref="D132">INDEX('アイテム'!$AA$3:$AB$114, MATCH($A$1,'アイテム'!$A$3:$A$114,0), MATCH(D129,'アイテム'!$C$2:$AQ$2,0))</f>
        <v>12</v>
      </c>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260</v>
      </c>
      <c r="B133" s="109"/>
      <c r="C133" s="325" t="s">
        <v>261</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262</v>
      </c>
      <c r="B134" s="327" t="s">
        <v>226</v>
      </c>
      <c r="C134" s="328" t="str">
        <f t="array" ref="C134">INDEX('アイテム'!$G$3:$H$114, MATCH($A$1,'アイテム'!$A$3:$A$114,0), MATCH(C129,'アイテム'!$C$2:$AQ$2,0))</f>
        <v>10</v>
      </c>
      <c r="D134" s="328">
        <f t="array" ref="D134">INDEX('アイテム'!$G$3:$H$114, MATCH($A$1,'アイテム'!$A$3:$A$114,0), MATCH(D129,'アイテム'!$C$2:$AQ$2,0))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229</v>
      </c>
      <c r="C135" s="328" t="str">
        <f t="array" ref="C135">INDEX('アイテム'!$I$3:$J$114, MATCH($A$1,'アイテム'!$A$3:$A$114,0), MATCH(C129,'アイテム'!$C$2:$AQ$2,0))</f>
        <v>14</v>
      </c>
      <c r="D135" s="328">
        <f t="array" ref="D135">INDEX('アイテム'!$I$3:$J$114, MATCH($A$1,'アイテム'!$A$3:$A$114,0), MATCH(D129,'アイテム'!$C$2:$AQ$2,0))</f>
        <v>24</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233</v>
      </c>
      <c r="C136" s="328" t="str">
        <f t="array" ref="C136">INDEX('アイテム'!$K$3:$L$114, MATCH($A$1,'アイテム'!$A$3:$A$114,0), MATCH(C129,'アイテム'!$C$2:$AQ$2,0))</f>
        <v>15</v>
      </c>
      <c r="D136" s="328">
        <f t="array" ref="D136">INDEX('アイテム'!$K$3:$L$114, MATCH($A$1,'アイテム'!$A$3:$A$114,0), MATCH(D129,'アイテム'!$C$2:$AQ$2,0))</f>
        <v>23</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234</v>
      </c>
      <c r="C137" s="328" t="str">
        <f t="array" ref="C137">INDEX('アイテム'!$M$3:$N$114, MATCH($A$1,'アイテム'!$A$3:$A$114,0), MATCH(C129,'アイテム'!$C$2:$AQ$2,0))</f>
        <v>8</v>
      </c>
      <c r="D137" s="328">
        <f t="array" ref="D137">INDEX('アイテム'!$M$3:$N$114, MATCH($A$1,'アイテム'!$A$3:$A$114,0), MATCH(D129,'アイテム'!$C$2:$AQ$2,0))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219</v>
      </c>
      <c r="C138" s="328" t="str">
        <f t="array" ref="C138">INDEX('アイテム'!$O$3:$P$114, MATCH($A$1,'アイテム'!$A$3:$A$114,0), MATCH(C129,'アイテム'!$C$2:$AQ$2,0))</f>
        <v>6</v>
      </c>
      <c r="D138" s="328">
        <f t="array" ref="D138">INDEX('アイテム'!$O$3:$P$114, MATCH($A$1,'アイテム'!$A$3:$A$114,0), MATCH(D129,'アイテム'!$C$2:$AQ$2,0))</f>
        <v>29</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263</v>
      </c>
      <c r="C139" s="328" t="str">
        <f t="array" ref="C139">INDEX('アイテム'!$Q$3:$R$114, MATCH($A$1,'アイテム'!$A$3:$A$114,0), MATCH(C129,'アイテム'!$C$2:$AQ$2,0))</f>
        <v>7</v>
      </c>
      <c r="D139" s="328">
        <f t="array" ref="D139">INDEX('アイテム'!$Q$3:$R$114, MATCH($A$1,'アイテム'!$A$3:$A$114,0), MATCH(D129,'アイテム'!$C$2:$AQ$2,0))</f>
        <v>23</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264</v>
      </c>
      <c r="B140" s="327" t="s">
        <v>226</v>
      </c>
      <c r="C140" s="328" t="str">
        <f t="array" ref="C140">INDEX('アイテム'!$S$3:$T$114, MATCH($A$1,'アイテム'!$A$3:$A$114,0), MATCH(C129,'アイテム'!$C$2:$AQ$2,0))</f>
        <v>10</v>
      </c>
      <c r="D140" s="328">
        <f t="array" ref="D140">INDEX('アイテム'!$S$3:$T$114, MATCH($A$1,'アイテム'!$A$3:$A$114,0), MATCH(D129,'アイテム'!$C$2:$AQ$2,0))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INDEX('アイテム'!$U$3:$V$114, MATCH($A$1,'アイテム'!$A$3:$A$114,0), MATCH(C129,'アイテム'!$C$2:$AQ$2,0))</f>
        <v>14</v>
      </c>
      <c r="D141" s="328">
        <f t="array" ref="D141">INDEX('アイテム'!$U$3:$V$114, MATCH($A$1,'アイテム'!$A$3:$A$114,0), MATCH(D129,'アイテム'!$C$2:$AQ$2,0))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INDEX('アイテム'!$W$3:$X$114, MATCH($A$1,'アイテム'!$A$3:$A$114,0), MATCH(C129,'アイテム'!$C$2:$AQ$2,0))</f>
        <v>15</v>
      </c>
      <c r="D142" s="328">
        <f t="array" ref="D142">INDEX('アイテム'!$W$3:$X$114, MATCH($A$1,'アイテム'!$A$3:$A$114,0), MATCH(D129,'アイテム'!$C$2:$AQ$2,0))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234</v>
      </c>
      <c r="C143" s="328" t="str">
        <f t="array" ref="C143">INDEX('アイテム'!$Y$3:$Z$114, MATCH($A$1,'アイテム'!$A$3:$A$114,0), MATCH(C129,'アイテム'!$C$2:$AQ$2,0))</f>
        <v>8</v>
      </c>
      <c r="D143" s="328">
        <f t="array" ref="D143">INDEX('アイテム'!$Y$3:$Z$114, MATCH($A$1,'アイテム'!$A$3:$A$114,0), MATCH(D129,'アイテム'!$C$2:$AQ$2,0))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265</v>
      </c>
      <c r="B144" s="327" t="s">
        <v>226</v>
      </c>
      <c r="C144" s="328">
        <f t="array" ref="C144">INDEX('アイテム'!$AC$3:$AD$114, MATCH($A$1,'アイテム'!$A$3:$A$114,0), MATCH(C129,'アイテム'!$C$2:$AQ$2,0))</f>
        <v>18</v>
      </c>
      <c r="D144" s="328" t="str">
        <f t="array" ref="D144">INDEX('アイテム'!$AC$3:$AD$114, MATCH($A$1,'アイテム'!$A$3:$A$114,0), MATCH(D129,'アイテム'!$C$2:$AQ$2,0))</f>
        <v>30</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f t="array" ref="C145">INDEX('アイテム'!$AE$3:$AF$114, MATCH($A$1,'アイテム'!$A$3:$A$114,0), MATCH(C129,'アイテム'!$C$2:$AQ$2,0))</f>
        <v>16</v>
      </c>
      <c r="D145" s="328" t="str">
        <f t="array" ref="D145">INDEX('アイテム'!$AE$3:$AF$114, MATCH($A$1,'アイテム'!$A$3:$A$114,0), MATCH(D129,'アイテム'!$C$2:$AQ$2,0))</f>
        <v>30</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f t="array" ref="C146">INDEX('アイテム'!$AG$3:$AH$114, MATCH($A$1,'アイテム'!$A$3:$A$114,0), MATCH(C129,'アイテム'!$C$2:$AQ$2,0))</f>
        <v>12</v>
      </c>
      <c r="D146" s="328" t="str">
        <f t="array" ref="D146">INDEX('アイテム'!$AG$3:$AH$114, MATCH($A$1,'アイテム'!$A$3:$A$114,0), MATCH(D129,'アイテム'!$C$2:$AQ$2,0))</f>
        <v>22</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f t="array" ref="C147">INDEX('アイテム'!$AI$3:$AJ$114, MATCH($A$1,'アイテム'!$A$3:$A$114,0), MATCH(C129,'アイテム'!$C$2:$AQ$2,0))</f>
        <v>11</v>
      </c>
      <c r="D147" s="328" t="str">
        <f t="array" ref="D147">INDEX('アイテム'!$AI$3:$AJ$114, MATCH($A$1,'アイテム'!$A$3:$A$114,0), MATCH(D129,'アイテム'!$C$2:$AQ$2,0))</f>
        <v>22</v>
      </c>
      <c r="E147" s="322"/>
      <c r="F147" s="322"/>
      <c r="G147" s="114"/>
      <c r="H147" s="228"/>
      <c r="I147" s="228"/>
      <c r="J147" s="228"/>
      <c r="K147" s="118"/>
      <c r="L147" s="118"/>
      <c r="M147" s="118"/>
      <c r="N147" s="102"/>
      <c r="O147" s="102"/>
      <c r="P147" s="102"/>
      <c r="Q147" s="102"/>
      <c r="R147" s="118"/>
      <c r="S147" s="118"/>
      <c r="T147" s="118"/>
      <c r="U147" s="118"/>
      <c r="V147" s="118"/>
    </row>
  </sheetData>
  <mergeCells count="137">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1"/>
    <mergeCell ref="U30:U31"/>
    <mergeCell ref="H32:J32"/>
    <mergeCell ref="A24:B25"/>
    <mergeCell ref="A26:A27"/>
    <mergeCell ref="A30:A31"/>
    <mergeCell ref="D30:D31"/>
    <mergeCell ref="A34:A35"/>
    <mergeCell ref="D34:D35"/>
    <mergeCell ref="D36:D37"/>
    <mergeCell ref="H33:J33"/>
    <mergeCell ref="H34:J35"/>
    <mergeCell ref="U34:U35"/>
    <mergeCell ref="H36:J37"/>
    <mergeCell ref="U36:U37"/>
    <mergeCell ref="I41:I42"/>
    <mergeCell ref="J41:J42"/>
    <mergeCell ref="U51:U54"/>
    <mergeCell ref="U56:U65"/>
    <mergeCell ref="V56:V65"/>
    <mergeCell ref="U67:U69"/>
    <mergeCell ref="V67:V69"/>
    <mergeCell ref="U71:U72"/>
    <mergeCell ref="V71:V72"/>
    <mergeCell ref="R40:V40"/>
    <mergeCell ref="R41:V42"/>
    <mergeCell ref="R43:V43"/>
    <mergeCell ref="R44:V44"/>
    <mergeCell ref="R45:V45"/>
    <mergeCell ref="R46:V47"/>
    <mergeCell ref="V51:V54"/>
    <mergeCell ref="H60:J60"/>
    <mergeCell ref="H61:J61"/>
    <mergeCell ref="H62:J62"/>
    <mergeCell ref="H63:J63"/>
    <mergeCell ref="H64:J65"/>
    <mergeCell ref="H66:J66"/>
    <mergeCell ref="H67:J69"/>
    <mergeCell ref="H70:J70"/>
    <mergeCell ref="H71:J71"/>
    <mergeCell ref="H72:J72"/>
    <mergeCell ref="G80:J80"/>
    <mergeCell ref="G81:J82"/>
    <mergeCell ref="G83:J84"/>
    <mergeCell ref="G85:J86"/>
    <mergeCell ref="K115:K118"/>
    <mergeCell ref="K119:L119"/>
    <mergeCell ref="K122:L122"/>
    <mergeCell ref="G87:J88"/>
    <mergeCell ref="K99:L99"/>
    <mergeCell ref="K100:K101"/>
    <mergeCell ref="K102:L102"/>
    <mergeCell ref="K103:K108"/>
    <mergeCell ref="K109:K112"/>
    <mergeCell ref="K113:L113"/>
    <mergeCell ref="A100:A104"/>
    <mergeCell ref="A105:A107"/>
    <mergeCell ref="A108:A113"/>
    <mergeCell ref="C112:C113"/>
    <mergeCell ref="D112:D113"/>
    <mergeCell ref="C118:C119"/>
    <mergeCell ref="D118:D119"/>
    <mergeCell ref="A114:A119"/>
    <mergeCell ref="A120:A126"/>
    <mergeCell ref="C125:C126"/>
    <mergeCell ref="D125:D126"/>
    <mergeCell ref="A128:B128"/>
    <mergeCell ref="A129:B129"/>
    <mergeCell ref="A133:B133"/>
    <mergeCell ref="A36:A37"/>
    <mergeCell ref="A39:B40"/>
    <mergeCell ref="A41:A42"/>
    <mergeCell ref="D41:D42"/>
    <mergeCell ref="D46:D47"/>
    <mergeCell ref="I46:I47"/>
    <mergeCell ref="J46:J47"/>
    <mergeCell ref="H50:J50"/>
    <mergeCell ref="H51:J54"/>
    <mergeCell ref="H55:J55"/>
    <mergeCell ref="H56:J56"/>
    <mergeCell ref="H57:J57"/>
    <mergeCell ref="H58:J58"/>
    <mergeCell ref="H59:J59"/>
    <mergeCell ref="D53:D54"/>
    <mergeCell ref="D64:D65"/>
    <mergeCell ref="D67:D69"/>
    <mergeCell ref="D81:D82"/>
    <mergeCell ref="D83:D84"/>
    <mergeCell ref="D85:D86"/>
    <mergeCell ref="D87:D88"/>
    <mergeCell ref="A56:A65"/>
    <mergeCell ref="A67:A69"/>
    <mergeCell ref="A71:A72"/>
    <mergeCell ref="A77:A79"/>
    <mergeCell ref="A81:A82"/>
    <mergeCell ref="A83:A84"/>
    <mergeCell ref="A85:A86"/>
    <mergeCell ref="A87:A88"/>
    <mergeCell ref="A46:A47"/>
    <mergeCell ref="A49:B49"/>
    <mergeCell ref="A50:B50"/>
    <mergeCell ref="A51:A54"/>
    <mergeCell ref="D51:D52"/>
    <mergeCell ref="A55:B55"/>
    <mergeCell ref="A66:B66"/>
    <mergeCell ref="A70:B70"/>
    <mergeCell ref="A74:B75"/>
    <mergeCell ref="A80:B80"/>
    <mergeCell ref="A90:B91"/>
    <mergeCell ref="A92:A94"/>
    <mergeCell ref="A95:A96"/>
    <mergeCell ref="A98:B99"/>
    <mergeCell ref="A130:A131"/>
    <mergeCell ref="A134:A139"/>
    <mergeCell ref="A140:A143"/>
    <mergeCell ref="A144:A147"/>
  </mergeCells>
  <conditionalFormatting sqref="K1:K15 K17:K70 K72:K123 C81 E81:F81 C83 E83:F83 C85 E85:F85 C87 E87:F87">
    <cfRule type="containsText" dxfId="0" priority="1" operator="containsText" text="361">
      <formula>NOT(ISERROR(SEARCH(("361"),(K1))))</formula>
    </cfRule>
  </conditionalFormatting>
  <conditionalFormatting sqref="K1:K15 K17:K70 K72:K123 C81 E81:F81 C83 E83:F83 C85 E85:F85 C87 E87:F87">
    <cfRule type="containsText" dxfId="1" priority="2" operator="containsText" text="363">
      <formula>NOT(ISERROR(SEARCH(("363"),(K1))))</formula>
    </cfRule>
  </conditionalFormatting>
  <conditionalFormatting sqref="K1:K15 K17:K70 K72:K123 C81 E81:F81 C83 E83:F83 C85 E85:F85 C87 E87:F87">
    <cfRule type="containsText" dxfId="1" priority="3" operator="containsText" text="365">
      <formula>NOT(ISERROR(SEARCH(("365"),(K1))))</formula>
    </cfRule>
  </conditionalFormatting>
  <conditionalFormatting sqref="K1:K15 K17:K70 K72:K123 C81 E81:F81 C83 E83:F83 C85 E85:F85 C87 E87:F87">
    <cfRule type="containsText" dxfId="1" priority="4" operator="containsText" text="366">
      <formula>NOT(ISERROR(SEARCH(("366"),(K1))))</formula>
    </cfRule>
  </conditionalFormatting>
  <conditionalFormatting sqref="K1:K15 K17:K70 K72:K123 C81 E81:F81 C83 E83:F83 C85 E85:F85 C87 E87:F87">
    <cfRule type="containsText" dxfId="1" priority="5" operator="containsText" text="367">
      <formula>NOT(ISERROR(SEARCH(("367"),(K1))))</formula>
    </cfRule>
  </conditionalFormatting>
  <conditionalFormatting sqref="P81:P88">
    <cfRule type="cellIs" dxfId="2" priority="6" operator="equal">
      <formula>"敵のみ"</formula>
    </cfRule>
  </conditionalFormatting>
  <conditionalFormatting sqref="C81:C88">
    <cfRule type="cellIs" dxfId="3" priority="7" operator="equal">
      <formula>"-"</formula>
    </cfRule>
  </conditionalFormatting>
  <conditionalFormatting sqref="O1:O70 O72:O147 C81 E81:F81 K81:N81 P81:Q88 C83 E83:F83 K83:N83 C85 E85:F85 K85:N85 C87 E87:F87 K87:N87">
    <cfRule type="cellIs" dxfId="4" priority="8" operator="greaterThan">
      <formula>0</formula>
    </cfRule>
  </conditionalFormatting>
  <conditionalFormatting sqref="P1:Q70 P72:Q147">
    <cfRule type="cellIs" dxfId="5" priority="9" operator="lessThan">
      <formula>1</formula>
    </cfRule>
  </conditionalFormatting>
  <conditionalFormatting sqref="P1:Q70 P72:Q147">
    <cfRule type="cellIs" dxfId="4" priority="10" operator="greaterThan">
      <formula>1</formula>
    </cfRule>
  </conditionalFormatting>
  <conditionalFormatting sqref="N25:N70 N72:N88">
    <cfRule type="cellIs" dxfId="6" priority="11" operator="greaterThan">
      <formula>0</formula>
    </cfRule>
  </conditionalFormatting>
  <conditionalFormatting sqref="N1:N15 N17:N70 N72:N147">
    <cfRule type="containsText" dxfId="6" priority="12" operator="containsText" text="/">
      <formula>NOT(ISERROR(SEARCH(("/"),(N1))))</formula>
    </cfRule>
  </conditionalFormatting>
  <drawing r:id="rId2"/>
  <legacyDrawing r:id="rId3"/>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17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266">
        <v>22.0</v>
      </c>
      <c r="B1" s="1267"/>
      <c r="C1" s="1268" t="str">
        <f>IMAGE(VLOOKUP($A$1,Fighters!A2:AI114,12,FALSE),1)</f>
        <v>#REF!</v>
      </c>
      <c r="D1" s="1269"/>
      <c r="E1" s="1269"/>
      <c r="F1" s="1269"/>
      <c r="G1" s="1270"/>
      <c r="H1" s="1271"/>
      <c r="I1" s="1269"/>
      <c r="J1" s="1270"/>
      <c r="K1" s="1272"/>
      <c r="L1" s="1269"/>
      <c r="M1" s="1270"/>
      <c r="N1" s="1273"/>
      <c r="O1" s="1273"/>
      <c r="P1" s="1273"/>
      <c r="Q1" s="1273"/>
      <c r="R1" s="1274"/>
      <c r="S1" s="1274"/>
      <c r="T1" s="1274"/>
      <c r="U1" s="1274"/>
      <c r="V1" s="1274"/>
    </row>
    <row r="2">
      <c r="A2" s="1275" t="str">
        <f>VLOOKUP($A$1,Fighters!$A$2:$AI$81,6,FALSE)</f>
        <v>#70a174</v>
      </c>
      <c r="B2" s="1267"/>
      <c r="C2" s="1276"/>
      <c r="G2" s="1277"/>
      <c r="H2" s="1278"/>
      <c r="I2" s="1279"/>
      <c r="J2" s="1280"/>
      <c r="K2" s="1278"/>
      <c r="L2" s="1279"/>
      <c r="M2" s="1280"/>
      <c r="N2" s="1273"/>
      <c r="O2" s="1273"/>
      <c r="P2" s="1273"/>
      <c r="Q2" s="1273"/>
      <c r="R2" s="1274"/>
      <c r="S2" s="1274"/>
      <c r="T2" s="1274"/>
      <c r="U2" s="1274"/>
      <c r="V2" s="1274"/>
    </row>
    <row r="3">
      <c r="A3" s="1275" t="str">
        <f>VLOOKUP($A$1,Fighters!$A$2:$AI$81,14,FALSE)</f>
        <v>22. こどもリンク</v>
      </c>
      <c r="B3" s="1267"/>
      <c r="C3" s="1276"/>
      <c r="G3" s="1277"/>
      <c r="H3" s="1281"/>
      <c r="I3" s="1281"/>
      <c r="J3" s="1281"/>
      <c r="K3" s="1282"/>
      <c r="L3" s="1282"/>
      <c r="M3" s="1282"/>
      <c r="N3" s="1273"/>
      <c r="O3" s="1273"/>
      <c r="P3" s="1273"/>
      <c r="Q3" s="1273"/>
      <c r="R3" s="1283"/>
      <c r="S3" s="1274"/>
      <c r="T3" s="1274"/>
      <c r="U3" s="1274"/>
      <c r="V3" s="1274"/>
    </row>
    <row r="4">
      <c r="A4" s="1275" t="str">
        <f>VLOOKUP($A$1,Fighters!$A$2:$AI$81,13,FALSE)</f>
        <v>0</v>
      </c>
      <c r="B4" s="1267"/>
      <c r="C4" s="1276"/>
      <c r="G4" s="1277"/>
      <c r="H4" s="1284"/>
      <c r="I4" s="1284"/>
      <c r="J4" s="1281"/>
      <c r="K4" s="1282"/>
      <c r="L4" s="1282"/>
      <c r="M4" s="1282"/>
      <c r="N4" s="1273"/>
      <c r="O4" s="1273"/>
      <c r="P4" s="1273"/>
      <c r="Q4" s="1273"/>
      <c r="R4" s="1283"/>
      <c r="S4" s="1274"/>
      <c r="T4" s="1274"/>
      <c r="U4" s="1274"/>
      <c r="V4" s="1274"/>
    </row>
    <row r="5" ht="16.5" customHeight="1">
      <c r="A5" s="1266"/>
      <c r="B5" s="1267"/>
      <c r="C5" s="1276"/>
      <c r="G5" s="1277"/>
      <c r="H5" s="1285"/>
      <c r="I5" s="1285"/>
      <c r="J5" s="1286"/>
      <c r="K5" s="1287"/>
      <c r="L5" s="1288"/>
      <c r="M5" s="1288"/>
      <c r="N5" s="1273"/>
      <c r="O5" s="1273"/>
      <c r="P5" s="1273"/>
      <c r="Q5" s="1273"/>
      <c r="R5" s="1283"/>
      <c r="S5" s="1274"/>
      <c r="T5" s="1274"/>
      <c r="U5" s="1274"/>
      <c r="V5" s="1274"/>
    </row>
    <row r="6">
      <c r="A6" s="1267"/>
      <c r="B6" s="1267"/>
      <c r="C6" s="1276"/>
      <c r="G6" s="1277"/>
      <c r="H6" s="1284"/>
      <c r="I6" s="1289" t="s">
        <v>39</v>
      </c>
      <c r="J6" s="1287"/>
      <c r="K6" s="1290"/>
      <c r="L6" s="1288"/>
      <c r="M6" s="1288"/>
      <c r="N6" s="1273"/>
      <c r="O6" s="1273"/>
      <c r="P6" s="1273"/>
      <c r="Q6" s="1273"/>
      <c r="R6" s="1283"/>
      <c r="S6" s="1274"/>
      <c r="T6" s="1274"/>
      <c r="U6" s="1274"/>
      <c r="V6" s="1274"/>
    </row>
    <row r="7">
      <c r="A7" s="1267"/>
      <c r="B7" s="1267"/>
      <c r="C7" s="1276"/>
      <c r="G7" s="1277"/>
      <c r="H7" s="1285"/>
      <c r="I7" s="1285"/>
      <c r="J7" s="1287"/>
      <c r="K7" s="1290"/>
      <c r="L7" s="1288"/>
      <c r="M7" s="1288"/>
      <c r="N7" s="1273"/>
      <c r="O7" s="1273"/>
      <c r="P7" s="1273"/>
      <c r="Q7" s="1273"/>
      <c r="R7" s="1283"/>
      <c r="S7" s="1274"/>
      <c r="T7" s="1274"/>
      <c r="U7" s="1274"/>
      <c r="V7" s="1274"/>
    </row>
    <row r="8">
      <c r="A8" s="1267"/>
      <c r="B8" s="1267"/>
      <c r="C8" s="1276"/>
      <c r="G8" s="1277"/>
      <c r="H8" s="1291">
        <v>44379.84394287037</v>
      </c>
      <c r="I8" s="1269"/>
      <c r="J8" s="1270"/>
      <c r="K8" s="1287"/>
      <c r="L8" s="1288"/>
      <c r="M8" s="1288"/>
      <c r="N8" s="1273"/>
      <c r="O8" s="1273"/>
      <c r="P8" s="1273"/>
      <c r="Q8" s="1273"/>
      <c r="R8" s="1283"/>
      <c r="S8" s="1274"/>
      <c r="T8" s="1274"/>
      <c r="U8" s="1274"/>
      <c r="V8" s="1274"/>
    </row>
    <row r="9">
      <c r="A9" s="1267"/>
      <c r="B9" s="1267"/>
      <c r="C9" s="1276"/>
      <c r="G9" s="1277"/>
      <c r="H9" s="1278"/>
      <c r="I9" s="1279"/>
      <c r="J9" s="1280"/>
      <c r="K9" s="1274"/>
      <c r="L9" s="1273"/>
      <c r="M9" s="1273"/>
      <c r="N9" s="1273"/>
      <c r="O9" s="1273"/>
      <c r="P9" s="1273"/>
      <c r="Q9" s="1273"/>
      <c r="R9" s="1283"/>
      <c r="S9" s="1274"/>
      <c r="T9" s="1274"/>
      <c r="U9" s="1274"/>
      <c r="V9" s="1274"/>
    </row>
    <row r="10">
      <c r="A10" s="1267"/>
      <c r="B10" s="1267"/>
      <c r="C10" s="1276"/>
      <c r="G10" s="1277"/>
      <c r="H10" s="1292"/>
      <c r="I10" s="1292"/>
      <c r="J10" s="1274"/>
      <c r="K10" s="1274"/>
      <c r="L10" s="1273"/>
      <c r="M10" s="1273"/>
      <c r="N10" s="1273"/>
      <c r="O10" s="1273"/>
      <c r="P10" s="1273"/>
      <c r="Q10" s="1273"/>
      <c r="R10" s="1283"/>
      <c r="S10" s="1274"/>
      <c r="T10" s="1274"/>
      <c r="U10" s="1274"/>
      <c r="V10" s="1274"/>
    </row>
    <row r="11">
      <c r="A11" s="1293" t="s">
        <v>40</v>
      </c>
      <c r="B11" s="1270"/>
      <c r="C11" s="1276"/>
      <c r="G11" s="1277"/>
      <c r="H11" s="1285"/>
      <c r="I11" s="1285"/>
      <c r="J11" s="1274"/>
      <c r="K11" s="1274"/>
      <c r="L11" s="1273"/>
      <c r="M11" s="1273"/>
      <c r="N11" s="1273"/>
      <c r="O11" s="1273"/>
      <c r="P11" s="1273"/>
      <c r="Q11" s="1273"/>
      <c r="R11" s="1283"/>
      <c r="S11" s="1274"/>
      <c r="T11" s="1274"/>
      <c r="U11" s="1274"/>
      <c r="V11" s="1274"/>
    </row>
    <row r="12">
      <c r="A12" s="1278"/>
      <c r="B12" s="1280"/>
      <c r="C12" s="1278"/>
      <c r="D12" s="1279"/>
      <c r="E12" s="1279"/>
      <c r="F12" s="1279"/>
      <c r="G12" s="1280"/>
      <c r="H12" s="1294"/>
      <c r="I12" s="1294"/>
      <c r="J12" s="1267"/>
      <c r="K12" s="1267"/>
      <c r="L12" s="1273"/>
      <c r="M12" s="1273"/>
      <c r="N12" s="1273"/>
      <c r="O12" s="1273"/>
      <c r="P12" s="1273"/>
      <c r="Q12" s="1273"/>
      <c r="R12" s="1283"/>
      <c r="S12" s="1274"/>
      <c r="T12" s="1274"/>
      <c r="U12" s="1274"/>
      <c r="V12" s="127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88 [66th]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36F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1.98 [30th]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1.26 [18th]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49F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0.1496 [45th]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36.09 [17th]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1.749 [41st]</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0.095 [66th]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14.43 [68th]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0.966 [64th]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0.098 [14th]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51.56 [2nd]</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1</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 [13th]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0.005 [79th]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2.88 [13th]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 [68th]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62" t="s">
        <v>717</v>
      </c>
      <c r="D26" s="162" t="s">
        <v>394</v>
      </c>
      <c r="E26" s="139" t="s">
        <v>176</v>
      </c>
      <c r="F26" s="138">
        <v>2.4</v>
      </c>
      <c r="G26" s="139" t="s">
        <v>60</v>
      </c>
      <c r="H26" s="903" t="s">
        <v>1878</v>
      </c>
      <c r="I26" s="110"/>
      <c r="J26" s="109"/>
      <c r="K26" s="138"/>
      <c r="L26" s="282"/>
      <c r="M26" s="363"/>
      <c r="N26" s="363"/>
      <c r="O26" s="145">
        <v>0.0</v>
      </c>
      <c r="P26" s="145">
        <v>1.0</v>
      </c>
      <c r="Q26" s="145">
        <v>1.0</v>
      </c>
      <c r="R26" s="100"/>
      <c r="S26" s="100"/>
      <c r="T26" s="100"/>
      <c r="U26" s="145" t="s">
        <v>62</v>
      </c>
      <c r="V26" s="100"/>
    </row>
    <row r="27" outlineLevel="1">
      <c r="A27" s="146"/>
      <c r="B27" s="147" t="s">
        <v>63</v>
      </c>
      <c r="C27" s="467" t="s">
        <v>217</v>
      </c>
      <c r="D27" s="467" t="s">
        <v>153</v>
      </c>
      <c r="E27" s="216" t="s">
        <v>1024</v>
      </c>
      <c r="F27" s="138">
        <v>1.7999999999999998</v>
      </c>
      <c r="G27" s="139" t="s">
        <v>60</v>
      </c>
      <c r="H27" s="151" t="s">
        <v>1879</v>
      </c>
      <c r="I27" s="110"/>
      <c r="J27" s="109"/>
      <c r="K27" s="282"/>
      <c r="L27" s="282"/>
      <c r="M27" s="363"/>
      <c r="N27" s="363"/>
      <c r="O27" s="145">
        <v>0.0</v>
      </c>
      <c r="P27" s="145">
        <v>1.0</v>
      </c>
      <c r="Q27" s="145">
        <v>1.0</v>
      </c>
      <c r="R27" s="100"/>
      <c r="S27" s="100"/>
      <c r="T27" s="100"/>
      <c r="U27" s="145" t="s">
        <v>69</v>
      </c>
      <c r="V27" s="100"/>
    </row>
    <row r="28" outlineLevel="1">
      <c r="A28" s="146"/>
      <c r="B28" s="147" t="s">
        <v>70</v>
      </c>
      <c r="C28" s="467" t="s">
        <v>217</v>
      </c>
      <c r="D28" s="467" t="s">
        <v>193</v>
      </c>
      <c r="E28" s="216" t="s">
        <v>651</v>
      </c>
      <c r="F28" s="138">
        <v>4.2</v>
      </c>
      <c r="G28" s="139" t="s">
        <v>147</v>
      </c>
      <c r="H28" s="151"/>
      <c r="I28" s="110"/>
      <c r="J28" s="109"/>
      <c r="K28" s="282"/>
      <c r="L28" s="282"/>
      <c r="M28" s="363"/>
      <c r="N28" s="363"/>
      <c r="O28" s="145">
        <v>0.0</v>
      </c>
      <c r="P28" s="145">
        <v>1.0</v>
      </c>
      <c r="Q28" s="145">
        <v>1.0</v>
      </c>
      <c r="R28" s="100"/>
      <c r="S28" s="100"/>
      <c r="T28" s="100"/>
      <c r="U28" s="145" t="s">
        <v>76</v>
      </c>
      <c r="V28" s="100"/>
    </row>
    <row r="29" outlineLevel="1">
      <c r="A29" s="146"/>
      <c r="B29" s="147" t="s">
        <v>703</v>
      </c>
      <c r="C29" s="659"/>
      <c r="D29" s="467" t="s">
        <v>204</v>
      </c>
      <c r="E29" s="659"/>
      <c r="F29" s="658"/>
      <c r="G29" s="659"/>
      <c r="H29" s="151"/>
      <c r="I29" s="110"/>
      <c r="J29" s="109"/>
      <c r="K29" s="261"/>
      <c r="L29" s="261"/>
      <c r="M29" s="261"/>
      <c r="N29" s="261"/>
      <c r="O29" s="261"/>
      <c r="P29" s="261"/>
      <c r="Q29" s="261"/>
      <c r="R29" s="100"/>
      <c r="S29" s="100"/>
      <c r="T29" s="100"/>
      <c r="U29" s="145" t="s">
        <v>76</v>
      </c>
      <c r="V29" s="100"/>
    </row>
    <row r="30" outlineLevel="1">
      <c r="A30" s="146"/>
      <c r="B30" s="147" t="s">
        <v>704</v>
      </c>
      <c r="C30" s="467" t="s">
        <v>1663</v>
      </c>
      <c r="D30" s="467" t="s">
        <v>394</v>
      </c>
      <c r="E30" s="467" t="s">
        <v>1431</v>
      </c>
      <c r="F30" s="138">
        <v>0.36</v>
      </c>
      <c r="G30" s="450" t="s">
        <v>60</v>
      </c>
      <c r="H30" s="151" t="s">
        <v>1880</v>
      </c>
      <c r="I30" s="110"/>
      <c r="J30" s="109"/>
      <c r="K30" s="282"/>
      <c r="L30" s="282"/>
      <c r="M30" s="363"/>
      <c r="N30" s="363"/>
      <c r="O30" s="145">
        <v>0.0</v>
      </c>
      <c r="P30" s="145">
        <v>1.0</v>
      </c>
      <c r="Q30" s="145">
        <v>1.0</v>
      </c>
      <c r="R30" s="100"/>
      <c r="S30" s="100"/>
      <c r="T30" s="100"/>
      <c r="U30" s="145" t="s">
        <v>76</v>
      </c>
      <c r="V30" s="100"/>
    </row>
    <row r="31" outlineLevel="1">
      <c r="A31" s="156"/>
      <c r="B31" s="147" t="s">
        <v>708</v>
      </c>
      <c r="C31" s="467" t="s">
        <v>717</v>
      </c>
      <c r="D31" s="467" t="s">
        <v>146</v>
      </c>
      <c r="E31" s="467" t="s">
        <v>535</v>
      </c>
      <c r="F31" s="138">
        <v>3.0</v>
      </c>
      <c r="G31" s="467" t="s">
        <v>147</v>
      </c>
      <c r="H31" s="151"/>
      <c r="I31" s="110"/>
      <c r="J31" s="109"/>
      <c r="K31" s="282"/>
      <c r="L31" s="282"/>
      <c r="M31" s="363"/>
      <c r="N31" s="363"/>
      <c r="O31" s="145">
        <v>0.0</v>
      </c>
      <c r="P31" s="145">
        <v>1.0</v>
      </c>
      <c r="Q31" s="145">
        <v>1.0</v>
      </c>
      <c r="R31" s="100"/>
      <c r="S31" s="100"/>
      <c r="T31" s="100"/>
      <c r="U31" s="145" t="s">
        <v>76</v>
      </c>
      <c r="V31" s="100"/>
    </row>
    <row r="32" outlineLevel="1">
      <c r="A32" s="170" t="s">
        <v>77</v>
      </c>
      <c r="B32" s="160"/>
      <c r="C32" s="467" t="s">
        <v>161</v>
      </c>
      <c r="D32" s="467" t="s">
        <v>218</v>
      </c>
      <c r="E32" s="467" t="s">
        <v>1881</v>
      </c>
      <c r="F32" s="138" t="s">
        <v>1882</v>
      </c>
      <c r="G32" s="139" t="s">
        <v>725</v>
      </c>
      <c r="H32" s="151" t="s">
        <v>408</v>
      </c>
      <c r="I32" s="110"/>
      <c r="J32" s="109"/>
      <c r="K32" s="138"/>
      <c r="L32" s="282"/>
      <c r="M32" s="363"/>
      <c r="N32" s="363"/>
      <c r="O32" s="145">
        <v>0.0</v>
      </c>
      <c r="P32" s="145">
        <v>1.0</v>
      </c>
      <c r="Q32" s="145">
        <v>1.0</v>
      </c>
      <c r="R32" s="100"/>
      <c r="S32" s="100"/>
      <c r="T32" s="100"/>
      <c r="U32" s="145" t="s">
        <v>69</v>
      </c>
      <c r="V32" s="100"/>
    </row>
    <row r="33" outlineLevel="1">
      <c r="A33" s="170" t="s">
        <v>89</v>
      </c>
      <c r="B33" s="147"/>
      <c r="C33" s="467" t="s">
        <v>627</v>
      </c>
      <c r="D33" s="467" t="s">
        <v>72</v>
      </c>
      <c r="E33" s="467" t="s">
        <v>1883</v>
      </c>
      <c r="F33" s="138" t="s">
        <v>1884</v>
      </c>
      <c r="G33" s="139" t="s">
        <v>1885</v>
      </c>
      <c r="H33" s="151" t="s">
        <v>408</v>
      </c>
      <c r="I33" s="110"/>
      <c r="J33" s="109"/>
      <c r="K33" s="138"/>
      <c r="L33" s="282"/>
      <c r="M33" s="363"/>
      <c r="N33" s="363"/>
      <c r="O33" s="145">
        <v>0.0</v>
      </c>
      <c r="P33" s="145">
        <v>1.0</v>
      </c>
      <c r="Q33" s="145">
        <v>1.0</v>
      </c>
      <c r="R33" s="100"/>
      <c r="S33" s="100"/>
      <c r="T33" s="100"/>
      <c r="U33" s="145" t="s">
        <v>62</v>
      </c>
      <c r="V33" s="100"/>
    </row>
    <row r="34" outlineLevel="1">
      <c r="A34" s="170" t="s">
        <v>97</v>
      </c>
      <c r="B34" s="160"/>
      <c r="C34" s="467" t="s">
        <v>1886</v>
      </c>
      <c r="D34" s="467" t="s">
        <v>271</v>
      </c>
      <c r="E34" s="467" t="s">
        <v>80</v>
      </c>
      <c r="F34" s="138">
        <v>9.6</v>
      </c>
      <c r="G34" s="139" t="s">
        <v>123</v>
      </c>
      <c r="H34" s="151" t="s">
        <v>408</v>
      </c>
      <c r="I34" s="110"/>
      <c r="J34" s="109"/>
      <c r="K34" s="282"/>
      <c r="L34" s="282"/>
      <c r="M34" s="363"/>
      <c r="N34" s="363"/>
      <c r="O34" s="145">
        <v>0.0</v>
      </c>
      <c r="P34" s="145">
        <v>1.0</v>
      </c>
      <c r="Q34" s="145">
        <v>1.0</v>
      </c>
      <c r="R34" s="100"/>
      <c r="S34" s="100"/>
      <c r="T34" s="100"/>
      <c r="U34" s="145" t="s">
        <v>62</v>
      </c>
      <c r="V34" s="100"/>
    </row>
    <row r="35" outlineLevel="1">
      <c r="A35" s="170" t="s">
        <v>103</v>
      </c>
      <c r="B35" s="160"/>
      <c r="C35" s="467" t="s">
        <v>518</v>
      </c>
      <c r="D35" s="467" t="s">
        <v>92</v>
      </c>
      <c r="E35" s="467" t="s">
        <v>1887</v>
      </c>
      <c r="F35" s="138" t="s">
        <v>1888</v>
      </c>
      <c r="G35" s="139" t="s">
        <v>1889</v>
      </c>
      <c r="H35" s="151" t="s">
        <v>408</v>
      </c>
      <c r="I35" s="110"/>
      <c r="J35" s="109"/>
      <c r="K35" s="145"/>
      <c r="L35" s="363"/>
      <c r="M35" s="363"/>
      <c r="N35" s="363"/>
      <c r="O35" s="145">
        <v>0.0</v>
      </c>
      <c r="P35" s="145">
        <v>1.0</v>
      </c>
      <c r="Q35" s="145">
        <v>1.0</v>
      </c>
      <c r="R35" s="100"/>
      <c r="S35" s="100"/>
      <c r="T35" s="100"/>
      <c r="U35" s="145" t="s">
        <v>62</v>
      </c>
      <c r="V35" s="100"/>
    </row>
    <row r="36" outlineLevel="1">
      <c r="A36" s="133" t="s">
        <v>109</v>
      </c>
      <c r="B36" s="147" t="s">
        <v>412</v>
      </c>
      <c r="C36" s="467" t="s">
        <v>561</v>
      </c>
      <c r="D36" s="467" t="s">
        <v>111</v>
      </c>
      <c r="E36" s="467" t="s">
        <v>86</v>
      </c>
      <c r="F36" s="138">
        <v>7.199999999999999</v>
      </c>
      <c r="G36" s="139" t="s">
        <v>75</v>
      </c>
      <c r="H36" s="163" t="s">
        <v>1890</v>
      </c>
      <c r="I36" s="164"/>
      <c r="J36" s="104"/>
      <c r="K36" s="282"/>
      <c r="L36" s="282"/>
      <c r="M36" s="363"/>
      <c r="N36" s="363"/>
      <c r="O36" s="145">
        <v>0.0</v>
      </c>
      <c r="P36" s="145">
        <v>1.0</v>
      </c>
      <c r="Q36" s="145">
        <v>1.0</v>
      </c>
      <c r="R36" s="100"/>
      <c r="S36" s="100"/>
      <c r="T36" s="100"/>
      <c r="U36" s="145" t="s">
        <v>88</v>
      </c>
      <c r="V36" s="100"/>
    </row>
    <row r="37" outlineLevel="1">
      <c r="A37" s="156"/>
      <c r="B37" s="147" t="s">
        <v>423</v>
      </c>
      <c r="C37" s="467" t="s">
        <v>299</v>
      </c>
      <c r="D37" s="467" t="s">
        <v>185</v>
      </c>
      <c r="E37" s="467" t="s">
        <v>1891</v>
      </c>
      <c r="F37" s="138" t="s">
        <v>1892</v>
      </c>
      <c r="G37" s="139" t="s">
        <v>1893</v>
      </c>
      <c r="H37" s="106"/>
      <c r="I37" s="168"/>
      <c r="J37" s="107"/>
      <c r="K37" s="282"/>
      <c r="L37" s="282"/>
      <c r="M37" s="363"/>
      <c r="N37" s="363"/>
      <c r="O37" s="145">
        <v>0.0</v>
      </c>
      <c r="P37" s="145">
        <v>1.0</v>
      </c>
      <c r="Q37" s="145">
        <v>1.0</v>
      </c>
      <c r="R37" s="100"/>
      <c r="S37" s="100"/>
      <c r="T37" s="100"/>
      <c r="U37" s="145" t="s">
        <v>76</v>
      </c>
      <c r="V37" s="100"/>
    </row>
    <row r="38" outlineLevel="1">
      <c r="A38" s="133" t="s">
        <v>116</v>
      </c>
      <c r="B38" s="147" t="s">
        <v>125</v>
      </c>
      <c r="C38" s="467" t="s">
        <v>1290</v>
      </c>
      <c r="D38" s="455" t="s">
        <v>777</v>
      </c>
      <c r="E38" s="467" t="s">
        <v>204</v>
      </c>
      <c r="F38" s="138">
        <v>3.5999999999999996</v>
      </c>
      <c r="G38" s="139" t="s">
        <v>60</v>
      </c>
      <c r="H38" s="163" t="s">
        <v>1894</v>
      </c>
      <c r="I38" s="164"/>
      <c r="J38" s="104"/>
      <c r="K38" s="363"/>
      <c r="L38" s="363"/>
      <c r="M38" s="363"/>
      <c r="N38" s="363"/>
      <c r="O38" s="145">
        <v>0.0</v>
      </c>
      <c r="P38" s="145">
        <v>1.0</v>
      </c>
      <c r="Q38" s="145">
        <v>1.0</v>
      </c>
      <c r="R38" s="100"/>
      <c r="S38" s="100"/>
      <c r="T38" s="100"/>
      <c r="U38" s="166" t="s">
        <v>62</v>
      </c>
      <c r="V38" s="100"/>
    </row>
    <row r="39" outlineLevel="1">
      <c r="A39" s="146"/>
      <c r="B39" s="147" t="s">
        <v>131</v>
      </c>
      <c r="C39" s="216" t="s">
        <v>847</v>
      </c>
      <c r="D39" s="210"/>
      <c r="E39" s="467" t="s">
        <v>204</v>
      </c>
      <c r="F39" s="138">
        <v>3.5999999999999996</v>
      </c>
      <c r="G39" s="139" t="s">
        <v>60</v>
      </c>
      <c r="H39" s="212"/>
      <c r="J39" s="210"/>
      <c r="K39" s="363"/>
      <c r="L39" s="363"/>
      <c r="M39" s="363"/>
      <c r="N39" s="363"/>
      <c r="O39" s="145"/>
      <c r="P39" s="145"/>
      <c r="Q39" s="145"/>
      <c r="R39" s="100"/>
      <c r="S39" s="100"/>
      <c r="T39" s="100"/>
      <c r="U39" s="146"/>
      <c r="V39" s="100"/>
    </row>
    <row r="40" outlineLevel="1">
      <c r="A40" s="156"/>
      <c r="B40" s="147" t="s">
        <v>434</v>
      </c>
      <c r="C40" s="216" t="s">
        <v>435</v>
      </c>
      <c r="D40" s="107"/>
      <c r="E40" s="467" t="s">
        <v>1895</v>
      </c>
      <c r="F40" s="138" t="s">
        <v>1896</v>
      </c>
      <c r="G40" s="139" t="s">
        <v>824</v>
      </c>
      <c r="H40" s="106"/>
      <c r="I40" s="168"/>
      <c r="J40" s="107"/>
      <c r="K40" s="363"/>
      <c r="L40" s="363"/>
      <c r="M40" s="363"/>
      <c r="N40" s="363"/>
      <c r="O40" s="145">
        <v>0.0</v>
      </c>
      <c r="P40" s="145">
        <v>1.0</v>
      </c>
      <c r="Q40" s="145">
        <v>1.0</v>
      </c>
      <c r="R40" s="100"/>
      <c r="S40" s="100"/>
      <c r="T40" s="100"/>
      <c r="U40" s="156"/>
      <c r="V40" s="100"/>
    </row>
    <row r="41" outlineLevel="1">
      <c r="A41" s="133" t="s">
        <v>124</v>
      </c>
      <c r="B41" s="147" t="s">
        <v>125</v>
      </c>
      <c r="C41" s="216" t="s">
        <v>220</v>
      </c>
      <c r="D41" s="455" t="s">
        <v>185</v>
      </c>
      <c r="E41" s="467" t="s">
        <v>1897</v>
      </c>
      <c r="F41" s="138" t="s">
        <v>1898</v>
      </c>
      <c r="G41" s="139" t="s">
        <v>1899</v>
      </c>
      <c r="H41" s="163" t="s">
        <v>553</v>
      </c>
      <c r="I41" s="164"/>
      <c r="J41" s="104"/>
      <c r="K41" s="282"/>
      <c r="L41" s="282"/>
      <c r="M41" s="363"/>
      <c r="N41" s="363"/>
      <c r="O41" s="145">
        <v>0.0</v>
      </c>
      <c r="P41" s="145">
        <v>1.0</v>
      </c>
      <c r="Q41" s="145">
        <v>1.0</v>
      </c>
      <c r="R41" s="100"/>
      <c r="S41" s="100"/>
      <c r="T41" s="100"/>
      <c r="U41" s="166" t="s">
        <v>62</v>
      </c>
      <c r="V41" s="100"/>
    </row>
    <row r="42" outlineLevel="1">
      <c r="A42" s="156"/>
      <c r="B42" s="147" t="s">
        <v>131</v>
      </c>
      <c r="C42" s="216" t="s">
        <v>834</v>
      </c>
      <c r="D42" s="107"/>
      <c r="E42" s="467" t="s">
        <v>1900</v>
      </c>
      <c r="F42" s="138" t="s">
        <v>1901</v>
      </c>
      <c r="G42" s="139" t="s">
        <v>1893</v>
      </c>
      <c r="H42" s="106"/>
      <c r="I42" s="168"/>
      <c r="J42" s="107"/>
      <c r="K42" s="282"/>
      <c r="L42" s="282"/>
      <c r="M42" s="363"/>
      <c r="N42" s="363"/>
      <c r="O42" s="145">
        <v>0.0</v>
      </c>
      <c r="P42" s="145">
        <v>1.0</v>
      </c>
      <c r="Q42" s="145">
        <v>1.0</v>
      </c>
      <c r="R42" s="100"/>
      <c r="S42" s="100"/>
      <c r="T42" s="100"/>
      <c r="U42" s="156"/>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tr">
        <f>'テンプレート'!I56</f>
        <v>着地隙</v>
      </c>
      <c r="J45" s="184" t="s">
        <v>136</v>
      </c>
      <c r="K45" s="184" t="str">
        <f>'テンプレート'!K56</f>
        <v>ベクトル</v>
      </c>
      <c r="L45" s="184" t="str">
        <f>'テンプレート'!L56</f>
        <v>KBG (R.E.)</v>
      </c>
      <c r="M45" s="184" t="str">
        <f>'テンプレート'!M56</f>
        <v>BKB (R.A.)</v>
      </c>
      <c r="N45" s="184" t="str">
        <f>'テンプレート'!N56</f>
        <v>FKB (R.F.)</v>
      </c>
      <c r="O45" s="186" t="str">
        <f>'テンプレート'!O56</f>
        <v>盾削り値</v>
      </c>
      <c r="P45" s="184" t="str">
        <f>'テンプレート'!P56</f>
        <v>ﾋｯﾄｽﾄｯﾌﾟ</v>
      </c>
      <c r="Q45" s="186" t="str">
        <f>'テンプレート'!Q56</f>
        <v>ずらし</v>
      </c>
      <c r="R45" s="187" t="str">
        <f>'テンプレート'!R56</f>
        <v>備考</v>
      </c>
      <c r="S45" s="110"/>
      <c r="T45" s="110"/>
      <c r="U45" s="110"/>
      <c r="V45" s="110"/>
    </row>
    <row r="46" outlineLevel="1">
      <c r="A46" s="188" t="s">
        <v>144</v>
      </c>
      <c r="B46" s="373"/>
      <c r="C46" s="239" t="s">
        <v>717</v>
      </c>
      <c r="D46" s="455" t="s">
        <v>193</v>
      </c>
      <c r="E46" s="401" t="s">
        <v>128</v>
      </c>
      <c r="F46" s="193">
        <v>12.0</v>
      </c>
      <c r="G46" s="193">
        <v>10.2</v>
      </c>
      <c r="H46" s="138" t="s">
        <v>147</v>
      </c>
      <c r="I46" s="454" t="str">
        <f t="array" ref="I46">INDEX('空中攻撃'!$O$3:$AA$109, MATCH($A$1,'空中攻撃'!$A$3:$A$109,0), MATCH(A46,'空中攻撃'!$O$2:$S$2,0))</f>
        <v>6</v>
      </c>
      <c r="J46" s="455" t="s">
        <v>830</v>
      </c>
      <c r="K46" s="138"/>
      <c r="L46" s="282"/>
      <c r="M46" s="363"/>
      <c r="N46" s="363"/>
      <c r="O46" s="145">
        <v>0.0</v>
      </c>
      <c r="P46" s="145">
        <v>1.0</v>
      </c>
      <c r="Q46" s="145">
        <v>1.0</v>
      </c>
      <c r="R46" s="163"/>
      <c r="S46" s="164"/>
      <c r="T46" s="164"/>
      <c r="U46" s="164"/>
      <c r="V46" s="104"/>
    </row>
    <row r="47" outlineLevel="1">
      <c r="A47" s="156"/>
      <c r="B47" s="373" t="s">
        <v>84</v>
      </c>
      <c r="C47" s="239" t="s">
        <v>149</v>
      </c>
      <c r="D47" s="107"/>
      <c r="E47" s="239" t="s">
        <v>150</v>
      </c>
      <c r="F47" s="138">
        <v>6.0</v>
      </c>
      <c r="G47" s="138">
        <v>5.1</v>
      </c>
      <c r="H47" s="138" t="s">
        <v>60</v>
      </c>
      <c r="I47" s="156"/>
      <c r="J47" s="107"/>
      <c r="K47" s="138"/>
      <c r="L47" s="282"/>
      <c r="M47" s="363"/>
      <c r="N47" s="363"/>
      <c r="O47" s="145">
        <v>0.0</v>
      </c>
      <c r="P47" s="145">
        <v>1.0</v>
      </c>
      <c r="Q47" s="145">
        <v>1.0</v>
      </c>
      <c r="R47" s="106"/>
      <c r="S47" s="168"/>
      <c r="T47" s="168"/>
      <c r="U47" s="168"/>
      <c r="V47" s="107"/>
    </row>
    <row r="48" outlineLevel="1">
      <c r="A48" s="188" t="s">
        <v>151</v>
      </c>
      <c r="B48" s="373" t="s">
        <v>125</v>
      </c>
      <c r="C48" s="239" t="s">
        <v>295</v>
      </c>
      <c r="D48" s="455" t="s">
        <v>628</v>
      </c>
      <c r="E48" s="239" t="s">
        <v>86</v>
      </c>
      <c r="F48" s="138">
        <v>7.199999999999999</v>
      </c>
      <c r="G48" s="138">
        <v>6.12</v>
      </c>
      <c r="H48" s="138" t="s">
        <v>60</v>
      </c>
      <c r="I48" s="454" t="str">
        <f t="array" ref="I48">INDEX('空中攻撃'!$O$3:$AA$109, MATCH($A$1,'空中攻撃'!$A$3:$A$109,0), MATCH(A48,'空中攻撃'!$O$2:$S$2,0))</f>
        <v>6</v>
      </c>
      <c r="J48" s="455" t="s">
        <v>1902</v>
      </c>
      <c r="K48" s="138"/>
      <c r="L48" s="282"/>
      <c r="M48" s="363"/>
      <c r="N48" s="363"/>
      <c r="O48" s="145">
        <v>0.0</v>
      </c>
      <c r="P48" s="145">
        <v>1.0</v>
      </c>
      <c r="Q48" s="145">
        <v>1.0</v>
      </c>
      <c r="R48" s="163" t="s">
        <v>408</v>
      </c>
      <c r="S48" s="164"/>
      <c r="T48" s="164"/>
      <c r="U48" s="164"/>
      <c r="V48" s="104"/>
    </row>
    <row r="49" outlineLevel="1">
      <c r="A49" s="156"/>
      <c r="B49" s="373" t="s">
        <v>131</v>
      </c>
      <c r="C49" s="239" t="s">
        <v>443</v>
      </c>
      <c r="D49" s="107"/>
      <c r="E49" s="239" t="s">
        <v>714</v>
      </c>
      <c r="F49" s="138" t="s">
        <v>715</v>
      </c>
      <c r="G49" s="138" t="s">
        <v>1903</v>
      </c>
      <c r="H49" s="138" t="s">
        <v>1904</v>
      </c>
      <c r="I49" s="156"/>
      <c r="J49" s="107"/>
      <c r="K49" s="138"/>
      <c r="L49" s="282"/>
      <c r="M49" s="363"/>
      <c r="N49" s="363"/>
      <c r="O49" s="145">
        <v>0.0</v>
      </c>
      <c r="P49" s="145">
        <v>1.0</v>
      </c>
      <c r="Q49" s="145">
        <v>1.0</v>
      </c>
      <c r="R49" s="106"/>
      <c r="S49" s="168"/>
      <c r="T49" s="168"/>
      <c r="U49" s="168"/>
      <c r="V49" s="107"/>
    </row>
    <row r="50" outlineLevel="1">
      <c r="A50" s="188" t="s">
        <v>157</v>
      </c>
      <c r="B50" s="373" t="s">
        <v>125</v>
      </c>
      <c r="C50" s="239" t="s">
        <v>549</v>
      </c>
      <c r="D50" s="455" t="s">
        <v>99</v>
      </c>
      <c r="E50" s="239" t="s">
        <v>150</v>
      </c>
      <c r="F50" s="138">
        <v>6.0</v>
      </c>
      <c r="G50" s="138">
        <v>5.1</v>
      </c>
      <c r="H50" s="138" t="s">
        <v>60</v>
      </c>
      <c r="I50" s="452">
        <f t="array" ref="I50">INDEX('空中攻撃'!$O$3:$AB$109, MATCH($A$1,'空中攻撃'!$A$3:$A$109,0), MATCH(A50,'空中攻撃'!$O$2:$S$2,0))</f>
        <v>6</v>
      </c>
      <c r="J50" s="455" t="s">
        <v>459</v>
      </c>
      <c r="K50" s="138"/>
      <c r="L50" s="282"/>
      <c r="M50" s="363"/>
      <c r="N50" s="363"/>
      <c r="O50" s="145">
        <v>0.0</v>
      </c>
      <c r="P50" s="145">
        <v>1.0</v>
      </c>
      <c r="Q50" s="145">
        <v>1.0</v>
      </c>
      <c r="R50" s="163"/>
      <c r="S50" s="164"/>
      <c r="T50" s="164"/>
      <c r="U50" s="164"/>
      <c r="V50" s="104"/>
    </row>
    <row r="51" outlineLevel="1">
      <c r="A51" s="156"/>
      <c r="B51" s="373" t="s">
        <v>131</v>
      </c>
      <c r="C51" s="239" t="s">
        <v>312</v>
      </c>
      <c r="D51" s="107"/>
      <c r="E51" s="239" t="s">
        <v>93</v>
      </c>
      <c r="F51" s="138">
        <v>8.4</v>
      </c>
      <c r="G51" s="138">
        <v>7.140000000000001</v>
      </c>
      <c r="H51" s="138" t="s">
        <v>60</v>
      </c>
      <c r="I51" s="107"/>
      <c r="J51" s="107"/>
      <c r="K51" s="138"/>
      <c r="L51" s="282"/>
      <c r="M51" s="363"/>
      <c r="N51" s="363"/>
      <c r="O51" s="145">
        <v>0.0</v>
      </c>
      <c r="P51" s="145">
        <v>1.0</v>
      </c>
      <c r="Q51" s="145">
        <v>1.0</v>
      </c>
      <c r="R51" s="106"/>
      <c r="S51" s="168"/>
      <c r="T51" s="168"/>
      <c r="U51" s="168"/>
      <c r="V51" s="107"/>
    </row>
    <row r="52" outlineLevel="1">
      <c r="A52" s="188" t="s">
        <v>162</v>
      </c>
      <c r="B52" s="373"/>
      <c r="C52" s="239" t="s">
        <v>91</v>
      </c>
      <c r="D52" s="455" t="s">
        <v>462</v>
      </c>
      <c r="E52" s="239" t="s">
        <v>386</v>
      </c>
      <c r="F52" s="138">
        <v>18.0</v>
      </c>
      <c r="G52" s="138">
        <v>15.3</v>
      </c>
      <c r="H52" s="138" t="s">
        <v>75</v>
      </c>
      <c r="I52" s="452" t="str">
        <f t="array" ref="I52">INDEX('空中攻撃'!$O$3:$AB$109, MATCH($A$1,'空中攻撃'!$A$3:$A$109,0), MATCH(A52,'空中攻撃'!$O$2:$S$2,0))</f>
        <v>14</v>
      </c>
      <c r="J52" s="455" t="s">
        <v>1905</v>
      </c>
      <c r="K52" s="282"/>
      <c r="L52" s="282"/>
      <c r="M52" s="363"/>
      <c r="N52" s="363"/>
      <c r="O52" s="145">
        <v>0.0</v>
      </c>
      <c r="P52" s="145">
        <v>1.0</v>
      </c>
      <c r="Q52" s="145">
        <v>1.0</v>
      </c>
      <c r="R52" s="163"/>
      <c r="S52" s="164"/>
      <c r="T52" s="164"/>
      <c r="U52" s="164"/>
      <c r="V52" s="104"/>
    </row>
    <row r="53" outlineLevel="1">
      <c r="A53" s="156"/>
      <c r="B53" s="373" t="s">
        <v>84</v>
      </c>
      <c r="C53" s="239" t="s">
        <v>1906</v>
      </c>
      <c r="D53" s="107"/>
      <c r="E53" s="239" t="s">
        <v>129</v>
      </c>
      <c r="F53" s="138">
        <v>14.399999999999999</v>
      </c>
      <c r="G53" s="138">
        <v>12.24</v>
      </c>
      <c r="H53" s="138" t="s">
        <v>75</v>
      </c>
      <c r="I53" s="107"/>
      <c r="J53" s="107"/>
      <c r="K53" s="282"/>
      <c r="L53" s="282"/>
      <c r="M53" s="363"/>
      <c r="N53" s="363"/>
      <c r="O53" s="145">
        <v>0.0</v>
      </c>
      <c r="P53" s="145">
        <v>1.0</v>
      </c>
      <c r="Q53" s="145">
        <v>1.0</v>
      </c>
      <c r="R53" s="106"/>
      <c r="S53" s="168"/>
      <c r="T53" s="168"/>
      <c r="U53" s="168"/>
      <c r="V53" s="107"/>
    </row>
    <row r="54" outlineLevel="1">
      <c r="A54" s="188" t="s">
        <v>166</v>
      </c>
      <c r="B54" s="373"/>
      <c r="C54" s="239" t="s">
        <v>721</v>
      </c>
      <c r="D54" s="279" t="s">
        <v>993</v>
      </c>
      <c r="E54" s="239" t="s">
        <v>466</v>
      </c>
      <c r="F54" s="138">
        <v>21.599999999999998</v>
      </c>
      <c r="G54" s="138">
        <v>18.36</v>
      </c>
      <c r="H54" s="138" t="s">
        <v>102</v>
      </c>
      <c r="I54" s="452">
        <f t="array" ref="I54">INDEX('空中攻撃'!$O$3:$AB$109, MATCH($A$1,'空中攻撃'!$A$3:$A$109,0), MATCH(A54,'空中攻撃'!$O$2:$S$2,0))</f>
        <v>17</v>
      </c>
      <c r="J54" s="455" t="s">
        <v>1907</v>
      </c>
      <c r="K54" s="282"/>
      <c r="L54" s="282"/>
      <c r="M54" s="363"/>
      <c r="N54" s="363"/>
      <c r="O54" s="145">
        <v>0.0</v>
      </c>
      <c r="P54" s="145">
        <v>1.0</v>
      </c>
      <c r="Q54" s="145">
        <v>1.0</v>
      </c>
      <c r="R54" s="163"/>
      <c r="S54" s="164"/>
      <c r="T54" s="164"/>
      <c r="U54" s="164"/>
      <c r="V54" s="104"/>
    </row>
    <row r="55" outlineLevel="1">
      <c r="A55" s="146"/>
      <c r="B55" s="373" t="s">
        <v>84</v>
      </c>
      <c r="C55" s="239" t="s">
        <v>1908</v>
      </c>
      <c r="D55" s="146"/>
      <c r="E55" s="239" t="s">
        <v>386</v>
      </c>
      <c r="F55" s="138">
        <v>18.0</v>
      </c>
      <c r="G55" s="138">
        <v>15.3</v>
      </c>
      <c r="H55" s="138" t="s">
        <v>75</v>
      </c>
      <c r="I55" s="210"/>
      <c r="J55" s="210"/>
      <c r="K55" s="282"/>
      <c r="L55" s="282"/>
      <c r="M55" s="363"/>
      <c r="N55" s="363"/>
      <c r="O55" s="145">
        <v>0.0</v>
      </c>
      <c r="P55" s="145">
        <v>1.0</v>
      </c>
      <c r="Q55" s="145">
        <v>1.0</v>
      </c>
      <c r="R55" s="212"/>
      <c r="V55" s="210"/>
    </row>
    <row r="56" outlineLevel="1">
      <c r="A56" s="156"/>
      <c r="B56" s="373" t="s">
        <v>470</v>
      </c>
      <c r="C56" s="453" t="s">
        <v>471</v>
      </c>
      <c r="D56" s="156"/>
      <c r="E56" s="239" t="s">
        <v>274</v>
      </c>
      <c r="F56" s="138">
        <v>10.799999999999999</v>
      </c>
      <c r="G56" s="138">
        <v>9.18</v>
      </c>
      <c r="H56" s="138" t="s">
        <v>147</v>
      </c>
      <c r="I56" s="107"/>
      <c r="J56" s="107"/>
      <c r="K56" s="282"/>
      <c r="L56" s="282"/>
      <c r="M56" s="363"/>
      <c r="N56" s="363"/>
      <c r="O56" s="145">
        <v>0.0</v>
      </c>
      <c r="P56" s="145">
        <v>1.0</v>
      </c>
      <c r="Q56" s="145">
        <v>1.0</v>
      </c>
      <c r="R56" s="106"/>
      <c r="S56" s="168"/>
      <c r="T56" s="168"/>
      <c r="U56" s="168"/>
      <c r="V56" s="107"/>
    </row>
    <row r="57" outlineLevel="1">
      <c r="A57" s="213" t="s">
        <v>587</v>
      </c>
      <c r="B57" s="373"/>
      <c r="C57" s="365" t="s">
        <v>321</v>
      </c>
      <c r="D57" s="450" t="s">
        <v>765</v>
      </c>
      <c r="E57" s="239" t="s">
        <v>73</v>
      </c>
      <c r="F57" s="138">
        <v>4.8</v>
      </c>
      <c r="G57" s="138">
        <v>4.8</v>
      </c>
      <c r="H57" s="138" t="s">
        <v>75</v>
      </c>
      <c r="I57" s="145">
        <v>8.0</v>
      </c>
      <c r="J57" s="476"/>
      <c r="K57" s="282"/>
      <c r="L57" s="282"/>
      <c r="M57" s="363"/>
      <c r="N57" s="363"/>
      <c r="O57" s="145">
        <v>0.0</v>
      </c>
      <c r="P57" s="145">
        <v>1.0</v>
      </c>
      <c r="Q57" s="145">
        <v>1.0</v>
      </c>
      <c r="R57" s="151" t="s">
        <v>1909</v>
      </c>
      <c r="S57" s="110"/>
      <c r="T57" s="110"/>
      <c r="U57" s="110"/>
      <c r="V57" s="109"/>
    </row>
    <row r="58">
      <c r="A58" s="223"/>
      <c r="B58" s="224"/>
      <c r="C58" s="225"/>
      <c r="D58" s="225"/>
      <c r="E58" s="226"/>
      <c r="F58" s="226"/>
      <c r="G58" s="226"/>
      <c r="H58" s="227"/>
      <c r="I58" s="227"/>
      <c r="J58" s="228"/>
      <c r="K58" s="228"/>
      <c r="L58" s="228"/>
      <c r="M58" s="228"/>
      <c r="N58" s="228"/>
      <c r="O58" s="228"/>
      <c r="P58" s="228"/>
      <c r="Q58" s="118"/>
      <c r="R58" s="118"/>
      <c r="S58" s="118"/>
      <c r="T58" s="118"/>
      <c r="U58" s="118"/>
      <c r="V58" s="118"/>
    </row>
    <row r="59">
      <c r="A59" s="229" t="str">
        <f>'テンプレート'!A71</f>
        <v>必殺ワザ</v>
      </c>
      <c r="B59" s="109"/>
      <c r="C59" s="225"/>
      <c r="D59" s="225"/>
      <c r="E59" s="226"/>
      <c r="F59" s="226"/>
      <c r="G59" s="226"/>
      <c r="H59" s="227"/>
      <c r="I59" s="227"/>
      <c r="J59" s="228"/>
      <c r="K59" s="228"/>
      <c r="L59" s="228"/>
      <c r="M59" s="228"/>
      <c r="N59" s="228"/>
      <c r="O59" s="228"/>
      <c r="P59" s="228"/>
      <c r="Q59" s="118"/>
      <c r="R59" s="118"/>
      <c r="S59" s="118"/>
      <c r="T59" s="118"/>
      <c r="U59" s="118"/>
      <c r="V59" s="118"/>
    </row>
    <row r="60" outlineLevel="1">
      <c r="A60" s="230" t="str">
        <f>"NB ("&amp;VLOOKUP($A$1,Fighters!$A$2:$AI$81,15,FALSE)&amp;")"</f>
        <v>NB (炎の弓矢)</v>
      </c>
      <c r="B60" s="109"/>
      <c r="C60" s="231" t="str">
        <f>'テンプレート'!C72</f>
        <v>判定持続</v>
      </c>
      <c r="D60" s="231" t="str">
        <f>'テンプレート'!D72</f>
        <v>全体フレーム</v>
      </c>
      <c r="E60" s="232" t="str">
        <f>'テンプレート'!E72</f>
        <v>基礎ダメージ</v>
      </c>
      <c r="F60" s="233" t="str">
        <f>'テンプレート'!F72</f>
        <v>ダメージ (1v1)</v>
      </c>
      <c r="G60" s="232" t="str">
        <f>'テンプレート'!G72</f>
        <v>ガード硬直</v>
      </c>
      <c r="H60" s="382" t="str">
        <f>'テンプレート'!H72</f>
        <v>備考</v>
      </c>
      <c r="I60" s="110"/>
      <c r="J60" s="109"/>
      <c r="K60" s="235" t="str">
        <f>'テンプレート'!K72</f>
        <v>ベクトル</v>
      </c>
      <c r="L60" s="235" t="str">
        <f>'テンプレート'!L72</f>
        <v>KBG (R.E.)</v>
      </c>
      <c r="M60" s="235" t="str">
        <f>'テンプレート'!M72</f>
        <v>BKB (R.A.)</v>
      </c>
      <c r="N60" s="235" t="str">
        <f>'テンプレート'!N72</f>
        <v>FKB (R.F.)</v>
      </c>
      <c r="O60" s="236" t="str">
        <f>'テンプレート'!O72</f>
        <v>盾削り値</v>
      </c>
      <c r="P60" s="235" t="str">
        <f>'テンプレート'!P72</f>
        <v>ﾋｯﾄｽﾄｯﾌﾟ</v>
      </c>
      <c r="Q60" s="236" t="str">
        <f>'テンプレート'!Q72</f>
        <v>ずらし</v>
      </c>
      <c r="R60" s="235" t="str">
        <f>'テンプレート'!R72</f>
        <v>相殺</v>
      </c>
      <c r="S60" s="236" t="str">
        <f>'テンプレート'!S72</f>
        <v>相殺ﾓｰｼｮﾝ</v>
      </c>
      <c r="T60" s="236" t="str">
        <f>'テンプレート'!T72</f>
        <v>飛び道具</v>
      </c>
      <c r="U60" s="236" t="str">
        <f>'テンプレート'!U72</f>
        <v>慣性反転</v>
      </c>
      <c r="V60" s="236" t="str">
        <f>'テンプレート'!V72</f>
        <v>向き反転</v>
      </c>
    </row>
    <row r="61" ht="27.75" customHeight="1" outlineLevel="1">
      <c r="A61" s="237" t="s">
        <v>184</v>
      </c>
      <c r="B61" s="243" t="s">
        <v>333</v>
      </c>
      <c r="C61" s="239" t="s">
        <v>1910</v>
      </c>
      <c r="D61" s="239" t="s">
        <v>79</v>
      </c>
      <c r="E61" s="239" t="s">
        <v>73</v>
      </c>
      <c r="F61" s="138">
        <f t="shared" ref="F61:F62" si="1">IFERROR(IFS(E61="-","-",LEN(E61)-LEN(SUBSTITUTE(E61,"/",""))=0,MULTIPLY(E61,1.2),LEN(E61)-LEN(SUBSTITUTE(E61,"/",""))=1,MULTIPLY(LEFT(E61,FIND("/",E61)-1),1.2)&amp;"/"&amp;MULTIPLY(MID(E61,FIND("/",E61)+1,10),1.2),LEN(E61)-LEN(SUBSTITUTE(E61,"/",""))=2,MULTIPLY(LEFT(E61,FIND("!",SUBSTITUTE(E61,"/","!",1))-1),1.2)&amp;"/"&amp;MULTIPLY(MID(E61,FIND("!",SUBSTITUTE(E61,"/","!",1))+1,FIND("!",SUBSTITUTE(E61,"/","!",2))-FIND("!",SUBSTITUTE(E61,"/","!",1))-1),1.2)&amp;"/"&amp;MULTIPLY(RIGHT(E61,LEN(E61)-FIND("!",SUBSTITUTE(E61,"/","!",2))),1.2),LEN(E61)-LEN(SUBSTITUTE(E61,"/",""))=3,MULTIPLY(LEFT(E61,FIND("!",SUBSTITUTE(E61,"/","!",1))-1),1.2)&amp;"/"&amp;MULTIPLY(MID(E61,FIND("!",SUBSTITUTE(E61,"/","!",1))+1,FIND("!",SUBSTITUTE(E61,"/","!",2))-FIND("!",SUBSTITUTE(E61,"/","!",1))-1),1.2)&amp;"/"&amp;MULTIPLY(MID(E61,FIND("!",SUBSTITUTE(E61,"/","!",2))+1,FIND("!",SUBSTITUTE(E61,"/","!",3))-FIND("!",SUBSTITUTE(E61,"/","!",2))-1),1.2)&amp;"/"&amp;MULTIPLY(RIGHT(E61,LEN(E61)-FIND("!",SUBSTITUTE(E61,"/","!",3))),1.2),LEN(E61)-LEN(SUBSTITUTE(E61,"/",""))=4,MULTIPLY(LEFT(E61,FIND("!",SUBSTITUTE(E61,"/","!",1))-1),1.2)&amp;"/"&amp;MULTIPLY(MID(E61,FIND("!",SUBSTITUTE(E61,"/","!",1))+1,FIND("!",SUBSTITUTE(E61,"/","!",2))-FIND("!",SUBSTITUTE(E61,"/","!",1))-1),1.2)&amp;"/"&amp;MULTIPLY(MID(E61,FIND("!",SUBSTITUTE(E61,"/","!",2))+1,FIND("!",SUBSTITUTE(E61,"/","!",3))-FIND("!",SUBSTITUTE(E61,"/","!",2))-1),1.2)&amp;"/"&amp;MULTIPLY(MID(E61,FIND("!",SUBSTITUTE(E61,"/","!",3))+1,FIND("!",SUBSTITUTE(E61,"/","!",4))-FIND("!",SUBSTITUTE(E61,"/","!",3))-1),1.2)&amp;"/"&amp;MULTIPLY(RIGHT(E61,LEN(E61)-FIND("!",SUBSTITUTE(E61,"/","!",4))),1.2)),"")</f>
        <v>4.8</v>
      </c>
      <c r="G61" s="139" t="s">
        <v>170</v>
      </c>
      <c r="H61" s="163" t="s">
        <v>1911</v>
      </c>
      <c r="I61" s="164"/>
      <c r="J61" s="104"/>
      <c r="K61" s="282"/>
      <c r="L61" s="282"/>
      <c r="M61" s="363"/>
      <c r="N61" s="363"/>
      <c r="O61" s="138">
        <v>0.0</v>
      </c>
      <c r="P61" s="138">
        <v>1.0</v>
      </c>
      <c r="Q61" s="138">
        <v>1.0</v>
      </c>
      <c r="R61" s="145" t="b">
        <v>1</v>
      </c>
      <c r="S61" s="145" t="b">
        <v>0</v>
      </c>
      <c r="T61" s="145" t="b">
        <v>1</v>
      </c>
      <c r="U61" s="166" t="s">
        <v>186</v>
      </c>
      <c r="V61" s="166" t="b">
        <v>1</v>
      </c>
    </row>
    <row r="62" ht="27.75" customHeight="1" outlineLevel="1">
      <c r="A62" s="146"/>
      <c r="B62" s="663" t="s">
        <v>340</v>
      </c>
      <c r="C62" s="261"/>
      <c r="D62" s="261"/>
      <c r="E62" s="239" t="s">
        <v>129</v>
      </c>
      <c r="F62" s="138">
        <f t="shared" si="1"/>
        <v>14.4</v>
      </c>
      <c r="G62" s="139" t="s">
        <v>147</v>
      </c>
      <c r="H62" s="106"/>
      <c r="I62" s="168"/>
      <c r="J62" s="107"/>
      <c r="K62" s="282"/>
      <c r="L62" s="282"/>
      <c r="M62" s="363"/>
      <c r="N62" s="363"/>
      <c r="O62" s="138">
        <v>0.0</v>
      </c>
      <c r="P62" s="138">
        <v>1.0</v>
      </c>
      <c r="Q62" s="138">
        <v>1.0</v>
      </c>
      <c r="R62" s="145" t="b">
        <v>1</v>
      </c>
      <c r="S62" s="145" t="b">
        <v>0</v>
      </c>
      <c r="T62" s="145" t="b">
        <v>1</v>
      </c>
      <c r="U62" s="156"/>
      <c r="V62" s="156"/>
    </row>
    <row r="63" outlineLevel="1">
      <c r="A63" s="230" t="str">
        <f>"横B ("&amp;VLOOKUP($A$1,Fighters!$A$2:$AI$81,16,FALSE)&amp;")"</f>
        <v>横B (ブーメラン)</v>
      </c>
      <c r="B63" s="109"/>
      <c r="C63" s="231" t="str">
        <f>'テンプレート'!C75</f>
        <v>判定持続</v>
      </c>
      <c r="D63" s="231" t="str">
        <f>'テンプレート'!D75</f>
        <v>全体フレーム</v>
      </c>
      <c r="E63" s="232" t="str">
        <f>'テンプレート'!E75</f>
        <v>基礎ダメージ</v>
      </c>
      <c r="F63" s="233" t="str">
        <f>'テンプレート'!F75</f>
        <v>ダメージ (1v1)</v>
      </c>
      <c r="G63" s="232" t="str">
        <f>'テンプレート'!G75</f>
        <v>ガード硬直</v>
      </c>
      <c r="H63" s="382" t="str">
        <f>'テンプレート'!H75</f>
        <v>備考</v>
      </c>
      <c r="I63" s="110"/>
      <c r="J63" s="109"/>
      <c r="K63" s="235" t="str">
        <f>'テンプレート'!K75</f>
        <v>ベクトル</v>
      </c>
      <c r="L63" s="235" t="str">
        <f>'テンプレート'!L75</f>
        <v>KBG (R.E.)</v>
      </c>
      <c r="M63" s="235" t="str">
        <f>'テンプレート'!M75</f>
        <v>BKB (R.A.)</v>
      </c>
      <c r="N63" s="235" t="str">
        <f>'テンプレート'!N75</f>
        <v>FKB (R.F.)</v>
      </c>
      <c r="O63" s="236" t="str">
        <f>'テンプレート'!O75</f>
        <v>盾削り値</v>
      </c>
      <c r="P63" s="235" t="str">
        <f>'テンプレート'!P75</f>
        <v>ﾋｯﾄｽﾄｯﾌﾟ</v>
      </c>
      <c r="Q63" s="236" t="str">
        <f>'テンプレート'!Q75</f>
        <v>ずらし</v>
      </c>
      <c r="R63" s="235" t="str">
        <f>'テンプレート'!R75</f>
        <v>相殺</v>
      </c>
      <c r="S63" s="236" t="str">
        <f>'テンプレート'!S75</f>
        <v>相殺ﾓｰｼｮﾝ</v>
      </c>
      <c r="T63" s="236" t="str">
        <f>'テンプレート'!T75</f>
        <v>飛び道具</v>
      </c>
      <c r="U63" s="236" t="str">
        <f>'テンプレート'!U75</f>
        <v>慣性反転</v>
      </c>
      <c r="V63" s="236" t="str">
        <f>'テンプレート'!V75</f>
        <v>向き反転</v>
      </c>
    </row>
    <row r="64" outlineLevel="1">
      <c r="A64" s="237" t="s">
        <v>184</v>
      </c>
      <c r="B64" s="465" t="s">
        <v>488</v>
      </c>
      <c r="C64" s="239" t="s">
        <v>1912</v>
      </c>
      <c r="D64" s="367" t="s">
        <v>146</v>
      </c>
      <c r="E64" s="239" t="s">
        <v>232</v>
      </c>
      <c r="F64" s="138">
        <f t="shared" ref="F64:F66" si="2">IFERROR(IFS(E64="-","-",LEN(E64)-LEN(SUBSTITUTE(E64,"/",""))=0,MULTIPLY(E64,1.2),LEN(E64)-LEN(SUBSTITUTE(E64,"/",""))=1,MULTIPLY(LEFT(E64,FIND("/",E64)-1),1.2)&amp;"/"&amp;MULTIPLY(MID(E64,FIND("/",E64)+1,10),1.2),LEN(E64)-LEN(SUBSTITUTE(E64,"/",""))=2,MULTIPLY(LEFT(E64,FIND("!",SUBSTITUTE(E64,"/","!",1))-1),1.2)&amp;"/"&amp;MULTIPLY(MID(E64,FIND("!",SUBSTITUTE(E64,"/","!",1))+1,FIND("!",SUBSTITUTE(E64,"/","!",2))-FIND("!",SUBSTITUTE(E64,"/","!",1))-1),1.2)&amp;"/"&amp;MULTIPLY(RIGHT(E64,LEN(E64)-FIND("!",SUBSTITUTE(E64,"/","!",2))),1.2),LEN(E64)-LEN(SUBSTITUTE(E64,"/",""))=3,MULTIPLY(LEFT(E64,FIND("!",SUBSTITUTE(E64,"/","!",1))-1),1.2)&amp;"/"&amp;MULTIPLY(MID(E64,FIND("!",SUBSTITUTE(E64,"/","!",1))+1,FIND("!",SUBSTITUTE(E64,"/","!",2))-FIND("!",SUBSTITUTE(E64,"/","!",1))-1),1.2)&amp;"/"&amp;MULTIPLY(MID(E64,FIND("!",SUBSTITUTE(E64,"/","!",2))+1,FIND("!",SUBSTITUTE(E64,"/","!",3))-FIND("!",SUBSTITUTE(E64,"/","!",2))-1),1.2)&amp;"/"&amp;MULTIPLY(RIGHT(E64,LEN(E64)-FIND("!",SUBSTITUTE(E64,"/","!",3))),1.2),LEN(E64)-LEN(SUBSTITUTE(E64,"/",""))=4,MULTIPLY(LEFT(E64,FIND("!",SUBSTITUTE(E64,"/","!",1))-1),1.2)&amp;"/"&amp;MULTIPLY(MID(E64,FIND("!",SUBSTITUTE(E64,"/","!",1))+1,FIND("!",SUBSTITUTE(E64,"/","!",2))-FIND("!",SUBSTITUTE(E64,"/","!",1))-1),1.2)&amp;"/"&amp;MULTIPLY(MID(E64,FIND("!",SUBSTITUTE(E64,"/","!",2))+1,FIND("!",SUBSTITUTE(E64,"/","!",3))-FIND("!",SUBSTITUTE(E64,"/","!",2))-1),1.2)&amp;"/"&amp;MULTIPLY(MID(E64,FIND("!",SUBSTITUTE(E64,"/","!",3))+1,FIND("!",SUBSTITUTE(E64,"/","!",4))-FIND("!",SUBSTITUTE(E64,"/","!",3))-1),1.2)&amp;"/"&amp;MULTIPLY(RIGHT(E64,LEN(E64)-FIND("!",SUBSTITUTE(E64,"/","!",4))),1.2)),"")</f>
        <v>13.2</v>
      </c>
      <c r="G64" s="139" t="s">
        <v>147</v>
      </c>
      <c r="H64" s="163" t="s">
        <v>490</v>
      </c>
      <c r="I64" s="164"/>
      <c r="J64" s="104"/>
      <c r="K64" s="282"/>
      <c r="L64" s="282"/>
      <c r="M64" s="363"/>
      <c r="N64" s="363"/>
      <c r="O64" s="138">
        <v>0.0</v>
      </c>
      <c r="P64" s="138">
        <v>1.0</v>
      </c>
      <c r="Q64" s="138">
        <v>1.0</v>
      </c>
      <c r="R64" s="145" t="b">
        <v>1</v>
      </c>
      <c r="S64" s="145" t="b">
        <v>0</v>
      </c>
      <c r="T64" s="145" t="b">
        <v>1</v>
      </c>
      <c r="U64" s="166" t="s">
        <v>186</v>
      </c>
      <c r="V64" s="166" t="b">
        <v>1</v>
      </c>
    </row>
    <row r="65" outlineLevel="1">
      <c r="A65" s="146"/>
      <c r="B65" s="466" t="s">
        <v>491</v>
      </c>
      <c r="C65" s="239" t="s">
        <v>1913</v>
      </c>
      <c r="D65" s="146"/>
      <c r="E65" s="239" t="s">
        <v>93</v>
      </c>
      <c r="F65" s="138">
        <f t="shared" si="2"/>
        <v>8.4</v>
      </c>
      <c r="G65" s="139" t="s">
        <v>60</v>
      </c>
      <c r="H65" s="212"/>
      <c r="J65" s="210"/>
      <c r="K65" s="138"/>
      <c r="L65" s="138"/>
      <c r="M65" s="145"/>
      <c r="N65" s="145"/>
      <c r="O65" s="138">
        <v>0.0</v>
      </c>
      <c r="P65" s="138">
        <v>1.0</v>
      </c>
      <c r="Q65" s="138">
        <v>1.0</v>
      </c>
      <c r="R65" s="145" t="b">
        <v>1</v>
      </c>
      <c r="S65" s="145" t="b">
        <v>0</v>
      </c>
      <c r="T65" s="145" t="b">
        <v>1</v>
      </c>
      <c r="U65" s="146"/>
      <c r="V65" s="146"/>
    </row>
    <row r="66" outlineLevel="1">
      <c r="A66" s="146"/>
      <c r="B66" s="466" t="s">
        <v>493</v>
      </c>
      <c r="C66" s="239" t="s">
        <v>1914</v>
      </c>
      <c r="D66" s="156"/>
      <c r="E66" s="239" t="s">
        <v>176</v>
      </c>
      <c r="F66" s="138">
        <f t="shared" si="2"/>
        <v>2.4</v>
      </c>
      <c r="G66" s="139" t="s">
        <v>170</v>
      </c>
      <c r="H66" s="212"/>
      <c r="J66" s="210"/>
      <c r="K66" s="138"/>
      <c r="L66" s="138"/>
      <c r="M66" s="145"/>
      <c r="N66" s="145"/>
      <c r="O66" s="138"/>
      <c r="P66" s="138"/>
      <c r="Q66" s="138"/>
      <c r="R66" s="145" t="b">
        <v>1</v>
      </c>
      <c r="S66" s="145" t="b">
        <v>0</v>
      </c>
      <c r="T66" s="145" t="b">
        <v>1</v>
      </c>
      <c r="U66" s="146"/>
      <c r="V66" s="146"/>
    </row>
    <row r="67" outlineLevel="1">
      <c r="A67" s="146"/>
      <c r="B67" s="466" t="s">
        <v>497</v>
      </c>
      <c r="C67" s="261"/>
      <c r="D67" s="239" t="s">
        <v>274</v>
      </c>
      <c r="E67" s="261"/>
      <c r="F67" s="261"/>
      <c r="G67" s="261"/>
      <c r="H67" s="106"/>
      <c r="I67" s="168"/>
      <c r="J67" s="107"/>
      <c r="K67" s="261"/>
      <c r="L67" s="261"/>
      <c r="M67" s="261"/>
      <c r="N67" s="261"/>
      <c r="O67" s="261"/>
      <c r="P67" s="261"/>
      <c r="Q67" s="261"/>
      <c r="R67" s="261"/>
      <c r="S67" s="261"/>
      <c r="T67" s="261"/>
      <c r="U67" s="156"/>
      <c r="V67" s="156"/>
    </row>
    <row r="68" outlineLevel="1">
      <c r="A68" s="230" t="str">
        <f>"上B ("&amp;VLOOKUP($A$1,Fighters!$A$2:$AI$81,17,FALSE)&amp;")"</f>
        <v>上B (回転斬り)</v>
      </c>
      <c r="B68" s="109"/>
      <c r="C68" s="231" t="str">
        <f>'テンプレート'!C80</f>
        <v>判定持続</v>
      </c>
      <c r="D68" s="231" t="str">
        <f>'テンプレート'!D80</f>
        <v>全体フレーム</v>
      </c>
      <c r="E68" s="232" t="str">
        <f>'テンプレート'!E80</f>
        <v>基礎ダメージ</v>
      </c>
      <c r="F68" s="233" t="str">
        <f>'テンプレート'!F80</f>
        <v>ダメージ (1v1)</v>
      </c>
      <c r="G68" s="232" t="str">
        <f>'テンプレート'!G80</f>
        <v>ガード硬直</v>
      </c>
      <c r="H68" s="382" t="str">
        <f>'テンプレート'!H80</f>
        <v>備考</v>
      </c>
      <c r="I68" s="110"/>
      <c r="J68" s="109"/>
      <c r="K68" s="235" t="str">
        <f>'テンプレート'!K80</f>
        <v>ベクトル</v>
      </c>
      <c r="L68" s="235" t="str">
        <f>'テンプレート'!L80</f>
        <v>KBG (R.E.)</v>
      </c>
      <c r="M68" s="235" t="str">
        <f>'テンプレート'!M80</f>
        <v>BKB (R.A.)</v>
      </c>
      <c r="N68" s="235" t="str">
        <f>'テンプレート'!N80</f>
        <v>FKB (R.F.)</v>
      </c>
      <c r="O68" s="236" t="str">
        <f>'テンプレート'!O80</f>
        <v>盾削り値</v>
      </c>
      <c r="P68" s="235" t="str">
        <f>'テンプレート'!P80</f>
        <v>ﾋｯﾄｽﾄｯﾌﾟ</v>
      </c>
      <c r="Q68" s="236" t="str">
        <f>'テンプレート'!Q80</f>
        <v>ずらし</v>
      </c>
      <c r="R68" s="235" t="str">
        <f>'テンプレート'!R80</f>
        <v>相殺</v>
      </c>
      <c r="S68" s="236" t="str">
        <f>'テンプレート'!S80</f>
        <v>相殺ﾓｰｼｮﾝ</v>
      </c>
      <c r="T68" s="236" t="str">
        <f>'テンプレート'!T80</f>
        <v>飛び道具</v>
      </c>
      <c r="U68" s="236" t="str">
        <f>'テンプレート'!U80</f>
        <v>慣性反転</v>
      </c>
      <c r="V68" s="236" t="str">
        <f>'テンプレート'!V80</f>
        <v>向き反転</v>
      </c>
    </row>
    <row r="69" ht="33.0" customHeight="1" outlineLevel="1">
      <c r="A69" s="396" t="s">
        <v>332</v>
      </c>
      <c r="B69" s="402" t="s">
        <v>199</v>
      </c>
      <c r="C69" s="239" t="s">
        <v>1915</v>
      </c>
      <c r="D69" s="367" t="s">
        <v>1580</v>
      </c>
      <c r="E69" s="239" t="s">
        <v>213</v>
      </c>
      <c r="F69" s="138">
        <f t="shared" ref="F69:F79" si="3">IFERROR(IFS(E69="-","-",LEN(E69)-LEN(SUBSTITUTE(E69,"/",""))=0,MULTIPLY(E69,1.2),LEN(E69)-LEN(SUBSTITUTE(E69,"/",""))=1,MULTIPLY(LEFT(E69,FIND("/",E69)-1),1.2)&amp;"/"&amp;MULTIPLY(MID(E69,FIND("/",E69)+1,10),1.2),LEN(E69)-LEN(SUBSTITUTE(E69,"/",""))=2,MULTIPLY(LEFT(E69,FIND("!",SUBSTITUTE(E69,"/","!",1))-1),1.2)&amp;"/"&amp;MULTIPLY(MID(E69,FIND("!",SUBSTITUTE(E69,"/","!",1))+1,FIND("!",SUBSTITUTE(E69,"/","!",2))-FIND("!",SUBSTITUTE(E69,"/","!",1))-1),1.2)&amp;"/"&amp;MULTIPLY(RIGHT(E69,LEN(E69)-FIND("!",SUBSTITUTE(E69,"/","!",2))),1.2),LEN(E69)-LEN(SUBSTITUTE(E69,"/",""))=3,MULTIPLY(LEFT(E69,FIND("!",SUBSTITUTE(E69,"/","!",1))-1),1.2)&amp;"/"&amp;MULTIPLY(MID(E69,FIND("!",SUBSTITUTE(E69,"/","!",1))+1,FIND("!",SUBSTITUTE(E69,"/","!",2))-FIND("!",SUBSTITUTE(E69,"/","!",1))-1),1.2)&amp;"/"&amp;MULTIPLY(MID(E69,FIND("!",SUBSTITUTE(E69,"/","!",2))+1,FIND("!",SUBSTITUTE(E69,"/","!",3))-FIND("!",SUBSTITUTE(E69,"/","!",2))-1),1.2)&amp;"/"&amp;MULTIPLY(RIGHT(E69,LEN(E69)-FIND("!",SUBSTITUTE(E69,"/","!",3))),1.2),LEN(E69)-LEN(SUBSTITUTE(E69,"/",""))=4,MULTIPLY(LEFT(E69,FIND("!",SUBSTITUTE(E69,"/","!",1))-1),1.2)&amp;"/"&amp;MULTIPLY(MID(E69,FIND("!",SUBSTITUTE(E69,"/","!",1))+1,FIND("!",SUBSTITUTE(E69,"/","!",2))-FIND("!",SUBSTITUTE(E69,"/","!",1))-1),1.2)&amp;"/"&amp;MULTIPLY(MID(E69,FIND("!",SUBSTITUTE(E69,"/","!",2))+1,FIND("!",SUBSTITUTE(E69,"/","!",3))-FIND("!",SUBSTITUTE(E69,"/","!",2))-1),1.2)&amp;"/"&amp;MULTIPLY(MID(E69,FIND("!",SUBSTITUTE(E69,"/","!",3))+1,FIND("!",SUBSTITUTE(E69,"/","!",4))-FIND("!",SUBSTITUTE(E69,"/","!",3))-1),1.2)&amp;"/"&amp;MULTIPLY(RIGHT(E69,LEN(E69)-FIND("!",SUBSTITUTE(E69,"/","!",4))),1.2)),"")</f>
        <v>1.2</v>
      </c>
      <c r="G69" s="139" t="s">
        <v>170</v>
      </c>
      <c r="H69" s="163" t="s">
        <v>1916</v>
      </c>
      <c r="I69" s="164"/>
      <c r="J69" s="104"/>
      <c r="K69" s="138"/>
      <c r="L69" s="138"/>
      <c r="M69" s="145"/>
      <c r="N69" s="145"/>
      <c r="O69" s="138">
        <v>0.0</v>
      </c>
      <c r="P69" s="138">
        <v>1.0</v>
      </c>
      <c r="Q69" s="138">
        <v>1.0</v>
      </c>
      <c r="R69" s="145" t="b">
        <v>1</v>
      </c>
      <c r="S69" s="145" t="b">
        <v>1</v>
      </c>
      <c r="T69" s="145"/>
      <c r="U69" s="166" t="s">
        <v>186</v>
      </c>
      <c r="V69" s="166" t="b">
        <v>1</v>
      </c>
    </row>
    <row r="70" ht="33.0" customHeight="1" outlineLevel="1">
      <c r="A70" s="156"/>
      <c r="B70" s="402" t="s">
        <v>202</v>
      </c>
      <c r="C70" s="239" t="s">
        <v>185</v>
      </c>
      <c r="D70" s="156"/>
      <c r="E70" s="239" t="s">
        <v>204</v>
      </c>
      <c r="F70" s="138">
        <f t="shared" si="3"/>
        <v>3.6</v>
      </c>
      <c r="G70" s="139" t="s">
        <v>147</v>
      </c>
      <c r="H70" s="106"/>
      <c r="I70" s="168"/>
      <c r="J70" s="107"/>
      <c r="K70" s="138"/>
      <c r="L70" s="138"/>
      <c r="M70" s="145"/>
      <c r="N70" s="145"/>
      <c r="O70" s="138">
        <v>0.0</v>
      </c>
      <c r="P70" s="138">
        <v>1.0</v>
      </c>
      <c r="Q70" s="138">
        <v>1.0</v>
      </c>
      <c r="R70" s="145" t="b">
        <v>1</v>
      </c>
      <c r="S70" s="145" t="b">
        <v>1</v>
      </c>
      <c r="T70" s="145"/>
      <c r="U70" s="146"/>
      <c r="V70" s="146"/>
    </row>
    <row r="71" outlineLevel="1">
      <c r="A71" s="396" t="s">
        <v>344</v>
      </c>
      <c r="B71" s="402" t="s">
        <v>125</v>
      </c>
      <c r="C71" s="239" t="s">
        <v>161</v>
      </c>
      <c r="D71" s="1295"/>
      <c r="E71" s="239" t="s">
        <v>204</v>
      </c>
      <c r="F71" s="138">
        <f t="shared" si="3"/>
        <v>3.6</v>
      </c>
      <c r="G71" s="139" t="s">
        <v>147</v>
      </c>
      <c r="H71" s="163" t="s">
        <v>1917</v>
      </c>
      <c r="I71" s="164"/>
      <c r="J71" s="104"/>
      <c r="K71" s="138"/>
      <c r="L71" s="138"/>
      <c r="M71" s="145"/>
      <c r="N71" s="145"/>
      <c r="O71" s="138">
        <v>0.0</v>
      </c>
      <c r="P71" s="138">
        <v>1.0</v>
      </c>
      <c r="Q71" s="138">
        <v>1.0</v>
      </c>
      <c r="R71" s="145" t="b">
        <v>1</v>
      </c>
      <c r="S71" s="145" t="b">
        <v>1</v>
      </c>
      <c r="T71" s="145"/>
      <c r="U71" s="166" t="s">
        <v>186</v>
      </c>
      <c r="V71" s="166" t="b">
        <v>1</v>
      </c>
    </row>
    <row r="72" outlineLevel="1">
      <c r="A72" s="146"/>
      <c r="B72" s="402" t="s">
        <v>131</v>
      </c>
      <c r="C72" s="239" t="s">
        <v>373</v>
      </c>
      <c r="D72" s="146"/>
      <c r="E72" s="239" t="s">
        <v>176</v>
      </c>
      <c r="F72" s="138">
        <f t="shared" si="3"/>
        <v>2.4</v>
      </c>
      <c r="G72" s="139" t="s">
        <v>60</v>
      </c>
      <c r="H72" s="212"/>
      <c r="J72" s="210"/>
      <c r="K72" s="138"/>
      <c r="L72" s="138"/>
      <c r="M72" s="145"/>
      <c r="N72" s="145"/>
      <c r="O72" s="138"/>
      <c r="P72" s="138"/>
      <c r="Q72" s="138"/>
      <c r="R72" s="145" t="b">
        <v>0</v>
      </c>
      <c r="S72" s="145" t="b">
        <v>0</v>
      </c>
      <c r="T72" s="145" t="b">
        <v>0</v>
      </c>
      <c r="U72" s="146"/>
      <c r="V72" s="146"/>
    </row>
    <row r="73" outlineLevel="1">
      <c r="A73" s="146"/>
      <c r="B73" s="402" t="s">
        <v>434</v>
      </c>
      <c r="C73" s="239" t="s">
        <v>1137</v>
      </c>
      <c r="D73" s="146"/>
      <c r="E73" s="239" t="s">
        <v>176</v>
      </c>
      <c r="F73" s="138">
        <f t="shared" si="3"/>
        <v>2.4</v>
      </c>
      <c r="G73" s="139" t="s">
        <v>60</v>
      </c>
      <c r="H73" s="212"/>
      <c r="J73" s="210"/>
      <c r="K73" s="138"/>
      <c r="L73" s="138"/>
      <c r="M73" s="145"/>
      <c r="N73" s="145"/>
      <c r="O73" s="138"/>
      <c r="P73" s="138"/>
      <c r="Q73" s="138"/>
      <c r="R73" s="145" t="b">
        <v>0</v>
      </c>
      <c r="S73" s="145" t="b">
        <v>0</v>
      </c>
      <c r="T73" s="145" t="b">
        <v>0</v>
      </c>
      <c r="U73" s="146"/>
      <c r="V73" s="146"/>
    </row>
    <row r="74" outlineLevel="1">
      <c r="A74" s="146"/>
      <c r="B74" s="402" t="s">
        <v>520</v>
      </c>
      <c r="C74" s="239" t="s">
        <v>334</v>
      </c>
      <c r="D74" s="146"/>
      <c r="E74" s="239" t="s">
        <v>176</v>
      </c>
      <c r="F74" s="138">
        <f t="shared" si="3"/>
        <v>2.4</v>
      </c>
      <c r="G74" s="139" t="s">
        <v>60</v>
      </c>
      <c r="H74" s="212"/>
      <c r="J74" s="210"/>
      <c r="K74" s="138"/>
      <c r="L74" s="138"/>
      <c r="M74" s="145"/>
      <c r="N74" s="145"/>
      <c r="O74" s="138"/>
      <c r="P74" s="138"/>
      <c r="Q74" s="138"/>
      <c r="R74" s="145" t="b">
        <v>0</v>
      </c>
      <c r="S74" s="145" t="b">
        <v>0</v>
      </c>
      <c r="T74" s="145" t="b">
        <v>0</v>
      </c>
      <c r="U74" s="146"/>
      <c r="V74" s="146"/>
    </row>
    <row r="75" outlineLevel="1">
      <c r="A75" s="146"/>
      <c r="B75" s="402" t="s">
        <v>521</v>
      </c>
      <c r="C75" s="239" t="s">
        <v>1918</v>
      </c>
      <c r="D75" s="146"/>
      <c r="E75" s="239" t="s">
        <v>176</v>
      </c>
      <c r="F75" s="138">
        <f t="shared" si="3"/>
        <v>2.4</v>
      </c>
      <c r="G75" s="139" t="s">
        <v>60</v>
      </c>
      <c r="H75" s="212"/>
      <c r="J75" s="210"/>
      <c r="K75" s="138"/>
      <c r="L75" s="138"/>
      <c r="M75" s="145"/>
      <c r="N75" s="145"/>
      <c r="O75" s="138"/>
      <c r="P75" s="138"/>
      <c r="Q75" s="138"/>
      <c r="R75" s="145" t="b">
        <v>0</v>
      </c>
      <c r="S75" s="145" t="b">
        <v>0</v>
      </c>
      <c r="T75" s="145" t="b">
        <v>0</v>
      </c>
      <c r="U75" s="146"/>
      <c r="V75" s="146"/>
    </row>
    <row r="76" outlineLevel="1">
      <c r="A76" s="146"/>
      <c r="B76" s="402" t="s">
        <v>172</v>
      </c>
      <c r="C76" s="239" t="s">
        <v>522</v>
      </c>
      <c r="D76" s="146"/>
      <c r="E76" s="239" t="s">
        <v>176</v>
      </c>
      <c r="F76" s="138">
        <f t="shared" si="3"/>
        <v>2.4</v>
      </c>
      <c r="G76" s="139" t="s">
        <v>60</v>
      </c>
      <c r="H76" s="212"/>
      <c r="J76" s="210"/>
      <c r="K76" s="138"/>
      <c r="L76" s="138"/>
      <c r="M76" s="145"/>
      <c r="N76" s="145"/>
      <c r="O76" s="138"/>
      <c r="P76" s="138"/>
      <c r="Q76" s="138"/>
      <c r="R76" s="145" t="b">
        <v>0</v>
      </c>
      <c r="S76" s="145" t="b">
        <v>0</v>
      </c>
      <c r="T76" s="145" t="b">
        <v>0</v>
      </c>
      <c r="U76" s="146"/>
      <c r="V76" s="146"/>
    </row>
    <row r="77" outlineLevel="1">
      <c r="A77" s="146"/>
      <c r="B77" s="402" t="s">
        <v>365</v>
      </c>
      <c r="C77" s="239" t="s">
        <v>1619</v>
      </c>
      <c r="D77" s="146"/>
      <c r="E77" s="239" t="s">
        <v>176</v>
      </c>
      <c r="F77" s="138">
        <f t="shared" si="3"/>
        <v>2.4</v>
      </c>
      <c r="G77" s="139" t="s">
        <v>60</v>
      </c>
      <c r="H77" s="212"/>
      <c r="J77" s="210"/>
      <c r="K77" s="138"/>
      <c r="L77" s="138"/>
      <c r="M77" s="145"/>
      <c r="N77" s="145"/>
      <c r="O77" s="138"/>
      <c r="P77" s="138"/>
      <c r="Q77" s="138"/>
      <c r="R77" s="145" t="b">
        <v>0</v>
      </c>
      <c r="S77" s="145" t="b">
        <v>0</v>
      </c>
      <c r="T77" s="145" t="b">
        <v>0</v>
      </c>
      <c r="U77" s="146"/>
      <c r="V77" s="146"/>
    </row>
    <row r="78" outlineLevel="1">
      <c r="A78" s="146"/>
      <c r="B78" s="402" t="s">
        <v>524</v>
      </c>
      <c r="C78" s="239" t="s">
        <v>1919</v>
      </c>
      <c r="D78" s="146"/>
      <c r="E78" s="239" t="s">
        <v>176</v>
      </c>
      <c r="F78" s="138">
        <f t="shared" si="3"/>
        <v>2.4</v>
      </c>
      <c r="G78" s="139" t="s">
        <v>60</v>
      </c>
      <c r="H78" s="212"/>
      <c r="J78" s="210"/>
      <c r="K78" s="138"/>
      <c r="L78" s="138"/>
      <c r="M78" s="145"/>
      <c r="N78" s="145"/>
      <c r="O78" s="138"/>
      <c r="P78" s="138"/>
      <c r="Q78" s="138"/>
      <c r="R78" s="145" t="b">
        <v>0</v>
      </c>
      <c r="S78" s="145" t="b">
        <v>0</v>
      </c>
      <c r="T78" s="145" t="b">
        <v>0</v>
      </c>
      <c r="U78" s="146"/>
      <c r="V78" s="146"/>
    </row>
    <row r="79" outlineLevel="1">
      <c r="A79" s="156"/>
      <c r="B79" s="402" t="s">
        <v>526</v>
      </c>
      <c r="C79" s="239" t="s">
        <v>1920</v>
      </c>
      <c r="D79" s="156"/>
      <c r="E79" s="239" t="s">
        <v>204</v>
      </c>
      <c r="F79" s="138">
        <f t="shared" si="3"/>
        <v>3.6</v>
      </c>
      <c r="G79" s="139" t="s">
        <v>147</v>
      </c>
      <c r="H79" s="106"/>
      <c r="I79" s="168"/>
      <c r="J79" s="107"/>
      <c r="K79" s="138"/>
      <c r="L79" s="138"/>
      <c r="M79" s="145"/>
      <c r="N79" s="145"/>
      <c r="O79" s="138"/>
      <c r="P79" s="138"/>
      <c r="Q79" s="138"/>
      <c r="R79" s="145" t="b">
        <v>0</v>
      </c>
      <c r="S79" s="145" t="b">
        <v>0</v>
      </c>
      <c r="T79" s="145" t="b">
        <v>0</v>
      </c>
      <c r="U79" s="156"/>
      <c r="V79" s="156"/>
    </row>
    <row r="80" outlineLevel="1">
      <c r="A80" s="230" t="str">
        <f>"下B ("&amp;VLOOKUP($A$1,Fighters!$A$2:$AI$81,18,FALSE)&amp;")"</f>
        <v>下B (爆弾)</v>
      </c>
      <c r="B80" s="109"/>
      <c r="C80" s="231" t="str">
        <f>'テンプレート'!C85</f>
        <v>判定持続</v>
      </c>
      <c r="D80" s="231" t="str">
        <f>'テンプレート'!D85</f>
        <v>全体フレーム</v>
      </c>
      <c r="E80" s="232" t="str">
        <f>'テンプレート'!E85</f>
        <v>基礎ダメージ</v>
      </c>
      <c r="F80" s="233" t="str">
        <f>'テンプレート'!F85</f>
        <v>ダメージ (1v1)</v>
      </c>
      <c r="G80" s="232" t="str">
        <f>'テンプレート'!G85</f>
        <v>ガード硬直</v>
      </c>
      <c r="H80" s="382" t="str">
        <f>'テンプレート'!H85</f>
        <v>備考</v>
      </c>
      <c r="I80" s="110"/>
      <c r="J80" s="109"/>
      <c r="K80" s="235" t="str">
        <f>'テンプレート'!K85</f>
        <v>ベクトル</v>
      </c>
      <c r="L80" s="235" t="str">
        <f>'テンプレート'!L85</f>
        <v>KBG (R.E.)</v>
      </c>
      <c r="M80" s="235" t="str">
        <f>'テンプレート'!M85</f>
        <v>BKB (R.A.)</v>
      </c>
      <c r="N80" s="235" t="str">
        <f>'テンプレート'!N85</f>
        <v>FKB (R.F.)</v>
      </c>
      <c r="O80" s="236" t="str">
        <f>'テンプレート'!O85</f>
        <v>盾削り値</v>
      </c>
      <c r="P80" s="235" t="str">
        <f>'テンプレート'!P85</f>
        <v>ﾋｯﾄｽﾄｯﾌﾟ</v>
      </c>
      <c r="Q80" s="236" t="str">
        <f>'テンプレート'!Q85</f>
        <v>ずらし</v>
      </c>
      <c r="R80" s="235" t="str">
        <f>'テンプレート'!R85</f>
        <v>相殺</v>
      </c>
      <c r="S80" s="236" t="str">
        <f>'テンプレート'!S85</f>
        <v>相殺ﾓｰｼｮﾝ</v>
      </c>
      <c r="T80" s="236" t="str">
        <f>'テンプレート'!T85</f>
        <v>飛び道具</v>
      </c>
      <c r="U80" s="236" t="str">
        <f>'テンプレート'!U85</f>
        <v>慣性反転</v>
      </c>
      <c r="V80" s="236" t="str">
        <f>'テンプレート'!V85</f>
        <v>向き反転</v>
      </c>
    </row>
    <row r="81" outlineLevel="1">
      <c r="A81" s="396" t="s">
        <v>332</v>
      </c>
      <c r="B81" s="402" t="s">
        <v>529</v>
      </c>
      <c r="C81" s="239" t="s">
        <v>1921</v>
      </c>
      <c r="D81" s="239" t="s">
        <v>118</v>
      </c>
      <c r="E81" s="261"/>
      <c r="F81" s="261"/>
      <c r="G81" s="261"/>
      <c r="H81" s="163" t="s">
        <v>1922</v>
      </c>
      <c r="I81" s="164"/>
      <c r="J81" s="104"/>
      <c r="K81" s="261"/>
      <c r="L81" s="261"/>
      <c r="M81" s="261"/>
      <c r="N81" s="261"/>
      <c r="O81" s="261"/>
      <c r="P81" s="261"/>
      <c r="Q81" s="261"/>
      <c r="R81" s="261"/>
      <c r="S81" s="261"/>
      <c r="T81" s="261"/>
      <c r="U81" s="166" t="b">
        <v>0</v>
      </c>
      <c r="V81" s="166" t="b">
        <v>0</v>
      </c>
    </row>
    <row r="82" outlineLevel="1">
      <c r="A82" s="156"/>
      <c r="B82" s="402" t="s">
        <v>1923</v>
      </c>
      <c r="C82" s="239" t="s">
        <v>1924</v>
      </c>
      <c r="D82" s="261"/>
      <c r="E82" s="239" t="s">
        <v>1925</v>
      </c>
      <c r="F82" s="138" t="s">
        <v>1926</v>
      </c>
      <c r="G82" s="139" t="s">
        <v>1483</v>
      </c>
      <c r="H82" s="106"/>
      <c r="I82" s="168"/>
      <c r="J82" s="107"/>
      <c r="K82" s="138"/>
      <c r="L82" s="138"/>
      <c r="M82" s="145"/>
      <c r="N82" s="145"/>
      <c r="O82" s="138">
        <v>0.0</v>
      </c>
      <c r="P82" s="138">
        <v>1.0</v>
      </c>
      <c r="Q82" s="138">
        <v>1.0</v>
      </c>
      <c r="R82" s="145" t="b">
        <v>1</v>
      </c>
      <c r="S82" s="145" t="b">
        <v>0</v>
      </c>
      <c r="T82" s="145" t="b">
        <v>1</v>
      </c>
      <c r="U82" s="156"/>
      <c r="V82" s="156"/>
    </row>
    <row r="83">
      <c r="A83" s="223"/>
      <c r="B83" s="224"/>
      <c r="C83" s="225"/>
      <c r="D83" s="225"/>
      <c r="E83" s="226"/>
      <c r="F83" s="226"/>
      <c r="G83" s="226"/>
      <c r="H83" s="227"/>
      <c r="I83" s="227"/>
      <c r="J83" s="228"/>
      <c r="K83" s="228"/>
      <c r="L83" s="228"/>
      <c r="M83" s="228"/>
      <c r="N83" s="228"/>
      <c r="O83" s="228"/>
      <c r="P83" s="228"/>
      <c r="Q83" s="118"/>
      <c r="R83" s="118"/>
      <c r="S83" s="118"/>
      <c r="T83" s="118"/>
      <c r="U83" s="118"/>
      <c r="V83" s="118"/>
    </row>
    <row r="84">
      <c r="A84" s="264" t="str">
        <f>'テンプレート'!A91</f>
        <v>つかみ・投げ</v>
      </c>
      <c r="B84" s="104"/>
      <c r="C84" s="227"/>
      <c r="D84" s="227"/>
      <c r="E84" s="228"/>
      <c r="F84" s="265"/>
      <c r="G84" s="265"/>
      <c r="H84" s="228"/>
      <c r="I84" s="228"/>
      <c r="J84" s="228"/>
      <c r="K84" s="228"/>
      <c r="L84" s="228"/>
      <c r="M84" s="228"/>
      <c r="N84" s="118"/>
      <c r="O84" s="118"/>
      <c r="P84" s="118"/>
      <c r="Q84" s="228"/>
      <c r="R84" s="228"/>
      <c r="S84" s="228"/>
      <c r="T84" s="228"/>
      <c r="U84" s="228"/>
      <c r="V84" s="228"/>
    </row>
    <row r="85" outlineLevel="1">
      <c r="A85" s="106"/>
      <c r="B85" s="107"/>
      <c r="C85" s="266" t="str">
        <f>'テンプレート'!C92</f>
        <v>判定持続</v>
      </c>
      <c r="D85" s="266" t="str">
        <f>'テンプレート'!D92</f>
        <v>全体フレーム</v>
      </c>
      <c r="E85" s="266" t="str">
        <f>'テンプレート'!E92</f>
        <v>基礎ダメージ</v>
      </c>
      <c r="F85" s="267" t="str">
        <f>'テンプレート'!F92</f>
        <v>ダメージ (1v1)</v>
      </c>
      <c r="G85" s="227"/>
      <c r="H85" s="227"/>
      <c r="I85" s="227"/>
      <c r="J85" s="228"/>
      <c r="K85" s="228"/>
      <c r="L85" s="228"/>
      <c r="M85" s="228"/>
      <c r="N85" s="228"/>
      <c r="O85" s="228"/>
      <c r="P85" s="228"/>
      <c r="Q85" s="228"/>
      <c r="R85" s="228"/>
      <c r="S85" s="228"/>
      <c r="T85" s="228"/>
      <c r="U85" s="228"/>
      <c r="V85" s="228"/>
    </row>
    <row r="86" outlineLevel="1">
      <c r="A86" s="268" t="str">
        <f>'テンプレート'!A93</f>
        <v>つかみ攻撃</v>
      </c>
      <c r="B86" s="269" t="str">
        <f>'テンプレート'!B93</f>
        <v>つかみ攻撃</v>
      </c>
      <c r="C86" s="113" t="s">
        <v>213</v>
      </c>
      <c r="D86" s="113" t="s">
        <v>86</v>
      </c>
      <c r="E86" s="113" t="s">
        <v>213</v>
      </c>
      <c r="F86" s="138">
        <f>E86*1.2</f>
        <v>1.2</v>
      </c>
      <c r="G86" s="227"/>
      <c r="H86" s="227"/>
      <c r="I86" s="227"/>
      <c r="J86" s="228"/>
      <c r="K86" s="228"/>
      <c r="L86" s="228"/>
      <c r="M86" s="228"/>
      <c r="N86" s="228"/>
      <c r="O86" s="228"/>
      <c r="P86" s="228"/>
      <c r="Q86" s="228"/>
      <c r="R86" s="228"/>
      <c r="S86" s="228"/>
      <c r="T86" s="228"/>
      <c r="U86" s="228"/>
      <c r="V86" s="228"/>
    </row>
    <row r="87" outlineLevel="1">
      <c r="A87" s="270" t="str">
        <f>'テンプレート'!A94</f>
        <v>つかみ</v>
      </c>
      <c r="B87" s="269" t="str">
        <f>'テンプレート'!B94</f>
        <v>その場</v>
      </c>
      <c r="C87" s="113" t="s">
        <v>1927</v>
      </c>
      <c r="D87" s="113" t="s">
        <v>634</v>
      </c>
      <c r="E87" s="271"/>
      <c r="F87" s="272"/>
      <c r="G87" s="272"/>
      <c r="H87" s="227"/>
      <c r="I87" s="227"/>
      <c r="J87" s="228"/>
      <c r="K87" s="228"/>
      <c r="L87" s="228"/>
      <c r="M87" s="228"/>
      <c r="N87" s="228"/>
      <c r="O87" s="228"/>
      <c r="P87" s="228"/>
      <c r="Q87" s="228"/>
      <c r="R87" s="228"/>
      <c r="S87" s="228"/>
      <c r="T87" s="228"/>
      <c r="U87" s="228"/>
      <c r="V87" s="228"/>
    </row>
    <row r="88" outlineLevel="1">
      <c r="A88" s="212"/>
      <c r="B88" s="269" t="str">
        <f>'テンプレート'!B95</f>
        <v>ダッシュ</v>
      </c>
      <c r="C88" s="113" t="s">
        <v>1014</v>
      </c>
      <c r="D88" s="113" t="s">
        <v>424</v>
      </c>
      <c r="E88" s="271"/>
      <c r="F88" s="272"/>
      <c r="G88" s="272"/>
      <c r="H88" s="227"/>
      <c r="I88" s="227"/>
      <c r="J88" s="228"/>
      <c r="K88" s="228"/>
      <c r="L88" s="228"/>
      <c r="M88" s="228"/>
      <c r="N88" s="228"/>
      <c r="O88" s="228"/>
      <c r="P88" s="228"/>
      <c r="Q88" s="228"/>
      <c r="R88" s="228"/>
      <c r="S88" s="228"/>
      <c r="T88" s="228"/>
      <c r="U88" s="228"/>
      <c r="V88" s="228"/>
    </row>
    <row r="89" outlineLevel="1">
      <c r="A89" s="106"/>
      <c r="B89" s="269" t="str">
        <f>'テンプレート'!B96</f>
        <v>ふりむき</v>
      </c>
      <c r="C89" s="113" t="s">
        <v>1928</v>
      </c>
      <c r="D89" s="113" t="s">
        <v>300</v>
      </c>
      <c r="E89" s="227"/>
      <c r="F89" s="272"/>
      <c r="G89" s="272"/>
      <c r="H89" s="227"/>
      <c r="I89" s="227"/>
      <c r="J89" s="228"/>
      <c r="K89" s="228"/>
      <c r="L89" s="228"/>
      <c r="M89" s="228"/>
      <c r="N89" s="228"/>
      <c r="O89" s="228"/>
      <c r="P89" s="228"/>
      <c r="Q89" s="228"/>
      <c r="R89" s="228"/>
      <c r="S89" s="228"/>
      <c r="T89" s="228"/>
      <c r="U89" s="228"/>
      <c r="V89" s="228"/>
    </row>
    <row r="90" outlineLevel="1">
      <c r="A90" s="273" t="str">
        <f>'テンプレート'!A97</f>
        <v>投げ</v>
      </c>
      <c r="B90" s="109"/>
      <c r="C90" s="266" t="str">
        <f>'テンプレート'!C97</f>
        <v>判定持続</v>
      </c>
      <c r="D90" s="266" t="str">
        <f>'テンプレート'!D97</f>
        <v>全体フレーム</v>
      </c>
      <c r="E90" s="266" t="str">
        <f>'テンプレート'!E97</f>
        <v>基礎ダメージ</v>
      </c>
      <c r="F90" s="266" t="str">
        <f>'テンプレート'!F97</f>
        <v>ダメージ (1v1)</v>
      </c>
      <c r="G90" s="669" t="str">
        <f>'テンプレート'!G97</f>
        <v>備考</v>
      </c>
      <c r="H90" s="110"/>
      <c r="I90" s="110"/>
      <c r="J90" s="109"/>
      <c r="K90" s="275" t="str">
        <f>'テンプレート'!K97</f>
        <v>ベクトル</v>
      </c>
      <c r="L90" s="275" t="str">
        <f>'テンプレート'!L97</f>
        <v>KBG (R.E.)</v>
      </c>
      <c r="M90" s="275" t="str">
        <f>'テンプレート'!M97</f>
        <v>BKB (R.A.)</v>
      </c>
      <c r="N90" s="275" t="str">
        <f>'テンプレート'!N97</f>
        <v>FKB (R.F.)</v>
      </c>
      <c r="O90" s="276" t="str">
        <f>'テンプレート'!O97</f>
        <v>盾削り値</v>
      </c>
      <c r="P90" s="275" t="str">
        <f>'テンプレート'!P97</f>
        <v>ﾋｯﾄｽﾄｯﾌﾟ</v>
      </c>
      <c r="Q90" s="276" t="str">
        <f>'テンプレート'!Q97</f>
        <v>ずらし</v>
      </c>
      <c r="R90" s="277"/>
      <c r="S90" s="277"/>
      <c r="T90" s="277"/>
      <c r="U90" s="277"/>
      <c r="V90" s="277"/>
    </row>
    <row r="91" outlineLevel="1">
      <c r="A91" s="278" t="str">
        <f>'テンプレート'!A98</f>
        <v>前投げ</v>
      </c>
      <c r="B91" s="269" t="str">
        <f>'テンプレート'!B98</f>
        <v>打撃</v>
      </c>
      <c r="C91" s="113" t="s">
        <v>299</v>
      </c>
      <c r="D91" s="279" t="s">
        <v>118</v>
      </c>
      <c r="E91" s="239" t="s">
        <v>204</v>
      </c>
      <c r="F91" s="138">
        <f t="shared" ref="F91:F98" si="4">IFERROR(E91*1.2, "-")</f>
        <v>3.6</v>
      </c>
      <c r="G91" s="1170"/>
      <c r="H91" s="164"/>
      <c r="I91" s="164"/>
      <c r="J91" s="104"/>
      <c r="K91" s="282"/>
      <c r="L91" s="363"/>
      <c r="M91" s="363"/>
      <c r="N91" s="145">
        <v>0.0</v>
      </c>
      <c r="O91" s="145">
        <v>1.0</v>
      </c>
      <c r="P91" s="145">
        <v>1.0</v>
      </c>
      <c r="Q91" s="277"/>
      <c r="R91" s="228"/>
      <c r="S91" s="228"/>
      <c r="T91" s="228"/>
      <c r="U91" s="228"/>
    </row>
    <row r="92" outlineLevel="1">
      <c r="A92" s="156"/>
      <c r="B92" s="269" t="str">
        <f>'テンプレート'!B99</f>
        <v>投げ</v>
      </c>
      <c r="C92" s="113" t="s">
        <v>228</v>
      </c>
      <c r="D92" s="156"/>
      <c r="E92" s="239" t="s">
        <v>204</v>
      </c>
      <c r="F92" s="138">
        <f t="shared" si="4"/>
        <v>3.6</v>
      </c>
      <c r="G92" s="106"/>
      <c r="H92" s="168"/>
      <c r="I92" s="168"/>
      <c r="J92" s="107"/>
      <c r="K92" s="282"/>
      <c r="L92" s="363"/>
      <c r="M92" s="363"/>
      <c r="N92" s="261"/>
      <c r="O92" s="261"/>
      <c r="P92" s="261"/>
      <c r="Q92" s="277"/>
      <c r="R92" s="228"/>
      <c r="S92" s="228"/>
      <c r="T92" s="228"/>
      <c r="U92" s="228"/>
    </row>
    <row r="93" outlineLevel="1">
      <c r="A93" s="278" t="str">
        <f>'テンプレート'!A100</f>
        <v>後投げ</v>
      </c>
      <c r="B93" s="269" t="str">
        <f>'テンプレート'!B100</f>
        <v>打撃</v>
      </c>
      <c r="C93" s="113" t="s">
        <v>299</v>
      </c>
      <c r="D93" s="279" t="s">
        <v>118</v>
      </c>
      <c r="E93" s="239" t="s">
        <v>204</v>
      </c>
      <c r="F93" s="138">
        <f t="shared" si="4"/>
        <v>3.6</v>
      </c>
      <c r="G93" s="1170"/>
      <c r="H93" s="164"/>
      <c r="I93" s="164"/>
      <c r="J93" s="104"/>
      <c r="K93" s="282"/>
      <c r="L93" s="363"/>
      <c r="M93" s="363"/>
      <c r="N93" s="145">
        <v>0.0</v>
      </c>
      <c r="O93" s="145">
        <v>1.0</v>
      </c>
      <c r="P93" s="145">
        <v>1.0</v>
      </c>
      <c r="Q93" s="277"/>
      <c r="R93" s="228"/>
      <c r="S93" s="228"/>
      <c r="T93" s="228"/>
      <c r="U93" s="228"/>
    </row>
    <row r="94" outlineLevel="1">
      <c r="A94" s="156"/>
      <c r="B94" s="269" t="str">
        <f>'テンプレート'!B101</f>
        <v>投げ</v>
      </c>
      <c r="C94" s="113" t="s">
        <v>228</v>
      </c>
      <c r="D94" s="156"/>
      <c r="E94" s="239" t="s">
        <v>204</v>
      </c>
      <c r="F94" s="138">
        <f t="shared" si="4"/>
        <v>3.6</v>
      </c>
      <c r="G94" s="106"/>
      <c r="H94" s="168"/>
      <c r="I94" s="168"/>
      <c r="J94" s="107"/>
      <c r="K94" s="282"/>
      <c r="L94" s="363"/>
      <c r="M94" s="363"/>
      <c r="N94" s="261"/>
      <c r="O94" s="261"/>
      <c r="P94" s="261"/>
      <c r="Q94" s="277"/>
      <c r="R94" s="228"/>
      <c r="S94" s="228"/>
      <c r="T94" s="228"/>
      <c r="U94" s="228"/>
    </row>
    <row r="95" outlineLevel="1">
      <c r="A95" s="278" t="str">
        <f>'テンプレート'!A102</f>
        <v>上投げ</v>
      </c>
      <c r="B95" s="269" t="str">
        <f>'テンプレート'!B102</f>
        <v>打撃</v>
      </c>
      <c r="C95" s="113" t="s">
        <v>522</v>
      </c>
      <c r="D95" s="279" t="s">
        <v>185</v>
      </c>
      <c r="E95" s="239" t="s">
        <v>73</v>
      </c>
      <c r="F95" s="138">
        <f t="shared" si="4"/>
        <v>4.8</v>
      </c>
      <c r="G95" s="1170"/>
      <c r="H95" s="164"/>
      <c r="I95" s="164"/>
      <c r="J95" s="104"/>
      <c r="K95" s="282"/>
      <c r="L95" s="363"/>
      <c r="M95" s="363"/>
      <c r="N95" s="145">
        <v>0.0</v>
      </c>
      <c r="O95" s="145">
        <v>1.0</v>
      </c>
      <c r="P95" s="145">
        <v>1.0</v>
      </c>
      <c r="Q95" s="277"/>
      <c r="R95" s="228"/>
      <c r="S95" s="228"/>
      <c r="T95" s="228"/>
      <c r="U95" s="228"/>
    </row>
    <row r="96" outlineLevel="1">
      <c r="A96" s="156"/>
      <c r="B96" s="269" t="str">
        <f>'テンプレート'!B103</f>
        <v>投げ</v>
      </c>
      <c r="C96" s="113" t="s">
        <v>99</v>
      </c>
      <c r="D96" s="156"/>
      <c r="E96" s="239" t="s">
        <v>176</v>
      </c>
      <c r="F96" s="138">
        <f t="shared" si="4"/>
        <v>2.4</v>
      </c>
      <c r="G96" s="106"/>
      <c r="H96" s="168"/>
      <c r="I96" s="168"/>
      <c r="J96" s="107"/>
      <c r="K96" s="282"/>
      <c r="L96" s="363"/>
      <c r="M96" s="363"/>
      <c r="N96" s="261"/>
      <c r="O96" s="261"/>
      <c r="P96" s="261"/>
      <c r="Q96" s="277"/>
      <c r="R96" s="117"/>
      <c r="S96" s="117"/>
      <c r="T96" s="117"/>
      <c r="U96" s="117"/>
    </row>
    <row r="97" outlineLevel="1">
      <c r="A97" s="278" t="str">
        <f>'テンプレート'!A104</f>
        <v>下投げ</v>
      </c>
      <c r="B97" s="269" t="str">
        <f>'テンプレート'!B104</f>
        <v>打撃</v>
      </c>
      <c r="C97" s="113" t="s">
        <v>288</v>
      </c>
      <c r="D97" s="279" t="s">
        <v>185</v>
      </c>
      <c r="E97" s="239" t="s">
        <v>204</v>
      </c>
      <c r="F97" s="138">
        <f t="shared" si="4"/>
        <v>3.6</v>
      </c>
      <c r="G97" s="1170"/>
      <c r="H97" s="164"/>
      <c r="I97" s="164"/>
      <c r="J97" s="104"/>
      <c r="K97" s="282"/>
      <c r="L97" s="363"/>
      <c r="M97" s="363"/>
      <c r="N97" s="145">
        <v>0.0</v>
      </c>
      <c r="O97" s="145">
        <v>1.0</v>
      </c>
      <c r="P97" s="145">
        <v>1.0</v>
      </c>
      <c r="Q97" s="277"/>
      <c r="R97" s="117"/>
      <c r="S97" s="117"/>
      <c r="T97" s="117"/>
      <c r="U97" s="117"/>
    </row>
    <row r="98" outlineLevel="1">
      <c r="A98" s="156"/>
      <c r="B98" s="269" t="str">
        <f>'テンプレート'!B105</f>
        <v>投げ</v>
      </c>
      <c r="C98" s="113" t="s">
        <v>593</v>
      </c>
      <c r="D98" s="156"/>
      <c r="E98" s="239" t="s">
        <v>204</v>
      </c>
      <c r="F98" s="138">
        <f t="shared" si="4"/>
        <v>3.6</v>
      </c>
      <c r="G98" s="106"/>
      <c r="H98" s="168"/>
      <c r="I98" s="168"/>
      <c r="J98" s="107"/>
      <c r="K98" s="282"/>
      <c r="L98" s="363"/>
      <c r="M98" s="363"/>
      <c r="N98" s="261"/>
      <c r="O98" s="261"/>
      <c r="P98" s="261"/>
      <c r="Q98" s="277"/>
      <c r="R98" s="117"/>
      <c r="S98" s="117"/>
      <c r="T98" s="117"/>
      <c r="U98" s="117"/>
    </row>
    <row r="99">
      <c r="A99" s="223"/>
      <c r="B99" s="224"/>
      <c r="C99" s="225"/>
      <c r="D99" s="225"/>
      <c r="E99" s="227"/>
      <c r="F99" s="177"/>
      <c r="G99" s="177"/>
      <c r="H99" s="227"/>
      <c r="I99" s="227"/>
      <c r="J99" s="228"/>
      <c r="K99" s="228"/>
      <c r="L99" s="111"/>
      <c r="M99" s="111"/>
      <c r="N99" s="111"/>
      <c r="O99" s="117"/>
      <c r="P99" s="117"/>
      <c r="Q99" s="111"/>
      <c r="R99" s="111"/>
      <c r="S99" s="111"/>
      <c r="T99" s="111"/>
      <c r="U99" s="111"/>
      <c r="V99" s="111"/>
    </row>
    <row r="100">
      <c r="A100" s="284" t="str">
        <f>'テンプレート'!A107</f>
        <v>回避</v>
      </c>
      <c r="B100" s="104"/>
      <c r="C100" s="265"/>
      <c r="D100" s="111"/>
      <c r="E100" s="111"/>
      <c r="F100" s="111"/>
      <c r="G100" s="111"/>
      <c r="H100" s="111"/>
      <c r="I100" s="111"/>
      <c r="J100" s="118"/>
      <c r="K100" s="111"/>
      <c r="L100" s="111"/>
      <c r="M100" s="111"/>
      <c r="N100" s="111"/>
      <c r="O100" s="111"/>
      <c r="P100" s="111"/>
      <c r="Q100" s="118"/>
      <c r="R100" s="111"/>
      <c r="S100" s="111"/>
      <c r="T100" s="111"/>
      <c r="U100" s="111"/>
      <c r="V100" s="111"/>
    </row>
    <row r="101" outlineLevel="1">
      <c r="A101" s="106"/>
      <c r="B101" s="107"/>
      <c r="C101" s="285" t="s">
        <v>235</v>
      </c>
      <c r="D101" s="285" t="s">
        <v>236</v>
      </c>
      <c r="E101" s="285" t="s">
        <v>49</v>
      </c>
      <c r="F101" s="285" t="s">
        <v>237</v>
      </c>
      <c r="G101" s="286"/>
      <c r="H101" s="227"/>
      <c r="I101" s="227"/>
      <c r="J101" s="228"/>
      <c r="K101" s="228"/>
      <c r="L101" s="111"/>
      <c r="M101" s="111"/>
      <c r="N101" s="111"/>
      <c r="O101" s="111"/>
      <c r="P101" s="111"/>
      <c r="Q101" s="111"/>
      <c r="R101" s="111"/>
      <c r="S101" s="111"/>
      <c r="T101" s="111"/>
      <c r="U101" s="111"/>
      <c r="V101" s="111"/>
    </row>
    <row r="102" outlineLevel="1">
      <c r="A102" s="287" t="str">
        <f>'テンプレート'!A109</f>
        <v>地上回避</v>
      </c>
      <c r="B102" s="288" t="str">
        <f>'テンプレート'!B109</f>
        <v>その場</v>
      </c>
      <c r="C102" s="113" t="str">
        <f t="array" ref="C102">INDEX('回避'!$C$3:$U$84, MATCH($A$1,'回避'!$A$3:$A$91,0), MATCH(C101,'回避'!$C$2:$F$2,0))</f>
        <v>3-16</v>
      </c>
      <c r="D102" s="113" t="str">
        <f t="array" ref="D102">INDEX('回避'!$C$3:$U$84, MATCH($A$1,'回避'!$A$3:$A$91,0), MATCH(D101,'回避'!$C$2:$F$2,0))</f>
        <v>6-16</v>
      </c>
      <c r="E102" s="113" t="str">
        <f t="array" ref="E102">INDEX('回避'!$C$3:$U$84, MATCH($A$1,'回避'!$A$3:$A$91,0), MATCH(E101,'回避'!$C$2:$F$2,0))</f>
        <v>24 (19)</v>
      </c>
      <c r="F102" s="113" t="str">
        <f t="array" ref="F102">INDEX('回避'!$C$3:$U$84, MATCH($A$1,'回避'!$A$3:$A$91,0), MATCH(F101,'回避'!$C$2:$F$2,0))</f>
        <v>32 (25)</v>
      </c>
      <c r="G102" s="272"/>
      <c r="H102" s="227"/>
      <c r="I102" s="227"/>
      <c r="J102" s="228"/>
      <c r="K102" s="228"/>
      <c r="L102" s="228"/>
      <c r="M102" s="111"/>
      <c r="N102" s="111"/>
      <c r="O102" s="111"/>
      <c r="P102" s="111"/>
      <c r="Q102" s="111"/>
      <c r="R102" s="111"/>
      <c r="S102" s="111"/>
      <c r="T102" s="111"/>
      <c r="U102" s="111"/>
      <c r="V102" s="111"/>
    </row>
    <row r="103" outlineLevel="1">
      <c r="A103" s="212"/>
      <c r="B103" s="288" t="str">
        <f>'テンプレート'!B110</f>
        <v>前方</v>
      </c>
      <c r="C103" s="113" t="str">
        <f t="array" ref="C103">INDEX('回避'!$G$3:$U$84, MATCH($A$1,'回避'!$A$3:$A$91,0), MATCH(C101,'回避'!$G$2:$J$2,0))</f>
        <v>4-14</v>
      </c>
      <c r="D103" s="113" t="str">
        <f t="array" ref="D103">INDEX('回避'!$G$3:$U$84, MATCH($A$1,'回避'!$A$3:$A$91,0), MATCH(D101,'回避'!$G$2:$J$2,0))</f>
        <v>8-14</v>
      </c>
      <c r="E103" s="113" t="str">
        <f t="array" ref="E103">INDEX('回避'!$G$3:$U$84, MATCH($A$1,'回避'!$A$3:$A$91,0), MATCH(E101,'回避'!$G$2:$J$2,0))</f>
        <v>28</v>
      </c>
      <c r="F103" s="113">
        <f t="array" ref="F103">INDEX('回避'!$G$3:$U$84, MATCH($A$1,'回避'!$A$3:$A$91,0), MATCH(F101,'回避'!$G$2:$J$2,0))</f>
        <v>37</v>
      </c>
      <c r="G103" s="289"/>
      <c r="H103" s="227"/>
      <c r="I103" s="227"/>
      <c r="J103" s="228"/>
      <c r="K103" s="228"/>
      <c r="L103" s="228"/>
      <c r="M103" s="228"/>
      <c r="N103" s="228"/>
      <c r="O103" s="111"/>
      <c r="P103" s="111"/>
      <c r="Q103" s="111"/>
      <c r="R103" s="111"/>
      <c r="S103" s="111"/>
      <c r="T103" s="111"/>
      <c r="U103" s="111"/>
      <c r="V103" s="111"/>
    </row>
    <row r="104" outlineLevel="1">
      <c r="A104" s="106"/>
      <c r="B104" s="288" t="str">
        <f>'テンプレート'!B111</f>
        <v>後方</v>
      </c>
      <c r="C104" s="113" t="str">
        <f t="array" ref="C104">INDEX('回避'!$K$3:$U$84, MATCH($A$1,'回避'!$A$3:$A$91,0), MATCH(C101,'回避'!$K$2:$N$2,0))</f>
        <v>4-15</v>
      </c>
      <c r="D104" s="113" t="str">
        <f t="array" ref="D104">INDEX('回避'!$K$3:$U$84, MATCH($A$1,'回避'!$A$3:$A$91,0), MATCH(D101,'回避'!$K$2:$N$2,0))</f>
        <v>8-13</v>
      </c>
      <c r="E104" s="113" t="str">
        <f t="array" ref="E104">INDEX('回避'!$K$3:$U$84, MATCH($A$1,'回避'!$A$3:$A$91,0), MATCH(E101,'回避'!$K$2:$N$2,0))</f>
        <v>33</v>
      </c>
      <c r="F104" s="113" t="str">
        <f t="array" ref="F104">INDEX('回避'!$K$3:$U$84, MATCH($A$1,'回避'!$A$3:$A$91,0), MATCH(F101,'回避'!$K$2:$N$2,0))</f>
        <v>50</v>
      </c>
      <c r="G104" s="289"/>
      <c r="H104" s="290"/>
      <c r="I104" s="290"/>
      <c r="J104" s="117"/>
      <c r="K104" s="117"/>
      <c r="L104" s="117"/>
      <c r="M104" s="117"/>
      <c r="N104" s="117"/>
      <c r="O104" s="111"/>
      <c r="P104" s="111"/>
      <c r="Q104" s="111"/>
      <c r="R104" s="111"/>
      <c r="S104" s="111"/>
      <c r="T104" s="111"/>
      <c r="U104" s="111"/>
      <c r="V104" s="111"/>
    </row>
    <row r="105" outlineLevel="1">
      <c r="A105" s="287" t="str">
        <f>'テンプレート'!A112</f>
        <v>空中回避</v>
      </c>
      <c r="B105" s="288" t="str">
        <f>'テンプレート'!B112</f>
        <v>通常</v>
      </c>
      <c r="C105" s="113" t="str">
        <f t="array" ref="C105">INDEX('回避'!$O$3:$U$84, MATCH($A$1,'回避'!$A$3:$A$91,0), MATCH(C101,'回避'!$O$2:$R$2,0))</f>
        <v>2-26</v>
      </c>
      <c r="D105" s="113" t="str">
        <f t="array" ref="D105">INDEX('回避'!$O$3:$U$84, MATCH($A$1,'回避'!$A$3:$A$91,0), MATCH(D101,'回避'!$O$2:$R$2,0))</f>
        <v>5-24</v>
      </c>
      <c r="E105" s="113" t="str">
        <f t="array" ref="E105">INDEX('回避'!$O$3:$U$84, MATCH($A$1,'回避'!$A$3:$A$91,0), MATCH(E101,'回避'!$O$2:$R$2,0))</f>
        <v>45</v>
      </c>
      <c r="F105" s="177"/>
      <c r="G105" s="177"/>
      <c r="H105" s="118"/>
      <c r="I105" s="118"/>
      <c r="J105" s="111"/>
      <c r="K105" s="111"/>
      <c r="L105" s="111"/>
      <c r="M105" s="111"/>
      <c r="N105" s="111"/>
      <c r="O105" s="228"/>
      <c r="P105" s="228"/>
      <c r="Q105" s="228"/>
      <c r="R105" s="228"/>
      <c r="S105" s="228"/>
      <c r="T105" s="228"/>
      <c r="U105" s="228"/>
      <c r="V105" s="228"/>
    </row>
    <row r="106" outlineLevel="1">
      <c r="A106" s="106"/>
      <c r="B106" s="288" t="str">
        <f>'テンプレート'!B113</f>
        <v>移動</v>
      </c>
      <c r="C106" s="113" t="str">
        <f t="array" ref="C106">INDEX('回避'!$S$3:$U$84, MATCH($A$1,'回避'!$A$3:$A$91,0), MATCH(C101,'回避'!$S$2:$U$2,0))</f>
        <v>2-19</v>
      </c>
      <c r="D106" s="113" t="str">
        <f t="array" ref="D106">INDEX('回避'!$S$3:$U$84, MATCH($A$1,'回避'!$A$3:$A$91,0), MATCH(D101,'回避'!$S$2:$U$2,0))</f>
        <v>5-18</v>
      </c>
      <c r="E106" s="113" t="str">
        <f t="array" ref="E106">INDEX('回避'!$S$3:$U$84, MATCH($A$1,'回避'!$A$3:$A$91,0), MATCH(E101,'回避'!$S$2:$U$2,0))</f>
        <v>真横：76
真上：100
真下：63</v>
      </c>
      <c r="F106" s="289"/>
      <c r="G106" s="289"/>
      <c r="H106" s="118"/>
      <c r="I106" s="118"/>
      <c r="J106" s="117"/>
      <c r="K106" s="117"/>
      <c r="L106" s="117"/>
      <c r="M106" s="117"/>
      <c r="N106" s="111"/>
      <c r="O106" s="118"/>
      <c r="P106" s="118"/>
      <c r="Q106" s="118"/>
      <c r="R106" s="118"/>
      <c r="S106" s="118"/>
      <c r="T106" s="118"/>
      <c r="U106" s="118"/>
      <c r="V106" s="118"/>
    </row>
    <row r="107">
      <c r="A107" s="291"/>
      <c r="B107" s="292"/>
      <c r="C107" s="286"/>
      <c r="D107" s="286"/>
      <c r="E107" s="293"/>
      <c r="F107" s="286"/>
      <c r="G107" s="286"/>
      <c r="H107" s="286"/>
      <c r="I107" s="286"/>
      <c r="J107" s="111"/>
      <c r="K107" s="227"/>
      <c r="L107" s="227"/>
      <c r="M107" s="227"/>
      <c r="N107" s="227"/>
      <c r="O107" s="118"/>
      <c r="P107" s="118"/>
      <c r="Q107" s="118"/>
      <c r="R107" s="118"/>
      <c r="S107" s="118"/>
      <c r="T107" s="118"/>
      <c r="U107" s="118"/>
      <c r="V107" s="118"/>
    </row>
    <row r="108">
      <c r="A108" s="294" t="s">
        <v>238</v>
      </c>
      <c r="B108" s="104"/>
      <c r="C108" s="228"/>
      <c r="D108" s="117"/>
      <c r="E108" s="228"/>
      <c r="F108" s="114"/>
      <c r="G108" s="114"/>
      <c r="H108" s="117"/>
      <c r="I108" s="117"/>
      <c r="J108" s="118"/>
      <c r="K108" s="118"/>
      <c r="L108" s="118"/>
      <c r="M108" s="118"/>
      <c r="N108" s="118"/>
      <c r="O108" s="118"/>
      <c r="P108" s="118"/>
      <c r="Q108" s="118"/>
      <c r="R108" s="118"/>
      <c r="S108" s="118"/>
      <c r="T108" s="118"/>
      <c r="U108" s="118"/>
      <c r="V108" s="118"/>
    </row>
    <row r="109" outlineLevel="1">
      <c r="A109" s="106"/>
      <c r="B109" s="107"/>
      <c r="C109" s="295" t="s">
        <v>235</v>
      </c>
      <c r="D109" s="295" t="s">
        <v>49</v>
      </c>
      <c r="E109" s="295" t="s">
        <v>48</v>
      </c>
      <c r="F109" s="295" t="s">
        <v>50</v>
      </c>
      <c r="G109" s="296" t="s">
        <v>51</v>
      </c>
      <c r="H109" s="228"/>
      <c r="I109" s="228"/>
      <c r="J109" s="117"/>
      <c r="K109" s="297" t="str">
        <f>'テンプレート'!K116</f>
        <v>アイテム取得</v>
      </c>
      <c r="L109" s="109"/>
      <c r="M109" s="298" t="str">
        <f>'テンプレート'!M116</f>
        <v>取得フレーム</v>
      </c>
      <c r="N109" s="298" t="str">
        <f>'テンプレート'!N116</f>
        <v>全体フレーム</v>
      </c>
      <c r="O109" s="118"/>
      <c r="P109" s="118"/>
      <c r="Q109" s="118"/>
      <c r="R109" s="118"/>
      <c r="S109" s="118"/>
      <c r="T109" s="118"/>
      <c r="U109" s="118"/>
      <c r="V109" s="118"/>
    </row>
    <row r="110" outlineLevel="1">
      <c r="A110" s="299" t="s">
        <v>239</v>
      </c>
      <c r="B110" s="300" t="s">
        <v>240</v>
      </c>
      <c r="C110" s="301"/>
      <c r="D110" s="113">
        <f t="array" ref="D110">INDEX('崖行動・受け身'!$C$3:$C109, MATCH($A$1,'崖行動・受け身'!$A$3:$A$115,0), MATCH(D109,'崖行動・受け身'!$C$2,0))</f>
        <v>19</v>
      </c>
      <c r="E110" s="301"/>
      <c r="F110" s="301"/>
      <c r="G110" s="301"/>
      <c r="H110" s="228"/>
      <c r="I110" s="228"/>
      <c r="J110" s="111"/>
      <c r="K110" s="302" t="str">
        <f>'テンプレート'!K117</f>
        <v>小アイテム</v>
      </c>
      <c r="L110" s="303" t="str">
        <f>'テンプレート'!L117</f>
        <v>その場</v>
      </c>
      <c r="M110" s="113" t="str">
        <f t="array" ref="M110">INDEX('アイテム'!$C$3:$D$115, MATCH($A$1,'アイテム'!$A$3:$A$115,0), MATCH(M$109,'アイテム'!$C$2:$AK$2,0))</f>
        <v>2</v>
      </c>
      <c r="N110" s="113">
        <f t="array" ref="N110">INDEX('アイテム'!$C$3:$D$115, MATCH($A$1,'アイテム'!$A$3:$A$115,0), MATCH(N$109,'アイテム'!$C$2:$AK$2,0))</f>
        <v>7</v>
      </c>
      <c r="O110" s="118"/>
      <c r="P110" s="118"/>
      <c r="Q110" s="118"/>
      <c r="R110" s="118"/>
      <c r="S110" s="118"/>
      <c r="T110" s="118"/>
      <c r="U110" s="118"/>
      <c r="V110" s="118"/>
    </row>
    <row r="111" outlineLevel="1">
      <c r="A111" s="146"/>
      <c r="B111" s="300" t="s">
        <v>216</v>
      </c>
      <c r="C111" s="113" t="str">
        <f t="array" ref="C111">INDEX('崖行動・受け身'!$D$3:$E109, MATCH($A$1,'崖行動・受け身'!$A$3:$A$115,0), MATCH(C109,'崖行動・受け身'!$D$2:$E$2,0))</f>
        <v>1-32</v>
      </c>
      <c r="D111" s="113">
        <f t="array" ref="D111">INDEX('崖行動・受け身'!$D$3:$E109, MATCH($A$1,'崖行動・受け身'!$A$3:$A$115,0), MATCH(D109,'崖行動・受け身'!$D$2:$E$2,0))</f>
        <v>33</v>
      </c>
      <c r="E111" s="301"/>
      <c r="F111" s="301"/>
      <c r="G111" s="301"/>
      <c r="H111" s="228"/>
      <c r="I111" s="228"/>
      <c r="J111" s="117"/>
      <c r="K111" s="156"/>
      <c r="L111" s="303" t="str">
        <f>'テンプレート'!L118</f>
        <v>歩き</v>
      </c>
      <c r="M111" s="113" t="str">
        <f t="array" ref="M111">INDEX('アイテム'!$E$3:$F$115, MATCH($A$1,'アイテム'!$A$3:$A$115,0), MATCH(M$109,'アイテム'!$E$2:$AK$2,0))</f>
        <v>2</v>
      </c>
      <c r="N111" s="113">
        <f t="array" ref="N111">INDEX('アイテム'!$E$3:$F$115, MATCH($A$1,'アイテム'!$A$3:$A$115,0), MATCH(N$109,'アイテム'!$E$2:$AK$2,0))</f>
        <v>19</v>
      </c>
      <c r="O111" s="118"/>
      <c r="P111" s="118"/>
      <c r="Q111" s="118"/>
      <c r="R111" s="118"/>
      <c r="S111" s="118"/>
      <c r="T111" s="118"/>
      <c r="U111" s="118"/>
      <c r="V111" s="118"/>
    </row>
    <row r="112" outlineLevel="1">
      <c r="A112" s="146"/>
      <c r="B112" s="300" t="s">
        <v>241</v>
      </c>
      <c r="C112" s="113" t="str">
        <f t="array" ref="C112">INDEX('崖行動・受け身'!$F$3:$G$115, MATCH($A$1,'崖行動・受け身'!$A$3:$A$115,0), MATCH(C109,'崖行動・受け身'!$F$2:$G$2,0))</f>
        <v>1-22</v>
      </c>
      <c r="D112" s="113">
        <f t="array" ref="D112">INDEX('崖行動・受け身'!$F$3:$G$115, MATCH($A$1,'崖行動・受け身'!$A$3:$A$115,0), MATCH(D109,'崖行動・受け身'!$F$2:$G$2,0))</f>
        <v>45</v>
      </c>
      <c r="E112" s="301"/>
      <c r="F112" s="301"/>
      <c r="G112" s="301"/>
      <c r="H112" s="228"/>
      <c r="I112" s="228"/>
      <c r="J112" s="111"/>
      <c r="K112" s="304" t="str">
        <f>'テンプレート'!K119</f>
        <v>アイテム投擲</v>
      </c>
      <c r="L112" s="109"/>
      <c r="M112" s="298" t="str">
        <f>'テンプレート'!M119</f>
        <v>投擲フレーム</v>
      </c>
      <c r="N112" s="298" t="str">
        <f>'テンプレート'!N119</f>
        <v>全体フレーム</v>
      </c>
      <c r="O112" s="118"/>
      <c r="P112" s="118"/>
      <c r="Q112" s="118"/>
      <c r="R112" s="118"/>
      <c r="S112" s="118"/>
      <c r="T112" s="118"/>
      <c r="U112" s="118"/>
      <c r="V112" s="118"/>
    </row>
    <row r="113" outlineLevel="1">
      <c r="A113" s="146"/>
      <c r="B113" s="300" t="s">
        <v>242</v>
      </c>
      <c r="C113" s="113" t="str">
        <f t="array" ref="C113">INDEX('崖行動・受け身'!$H$3:$I$115, MATCH($A$1,'崖行動・受け身'!$A$3:$A$115,0), MATCH(C109,'崖行動・受け身'!$H$2:$I$2,0))</f>
        <v>1-12</v>
      </c>
      <c r="D113" s="113">
        <f t="array" ref="D113">INDEX('崖行動・受け身'!$H$3:$I$115, MATCH($A$1,'崖行動・受け身'!$A$3:$A$115,0), MATCH(D109,'崖行動・受け身'!$H$2:$I$2,0))</f>
        <v>14</v>
      </c>
      <c r="E113" s="301"/>
      <c r="F113" s="301"/>
      <c r="G113" s="301"/>
      <c r="H113" s="228"/>
      <c r="I113" s="228"/>
      <c r="J113" s="117"/>
      <c r="K113" s="1030" t="str">
        <f>'テンプレート'!K120</f>
        <v>地上投擲</v>
      </c>
      <c r="L113" s="303" t="str">
        <f>'テンプレート'!L120</f>
        <v>前投げ</v>
      </c>
      <c r="M113" s="113" t="str">
        <f t="array" ref="M113">INDEX('アイテム'!$G$3:$H$115, MATCH($A$1,'アイテム'!$A$3:$A$115,0), MATCH(M$112,'アイテム'!$G$2:$AK$2,0))</f>
        <v>8</v>
      </c>
      <c r="N113" s="113">
        <f t="array" ref="N113">INDEX('アイテム'!$G$3:$H$115, MATCH($A$1,'アイテム'!$A$3:$A$115,0), MATCH(N$112,'アイテム'!$G$2:$AK$2,0))</f>
        <v>24</v>
      </c>
      <c r="O113" s="111"/>
      <c r="P113" s="111"/>
      <c r="Q113" s="111"/>
      <c r="R113" s="111"/>
      <c r="S113" s="111"/>
      <c r="T113" s="111"/>
      <c r="U113" s="111"/>
      <c r="V113" s="111"/>
    </row>
    <row r="114" outlineLevel="1">
      <c r="A114" s="156"/>
      <c r="B114" s="300" t="s">
        <v>243</v>
      </c>
      <c r="C114" s="113" t="str">
        <f t="array" ref="C114">INDEX('崖行動・受け身'!$J$3:$M$115, MATCH($A$1,'崖行動・受け身'!$A$3:$A$115,0), MATCH(C109,'崖行動・受け身'!$J$2:$M$2,0))</f>
        <v>1-22</v>
      </c>
      <c r="D114" s="113">
        <f t="array" ref="D114">INDEX('崖行動・受け身'!$J$3:$M$115, MATCH($A$1,'崖行動・受け身'!$A$3:$A$115,0), MATCH(D109,'崖行動・受け身'!$J$2:$M$2,0))</f>
        <v>55</v>
      </c>
      <c r="E114" s="113" t="str">
        <f t="array" ref="E114">INDEX('崖行動・受け身'!$J$3:$M$115, MATCH($A$1,'崖行動・受け身'!$A$3:$A$115,0), MATCH(E109,'崖行動・受け身'!$J$2:$M$2,0))</f>
        <v>20-22</v>
      </c>
      <c r="F114" s="113">
        <f t="array" ref="F114">INDEX('崖行動・受け身'!$J$3:$M$115, MATCH($A$1,'崖行動・受け身'!$A$3:$A$115,0), MATCH(F109,'崖行動・受け身'!$J$2:$M$2,0))</f>
        <v>9</v>
      </c>
      <c r="G114" s="113">
        <f>F114*1.2</f>
        <v>10.8</v>
      </c>
      <c r="H114" s="228"/>
      <c r="I114" s="228"/>
      <c r="J114" s="111"/>
      <c r="K114" s="146"/>
      <c r="L114" s="303" t="str">
        <f>'テンプレート'!L121</f>
        <v>後投げ</v>
      </c>
      <c r="M114" s="113" t="str">
        <f t="array" ref="M114">INDEX('アイテム'!$I$3:$J$115, MATCH($A$1,'アイテム'!$A$3:$A$115,0), MATCH(M$112,'アイテム'!$I$2:$AK$2,0))</f>
        <v>10</v>
      </c>
      <c r="N114" s="113">
        <f t="array" ref="N114">INDEX('アイテム'!$I$3:$J$115, MATCH($A$1,'アイテム'!$A$3:$A$115,0), MATCH(N$112,'アイテム'!$I$2:$AK$2,0))</f>
        <v>24</v>
      </c>
      <c r="O114" s="111"/>
      <c r="P114" s="111"/>
      <c r="Q114" s="111"/>
      <c r="R114" s="111"/>
      <c r="S114" s="111"/>
      <c r="T114" s="111"/>
      <c r="U114" s="111"/>
      <c r="V114" s="111"/>
    </row>
    <row r="115" outlineLevel="1">
      <c r="A115" s="299" t="s">
        <v>244</v>
      </c>
      <c r="B115" s="300" t="s">
        <v>216</v>
      </c>
      <c r="C115" s="113" t="str">
        <f t="array" ref="C115">INDEX('崖行動・受け身'!$N$3:$O$115, MATCH($A$1,'崖行動・受け身'!$A$3:$A$115,0), MATCH(C109,'崖行動・受け身'!$N$2:$O$2,0))</f>
        <v>1-20</v>
      </c>
      <c r="D115" s="113">
        <f t="array" ref="D115">INDEX('崖行動・受け身'!$N$3:$O$115, MATCH($A$1,'崖行動・受け身'!$A$3:$A$115,0), MATCH(D109,'崖行動・受け身'!$N$2:$O$2,0))</f>
        <v>26</v>
      </c>
      <c r="E115" s="301"/>
      <c r="F115" s="301"/>
      <c r="G115" s="301"/>
      <c r="H115" s="228"/>
      <c r="I115" s="228"/>
      <c r="J115" s="117"/>
      <c r="K115" s="146"/>
      <c r="L115" s="303" t="str">
        <f>'テンプレート'!L122</f>
        <v>上投げ</v>
      </c>
      <c r="M115" s="113" t="str">
        <f t="array" ref="M115">INDEX('アイテム'!$K$3:$L$115, MATCH($A$1,'アイテム'!$A$3:$A$115,0), MATCH(M$112,'アイテム'!$K$2:$AK$2,0))</f>
        <v>12</v>
      </c>
      <c r="N115" s="113">
        <f t="array" ref="N115">INDEX('アイテム'!$K$3:$L$115, MATCH($A$1,'アイテム'!$A$3:$A$115,0), MATCH(N$112,'アイテム'!$K$2:$AK$2,0))</f>
        <v>23</v>
      </c>
      <c r="O115" s="228"/>
      <c r="P115" s="228"/>
      <c r="Q115" s="228"/>
      <c r="R115" s="228"/>
      <c r="S115" s="228"/>
      <c r="T115" s="228"/>
      <c r="U115" s="228"/>
      <c r="V115" s="228"/>
    </row>
    <row r="116" outlineLevel="1">
      <c r="A116" s="146"/>
      <c r="B116" s="300" t="s">
        <v>245</v>
      </c>
      <c r="C116" s="113" t="str">
        <f t="array" ref="C116">INDEX('崖行動・受け身'!$P$3:$Q$115, MATCH($A$1,'崖行動・受け身'!$A$3:$A$115,0), MATCH(C109,'崖行動・受け身'!$P$2:$Q$2,0))</f>
        <v>1-20</v>
      </c>
      <c r="D116" s="113">
        <f t="array" ref="D116">INDEX('崖行動・受け身'!$P$3:$Q$115, MATCH($A$1,'崖行動・受け身'!$A$3:$A$115,0), MATCH(D109,'崖行動・受け身'!$P$2:$Q$2,0))</f>
        <v>40</v>
      </c>
      <c r="E116" s="301"/>
      <c r="F116" s="301"/>
      <c r="G116" s="301"/>
      <c r="H116" s="228"/>
      <c r="I116" s="228"/>
      <c r="J116" s="111"/>
      <c r="K116" s="146"/>
      <c r="L116" s="303" t="str">
        <f>'テンプレート'!L123</f>
        <v>下投げ</v>
      </c>
      <c r="M116" s="113" t="str">
        <f t="array" ref="M116">INDEX('アイテム'!$M$3:$N$115, MATCH($A$1,'アイテム'!$A$3:$A$115,0), MATCH(M$112,'アイテム'!$M$2:$AK$2,0))</f>
        <v>6</v>
      </c>
      <c r="N116" s="113">
        <f t="array" ref="N116">INDEX('アイテム'!$M$3:$N$115, MATCH($A$1,'アイテム'!$A$3:$A$115,0), MATCH(N$112,'アイテム'!$M$2:$AK$2,0))</f>
        <v>19</v>
      </c>
      <c r="O116" s="118"/>
      <c r="P116" s="118"/>
      <c r="Q116" s="118"/>
      <c r="R116" s="118"/>
      <c r="S116" s="118"/>
      <c r="T116" s="118"/>
      <c r="U116" s="118"/>
      <c r="V116" s="118"/>
    </row>
    <row r="117" outlineLevel="1">
      <c r="A117" s="156"/>
      <c r="B117" s="300" t="s">
        <v>246</v>
      </c>
      <c r="C117" s="113" t="str">
        <f t="array" ref="C117">INDEX('崖行動・受け身'!$R$3:$S$115, MATCH($A$1,'崖行動・受け身'!$A$3:$A$115,0), MATCH(C109,'崖行動・受け身'!$R$2:$S$2,0))</f>
        <v>1-20</v>
      </c>
      <c r="D117" s="113">
        <f t="array" ref="D117">INDEX('崖行動・受け身'!$R$3:$S$115, MATCH($A$1,'崖行動・受け身'!$A$3:$A$115,0), MATCH(D109,'崖行動・受け身'!$R$2:$S$2,0))</f>
        <v>40</v>
      </c>
      <c r="E117" s="301"/>
      <c r="F117" s="301"/>
      <c r="G117" s="301"/>
      <c r="H117" s="228"/>
      <c r="I117" s="228"/>
      <c r="J117" s="117"/>
      <c r="K117" s="146"/>
      <c r="L117" s="306" t="str">
        <f>'テンプレート'!L124</f>
        <v>ダッシュ</v>
      </c>
      <c r="M117" s="113" t="str">
        <f t="array" ref="M117">INDEX('アイテム'!$O$3:$P$115, MATCH($A$1,'アイテム'!$A$3:$A$115,0), MATCH(M$112,'アイテム'!$O$2:$AK$2,0))</f>
        <v>5</v>
      </c>
      <c r="N117" s="113">
        <f t="array" ref="N117">INDEX('アイテム'!$O$3:$P$115, MATCH($A$1,'アイテム'!$A$3:$A$115,0), MATCH(N$112,'アイテム'!$O$2:$AK$2,0))</f>
        <v>29</v>
      </c>
      <c r="O117" s="118"/>
      <c r="P117" s="118"/>
      <c r="Q117" s="118"/>
      <c r="R117" s="118"/>
      <c r="S117" s="118"/>
      <c r="T117" s="118"/>
      <c r="U117" s="118"/>
      <c r="V117" s="118"/>
    </row>
    <row r="118" outlineLevel="1">
      <c r="A118" s="299" t="s">
        <v>247</v>
      </c>
      <c r="B118" s="300" t="s">
        <v>248</v>
      </c>
      <c r="C118" s="301"/>
      <c r="D118" s="113" t="str">
        <f t="array" ref="D118">INDEX('起きあがり'!$C$3:$C109, MATCH($A$1,'起きあがり'!$A$3:$A$115,0), MATCH(D109,'起きあがり'!$C$2:$AD$2,0))</f>
        <v>25</v>
      </c>
      <c r="E118" s="301"/>
      <c r="F118" s="301"/>
      <c r="G118" s="301"/>
      <c r="H118" s="228"/>
      <c r="I118" s="228"/>
      <c r="J118" s="111"/>
      <c r="K118" s="156"/>
      <c r="L118" s="306" t="str">
        <f>'テンプレート'!L125</f>
        <v>その場捨て</v>
      </c>
      <c r="M118" s="113" t="str">
        <f t="array" ref="M118">INDEX('アイテム'!$Q$3:$R$115, MATCH($A$1,'アイテム'!$A$3:$A$115,0), MATCH(M$112,'アイテム'!$Q$2:$AK$2,0))</f>
        <v>6</v>
      </c>
      <c r="N118" s="113">
        <f t="array" ref="N118">INDEX('アイテム'!$Q$3:$R$115, MATCH($A$1,'アイテム'!$A$3:$A$115,0), MATCH(N$112,'アイテム'!$Q$2:$AK$2,0))</f>
        <v>23</v>
      </c>
      <c r="O118" s="118"/>
      <c r="P118" s="118"/>
      <c r="Q118" s="118"/>
      <c r="R118" s="118"/>
      <c r="S118" s="118"/>
      <c r="T118" s="118"/>
      <c r="U118" s="118"/>
      <c r="V118" s="118"/>
    </row>
    <row r="119" outlineLevel="1">
      <c r="A119" s="146"/>
      <c r="B119" s="300" t="s">
        <v>216</v>
      </c>
      <c r="C119" s="307" t="str">
        <f t="array" ref="C119">INDEX('起きあがり'!$D$3:$E109, MATCH($A$1,'起きあがり'!$A$3:$A$115,0), MATCH(C109,'起きあがり'!$D$2:$AD$2,0))</f>
        <v>1-22</v>
      </c>
      <c r="D119" s="308">
        <f t="array" ref="D119">INDEX('起きあがり'!$D$3:$E109, MATCH($A$1,'起きあがり'!$A$3:$A$115,0), MATCH(D109,'起きあがり'!$D$2:$AD$2,0))</f>
        <v>29</v>
      </c>
      <c r="E119" s="301"/>
      <c r="F119" s="301"/>
      <c r="G119" s="301"/>
      <c r="H119" s="228"/>
      <c r="I119" s="228"/>
      <c r="J119" s="117"/>
      <c r="K119" s="1030" t="str">
        <f>'テンプレート'!K126</f>
        <v>空中投擲</v>
      </c>
      <c r="L119" s="303" t="str">
        <f>'テンプレート'!L126</f>
        <v>前投げ</v>
      </c>
      <c r="M119" s="113" t="str">
        <f t="array" ref="M119">INDEX('アイテム'!$S$3:$T$115, MATCH($A$1,'アイテム'!$A$3:$A$115,0), MATCH(M$112,'アイテム'!$S$2:$AK$2,0))</f>
        <v>8</v>
      </c>
      <c r="N119" s="113">
        <f t="array" ref="N119">INDEX('アイテム'!$S$3:$T$115, MATCH($A$1,'アイテム'!$A$3:$A$115,0), MATCH(N$112,'アイテム'!$S$2:$AK$2,0))</f>
        <v>24</v>
      </c>
      <c r="O119" s="118"/>
      <c r="P119" s="118"/>
      <c r="Q119" s="118"/>
      <c r="R119" s="118"/>
      <c r="S119" s="118"/>
      <c r="T119" s="118"/>
      <c r="U119" s="118"/>
      <c r="V119" s="118"/>
    </row>
    <row r="120" outlineLevel="1">
      <c r="A120" s="146"/>
      <c r="B120" s="300" t="s">
        <v>245</v>
      </c>
      <c r="C120" s="307" t="str">
        <f t="array" ref="C120">INDEX('起きあがり'!$F$3:$G$115, MATCH($A$1,'起きあがり'!$A$3:$A$115,0), MATCH(C109,'起きあがり'!$F$2:$AD$2,0))</f>
        <v>1-24</v>
      </c>
      <c r="D120" s="308">
        <f t="array" ref="D120">INDEX('起きあがり'!$F$3:$G$115, MATCH($A$1,'起きあがり'!$A$3:$A$115,0), MATCH(D109,'起きあがり'!$F$2:$AD$2,0))</f>
        <v>35</v>
      </c>
      <c r="E120" s="301"/>
      <c r="F120" s="301"/>
      <c r="G120" s="301"/>
      <c r="H120" s="228"/>
      <c r="I120" s="228"/>
      <c r="J120" s="111"/>
      <c r="K120" s="146"/>
      <c r="L120" s="303" t="str">
        <f>'テンプレート'!L127</f>
        <v>後投げ</v>
      </c>
      <c r="M120" s="113" t="str">
        <f t="array" ref="M120">INDEX('アイテム'!$U$3:$V$115, MATCH($A$1,'アイテム'!$A$3:$A$115,0), MATCH(M$112,'アイテム'!$U$2:$AK$2,0))</f>
        <v>10</v>
      </c>
      <c r="N120" s="113">
        <f t="array" ref="N120">INDEX('アイテム'!$U$3:$V$115, MATCH($A$1,'アイテム'!$A$3:$A$115,0), MATCH(N$112,'アイテム'!$U$2:$AK$2,0))</f>
        <v>24</v>
      </c>
      <c r="O120" s="118"/>
      <c r="P120" s="118"/>
      <c r="Q120" s="118"/>
      <c r="R120" s="118"/>
      <c r="S120" s="118"/>
      <c r="T120" s="118"/>
      <c r="U120" s="118"/>
      <c r="V120" s="118"/>
    </row>
    <row r="121" outlineLevel="1">
      <c r="A121" s="146"/>
      <c r="B121" s="300" t="s">
        <v>246</v>
      </c>
      <c r="C121" s="113" t="str">
        <f t="array" ref="C121">INDEX('起きあがり'!$H$3:$I$115, MATCH($A$1,'起きあがり'!$A$3:$A$115,0), MATCH(C109,'起きあがり'!$H$2:$AD$2,0))</f>
        <v>1-31</v>
      </c>
      <c r="D121" s="113">
        <f t="array" ref="D121">INDEX('起きあがり'!$H$3:$I$115, MATCH($A$1,'起きあがり'!$A$3:$A$115,0), MATCH(D109,'起きあがり'!$H$2:$AD$2,0))</f>
        <v>35</v>
      </c>
      <c r="E121" s="301"/>
      <c r="F121" s="301"/>
      <c r="G121" s="301"/>
      <c r="H121" s="228"/>
      <c r="I121" s="228"/>
      <c r="J121" s="117"/>
      <c r="K121" s="146"/>
      <c r="L121" s="303" t="str">
        <f>'テンプレート'!L128</f>
        <v>上投げ</v>
      </c>
      <c r="M121" s="113" t="str">
        <f t="array" ref="M121">INDEX('アイテム'!$W$3:$X$115, MATCH($A$1,'アイテム'!$A$3:$A$115,0), MATCH(M$112,'アイテム'!$W$2:$AK$2,0))</f>
        <v>12</v>
      </c>
      <c r="N121" s="113">
        <f t="array" ref="N121">INDEX('アイテム'!$W$3:$X$115, MATCH($A$1,'アイテム'!$A$3:$A$115,0), MATCH(N$112,'アイテム'!$W$2:$AK$2,0))</f>
        <v>23</v>
      </c>
      <c r="O121" s="118"/>
      <c r="P121" s="118"/>
      <c r="Q121" s="118"/>
      <c r="R121" s="118"/>
      <c r="S121" s="118"/>
      <c r="T121" s="118"/>
      <c r="U121" s="118"/>
      <c r="V121" s="118"/>
    </row>
    <row r="122" outlineLevel="1">
      <c r="A122" s="146"/>
      <c r="B122" s="300" t="s">
        <v>249</v>
      </c>
      <c r="C122" s="309" t="str">
        <f t="array" ref="C122">INDEX('起きあがり'!$J$3:$M$115, MATCH($A$1,'起きあがり'!$A$3:$A$115,0), MATCH(C109,'起きあがり'!$J$2:$AD$2,0))</f>
        <v>1-21</v>
      </c>
      <c r="D122" s="310">
        <f t="array" ref="D122">INDEX('起きあがり'!$J$3:$M$115, MATCH($A$1,'起きあがり'!$A$3:$A$115,0), MATCH(D109,'起きあがり'!$J$2:$AD$2,0))</f>
        <v>45</v>
      </c>
      <c r="E122" s="307" t="str">
        <f t="array" ref="E122">INDEX('起きあがり'!$J$3:$M$115, MATCH($A$1,'起きあがり'!$A$3:$A$115,0), MATCH(E109,'起きあがり'!$J$2:$AD$2,0))</f>
        <v>17-18</v>
      </c>
      <c r="F122" s="308">
        <f t="array" ref="F122">INDEX('起きあがり'!$J$3:$M$115, MATCH($A$1,'起きあがり'!$A$3:$A$115,0), MATCH(F109,'起きあがり'!$J$2:$AD$2,0))</f>
        <v>7</v>
      </c>
      <c r="G122" s="113">
        <f t="shared" ref="G122:G123" si="5">F122*1.2</f>
        <v>8.4</v>
      </c>
      <c r="H122" s="228"/>
      <c r="I122" s="228"/>
      <c r="J122" s="111"/>
      <c r="K122" s="156"/>
      <c r="L122" s="303" t="str">
        <f>'テンプレート'!L129</f>
        <v>下投げ</v>
      </c>
      <c r="M122" s="113" t="str">
        <f t="array" ref="M122">INDEX('アイテム'!$Y$3:$Z$115, MATCH($A$1,'アイテム'!$A$3:$A$115,0), MATCH(M$112,'アイテム'!$Y$2:$AK$2,0))</f>
        <v>6</v>
      </c>
      <c r="N122" s="113">
        <f t="array" ref="N122">INDEX('アイテム'!$Y$3:$Z$115, MATCH($A$1,'アイテム'!$A$3:$A$115,0), MATCH(N$112,'アイテム'!$Y$2:$AK$2,0))</f>
        <v>19</v>
      </c>
      <c r="O122" s="111"/>
      <c r="P122" s="111"/>
      <c r="Q122" s="111"/>
      <c r="R122" s="111"/>
      <c r="S122" s="111"/>
      <c r="T122" s="111"/>
      <c r="U122" s="111"/>
      <c r="V122" s="111"/>
    </row>
    <row r="123" outlineLevel="1">
      <c r="A123" s="156"/>
      <c r="B123" s="311" t="s">
        <v>250</v>
      </c>
      <c r="C123" s="156"/>
      <c r="D123" s="156"/>
      <c r="E123" s="307" t="str">
        <f t="array" ref="E123">INDEX('起きあがり'!$N$3:$O$115, MATCH($A$1,'起きあがり'!$A$3:$A$115,0), MATCH(E109,'起きあがり'!$N$2:$AD$2,0))</f>
        <v>20-21</v>
      </c>
      <c r="F123" s="308">
        <f t="array" ref="F123">INDEX('起きあがり'!$N$3:$O$115, MATCH($A$1,'起きあがり'!$A$3:$A$115,0), MATCH(F109,'起きあがり'!$N$2:$AD$2,0))</f>
        <v>7</v>
      </c>
      <c r="G123" s="113">
        <f t="shared" si="5"/>
        <v>8.4</v>
      </c>
      <c r="H123" s="228"/>
      <c r="I123" s="228"/>
      <c r="J123" s="111"/>
      <c r="K123" s="312" t="str">
        <f>'テンプレート'!K130</f>
        <v>踏み台ジャンプ</v>
      </c>
      <c r="L123" s="168"/>
      <c r="M123" s="298" t="str">
        <f>'テンプレート'!M130</f>
        <v>全体フレーム</v>
      </c>
      <c r="N123" s="114"/>
      <c r="O123" s="111"/>
      <c r="P123" s="111"/>
      <c r="Q123" s="111"/>
      <c r="R123" s="111"/>
      <c r="S123" s="111"/>
      <c r="T123" s="111"/>
      <c r="U123" s="111"/>
      <c r="V123" s="111"/>
    </row>
    <row r="124" outlineLevel="1">
      <c r="A124" s="299" t="s">
        <v>251</v>
      </c>
      <c r="B124" s="300" t="s">
        <v>248</v>
      </c>
      <c r="C124" s="301"/>
      <c r="D124" s="307" t="str">
        <f t="array" ref="D124">INDEX('起きあがり'!$C$3:$C109, MATCH($A$1,'起きあがり'!$A$3:$A$115,0), MATCH(D109,'起きあがり'!$C$2,0))</f>
        <v>25</v>
      </c>
      <c r="E124" s="301"/>
      <c r="F124" s="301"/>
      <c r="G124" s="301"/>
      <c r="H124" s="228"/>
      <c r="I124" s="228"/>
      <c r="J124" s="117"/>
      <c r="K124" s="313" t="str">
        <f>'テンプレート'!K131</f>
        <v>踏み</v>
      </c>
      <c r="L124" s="314" t="str">
        <f>'テンプレート'!L131</f>
        <v>踏み</v>
      </c>
      <c r="M124" s="113" t="str">
        <f t="array" ref="M124">INDEX('共通動作その他'!$C$3:$C$102, MATCH($A$1,'共通動作その他'!$A$3:$A$102,0), MATCH(M$123,'共通動作その他'!$C$2:$AA$2,0))</f>
        <v>-</v>
      </c>
      <c r="N124" s="315"/>
      <c r="O124" s="111"/>
      <c r="P124" s="111"/>
      <c r="Q124" s="111"/>
      <c r="R124" s="111"/>
      <c r="S124" s="111"/>
      <c r="T124" s="111"/>
      <c r="U124" s="111"/>
      <c r="V124" s="111"/>
    </row>
    <row r="125" outlineLevel="1">
      <c r="A125" s="146"/>
      <c r="B125" s="300" t="s">
        <v>216</v>
      </c>
      <c r="C125" s="307" t="str">
        <f t="array" ref="C125">INDEX('起きあがり'!$P$3:$Q$115, MATCH($A$1,'起きあがり'!$A$3:$A$115,0), MATCH(C109,'起きあがり'!$P$2:$AD$2,0))</f>
        <v>1-22</v>
      </c>
      <c r="D125" s="308">
        <f t="array" ref="D125">INDEX('起きあがり'!$P$3:$Q$115, MATCH($A$1,'起きあがり'!$A$3:$A$115,0), MATCH(D109,'起きあがり'!$P$2:$AD$2,0))</f>
        <v>29</v>
      </c>
      <c r="E125" s="301"/>
      <c r="F125" s="301"/>
      <c r="G125" s="301"/>
      <c r="H125" s="228"/>
      <c r="I125" s="228"/>
      <c r="J125" s="111"/>
      <c r="K125" s="305" t="str">
        <f>'テンプレート'!K132</f>
        <v>踏まれ</v>
      </c>
      <c r="L125" s="314" t="str">
        <f>'テンプレート'!L132</f>
        <v>地上踏まれ</v>
      </c>
      <c r="M125" s="113" t="str">
        <f t="array" ref="M125">INDEX('共通動作その他'!$D$3:$D$102, MATCH($A$1,'共通動作その他'!$A$3:$A$102,0), MATCH(M$123,'共通動作その他'!$D$2:$AA$2,0))</f>
        <v>-</v>
      </c>
      <c r="N125" s="315"/>
      <c r="O125" s="228"/>
      <c r="P125" s="228"/>
      <c r="Q125" s="228"/>
      <c r="R125" s="228"/>
      <c r="S125" s="228"/>
      <c r="T125" s="228"/>
      <c r="U125" s="228"/>
      <c r="V125" s="228"/>
    </row>
    <row r="126" outlineLevel="1">
      <c r="A126" s="146"/>
      <c r="B126" s="300" t="s">
        <v>245</v>
      </c>
      <c r="C126" s="307" t="str">
        <f t="array" ref="C126">INDEX('起きあがり'!$R$3:$S$115, MATCH($A$1,'起きあがり'!$A$3:$A$115,0), MATCH(C109,'起きあがり'!$R$2:$AD$2,0))</f>
        <v>1-19</v>
      </c>
      <c r="D126" s="308">
        <f t="array" ref="D126">INDEX('起きあがり'!$R$3:$S$115, MATCH($A$1,'起きあがり'!$A$3:$A$115,0), MATCH(D109,'起きあがり'!$R$2:$AD$2,0))</f>
        <v>35</v>
      </c>
      <c r="E126" s="301"/>
      <c r="F126" s="301"/>
      <c r="G126" s="301"/>
      <c r="H126" s="228"/>
      <c r="I126" s="228"/>
      <c r="J126" s="117"/>
      <c r="K126" s="146"/>
      <c r="L126" s="314" t="str">
        <f>'テンプレート'!L133</f>
        <v>地上硬直</v>
      </c>
      <c r="M126" s="113" t="str">
        <f t="array" ref="M126">INDEX('共通動作その他'!$E$3:$E$102, MATCH($A$1,'共通動作その他'!$A$3:$A$102,0), MATCH(M$123,'共通動作その他'!$E$2:$AA$2,0))</f>
        <v>-</v>
      </c>
      <c r="N126" s="102"/>
      <c r="O126" s="118"/>
      <c r="P126" s="118"/>
      <c r="Q126" s="118"/>
      <c r="R126" s="118"/>
      <c r="S126" s="118"/>
      <c r="T126" s="118"/>
      <c r="U126" s="118"/>
      <c r="V126" s="118"/>
    </row>
    <row r="127" outlineLevel="1">
      <c r="A127" s="146"/>
      <c r="B127" s="300" t="s">
        <v>246</v>
      </c>
      <c r="C127" s="307" t="str">
        <f t="array" ref="C127">INDEX('起きあがり'!$T$3:$U$115, MATCH($A$1,'起きあがり'!$A$3:$A$115,0), MATCH(C109,'起きあがり'!$T$2:$AD$2,0))</f>
        <v>1-20</v>
      </c>
      <c r="D127" s="308">
        <f t="array" ref="D127">INDEX('起きあがり'!$T$3:$U$115, MATCH($A$1,'起きあがり'!$A$3:$A$115,0), MATCH(D109,'起きあがり'!$T$2:$AD$2,0))</f>
        <v>35</v>
      </c>
      <c r="E127" s="301"/>
      <c r="F127" s="301"/>
      <c r="G127" s="301"/>
      <c r="H127" s="228"/>
      <c r="I127" s="228"/>
      <c r="J127" s="111"/>
      <c r="K127" s="146"/>
      <c r="L127" s="314" t="str">
        <f>'テンプレート'!L134</f>
        <v>空中踏まれ</v>
      </c>
      <c r="M127" s="113" t="str">
        <f t="array" ref="M127">INDEX('共通動作その他'!$F$3:$F$102, MATCH($A$1,'共通動作その他'!$A$3:$A$102,0), MATCH(M$123,'共通動作その他'!$F$2:$AA$2,0))</f>
        <v>-</v>
      </c>
      <c r="N127" s="102"/>
      <c r="O127" s="118"/>
      <c r="P127" s="118"/>
      <c r="Q127" s="118"/>
      <c r="R127" s="118"/>
      <c r="S127" s="118"/>
      <c r="T127" s="118"/>
      <c r="U127" s="118"/>
      <c r="V127" s="118"/>
    </row>
    <row r="128" outlineLevel="1">
      <c r="A128" s="146"/>
      <c r="B128" s="300" t="s">
        <v>249</v>
      </c>
      <c r="C128" s="309" t="str">
        <f t="array" ref="C128">INDEX('起きあがり'!$V$3:$Y$115, MATCH($A$1,'起きあがり'!$A$3:$A$115,0), MATCH(C109,'起きあがり'!$V$2:$AD$2,0))</f>
        <v>1-21</v>
      </c>
      <c r="D128" s="310">
        <f t="array" ref="D128">INDEX('起きあがり'!$V$3:$Y$115, MATCH($A$1,'起きあがり'!$A$3:$A$115,0), MATCH(D109,'起きあがり'!$V$2:$AD$2,0))</f>
        <v>45</v>
      </c>
      <c r="E128" s="307" t="str">
        <f t="array" ref="E128">INDEX('起きあがり'!$V$3:$Y$115, MATCH($A$1,'起きあがり'!$A$3:$A$115,0), MATCH(E109,'起きあがり'!$V$2:$AD$2,0))</f>
        <v>17-18</v>
      </c>
      <c r="F128" s="308">
        <f t="array" ref="F128">INDEX('起きあがり'!$V$3:$Y$115, MATCH($A$1,'起きあがり'!$A$3:$A$115,0), MATCH(F109,'起きあがり'!$V$2:$AD$2,0))</f>
        <v>7</v>
      </c>
      <c r="G128" s="113">
        <f t="shared" ref="G128:G129" si="6">F128*1.2</f>
        <v>8.4</v>
      </c>
      <c r="H128" s="228"/>
      <c r="I128" s="228"/>
      <c r="J128" s="117"/>
      <c r="K128" s="146"/>
      <c r="L128" s="314" t="str">
        <f>'テンプレート'!L135</f>
        <v>空中落下</v>
      </c>
      <c r="M128" s="113" t="str">
        <f t="array" ref="M128">INDEX('共通動作その他'!$G$3:$G$102, MATCH($A$1,'共通動作その他'!$A$3:$A$102,0), MATCH(M$123,'共通動作その他'!$G$2:$AA$2,0))</f>
        <v>-</v>
      </c>
      <c r="N128" s="102"/>
      <c r="O128" s="118"/>
      <c r="P128" s="118"/>
      <c r="Q128" s="118"/>
      <c r="R128" s="118"/>
      <c r="S128" s="118"/>
      <c r="T128" s="118"/>
      <c r="U128" s="118"/>
      <c r="V128" s="118"/>
    </row>
    <row r="129" outlineLevel="1">
      <c r="A129" s="156"/>
      <c r="B129" s="311" t="s">
        <v>250</v>
      </c>
      <c r="C129" s="156"/>
      <c r="D129" s="156"/>
      <c r="E129" s="307" t="str">
        <f t="array" ref="E129">INDEX('起きあがり'!$Z$3:$AA$115, MATCH($A$1,'起きあがり'!$A$3:$A$115,0), MATCH(E109,'起きあがり'!$Z$2:$AD$2,0))</f>
        <v>20-21</v>
      </c>
      <c r="F129" s="308">
        <f t="array" ref="F129">INDEX('起きあがり'!$Z$3:$AA$115, MATCH($A$1,'起きあがり'!$A$3:$A$115,0), MATCH(F109,'起きあがり'!$Z$2:$AD$2,0))</f>
        <v>7</v>
      </c>
      <c r="G129" s="113">
        <f t="shared" si="6"/>
        <v>8.4</v>
      </c>
      <c r="H129" s="228"/>
      <c r="I129" s="228"/>
      <c r="J129" s="117"/>
      <c r="K129" s="304" t="str">
        <f>'テンプレート'!K136</f>
        <v>倒れダメージ</v>
      </c>
      <c r="L129" s="110"/>
      <c r="M129" s="298" t="str">
        <f>'テンプレート'!M136</f>
        <v>全体フレーム</v>
      </c>
      <c r="N129" s="102"/>
      <c r="O129" s="118"/>
      <c r="P129" s="118"/>
      <c r="Q129" s="118"/>
      <c r="R129" s="118"/>
      <c r="S129" s="118"/>
      <c r="T129" s="118"/>
      <c r="U129" s="118"/>
      <c r="V129" s="118"/>
    </row>
    <row r="130" outlineLevel="1">
      <c r="A130" s="299" t="s">
        <v>252</v>
      </c>
      <c r="B130" s="300" t="s">
        <v>253</v>
      </c>
      <c r="C130" s="307" t="str">
        <f t="array" ref="C130">INDEX('転倒'!$C$3:$D109, MATCH($A$1,'転倒'!$A$3:$A$115,0), MATCH(C109,'転倒'!$C$2:$AC$2,0))</f>
        <v>1-5</v>
      </c>
      <c r="D130" s="308">
        <f t="array" ref="D130">INDEX('転倒'!$C$3:$D109, MATCH($A$1,'転倒'!$A$3:$A$115,0), MATCH(D109,'転倒'!$C$2:$AC$2,0))</f>
        <v>29</v>
      </c>
      <c r="E130" s="301"/>
      <c r="F130" s="301"/>
      <c r="G130" s="301"/>
      <c r="H130" s="228"/>
      <c r="I130" s="228"/>
      <c r="J130" s="111"/>
      <c r="K130" s="313" t="str">
        <f>'テンプレート'!K137</f>
        <v>あお向け倒れ</v>
      </c>
      <c r="L130" s="306" t="str">
        <f>'テンプレート'!L137</f>
        <v>モーション大</v>
      </c>
      <c r="M130" s="113" t="str">
        <f t="array" ref="M130">INDEX('共通動作その他'!$H$3:$H$102, MATCH($A$1,'共通動作その他'!$A$3:$A$102,0), MATCH(M$129,'共通動作その他'!$H$2:$AA$2,0))</f>
        <v>-</v>
      </c>
      <c r="N130" s="315"/>
      <c r="O130" s="118"/>
      <c r="P130" s="118"/>
      <c r="Q130" s="118"/>
      <c r="R130" s="118"/>
      <c r="S130" s="118"/>
      <c r="T130" s="118"/>
      <c r="U130" s="118"/>
      <c r="V130" s="118"/>
    </row>
    <row r="131" outlineLevel="1">
      <c r="A131" s="146"/>
      <c r="B131" s="300" t="s">
        <v>254</v>
      </c>
      <c r="C131" s="307" t="str">
        <f t="array" ref="C131">INDEX('転倒'!$E$3:$F109, MATCH($A$1,'転倒'!$A$3:$A$115,0), MATCH(C109,'転倒'!$E$2:$AC$2,0))</f>
        <v>1-5</v>
      </c>
      <c r="D131" s="308">
        <f t="array" ref="D131">INDEX('転倒'!$E$3:$F109, MATCH($A$1,'転倒'!$A$3:$A$115,0), MATCH(D109,'転倒'!$E$2:$AC$2,0))</f>
        <v>39</v>
      </c>
      <c r="E131" s="301"/>
      <c r="F131" s="301"/>
      <c r="G131" s="301"/>
      <c r="H131" s="228"/>
      <c r="I131" s="228"/>
      <c r="J131" s="117"/>
      <c r="K131" s="313" t="str">
        <f>'テンプレート'!K138</f>
        <v>うつ伏せ倒れ</v>
      </c>
      <c r="L131" s="306" t="str">
        <f>'テンプレート'!L138</f>
        <v>モーション大</v>
      </c>
      <c r="M131" s="113" t="str">
        <f t="array" ref="M131">INDEX('共通動作その他'!$I$3:$I$102, MATCH($A$1,'共通動作その他'!$A$3:$A$102,0), MATCH(M$129,'共通動作その他'!$I$2:$AA$2,0))</f>
        <v>-</v>
      </c>
      <c r="N131" s="315"/>
      <c r="O131" s="118"/>
      <c r="P131" s="118"/>
      <c r="Q131" s="118"/>
      <c r="R131" s="118"/>
      <c r="S131" s="118"/>
      <c r="T131" s="118"/>
      <c r="U131" s="118"/>
      <c r="V131" s="118"/>
    </row>
    <row r="132" outlineLevel="1">
      <c r="A132" s="146"/>
      <c r="B132" s="300" t="s">
        <v>216</v>
      </c>
      <c r="C132" s="307" t="str">
        <f t="array" ref="C132">INDEX('転倒'!$G$3:$H$115, MATCH($A$1,'転倒'!$A$3:$A$115,0), MATCH(C109,'転倒'!$G$2:$AC$2,0))</f>
        <v>1-16</v>
      </c>
      <c r="D132" s="308">
        <f t="array" ref="D132">INDEX('転倒'!$G$3:$H$115, MATCH($A$1,'転倒'!$A$3:$A$115,0), MATCH(D109,'転倒'!$G$2:$AC$2,0))</f>
        <v>21</v>
      </c>
      <c r="E132" s="301"/>
      <c r="F132" s="301"/>
      <c r="G132" s="301"/>
      <c r="H132" s="228"/>
      <c r="I132" s="228"/>
      <c r="J132" s="111"/>
      <c r="K132" s="304" t="str">
        <f>'テンプレート'!K139</f>
        <v/>
      </c>
      <c r="L132" s="110"/>
      <c r="M132" s="298" t="str">
        <f>'テンプレート'!M139</f>
        <v/>
      </c>
      <c r="N132" s="102"/>
      <c r="O132" s="118"/>
      <c r="P132" s="118"/>
      <c r="Q132" s="118"/>
      <c r="R132" s="118"/>
      <c r="S132" s="118"/>
      <c r="T132" s="118"/>
      <c r="U132" s="118"/>
      <c r="V132" s="118"/>
    </row>
    <row r="133" outlineLevel="1">
      <c r="A133" s="146"/>
      <c r="B133" s="300" t="s">
        <v>245</v>
      </c>
      <c r="C133" s="307" t="str">
        <f t="array" ref="C133">INDEX('転倒'!$I$3:$J$115, MATCH($A$1,'転倒'!$A$3:$A$115,0), MATCH(C109,'転倒'!$I$2:$AC$2,0))</f>
        <v>1-9</v>
      </c>
      <c r="D133" s="308">
        <f t="array" ref="D133">INDEX('転倒'!$I$3:$J$115, MATCH($A$1,'転倒'!$A$3:$A$115,0), MATCH(D109,'転倒'!$I$2:$AC$2,0))</f>
        <v>28</v>
      </c>
      <c r="E133" s="301"/>
      <c r="F133" s="301"/>
      <c r="G133" s="301"/>
      <c r="H133" s="228"/>
      <c r="I133" s="228"/>
      <c r="J133" s="228"/>
      <c r="K133" s="316" t="str">
        <f>'テンプレート'!K140</f>
        <v/>
      </c>
      <c r="L133" s="317" t="str">
        <f>'テンプレート'!L140</f>
        <v/>
      </c>
      <c r="M133" s="113" t="str">
        <f t="array" ref="M133">INDEX('共通動作その他'!$J$3:$J$102, MATCH($A$1,'共通動作その他'!$A$3:$A$102,0), MATCH(M$132,'共通動作その他'!$J$2:$AA$2,0))</f>
        <v>#N/A</v>
      </c>
      <c r="N133" s="102"/>
      <c r="O133" s="118"/>
      <c r="P133" s="118"/>
      <c r="Q133" s="118"/>
      <c r="R133" s="118"/>
      <c r="S133" s="118"/>
      <c r="T133" s="118"/>
      <c r="U133" s="118"/>
      <c r="V133" s="118"/>
    </row>
    <row r="134" outlineLevel="1">
      <c r="A134" s="146"/>
      <c r="B134" s="300" t="s">
        <v>246</v>
      </c>
      <c r="C134" s="307" t="str">
        <f t="array" ref="C134">INDEX('転倒'!$K$3:$L$115, MATCH($A$1,'転倒'!$A$3:$A$115,0), MATCH(C109,'転倒'!$K$2:$AC$2,0))</f>
        <v>1-9</v>
      </c>
      <c r="D134" s="308">
        <f t="array" ref="D134">INDEX('転倒'!$K$3:$L$115, MATCH($A$1,'転倒'!$A$3:$A$115,0), MATCH(D109,'転倒'!$K$2:$AC$2,0))</f>
        <v>28</v>
      </c>
      <c r="E134" s="301"/>
      <c r="F134" s="301"/>
      <c r="G134" s="301"/>
      <c r="H134" s="228"/>
      <c r="I134" s="228"/>
      <c r="J134" s="228"/>
      <c r="K134" s="102"/>
      <c r="L134" s="118"/>
      <c r="M134" s="118"/>
      <c r="N134" s="102"/>
      <c r="O134" s="118"/>
      <c r="P134" s="118"/>
      <c r="Q134" s="118"/>
      <c r="R134" s="118"/>
      <c r="S134" s="118"/>
      <c r="T134" s="118"/>
      <c r="U134" s="118"/>
      <c r="V134" s="118"/>
    </row>
    <row r="135" outlineLevel="1">
      <c r="A135" s="146"/>
      <c r="B135" s="300" t="s">
        <v>249</v>
      </c>
      <c r="C135" s="309" t="str">
        <f t="array" ref="C135">INDEX('転倒'!$M$3:$P$115, MATCH($A$1,'転倒'!$A$3:$A$115,0), MATCH(C109,'転倒'!$M$2:$AC$2,0))</f>
        <v>1-7</v>
      </c>
      <c r="D135" s="310">
        <f t="array" ref="D135">INDEX('転倒'!$M$3:$P$115, MATCH($A$1,'転倒'!$A$3:$A$115,0), MATCH(D109,'転倒'!$M$2:$AC$2,0))</f>
        <v>49</v>
      </c>
      <c r="E135" s="307" t="str">
        <f t="array" ref="E135">INDEX('転倒'!$M$3:$P$115, MATCH($A$1,'転倒'!$A$3:$A$115,0), MATCH(E109,'転倒'!$M$2:$AC$2,0))</f>
        <v>19-20</v>
      </c>
      <c r="F135" s="308">
        <f t="array" ref="F135">INDEX('転倒'!$M$3:$P$115, MATCH($A$1,'転倒'!$A$3:$A$115,0), MATCH(F109,'転倒'!$M$2:$AC$2,0))</f>
        <v>5</v>
      </c>
      <c r="G135" s="113">
        <f t="shared" ref="G135:G136" si="7">F135*1.2</f>
        <v>6</v>
      </c>
      <c r="H135" s="228"/>
      <c r="I135" s="228"/>
      <c r="J135" s="228"/>
      <c r="K135" s="118"/>
      <c r="L135" s="118"/>
      <c r="M135" s="118"/>
      <c r="N135" s="102"/>
      <c r="O135" s="102"/>
      <c r="P135" s="102"/>
      <c r="Q135" s="102"/>
      <c r="R135" s="118"/>
      <c r="S135" s="118"/>
      <c r="T135" s="118"/>
      <c r="U135" s="118"/>
      <c r="V135" s="118"/>
    </row>
    <row r="136" outlineLevel="1">
      <c r="A136" s="156"/>
      <c r="B136" s="311" t="s">
        <v>250</v>
      </c>
      <c r="C136" s="156"/>
      <c r="D136" s="156"/>
      <c r="E136" s="307" t="str">
        <f t="array" ref="E136">INDEX('転倒'!$Q$3:$R$115, MATCH($A$1,'転倒'!$A$3:$A$115,0), MATCH(E109,'転倒'!$Q$2:$AC$2,0))</f>
        <v>28-29</v>
      </c>
      <c r="F136" s="308">
        <f t="array" ref="F136">INDEX('転倒'!$Q$3:$R$115, MATCH($A$1,'転倒'!$A$3:$A$115,0), MATCH(F109,'転倒'!$Q$2:$AC$2,0))</f>
        <v>5</v>
      </c>
      <c r="G136" s="113">
        <f t="shared" si="7"/>
        <v>6</v>
      </c>
      <c r="H136" s="228"/>
      <c r="I136" s="228"/>
      <c r="J136" s="228"/>
      <c r="K136" s="118"/>
      <c r="L136" s="118"/>
      <c r="M136" s="118"/>
      <c r="N136" s="102"/>
      <c r="O136" s="102"/>
      <c r="P136" s="102"/>
      <c r="Q136" s="102"/>
      <c r="R136" s="118"/>
      <c r="S136" s="118"/>
      <c r="T136" s="118"/>
      <c r="U136" s="118"/>
      <c r="V136" s="118"/>
    </row>
    <row r="137" outlineLevel="1">
      <c r="A137" s="319"/>
      <c r="B137" s="320"/>
      <c r="C137" s="321"/>
      <c r="D137" s="321"/>
      <c r="E137" s="322"/>
      <c r="F137" s="322"/>
      <c r="G137" s="114"/>
      <c r="H137" s="228"/>
      <c r="I137" s="228"/>
      <c r="J137" s="228"/>
      <c r="K137" s="118"/>
      <c r="L137" s="118"/>
      <c r="M137" s="118"/>
      <c r="N137" s="102"/>
      <c r="O137" s="102"/>
      <c r="P137" s="102"/>
      <c r="Q137" s="102"/>
      <c r="R137" s="118"/>
      <c r="S137" s="118"/>
      <c r="T137" s="118"/>
      <c r="U137" s="118"/>
      <c r="V137" s="118"/>
    </row>
    <row r="138" outlineLevel="1">
      <c r="A138" s="323" t="s">
        <v>255</v>
      </c>
      <c r="B138" s="109"/>
      <c r="C138" s="321"/>
      <c r="D138" s="321"/>
      <c r="E138" s="322"/>
      <c r="F138" s="322"/>
      <c r="G138" s="114"/>
      <c r="H138" s="228"/>
      <c r="I138" s="228"/>
      <c r="J138" s="228"/>
      <c r="K138" s="118"/>
      <c r="L138" s="118"/>
      <c r="M138" s="118"/>
      <c r="N138" s="102"/>
      <c r="O138" s="102"/>
      <c r="P138" s="102"/>
      <c r="Q138" s="102"/>
      <c r="R138" s="118"/>
      <c r="S138" s="118"/>
      <c r="T138" s="118"/>
      <c r="U138" s="118"/>
      <c r="V138" s="118"/>
    </row>
    <row r="139" outlineLevel="1">
      <c r="A139" s="324" t="s">
        <v>256</v>
      </c>
      <c r="B139" s="109"/>
      <c r="C139" s="325" t="s">
        <v>257</v>
      </c>
      <c r="D139" s="325" t="s">
        <v>49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258</v>
      </c>
      <c r="B140" s="327" t="s">
        <v>216</v>
      </c>
      <c r="C140" s="328" t="str">
        <f t="array" ref="C140">INDEX('アイテム'!$C$3:$D$114, MATCH($A$1,'アイテム'!$A$3:$A$114,0), MATCH(C139,'アイテム'!$C$2:$AQ$2,0))</f>
        <v>2</v>
      </c>
      <c r="D140" s="328">
        <f t="array" ref="D140">INDEX('アイテム'!$C$3:$D$114, MATCH($A$1,'アイテム'!$A$3:$A$114,0), MATCH(D139,'アイテム'!$C$2:$AQ$2,0))</f>
        <v>7</v>
      </c>
      <c r="E140" s="322"/>
      <c r="F140" s="322"/>
      <c r="G140" s="114"/>
      <c r="H140" s="228"/>
      <c r="I140" s="228"/>
      <c r="J140" s="228"/>
      <c r="K140" s="118"/>
      <c r="L140" s="118"/>
      <c r="M140" s="118"/>
      <c r="N140" s="102"/>
      <c r="O140" s="102"/>
      <c r="P140" s="102"/>
      <c r="Q140" s="102"/>
      <c r="R140" s="118"/>
      <c r="S140" s="118"/>
      <c r="T140" s="118"/>
      <c r="U140" s="118"/>
      <c r="V140" s="118"/>
    </row>
    <row r="141" outlineLevel="1">
      <c r="A141" s="156"/>
      <c r="B141" s="327" t="s">
        <v>219</v>
      </c>
      <c r="C141" s="328" t="str">
        <f t="array" ref="C141">INDEX('アイテム'!$E$3:$F$114, MATCH($A$1,'アイテム'!$A$3:$A$114,0), MATCH(C139,'アイテム'!$C$2:$AQ$2,0))</f>
        <v>2</v>
      </c>
      <c r="D141" s="328">
        <f t="array" ref="D141">INDEX('アイテム'!$E$3:$F$114, MATCH($A$1,'アイテム'!$A$3:$A$114,0), MATCH(D139,'アイテム'!$C$2:$AQ$2,0))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329" t="s">
        <v>259</v>
      </c>
      <c r="B142" s="327" t="s">
        <v>216</v>
      </c>
      <c r="C142" s="328">
        <f t="array" ref="C142">INDEX('アイテム'!$AA$3:$AB$114, MATCH($A$1,'アイテム'!$A$3:$A$114,0), MATCH(C139,'アイテム'!$C$2:$AQ$2,0))</f>
        <v>3</v>
      </c>
      <c r="D142" s="328" t="str">
        <f t="array" ref="D142">INDEX('アイテム'!$AA$3:$AB$114, MATCH($A$1,'アイテム'!$A$3:$A$114,0), MATCH(D139,'アイテム'!$C$2:$AQ$2,0))</f>
        <v>12</v>
      </c>
      <c r="E142" s="322"/>
      <c r="F142" s="322"/>
      <c r="G142" s="114"/>
      <c r="H142" s="228"/>
      <c r="I142" s="228"/>
      <c r="J142" s="228"/>
      <c r="K142" s="118"/>
      <c r="L142" s="118"/>
      <c r="M142" s="118"/>
      <c r="N142" s="102"/>
      <c r="O142" s="102"/>
      <c r="P142" s="102"/>
      <c r="Q142" s="102"/>
      <c r="R142" s="118"/>
      <c r="S142" s="118"/>
      <c r="T142" s="118"/>
      <c r="U142" s="118"/>
      <c r="V142" s="118"/>
    </row>
    <row r="143" outlineLevel="1">
      <c r="A143" s="324" t="s">
        <v>260</v>
      </c>
      <c r="B143" s="109"/>
      <c r="C143" s="325" t="s">
        <v>261</v>
      </c>
      <c r="D143" s="325" t="s">
        <v>49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262</v>
      </c>
      <c r="B144" s="327" t="s">
        <v>226</v>
      </c>
      <c r="C144" s="328" t="str">
        <f t="array" ref="C144">INDEX('アイテム'!$G$3:$H$114, MATCH($A$1,'アイテム'!$A$3:$A$114,0), MATCH(C139,'アイテム'!$C$2:$AQ$2,0))</f>
        <v>8</v>
      </c>
      <c r="D144" s="328">
        <f t="array" ref="D144">INDEX('アイテム'!$G$3:$H$114, MATCH($A$1,'アイテム'!$A$3:$A$114,0), MATCH(D139,'アイテム'!$C$2:$AQ$2,0))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INDEX('アイテム'!$I$3:$J$114, MATCH($A$1,'アイテム'!$A$3:$A$114,0), MATCH(C139,'アイテム'!$C$2:$AQ$2,0))</f>
        <v>10</v>
      </c>
      <c r="D145" s="328">
        <f t="array" ref="D145">INDEX('アイテム'!$I$3:$J$114, MATCH($A$1,'アイテム'!$A$3:$A$114,0), MATCH(D139,'アイテム'!$C$2:$AQ$2,0))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INDEX('アイテム'!$K$3:$L$114, MATCH($A$1,'アイテム'!$A$3:$A$114,0), MATCH(C139,'アイテム'!$C$2:$AQ$2,0))</f>
        <v>12</v>
      </c>
      <c r="D146" s="328">
        <f t="array" ref="D146">INDEX('アイテム'!$K$3:$L$114, MATCH($A$1,'アイテム'!$A$3:$A$114,0), MATCH(D139,'アイテム'!$C$2:$AQ$2,0))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234</v>
      </c>
      <c r="C147" s="328" t="str">
        <f t="array" ref="C147">INDEX('アイテム'!$M$3:$N$114, MATCH($A$1,'アイテム'!$A$3:$A$114,0), MATCH(C139,'アイテム'!$C$2:$AQ$2,0))</f>
        <v>6</v>
      </c>
      <c r="D147" s="328">
        <f t="array" ref="D147">INDEX('アイテム'!$M$3:$N$114, MATCH($A$1,'アイテム'!$A$3:$A$114,0), MATCH(D139,'アイテム'!$C$2:$AQ$2,0))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219</v>
      </c>
      <c r="C148" s="328" t="str">
        <f t="array" ref="C148">INDEX('アイテム'!$O$3:$P$114, MATCH($A$1,'アイテム'!$A$3:$A$114,0), MATCH(C139,'アイテム'!$C$2:$AQ$2,0))</f>
        <v>5</v>
      </c>
      <c r="D148" s="328">
        <f t="array" ref="D148">INDEX('アイテム'!$O$3:$P$114, MATCH($A$1,'アイテム'!$A$3:$A$114,0), MATCH(D139,'アイテム'!$C$2:$AQ$2,0))</f>
        <v>29</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263</v>
      </c>
      <c r="C149" s="328" t="str">
        <f t="array" ref="C149">INDEX('アイテム'!$Q$3:$R$114, MATCH($A$1,'アイテム'!$A$3:$A$114,0), MATCH(C139,'アイテム'!$C$2:$AQ$2,0))</f>
        <v>6</v>
      </c>
      <c r="D149" s="328">
        <f t="array" ref="D149">INDEX('アイテム'!$Q$3:$R$114, MATCH($A$1,'アイテム'!$A$3:$A$114,0), MATCH(D139,'アイテム'!$C$2:$AQ$2,0))</f>
        <v>23</v>
      </c>
      <c r="E149" s="322"/>
      <c r="F149" s="322"/>
      <c r="G149" s="114"/>
      <c r="H149" s="228"/>
      <c r="I149" s="228"/>
      <c r="J149" s="228"/>
      <c r="K149" s="118"/>
      <c r="L149" s="118"/>
      <c r="M149" s="118"/>
      <c r="N149" s="102"/>
      <c r="O149" s="102"/>
      <c r="P149" s="102"/>
      <c r="Q149" s="102"/>
      <c r="R149" s="118"/>
      <c r="S149" s="118"/>
      <c r="T149" s="118"/>
      <c r="U149" s="118"/>
      <c r="V149" s="118"/>
    </row>
    <row r="150" outlineLevel="1">
      <c r="A150" s="326" t="s">
        <v>264</v>
      </c>
      <c r="B150" s="327" t="s">
        <v>226</v>
      </c>
      <c r="C150" s="328" t="str">
        <f t="array" ref="C150">INDEX('アイテム'!$S$3:$T$114, MATCH($A$1,'アイテム'!$A$3:$A$114,0), MATCH(C139,'アイテム'!$C$2:$AQ$2,0))</f>
        <v>8</v>
      </c>
      <c r="D150" s="328">
        <f t="array" ref="D150">INDEX('アイテム'!$S$3:$T$114, MATCH($A$1,'アイテム'!$A$3:$A$114,0), MATCH(D139,'アイテム'!$C$2:$AQ$2,0))</f>
        <v>24</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229</v>
      </c>
      <c r="C151" s="328" t="str">
        <f t="array" ref="C151">INDEX('アイテム'!$U$3:$V$114, MATCH($A$1,'アイテム'!$A$3:$A$114,0), MATCH(C139,'アイテム'!$C$2:$AQ$2,0))</f>
        <v>10</v>
      </c>
      <c r="D151" s="328">
        <f t="array" ref="D151">INDEX('アイテム'!$U$3:$V$114, MATCH($A$1,'アイテム'!$A$3:$A$114,0), MATCH(D139,'アイテム'!$C$2:$AQ$2,0))</f>
        <v>24</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233</v>
      </c>
      <c r="C152" s="328" t="str">
        <f t="array" ref="C152">INDEX('アイテム'!$W$3:$X$114, MATCH($A$1,'アイテム'!$A$3:$A$114,0), MATCH(C139,'アイテム'!$C$2:$AQ$2,0))</f>
        <v>12</v>
      </c>
      <c r="D152" s="328">
        <f t="array" ref="D152">INDEX('アイテム'!$W$3:$X$114, MATCH($A$1,'アイテム'!$A$3:$A$114,0), MATCH(D139,'アイテム'!$C$2:$AQ$2,0))</f>
        <v>23</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234</v>
      </c>
      <c r="C153" s="328" t="str">
        <f t="array" ref="C153">INDEX('アイテム'!$Y$3:$Z$114, MATCH($A$1,'アイテム'!$A$3:$A$114,0), MATCH(C139,'アイテム'!$C$2:$AQ$2,0))</f>
        <v>6</v>
      </c>
      <c r="D153" s="328">
        <f t="array" ref="D153">INDEX('アイテム'!$Y$3:$Z$114, MATCH($A$1,'アイテム'!$A$3:$A$114,0), MATCH(D139,'アイテム'!$C$2:$AQ$2,0))</f>
        <v>19</v>
      </c>
      <c r="E153" s="322"/>
      <c r="F153" s="322"/>
      <c r="G153" s="114"/>
      <c r="H153" s="228"/>
      <c r="I153" s="228"/>
      <c r="J153" s="228"/>
      <c r="K153" s="118"/>
      <c r="L153" s="118"/>
      <c r="M153" s="118"/>
      <c r="N153" s="102"/>
      <c r="O153" s="102"/>
      <c r="P153" s="102"/>
      <c r="Q153" s="102"/>
      <c r="R153" s="118"/>
      <c r="S153" s="118"/>
      <c r="T153" s="118"/>
      <c r="U153" s="118"/>
      <c r="V153" s="118"/>
    </row>
    <row r="154" outlineLevel="1">
      <c r="A154" s="326" t="s">
        <v>265</v>
      </c>
      <c r="B154" s="327" t="s">
        <v>226</v>
      </c>
      <c r="C154" s="328">
        <f t="array" ref="C154">INDEX('アイテム'!$AC$3:$AD$114, MATCH($A$1,'アイテム'!$A$3:$A$114,0), MATCH(C139,'アイテム'!$C$2:$AQ$2,0))</f>
        <v>15</v>
      </c>
      <c r="D154" s="328" t="str">
        <f t="array" ref="D154">INDEX('アイテム'!$AC$3:$AD$114, MATCH($A$1,'アイテム'!$A$3:$A$114,0), MATCH(D139,'アイテム'!$C$2:$AQ$2,0))</f>
        <v>30</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229</v>
      </c>
      <c r="C155" s="328">
        <f t="array" ref="C155">INDEX('アイテム'!$AE$3:$AF$114, MATCH($A$1,'アイテム'!$A$3:$A$114,0), MATCH(C139,'アイテム'!$C$2:$AQ$2,0))</f>
        <v>16</v>
      </c>
      <c r="D155" s="328" t="str">
        <f t="array" ref="D155">INDEX('アイテム'!$AE$3:$AF$114, MATCH($A$1,'アイテム'!$A$3:$A$114,0), MATCH(D139,'アイテム'!$C$2:$AQ$2,0))</f>
        <v>30</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233</v>
      </c>
      <c r="C156" s="328">
        <f t="array" ref="C156">INDEX('アイテム'!$AG$3:$AH$114, MATCH($A$1,'アイテム'!$A$3:$A$114,0), MATCH(C139,'アイテム'!$C$2:$AQ$2,0))</f>
        <v>11</v>
      </c>
      <c r="D156" s="328" t="str">
        <f t="array" ref="D156">INDEX('アイテム'!$AG$3:$AH$114, MATCH($A$1,'アイテム'!$A$3:$A$114,0), MATCH(D139,'アイテム'!$C$2:$AQ$2,0))</f>
        <v>22</v>
      </c>
      <c r="E156" s="322"/>
      <c r="F156" s="322"/>
      <c r="G156" s="114"/>
      <c r="H156" s="228"/>
      <c r="I156" s="228"/>
      <c r="J156" s="228"/>
      <c r="K156" s="118"/>
      <c r="L156" s="118"/>
      <c r="M156" s="118"/>
      <c r="N156" s="102"/>
      <c r="O156" s="102"/>
      <c r="P156" s="102"/>
      <c r="Q156" s="102"/>
      <c r="R156" s="118"/>
      <c r="S156" s="118"/>
      <c r="T156" s="118"/>
      <c r="U156" s="118"/>
      <c r="V156" s="118"/>
    </row>
    <row r="157" outlineLevel="1">
      <c r="A157" s="156"/>
      <c r="B157" s="327" t="s">
        <v>234</v>
      </c>
      <c r="C157" s="328">
        <f t="array" ref="C157">INDEX('アイテム'!$AI$3:$AJ$114, MATCH($A$1,'アイテム'!$A$3:$A$114,0), MATCH(C139,'アイテム'!$C$2:$AQ$2,0))</f>
        <v>11</v>
      </c>
      <c r="D157" s="328" t="str">
        <f t="array" ref="D157">INDEX('アイテム'!$AI$3:$AJ$114, MATCH($A$1,'アイテム'!$A$3:$A$114,0), MATCH(D139,'アイテム'!$C$2:$AQ$2,0))</f>
        <v>22</v>
      </c>
      <c r="E157" s="322"/>
      <c r="F157" s="322"/>
      <c r="G157" s="114"/>
      <c r="H157" s="228"/>
      <c r="I157" s="228"/>
      <c r="J157" s="228"/>
      <c r="K157" s="118"/>
      <c r="L157" s="118"/>
      <c r="M157" s="118"/>
      <c r="N157" s="102"/>
      <c r="O157" s="102"/>
      <c r="P157" s="102"/>
      <c r="Q157" s="102"/>
      <c r="R157" s="118"/>
      <c r="S157" s="118"/>
      <c r="T157" s="118"/>
      <c r="U157" s="118"/>
      <c r="V157" s="118"/>
    </row>
  </sheetData>
  <mergeCells count="146">
    <mergeCell ref="U71:U79"/>
    <mergeCell ref="V71:V79"/>
    <mergeCell ref="U81:U82"/>
    <mergeCell ref="V81:V82"/>
    <mergeCell ref="U41:U42"/>
    <mergeCell ref="U61:U62"/>
    <mergeCell ref="V61:V62"/>
    <mergeCell ref="U64:U67"/>
    <mergeCell ref="V64:V67"/>
    <mergeCell ref="U69:U70"/>
    <mergeCell ref="V69:V70"/>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1"/>
    <mergeCell ref="H32:J32"/>
    <mergeCell ref="H33:J33"/>
    <mergeCell ref="H34:J34"/>
    <mergeCell ref="H35:J35"/>
    <mergeCell ref="H36:J37"/>
    <mergeCell ref="H38:J40"/>
    <mergeCell ref="U38:U40"/>
    <mergeCell ref="H41:J42"/>
    <mergeCell ref="A24:B25"/>
    <mergeCell ref="A26:A31"/>
    <mergeCell ref="A36:A37"/>
    <mergeCell ref="A38:A40"/>
    <mergeCell ref="D38:D40"/>
    <mergeCell ref="A41:A42"/>
    <mergeCell ref="D41:D42"/>
    <mergeCell ref="R45:V45"/>
    <mergeCell ref="R46:V47"/>
    <mergeCell ref="R48:V49"/>
    <mergeCell ref="R50:V51"/>
    <mergeCell ref="R52:V53"/>
    <mergeCell ref="R54:V56"/>
    <mergeCell ref="R57:V57"/>
    <mergeCell ref="A63:B63"/>
    <mergeCell ref="A68:B68"/>
    <mergeCell ref="A61:A62"/>
    <mergeCell ref="A64:A67"/>
    <mergeCell ref="A69:A70"/>
    <mergeCell ref="A71:A79"/>
    <mergeCell ref="A80:B80"/>
    <mergeCell ref="A81:A82"/>
    <mergeCell ref="A84:B85"/>
    <mergeCell ref="A91:A92"/>
    <mergeCell ref="A93:A94"/>
    <mergeCell ref="A95:A96"/>
    <mergeCell ref="A97:A98"/>
    <mergeCell ref="A100:B101"/>
    <mergeCell ref="A102:A104"/>
    <mergeCell ref="A108:B109"/>
    <mergeCell ref="A140:A141"/>
    <mergeCell ref="A143:B143"/>
    <mergeCell ref="A144:A149"/>
    <mergeCell ref="A150:A153"/>
    <mergeCell ref="A154:A157"/>
    <mergeCell ref="A105:A106"/>
    <mergeCell ref="A110:A114"/>
    <mergeCell ref="A118:A123"/>
    <mergeCell ref="A124:A129"/>
    <mergeCell ref="A130:A136"/>
    <mergeCell ref="A138:B138"/>
    <mergeCell ref="A139:B139"/>
    <mergeCell ref="K119:K122"/>
    <mergeCell ref="K123:L123"/>
    <mergeCell ref="K125:K128"/>
    <mergeCell ref="K129:L129"/>
    <mergeCell ref="K132:L132"/>
    <mergeCell ref="C128:C129"/>
    <mergeCell ref="D128:D129"/>
    <mergeCell ref="C135:C136"/>
    <mergeCell ref="D135:D136"/>
    <mergeCell ref="K109:L109"/>
    <mergeCell ref="K110:K111"/>
    <mergeCell ref="K112:L112"/>
    <mergeCell ref="K113:K118"/>
    <mergeCell ref="A115:A117"/>
    <mergeCell ref="C122:C123"/>
    <mergeCell ref="D122:D123"/>
    <mergeCell ref="I48:I49"/>
    <mergeCell ref="J48:J49"/>
    <mergeCell ref="D48:D49"/>
    <mergeCell ref="D50:D51"/>
    <mergeCell ref="D71:D79"/>
    <mergeCell ref="D91:D92"/>
    <mergeCell ref="D93:D94"/>
    <mergeCell ref="D95:D96"/>
    <mergeCell ref="D97:D98"/>
    <mergeCell ref="A44:B45"/>
    <mergeCell ref="A46:A47"/>
    <mergeCell ref="D46:D47"/>
    <mergeCell ref="I46:I47"/>
    <mergeCell ref="J46:J47"/>
    <mergeCell ref="A48:A49"/>
    <mergeCell ref="A50:A51"/>
    <mergeCell ref="H61:J62"/>
    <mergeCell ref="H63:J63"/>
    <mergeCell ref="H64:J67"/>
    <mergeCell ref="H68:J68"/>
    <mergeCell ref="H69:J70"/>
    <mergeCell ref="H71:J79"/>
    <mergeCell ref="H80:J80"/>
    <mergeCell ref="H81:J82"/>
    <mergeCell ref="I50:I51"/>
    <mergeCell ref="J50:J51"/>
    <mergeCell ref="I52:I53"/>
    <mergeCell ref="J52:J53"/>
    <mergeCell ref="I54:I56"/>
    <mergeCell ref="J54:J56"/>
    <mergeCell ref="H60:J60"/>
    <mergeCell ref="A52:A53"/>
    <mergeCell ref="D52:D53"/>
    <mergeCell ref="A54:A56"/>
    <mergeCell ref="D54:D56"/>
    <mergeCell ref="A59:B59"/>
    <mergeCell ref="A60:B60"/>
    <mergeCell ref="D64:D66"/>
    <mergeCell ref="D69:D70"/>
    <mergeCell ref="A87:A89"/>
    <mergeCell ref="A90:B90"/>
    <mergeCell ref="G90:J90"/>
    <mergeCell ref="G91:J92"/>
    <mergeCell ref="G93:J94"/>
    <mergeCell ref="G95:J96"/>
    <mergeCell ref="G97:J98"/>
  </mergeCells>
  <conditionalFormatting sqref="K1:K15 K17:K90 K99:K133">
    <cfRule type="containsText" dxfId="0" priority="1" operator="containsText" text="361">
      <formula>NOT(ISERROR(SEARCH(("361"),(K1))))</formula>
    </cfRule>
  </conditionalFormatting>
  <conditionalFormatting sqref="K1:K15 K17:K90 K99:K133">
    <cfRule type="containsText" dxfId="1" priority="2" operator="containsText" text="363">
      <formula>NOT(ISERROR(SEARCH(("363"),(K1))))</formula>
    </cfRule>
  </conditionalFormatting>
  <conditionalFormatting sqref="K1:K15 K17:K90 K99:K133">
    <cfRule type="containsText" dxfId="1" priority="3" operator="containsText" text="365">
      <formula>NOT(ISERROR(SEARCH(("365"),(K1))))</formula>
    </cfRule>
  </conditionalFormatting>
  <conditionalFormatting sqref="K1:K15 K17:K90 K99:K133">
    <cfRule type="containsText" dxfId="1" priority="4" operator="containsText" text="366">
      <formula>NOT(ISERROR(SEARCH(("366"),(K1))))</formula>
    </cfRule>
  </conditionalFormatting>
  <conditionalFormatting sqref="K1:K15 K17:K90 K99:K133">
    <cfRule type="containsText" dxfId="1" priority="5" operator="containsText" text="367">
      <formula>NOT(ISERROR(SEARCH(("367"),(K1))))</formula>
    </cfRule>
  </conditionalFormatting>
  <conditionalFormatting sqref="O91:O98">
    <cfRule type="cellIs" dxfId="2" priority="6" operator="equal">
      <formula>"敵のみ"</formula>
    </cfRule>
  </conditionalFormatting>
  <conditionalFormatting sqref="C91:C98">
    <cfRule type="cellIs" dxfId="3" priority="7" operator="equal">
      <formula>"-"</formula>
    </cfRule>
  </conditionalFormatting>
  <conditionalFormatting sqref="O1:O90 C62:D62 C67 E67:G67 K67:N67 P67:T67 E81:G81 K81:N81 P81:T81 D82 N91:N98 O98:O157">
    <cfRule type="cellIs" dxfId="4" priority="8" operator="greaterThan">
      <formula>0</formula>
    </cfRule>
  </conditionalFormatting>
  <conditionalFormatting sqref="P1:P157 Q1:Q90 O91:O98 Q99:Q157">
    <cfRule type="cellIs" dxfId="5" priority="9" operator="lessThan">
      <formula>1</formula>
    </cfRule>
  </conditionalFormatting>
  <conditionalFormatting sqref="P1:P157 Q1:Q90 O91:O98 Q99:Q157">
    <cfRule type="cellIs" dxfId="4" priority="10" operator="greaterThan">
      <formula>1</formula>
    </cfRule>
  </conditionalFormatting>
  <conditionalFormatting sqref="N25:N90 M91:M98">
    <cfRule type="cellIs" dxfId="6" priority="11" operator="greaterThan">
      <formula>0</formula>
    </cfRule>
  </conditionalFormatting>
  <conditionalFormatting sqref="N1:N15 N17:N90 M91:M98 N99:N157">
    <cfRule type="containsText" dxfId="6" priority="12" operator="containsText" text="/">
      <formula>NOT(ISERROR(SEARCH(("/"),(N1))))</formula>
    </cfRule>
  </conditionalFormatting>
  <drawing r:id="rId2"/>
  <legacyDrawing r:id="rId3"/>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F0F0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296">
        <v>23.0</v>
      </c>
      <c r="B1" s="1297"/>
      <c r="C1" s="1298" t="str">
        <f>IMAGE(VLOOKUP($A$1,Fighters!A2:AI114,12,FALSE),1)</f>
        <v>#REF!</v>
      </c>
      <c r="D1" s="1299"/>
      <c r="E1" s="1299"/>
      <c r="F1" s="1299"/>
      <c r="G1" s="1300"/>
      <c r="H1" s="1301"/>
      <c r="I1" s="1299"/>
      <c r="J1" s="1300"/>
      <c r="K1" s="1302"/>
      <c r="L1" s="1299"/>
      <c r="M1" s="1300"/>
      <c r="N1" s="1303"/>
      <c r="O1" s="1303"/>
      <c r="P1" s="1303"/>
      <c r="Q1" s="1303"/>
      <c r="R1" s="1304"/>
      <c r="S1" s="1304"/>
      <c r="T1" s="1304"/>
      <c r="U1" s="1304"/>
      <c r="V1" s="1304"/>
    </row>
    <row r="2">
      <c r="A2" s="1305" t="str">
        <f>VLOOKUP($A$1,Fighters!$A$2:$AI$81,6,FALSE)</f>
        <v>#4f0f0f</v>
      </c>
      <c r="B2" s="1297"/>
      <c r="C2" s="1306"/>
      <c r="G2" s="1307"/>
      <c r="H2" s="1308"/>
      <c r="I2" s="1309"/>
      <c r="J2" s="1310"/>
      <c r="K2" s="1308"/>
      <c r="L2" s="1309"/>
      <c r="M2" s="1310"/>
      <c r="N2" s="1303"/>
      <c r="O2" s="1303"/>
      <c r="P2" s="1303"/>
      <c r="Q2" s="1303"/>
      <c r="R2" s="1304"/>
      <c r="S2" s="1304"/>
      <c r="T2" s="1304"/>
      <c r="U2" s="1304"/>
      <c r="V2" s="1304"/>
    </row>
    <row r="3">
      <c r="A3" s="1305" t="str">
        <f>VLOOKUP($A$1,Fighters!$A$2:$AI$81,14,FALSE)</f>
        <v>23. ガノンドロフ</v>
      </c>
      <c r="B3" s="1297"/>
      <c r="C3" s="1306"/>
      <c r="G3" s="1307"/>
      <c r="H3" s="1311"/>
      <c r="I3" s="1311"/>
      <c r="J3" s="1311"/>
      <c r="K3" s="1312"/>
      <c r="L3" s="1312"/>
      <c r="M3" s="1312"/>
      <c r="N3" s="1303"/>
      <c r="O3" s="1303"/>
      <c r="P3" s="1303"/>
      <c r="Q3" s="1303"/>
      <c r="R3" s="1313"/>
      <c r="S3" s="1304"/>
      <c r="T3" s="1304"/>
      <c r="U3" s="1304"/>
      <c r="V3" s="1304"/>
    </row>
    <row r="4">
      <c r="A4" s="1305" t="str">
        <f>VLOOKUP($A$1,Fighters!$A$2:$AI$81,13,FALSE)</f>
        <v>1</v>
      </c>
      <c r="B4" s="1297"/>
      <c r="C4" s="1306"/>
      <c r="G4" s="1307"/>
      <c r="H4" s="1314"/>
      <c r="I4" s="1314"/>
      <c r="J4" s="1311"/>
      <c r="K4" s="1312"/>
      <c r="L4" s="1312"/>
      <c r="M4" s="1312"/>
      <c r="N4" s="1303"/>
      <c r="O4" s="1303"/>
      <c r="P4" s="1303"/>
      <c r="Q4" s="1303"/>
      <c r="R4" s="1313"/>
      <c r="S4" s="1304"/>
      <c r="T4" s="1304"/>
      <c r="U4" s="1304"/>
      <c r="V4" s="1304"/>
    </row>
    <row r="5" ht="16.5" customHeight="1">
      <c r="A5" s="1296"/>
      <c r="B5" s="1297"/>
      <c r="C5" s="1306"/>
      <c r="G5" s="1307"/>
      <c r="H5" s="1315"/>
      <c r="I5" s="1315"/>
      <c r="J5" s="1316"/>
      <c r="K5" s="1317"/>
      <c r="L5" s="1318"/>
      <c r="M5" s="1318"/>
      <c r="N5" s="1303"/>
      <c r="O5" s="1303"/>
      <c r="P5" s="1303"/>
      <c r="Q5" s="1303"/>
      <c r="R5" s="1313"/>
      <c r="S5" s="1304"/>
      <c r="T5" s="1304"/>
      <c r="U5" s="1304"/>
      <c r="V5" s="1304"/>
    </row>
    <row r="6">
      <c r="A6" s="1297"/>
      <c r="B6" s="1297"/>
      <c r="C6" s="1306"/>
      <c r="G6" s="1307"/>
      <c r="H6" s="1314"/>
      <c r="I6" s="1319" t="s">
        <v>39</v>
      </c>
      <c r="J6" s="1317"/>
      <c r="K6" s="1320"/>
      <c r="L6" s="1318"/>
      <c r="M6" s="1318"/>
      <c r="N6" s="1303"/>
      <c r="O6" s="1303"/>
      <c r="P6" s="1303"/>
      <c r="Q6" s="1303"/>
      <c r="R6" s="1313"/>
      <c r="S6" s="1304"/>
      <c r="T6" s="1304"/>
      <c r="U6" s="1304"/>
      <c r="V6" s="1304"/>
    </row>
    <row r="7">
      <c r="A7" s="1297"/>
      <c r="B7" s="1297"/>
      <c r="C7" s="1306"/>
      <c r="G7" s="1307"/>
      <c r="H7" s="1315"/>
      <c r="I7" s="1315"/>
      <c r="J7" s="1317"/>
      <c r="K7" s="1320"/>
      <c r="L7" s="1318"/>
      <c r="M7" s="1318"/>
      <c r="N7" s="1303"/>
      <c r="O7" s="1303"/>
      <c r="P7" s="1303"/>
      <c r="Q7" s="1303"/>
      <c r="R7" s="1313"/>
      <c r="S7" s="1304"/>
      <c r="T7" s="1304"/>
      <c r="U7" s="1304"/>
      <c r="V7" s="1304"/>
    </row>
    <row r="8">
      <c r="A8" s="1297"/>
      <c r="B8" s="1297"/>
      <c r="C8" s="1306"/>
      <c r="G8" s="1307"/>
      <c r="H8" s="1321">
        <v>44379.84399530092</v>
      </c>
      <c r="I8" s="1299"/>
      <c r="J8" s="1300"/>
      <c r="K8" s="1317"/>
      <c r="L8" s="1318"/>
      <c r="M8" s="1318"/>
      <c r="N8" s="1303"/>
      <c r="O8" s="1303"/>
      <c r="P8" s="1303"/>
      <c r="Q8" s="1303"/>
      <c r="R8" s="1313"/>
      <c r="S8" s="1304"/>
      <c r="T8" s="1304"/>
      <c r="U8" s="1304"/>
      <c r="V8" s="1304"/>
    </row>
    <row r="9">
      <c r="A9" s="1297"/>
      <c r="B9" s="1297"/>
      <c r="C9" s="1306"/>
      <c r="G9" s="1307"/>
      <c r="H9" s="1308"/>
      <c r="I9" s="1309"/>
      <c r="J9" s="1310"/>
      <c r="K9" s="1304"/>
      <c r="L9" s="1303"/>
      <c r="M9" s="1303"/>
      <c r="N9" s="1303"/>
      <c r="O9" s="1303"/>
      <c r="P9" s="1303"/>
      <c r="Q9" s="1303"/>
      <c r="R9" s="1313"/>
      <c r="S9" s="1304"/>
      <c r="T9" s="1304"/>
      <c r="U9" s="1304"/>
      <c r="V9" s="1304"/>
    </row>
    <row r="10">
      <c r="A10" s="1297"/>
      <c r="B10" s="1297"/>
      <c r="C10" s="1306"/>
      <c r="G10" s="1307"/>
      <c r="H10" s="1322"/>
      <c r="I10" s="1322"/>
      <c r="J10" s="1304"/>
      <c r="K10" s="1304"/>
      <c r="L10" s="1303"/>
      <c r="M10" s="1303"/>
      <c r="N10" s="1303"/>
      <c r="O10" s="1303"/>
      <c r="P10" s="1303"/>
      <c r="Q10" s="1303"/>
      <c r="R10" s="1313"/>
      <c r="S10" s="1304"/>
      <c r="T10" s="1304"/>
      <c r="U10" s="1304"/>
      <c r="V10" s="1304"/>
    </row>
    <row r="11">
      <c r="A11" s="1323" t="s">
        <v>40</v>
      </c>
      <c r="B11" s="1300"/>
      <c r="C11" s="1306"/>
      <c r="G11" s="1307"/>
      <c r="H11" s="1315"/>
      <c r="I11" s="1315"/>
      <c r="J11" s="1304"/>
      <c r="K11" s="1304"/>
      <c r="L11" s="1303"/>
      <c r="M11" s="1303"/>
      <c r="N11" s="1303"/>
      <c r="O11" s="1303"/>
      <c r="P11" s="1303"/>
      <c r="Q11" s="1303"/>
      <c r="R11" s="1313"/>
      <c r="S11" s="1304"/>
      <c r="T11" s="1304"/>
      <c r="U11" s="1304"/>
      <c r="V11" s="1304"/>
    </row>
    <row r="12">
      <c r="A12" s="1308"/>
      <c r="B12" s="1310"/>
      <c r="C12" s="1308"/>
      <c r="D12" s="1309"/>
      <c r="E12" s="1309"/>
      <c r="F12" s="1309"/>
      <c r="G12" s="1310"/>
      <c r="H12" s="1324"/>
      <c r="I12" s="1324"/>
      <c r="J12" s="1297"/>
      <c r="K12" s="1297"/>
      <c r="L12" s="1303"/>
      <c r="M12" s="1303"/>
      <c r="N12" s="1303"/>
      <c r="O12" s="1303"/>
      <c r="P12" s="1303"/>
      <c r="Q12" s="1303"/>
      <c r="R12" s="1313"/>
      <c r="S12" s="1304"/>
      <c r="T12" s="1304"/>
      <c r="U12" s="1304"/>
      <c r="V12" s="130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118 [5th]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1.87 [51st]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0.767 [82nd]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0.13893 [59th]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25.49 [84th]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1.34 [86th]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20F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0.125 [14th]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12.24 [83rd]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0.83 [86th]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29F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0.04 [82nd]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26 [80th]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1.65 [33rd]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2.64 [34th]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0.108 [27th]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70" t="s">
        <v>266</v>
      </c>
      <c r="B26" s="134" t="s">
        <v>55</v>
      </c>
      <c r="C26" s="139" t="s">
        <v>319</v>
      </c>
      <c r="D26" s="139" t="s">
        <v>876</v>
      </c>
      <c r="E26" s="139" t="s">
        <v>232</v>
      </c>
      <c r="F26" s="138">
        <v>13.2</v>
      </c>
      <c r="G26" s="139" t="s">
        <v>121</v>
      </c>
      <c r="H26" s="159"/>
      <c r="I26" s="110"/>
      <c r="J26" s="109"/>
      <c r="K26" s="138"/>
      <c r="L26" s="282"/>
      <c r="M26" s="363"/>
      <c r="N26" s="363"/>
      <c r="O26" s="145">
        <v>0.0</v>
      </c>
      <c r="P26" s="145">
        <v>1.0</v>
      </c>
      <c r="Q26" s="145">
        <v>1.0</v>
      </c>
      <c r="R26" s="100"/>
      <c r="S26" s="100"/>
      <c r="T26" s="100"/>
      <c r="U26" s="145" t="s">
        <v>62</v>
      </c>
      <c r="V26" s="100"/>
    </row>
    <row r="27" outlineLevel="1">
      <c r="A27" s="133" t="s">
        <v>77</v>
      </c>
      <c r="B27" s="160"/>
      <c r="C27" s="216" t="s">
        <v>627</v>
      </c>
      <c r="D27" s="195" t="s">
        <v>79</v>
      </c>
      <c r="E27" s="216" t="s">
        <v>386</v>
      </c>
      <c r="F27" s="138">
        <v>18.0</v>
      </c>
      <c r="G27" s="139" t="s">
        <v>82</v>
      </c>
      <c r="H27" s="163" t="s">
        <v>1929</v>
      </c>
      <c r="I27" s="164"/>
      <c r="J27" s="104"/>
      <c r="K27" s="138"/>
      <c r="L27" s="282"/>
      <c r="M27" s="363"/>
      <c r="N27" s="363"/>
      <c r="O27" s="145">
        <v>1.0</v>
      </c>
      <c r="P27" s="145">
        <v>1.0</v>
      </c>
      <c r="Q27" s="145">
        <v>1.0</v>
      </c>
      <c r="R27" s="100"/>
      <c r="S27" s="100"/>
      <c r="T27" s="100"/>
      <c r="U27" s="166" t="s">
        <v>69</v>
      </c>
      <c r="V27" s="100"/>
    </row>
    <row r="28" outlineLevel="1">
      <c r="A28" s="156"/>
      <c r="B28" s="147" t="s">
        <v>84</v>
      </c>
      <c r="C28" s="216" t="s">
        <v>842</v>
      </c>
      <c r="D28" s="107"/>
      <c r="E28" s="216" t="s">
        <v>232</v>
      </c>
      <c r="F28" s="138">
        <v>13.2</v>
      </c>
      <c r="G28" s="162" t="s">
        <v>297</v>
      </c>
      <c r="H28" s="106"/>
      <c r="I28" s="168"/>
      <c r="J28" s="107"/>
      <c r="K28" s="282"/>
      <c r="L28" s="282"/>
      <c r="M28" s="363"/>
      <c r="N28" s="363"/>
      <c r="O28" s="145">
        <v>1.0</v>
      </c>
      <c r="P28" s="145">
        <v>1.0</v>
      </c>
      <c r="Q28" s="145">
        <v>1.0</v>
      </c>
      <c r="R28" s="100"/>
      <c r="S28" s="100"/>
      <c r="T28" s="100"/>
      <c r="U28" s="156"/>
      <c r="V28" s="100"/>
    </row>
    <row r="29" outlineLevel="1">
      <c r="A29" s="170" t="s">
        <v>89</v>
      </c>
      <c r="B29" s="147"/>
      <c r="C29" s="216" t="s">
        <v>627</v>
      </c>
      <c r="D29" s="216" t="s">
        <v>118</v>
      </c>
      <c r="E29" s="216" t="s">
        <v>1930</v>
      </c>
      <c r="F29" s="138" t="s">
        <v>1931</v>
      </c>
      <c r="G29" s="139" t="s">
        <v>1932</v>
      </c>
      <c r="H29" s="159"/>
      <c r="I29" s="110"/>
      <c r="J29" s="109"/>
      <c r="K29" s="138"/>
      <c r="L29" s="282"/>
      <c r="M29" s="363"/>
      <c r="N29" s="363"/>
      <c r="O29" s="145">
        <v>0.0</v>
      </c>
      <c r="P29" s="145">
        <v>1.0</v>
      </c>
      <c r="Q29" s="145">
        <v>1.0</v>
      </c>
      <c r="R29" s="100"/>
      <c r="S29" s="100"/>
      <c r="T29" s="100"/>
      <c r="U29" s="145" t="s">
        <v>62</v>
      </c>
      <c r="V29" s="100"/>
    </row>
    <row r="30" outlineLevel="1">
      <c r="A30" s="133" t="s">
        <v>97</v>
      </c>
      <c r="B30" s="147" t="s">
        <v>1933</v>
      </c>
      <c r="C30" s="216" t="s">
        <v>1934</v>
      </c>
      <c r="D30" s="195" t="s">
        <v>1935</v>
      </c>
      <c r="E30" s="216" t="s">
        <v>209</v>
      </c>
      <c r="F30" s="138">
        <v>0.0</v>
      </c>
      <c r="G30" s="409"/>
      <c r="H30" s="163" t="s">
        <v>1936</v>
      </c>
      <c r="I30" s="164"/>
      <c r="J30" s="104"/>
      <c r="K30" s="282"/>
      <c r="L30" s="282"/>
      <c r="M30" s="363"/>
      <c r="N30" s="363"/>
      <c r="O30" s="145">
        <v>0.0</v>
      </c>
      <c r="P30" s="145">
        <v>0.0</v>
      </c>
      <c r="Q30" s="145">
        <v>0.0</v>
      </c>
      <c r="R30" s="100"/>
      <c r="S30" s="100"/>
      <c r="T30" s="100"/>
      <c r="U30" s="166" t="s">
        <v>69</v>
      </c>
      <c r="V30" s="100"/>
    </row>
    <row r="31" outlineLevel="1">
      <c r="A31" s="146"/>
      <c r="B31" s="147"/>
      <c r="C31" s="216" t="s">
        <v>1937</v>
      </c>
      <c r="D31" s="210"/>
      <c r="E31" s="216" t="s">
        <v>268</v>
      </c>
      <c r="F31" s="138">
        <v>28.799999999999997</v>
      </c>
      <c r="G31" s="139" t="s">
        <v>1938</v>
      </c>
      <c r="H31" s="212"/>
      <c r="J31" s="210"/>
      <c r="K31" s="145"/>
      <c r="L31" s="363"/>
      <c r="M31" s="363"/>
      <c r="N31" s="363"/>
      <c r="O31" s="145"/>
      <c r="P31" s="145"/>
      <c r="Q31" s="145"/>
      <c r="R31" s="100"/>
      <c r="S31" s="100"/>
      <c r="T31" s="100"/>
      <c r="U31" s="146"/>
      <c r="V31" s="100"/>
    </row>
    <row r="32" outlineLevel="1">
      <c r="A32" s="156"/>
      <c r="B32" s="147" t="s">
        <v>84</v>
      </c>
      <c r="C32" s="216" t="s">
        <v>1939</v>
      </c>
      <c r="D32" s="107"/>
      <c r="E32" s="216" t="s">
        <v>228</v>
      </c>
      <c r="F32" s="138">
        <v>15.6</v>
      </c>
      <c r="G32" s="139" t="s">
        <v>407</v>
      </c>
      <c r="H32" s="106"/>
      <c r="I32" s="168"/>
      <c r="J32" s="107"/>
      <c r="K32" s="145"/>
      <c r="L32" s="363"/>
      <c r="M32" s="363"/>
      <c r="N32" s="363"/>
      <c r="O32" s="145">
        <v>20.0</v>
      </c>
      <c r="P32" s="145">
        <v>1.0</v>
      </c>
      <c r="Q32" s="145">
        <v>1.0</v>
      </c>
      <c r="R32" s="100"/>
      <c r="S32" s="100"/>
      <c r="T32" s="100"/>
      <c r="U32" s="156"/>
      <c r="V32" s="100"/>
    </row>
    <row r="33" outlineLevel="1">
      <c r="A33" s="170" t="s">
        <v>103</v>
      </c>
      <c r="B33" s="160"/>
      <c r="C33" s="216" t="s">
        <v>627</v>
      </c>
      <c r="D33" s="216" t="s">
        <v>193</v>
      </c>
      <c r="E33" s="216" t="s">
        <v>119</v>
      </c>
      <c r="F33" s="138">
        <v>16.8</v>
      </c>
      <c r="G33" s="139" t="s">
        <v>297</v>
      </c>
      <c r="H33" s="159"/>
      <c r="I33" s="110"/>
      <c r="J33" s="109"/>
      <c r="K33" s="145"/>
      <c r="L33" s="363"/>
      <c r="M33" s="363"/>
      <c r="N33" s="363"/>
      <c r="O33" s="145">
        <v>0.0</v>
      </c>
      <c r="P33" s="145">
        <v>1.0</v>
      </c>
      <c r="Q33" s="145">
        <v>1.0</v>
      </c>
      <c r="R33" s="100"/>
      <c r="S33" s="100"/>
      <c r="T33" s="100"/>
      <c r="U33" s="145" t="s">
        <v>69</v>
      </c>
      <c r="V33" s="100"/>
    </row>
    <row r="34" outlineLevel="1">
      <c r="A34" s="170" t="s">
        <v>109</v>
      </c>
      <c r="B34" s="147"/>
      <c r="C34" s="216" t="s">
        <v>1940</v>
      </c>
      <c r="D34" s="216" t="s">
        <v>777</v>
      </c>
      <c r="E34" s="216" t="s">
        <v>268</v>
      </c>
      <c r="F34" s="138">
        <v>28.799999999999997</v>
      </c>
      <c r="G34" s="139" t="s">
        <v>1187</v>
      </c>
      <c r="H34" s="140" t="s">
        <v>1941</v>
      </c>
      <c r="I34" s="110"/>
      <c r="J34" s="109"/>
      <c r="K34" s="282"/>
      <c r="L34" s="282"/>
      <c r="M34" s="363"/>
      <c r="N34" s="363"/>
      <c r="O34" s="145">
        <v>0.0</v>
      </c>
      <c r="P34" s="145">
        <v>1.0</v>
      </c>
      <c r="Q34" s="145">
        <v>1.0</v>
      </c>
      <c r="R34" s="100"/>
      <c r="S34" s="100"/>
      <c r="T34" s="100"/>
      <c r="U34" s="145" t="s">
        <v>294</v>
      </c>
      <c r="V34" s="100"/>
    </row>
    <row r="35" outlineLevel="1">
      <c r="A35" s="170" t="s">
        <v>116</v>
      </c>
      <c r="B35" s="160"/>
      <c r="C35" s="216" t="s">
        <v>1942</v>
      </c>
      <c r="D35" s="216" t="s">
        <v>601</v>
      </c>
      <c r="E35" s="216" t="s">
        <v>1943</v>
      </c>
      <c r="F35" s="138" t="s">
        <v>1944</v>
      </c>
      <c r="G35" s="139" t="s">
        <v>1945</v>
      </c>
      <c r="H35" s="151" t="s">
        <v>1946</v>
      </c>
      <c r="I35" s="110"/>
      <c r="J35" s="109"/>
      <c r="K35" s="363"/>
      <c r="L35" s="363"/>
      <c r="M35" s="363"/>
      <c r="N35" s="363"/>
      <c r="O35" s="145">
        <v>0.0</v>
      </c>
      <c r="P35" s="145">
        <v>1.0</v>
      </c>
      <c r="Q35" s="145">
        <v>1.0</v>
      </c>
      <c r="R35" s="100"/>
      <c r="S35" s="100"/>
      <c r="T35" s="100"/>
      <c r="U35" s="145" t="s">
        <v>62</v>
      </c>
      <c r="V35" s="100"/>
    </row>
    <row r="36" outlineLevel="1">
      <c r="A36" s="133" t="s">
        <v>124</v>
      </c>
      <c r="B36" s="147" t="s">
        <v>125</v>
      </c>
      <c r="C36" s="216" t="s">
        <v>548</v>
      </c>
      <c r="D36" s="195" t="s">
        <v>462</v>
      </c>
      <c r="E36" s="216" t="s">
        <v>150</v>
      </c>
      <c r="F36" s="138">
        <v>6.0</v>
      </c>
      <c r="G36" s="139" t="s">
        <v>147</v>
      </c>
      <c r="H36" s="163" t="s">
        <v>1947</v>
      </c>
      <c r="I36" s="164"/>
      <c r="J36" s="104"/>
      <c r="K36" s="282"/>
      <c r="L36" s="282"/>
      <c r="M36" s="363"/>
      <c r="N36" s="363"/>
      <c r="O36" s="145">
        <v>0.0</v>
      </c>
      <c r="P36" s="145">
        <v>1.0</v>
      </c>
      <c r="Q36" s="145">
        <v>0.0</v>
      </c>
      <c r="R36" s="100"/>
      <c r="S36" s="100"/>
      <c r="T36" s="100"/>
      <c r="U36" s="166" t="s">
        <v>62</v>
      </c>
      <c r="V36" s="100"/>
    </row>
    <row r="37" outlineLevel="1">
      <c r="A37" s="156"/>
      <c r="B37" s="147" t="s">
        <v>131</v>
      </c>
      <c r="C37" s="216" t="s">
        <v>1948</v>
      </c>
      <c r="D37" s="107"/>
      <c r="E37" s="216" t="s">
        <v>386</v>
      </c>
      <c r="F37" s="138">
        <v>18.0</v>
      </c>
      <c r="G37" s="139" t="s">
        <v>121</v>
      </c>
      <c r="H37" s="106"/>
      <c r="I37" s="168"/>
      <c r="J37" s="107"/>
      <c r="K37" s="282"/>
      <c r="L37" s="282"/>
      <c r="M37" s="363"/>
      <c r="N37" s="363"/>
      <c r="O37" s="145">
        <v>0.0</v>
      </c>
      <c r="P37" s="145">
        <v>1.0</v>
      </c>
      <c r="Q37" s="145">
        <v>1.0</v>
      </c>
      <c r="R37" s="100"/>
      <c r="S37" s="100"/>
      <c r="T37" s="100"/>
      <c r="U37" s="156"/>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tr">
        <f>'テンプレート'!I56</f>
        <v>着地隙</v>
      </c>
      <c r="J40" s="184" t="s">
        <v>136</v>
      </c>
      <c r="K40" s="184" t="str">
        <f>'テンプレート'!K56</f>
        <v>ベクトル</v>
      </c>
      <c r="L40" s="184" t="str">
        <f>'テンプレート'!L56</f>
        <v>KBG (R.E.)</v>
      </c>
      <c r="M40" s="184" t="str">
        <f>'テンプレート'!M56</f>
        <v>BKB (R.A.)</v>
      </c>
      <c r="N40" s="184" t="str">
        <f>'テンプレート'!N56</f>
        <v>FKB (R.F.)</v>
      </c>
      <c r="O40" s="186" t="str">
        <f>'テンプレート'!O56</f>
        <v>盾削り値</v>
      </c>
      <c r="P40" s="184" t="str">
        <f>'テンプレート'!P56</f>
        <v>ﾋｯﾄｽﾄｯﾌﾟ</v>
      </c>
      <c r="Q40" s="186" t="str">
        <f>'テンプレート'!Q56</f>
        <v>ずらし</v>
      </c>
      <c r="R40" s="187" t="str">
        <f>'テンプレート'!R56</f>
        <v>備考</v>
      </c>
      <c r="S40" s="110"/>
      <c r="T40" s="110"/>
      <c r="U40" s="110"/>
      <c r="V40" s="110"/>
    </row>
    <row r="41" outlineLevel="1">
      <c r="A41" s="188" t="s">
        <v>144</v>
      </c>
      <c r="B41" s="373" t="s">
        <v>125</v>
      </c>
      <c r="C41" s="239" t="s">
        <v>319</v>
      </c>
      <c r="D41" s="195" t="s">
        <v>628</v>
      </c>
      <c r="E41" s="401" t="s">
        <v>93</v>
      </c>
      <c r="F41" s="193">
        <v>8.4</v>
      </c>
      <c r="G41" s="193">
        <v>7.140000000000001</v>
      </c>
      <c r="H41" s="138" t="s">
        <v>60</v>
      </c>
      <c r="I41" s="454" t="str">
        <f t="array" ref="I41">INDEX('空中攻撃'!$O$3:$AA$109, MATCH($A$1,'空中攻撃'!$A$3:$A$109,0), MATCH(A41,'空中攻撃'!$O$2:$S$2,0))</f>
        <v>10</v>
      </c>
      <c r="J41" s="195" t="s">
        <v>1949</v>
      </c>
      <c r="K41" s="376"/>
      <c r="L41" s="377"/>
      <c r="M41" s="825"/>
      <c r="N41" s="825"/>
      <c r="O41" s="199">
        <v>0.0</v>
      </c>
      <c r="P41" s="199">
        <v>1.0</v>
      </c>
      <c r="Q41" s="199">
        <v>1.0</v>
      </c>
      <c r="R41" s="1124"/>
      <c r="S41" s="164"/>
      <c r="T41" s="164"/>
      <c r="U41" s="164"/>
      <c r="V41" s="104"/>
    </row>
    <row r="42" outlineLevel="1">
      <c r="A42" s="146"/>
      <c r="B42" s="373" t="s">
        <v>430</v>
      </c>
      <c r="C42" s="239" t="s">
        <v>272</v>
      </c>
      <c r="D42" s="210"/>
      <c r="E42" s="401" t="s">
        <v>1950</v>
      </c>
      <c r="F42" s="193">
        <v>6.3</v>
      </c>
      <c r="G42" s="193">
        <v>5.355</v>
      </c>
      <c r="H42" s="138" t="s">
        <v>170</v>
      </c>
      <c r="I42" s="146"/>
      <c r="J42" s="210"/>
      <c r="K42" s="376"/>
      <c r="L42" s="377"/>
      <c r="M42" s="825"/>
      <c r="N42" s="825"/>
      <c r="O42" s="199">
        <v>0.0</v>
      </c>
      <c r="P42" s="199">
        <v>1.0</v>
      </c>
      <c r="Q42" s="199">
        <v>1.0</v>
      </c>
      <c r="R42" s="212"/>
      <c r="V42" s="210"/>
    </row>
    <row r="43" outlineLevel="1">
      <c r="A43" s="146"/>
      <c r="B43" s="373" t="s">
        <v>131</v>
      </c>
      <c r="C43" s="239" t="s">
        <v>203</v>
      </c>
      <c r="D43" s="210"/>
      <c r="E43" s="401" t="s">
        <v>129</v>
      </c>
      <c r="F43" s="193">
        <v>14.399999999999999</v>
      </c>
      <c r="G43" s="193">
        <v>12.24</v>
      </c>
      <c r="H43" s="138" t="s">
        <v>75</v>
      </c>
      <c r="I43" s="146"/>
      <c r="J43" s="210"/>
      <c r="K43" s="376"/>
      <c r="L43" s="377"/>
      <c r="M43" s="825"/>
      <c r="N43" s="825"/>
      <c r="O43" s="199">
        <v>0.0</v>
      </c>
      <c r="P43" s="199">
        <v>1.0</v>
      </c>
      <c r="Q43" s="199">
        <v>1.0</v>
      </c>
      <c r="R43" s="212"/>
      <c r="V43" s="210"/>
    </row>
    <row r="44" outlineLevel="1">
      <c r="A44" s="156"/>
      <c r="B44" s="373" t="s">
        <v>432</v>
      </c>
      <c r="C44" s="239" t="s">
        <v>1951</v>
      </c>
      <c r="D44" s="107"/>
      <c r="E44" s="239" t="s">
        <v>274</v>
      </c>
      <c r="F44" s="193">
        <v>10.799999999999999</v>
      </c>
      <c r="G44" s="193">
        <v>9.18</v>
      </c>
      <c r="H44" s="138" t="s">
        <v>147</v>
      </c>
      <c r="I44" s="156"/>
      <c r="J44" s="107"/>
      <c r="K44" s="376"/>
      <c r="L44" s="377"/>
      <c r="M44" s="825"/>
      <c r="N44" s="825"/>
      <c r="O44" s="199">
        <v>0.0</v>
      </c>
      <c r="P44" s="199">
        <v>1.0</v>
      </c>
      <c r="Q44" s="199">
        <v>1.0</v>
      </c>
      <c r="R44" s="106"/>
      <c r="S44" s="168"/>
      <c r="T44" s="168"/>
      <c r="U44" s="168"/>
      <c r="V44" s="107"/>
    </row>
    <row r="45" outlineLevel="1">
      <c r="A45" s="213" t="s">
        <v>151</v>
      </c>
      <c r="B45" s="373"/>
      <c r="C45" s="239" t="s">
        <v>465</v>
      </c>
      <c r="D45" s="380">
        <v>44.0</v>
      </c>
      <c r="E45" s="239" t="s">
        <v>1952</v>
      </c>
      <c r="F45" s="193" t="s">
        <v>1953</v>
      </c>
      <c r="G45" s="193" t="s">
        <v>1954</v>
      </c>
      <c r="H45" s="138" t="s">
        <v>1955</v>
      </c>
      <c r="I45" s="621" t="str">
        <f t="array" ref="I45">INDEX('空中攻撃'!$O$3:$AA$109, MATCH($A$1,'空中攻撃'!$A$3:$A$109,0), MATCH(A45,'空中攻撃'!$O$2:$S$2,0))</f>
        <v>13</v>
      </c>
      <c r="J45" s="450" t="s">
        <v>1956</v>
      </c>
      <c r="K45" s="376"/>
      <c r="L45" s="377"/>
      <c r="M45" s="825"/>
      <c r="N45" s="825"/>
      <c r="O45" s="199">
        <v>0.0</v>
      </c>
      <c r="P45" s="199">
        <v>1.0</v>
      </c>
      <c r="Q45" s="199">
        <v>1.0</v>
      </c>
      <c r="R45" s="1127"/>
      <c r="S45" s="110"/>
      <c r="T45" s="110"/>
      <c r="U45" s="110"/>
      <c r="V45" s="109"/>
    </row>
    <row r="46" outlineLevel="1">
      <c r="A46" s="213" t="s">
        <v>157</v>
      </c>
      <c r="B46" s="373"/>
      <c r="C46" s="239" t="s">
        <v>627</v>
      </c>
      <c r="D46" s="380">
        <v>35.0</v>
      </c>
      <c r="E46" s="239" t="s">
        <v>1957</v>
      </c>
      <c r="F46" s="193" t="s">
        <v>1958</v>
      </c>
      <c r="G46" s="193" t="s">
        <v>1959</v>
      </c>
      <c r="H46" s="138" t="s">
        <v>1960</v>
      </c>
      <c r="I46" s="621">
        <f t="array" ref="I46">INDEX('空中攻撃'!$O$3:$AA$109, MATCH($A$1,'空中攻撃'!$A$3:$A$109,0), MATCH(A46,'空中攻撃'!$O$2:$S$2,0))</f>
        <v>11</v>
      </c>
      <c r="J46" s="467" t="s">
        <v>1961</v>
      </c>
      <c r="K46" s="376"/>
      <c r="L46" s="377"/>
      <c r="M46" s="825"/>
      <c r="N46" s="825"/>
      <c r="O46" s="199">
        <v>0.0</v>
      </c>
      <c r="P46" s="199">
        <v>1.0</v>
      </c>
      <c r="Q46" s="199">
        <v>1.0</v>
      </c>
      <c r="R46" s="1127"/>
      <c r="S46" s="110"/>
      <c r="T46" s="110"/>
      <c r="U46" s="110"/>
      <c r="V46" s="109"/>
    </row>
    <row r="47" outlineLevel="1">
      <c r="A47" s="188" t="s">
        <v>162</v>
      </c>
      <c r="B47" s="373"/>
      <c r="C47" s="239" t="s">
        <v>161</v>
      </c>
      <c r="D47" s="374" t="s">
        <v>72</v>
      </c>
      <c r="E47" s="239" t="s">
        <v>1962</v>
      </c>
      <c r="F47" s="193" t="s">
        <v>1963</v>
      </c>
      <c r="G47" s="193" t="s">
        <v>1964</v>
      </c>
      <c r="H47" s="138" t="s">
        <v>318</v>
      </c>
      <c r="I47" s="454" t="str">
        <f t="array" ref="I47">INDEX('空中攻撃'!$O$3:$AA$109, MATCH($A$1,'空中攻撃'!$A$3:$A$109,0), MATCH(A47,'空中攻撃'!$O$2:$S$2,0))</f>
        <v>11</v>
      </c>
      <c r="J47" s="455" t="s">
        <v>879</v>
      </c>
      <c r="K47" s="377"/>
      <c r="L47" s="377"/>
      <c r="M47" s="825"/>
      <c r="N47" s="825"/>
      <c r="O47" s="199">
        <v>0.0</v>
      </c>
      <c r="P47" s="199">
        <v>1.0</v>
      </c>
      <c r="Q47" s="199">
        <v>1.0</v>
      </c>
      <c r="R47" s="1124"/>
      <c r="S47" s="164"/>
      <c r="T47" s="164"/>
      <c r="U47" s="164"/>
      <c r="V47" s="104"/>
    </row>
    <row r="48" outlineLevel="1">
      <c r="A48" s="146"/>
      <c r="B48" s="373" t="s">
        <v>187</v>
      </c>
      <c r="C48" s="239" t="s">
        <v>382</v>
      </c>
      <c r="D48" s="210"/>
      <c r="E48" s="239" t="s">
        <v>640</v>
      </c>
      <c r="F48" s="193" t="s">
        <v>641</v>
      </c>
      <c r="G48" s="193" t="s">
        <v>1965</v>
      </c>
      <c r="H48" s="138" t="s">
        <v>980</v>
      </c>
      <c r="I48" s="146"/>
      <c r="J48" s="210"/>
      <c r="K48" s="377"/>
      <c r="L48" s="377"/>
      <c r="M48" s="825"/>
      <c r="N48" s="825"/>
      <c r="O48" s="199">
        <v>0.0</v>
      </c>
      <c r="P48" s="199">
        <v>1.0</v>
      </c>
      <c r="Q48" s="199">
        <v>1.0</v>
      </c>
      <c r="R48" s="212"/>
      <c r="V48" s="210"/>
    </row>
    <row r="49" outlineLevel="1">
      <c r="A49" s="156"/>
      <c r="B49" s="373" t="s">
        <v>189</v>
      </c>
      <c r="C49" s="239" t="s">
        <v>325</v>
      </c>
      <c r="D49" s="107"/>
      <c r="E49" s="239" t="s">
        <v>1966</v>
      </c>
      <c r="F49" s="193" t="s">
        <v>1967</v>
      </c>
      <c r="G49" s="193" t="s">
        <v>1968</v>
      </c>
      <c r="H49" s="138" t="s">
        <v>1969</v>
      </c>
      <c r="I49" s="156"/>
      <c r="J49" s="107"/>
      <c r="K49" s="377"/>
      <c r="L49" s="377"/>
      <c r="M49" s="825"/>
      <c r="N49" s="825"/>
      <c r="O49" s="199">
        <v>0.0</v>
      </c>
      <c r="P49" s="199">
        <v>1.0</v>
      </c>
      <c r="Q49" s="199">
        <v>1.0</v>
      </c>
      <c r="R49" s="106"/>
      <c r="S49" s="168"/>
      <c r="T49" s="168"/>
      <c r="U49" s="168"/>
      <c r="V49" s="107"/>
    </row>
    <row r="50" outlineLevel="1">
      <c r="A50" s="213" t="s">
        <v>166</v>
      </c>
      <c r="B50" s="373"/>
      <c r="C50" s="239" t="s">
        <v>1137</v>
      </c>
      <c r="D50" s="216" t="s">
        <v>393</v>
      </c>
      <c r="E50" s="239" t="s">
        <v>1970</v>
      </c>
      <c r="F50" s="193" t="s">
        <v>1971</v>
      </c>
      <c r="G50" s="193" t="s">
        <v>1972</v>
      </c>
      <c r="H50" s="138" t="s">
        <v>108</v>
      </c>
      <c r="I50" s="621">
        <f t="array" ref="I50">INDEX('空中攻撃'!$O$3:$AA$109, MATCH($A$1,'空中攻撃'!$A$3:$A$109,0), MATCH(A50,'空中攻撃'!$O$2:$S$2,0))</f>
        <v>16</v>
      </c>
      <c r="J50" s="467" t="s">
        <v>830</v>
      </c>
      <c r="K50" s="377"/>
      <c r="L50" s="377"/>
      <c r="M50" s="825"/>
      <c r="N50" s="825"/>
      <c r="O50" s="199">
        <v>0.0</v>
      </c>
      <c r="P50" s="199">
        <v>1.0</v>
      </c>
      <c r="Q50" s="199">
        <v>1.0</v>
      </c>
      <c r="R50" s="151" t="s">
        <v>411</v>
      </c>
      <c r="S50" s="110"/>
      <c r="T50" s="110"/>
      <c r="U50" s="110"/>
      <c r="V50" s="109"/>
    </row>
    <row r="51">
      <c r="A51" s="223"/>
      <c r="B51" s="224"/>
      <c r="C51" s="225"/>
      <c r="D51" s="225"/>
      <c r="E51" s="226"/>
      <c r="F51" s="226"/>
      <c r="G51" s="226"/>
      <c r="H51" s="227"/>
      <c r="I51" s="227"/>
      <c r="J51" s="228"/>
      <c r="K51" s="228"/>
      <c r="L51" s="228"/>
      <c r="M51" s="228"/>
      <c r="N51" s="228"/>
      <c r="O51" s="228"/>
      <c r="P51" s="228"/>
      <c r="Q51" s="118"/>
      <c r="R51" s="118"/>
      <c r="S51" s="118"/>
      <c r="T51" s="118"/>
      <c r="U51" s="118"/>
      <c r="V51" s="118"/>
    </row>
    <row r="52">
      <c r="A52" s="229" t="s">
        <v>177</v>
      </c>
      <c r="B52" s="109"/>
      <c r="C52" s="225"/>
      <c r="D52" s="225"/>
      <c r="E52" s="226"/>
      <c r="F52" s="226"/>
      <c r="G52" s="226"/>
      <c r="H52" s="227"/>
      <c r="I52" s="227"/>
      <c r="J52" s="228"/>
      <c r="K52" s="228"/>
      <c r="L52" s="228"/>
      <c r="M52" s="228"/>
      <c r="N52" s="228"/>
      <c r="O52" s="228"/>
      <c r="P52" s="228"/>
      <c r="Q52" s="118"/>
      <c r="R52" s="118"/>
      <c r="S52" s="118"/>
      <c r="T52" s="118"/>
      <c r="U52" s="118"/>
      <c r="V52" s="118"/>
    </row>
    <row r="53" outlineLevel="1">
      <c r="A53" s="230" t="s">
        <v>1973</v>
      </c>
      <c r="B53" s="109"/>
      <c r="C53" s="231" t="s">
        <v>48</v>
      </c>
      <c r="D53" s="231" t="s">
        <v>49</v>
      </c>
      <c r="E53" s="232" t="s">
        <v>50</v>
      </c>
      <c r="F53" s="233" t="s">
        <v>51</v>
      </c>
      <c r="G53" s="232" t="s">
        <v>52</v>
      </c>
      <c r="H53" s="382" t="s">
        <v>53</v>
      </c>
      <c r="I53" s="110"/>
      <c r="J53" s="109"/>
      <c r="K53" s="235" t="s">
        <v>137</v>
      </c>
      <c r="L53" s="235" t="s">
        <v>138</v>
      </c>
      <c r="M53" s="235" t="s">
        <v>139</v>
      </c>
      <c r="N53" s="235" t="s">
        <v>140</v>
      </c>
      <c r="O53" s="236" t="s">
        <v>141</v>
      </c>
      <c r="P53" s="235" t="s">
        <v>142</v>
      </c>
      <c r="Q53" s="236" t="s">
        <v>143</v>
      </c>
      <c r="R53" s="235" t="s">
        <v>179</v>
      </c>
      <c r="S53" s="236" t="s">
        <v>180</v>
      </c>
      <c r="T53" s="236" t="s">
        <v>181</v>
      </c>
      <c r="U53" s="236" t="s">
        <v>182</v>
      </c>
      <c r="V53" s="236" t="s">
        <v>183</v>
      </c>
    </row>
    <row r="54" outlineLevel="1">
      <c r="A54" s="237" t="s">
        <v>332</v>
      </c>
      <c r="B54" s="243"/>
      <c r="C54" s="239" t="s">
        <v>1974</v>
      </c>
      <c r="D54" s="239" t="s">
        <v>1145</v>
      </c>
      <c r="E54" s="239" t="s">
        <v>164</v>
      </c>
      <c r="F54" s="138">
        <v>36.0</v>
      </c>
      <c r="G54" s="139" t="s">
        <v>697</v>
      </c>
      <c r="H54" s="175" t="s">
        <v>1975</v>
      </c>
      <c r="I54" s="164"/>
      <c r="J54" s="104"/>
      <c r="K54" s="282"/>
      <c r="L54" s="282"/>
      <c r="M54" s="363"/>
      <c r="N54" s="363"/>
      <c r="O54" s="138">
        <v>0.0</v>
      </c>
      <c r="P54" s="138">
        <v>1.0</v>
      </c>
      <c r="Q54" s="138">
        <v>1.0</v>
      </c>
      <c r="R54" s="145" t="b">
        <v>1</v>
      </c>
      <c r="S54" s="145" t="b">
        <v>1</v>
      </c>
      <c r="T54" s="145" t="b">
        <v>0</v>
      </c>
      <c r="U54" s="166" t="b">
        <v>0</v>
      </c>
      <c r="V54" s="166" t="b">
        <v>1</v>
      </c>
    </row>
    <row r="55" outlineLevel="1">
      <c r="A55" s="146"/>
      <c r="B55" s="663" t="s">
        <v>1143</v>
      </c>
      <c r="C55" s="239" t="s">
        <v>1976</v>
      </c>
      <c r="D55" s="239" t="s">
        <v>1977</v>
      </c>
      <c r="E55" s="239" t="s">
        <v>79</v>
      </c>
      <c r="F55" s="138">
        <v>44.4</v>
      </c>
      <c r="G55" s="139" t="s">
        <v>1978</v>
      </c>
      <c r="H55" s="212"/>
      <c r="J55" s="210"/>
      <c r="K55" s="282"/>
      <c r="L55" s="282"/>
      <c r="M55" s="363"/>
      <c r="N55" s="363"/>
      <c r="O55" s="138">
        <v>0.0</v>
      </c>
      <c r="P55" s="138">
        <v>1.0</v>
      </c>
      <c r="Q55" s="138">
        <v>1.0</v>
      </c>
      <c r="R55" s="145" t="b">
        <v>1</v>
      </c>
      <c r="S55" s="145" t="b">
        <v>1</v>
      </c>
      <c r="T55" s="145" t="b">
        <v>0</v>
      </c>
      <c r="U55" s="146"/>
      <c r="V55" s="146"/>
    </row>
    <row r="56" outlineLevel="1">
      <c r="A56" s="237" t="s">
        <v>344</v>
      </c>
      <c r="B56" s="663"/>
      <c r="C56" s="239" t="s">
        <v>1974</v>
      </c>
      <c r="D56" s="239" t="s">
        <v>1145</v>
      </c>
      <c r="E56" s="239" t="s">
        <v>282</v>
      </c>
      <c r="F56" s="138">
        <v>45.6</v>
      </c>
      <c r="G56" s="139" t="s">
        <v>1979</v>
      </c>
      <c r="H56" s="212"/>
      <c r="J56" s="210"/>
      <c r="K56" s="282"/>
      <c r="L56" s="282"/>
      <c r="M56" s="363"/>
      <c r="N56" s="363"/>
      <c r="O56" s="138">
        <v>0.0</v>
      </c>
      <c r="P56" s="138">
        <v>1.0</v>
      </c>
      <c r="Q56" s="138">
        <v>1.0</v>
      </c>
      <c r="R56" s="145" t="b">
        <v>1</v>
      </c>
      <c r="S56" s="145" t="b">
        <v>0</v>
      </c>
      <c r="T56" s="145" t="b">
        <v>0</v>
      </c>
      <c r="U56" s="146"/>
      <c r="V56" s="146"/>
    </row>
    <row r="57" outlineLevel="1">
      <c r="A57" s="146"/>
      <c r="B57" s="663" t="s">
        <v>1143</v>
      </c>
      <c r="C57" s="239" t="s">
        <v>1976</v>
      </c>
      <c r="D57" s="239" t="s">
        <v>1977</v>
      </c>
      <c r="E57" s="239" t="s">
        <v>628</v>
      </c>
      <c r="F57" s="138">
        <v>48.0</v>
      </c>
      <c r="G57" s="139" t="s">
        <v>1980</v>
      </c>
      <c r="H57" s="106"/>
      <c r="I57" s="168"/>
      <c r="J57" s="107"/>
      <c r="K57" s="282"/>
      <c r="L57" s="282"/>
      <c r="M57" s="363"/>
      <c r="N57" s="363"/>
      <c r="O57" s="138">
        <v>0.0</v>
      </c>
      <c r="P57" s="138">
        <v>1.0</v>
      </c>
      <c r="Q57" s="138">
        <v>1.0</v>
      </c>
      <c r="R57" s="145" t="b">
        <v>1</v>
      </c>
      <c r="S57" s="145" t="b">
        <v>0</v>
      </c>
      <c r="T57" s="145" t="b">
        <v>0</v>
      </c>
      <c r="U57" s="156"/>
      <c r="V57" s="156"/>
    </row>
    <row r="58" outlineLevel="1">
      <c r="A58" s="230" t="s">
        <v>1981</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332</v>
      </c>
      <c r="B59" s="243"/>
      <c r="C59" s="239" t="s">
        <v>1982</v>
      </c>
      <c r="D59" s="239" t="s">
        <v>462</v>
      </c>
      <c r="E59" s="409"/>
      <c r="F59" s="409"/>
      <c r="G59" s="409"/>
      <c r="H59" s="163" t="s">
        <v>1983</v>
      </c>
      <c r="I59" s="164"/>
      <c r="J59" s="164"/>
      <c r="K59" s="281"/>
      <c r="L59" s="281"/>
      <c r="M59" s="281"/>
      <c r="N59" s="281"/>
      <c r="O59" s="281"/>
      <c r="P59" s="281"/>
      <c r="Q59" s="281"/>
      <c r="R59" s="281"/>
      <c r="S59" s="281"/>
      <c r="T59" s="281"/>
      <c r="U59" s="166" t="s">
        <v>186</v>
      </c>
      <c r="V59" s="166" t="b">
        <v>1</v>
      </c>
    </row>
    <row r="60" outlineLevel="1">
      <c r="A60" s="146"/>
      <c r="B60" s="243" t="s">
        <v>1984</v>
      </c>
      <c r="C60" s="239" t="s">
        <v>964</v>
      </c>
      <c r="D60" s="239" t="s">
        <v>600</v>
      </c>
      <c r="E60" s="239" t="s">
        <v>129</v>
      </c>
      <c r="F60" s="138">
        <v>14.399999999999999</v>
      </c>
      <c r="G60" s="665"/>
      <c r="H60" s="212"/>
      <c r="K60" s="138"/>
      <c r="L60" s="138"/>
      <c r="M60" s="145"/>
      <c r="N60" s="145"/>
      <c r="O60" s="138">
        <v>0.0</v>
      </c>
      <c r="P60" s="138">
        <v>1.0</v>
      </c>
      <c r="Q60" s="138">
        <v>1.0</v>
      </c>
      <c r="R60" s="145" t="b">
        <v>0</v>
      </c>
      <c r="S60" s="145" t="b">
        <v>0</v>
      </c>
      <c r="T60" s="145"/>
      <c r="U60" s="146"/>
      <c r="V60" s="146"/>
    </row>
    <row r="61" outlineLevel="1">
      <c r="A61" s="237" t="s">
        <v>344</v>
      </c>
      <c r="B61" s="243"/>
      <c r="C61" s="239" t="s">
        <v>1985</v>
      </c>
      <c r="D61" s="409"/>
      <c r="E61" s="281"/>
      <c r="F61" s="281"/>
      <c r="G61" s="665"/>
      <c r="H61" s="163" t="s">
        <v>1986</v>
      </c>
      <c r="I61" s="164"/>
      <c r="J61" s="164"/>
      <c r="K61" s="281"/>
      <c r="L61" s="281"/>
      <c r="M61" s="281"/>
      <c r="N61" s="281"/>
      <c r="O61" s="281"/>
      <c r="P61" s="281"/>
      <c r="Q61" s="281"/>
      <c r="R61" s="281"/>
      <c r="S61" s="281"/>
      <c r="T61" s="281"/>
      <c r="U61" s="146"/>
      <c r="V61" s="146"/>
    </row>
    <row r="62" outlineLevel="1">
      <c r="A62" s="146"/>
      <c r="B62" s="243" t="s">
        <v>1984</v>
      </c>
      <c r="C62" s="244" t="s">
        <v>213</v>
      </c>
      <c r="D62" s="239" t="s">
        <v>79</v>
      </c>
      <c r="E62" s="239" t="s">
        <v>386</v>
      </c>
      <c r="F62" s="138">
        <v>18.0</v>
      </c>
      <c r="G62" s="665"/>
      <c r="H62" s="212"/>
      <c r="K62" s="138"/>
      <c r="L62" s="138"/>
      <c r="M62" s="145"/>
      <c r="N62" s="145"/>
      <c r="O62" s="138">
        <v>0.0</v>
      </c>
      <c r="P62" s="138">
        <v>1.0</v>
      </c>
      <c r="Q62" s="138">
        <v>1.0</v>
      </c>
      <c r="R62" s="145" t="b">
        <v>0</v>
      </c>
      <c r="S62" s="145" t="b">
        <v>0</v>
      </c>
      <c r="T62" s="145"/>
      <c r="U62" s="156"/>
      <c r="V62" s="156"/>
    </row>
    <row r="63" outlineLevel="1">
      <c r="A63" s="230" t="s">
        <v>1987</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546" t="s">
        <v>184</v>
      </c>
      <c r="B64" s="402" t="s">
        <v>1152</v>
      </c>
      <c r="C64" s="239" t="s">
        <v>1988</v>
      </c>
      <c r="D64" s="409"/>
      <c r="E64" s="665"/>
      <c r="F64" s="665"/>
      <c r="G64" s="665"/>
      <c r="H64" s="163" t="s">
        <v>1989</v>
      </c>
      <c r="I64" s="164"/>
      <c r="J64" s="104"/>
      <c r="K64" s="281"/>
      <c r="L64" s="281"/>
      <c r="M64" s="281"/>
      <c r="N64" s="281"/>
      <c r="O64" s="281"/>
      <c r="P64" s="281"/>
      <c r="Q64" s="281"/>
      <c r="R64" s="281"/>
      <c r="S64" s="281"/>
      <c r="T64" s="281"/>
      <c r="U64" s="166" t="s">
        <v>186</v>
      </c>
      <c r="V64" s="166" t="b">
        <v>1</v>
      </c>
    </row>
    <row r="65" outlineLevel="1">
      <c r="A65" s="146"/>
      <c r="B65" s="402" t="s">
        <v>243</v>
      </c>
      <c r="C65" s="239" t="s">
        <v>1990</v>
      </c>
      <c r="D65" s="409"/>
      <c r="E65" s="239" t="s">
        <v>93</v>
      </c>
      <c r="F65" s="138">
        <v>8.4</v>
      </c>
      <c r="G65" s="665"/>
      <c r="H65" s="212"/>
      <c r="J65" s="210"/>
      <c r="K65" s="138"/>
      <c r="L65" s="138"/>
      <c r="M65" s="145"/>
      <c r="N65" s="145"/>
      <c r="O65" s="138">
        <v>0.0</v>
      </c>
      <c r="P65" s="138">
        <v>1.0</v>
      </c>
      <c r="Q65" s="138">
        <v>1.0</v>
      </c>
      <c r="R65" s="145" t="b">
        <v>1</v>
      </c>
      <c r="S65" s="145" t="b">
        <v>0</v>
      </c>
      <c r="T65" s="145"/>
      <c r="U65" s="146"/>
      <c r="V65" s="146"/>
    </row>
    <row r="66" outlineLevel="1">
      <c r="A66" s="146"/>
      <c r="B66" s="402" t="s">
        <v>1156</v>
      </c>
      <c r="C66" s="239" t="s">
        <v>963</v>
      </c>
      <c r="D66" s="1325" t="s">
        <v>1577</v>
      </c>
      <c r="E66" s="239" t="s">
        <v>661</v>
      </c>
      <c r="F66" s="138">
        <v>2.28</v>
      </c>
      <c r="G66" s="409"/>
      <c r="H66" s="212"/>
      <c r="J66" s="210"/>
      <c r="K66" s="138"/>
      <c r="L66" s="138"/>
      <c r="M66" s="145"/>
      <c r="N66" s="145"/>
      <c r="O66" s="138">
        <v>0.0</v>
      </c>
      <c r="P66" s="138">
        <v>1.0</v>
      </c>
      <c r="Q66" s="138">
        <v>1.0</v>
      </c>
      <c r="R66" s="145" t="b">
        <v>1</v>
      </c>
      <c r="S66" s="145" t="b">
        <v>0</v>
      </c>
      <c r="T66" s="145"/>
      <c r="U66" s="146"/>
      <c r="V66" s="146"/>
    </row>
    <row r="67" outlineLevel="1">
      <c r="A67" s="156"/>
      <c r="B67" s="402" t="s">
        <v>1157</v>
      </c>
      <c r="C67" s="239" t="s">
        <v>394</v>
      </c>
      <c r="D67" s="146"/>
      <c r="E67" s="239" t="s">
        <v>274</v>
      </c>
      <c r="F67" s="138">
        <v>10.799999999999999</v>
      </c>
      <c r="G67" s="409"/>
      <c r="H67" s="106"/>
      <c r="I67" s="168"/>
      <c r="J67" s="107"/>
      <c r="K67" s="138"/>
      <c r="L67" s="138"/>
      <c r="M67" s="145"/>
      <c r="N67" s="145"/>
      <c r="O67" s="138">
        <v>0.0</v>
      </c>
      <c r="P67" s="138">
        <v>1.0</v>
      </c>
      <c r="Q67" s="138">
        <v>1.0</v>
      </c>
      <c r="R67" s="145" t="b">
        <v>0</v>
      </c>
      <c r="S67" s="145" t="b">
        <v>0</v>
      </c>
      <c r="T67" s="145"/>
      <c r="U67" s="156"/>
      <c r="V67" s="156"/>
    </row>
    <row r="68" outlineLevel="1">
      <c r="A68" s="230" t="s">
        <v>1991</v>
      </c>
      <c r="B68" s="109"/>
      <c r="C68" s="231" t="s">
        <v>48</v>
      </c>
      <c r="D68" s="231" t="s">
        <v>49</v>
      </c>
      <c r="E68" s="232" t="s">
        <v>50</v>
      </c>
      <c r="F68" s="233" t="s">
        <v>51</v>
      </c>
      <c r="G68" s="232" t="s">
        <v>52</v>
      </c>
      <c r="H68" s="382" t="s">
        <v>53</v>
      </c>
      <c r="I68" s="110"/>
      <c r="J68" s="109"/>
      <c r="K68" s="235" t="s">
        <v>137</v>
      </c>
      <c r="L68" s="235" t="s">
        <v>138</v>
      </c>
      <c r="M68" s="235" t="s">
        <v>139</v>
      </c>
      <c r="N68" s="235" t="s">
        <v>140</v>
      </c>
      <c r="O68" s="236" t="s">
        <v>141</v>
      </c>
      <c r="P68" s="235" t="s">
        <v>142</v>
      </c>
      <c r="Q68" s="236" t="s">
        <v>143</v>
      </c>
      <c r="R68" s="235" t="s">
        <v>179</v>
      </c>
      <c r="S68" s="236" t="s">
        <v>180</v>
      </c>
      <c r="T68" s="236" t="s">
        <v>181</v>
      </c>
      <c r="U68" s="236" t="s">
        <v>182</v>
      </c>
      <c r="V68" s="236" t="s">
        <v>183</v>
      </c>
    </row>
    <row r="69" outlineLevel="1">
      <c r="A69" s="1326" t="s">
        <v>332</v>
      </c>
      <c r="B69" s="870"/>
      <c r="C69" s="239" t="s">
        <v>1992</v>
      </c>
      <c r="D69" s="216" t="s">
        <v>1993</v>
      </c>
      <c r="E69" s="239" t="s">
        <v>1994</v>
      </c>
      <c r="F69" s="138" t="s">
        <v>1995</v>
      </c>
      <c r="G69" s="139" t="s">
        <v>1996</v>
      </c>
      <c r="H69" s="163" t="s">
        <v>1997</v>
      </c>
      <c r="I69" s="164"/>
      <c r="J69" s="104"/>
      <c r="K69" s="138"/>
      <c r="L69" s="138"/>
      <c r="M69" s="145"/>
      <c r="N69" s="145"/>
      <c r="O69" s="138">
        <v>4.0</v>
      </c>
      <c r="P69" s="138">
        <v>1.0</v>
      </c>
      <c r="Q69" s="138">
        <v>1.0</v>
      </c>
      <c r="R69" s="145" t="b">
        <v>1</v>
      </c>
      <c r="S69" s="145" t="b">
        <v>1</v>
      </c>
      <c r="T69" s="145"/>
      <c r="U69" s="166" t="b">
        <v>0</v>
      </c>
      <c r="V69" s="166" t="b">
        <v>0</v>
      </c>
    </row>
    <row r="70" outlineLevel="1">
      <c r="A70" s="396" t="s">
        <v>344</v>
      </c>
      <c r="B70" s="870"/>
      <c r="C70" s="239" t="s">
        <v>1137</v>
      </c>
      <c r="D70" s="455" t="s">
        <v>600</v>
      </c>
      <c r="E70" s="239" t="s">
        <v>386</v>
      </c>
      <c r="F70" s="138">
        <v>18.0</v>
      </c>
      <c r="G70" s="139" t="s">
        <v>82</v>
      </c>
      <c r="H70" s="212"/>
      <c r="J70" s="210"/>
      <c r="K70" s="138"/>
      <c r="L70" s="138"/>
      <c r="M70" s="145"/>
      <c r="N70" s="145"/>
      <c r="O70" s="138">
        <v>10.0</v>
      </c>
      <c r="P70" s="138">
        <v>1.0</v>
      </c>
      <c r="Q70" s="138">
        <v>1.0</v>
      </c>
      <c r="R70" s="145" t="b">
        <v>1</v>
      </c>
      <c r="S70" s="145" t="b">
        <v>0</v>
      </c>
      <c r="T70" s="145"/>
      <c r="U70" s="146"/>
      <c r="V70" s="146"/>
    </row>
    <row r="71" outlineLevel="1">
      <c r="A71" s="146"/>
      <c r="B71" s="402" t="s">
        <v>84</v>
      </c>
      <c r="C71" s="239" t="s">
        <v>1998</v>
      </c>
      <c r="D71" s="210"/>
      <c r="E71" s="239" t="s">
        <v>119</v>
      </c>
      <c r="F71" s="138">
        <v>16.8</v>
      </c>
      <c r="G71" s="139" t="s">
        <v>297</v>
      </c>
      <c r="H71" s="212"/>
      <c r="J71" s="210"/>
      <c r="K71" s="138"/>
      <c r="L71" s="282"/>
      <c r="M71" s="363"/>
      <c r="N71" s="363"/>
      <c r="O71" s="138">
        <v>10.0</v>
      </c>
      <c r="P71" s="138">
        <v>1.0</v>
      </c>
      <c r="Q71" s="138">
        <v>1.0</v>
      </c>
      <c r="R71" s="145" t="b">
        <v>1</v>
      </c>
      <c r="S71" s="145" t="b">
        <v>0</v>
      </c>
      <c r="T71" s="145"/>
      <c r="U71" s="146"/>
      <c r="V71" s="146"/>
    </row>
    <row r="72" outlineLevel="1">
      <c r="A72" s="156"/>
      <c r="B72" s="402" t="s">
        <v>664</v>
      </c>
      <c r="C72" s="239" t="s">
        <v>64</v>
      </c>
      <c r="D72" s="239" t="s">
        <v>393</v>
      </c>
      <c r="E72" s="239" t="s">
        <v>80</v>
      </c>
      <c r="F72" s="138">
        <v>9.6</v>
      </c>
      <c r="G72" s="139" t="s">
        <v>123</v>
      </c>
      <c r="H72" s="106"/>
      <c r="I72" s="168"/>
      <c r="J72" s="107"/>
      <c r="K72" s="138"/>
      <c r="L72" s="282"/>
      <c r="M72" s="363"/>
      <c r="N72" s="363"/>
      <c r="O72" s="138">
        <v>0.0</v>
      </c>
      <c r="P72" s="138">
        <v>1.0</v>
      </c>
      <c r="Q72" s="138">
        <v>1.0</v>
      </c>
      <c r="R72" s="145" t="b">
        <v>0</v>
      </c>
      <c r="S72" s="145" t="b">
        <v>0</v>
      </c>
      <c r="T72" s="145"/>
      <c r="U72" s="156"/>
      <c r="V72" s="156"/>
    </row>
    <row r="73">
      <c r="A73" s="223"/>
      <c r="B73" s="224"/>
      <c r="C73" s="225"/>
      <c r="D73" s="225"/>
      <c r="E73" s="226"/>
      <c r="F73" s="226"/>
      <c r="G73" s="226"/>
      <c r="H73" s="227"/>
      <c r="I73" s="227"/>
      <c r="J73" s="228"/>
      <c r="K73" s="228"/>
      <c r="L73" s="228"/>
      <c r="M73" s="228"/>
      <c r="N73" s="228"/>
      <c r="O73" s="228"/>
      <c r="P73" s="228"/>
      <c r="Q73" s="118"/>
      <c r="R73" s="118"/>
      <c r="S73" s="118"/>
      <c r="T73" s="118"/>
      <c r="U73" s="118"/>
      <c r="V73" s="118"/>
    </row>
    <row r="74">
      <c r="A74" s="264" t="s">
        <v>211</v>
      </c>
      <c r="B74" s="104"/>
      <c r="C74" s="227"/>
      <c r="D74" s="227"/>
      <c r="E74" s="228"/>
      <c r="F74" s="265"/>
      <c r="G74" s="265"/>
      <c r="H74" s="228"/>
      <c r="I74" s="228"/>
      <c r="J74" s="228"/>
      <c r="K74" s="228"/>
      <c r="L74" s="228"/>
      <c r="M74" s="228"/>
      <c r="N74" s="118"/>
      <c r="O74" s="118"/>
      <c r="P74" s="118"/>
      <c r="Q74" s="228"/>
      <c r="R74" s="228"/>
      <c r="S74" s="228"/>
      <c r="T74" s="228"/>
      <c r="U74" s="228"/>
      <c r="V74" s="228"/>
    </row>
    <row r="75" outlineLevel="1">
      <c r="A75" s="106"/>
      <c r="B75" s="107"/>
      <c r="C75" s="266" t="s">
        <v>48</v>
      </c>
      <c r="D75" s="266" t="s">
        <v>49</v>
      </c>
      <c r="E75" s="266" t="s">
        <v>50</v>
      </c>
      <c r="F75" s="267" t="s">
        <v>51</v>
      </c>
      <c r="G75" s="227"/>
      <c r="H75" s="227"/>
      <c r="I75" s="227"/>
      <c r="J75" s="228"/>
      <c r="K75" s="228"/>
      <c r="L75" s="228"/>
      <c r="M75" s="228"/>
      <c r="N75" s="228"/>
      <c r="O75" s="228"/>
      <c r="P75" s="228"/>
      <c r="Q75" s="228"/>
      <c r="R75" s="228"/>
      <c r="S75" s="228"/>
      <c r="T75" s="228"/>
      <c r="U75" s="228"/>
      <c r="V75" s="228"/>
    </row>
    <row r="76" outlineLevel="1">
      <c r="A76" s="268" t="s">
        <v>212</v>
      </c>
      <c r="B76" s="269" t="s">
        <v>212</v>
      </c>
      <c r="C76" s="239" t="s">
        <v>176</v>
      </c>
      <c r="D76" s="239" t="s">
        <v>93</v>
      </c>
      <c r="E76" s="239" t="s">
        <v>381</v>
      </c>
      <c r="F76" s="138">
        <v>1.92</v>
      </c>
      <c r="G76" s="227"/>
      <c r="H76" s="227"/>
      <c r="I76" s="227"/>
      <c r="J76" s="228"/>
      <c r="K76" s="228"/>
      <c r="L76" s="228"/>
      <c r="M76" s="228"/>
      <c r="N76" s="228"/>
      <c r="O76" s="228"/>
      <c r="P76" s="228"/>
      <c r="Q76" s="228"/>
      <c r="R76" s="228"/>
      <c r="S76" s="228"/>
      <c r="T76" s="228"/>
      <c r="U76" s="228"/>
      <c r="V76" s="228"/>
    </row>
    <row r="77" outlineLevel="1">
      <c r="A77" s="270" t="s">
        <v>215</v>
      </c>
      <c r="B77" s="269" t="s">
        <v>216</v>
      </c>
      <c r="C77" s="239" t="s">
        <v>161</v>
      </c>
      <c r="D77" s="239" t="s">
        <v>282</v>
      </c>
      <c r="E77" s="271"/>
      <c r="F77" s="272"/>
      <c r="G77" s="272"/>
      <c r="H77" s="227"/>
      <c r="I77" s="227"/>
      <c r="J77" s="228"/>
      <c r="K77" s="228"/>
      <c r="L77" s="228"/>
      <c r="M77" s="228"/>
      <c r="N77" s="228"/>
      <c r="O77" s="228"/>
      <c r="P77" s="228"/>
      <c r="Q77" s="228"/>
      <c r="R77" s="228"/>
      <c r="S77" s="228"/>
      <c r="T77" s="228"/>
      <c r="U77" s="228"/>
      <c r="V77" s="228"/>
    </row>
    <row r="78" outlineLevel="1">
      <c r="A78" s="212"/>
      <c r="B78" s="269" t="s">
        <v>219</v>
      </c>
      <c r="C78" s="239" t="s">
        <v>382</v>
      </c>
      <c r="D78" s="239" t="s">
        <v>374</v>
      </c>
      <c r="E78" s="271"/>
      <c r="F78" s="272"/>
      <c r="G78" s="272"/>
      <c r="H78" s="227"/>
      <c r="I78" s="227"/>
      <c r="J78" s="228"/>
      <c r="K78" s="228"/>
      <c r="L78" s="228"/>
      <c r="M78" s="228"/>
      <c r="N78" s="228"/>
      <c r="O78" s="228"/>
      <c r="P78" s="228"/>
      <c r="Q78" s="228"/>
      <c r="R78" s="228"/>
      <c r="S78" s="228"/>
      <c r="T78" s="228"/>
      <c r="U78" s="228"/>
      <c r="V78" s="228"/>
    </row>
    <row r="79" outlineLevel="1">
      <c r="A79" s="106"/>
      <c r="B79" s="269" t="s">
        <v>222</v>
      </c>
      <c r="C79" s="239" t="s">
        <v>383</v>
      </c>
      <c r="D79" s="239">
        <v>41.0</v>
      </c>
      <c r="E79" s="227"/>
      <c r="F79" s="272"/>
      <c r="G79" s="272"/>
      <c r="H79" s="227"/>
      <c r="I79" s="227"/>
      <c r="J79" s="228"/>
      <c r="K79" s="228"/>
      <c r="L79" s="228"/>
      <c r="M79" s="228"/>
      <c r="N79" s="228"/>
      <c r="O79" s="228"/>
      <c r="P79" s="228"/>
      <c r="Q79" s="228"/>
      <c r="R79" s="228"/>
      <c r="S79" s="228"/>
      <c r="T79" s="228"/>
      <c r="U79" s="228"/>
      <c r="V79" s="228"/>
    </row>
    <row r="80" outlineLevel="1">
      <c r="A80" s="273" t="s">
        <v>225</v>
      </c>
      <c r="B80" s="109"/>
      <c r="C80" s="266" t="s">
        <v>48</v>
      </c>
      <c r="D80" s="266" t="s">
        <v>49</v>
      </c>
      <c r="E80" s="266" t="s">
        <v>50</v>
      </c>
      <c r="F80" s="267" t="s">
        <v>51</v>
      </c>
      <c r="G80" s="1168" t="s">
        <v>53</v>
      </c>
      <c r="H80" s="110"/>
      <c r="I80" s="110"/>
      <c r="J80" s="109"/>
      <c r="K80" s="275" t="str">
        <f>'テンプレート'!K97</f>
        <v>ベクトル</v>
      </c>
      <c r="L80" s="275" t="str">
        <f>'テンプレート'!L97</f>
        <v>KBG (R.E.)</v>
      </c>
      <c r="M80" s="275" t="str">
        <f>'テンプレート'!M97</f>
        <v>BKB (R.A.)</v>
      </c>
      <c r="N80" s="275" t="str">
        <f>'テンプレート'!N97</f>
        <v>FKB (R.F.)</v>
      </c>
      <c r="O80" s="276" t="str">
        <f>'テンプレート'!O97</f>
        <v>盾削り値</v>
      </c>
      <c r="P80" s="275" t="str">
        <f>'テンプレート'!P97</f>
        <v>ﾋｯﾄｽﾄｯﾌﾟ</v>
      </c>
      <c r="Q80" s="276" t="str">
        <f>'テンプレート'!Q97</f>
        <v>ずらし</v>
      </c>
      <c r="R80" s="277"/>
      <c r="S80" s="277"/>
      <c r="T80" s="277"/>
      <c r="U80" s="277"/>
      <c r="V80" s="277"/>
    </row>
    <row r="81" outlineLevel="1">
      <c r="A81" s="278" t="s">
        <v>226</v>
      </c>
      <c r="B81" s="269" t="s">
        <v>227</v>
      </c>
      <c r="C81" s="113" t="s">
        <v>299</v>
      </c>
      <c r="D81" s="279">
        <v>39.0</v>
      </c>
      <c r="E81" s="239" t="s">
        <v>150</v>
      </c>
      <c r="F81" s="138">
        <v>6.0</v>
      </c>
      <c r="G81" s="1170"/>
      <c r="H81" s="164"/>
      <c r="I81" s="164"/>
      <c r="J81" s="104"/>
      <c r="K81" s="282"/>
      <c r="L81" s="282"/>
      <c r="M81" s="363"/>
      <c r="N81" s="363"/>
      <c r="O81" s="145">
        <v>0.0</v>
      </c>
      <c r="P81" s="145">
        <v>1.5</v>
      </c>
      <c r="Q81" s="145">
        <v>0.0</v>
      </c>
      <c r="R81" s="277"/>
      <c r="S81" s="228"/>
      <c r="T81" s="228"/>
      <c r="U81" s="228"/>
      <c r="V81" s="228"/>
    </row>
    <row r="82" outlineLevel="1">
      <c r="A82" s="156"/>
      <c r="B82" s="269" t="s">
        <v>225</v>
      </c>
      <c r="C82" s="113">
        <v>13.0</v>
      </c>
      <c r="D82" s="156"/>
      <c r="E82" s="239" t="s">
        <v>80</v>
      </c>
      <c r="F82" s="138">
        <v>9.6</v>
      </c>
      <c r="G82" s="106"/>
      <c r="H82" s="168"/>
      <c r="I82" s="168"/>
      <c r="J82" s="107"/>
      <c r="K82" s="282"/>
      <c r="L82" s="282"/>
      <c r="M82" s="363"/>
      <c r="N82" s="363"/>
      <c r="O82" s="261"/>
      <c r="P82" s="261"/>
      <c r="Q82" s="261"/>
      <c r="R82" s="277"/>
      <c r="S82" s="228"/>
      <c r="T82" s="228"/>
      <c r="U82" s="228"/>
      <c r="V82" s="228"/>
    </row>
    <row r="83" outlineLevel="1">
      <c r="A83" s="278" t="s">
        <v>229</v>
      </c>
      <c r="B83" s="269" t="s">
        <v>227</v>
      </c>
      <c r="C83" s="113" t="s">
        <v>373</v>
      </c>
      <c r="D83" s="279">
        <v>49.0</v>
      </c>
      <c r="E83" s="239" t="s">
        <v>150</v>
      </c>
      <c r="F83" s="138">
        <v>6.0</v>
      </c>
      <c r="G83" s="1170"/>
      <c r="H83" s="164"/>
      <c r="I83" s="164"/>
      <c r="J83" s="104"/>
      <c r="K83" s="282"/>
      <c r="L83" s="282"/>
      <c r="M83" s="363"/>
      <c r="N83" s="363"/>
      <c r="O83" s="145">
        <v>0.0</v>
      </c>
      <c r="P83" s="145">
        <v>1.5</v>
      </c>
      <c r="Q83" s="145">
        <v>0.0</v>
      </c>
      <c r="R83" s="277"/>
      <c r="S83" s="228"/>
      <c r="T83" s="228"/>
      <c r="U83" s="228"/>
      <c r="V83" s="228"/>
    </row>
    <row r="84" outlineLevel="1">
      <c r="A84" s="156"/>
      <c r="B84" s="269" t="s">
        <v>225</v>
      </c>
      <c r="C84" s="113">
        <v>14.0</v>
      </c>
      <c r="D84" s="156"/>
      <c r="E84" s="239" t="s">
        <v>150</v>
      </c>
      <c r="F84" s="138">
        <v>6.0</v>
      </c>
      <c r="G84" s="106"/>
      <c r="H84" s="168"/>
      <c r="I84" s="168"/>
      <c r="J84" s="107"/>
      <c r="K84" s="282"/>
      <c r="L84" s="282"/>
      <c r="M84" s="363"/>
      <c r="N84" s="363"/>
      <c r="O84" s="261"/>
      <c r="P84" s="261"/>
      <c r="Q84" s="261"/>
      <c r="R84" s="277"/>
      <c r="S84" s="228"/>
      <c r="T84" s="228"/>
      <c r="U84" s="228"/>
      <c r="V84" s="228"/>
    </row>
    <row r="85" outlineLevel="1">
      <c r="A85" s="278" t="s">
        <v>233</v>
      </c>
      <c r="B85" s="269" t="s">
        <v>227</v>
      </c>
      <c r="C85" s="113" t="s">
        <v>299</v>
      </c>
      <c r="D85" s="279">
        <v>43.0</v>
      </c>
      <c r="E85" s="239" t="s">
        <v>128</v>
      </c>
      <c r="F85" s="138">
        <v>12.0</v>
      </c>
      <c r="G85" s="1170"/>
      <c r="H85" s="164"/>
      <c r="I85" s="164"/>
      <c r="J85" s="104"/>
      <c r="K85" s="282"/>
      <c r="L85" s="282"/>
      <c r="M85" s="363"/>
      <c r="N85" s="363"/>
      <c r="O85" s="145">
        <v>0.0</v>
      </c>
      <c r="P85" s="145">
        <v>1.6</v>
      </c>
      <c r="Q85" s="145">
        <v>0.0</v>
      </c>
      <c r="R85" s="277"/>
      <c r="S85" s="228"/>
      <c r="T85" s="228"/>
      <c r="U85" s="228"/>
      <c r="V85" s="228"/>
    </row>
    <row r="86" outlineLevel="1">
      <c r="A86" s="156"/>
      <c r="B86" s="269" t="s">
        <v>225</v>
      </c>
      <c r="C86" s="113">
        <v>13.0</v>
      </c>
      <c r="D86" s="156"/>
      <c r="E86" s="239" t="s">
        <v>204</v>
      </c>
      <c r="F86" s="138">
        <v>3.5999999999999996</v>
      </c>
      <c r="G86" s="106"/>
      <c r="H86" s="168"/>
      <c r="I86" s="168"/>
      <c r="J86" s="107"/>
      <c r="K86" s="282"/>
      <c r="L86" s="282"/>
      <c r="M86" s="363"/>
      <c r="N86" s="363"/>
      <c r="O86" s="261"/>
      <c r="P86" s="261"/>
      <c r="Q86" s="261"/>
      <c r="R86" s="277"/>
      <c r="S86" s="117"/>
      <c r="T86" s="117"/>
      <c r="U86" s="117"/>
      <c r="V86" s="117"/>
    </row>
    <row r="87" outlineLevel="1">
      <c r="A87" s="278" t="s">
        <v>234</v>
      </c>
      <c r="B87" s="269" t="s">
        <v>227</v>
      </c>
      <c r="C87" s="281"/>
      <c r="D87" s="279">
        <v>39.0</v>
      </c>
      <c r="E87" s="281"/>
      <c r="F87" s="281"/>
      <c r="G87" s="1170"/>
      <c r="H87" s="164"/>
      <c r="I87" s="164"/>
      <c r="J87" s="104"/>
      <c r="K87" s="281"/>
      <c r="L87" s="281"/>
      <c r="M87" s="281"/>
      <c r="N87" s="281"/>
      <c r="O87" s="281"/>
      <c r="P87" s="281"/>
      <c r="Q87" s="281"/>
      <c r="R87" s="277"/>
      <c r="S87" s="117"/>
      <c r="T87" s="117"/>
      <c r="U87" s="117"/>
      <c r="V87" s="117"/>
    </row>
    <row r="88" outlineLevel="1">
      <c r="A88" s="156"/>
      <c r="B88" s="269" t="s">
        <v>225</v>
      </c>
      <c r="C88" s="113">
        <v>23.0</v>
      </c>
      <c r="D88" s="156"/>
      <c r="E88" s="239" t="s">
        <v>93</v>
      </c>
      <c r="F88" s="138">
        <v>8.4</v>
      </c>
      <c r="G88" s="106"/>
      <c r="H88" s="168"/>
      <c r="I88" s="168"/>
      <c r="J88" s="107"/>
      <c r="K88" s="282"/>
      <c r="L88" s="282"/>
      <c r="M88" s="363"/>
      <c r="N88" s="363"/>
      <c r="O88" s="281"/>
      <c r="P88" s="281"/>
      <c r="Q88" s="281"/>
      <c r="R88" s="277"/>
      <c r="S88" s="117"/>
      <c r="T88" s="117"/>
      <c r="U88" s="117"/>
      <c r="V88" s="117"/>
    </row>
    <row r="89">
      <c r="A89" s="223"/>
      <c r="B89" s="224"/>
      <c r="C89" s="225"/>
      <c r="D89" s="225"/>
      <c r="E89" s="227"/>
      <c r="F89" s="177"/>
      <c r="G89" s="177"/>
      <c r="H89" s="227"/>
      <c r="I89" s="227"/>
      <c r="J89" s="228"/>
      <c r="K89" s="228"/>
      <c r="L89" s="111"/>
      <c r="M89" s="111"/>
      <c r="N89" s="111"/>
      <c r="O89" s="117"/>
      <c r="P89" s="117"/>
      <c r="Q89" s="111"/>
      <c r="R89" s="111"/>
      <c r="S89" s="111"/>
      <c r="T89" s="111"/>
      <c r="U89" s="111"/>
      <c r="V89" s="111"/>
    </row>
    <row r="90">
      <c r="A90" s="284" t="s">
        <v>241</v>
      </c>
      <c r="B90" s="104"/>
      <c r="C90" s="265"/>
      <c r="D90" s="111"/>
      <c r="E90" s="111"/>
      <c r="F90" s="111"/>
      <c r="G90" s="111"/>
      <c r="H90" s="111"/>
      <c r="I90" s="111"/>
      <c r="J90" s="118"/>
      <c r="K90" s="111"/>
      <c r="L90" s="111"/>
      <c r="M90" s="111"/>
      <c r="N90" s="111"/>
      <c r="O90" s="111"/>
      <c r="P90" s="111"/>
      <c r="Q90" s="118"/>
      <c r="R90" s="111"/>
      <c r="S90" s="111"/>
      <c r="T90" s="111"/>
      <c r="U90" s="111"/>
      <c r="V90" s="111"/>
    </row>
    <row r="91" outlineLevel="1">
      <c r="A91" s="106"/>
      <c r="B91" s="107"/>
      <c r="C91" s="285" t="s">
        <v>235</v>
      </c>
      <c r="D91" s="285" t="s">
        <v>236</v>
      </c>
      <c r="E91" s="285" t="s">
        <v>49</v>
      </c>
      <c r="F91" s="285" t="s">
        <v>237</v>
      </c>
      <c r="G91" s="286"/>
      <c r="H91" s="227"/>
      <c r="I91" s="227"/>
      <c r="J91" s="228"/>
      <c r="K91" s="228"/>
      <c r="L91" s="111"/>
      <c r="M91" s="111"/>
      <c r="N91" s="111"/>
      <c r="O91" s="111"/>
      <c r="P91" s="111"/>
      <c r="Q91" s="111"/>
      <c r="R91" s="111"/>
      <c r="S91" s="111"/>
      <c r="T91" s="111"/>
      <c r="U91" s="111"/>
      <c r="V91" s="111"/>
    </row>
    <row r="92" outlineLevel="1">
      <c r="A92" s="287" t="s">
        <v>395</v>
      </c>
      <c r="B92" s="288" t="s">
        <v>216</v>
      </c>
      <c r="C92" s="113" t="str">
        <f t="array" ref="C92">INDEX('回避'!$C$3:$U$84, MATCH($A$1,'回避'!$A$3:$A$91,0), MATCH(C91,'回避'!$C$2:$F$2,0))</f>
        <v>3-18</v>
      </c>
      <c r="D92" s="113" t="str">
        <f t="array" ref="D92">INDEX('回避'!$C$3:$U$84, MATCH($A$1,'回避'!$A$3:$A$91,0), MATCH(D91,'回避'!$C$2:$F$2,0))</f>
        <v>6-18</v>
      </c>
      <c r="E92" s="113" t="str">
        <f t="array" ref="E92">INDEX('回避'!$C$3:$U$84, MATCH($A$1,'回避'!$A$3:$A$91,0), MATCH(E91,'回避'!$C$2:$F$2,0))</f>
        <v>28 (23)</v>
      </c>
      <c r="F92" s="113" t="str">
        <f t="array" ref="F92">INDEX('回避'!$C$3:$U$84, MATCH($A$1,'回避'!$A$3:$A$91,0), MATCH(F91,'回避'!$C$2:$F$2,0))</f>
        <v>37 (31)</v>
      </c>
      <c r="G92" s="272"/>
      <c r="H92" s="227"/>
      <c r="I92" s="227"/>
      <c r="J92" s="228"/>
      <c r="K92" s="228"/>
      <c r="L92" s="228"/>
      <c r="M92" s="111"/>
      <c r="N92" s="111"/>
      <c r="O92" s="111"/>
      <c r="P92" s="111"/>
      <c r="Q92" s="111"/>
      <c r="R92" s="111"/>
      <c r="S92" s="111"/>
      <c r="T92" s="111"/>
      <c r="U92" s="111"/>
      <c r="V92" s="111"/>
    </row>
    <row r="93" outlineLevel="1">
      <c r="A93" s="212"/>
      <c r="B93" s="288" t="s">
        <v>245</v>
      </c>
      <c r="C93" s="113" t="str">
        <f t="array" ref="C93">INDEX('回避'!$G$3:$U$84, MATCH($A$1,'回避'!$A$3:$A$91,0), MATCH(C91,'回避'!$G$2:$J$2,0))</f>
        <v>4-16</v>
      </c>
      <c r="D93" s="113" t="str">
        <f t="array" ref="D93">INDEX('回避'!$G$3:$U$84, MATCH($A$1,'回避'!$A$3:$A$91,0), MATCH(D91,'回避'!$G$2:$J$2,0))</f>
        <v>8-15</v>
      </c>
      <c r="E93" s="113" t="str">
        <f t="array" ref="E93">INDEX('回避'!$G$3:$U$84, MATCH($A$1,'回避'!$A$3:$A$91,0), MATCH(E91,'回避'!$G$2:$J$2,0))</f>
        <v>32</v>
      </c>
      <c r="F93" s="113">
        <f t="array" ref="F93">INDEX('回避'!$G$3:$U$84, MATCH($A$1,'回避'!$A$3:$A$91,0), MATCH(F91,'回避'!$G$2:$J$2,0))</f>
        <v>42</v>
      </c>
      <c r="G93" s="289"/>
      <c r="H93" s="227"/>
      <c r="I93" s="227"/>
      <c r="J93" s="228"/>
      <c r="K93" s="228"/>
      <c r="L93" s="228"/>
      <c r="M93" s="228"/>
      <c r="N93" s="228"/>
      <c r="O93" s="111"/>
      <c r="P93" s="111"/>
      <c r="Q93" s="111"/>
      <c r="R93" s="111"/>
      <c r="S93" s="111"/>
      <c r="T93" s="111"/>
      <c r="U93" s="111"/>
      <c r="V93" s="111"/>
    </row>
    <row r="94" outlineLevel="1">
      <c r="A94" s="106"/>
      <c r="B94" s="288" t="s">
        <v>246</v>
      </c>
      <c r="C94" s="113" t="str">
        <f t="array" ref="C94">INDEX('回避'!$K$3:$U$84, MATCH($A$1,'回避'!$A$3:$A$91,0), MATCH(C91,'回避'!$K$2:$N$2,0))</f>
        <v>5-17</v>
      </c>
      <c r="D94" s="113" t="str">
        <f t="array" ref="D94">INDEX('回避'!$K$3:$U$84, MATCH($A$1,'回避'!$A$3:$A$91,0), MATCH(D91,'回避'!$K$2:$N$2,0))</f>
        <v>9-15</v>
      </c>
      <c r="E94" s="113" t="str">
        <f t="array" ref="E94">INDEX('回避'!$K$3:$U$84, MATCH($A$1,'回避'!$A$3:$A$91,0), MATCH(E91,'回避'!$K$2:$N$2,0))</f>
        <v>37</v>
      </c>
      <c r="F94" s="113" t="str">
        <f t="array" ref="F94">INDEX('回避'!$K$3:$U$84, MATCH($A$1,'回避'!$A$3:$A$91,0), MATCH(F91,'回避'!$K$2:$N$2,0))</f>
        <v>56</v>
      </c>
      <c r="G94" s="289"/>
      <c r="H94" s="290"/>
      <c r="I94" s="290"/>
      <c r="J94" s="117"/>
      <c r="K94" s="117"/>
      <c r="L94" s="117"/>
      <c r="M94" s="117"/>
      <c r="N94" s="117"/>
      <c r="O94" s="111"/>
      <c r="P94" s="111"/>
      <c r="Q94" s="111"/>
      <c r="R94" s="111"/>
      <c r="S94" s="111"/>
      <c r="T94" s="111"/>
      <c r="U94" s="111"/>
      <c r="V94" s="111"/>
    </row>
    <row r="95" outlineLevel="1">
      <c r="A95" s="287" t="s">
        <v>396</v>
      </c>
      <c r="B95" s="288" t="s">
        <v>397</v>
      </c>
      <c r="C95" s="113" t="str">
        <f t="array" ref="C95">INDEX('回避'!$O$3:$U$84, MATCH($A$1,'回避'!$A$3:$A$91,0), MATCH(C91,'回避'!$O$2:$R$2,0))</f>
        <v>4-32</v>
      </c>
      <c r="D95" s="113" t="str">
        <f t="array" ref="D95">INDEX('回避'!$O$3:$U$84, MATCH($A$1,'回避'!$A$3:$A$91,0), MATCH(D91,'回避'!$O$2:$R$2,0))</f>
        <v>7-29</v>
      </c>
      <c r="E95" s="113" t="str">
        <f t="array" ref="E95">INDEX('回避'!$O$3:$U$84, MATCH($A$1,'回避'!$A$3:$A$91,0), MATCH(E91,'回避'!$O$2:$R$2,0))</f>
        <v>46</v>
      </c>
      <c r="F95" s="113" t="str">
        <f t="array" ref="F95">INDEX('回避'!$O$3:$U$84, MATCH($A$1,'回避'!$A$3:$A$91,0), MATCH(F91,'回避'!$O$2:$R$2,0))</f>
        <v/>
      </c>
      <c r="G95" s="177"/>
      <c r="H95" s="118"/>
      <c r="I95" s="118"/>
      <c r="J95" s="111"/>
      <c r="K95" s="111"/>
      <c r="L95" s="111"/>
      <c r="M95" s="111"/>
      <c r="N95" s="111"/>
      <c r="O95" s="228"/>
      <c r="P95" s="228"/>
      <c r="Q95" s="228"/>
      <c r="R95" s="228"/>
      <c r="S95" s="228"/>
      <c r="T95" s="228"/>
      <c r="U95" s="228"/>
      <c r="V95" s="228"/>
    </row>
    <row r="96" outlineLevel="1">
      <c r="A96" s="106"/>
      <c r="B96" s="288" t="s">
        <v>398</v>
      </c>
      <c r="C96" s="113" t="str">
        <f t="array" ref="C96">INDEX('回避'!$S$3:$U$84, MATCH($A$1,'回避'!$A$3:$A$91,0), MATCH(C91,'回避'!$S$2:$U$2,0))</f>
        <v>4-22</v>
      </c>
      <c r="D96" s="113" t="str">
        <f t="array" ref="D96">INDEX('回避'!$S$3:$U$84, MATCH($A$1,'回避'!$A$3:$A$91,0), MATCH(D91,'回避'!$S$2:$U$2,0))</f>
        <v>7-21</v>
      </c>
      <c r="E96" s="113" t="str">
        <f t="array" ref="E96">INDEX('回避'!$S$3:$U$84, MATCH($A$1,'回避'!$A$3:$A$91,0), MATCH(E91,'回避'!$S$2:$U$2,0))</f>
        <v>真横：79
真上：103
真下：66</v>
      </c>
      <c r="F96" s="289"/>
      <c r="G96" s="289"/>
      <c r="H96" s="118"/>
      <c r="I96" s="118"/>
      <c r="J96" s="117"/>
      <c r="K96" s="117"/>
      <c r="L96" s="117"/>
      <c r="M96" s="117"/>
      <c r="N96" s="111"/>
      <c r="O96" s="118"/>
      <c r="P96" s="118"/>
      <c r="Q96" s="118"/>
      <c r="R96" s="118"/>
      <c r="S96" s="118"/>
      <c r="T96" s="118"/>
      <c r="U96" s="118"/>
      <c r="V96" s="118"/>
    </row>
    <row r="97">
      <c r="A97" s="291"/>
      <c r="B97" s="292"/>
      <c r="C97" s="286"/>
      <c r="D97" s="286"/>
      <c r="E97" s="293"/>
      <c r="F97" s="286"/>
      <c r="G97" s="286"/>
      <c r="H97" s="286"/>
      <c r="I97" s="286"/>
      <c r="J97" s="111"/>
      <c r="K97" s="227"/>
      <c r="L97" s="227"/>
      <c r="M97" s="227"/>
      <c r="N97" s="227"/>
      <c r="O97" s="118"/>
      <c r="P97" s="118"/>
      <c r="Q97" s="118"/>
      <c r="R97" s="118"/>
      <c r="S97" s="118"/>
      <c r="T97" s="118"/>
      <c r="U97" s="118"/>
      <c r="V97" s="118"/>
    </row>
    <row r="98">
      <c r="A98" s="294" t="s">
        <v>238</v>
      </c>
      <c r="B98" s="104"/>
      <c r="C98" s="228"/>
      <c r="D98" s="117"/>
      <c r="E98" s="228"/>
      <c r="F98" s="114"/>
      <c r="G98" s="114"/>
      <c r="H98" s="117"/>
      <c r="I98" s="117"/>
      <c r="J98" s="118"/>
      <c r="K98" s="118"/>
      <c r="L98" s="118"/>
      <c r="M98" s="118"/>
      <c r="N98" s="118"/>
      <c r="O98" s="118"/>
      <c r="P98" s="118"/>
      <c r="Q98" s="118"/>
      <c r="R98" s="118"/>
      <c r="S98" s="118"/>
      <c r="T98" s="118"/>
      <c r="U98" s="118"/>
      <c r="V98" s="118"/>
    </row>
    <row r="99" outlineLevel="1">
      <c r="A99" s="106"/>
      <c r="B99" s="107"/>
      <c r="C99" s="295" t="s">
        <v>235</v>
      </c>
      <c r="D99" s="295" t="s">
        <v>49</v>
      </c>
      <c r="E99" s="295" t="s">
        <v>48</v>
      </c>
      <c r="F99" s="295" t="s">
        <v>50</v>
      </c>
      <c r="G99" s="296" t="s">
        <v>51</v>
      </c>
      <c r="H99" s="228"/>
      <c r="I99" s="228"/>
      <c r="J99" s="117"/>
      <c r="K99" s="297" t="str">
        <f>'テンプレート'!K116</f>
        <v>アイテム取得</v>
      </c>
      <c r="L99" s="109"/>
      <c r="M99" s="298" t="str">
        <f>'テンプレート'!M116</f>
        <v>取得フレーム</v>
      </c>
      <c r="N99" s="298" t="str">
        <f>'テンプレート'!N116</f>
        <v>全体フレーム</v>
      </c>
      <c r="O99" s="118"/>
      <c r="P99" s="118"/>
      <c r="Q99" s="118"/>
      <c r="R99" s="118"/>
      <c r="S99" s="118"/>
      <c r="T99" s="118"/>
      <c r="U99" s="118"/>
      <c r="V99" s="118"/>
    </row>
    <row r="100" outlineLevel="1">
      <c r="A100" s="299" t="s">
        <v>239</v>
      </c>
      <c r="B100" s="300" t="s">
        <v>240</v>
      </c>
      <c r="C100" s="301"/>
      <c r="D100" s="113">
        <f t="array" ref="D100">INDEX('崖行動・受け身'!$C$3:$C105, MATCH($A$1,'崖行動・受け身'!$A$3:$A$115,0), MATCH(D99,'崖行動・受け身'!$C$2,0))</f>
        <v>19</v>
      </c>
      <c r="E100" s="301"/>
      <c r="F100" s="301"/>
      <c r="G100" s="301"/>
      <c r="H100" s="228"/>
      <c r="I100" s="228"/>
      <c r="J100" s="111"/>
      <c r="K100" s="302" t="str">
        <f>'テンプレート'!K117</f>
        <v>小アイテム</v>
      </c>
      <c r="L100" s="303" t="str">
        <f>'テンプレート'!L117</f>
        <v>その場</v>
      </c>
      <c r="M100" s="113" t="s">
        <v>76</v>
      </c>
      <c r="N100" s="113">
        <v>7.0</v>
      </c>
      <c r="O100" s="118"/>
      <c r="P100" s="118"/>
      <c r="Q100" s="118"/>
      <c r="R100" s="118"/>
      <c r="S100" s="118"/>
      <c r="T100" s="118"/>
      <c r="U100" s="118"/>
      <c r="V100" s="118"/>
    </row>
    <row r="101" outlineLevel="1">
      <c r="A101" s="146"/>
      <c r="B101" s="300" t="s">
        <v>216</v>
      </c>
      <c r="C101" s="113" t="str">
        <f t="array" ref="C101">INDEX('崖行動・受け身'!$D$3:$E105, MATCH($A$1,'崖行動・受け身'!$A$3:$A$115,0), MATCH(C99,'崖行動・受け身'!$D$2:$E$2,0))</f>
        <v>1-32</v>
      </c>
      <c r="D101" s="113">
        <f t="array" ref="D101">INDEX('崖行動・受け身'!$D$3:$E105, MATCH($A$1,'崖行動・受け身'!$A$3:$A$115,0), MATCH(D99,'崖行動・受け身'!$D$2:$E$2,0))</f>
        <v>33</v>
      </c>
      <c r="E101" s="301"/>
      <c r="F101" s="301"/>
      <c r="G101" s="301"/>
      <c r="H101" s="228"/>
      <c r="I101" s="228"/>
      <c r="J101" s="117"/>
      <c r="K101" s="156"/>
      <c r="L101" s="303" t="str">
        <f>'テンプレート'!L118</f>
        <v>歩き</v>
      </c>
      <c r="M101" s="113" t="s">
        <v>76</v>
      </c>
      <c r="N101" s="113">
        <v>23.0</v>
      </c>
      <c r="O101" s="118"/>
      <c r="P101" s="118"/>
      <c r="Q101" s="118"/>
      <c r="R101" s="118"/>
      <c r="S101" s="118"/>
      <c r="T101" s="118"/>
      <c r="U101" s="118"/>
      <c r="V101" s="118"/>
    </row>
    <row r="102" outlineLevel="1">
      <c r="A102" s="146"/>
      <c r="B102" s="300" t="s">
        <v>241</v>
      </c>
      <c r="C102" s="113" t="str">
        <f t="array" ref="C102">INDEX('崖行動・受け身'!$F$3:$G$115, MATCH($A$1,'崖行動・受け身'!$A$3:$A$115,0), MATCH(C99,'崖行動・受け身'!$F$2:$G$2,0))</f>
        <v>1-24</v>
      </c>
      <c r="D102" s="113">
        <f t="array" ref="D102">INDEX('崖行動・受け身'!$F$3:$G$115, MATCH($A$1,'崖行動・受け身'!$A$3:$A$115,0), MATCH(D99,'崖行動・受け身'!$F$2:$G$2,0))</f>
        <v>45</v>
      </c>
      <c r="E102" s="301"/>
      <c r="F102" s="301"/>
      <c r="G102" s="301"/>
      <c r="H102" s="228"/>
      <c r="I102" s="228"/>
      <c r="J102" s="111"/>
      <c r="K102" s="304" t="str">
        <f>'テンプレート'!K119</f>
        <v>アイテム投擲</v>
      </c>
      <c r="L102" s="109"/>
      <c r="M102" s="298" t="str">
        <f>'テンプレート'!M119</f>
        <v>投擲フレーム</v>
      </c>
      <c r="N102" s="298" t="str">
        <f>'テンプレート'!N119</f>
        <v>全体フレーム</v>
      </c>
      <c r="O102" s="118"/>
      <c r="P102" s="118"/>
      <c r="Q102" s="118"/>
      <c r="R102" s="118"/>
      <c r="S102" s="118"/>
      <c r="T102" s="118"/>
      <c r="U102" s="118"/>
      <c r="V102" s="118"/>
    </row>
    <row r="103" outlineLevel="1">
      <c r="A103" s="146"/>
      <c r="B103" s="300" t="s">
        <v>242</v>
      </c>
      <c r="C103" s="113" t="str">
        <f t="array" ref="C103">INDEX('崖行動・受け身'!$H$3:$I$115, MATCH($A$1,'崖行動・受け身'!$A$3:$A$115,0), MATCH(C99,'崖行動・受け身'!$H$2:$I$2,0))</f>
        <v>1-12</v>
      </c>
      <c r="D103" s="113">
        <f t="array" ref="D103">INDEX('崖行動・受け身'!$H$3:$I$115, MATCH($A$1,'崖行動・受け身'!$A$3:$A$115,0), MATCH(D99,'崖行動・受け身'!$H$2:$I$2,0))</f>
        <v>14</v>
      </c>
      <c r="E103" s="301"/>
      <c r="F103" s="301"/>
      <c r="G103" s="301"/>
      <c r="H103" s="228"/>
      <c r="I103" s="228"/>
      <c r="J103" s="117"/>
      <c r="K103" s="305" t="str">
        <f>'テンプレート'!K120</f>
        <v>地上投擲</v>
      </c>
      <c r="L103" s="303" t="str">
        <f>'テンプレート'!L120</f>
        <v>前投げ</v>
      </c>
      <c r="M103" s="113" t="s">
        <v>274</v>
      </c>
      <c r="N103" s="113">
        <v>25.0</v>
      </c>
      <c r="O103" s="111"/>
      <c r="P103" s="111"/>
      <c r="Q103" s="111"/>
      <c r="R103" s="111"/>
      <c r="S103" s="111"/>
      <c r="T103" s="111"/>
      <c r="U103" s="111"/>
      <c r="V103" s="111"/>
    </row>
    <row r="104" outlineLevel="1">
      <c r="A104" s="156"/>
      <c r="B104" s="300" t="s">
        <v>243</v>
      </c>
      <c r="C104" s="113" t="str">
        <f t="array" ref="C104">INDEX('崖行動・受け身'!$J$3:$M$115, MATCH($A$1,'崖行動・受け身'!$A$3:$A$115,0), MATCH(C99,'崖行動・受け身'!$J$2:$M$2,0))</f>
        <v>1-26</v>
      </c>
      <c r="D104" s="113">
        <f t="array" ref="D104">INDEX('崖行動・受け身'!$J$3:$M$115, MATCH($A$1,'崖行動・受け身'!$A$3:$A$115,0), MATCH(D99,'崖行動・受け身'!$J$2:$M$2,0))</f>
        <v>55</v>
      </c>
      <c r="E104" s="113" t="str">
        <f t="array" ref="E104">INDEX('崖行動・受け身'!$J$3:$M$115, MATCH($A$1,'崖行動・受け身'!$A$3:$A$115,0), MATCH(E99,'崖行動・受け身'!$J$2:$M$2,0))</f>
        <v>24-26</v>
      </c>
      <c r="F104" s="113">
        <f t="array" ref="F104">INDEX('崖行動・受け身'!$J$3:$M$115, MATCH($A$1,'崖行動・受け身'!$A$3:$A$115,0), MATCH(F99,'崖行動・受け身'!$J$2:$M$2,0))</f>
        <v>10</v>
      </c>
      <c r="G104" s="113">
        <f>F104*1.2</f>
        <v>12</v>
      </c>
      <c r="H104" s="228"/>
      <c r="I104" s="228"/>
      <c r="J104" s="111"/>
      <c r="K104" s="146"/>
      <c r="L104" s="303" t="str">
        <f>'テンプレート'!L121</f>
        <v>後投げ</v>
      </c>
      <c r="M104" s="113" t="s">
        <v>80</v>
      </c>
      <c r="N104" s="113">
        <v>23.0</v>
      </c>
      <c r="O104" s="111"/>
      <c r="P104" s="111"/>
      <c r="Q104" s="111"/>
      <c r="R104" s="111"/>
      <c r="S104" s="111"/>
      <c r="T104" s="111"/>
      <c r="U104" s="111"/>
      <c r="V104" s="111"/>
    </row>
    <row r="105" outlineLevel="1">
      <c r="A105" s="299" t="s">
        <v>244</v>
      </c>
      <c r="B105" s="300" t="s">
        <v>216</v>
      </c>
      <c r="C105" s="113" t="str">
        <f t="array" ref="C105">INDEX('崖行動・受け身'!$N$3:$O$115, MATCH($A$1,'崖行動・受け身'!$A$3:$A$115,0), MATCH(C99,'崖行動・受け身'!$N$2:$O$2,0))</f>
        <v>1-20</v>
      </c>
      <c r="D105" s="113">
        <f t="array" ref="D105">INDEX('崖行動・受け身'!$N$3:$O$115, MATCH($A$1,'崖行動・受け身'!$A$3:$A$115,0), MATCH(D99,'崖行動・受け身'!$N$2:$O$2,0))</f>
        <v>26</v>
      </c>
      <c r="E105" s="301"/>
      <c r="F105" s="301"/>
      <c r="G105" s="301"/>
      <c r="H105" s="228"/>
      <c r="I105" s="228"/>
      <c r="J105" s="117"/>
      <c r="K105" s="146"/>
      <c r="L105" s="303" t="str">
        <f>'テンプレート'!L122</f>
        <v>上投げ</v>
      </c>
      <c r="M105" s="113" t="s">
        <v>80</v>
      </c>
      <c r="N105" s="113">
        <v>26.0</v>
      </c>
      <c r="O105" s="228"/>
      <c r="P105" s="228"/>
      <c r="Q105" s="228"/>
      <c r="R105" s="228"/>
      <c r="S105" s="228"/>
      <c r="T105" s="228"/>
      <c r="U105" s="228"/>
      <c r="V105" s="228"/>
    </row>
    <row r="106" outlineLevel="1">
      <c r="A106" s="146"/>
      <c r="B106" s="300" t="s">
        <v>245</v>
      </c>
      <c r="C106" s="113" t="str">
        <f t="array" ref="C106">INDEX('崖行動・受け身'!$P$3:$Q$115, MATCH($A$1,'崖行動・受け身'!$A$3:$A$115,0), MATCH(C99,'崖行動・受け身'!$P$2:$Q$2,0))</f>
        <v>1-20</v>
      </c>
      <c r="D106" s="113">
        <f t="array" ref="D106">INDEX('崖行動・受け身'!$P$3:$Q$115, MATCH($A$1,'崖行動・受け身'!$A$3:$A$115,0), MATCH(D99,'崖行動・受け身'!$P$2:$Q$2,0))</f>
        <v>40</v>
      </c>
      <c r="E106" s="301"/>
      <c r="F106" s="301"/>
      <c r="G106" s="301"/>
      <c r="H106" s="228"/>
      <c r="I106" s="228"/>
      <c r="J106" s="111"/>
      <c r="K106" s="146"/>
      <c r="L106" s="303" t="str">
        <f>'テンプレート'!L123</f>
        <v>下投げ</v>
      </c>
      <c r="M106" s="113" t="s">
        <v>80</v>
      </c>
      <c r="N106" s="113">
        <v>23.0</v>
      </c>
      <c r="O106" s="118"/>
      <c r="P106" s="118"/>
      <c r="Q106" s="118"/>
      <c r="R106" s="118"/>
      <c r="S106" s="118"/>
      <c r="T106" s="118"/>
      <c r="U106" s="118"/>
      <c r="V106" s="118"/>
    </row>
    <row r="107" outlineLevel="1">
      <c r="A107" s="156"/>
      <c r="B107" s="300" t="s">
        <v>246</v>
      </c>
      <c r="C107" s="113" t="str">
        <f t="array" ref="C107">INDEX('崖行動・受け身'!$R$3:$S$115, MATCH($A$1,'崖行動・受け身'!$A$3:$A$115,0), MATCH(C99,'崖行動・受け身'!$R$2:$S$2,0))</f>
        <v>1-20</v>
      </c>
      <c r="D107" s="113">
        <f t="array" ref="D107">INDEX('崖行動・受け身'!$R$3:$S$115, MATCH($A$1,'崖行動・受け身'!$A$3:$A$115,0), MATCH(D99,'崖行動・受け身'!$R$2:$S$2,0))</f>
        <v>40</v>
      </c>
      <c r="E107" s="301"/>
      <c r="F107" s="301"/>
      <c r="G107" s="301"/>
      <c r="H107" s="228"/>
      <c r="I107" s="228"/>
      <c r="J107" s="117"/>
      <c r="K107" s="146"/>
      <c r="L107" s="306" t="str">
        <f>'テンプレート'!L124</f>
        <v>ダッシュ</v>
      </c>
      <c r="M107" s="113" t="s">
        <v>150</v>
      </c>
      <c r="N107" s="113">
        <v>39.0</v>
      </c>
      <c r="O107" s="118"/>
      <c r="P107" s="118"/>
      <c r="Q107" s="118"/>
      <c r="R107" s="118"/>
      <c r="S107" s="118"/>
      <c r="T107" s="118"/>
      <c r="U107" s="118"/>
      <c r="V107" s="118"/>
    </row>
    <row r="108" outlineLevel="1">
      <c r="A108" s="299" t="s">
        <v>247</v>
      </c>
      <c r="B108" s="300" t="s">
        <v>248</v>
      </c>
      <c r="C108" s="301"/>
      <c r="D108" s="113" t="str">
        <f t="array" ref="D108">INDEX('起きあがり'!$C$3:$C105, MATCH($A$1,'起きあがり'!$A$3:$A$115,0), MATCH(D99,'起きあがり'!$C$2:$AD$2,0))</f>
        <v>25</v>
      </c>
      <c r="E108" s="301"/>
      <c r="F108" s="301"/>
      <c r="G108" s="301"/>
      <c r="H108" s="228"/>
      <c r="I108" s="228"/>
      <c r="J108" s="111"/>
      <c r="K108" s="156"/>
      <c r="L108" s="306" t="str">
        <f>'テンプレート'!L125</f>
        <v>その場捨て</v>
      </c>
      <c r="M108" s="113" t="s">
        <v>80</v>
      </c>
      <c r="N108" s="113">
        <v>23.0</v>
      </c>
      <c r="O108" s="118"/>
      <c r="P108" s="118"/>
      <c r="Q108" s="118"/>
      <c r="R108" s="118"/>
      <c r="S108" s="118"/>
      <c r="T108" s="118"/>
      <c r="U108" s="118"/>
      <c r="V108" s="118"/>
    </row>
    <row r="109" outlineLevel="1">
      <c r="A109" s="146"/>
      <c r="B109" s="300" t="s">
        <v>216</v>
      </c>
      <c r="C109" s="307" t="str">
        <f t="array" ref="C109">INDEX('起きあがり'!$D$3:$E105, MATCH($A$1,'起きあがり'!$A$3:$A$115,0), MATCH(C99,'起きあがり'!$D$2:$AD$2,0))</f>
        <v>1-22</v>
      </c>
      <c r="D109" s="308">
        <f t="array" ref="D109">INDEX('起きあがり'!$D$3:$E105, MATCH($A$1,'起きあがり'!$A$3:$A$115,0), MATCH(D99,'起きあがり'!$D$2:$AD$2,0))</f>
        <v>29</v>
      </c>
      <c r="E109" s="301"/>
      <c r="F109" s="301"/>
      <c r="G109" s="301"/>
      <c r="H109" s="228"/>
      <c r="I109" s="228"/>
      <c r="J109" s="117"/>
      <c r="K109" s="305" t="str">
        <f>'テンプレート'!K126</f>
        <v>空中投擲</v>
      </c>
      <c r="L109" s="303" t="str">
        <f>'テンプレート'!L126</f>
        <v>前投げ</v>
      </c>
      <c r="M109" s="113" t="s">
        <v>86</v>
      </c>
      <c r="N109" s="113">
        <v>21.0</v>
      </c>
      <c r="O109" s="118"/>
      <c r="P109" s="118"/>
      <c r="Q109" s="118"/>
      <c r="R109" s="118"/>
      <c r="S109" s="118"/>
      <c r="T109" s="118"/>
      <c r="U109" s="118"/>
      <c r="V109" s="118"/>
    </row>
    <row r="110" outlineLevel="1">
      <c r="A110" s="146"/>
      <c r="B110" s="300" t="s">
        <v>245</v>
      </c>
      <c r="C110" s="307" t="str">
        <f t="array" ref="C110">INDEX('起きあがり'!$F$3:$G$115, MATCH($A$1,'起きあがり'!$A$3:$A$115,0), MATCH(C99,'起きあがり'!$F$2:$AD$2,0))</f>
        <v>1-23</v>
      </c>
      <c r="D110" s="308">
        <f t="array" ref="D110">INDEX('起きあがり'!$F$3:$G$115, MATCH($A$1,'起きあがり'!$A$3:$A$115,0), MATCH(D99,'起きあがり'!$F$2:$AD$2,0))</f>
        <v>35</v>
      </c>
      <c r="E110" s="301"/>
      <c r="F110" s="301"/>
      <c r="G110" s="301"/>
      <c r="H110" s="228"/>
      <c r="I110" s="228"/>
      <c r="J110" s="111"/>
      <c r="K110" s="146"/>
      <c r="L110" s="303" t="str">
        <f>'テンプレート'!L127</f>
        <v>後投げ</v>
      </c>
      <c r="M110" s="113" t="s">
        <v>93</v>
      </c>
      <c r="N110" s="113">
        <v>23.0</v>
      </c>
      <c r="O110" s="118"/>
      <c r="P110" s="118"/>
      <c r="Q110" s="118"/>
      <c r="R110" s="118"/>
      <c r="S110" s="118"/>
      <c r="T110" s="118"/>
      <c r="U110" s="118"/>
      <c r="V110" s="118"/>
    </row>
    <row r="111" outlineLevel="1">
      <c r="A111" s="146"/>
      <c r="B111" s="300" t="s">
        <v>246</v>
      </c>
      <c r="C111" s="113" t="str">
        <f t="array" ref="C111">INDEX('起きあがり'!$H$3:$I$115, MATCH($A$1,'起きあがり'!$A$3:$A$115,0), MATCH(C99,'起きあがり'!$H$2:$AD$2,0))</f>
        <v>1-19</v>
      </c>
      <c r="D111" s="113">
        <f t="array" ref="D111">INDEX('起きあがり'!$H$3:$I$115, MATCH($A$1,'起きあがり'!$A$3:$A$115,0), MATCH(D99,'起きあがり'!$H$2:$AD$2,0))</f>
        <v>35</v>
      </c>
      <c r="E111" s="301"/>
      <c r="F111" s="301"/>
      <c r="G111" s="301"/>
      <c r="H111" s="228"/>
      <c r="I111" s="228"/>
      <c r="J111" s="117"/>
      <c r="K111" s="146"/>
      <c r="L111" s="303" t="str">
        <f>'テンプレート'!L128</f>
        <v>上投げ</v>
      </c>
      <c r="M111" s="113" t="s">
        <v>86</v>
      </c>
      <c r="N111" s="113">
        <v>23.0</v>
      </c>
      <c r="O111" s="118"/>
      <c r="P111" s="118"/>
      <c r="Q111" s="118"/>
      <c r="R111" s="118"/>
      <c r="S111" s="118"/>
      <c r="T111" s="118"/>
      <c r="U111" s="118"/>
      <c r="V111" s="118"/>
    </row>
    <row r="112" outlineLevel="1">
      <c r="A112" s="146"/>
      <c r="B112" s="300" t="s">
        <v>249</v>
      </c>
      <c r="C112" s="309" t="str">
        <f t="array" ref="C112">INDEX('起きあがり'!$J$3:$M$115, MATCH($A$1,'起きあがり'!$A$3:$A$115,0), MATCH(C99,'起きあがり'!$J$2:$AD$2,0))</f>
        <v>1-22</v>
      </c>
      <c r="D112" s="310">
        <f t="array" ref="D112">INDEX('起きあがり'!$J$3:$M$115, MATCH($A$1,'起きあがり'!$A$3:$A$115,0), MATCH(D99,'起きあがり'!$J$2:$AD$2,0))</f>
        <v>45</v>
      </c>
      <c r="E112" s="307" t="str">
        <f t="array" ref="E112">INDEX('起きあがり'!$J$3:$M$115, MATCH($A$1,'起きあがり'!$A$3:$A$115,0), MATCH(E99,'起きあがり'!$J$2:$AD$2,0))</f>
        <v>17-18</v>
      </c>
      <c r="F112" s="308">
        <f t="array" ref="F112">INDEX('起きあがり'!$J$3:$M$115, MATCH($A$1,'起きあがり'!$A$3:$A$115,0), MATCH(F99,'起きあがり'!$J$2:$AD$2,0))</f>
        <v>7</v>
      </c>
      <c r="G112" s="113">
        <f t="shared" ref="G112:G113" si="1">F112*1.2</f>
        <v>8.4</v>
      </c>
      <c r="H112" s="228"/>
      <c r="I112" s="228"/>
      <c r="J112" s="111"/>
      <c r="K112" s="156"/>
      <c r="L112" s="303" t="str">
        <f>'テンプレート'!L129</f>
        <v>下投げ</v>
      </c>
      <c r="M112" s="113" t="s">
        <v>86</v>
      </c>
      <c r="N112" s="113">
        <v>23.0</v>
      </c>
      <c r="O112" s="111"/>
      <c r="P112" s="111"/>
      <c r="Q112" s="111"/>
      <c r="R112" s="111"/>
      <c r="S112" s="111"/>
      <c r="T112" s="111"/>
      <c r="U112" s="111"/>
      <c r="V112" s="111"/>
    </row>
    <row r="113" outlineLevel="1">
      <c r="A113" s="156"/>
      <c r="B113" s="311" t="s">
        <v>250</v>
      </c>
      <c r="C113" s="156"/>
      <c r="D113" s="156"/>
      <c r="E113" s="307" t="str">
        <f t="array" ref="E113">INDEX('起きあがり'!$N$3:$O$115, MATCH($A$1,'起きあがり'!$A$3:$A$115,0), MATCH(E99,'起きあがり'!$N$2:$AD$2,0))</f>
        <v>21-22</v>
      </c>
      <c r="F113" s="308">
        <f t="array" ref="F113">INDEX('起きあがり'!$N$3:$O$115, MATCH($A$1,'起きあがり'!$A$3:$A$115,0), MATCH(F99,'起きあがり'!$N$2:$AD$2,0))</f>
        <v>7</v>
      </c>
      <c r="G113" s="113">
        <f t="shared" si="1"/>
        <v>8.4</v>
      </c>
      <c r="H113" s="228"/>
      <c r="I113" s="228"/>
      <c r="J113" s="111"/>
      <c r="K113" s="312" t="str">
        <f>'テンプレート'!K130</f>
        <v>踏み台ジャンプ</v>
      </c>
      <c r="L113" s="168"/>
      <c r="M113" s="298" t="str">
        <f>'テンプレート'!M130</f>
        <v>全体フレーム</v>
      </c>
      <c r="N113" s="114"/>
      <c r="O113" s="111"/>
      <c r="P113" s="111"/>
      <c r="Q113" s="111"/>
      <c r="R113" s="111"/>
      <c r="S113" s="111"/>
      <c r="T113" s="111"/>
      <c r="U113" s="111"/>
      <c r="V113" s="111"/>
    </row>
    <row r="114" outlineLevel="1">
      <c r="A114" s="299" t="s">
        <v>251</v>
      </c>
      <c r="B114" s="300" t="s">
        <v>248</v>
      </c>
      <c r="C114" s="301"/>
      <c r="D114" s="307" t="str">
        <f t="array" ref="D114">INDEX('起きあがり'!$C$3:$C105, MATCH($A$1,'起きあがり'!$A$3:$A$115,0), MATCH(D99,'起きあがり'!$C$2,0))</f>
        <v>25</v>
      </c>
      <c r="E114" s="301"/>
      <c r="F114" s="301"/>
      <c r="G114" s="301"/>
      <c r="H114" s="228"/>
      <c r="I114" s="228"/>
      <c r="J114" s="117"/>
      <c r="K114" s="313" t="str">
        <f>'テンプレート'!K131</f>
        <v>踏み</v>
      </c>
      <c r="L114" s="314" t="str">
        <f>'テンプレート'!L131</f>
        <v>踏み</v>
      </c>
      <c r="M114" s="113">
        <v>8.0</v>
      </c>
      <c r="N114" s="315"/>
      <c r="O114" s="111"/>
      <c r="P114" s="111"/>
      <c r="Q114" s="111"/>
      <c r="R114" s="111"/>
      <c r="S114" s="111"/>
      <c r="T114" s="111"/>
      <c r="U114" s="111"/>
      <c r="V114" s="111"/>
    </row>
    <row r="115" outlineLevel="1">
      <c r="A115" s="146"/>
      <c r="B115" s="300" t="s">
        <v>216</v>
      </c>
      <c r="C115" s="307" t="str">
        <f t="array" ref="C115">INDEX('起きあがり'!$P$3:$Q$115, MATCH($A$1,'起きあがり'!$A$3:$A$115,0), MATCH(C99,'起きあがり'!$P$2:$AD$2,0))</f>
        <v>1-22</v>
      </c>
      <c r="D115" s="308">
        <f t="array" ref="D115">INDEX('起きあがり'!$P$3:$Q$115, MATCH($A$1,'起きあがり'!$A$3:$A$115,0), MATCH(D99,'起きあがり'!$P$2:$AD$2,0))</f>
        <v>29</v>
      </c>
      <c r="E115" s="301"/>
      <c r="F115" s="301"/>
      <c r="G115" s="301"/>
      <c r="H115" s="228"/>
      <c r="I115" s="228"/>
      <c r="J115" s="111"/>
      <c r="K115" s="305" t="str">
        <f>'テンプレート'!K132</f>
        <v>踏まれ</v>
      </c>
      <c r="L115" s="314" t="str">
        <f>'テンプレート'!L132</f>
        <v>地上踏まれ</v>
      </c>
      <c r="M115" s="113" t="s">
        <v>76</v>
      </c>
      <c r="N115" s="315"/>
      <c r="O115" s="228"/>
      <c r="P115" s="228"/>
      <c r="Q115" s="228"/>
      <c r="R115" s="228"/>
      <c r="S115" s="228"/>
      <c r="T115" s="228"/>
      <c r="U115" s="228"/>
      <c r="V115" s="228"/>
    </row>
    <row r="116" outlineLevel="1">
      <c r="A116" s="146"/>
      <c r="B116" s="300" t="s">
        <v>245</v>
      </c>
      <c r="C116" s="307" t="str">
        <f t="array" ref="C116">INDEX('起きあがり'!$R$3:$S$115, MATCH($A$1,'起きあがり'!$A$3:$A$115,0), MATCH(C99,'起きあがり'!$R$2:$AD$2,0))</f>
        <v>1-19</v>
      </c>
      <c r="D116" s="308">
        <f t="array" ref="D116">INDEX('起きあがり'!$R$3:$S$115, MATCH($A$1,'起きあがり'!$A$3:$A$115,0), MATCH(D99,'起きあがり'!$R$2:$AD$2,0))</f>
        <v>35</v>
      </c>
      <c r="E116" s="301"/>
      <c r="F116" s="301"/>
      <c r="G116" s="301"/>
      <c r="H116" s="228"/>
      <c r="I116" s="228"/>
      <c r="J116" s="117"/>
      <c r="K116" s="146"/>
      <c r="L116" s="314" t="s">
        <v>693</v>
      </c>
      <c r="M116" s="113">
        <v>28.0</v>
      </c>
      <c r="N116" s="102"/>
      <c r="O116" s="118"/>
      <c r="P116" s="118"/>
      <c r="Q116" s="118"/>
      <c r="R116" s="118"/>
      <c r="S116" s="118"/>
      <c r="T116" s="118"/>
      <c r="U116" s="118"/>
      <c r="V116" s="118"/>
    </row>
    <row r="117" outlineLevel="1">
      <c r="A117" s="146"/>
      <c r="B117" s="300" t="s">
        <v>246</v>
      </c>
      <c r="C117" s="307" t="str">
        <f t="array" ref="C117">INDEX('起きあがり'!$T$3:$U$115, MATCH($A$1,'起きあがり'!$A$3:$A$115,0), MATCH(C99,'起きあがり'!$T$2:$AD$2,0))</f>
        <v>1-25</v>
      </c>
      <c r="D117" s="308">
        <f t="array" ref="D117">INDEX('起きあがり'!$T$3:$U$115, MATCH($A$1,'起きあがり'!$A$3:$A$115,0), MATCH(D99,'起きあがり'!$T$2:$AD$2,0))</f>
        <v>35</v>
      </c>
      <c r="E117" s="301"/>
      <c r="F117" s="301"/>
      <c r="G117" s="301"/>
      <c r="H117" s="228"/>
      <c r="I117" s="228"/>
      <c r="J117" s="111"/>
      <c r="K117" s="146"/>
      <c r="L117" s="314" t="str">
        <f>'テンプレート'!L134</f>
        <v>空中踏まれ</v>
      </c>
      <c r="M117" s="113">
        <v>11.0</v>
      </c>
      <c r="N117" s="102"/>
      <c r="O117" s="118"/>
      <c r="P117" s="118"/>
      <c r="Q117" s="118"/>
      <c r="R117" s="118"/>
      <c r="S117" s="118"/>
      <c r="T117" s="118"/>
      <c r="U117" s="118"/>
      <c r="V117" s="118"/>
    </row>
    <row r="118" outlineLevel="1">
      <c r="A118" s="146"/>
      <c r="B118" s="300" t="s">
        <v>249</v>
      </c>
      <c r="C118" s="309" t="str">
        <f t="array" ref="C118">INDEX('起きあがり'!$V$3:$Y$115, MATCH($A$1,'起きあがり'!$A$3:$A$115,0), MATCH(C99,'起きあがり'!$V$2:$AD$2,0))</f>
        <v>1-24</v>
      </c>
      <c r="D118" s="310">
        <f t="array" ref="D118">INDEX('起きあがり'!$V$3:$Y$115, MATCH($A$1,'起きあがり'!$A$3:$A$115,0), MATCH(D99,'起きあがり'!$V$2:$AD$2,0))</f>
        <v>45</v>
      </c>
      <c r="E118" s="307" t="str">
        <f t="array" ref="E118">INDEX('起きあがり'!$V$3:$Y$115, MATCH($A$1,'起きあがり'!$A$3:$A$115,0), MATCH(E99,'起きあがり'!$V$2:$AD$2,0))</f>
        <v>16-17</v>
      </c>
      <c r="F118" s="308">
        <f t="array" ref="F118">INDEX('起きあがり'!$V$3:$Y$115, MATCH($A$1,'起きあがり'!$A$3:$A$115,0), MATCH(F99,'起きあがり'!$V$2:$AD$2,0))</f>
        <v>7</v>
      </c>
      <c r="G118" s="113">
        <f t="shared" ref="G118:G119" si="2">F118*1.2</f>
        <v>8.4</v>
      </c>
      <c r="H118" s="228"/>
      <c r="I118" s="228"/>
      <c r="J118" s="117"/>
      <c r="K118" s="146"/>
      <c r="L118" s="314" t="str">
        <f>'テンプレート'!L135</f>
        <v>空中落下</v>
      </c>
      <c r="M118" s="113">
        <v>35.0</v>
      </c>
      <c r="N118" s="102"/>
      <c r="O118" s="118"/>
      <c r="P118" s="118"/>
      <c r="Q118" s="118"/>
      <c r="R118" s="118"/>
      <c r="S118" s="118"/>
      <c r="T118" s="118"/>
      <c r="U118" s="118"/>
      <c r="V118" s="118"/>
    </row>
    <row r="119" outlineLevel="1">
      <c r="A119" s="156"/>
      <c r="B119" s="311" t="s">
        <v>250</v>
      </c>
      <c r="C119" s="156"/>
      <c r="D119" s="156"/>
      <c r="E119" s="307" t="str">
        <f t="array" ref="E119">INDEX('起きあがり'!$Z$3:$AA$115, MATCH($A$1,'起きあがり'!$A$3:$A$115,0), MATCH(E99,'起きあがり'!$Z$2:$AD$2,0))</f>
        <v>23-24</v>
      </c>
      <c r="F119" s="308">
        <f t="array" ref="F119">INDEX('起きあがり'!$Z$3:$AA$115, MATCH($A$1,'起きあがり'!$A$3:$A$115,0), MATCH(F99,'起きあがり'!$Z$2:$AD$2,0))</f>
        <v>7</v>
      </c>
      <c r="G119" s="113">
        <f t="shared" si="2"/>
        <v>8.4</v>
      </c>
      <c r="H119" s="228"/>
      <c r="I119" s="228"/>
      <c r="J119" s="117"/>
      <c r="K119" s="304" t="str">
        <f>'テンプレート'!K136</f>
        <v>倒れダメージ</v>
      </c>
      <c r="L119" s="110"/>
      <c r="M119" s="298" t="str">
        <f>'テンプレート'!M136</f>
        <v>全体フレーム</v>
      </c>
      <c r="N119" s="102"/>
      <c r="O119" s="118"/>
      <c r="P119" s="118"/>
      <c r="Q119" s="118"/>
      <c r="R119" s="118"/>
      <c r="S119" s="118"/>
      <c r="T119" s="118"/>
      <c r="U119" s="118"/>
      <c r="V119" s="118"/>
    </row>
    <row r="120" outlineLevel="1">
      <c r="A120" s="299" t="s">
        <v>252</v>
      </c>
      <c r="B120" s="300" t="s">
        <v>253</v>
      </c>
      <c r="C120" s="307" t="str">
        <f t="array" ref="C120">INDEX('転倒'!$C$3:$D105, MATCH($A$1,'転倒'!$A$3:$A$115,0), MATCH(C99,'転倒'!$C$2:$AC$2,0))</f>
        <v>1-5</v>
      </c>
      <c r="D120" s="308">
        <f t="array" ref="D120">INDEX('転倒'!$C$3:$D105, MATCH($A$1,'転倒'!$A$3:$A$115,0), MATCH(D99,'転倒'!$C$2:$AC$2,0))</f>
        <v>29</v>
      </c>
      <c r="E120" s="301"/>
      <c r="F120" s="301"/>
      <c r="G120" s="301"/>
      <c r="H120" s="228"/>
      <c r="I120" s="228"/>
      <c r="J120" s="111"/>
      <c r="K120" s="313" t="str">
        <f>'テンプレート'!K137</f>
        <v>あお向け倒れ</v>
      </c>
      <c r="L120" s="306" t="str">
        <f>'テンプレート'!L137</f>
        <v>モーション大</v>
      </c>
      <c r="M120" s="113">
        <v>39.0</v>
      </c>
      <c r="N120" s="315"/>
      <c r="O120" s="118"/>
      <c r="P120" s="118"/>
      <c r="Q120" s="118"/>
      <c r="R120" s="118"/>
      <c r="S120" s="118"/>
      <c r="T120" s="118"/>
      <c r="U120" s="118"/>
      <c r="V120" s="118"/>
    </row>
    <row r="121" outlineLevel="1">
      <c r="A121" s="146"/>
      <c r="B121" s="300" t="s">
        <v>254</v>
      </c>
      <c r="C121" s="307" t="str">
        <f t="array" ref="C121">INDEX('転倒'!$E$3:$F105, MATCH($A$1,'転倒'!$A$3:$A$115,0), MATCH(C99,'転倒'!$E$2:$AC$2,0))</f>
        <v>1-5</v>
      </c>
      <c r="D121" s="308">
        <f t="array" ref="D121">INDEX('転倒'!$E$3:$F105, MATCH($A$1,'転倒'!$A$3:$A$115,0), MATCH(D99,'転倒'!$E$2:$AC$2,0))</f>
        <v>39</v>
      </c>
      <c r="E121" s="301"/>
      <c r="F121" s="301"/>
      <c r="G121" s="301"/>
      <c r="H121" s="228"/>
      <c r="I121" s="228"/>
      <c r="J121" s="117"/>
      <c r="K121" s="313" t="str">
        <f>'テンプレート'!K138</f>
        <v>うつ伏せ倒れ</v>
      </c>
      <c r="L121" s="306" t="str">
        <f>'テンプレート'!L138</f>
        <v>モーション大</v>
      </c>
      <c r="M121" s="113" t="s">
        <v>118</v>
      </c>
      <c r="N121" s="315"/>
      <c r="O121" s="118"/>
      <c r="P121" s="118"/>
      <c r="Q121" s="118"/>
      <c r="R121" s="118"/>
      <c r="S121" s="118"/>
      <c r="T121" s="118"/>
      <c r="U121" s="118"/>
      <c r="V121" s="118"/>
    </row>
    <row r="122" outlineLevel="1">
      <c r="A122" s="146"/>
      <c r="B122" s="300" t="s">
        <v>216</v>
      </c>
      <c r="C122" s="307" t="str">
        <f t="array" ref="C122">INDEX('転倒'!$G$3:$H$115, MATCH($A$1,'転倒'!$A$3:$A$115,0), MATCH(C99,'転倒'!$G$2:$AC$2,0))</f>
        <v>1-16</v>
      </c>
      <c r="D122" s="308">
        <f t="array" ref="D122">INDEX('転倒'!$G$3:$H$115, MATCH($A$1,'転倒'!$A$3:$A$115,0), MATCH(D99,'転倒'!$G$2:$AC$2,0))</f>
        <v>21</v>
      </c>
      <c r="E122" s="301"/>
      <c r="F122" s="301"/>
      <c r="G122" s="301"/>
      <c r="H122" s="228"/>
      <c r="I122" s="228"/>
      <c r="J122" s="111"/>
      <c r="K122" s="304" t="str">
        <f>'テンプレート'!K139</f>
        <v/>
      </c>
      <c r="L122" s="110"/>
      <c r="M122" s="298" t="str">
        <f>'テンプレート'!M139</f>
        <v/>
      </c>
      <c r="N122" s="102"/>
      <c r="O122" s="118"/>
      <c r="P122" s="118"/>
      <c r="Q122" s="118"/>
      <c r="R122" s="118"/>
      <c r="S122" s="118"/>
      <c r="T122" s="118"/>
      <c r="U122" s="118"/>
      <c r="V122" s="118"/>
    </row>
    <row r="123" outlineLevel="1">
      <c r="A123" s="146"/>
      <c r="B123" s="300" t="s">
        <v>245</v>
      </c>
      <c r="C123" s="307" t="str">
        <f t="array" ref="C123">INDEX('転倒'!$I$3:$J$115, MATCH($A$1,'転倒'!$A$3:$A$115,0), MATCH(C99,'転倒'!$I$2:$AC$2,0))</f>
        <v>1-9</v>
      </c>
      <c r="D123" s="308">
        <f t="array" ref="D123">INDEX('転倒'!$I$3:$J$115, MATCH($A$1,'転倒'!$A$3:$A$115,0), MATCH(D99,'転倒'!$I$2:$AC$2,0))</f>
        <v>28</v>
      </c>
      <c r="E123" s="301"/>
      <c r="F123" s="301"/>
      <c r="G123" s="301"/>
      <c r="H123" s="228"/>
      <c r="I123" s="228"/>
      <c r="J123" s="228"/>
      <c r="K123" s="316"/>
      <c r="L123" s="317" t="str">
        <f>'テンプレート'!L140</f>
        <v/>
      </c>
      <c r="M123" s="113" t="s">
        <v>76</v>
      </c>
      <c r="N123" s="102"/>
      <c r="O123" s="118"/>
      <c r="P123" s="118"/>
      <c r="Q123" s="118"/>
      <c r="R123" s="118"/>
      <c r="S123" s="118"/>
      <c r="T123" s="118"/>
      <c r="U123" s="118"/>
      <c r="V123" s="118"/>
    </row>
    <row r="124" outlineLevel="1">
      <c r="A124" s="146"/>
      <c r="B124" s="300" t="s">
        <v>246</v>
      </c>
      <c r="C124" s="307" t="str">
        <f t="array" ref="C124">INDEX('転倒'!$K$3:$L$115, MATCH($A$1,'転倒'!$A$3:$A$115,0), MATCH(C99,'転倒'!$K$2:$AC$2,0))</f>
        <v>1-9</v>
      </c>
      <c r="D124" s="308">
        <f t="array" ref="D124">INDEX('転倒'!$K$3:$L$115, MATCH($A$1,'転倒'!$A$3:$A$115,0), MATCH(D99,'転倒'!$K$2:$AC$2,0))</f>
        <v>28</v>
      </c>
      <c r="E124" s="301"/>
      <c r="F124" s="301"/>
      <c r="G124" s="301"/>
      <c r="H124" s="228"/>
      <c r="I124" s="228"/>
      <c r="J124" s="228"/>
      <c r="K124" s="318"/>
      <c r="L124" s="118"/>
      <c r="M124" s="118"/>
      <c r="N124" s="102"/>
      <c r="O124" s="118"/>
      <c r="P124" s="118"/>
      <c r="Q124" s="118"/>
      <c r="R124" s="118"/>
      <c r="S124" s="118"/>
      <c r="T124" s="118"/>
      <c r="U124" s="118"/>
      <c r="V124" s="118"/>
    </row>
    <row r="125" outlineLevel="1">
      <c r="A125" s="146"/>
      <c r="B125" s="300" t="s">
        <v>249</v>
      </c>
      <c r="C125" s="309" t="str">
        <f t="array" ref="C125">INDEX('転倒'!$M$3:$P$115, MATCH($A$1,'転倒'!$A$3:$A$115,0), MATCH(C99,'転倒'!$M$2:$AC$2,0))</f>
        <v>1-7</v>
      </c>
      <c r="D125" s="310">
        <f t="array" ref="D125">INDEX('転倒'!$M$3:$P$115, MATCH($A$1,'転倒'!$A$3:$A$115,0), MATCH(D99,'転倒'!$M$2:$AC$2,0))</f>
        <v>49</v>
      </c>
      <c r="E125" s="307" t="str">
        <f t="array" ref="E125">INDEX('転倒'!$M$3:$P$115, MATCH($A$1,'転倒'!$A$3:$A$115,0), MATCH(E99,'転倒'!$M$2:$AC$2,0))</f>
        <v>19-20</v>
      </c>
      <c r="F125" s="308">
        <f t="array" ref="F125">INDEX('転倒'!$M$3:$P$115, MATCH($A$1,'転倒'!$A$3:$A$115,0), MATCH(F99,'転倒'!$M$2:$AC$2,0))</f>
        <v>5</v>
      </c>
      <c r="G125" s="113">
        <f t="shared" ref="G125:G126" si="3">F125*1.2</f>
        <v>6</v>
      </c>
      <c r="H125" s="228"/>
      <c r="I125" s="228"/>
      <c r="J125" s="228"/>
      <c r="K125" s="118"/>
      <c r="L125" s="118"/>
      <c r="M125" s="118"/>
      <c r="N125" s="102"/>
      <c r="O125" s="102"/>
      <c r="P125" s="102"/>
      <c r="Q125" s="102"/>
      <c r="R125" s="118"/>
      <c r="S125" s="118"/>
      <c r="T125" s="118"/>
      <c r="U125" s="118"/>
      <c r="V125" s="118"/>
    </row>
    <row r="126" outlineLevel="1">
      <c r="A126" s="156"/>
      <c r="B126" s="311" t="s">
        <v>250</v>
      </c>
      <c r="C126" s="156"/>
      <c r="D126" s="156"/>
      <c r="E126" s="307" t="str">
        <f t="array" ref="E126">INDEX('転倒'!$Q$3:$R$115, MATCH($A$1,'転倒'!$A$3:$A$115,0), MATCH(E99,'転倒'!$Q$2:$AC$2,0))</f>
        <v>25-26</v>
      </c>
      <c r="F126" s="308">
        <f t="array" ref="F126">INDEX('転倒'!$Q$3:$R$115, MATCH($A$1,'転倒'!$A$3:$A$115,0), MATCH(F99,'転倒'!$Q$2:$AC$2,0))</f>
        <v>5</v>
      </c>
      <c r="G126" s="113">
        <f t="shared" si="3"/>
        <v>6</v>
      </c>
      <c r="H126" s="228"/>
      <c r="I126" s="228"/>
      <c r="J126" s="228"/>
      <c r="K126" s="118"/>
      <c r="L126" s="118"/>
      <c r="M126" s="118"/>
      <c r="N126" s="102"/>
      <c r="O126" s="102"/>
      <c r="P126" s="102"/>
      <c r="Q126" s="102"/>
      <c r="R126" s="118"/>
      <c r="S126" s="118"/>
      <c r="T126" s="118"/>
      <c r="U126" s="118"/>
      <c r="V126" s="118"/>
    </row>
    <row r="127" outlineLevel="1">
      <c r="A127" s="319"/>
      <c r="B127" s="320"/>
      <c r="C127" s="321"/>
      <c r="D127" s="321"/>
      <c r="E127" s="322"/>
      <c r="F127" s="322"/>
      <c r="G127" s="114"/>
      <c r="H127" s="228"/>
      <c r="I127" s="228"/>
      <c r="J127" s="228"/>
      <c r="K127" s="118"/>
      <c r="L127" s="118"/>
      <c r="M127" s="118"/>
      <c r="N127" s="102"/>
      <c r="O127" s="102"/>
      <c r="P127" s="102"/>
      <c r="Q127" s="102"/>
      <c r="R127" s="118"/>
      <c r="S127" s="118"/>
      <c r="T127" s="118"/>
      <c r="U127" s="118"/>
      <c r="V127" s="118"/>
    </row>
    <row r="128" outlineLevel="1">
      <c r="A128" s="323" t="s">
        <v>255</v>
      </c>
      <c r="B128" s="109"/>
      <c r="C128" s="321"/>
      <c r="D128" s="321"/>
      <c r="E128" s="322"/>
      <c r="F128" s="322"/>
      <c r="G128" s="114"/>
      <c r="H128" s="228"/>
      <c r="I128" s="228"/>
      <c r="J128" s="228"/>
      <c r="K128" s="118"/>
      <c r="L128" s="118"/>
      <c r="M128" s="118"/>
      <c r="N128" s="102"/>
      <c r="O128" s="102"/>
      <c r="P128" s="102"/>
      <c r="Q128" s="102"/>
      <c r="R128" s="118"/>
      <c r="S128" s="118"/>
      <c r="T128" s="118"/>
      <c r="U128" s="118"/>
      <c r="V128" s="118"/>
    </row>
    <row r="129" outlineLevel="1">
      <c r="A129" s="324" t="s">
        <v>256</v>
      </c>
      <c r="B129" s="109"/>
      <c r="C129" s="325" t="s">
        <v>257</v>
      </c>
      <c r="D129" s="325" t="s">
        <v>49</v>
      </c>
      <c r="E129" s="322"/>
      <c r="F129" s="322"/>
      <c r="G129" s="114"/>
      <c r="H129" s="228"/>
      <c r="I129" s="228"/>
      <c r="J129" s="228"/>
      <c r="K129" s="118"/>
      <c r="L129" s="118"/>
      <c r="M129" s="118"/>
      <c r="N129" s="102"/>
      <c r="O129" s="102"/>
      <c r="P129" s="102"/>
      <c r="Q129" s="102"/>
      <c r="R129" s="118"/>
      <c r="S129" s="118"/>
      <c r="T129" s="118"/>
      <c r="U129" s="118"/>
      <c r="V129" s="118"/>
    </row>
    <row r="130" outlineLevel="1">
      <c r="A130" s="326" t="s">
        <v>258</v>
      </c>
      <c r="B130" s="327" t="s">
        <v>216</v>
      </c>
      <c r="C130" s="328" t="str">
        <f t="array" ref="C130">INDEX('アイテム'!$C$3:$D$114, MATCH($A$1,'アイテム'!$A$3:$A$114,0), MATCH(C129,'アイテム'!$C$2:$AQ$2,0))</f>
        <v>3</v>
      </c>
      <c r="D130" s="328">
        <f t="array" ref="D130">INDEX('アイテム'!$C$3:$D$114, MATCH($A$1,'アイテム'!$A$3:$A$114,0), MATCH(D129,'アイテム'!$C$2:$AQ$2,0))</f>
        <v>7</v>
      </c>
      <c r="E130" s="322"/>
      <c r="F130" s="322"/>
      <c r="G130" s="114"/>
      <c r="H130" s="228"/>
      <c r="I130" s="228"/>
      <c r="J130" s="228"/>
      <c r="K130" s="118"/>
      <c r="L130" s="118"/>
      <c r="M130" s="118"/>
      <c r="N130" s="102"/>
      <c r="O130" s="102"/>
      <c r="P130" s="102"/>
      <c r="Q130" s="102"/>
      <c r="R130" s="118"/>
      <c r="S130" s="118"/>
      <c r="T130" s="118"/>
      <c r="U130" s="118"/>
      <c r="V130" s="118"/>
    </row>
    <row r="131" outlineLevel="1">
      <c r="A131" s="156"/>
      <c r="B131" s="327" t="s">
        <v>219</v>
      </c>
      <c r="C131" s="328" t="str">
        <f t="array" ref="C131">INDEX('アイテム'!$E$3:$F$114, MATCH($A$1,'アイテム'!$A$3:$A$114,0), MATCH(C129,'アイテム'!$C$2:$AQ$2,0))</f>
        <v>2</v>
      </c>
      <c r="D131" s="328">
        <f t="array" ref="D131">INDEX('アイテム'!$E$3:$F$114, MATCH($A$1,'アイテム'!$A$3:$A$114,0), MATCH(D129,'アイテム'!$C$2:$AQ$2,0))</f>
        <v>19</v>
      </c>
      <c r="E131" s="322"/>
      <c r="F131" s="322"/>
      <c r="G131" s="114"/>
      <c r="H131" s="228"/>
      <c r="I131" s="228"/>
      <c r="J131" s="228"/>
      <c r="K131" s="118"/>
      <c r="L131" s="118"/>
      <c r="M131" s="118"/>
      <c r="N131" s="102"/>
      <c r="O131" s="102"/>
      <c r="P131" s="102"/>
      <c r="Q131" s="102"/>
      <c r="R131" s="118"/>
      <c r="S131" s="118"/>
      <c r="T131" s="118"/>
      <c r="U131" s="118"/>
      <c r="V131" s="118"/>
    </row>
    <row r="132" outlineLevel="1">
      <c r="A132" s="329" t="s">
        <v>259</v>
      </c>
      <c r="B132" s="327" t="s">
        <v>216</v>
      </c>
      <c r="C132" s="328">
        <f t="array" ref="C132">INDEX('アイテム'!$AA$3:$AB$114, MATCH($A$1,'アイテム'!$A$3:$A$114,0), MATCH(C129,'アイテム'!$C$2:$AQ$2,0))</f>
        <v>3</v>
      </c>
      <c r="D132" s="328" t="str">
        <f t="array" ref="D132">INDEX('アイテム'!$AA$3:$AB$114, MATCH($A$1,'アイテム'!$A$3:$A$114,0), MATCH(D129,'アイテム'!$C$2:$AQ$2,0))</f>
        <v>12</v>
      </c>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260</v>
      </c>
      <c r="B133" s="109"/>
      <c r="C133" s="325" t="s">
        <v>261</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262</v>
      </c>
      <c r="B134" s="327" t="s">
        <v>226</v>
      </c>
      <c r="C134" s="328" t="str">
        <f t="array" ref="C134">INDEX('アイテム'!$G$3:$H$114, MATCH($A$1,'アイテム'!$A$3:$A$114,0), MATCH(C129,'アイテム'!$C$2:$AQ$2,0))</f>
        <v>9</v>
      </c>
      <c r="D134" s="328">
        <f t="array" ref="D134">INDEX('アイテム'!$G$3:$H$114, MATCH($A$1,'アイテム'!$A$3:$A$114,0), MATCH(D129,'アイテム'!$C$2:$AQ$2,0))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229</v>
      </c>
      <c r="C135" s="328" t="str">
        <f t="array" ref="C135">INDEX('アイテム'!$I$3:$J$114, MATCH($A$1,'アイテム'!$A$3:$A$114,0), MATCH(C129,'アイテム'!$C$2:$AQ$2,0))</f>
        <v>8</v>
      </c>
      <c r="D135" s="328">
        <f t="array" ref="D135">INDEX('アイテム'!$I$3:$J$114, MATCH($A$1,'アイテム'!$A$3:$A$114,0), MATCH(D129,'アイテム'!$C$2:$AQ$2,0))</f>
        <v>24</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233</v>
      </c>
      <c r="C136" s="328" t="str">
        <f t="array" ref="C136">INDEX('アイテム'!$K$3:$L$114, MATCH($A$1,'アイテム'!$A$3:$A$114,0), MATCH(C129,'アイテム'!$C$2:$AQ$2,0))</f>
        <v>8</v>
      </c>
      <c r="D136" s="328">
        <f t="array" ref="D136">INDEX('アイテム'!$K$3:$L$114, MATCH($A$1,'アイテム'!$A$3:$A$114,0), MATCH(D129,'アイテム'!$C$2:$AQ$2,0))</f>
        <v>23</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234</v>
      </c>
      <c r="C137" s="328" t="str">
        <f t="array" ref="C137">INDEX('アイテム'!$M$3:$N$114, MATCH($A$1,'アイテム'!$A$3:$A$114,0), MATCH(C129,'アイテム'!$C$2:$AQ$2,0))</f>
        <v>8</v>
      </c>
      <c r="D137" s="328">
        <f t="array" ref="D137">INDEX('アイテム'!$M$3:$N$114, MATCH($A$1,'アイテム'!$A$3:$A$114,0), MATCH(D129,'アイテム'!$C$2:$AQ$2,0))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219</v>
      </c>
      <c r="C138" s="328" t="str">
        <f t="array" ref="C138">INDEX('アイテム'!$O$3:$P$114, MATCH($A$1,'アイテム'!$A$3:$A$114,0), MATCH(C129,'アイテム'!$C$2:$AQ$2,0))</f>
        <v>5</v>
      </c>
      <c r="D138" s="328">
        <f t="array" ref="D138">INDEX('アイテム'!$O$3:$P$114, MATCH($A$1,'アイテム'!$A$3:$A$114,0), MATCH(D129,'アイテム'!$C$2:$AQ$2,0))</f>
        <v>29</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263</v>
      </c>
      <c r="C139" s="328" t="str">
        <f t="array" ref="C139">INDEX('アイテム'!$Q$3:$R$114, MATCH($A$1,'アイテム'!$A$3:$A$114,0), MATCH(C129,'アイテム'!$C$2:$AQ$2,0))</f>
        <v>8</v>
      </c>
      <c r="D139" s="328">
        <f t="array" ref="D139">INDEX('アイテム'!$Q$3:$R$114, MATCH($A$1,'アイテム'!$A$3:$A$114,0), MATCH(D129,'アイテム'!$C$2:$AQ$2,0))</f>
        <v>23</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264</v>
      </c>
      <c r="B140" s="327" t="s">
        <v>226</v>
      </c>
      <c r="C140" s="328" t="str">
        <f t="array" ref="C140">INDEX('アイテム'!$S$3:$T$114, MATCH($A$1,'アイテム'!$A$3:$A$114,0), MATCH(C129,'アイテム'!$C$2:$AQ$2,0))</f>
        <v>9</v>
      </c>
      <c r="D140" s="328">
        <f t="array" ref="D140">INDEX('アイテム'!$S$3:$T$114, MATCH($A$1,'アイテム'!$A$3:$A$114,0), MATCH(D129,'アイテム'!$C$2:$AQ$2,0))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INDEX('アイテム'!$U$3:$V$114, MATCH($A$1,'アイテム'!$A$3:$A$114,0), MATCH(C129,'アイテム'!$C$2:$AQ$2,0))</f>
        <v>8</v>
      </c>
      <c r="D141" s="328">
        <f t="array" ref="D141">INDEX('アイテム'!$U$3:$V$114, MATCH($A$1,'アイテム'!$A$3:$A$114,0), MATCH(D129,'アイテム'!$C$2:$AQ$2,0))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INDEX('アイテム'!$W$3:$X$114, MATCH($A$1,'アイテム'!$A$3:$A$114,0), MATCH(C129,'アイテム'!$C$2:$AQ$2,0))</f>
        <v>8</v>
      </c>
      <c r="D142" s="328">
        <f t="array" ref="D142">INDEX('アイテム'!$W$3:$X$114, MATCH($A$1,'アイテム'!$A$3:$A$114,0), MATCH(D129,'アイテム'!$C$2:$AQ$2,0))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234</v>
      </c>
      <c r="C143" s="328" t="str">
        <f t="array" ref="C143">INDEX('アイテム'!$Y$3:$Z$114, MATCH($A$1,'アイテム'!$A$3:$A$114,0), MATCH(C129,'アイテム'!$C$2:$AQ$2,0))</f>
        <v>8</v>
      </c>
      <c r="D143" s="328">
        <f t="array" ref="D143">INDEX('アイテム'!$Y$3:$Z$114, MATCH($A$1,'アイテム'!$A$3:$A$114,0), MATCH(D129,'アイテム'!$C$2:$AQ$2,0))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265</v>
      </c>
      <c r="B144" s="327" t="s">
        <v>226</v>
      </c>
      <c r="C144" s="328">
        <f t="array" ref="C144">INDEX('アイテム'!$AC$3:$AD$114, MATCH($A$1,'アイテム'!$A$3:$A$114,0), MATCH(C129,'アイテム'!$C$2:$AQ$2,0))</f>
        <v>18</v>
      </c>
      <c r="D144" s="328" t="str">
        <f t="array" ref="D144">INDEX('アイテム'!$AC$3:$AD$114, MATCH($A$1,'アイテム'!$A$3:$A$114,0), MATCH(D129,'アイテム'!$C$2:$AQ$2,0))</f>
        <v>30</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f t="array" ref="C145">INDEX('アイテム'!$AE$3:$AF$114, MATCH($A$1,'アイテム'!$A$3:$A$114,0), MATCH(C129,'アイテム'!$C$2:$AQ$2,0))</f>
        <v>16</v>
      </c>
      <c r="D145" s="328" t="str">
        <f t="array" ref="D145">INDEX('アイテム'!$AE$3:$AF$114, MATCH($A$1,'アイテム'!$A$3:$A$114,0), MATCH(D129,'アイテム'!$C$2:$AQ$2,0))</f>
        <v>30</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f t="array" ref="C146">INDEX('アイテム'!$AG$3:$AH$114, MATCH($A$1,'アイテム'!$A$3:$A$114,0), MATCH(C129,'アイテム'!$C$2:$AQ$2,0))</f>
        <v>11</v>
      </c>
      <c r="D146" s="328" t="str">
        <f t="array" ref="D146">INDEX('アイテム'!$AG$3:$AH$114, MATCH($A$1,'アイテム'!$A$3:$A$114,0), MATCH(D129,'アイテム'!$C$2:$AQ$2,0))</f>
        <v>22</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f t="array" ref="C147">INDEX('アイテム'!$AI$3:$AJ$114, MATCH($A$1,'アイテム'!$A$3:$A$114,0), MATCH(C129,'アイテム'!$C$2:$AQ$2,0))</f>
        <v>14</v>
      </c>
      <c r="D147" s="328" t="str">
        <f t="array" ref="D147">INDEX('アイテム'!$AI$3:$AJ$114, MATCH($A$1,'アイテム'!$A$3:$A$114,0), MATCH(D129,'アイテム'!$C$2:$AQ$2,0))</f>
        <v>22</v>
      </c>
      <c r="E147" s="322"/>
      <c r="F147" s="322"/>
      <c r="G147" s="114"/>
      <c r="H147" s="228"/>
      <c r="I147" s="228"/>
      <c r="J147" s="228"/>
      <c r="K147" s="118"/>
      <c r="L147" s="118"/>
      <c r="M147" s="118"/>
      <c r="N147" s="102"/>
      <c r="O147" s="102"/>
      <c r="P147" s="102"/>
      <c r="Q147" s="102"/>
      <c r="R147" s="118"/>
      <c r="S147" s="118"/>
      <c r="T147" s="118"/>
      <c r="U147" s="118"/>
      <c r="V147" s="118"/>
    </row>
  </sheetData>
  <mergeCells count="127">
    <mergeCell ref="H25:J25"/>
    <mergeCell ref="H26:J26"/>
    <mergeCell ref="H27:J28"/>
    <mergeCell ref="H29:J29"/>
    <mergeCell ref="H30:J32"/>
    <mergeCell ref="H33:J33"/>
    <mergeCell ref="H34:J34"/>
    <mergeCell ref="I41:I44"/>
    <mergeCell ref="J41:J44"/>
    <mergeCell ref="H53:J53"/>
    <mergeCell ref="H54:J57"/>
    <mergeCell ref="H58:J58"/>
    <mergeCell ref="H59:J60"/>
    <mergeCell ref="H63:J63"/>
    <mergeCell ref="H64:J67"/>
    <mergeCell ref="H68:J68"/>
    <mergeCell ref="H69:J72"/>
    <mergeCell ref="G80:J80"/>
    <mergeCell ref="G81:J82"/>
    <mergeCell ref="G83:J84"/>
    <mergeCell ref="G85:J86"/>
    <mergeCell ref="K115:K118"/>
    <mergeCell ref="K119:L119"/>
    <mergeCell ref="K122:L122"/>
    <mergeCell ref="G87:J88"/>
    <mergeCell ref="K99:L99"/>
    <mergeCell ref="K100:K101"/>
    <mergeCell ref="K102:L102"/>
    <mergeCell ref="K103:K108"/>
    <mergeCell ref="K109:K112"/>
    <mergeCell ref="K113:L113"/>
    <mergeCell ref="A36:A37"/>
    <mergeCell ref="D36:D37"/>
    <mergeCell ref="A39:B40"/>
    <mergeCell ref="A41:A44"/>
    <mergeCell ref="D41:D44"/>
    <mergeCell ref="A47:A49"/>
    <mergeCell ref="D47:D49"/>
    <mergeCell ref="A52:B52"/>
    <mergeCell ref="A53:B53"/>
    <mergeCell ref="A54:A55"/>
    <mergeCell ref="A58:B58"/>
    <mergeCell ref="A59:A60"/>
    <mergeCell ref="A63:B63"/>
    <mergeCell ref="D66:D67"/>
    <mergeCell ref="D81:D82"/>
    <mergeCell ref="D83:D84"/>
    <mergeCell ref="D85:D86"/>
    <mergeCell ref="D87:D88"/>
    <mergeCell ref="A64:A67"/>
    <mergeCell ref="A68:B68"/>
    <mergeCell ref="A74:B75"/>
    <mergeCell ref="A77:A79"/>
    <mergeCell ref="A80:B80"/>
    <mergeCell ref="A81:A82"/>
    <mergeCell ref="A83:A84"/>
    <mergeCell ref="A85:A86"/>
    <mergeCell ref="A87:A88"/>
    <mergeCell ref="A90:B91"/>
    <mergeCell ref="A92:A94"/>
    <mergeCell ref="A95:A96"/>
    <mergeCell ref="A98:B99"/>
    <mergeCell ref="A100:A104"/>
    <mergeCell ref="C118:C119"/>
    <mergeCell ref="C125:C126"/>
    <mergeCell ref="A120:A126"/>
    <mergeCell ref="A128:B128"/>
    <mergeCell ref="A129:B129"/>
    <mergeCell ref="A130:A131"/>
    <mergeCell ref="A133:B133"/>
    <mergeCell ref="A134:A139"/>
    <mergeCell ref="A140:A143"/>
    <mergeCell ref="A144:A147"/>
    <mergeCell ref="A105:A107"/>
    <mergeCell ref="A108:A113"/>
    <mergeCell ref="C112:C113"/>
    <mergeCell ref="D112:D113"/>
    <mergeCell ref="A114:A119"/>
    <mergeCell ref="D118:D119"/>
    <mergeCell ref="D125:D126"/>
    <mergeCell ref="A61:A62"/>
    <mergeCell ref="A70:A72"/>
    <mergeCell ref="D70:D71"/>
    <mergeCell ref="U59:U62"/>
    <mergeCell ref="V59:V62"/>
    <mergeCell ref="H61:J62"/>
    <mergeCell ref="U64:U67"/>
    <mergeCell ref="V64:V67"/>
    <mergeCell ref="U69:U72"/>
    <mergeCell ref="V69:V72"/>
    <mergeCell ref="H6:H7"/>
    <mergeCell ref="H10:H11"/>
    <mergeCell ref="H1:J2"/>
    <mergeCell ref="K1:M2"/>
    <mergeCell ref="H4:H5"/>
    <mergeCell ref="I4:I5"/>
    <mergeCell ref="I6:I7"/>
    <mergeCell ref="H8:J9"/>
    <mergeCell ref="I10:I11"/>
    <mergeCell ref="K16:N16"/>
    <mergeCell ref="A27:A28"/>
    <mergeCell ref="D27:D28"/>
    <mergeCell ref="U27:U28"/>
    <mergeCell ref="A30:A32"/>
    <mergeCell ref="D30:D32"/>
    <mergeCell ref="U30:U32"/>
    <mergeCell ref="C1:G12"/>
    <mergeCell ref="A11:B12"/>
    <mergeCell ref="A15:B16"/>
    <mergeCell ref="C16:D16"/>
    <mergeCell ref="E16:F16"/>
    <mergeCell ref="G16:H16"/>
    <mergeCell ref="A24:B25"/>
    <mergeCell ref="H35:J35"/>
    <mergeCell ref="H36:J37"/>
    <mergeCell ref="U36:U37"/>
    <mergeCell ref="R40:V40"/>
    <mergeCell ref="R41:V44"/>
    <mergeCell ref="R45:V45"/>
    <mergeCell ref="R46:V46"/>
    <mergeCell ref="I47:I49"/>
    <mergeCell ref="J47:J49"/>
    <mergeCell ref="R47:V49"/>
    <mergeCell ref="R50:V50"/>
    <mergeCell ref="U54:U57"/>
    <mergeCell ref="V54:V57"/>
    <mergeCell ref="A56:A57"/>
  </mergeCells>
  <conditionalFormatting sqref="K1:K15 K17:K58 K60 K62:K63 K65:K86 K88:K123">
    <cfRule type="containsText" dxfId="0" priority="1" operator="containsText" text="361">
      <formula>NOT(ISERROR(SEARCH(("361"),(K1))))</formula>
    </cfRule>
  </conditionalFormatting>
  <conditionalFormatting sqref="K1:K15 K17:K58 K60 K62:K63 K65:K86 K88:K123">
    <cfRule type="containsText" dxfId="1" priority="2" operator="containsText" text="363">
      <formula>NOT(ISERROR(SEARCH(("363"),(K1))))</formula>
    </cfRule>
  </conditionalFormatting>
  <conditionalFormatting sqref="K1:K15 K17:K58 K60 K62:K63 K65:K86 K88:K123">
    <cfRule type="containsText" dxfId="1" priority="3" operator="containsText" text="365">
      <formula>NOT(ISERROR(SEARCH(("365"),(K1))))</formula>
    </cfRule>
  </conditionalFormatting>
  <conditionalFormatting sqref="K1:K15 K17:K58 K60 K62:K63 K65:K86 K88:K123">
    <cfRule type="containsText" dxfId="1" priority="4" operator="containsText" text="366">
      <formula>NOT(ISERROR(SEARCH(("366"),(K1))))</formula>
    </cfRule>
  </conditionalFormatting>
  <conditionalFormatting sqref="K1:K15 K17:K58 K60 K62:K63 K65:K86 K88:K123">
    <cfRule type="containsText" dxfId="1" priority="5" operator="containsText" text="367">
      <formula>NOT(ISERROR(SEARCH(("367"),(K1))))</formula>
    </cfRule>
  </conditionalFormatting>
  <conditionalFormatting sqref="P81:P86">
    <cfRule type="cellIs" dxfId="2" priority="6" operator="equal">
      <formula>"敵のみ"</formula>
    </cfRule>
  </conditionalFormatting>
  <conditionalFormatting sqref="C81:C86 C88">
    <cfRule type="cellIs" dxfId="3" priority="7" operator="equal">
      <formula>"-"</formula>
    </cfRule>
  </conditionalFormatting>
  <conditionalFormatting sqref="O1:O58 O60 O62:O63 O65:O86 O89:O147">
    <cfRule type="cellIs" dxfId="4" priority="8" operator="greaterThan">
      <formula>0</formula>
    </cfRule>
  </conditionalFormatting>
  <conditionalFormatting sqref="P1:Q58 P60:Q60 P62:Q63 P65:Q86 P89:Q147">
    <cfRule type="cellIs" dxfId="5" priority="9" operator="lessThan">
      <formula>1</formula>
    </cfRule>
  </conditionalFormatting>
  <conditionalFormatting sqref="P1:Q58 P60:Q60 P62:Q63 P65:Q86 P89:Q147">
    <cfRule type="cellIs" dxfId="4" priority="10" operator="greaterThan">
      <formula>1</formula>
    </cfRule>
  </conditionalFormatting>
  <conditionalFormatting sqref="N25:N58 N60 N62:N63 N65:N86 N88">
    <cfRule type="cellIs" dxfId="6" priority="11" operator="greaterThan">
      <formula>0</formula>
    </cfRule>
  </conditionalFormatting>
  <conditionalFormatting sqref="N1:N15 N17:N58 N60 N62:N63 N65:N86 N88:N147">
    <cfRule type="containsText" dxfId="6" priority="12" operator="containsText" text="/">
      <formula>NOT(ISERROR(SEARCH(("/"),(N1))))</formula>
    </cfRule>
  </conditionalFormatting>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974A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327">
        <v>24.0</v>
      </c>
      <c r="B1" s="1328"/>
      <c r="C1" s="1329" t="str">
        <f>IMAGE(VLOOKUP($A$1,Fighters!A2:AI114,12,FALSE),1)</f>
        <v>#REF!</v>
      </c>
      <c r="D1" s="1330"/>
      <c r="E1" s="1330"/>
      <c r="F1" s="1330"/>
      <c r="G1" s="1331"/>
      <c r="H1" s="1332"/>
      <c r="I1" s="1330"/>
      <c r="J1" s="1331"/>
      <c r="K1" s="1333"/>
      <c r="L1" s="1330"/>
      <c r="M1" s="1331"/>
      <c r="N1" s="1334"/>
      <c r="O1" s="1334"/>
      <c r="P1" s="1334"/>
      <c r="Q1" s="1334"/>
      <c r="R1" s="1335"/>
      <c r="S1" s="1335"/>
      <c r="T1" s="1335"/>
      <c r="U1" s="1335"/>
      <c r="V1" s="1335"/>
    </row>
    <row r="2">
      <c r="A2" s="1336" t="str">
        <f>VLOOKUP($A$1,Fighters!$A$2:$AI$81,6,FALSE)</f>
        <v>#7974a4</v>
      </c>
      <c r="B2" s="1328"/>
      <c r="C2" s="1337"/>
      <c r="G2" s="1338"/>
      <c r="H2" s="1339"/>
      <c r="I2" s="1340"/>
      <c r="J2" s="1341"/>
      <c r="K2" s="1339"/>
      <c r="L2" s="1340"/>
      <c r="M2" s="1341"/>
      <c r="N2" s="1334"/>
      <c r="O2" s="1334"/>
      <c r="P2" s="1334"/>
      <c r="Q2" s="1334"/>
      <c r="R2" s="1335"/>
      <c r="S2" s="1335"/>
      <c r="T2" s="1335"/>
      <c r="U2" s="1335"/>
      <c r="V2" s="1335"/>
    </row>
    <row r="3">
      <c r="A3" s="1336" t="str">
        <f>VLOOKUP($A$1,Fighters!$A$2:$AI$81,14,FALSE)</f>
        <v>24. ミュウツー</v>
      </c>
      <c r="B3" s="1328"/>
      <c r="C3" s="1337"/>
      <c r="G3" s="1338"/>
      <c r="H3" s="1342"/>
      <c r="I3" s="1342"/>
      <c r="J3" s="1342"/>
      <c r="K3" s="1343"/>
      <c r="L3" s="1343"/>
      <c r="M3" s="1343"/>
      <c r="N3" s="1334"/>
      <c r="O3" s="1334"/>
      <c r="P3" s="1334"/>
      <c r="Q3" s="1334"/>
      <c r="R3" s="1344"/>
      <c r="S3" s="1335"/>
      <c r="T3" s="1335"/>
      <c r="U3" s="1335"/>
      <c r="V3" s="1335"/>
    </row>
    <row r="4">
      <c r="A4" s="1336" t="str">
        <f>VLOOKUP($A$1,Fighters!$A$2:$AI$81,13,FALSE)</f>
        <v>1</v>
      </c>
      <c r="B4" s="1328"/>
      <c r="C4" s="1337"/>
      <c r="G4" s="1338"/>
      <c r="H4" s="1345"/>
      <c r="I4" s="1345"/>
      <c r="J4" s="1342"/>
      <c r="K4" s="1343"/>
      <c r="L4" s="1343"/>
      <c r="M4" s="1343"/>
      <c r="N4" s="1334"/>
      <c r="O4" s="1334"/>
      <c r="P4" s="1334"/>
      <c r="Q4" s="1334"/>
      <c r="R4" s="1344"/>
      <c r="S4" s="1335"/>
      <c r="T4" s="1335"/>
      <c r="U4" s="1335"/>
      <c r="V4" s="1335"/>
    </row>
    <row r="5" ht="16.5" customHeight="1">
      <c r="A5" s="1327"/>
      <c r="B5" s="1328"/>
      <c r="C5" s="1337"/>
      <c r="G5" s="1338"/>
      <c r="H5" s="1346"/>
      <c r="I5" s="1346"/>
      <c r="J5" s="1347"/>
      <c r="K5" s="1348"/>
      <c r="L5" s="1349"/>
      <c r="M5" s="1349"/>
      <c r="N5" s="1334"/>
      <c r="O5" s="1334"/>
      <c r="P5" s="1334"/>
      <c r="Q5" s="1334"/>
      <c r="R5" s="1344"/>
      <c r="S5" s="1335"/>
      <c r="T5" s="1335"/>
      <c r="U5" s="1335"/>
      <c r="V5" s="1335"/>
    </row>
    <row r="6">
      <c r="A6" s="1328"/>
      <c r="B6" s="1328"/>
      <c r="C6" s="1337"/>
      <c r="G6" s="1338"/>
      <c r="H6" s="1345"/>
      <c r="I6" s="1350" t="s">
        <v>39</v>
      </c>
      <c r="J6" s="1348"/>
      <c r="K6" s="1351"/>
      <c r="L6" s="1349"/>
      <c r="M6" s="1349"/>
      <c r="N6" s="1334"/>
      <c r="O6" s="1334"/>
      <c r="P6" s="1334"/>
      <c r="Q6" s="1334"/>
      <c r="R6" s="1344"/>
      <c r="S6" s="1335"/>
      <c r="T6" s="1335"/>
      <c r="U6" s="1335"/>
      <c r="V6" s="1335"/>
    </row>
    <row r="7">
      <c r="A7" s="1328"/>
      <c r="B7" s="1328"/>
      <c r="C7" s="1337"/>
      <c r="G7" s="1338"/>
      <c r="H7" s="1346"/>
      <c r="I7" s="1346"/>
      <c r="J7" s="1348"/>
      <c r="K7" s="1351"/>
      <c r="L7" s="1349"/>
      <c r="M7" s="1349"/>
      <c r="N7" s="1334"/>
      <c r="O7" s="1334"/>
      <c r="P7" s="1334"/>
      <c r="Q7" s="1334"/>
      <c r="R7" s="1344"/>
      <c r="S7" s="1335"/>
      <c r="T7" s="1335"/>
      <c r="U7" s="1335"/>
      <c r="V7" s="1335"/>
    </row>
    <row r="8">
      <c r="A8" s="1328"/>
      <c r="B8" s="1328"/>
      <c r="C8" s="1337"/>
      <c r="G8" s="1338"/>
      <c r="H8" s="1352">
        <v>44533.41257021991</v>
      </c>
      <c r="I8" s="1330"/>
      <c r="J8" s="1331"/>
      <c r="K8" s="1348"/>
      <c r="L8" s="1349"/>
      <c r="M8" s="1349"/>
      <c r="N8" s="1334"/>
      <c r="O8" s="1334"/>
      <c r="P8" s="1334"/>
      <c r="Q8" s="1334"/>
      <c r="R8" s="1344"/>
      <c r="S8" s="1335"/>
      <c r="T8" s="1335"/>
      <c r="U8" s="1335"/>
      <c r="V8" s="1335"/>
    </row>
    <row r="9">
      <c r="A9" s="1328"/>
      <c r="B9" s="1328"/>
      <c r="C9" s="1337"/>
      <c r="G9" s="1338"/>
      <c r="H9" s="1339"/>
      <c r="I9" s="1340"/>
      <c r="J9" s="1341"/>
      <c r="K9" s="1335"/>
      <c r="L9" s="1334"/>
      <c r="M9" s="1334"/>
      <c r="N9" s="1334"/>
      <c r="O9" s="1334"/>
      <c r="P9" s="1334"/>
      <c r="Q9" s="1334"/>
      <c r="R9" s="1344"/>
      <c r="S9" s="1335"/>
      <c r="T9" s="1335"/>
      <c r="U9" s="1335"/>
      <c r="V9" s="1335"/>
    </row>
    <row r="10">
      <c r="A10" s="1328"/>
      <c r="B10" s="1328"/>
      <c r="C10" s="1337"/>
      <c r="G10" s="1338"/>
      <c r="H10" s="1353"/>
      <c r="I10" s="1353"/>
      <c r="J10" s="1335"/>
      <c r="K10" s="1335"/>
      <c r="L10" s="1334"/>
      <c r="M10" s="1334"/>
      <c r="N10" s="1334"/>
      <c r="O10" s="1334"/>
      <c r="P10" s="1334"/>
      <c r="Q10" s="1334"/>
      <c r="R10" s="1344"/>
      <c r="S10" s="1335"/>
      <c r="T10" s="1335"/>
      <c r="U10" s="1335"/>
      <c r="V10" s="1335"/>
    </row>
    <row r="11">
      <c r="A11" s="1354" t="s">
        <v>40</v>
      </c>
      <c r="B11" s="1331"/>
      <c r="C11" s="1337"/>
      <c r="G11" s="1338"/>
      <c r="H11" s="1346"/>
      <c r="I11" s="1346"/>
      <c r="J11" s="1335"/>
      <c r="K11" s="1335"/>
      <c r="L11" s="1334"/>
      <c r="M11" s="1334"/>
      <c r="N11" s="1334"/>
      <c r="O11" s="1334"/>
      <c r="P11" s="1334"/>
      <c r="Q11" s="1334"/>
      <c r="R11" s="1344"/>
      <c r="S11" s="1335"/>
      <c r="T11" s="1335"/>
      <c r="U11" s="1335"/>
      <c r="V11" s="1335"/>
    </row>
    <row r="12">
      <c r="A12" s="1339"/>
      <c r="B12" s="1341"/>
      <c r="C12" s="1339"/>
      <c r="D12" s="1340"/>
      <c r="E12" s="1340"/>
      <c r="F12" s="1340"/>
      <c r="G12" s="1341"/>
      <c r="H12" s="1355"/>
      <c r="I12" s="1355"/>
      <c r="J12" s="1328"/>
      <c r="K12" s="1328"/>
      <c r="L12" s="1334"/>
      <c r="M12" s="1334"/>
      <c r="N12" s="1334"/>
      <c r="O12" s="1334"/>
      <c r="P12" s="1334"/>
      <c r="Q12" s="1334"/>
      <c r="R12" s="1344"/>
      <c r="S12" s="1335"/>
      <c r="T12" s="1335"/>
      <c r="U12" s="1335"/>
      <c r="V12" s="1335"/>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79 [79th]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2.255 [6th]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1.26 [18th]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[77th]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31.11 [55th]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2.255 [9th]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17.5 [18th]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1.313 [3rd]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 [48th]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57.35 [1st]</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1.55 [53rd]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0.016 [8th]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2.48 [51st]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0.082 [62nd]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56" t="s">
        <v>267</v>
      </c>
      <c r="D26" s="162" t="s">
        <v>65</v>
      </c>
      <c r="E26" s="139" t="s">
        <v>204</v>
      </c>
      <c r="F26" s="138">
        <v>3.5999999999999996</v>
      </c>
      <c r="G26" s="139" t="s">
        <v>147</v>
      </c>
      <c r="H26" s="362" t="s">
        <v>1999</v>
      </c>
      <c r="I26" s="110"/>
      <c r="J26" s="109"/>
      <c r="K26" s="138"/>
      <c r="L26" s="282"/>
      <c r="M26" s="363"/>
      <c r="N26" s="363"/>
      <c r="O26" s="145">
        <v>0.0</v>
      </c>
      <c r="P26" s="145">
        <v>1.0</v>
      </c>
      <c r="Q26" s="145">
        <v>1.0</v>
      </c>
      <c r="R26" s="100"/>
      <c r="S26" s="100"/>
      <c r="T26" s="100"/>
      <c r="U26" s="145" t="s">
        <v>69</v>
      </c>
      <c r="V26" s="100"/>
    </row>
    <row r="27" outlineLevel="1">
      <c r="A27" s="146"/>
      <c r="B27" s="147" t="s">
        <v>703</v>
      </c>
      <c r="C27" s="657"/>
      <c r="D27" s="214" t="s">
        <v>176</v>
      </c>
      <c r="E27" s="659"/>
      <c r="F27" s="658"/>
      <c r="G27" s="659"/>
      <c r="H27" s="159"/>
      <c r="I27" s="110"/>
      <c r="J27" s="109"/>
      <c r="K27" s="261"/>
      <c r="L27" s="261"/>
      <c r="M27" s="261"/>
      <c r="N27" s="261"/>
      <c r="O27" s="261"/>
      <c r="P27" s="261"/>
      <c r="Q27" s="261"/>
      <c r="R27" s="100"/>
      <c r="S27" s="100"/>
      <c r="T27" s="100"/>
      <c r="U27" s="145" t="s">
        <v>76</v>
      </c>
      <c r="V27" s="100"/>
    </row>
    <row r="28" outlineLevel="1">
      <c r="A28" s="146"/>
      <c r="B28" s="147" t="s">
        <v>704</v>
      </c>
      <c r="C28" s="214" t="s">
        <v>2000</v>
      </c>
      <c r="D28" s="214" t="s">
        <v>1114</v>
      </c>
      <c r="E28" s="467" t="s">
        <v>1375</v>
      </c>
      <c r="F28" s="138">
        <v>0.96</v>
      </c>
      <c r="G28" s="450" t="s">
        <v>147</v>
      </c>
      <c r="H28" s="140" t="s">
        <v>2001</v>
      </c>
      <c r="I28" s="110"/>
      <c r="J28" s="109"/>
      <c r="K28" s="282"/>
      <c r="L28" s="282"/>
      <c r="M28" s="363"/>
      <c r="N28" s="363"/>
      <c r="O28" s="145">
        <v>0.0</v>
      </c>
      <c r="P28" s="145">
        <v>1.0</v>
      </c>
      <c r="Q28" s="145">
        <v>1.0</v>
      </c>
      <c r="R28" s="100"/>
      <c r="S28" s="100"/>
      <c r="T28" s="100"/>
      <c r="U28" s="145" t="s">
        <v>76</v>
      </c>
      <c r="V28" s="100"/>
    </row>
    <row r="29" outlineLevel="1">
      <c r="A29" s="156"/>
      <c r="B29" s="147" t="s">
        <v>708</v>
      </c>
      <c r="C29" s="616" t="s">
        <v>217</v>
      </c>
      <c r="D29" s="216" t="s">
        <v>628</v>
      </c>
      <c r="E29" s="216" t="s">
        <v>535</v>
      </c>
      <c r="F29" s="138">
        <v>3.0</v>
      </c>
      <c r="G29" s="467" t="s">
        <v>147</v>
      </c>
      <c r="H29" s="140" t="s">
        <v>411</v>
      </c>
      <c r="I29" s="110"/>
      <c r="J29" s="109"/>
      <c r="K29" s="282"/>
      <c r="L29" s="282"/>
      <c r="M29" s="363"/>
      <c r="N29" s="363"/>
      <c r="O29" s="145">
        <v>0.0</v>
      </c>
      <c r="P29" s="145">
        <v>1.0</v>
      </c>
      <c r="Q29" s="145">
        <v>1.0</v>
      </c>
      <c r="R29" s="100"/>
      <c r="S29" s="100"/>
      <c r="T29" s="100"/>
      <c r="U29" s="145" t="s">
        <v>76</v>
      </c>
      <c r="V29" s="100"/>
    </row>
    <row r="30" outlineLevel="1">
      <c r="A30" s="133" t="s">
        <v>77</v>
      </c>
      <c r="B30" s="160"/>
      <c r="C30" s="467" t="s">
        <v>223</v>
      </c>
      <c r="D30" s="455" t="s">
        <v>282</v>
      </c>
      <c r="E30" s="216" t="s">
        <v>1509</v>
      </c>
      <c r="F30" s="138" t="s">
        <v>1510</v>
      </c>
      <c r="G30" s="162" t="s">
        <v>2002</v>
      </c>
      <c r="H30" s="386" t="s">
        <v>2003</v>
      </c>
      <c r="I30" s="164"/>
      <c r="J30" s="104"/>
      <c r="K30" s="138"/>
      <c r="L30" s="282"/>
      <c r="M30" s="363"/>
      <c r="N30" s="363"/>
      <c r="O30" s="145">
        <v>1.0</v>
      </c>
      <c r="P30" s="145">
        <v>1.0</v>
      </c>
      <c r="Q30" s="145">
        <v>1.0</v>
      </c>
      <c r="R30" s="100"/>
      <c r="S30" s="100"/>
      <c r="T30" s="100"/>
      <c r="U30" s="166" t="s">
        <v>69</v>
      </c>
      <c r="V30" s="100"/>
    </row>
    <row r="31" outlineLevel="1">
      <c r="A31" s="156"/>
      <c r="B31" s="147" t="s">
        <v>84</v>
      </c>
      <c r="C31" s="467" t="s">
        <v>2004</v>
      </c>
      <c r="D31" s="107"/>
      <c r="E31" s="216" t="s">
        <v>2005</v>
      </c>
      <c r="F31" s="138" t="s">
        <v>2006</v>
      </c>
      <c r="G31" s="162" t="s">
        <v>1590</v>
      </c>
      <c r="H31" s="106"/>
      <c r="I31" s="168"/>
      <c r="J31" s="107"/>
      <c r="K31" s="282"/>
      <c r="L31" s="282"/>
      <c r="M31" s="363"/>
      <c r="N31" s="363"/>
      <c r="O31" s="145">
        <v>1.0</v>
      </c>
      <c r="P31" s="145">
        <v>1.0</v>
      </c>
      <c r="Q31" s="145">
        <v>1.0</v>
      </c>
      <c r="R31" s="100"/>
      <c r="S31" s="100"/>
      <c r="T31" s="100"/>
      <c r="U31" s="156"/>
      <c r="V31" s="100"/>
    </row>
    <row r="32" outlineLevel="1">
      <c r="A32" s="170" t="s">
        <v>89</v>
      </c>
      <c r="B32" s="147" t="s">
        <v>90</v>
      </c>
      <c r="C32" s="467" t="s">
        <v>223</v>
      </c>
      <c r="D32" s="467" t="s">
        <v>193</v>
      </c>
      <c r="E32" s="450" t="s">
        <v>2007</v>
      </c>
      <c r="F32" s="138" t="s">
        <v>2008</v>
      </c>
      <c r="G32" s="139" t="s">
        <v>2009</v>
      </c>
      <c r="H32" s="159"/>
      <c r="I32" s="110"/>
      <c r="J32" s="109"/>
      <c r="K32" s="138"/>
      <c r="L32" s="282"/>
      <c r="M32" s="363"/>
      <c r="N32" s="363"/>
      <c r="O32" s="145">
        <v>0.0</v>
      </c>
      <c r="P32" s="145">
        <v>1.0</v>
      </c>
      <c r="Q32" s="145">
        <v>1.0</v>
      </c>
      <c r="R32" s="100"/>
      <c r="S32" s="100"/>
      <c r="T32" s="100"/>
      <c r="U32" s="145" t="s">
        <v>96</v>
      </c>
      <c r="V32" s="100"/>
    </row>
    <row r="33" outlineLevel="1">
      <c r="A33" s="133" t="s">
        <v>97</v>
      </c>
      <c r="B33" s="160"/>
      <c r="C33" s="467" t="s">
        <v>80</v>
      </c>
      <c r="D33" s="455" t="s">
        <v>99</v>
      </c>
      <c r="E33" s="450" t="s">
        <v>2010</v>
      </c>
      <c r="F33" s="138" t="s">
        <v>2011</v>
      </c>
      <c r="G33" s="139" t="s">
        <v>2012</v>
      </c>
      <c r="H33" s="456"/>
      <c r="I33" s="164"/>
      <c r="J33" s="104"/>
      <c r="K33" s="282"/>
      <c r="L33" s="282"/>
      <c r="M33" s="363"/>
      <c r="N33" s="363"/>
      <c r="O33" s="145">
        <v>0.0</v>
      </c>
      <c r="P33" s="145">
        <v>1.0</v>
      </c>
      <c r="Q33" s="145">
        <v>1.0</v>
      </c>
      <c r="R33" s="100"/>
      <c r="S33" s="100"/>
      <c r="T33" s="100"/>
      <c r="U33" s="166" t="s">
        <v>62</v>
      </c>
      <c r="V33" s="100"/>
    </row>
    <row r="34" outlineLevel="1">
      <c r="A34" s="156"/>
      <c r="B34" s="147" t="s">
        <v>84</v>
      </c>
      <c r="C34" s="467" t="s">
        <v>505</v>
      </c>
      <c r="D34" s="107"/>
      <c r="E34" s="450" t="s">
        <v>2013</v>
      </c>
      <c r="F34" s="138" t="s">
        <v>2014</v>
      </c>
      <c r="G34" s="139" t="s">
        <v>2015</v>
      </c>
      <c r="H34" s="106"/>
      <c r="I34" s="168"/>
      <c r="J34" s="107"/>
      <c r="K34" s="145"/>
      <c r="L34" s="363"/>
      <c r="M34" s="363"/>
      <c r="N34" s="363"/>
      <c r="O34" s="145">
        <v>0.0</v>
      </c>
      <c r="P34" s="145">
        <v>1.0</v>
      </c>
      <c r="Q34" s="145">
        <v>1.0</v>
      </c>
      <c r="R34" s="100"/>
      <c r="S34" s="100"/>
      <c r="T34" s="100"/>
      <c r="U34" s="156"/>
      <c r="V34" s="100"/>
    </row>
    <row r="35" outlineLevel="1">
      <c r="A35" s="170" t="s">
        <v>103</v>
      </c>
      <c r="B35" s="160"/>
      <c r="C35" s="467" t="s">
        <v>217</v>
      </c>
      <c r="D35" s="216" t="s">
        <v>173</v>
      </c>
      <c r="E35" s="467" t="s">
        <v>630</v>
      </c>
      <c r="F35" s="138" t="s">
        <v>631</v>
      </c>
      <c r="G35" s="139" t="s">
        <v>632</v>
      </c>
      <c r="H35" s="159"/>
      <c r="I35" s="110"/>
      <c r="J35" s="109"/>
      <c r="K35" s="145"/>
      <c r="L35" s="363"/>
      <c r="M35" s="363"/>
      <c r="N35" s="363"/>
      <c r="O35" s="145">
        <v>0.0</v>
      </c>
      <c r="P35" s="145">
        <v>1.0</v>
      </c>
      <c r="Q35" s="145">
        <v>1.0</v>
      </c>
      <c r="R35" s="100"/>
      <c r="S35" s="100"/>
      <c r="T35" s="100"/>
      <c r="U35" s="145" t="s">
        <v>62</v>
      </c>
      <c r="V35" s="100"/>
    </row>
    <row r="36" outlineLevel="1">
      <c r="A36" s="170" t="s">
        <v>109</v>
      </c>
      <c r="B36" s="147" t="s">
        <v>90</v>
      </c>
      <c r="C36" s="216" t="s">
        <v>667</v>
      </c>
      <c r="D36" s="467" t="s">
        <v>634</v>
      </c>
      <c r="E36" s="216" t="s">
        <v>2016</v>
      </c>
      <c r="F36" s="138" t="s">
        <v>2017</v>
      </c>
      <c r="G36" s="139" t="s">
        <v>2018</v>
      </c>
      <c r="H36" s="140" t="s">
        <v>2019</v>
      </c>
      <c r="I36" s="110"/>
      <c r="J36" s="109"/>
      <c r="K36" s="282"/>
      <c r="L36" s="282"/>
      <c r="M36" s="363"/>
      <c r="N36" s="363"/>
      <c r="O36" s="145">
        <v>0.0</v>
      </c>
      <c r="P36" s="145">
        <v>1.0</v>
      </c>
      <c r="Q36" s="145">
        <v>1.0</v>
      </c>
      <c r="R36" s="100"/>
      <c r="S36" s="100"/>
      <c r="T36" s="100"/>
      <c r="U36" s="145" t="s">
        <v>82</v>
      </c>
      <c r="V36" s="100"/>
    </row>
    <row r="37" outlineLevel="1">
      <c r="A37" s="133" t="s">
        <v>116</v>
      </c>
      <c r="B37" s="147" t="s">
        <v>125</v>
      </c>
      <c r="C37" s="467" t="s">
        <v>274</v>
      </c>
      <c r="D37" s="455" t="s">
        <v>1160</v>
      </c>
      <c r="E37" s="216" t="s">
        <v>176</v>
      </c>
      <c r="F37" s="138">
        <v>2.4</v>
      </c>
      <c r="G37" s="139" t="s">
        <v>60</v>
      </c>
      <c r="H37" s="283" t="s">
        <v>2020</v>
      </c>
      <c r="I37" s="164"/>
      <c r="J37" s="104"/>
      <c r="K37" s="363"/>
      <c r="L37" s="363"/>
      <c r="M37" s="363"/>
      <c r="N37" s="363"/>
      <c r="O37" s="145">
        <v>0.0</v>
      </c>
      <c r="P37" s="145">
        <v>1.0</v>
      </c>
      <c r="Q37" s="145">
        <v>1.0</v>
      </c>
      <c r="R37" s="100"/>
      <c r="S37" s="100"/>
      <c r="T37" s="100"/>
      <c r="U37" s="166" t="s">
        <v>62</v>
      </c>
      <c r="V37" s="100"/>
    </row>
    <row r="38" outlineLevel="1">
      <c r="A38" s="146"/>
      <c r="B38" s="147" t="s">
        <v>430</v>
      </c>
      <c r="C38" s="214" t="s">
        <v>223</v>
      </c>
      <c r="D38" s="210"/>
      <c r="E38" s="216" t="s">
        <v>176</v>
      </c>
      <c r="F38" s="138">
        <v>2.4</v>
      </c>
      <c r="G38" s="139" t="s">
        <v>60</v>
      </c>
      <c r="H38" s="212"/>
      <c r="J38" s="210"/>
      <c r="K38" s="363"/>
      <c r="L38" s="363"/>
      <c r="M38" s="363"/>
      <c r="N38" s="363"/>
      <c r="O38" s="145">
        <v>0.0</v>
      </c>
      <c r="P38" s="145">
        <v>1.0</v>
      </c>
      <c r="Q38" s="145">
        <v>1.0</v>
      </c>
      <c r="R38" s="100"/>
      <c r="S38" s="100"/>
      <c r="T38" s="100"/>
      <c r="U38" s="146"/>
      <c r="V38" s="100"/>
    </row>
    <row r="39" outlineLevel="1">
      <c r="A39" s="146"/>
      <c r="B39" s="147" t="s">
        <v>131</v>
      </c>
      <c r="C39" s="216" t="s">
        <v>295</v>
      </c>
      <c r="D39" s="210"/>
      <c r="E39" s="216" t="s">
        <v>176</v>
      </c>
      <c r="F39" s="138">
        <v>2.4</v>
      </c>
      <c r="G39" s="139" t="s">
        <v>60</v>
      </c>
      <c r="H39" s="212"/>
      <c r="J39" s="210"/>
      <c r="K39" s="363"/>
      <c r="L39" s="363"/>
      <c r="M39" s="363"/>
      <c r="N39" s="363"/>
      <c r="O39" s="145">
        <v>0.0</v>
      </c>
      <c r="P39" s="145">
        <v>1.0</v>
      </c>
      <c r="Q39" s="145">
        <v>1.0</v>
      </c>
      <c r="R39" s="100"/>
      <c r="S39" s="100"/>
      <c r="T39" s="100"/>
      <c r="U39" s="146"/>
      <c r="V39" s="100"/>
    </row>
    <row r="40" outlineLevel="1">
      <c r="A40" s="146"/>
      <c r="B40" s="147" t="s">
        <v>434</v>
      </c>
      <c r="C40" s="216" t="s">
        <v>653</v>
      </c>
      <c r="D40" s="210"/>
      <c r="E40" s="216" t="s">
        <v>176</v>
      </c>
      <c r="F40" s="138">
        <v>2.4</v>
      </c>
      <c r="G40" s="139" t="s">
        <v>60</v>
      </c>
      <c r="H40" s="212"/>
      <c r="J40" s="210"/>
      <c r="K40" s="363"/>
      <c r="L40" s="363"/>
      <c r="M40" s="363"/>
      <c r="N40" s="363"/>
      <c r="O40" s="145"/>
      <c r="P40" s="145"/>
      <c r="Q40" s="145"/>
      <c r="R40" s="100"/>
      <c r="S40" s="100"/>
      <c r="T40" s="100"/>
      <c r="U40" s="146"/>
      <c r="V40" s="100"/>
    </row>
    <row r="41" outlineLevel="1">
      <c r="A41" s="156"/>
      <c r="B41" s="147" t="s">
        <v>520</v>
      </c>
      <c r="C41" s="450" t="s">
        <v>2021</v>
      </c>
      <c r="D41" s="107"/>
      <c r="E41" s="216" t="s">
        <v>128</v>
      </c>
      <c r="F41" s="138">
        <v>12.0</v>
      </c>
      <c r="G41" s="139" t="s">
        <v>95</v>
      </c>
      <c r="H41" s="106"/>
      <c r="I41" s="168"/>
      <c r="J41" s="107"/>
      <c r="K41" s="363"/>
      <c r="L41" s="363"/>
      <c r="M41" s="363"/>
      <c r="N41" s="363"/>
      <c r="O41" s="145">
        <v>0.0</v>
      </c>
      <c r="P41" s="145">
        <v>1.0</v>
      </c>
      <c r="Q41" s="145">
        <v>1.0</v>
      </c>
      <c r="R41" s="100"/>
      <c r="S41" s="100"/>
      <c r="T41" s="100"/>
      <c r="U41" s="156"/>
      <c r="V41" s="100"/>
    </row>
    <row r="42" outlineLevel="1">
      <c r="A42" s="170" t="s">
        <v>124</v>
      </c>
      <c r="B42" s="147"/>
      <c r="C42" s="216" t="s">
        <v>314</v>
      </c>
      <c r="D42" s="450" t="s">
        <v>628</v>
      </c>
      <c r="E42" s="216" t="s">
        <v>153</v>
      </c>
      <c r="F42" s="138">
        <v>19.2</v>
      </c>
      <c r="G42" s="139" t="s">
        <v>88</v>
      </c>
      <c r="H42" s="140" t="s">
        <v>2022</v>
      </c>
      <c r="I42" s="110"/>
      <c r="J42" s="109"/>
      <c r="K42" s="282"/>
      <c r="L42" s="282"/>
      <c r="M42" s="363"/>
      <c r="N42" s="363"/>
      <c r="O42" s="145">
        <v>0.0</v>
      </c>
      <c r="P42" s="145">
        <v>1.0</v>
      </c>
      <c r="Q42" s="145">
        <v>1.0</v>
      </c>
      <c r="R42" s="100"/>
      <c r="S42" s="100"/>
      <c r="T42" s="100"/>
      <c r="U42" s="145" t="s">
        <v>69</v>
      </c>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tr">
        <f>'テンプレート'!I56</f>
        <v>着地隙</v>
      </c>
      <c r="J45" s="184" t="s">
        <v>136</v>
      </c>
      <c r="K45" s="184" t="str">
        <f>'テンプレート'!K56</f>
        <v>ベクトル</v>
      </c>
      <c r="L45" s="184" t="str">
        <f>'テンプレート'!L56</f>
        <v>KBG (R.E.)</v>
      </c>
      <c r="M45" s="184" t="str">
        <f>'テンプレート'!M56</f>
        <v>BKB (R.A.)</v>
      </c>
      <c r="N45" s="184" t="str">
        <f>'テンプレート'!N56</f>
        <v>FKB (R.F.)</v>
      </c>
      <c r="O45" s="186" t="str">
        <f>'テンプレート'!O56</f>
        <v>盾削り値</v>
      </c>
      <c r="P45" s="184" t="str">
        <f>'テンプレート'!P56</f>
        <v>ﾋｯﾄｽﾄｯﾌﾟ</v>
      </c>
      <c r="Q45" s="186" t="str">
        <f>'テンプレート'!Q56</f>
        <v>ずらし</v>
      </c>
      <c r="R45" s="187" t="str">
        <f>'テンプレート'!R56</f>
        <v>備考</v>
      </c>
      <c r="S45" s="110"/>
      <c r="T45" s="110"/>
      <c r="U45" s="110"/>
      <c r="V45" s="110"/>
    </row>
    <row r="46" outlineLevel="1">
      <c r="A46" s="188" t="s">
        <v>144</v>
      </c>
      <c r="B46" s="373" t="s">
        <v>167</v>
      </c>
      <c r="C46" s="239" t="s">
        <v>2023</v>
      </c>
      <c r="D46" s="195" t="s">
        <v>185</v>
      </c>
      <c r="E46" s="401" t="s">
        <v>381</v>
      </c>
      <c r="F46" s="193">
        <v>1.92</v>
      </c>
      <c r="G46" s="193">
        <v>1.6320000000000001</v>
      </c>
      <c r="H46" s="138" t="s">
        <v>170</v>
      </c>
      <c r="I46" s="454" t="str">
        <f t="array" ref="I46">INDEX('空中攻撃'!$O$3:$AA$109, MATCH($A$1,'空中攻撃'!$A$3:$A$109,0), MATCH(A46,'空中攻撃'!$O$2:$S$2,0))</f>
        <v>10</v>
      </c>
      <c r="J46" s="455" t="s">
        <v>2024</v>
      </c>
      <c r="K46" s="376"/>
      <c r="L46" s="377"/>
      <c r="M46" s="825"/>
      <c r="N46" s="825"/>
      <c r="O46" s="199">
        <v>0.0</v>
      </c>
      <c r="P46" s="199">
        <v>1.0</v>
      </c>
      <c r="Q46" s="199">
        <v>1.0</v>
      </c>
      <c r="R46" s="1124"/>
      <c r="S46" s="164"/>
      <c r="T46" s="164"/>
      <c r="U46" s="164"/>
      <c r="V46" s="104"/>
    </row>
    <row r="47" outlineLevel="1">
      <c r="A47" s="156"/>
      <c r="B47" s="373" t="s">
        <v>172</v>
      </c>
      <c r="C47" s="239" t="s">
        <v>562</v>
      </c>
      <c r="D47" s="107"/>
      <c r="E47" s="239" t="s">
        <v>73</v>
      </c>
      <c r="F47" s="193">
        <v>4.8</v>
      </c>
      <c r="G47" s="193">
        <v>4.08</v>
      </c>
      <c r="H47" s="138" t="s">
        <v>60</v>
      </c>
      <c r="I47" s="156"/>
      <c r="J47" s="107"/>
      <c r="K47" s="376"/>
      <c r="L47" s="377"/>
      <c r="M47" s="825"/>
      <c r="N47" s="825"/>
      <c r="O47" s="199">
        <v>0.0</v>
      </c>
      <c r="P47" s="199">
        <v>1.0</v>
      </c>
      <c r="Q47" s="199">
        <v>1.0</v>
      </c>
      <c r="R47" s="106"/>
      <c r="S47" s="168"/>
      <c r="T47" s="168"/>
      <c r="U47" s="168"/>
      <c r="V47" s="107"/>
    </row>
    <row r="48" outlineLevel="1">
      <c r="A48" s="213" t="s">
        <v>151</v>
      </c>
      <c r="B48" s="373"/>
      <c r="C48" s="239" t="s">
        <v>277</v>
      </c>
      <c r="D48" s="216" t="s">
        <v>118</v>
      </c>
      <c r="E48" s="239" t="s">
        <v>228</v>
      </c>
      <c r="F48" s="193">
        <v>15.6</v>
      </c>
      <c r="G48" s="193">
        <v>13.26</v>
      </c>
      <c r="H48" s="138" t="s">
        <v>75</v>
      </c>
      <c r="I48" s="621" t="str">
        <f t="array" ref="I48">INDEX('空中攻撃'!$O$3:$AA$109, MATCH($A$1,'空中攻撃'!$A$3:$A$109,0), MATCH(A48,'空中攻撃'!$O$2:$S$2,0))</f>
        <v>8</v>
      </c>
      <c r="J48" s="216" t="s">
        <v>905</v>
      </c>
      <c r="K48" s="376"/>
      <c r="L48" s="377"/>
      <c r="M48" s="825"/>
      <c r="N48" s="825"/>
      <c r="O48" s="199">
        <v>0.0</v>
      </c>
      <c r="P48" s="199">
        <v>1.0</v>
      </c>
      <c r="Q48" s="199">
        <v>1.0</v>
      </c>
      <c r="R48" s="1127"/>
      <c r="S48" s="110"/>
      <c r="T48" s="110"/>
      <c r="U48" s="110"/>
      <c r="V48" s="109"/>
    </row>
    <row r="49" outlineLevel="1">
      <c r="A49" s="213" t="s">
        <v>157</v>
      </c>
      <c r="B49" s="373"/>
      <c r="C49" s="239" t="s">
        <v>1734</v>
      </c>
      <c r="D49" s="380">
        <v>39.0</v>
      </c>
      <c r="E49" s="365" t="s">
        <v>1318</v>
      </c>
      <c r="F49" s="193" t="s">
        <v>1319</v>
      </c>
      <c r="G49" s="193" t="s">
        <v>1320</v>
      </c>
      <c r="H49" s="138" t="s">
        <v>1321</v>
      </c>
      <c r="I49" s="621">
        <f t="array" ref="I49">INDEX('空中攻撃'!$O$3:$AA$109, MATCH($A$1,'空中攻撃'!$A$3:$A$109,0), MATCH(A49,'空中攻撃'!$O$2:$S$2,0))</f>
        <v>10</v>
      </c>
      <c r="J49" s="467" t="s">
        <v>643</v>
      </c>
      <c r="K49" s="376"/>
      <c r="L49" s="377"/>
      <c r="M49" s="825"/>
      <c r="N49" s="825"/>
      <c r="O49" s="199">
        <v>0.0</v>
      </c>
      <c r="P49" s="199">
        <v>1.0</v>
      </c>
      <c r="Q49" s="199">
        <v>1.0</v>
      </c>
      <c r="R49" s="1127"/>
      <c r="S49" s="110"/>
      <c r="T49" s="110"/>
      <c r="U49" s="110"/>
      <c r="V49" s="109"/>
    </row>
    <row r="50" outlineLevel="1">
      <c r="A50" s="213" t="s">
        <v>162</v>
      </c>
      <c r="B50" s="373"/>
      <c r="C50" s="239" t="s">
        <v>1290</v>
      </c>
      <c r="D50" s="380" t="s">
        <v>118</v>
      </c>
      <c r="E50" s="365" t="s">
        <v>2007</v>
      </c>
      <c r="F50" s="193" t="s">
        <v>2008</v>
      </c>
      <c r="G50" s="193" t="s">
        <v>2025</v>
      </c>
      <c r="H50" s="138" t="s">
        <v>2026</v>
      </c>
      <c r="I50" s="621" t="str">
        <f t="array" ref="I50">INDEX('空中攻撃'!$O$3:$AA$109, MATCH($A$1,'空中攻撃'!$A$3:$A$109,0), MATCH(A50,'空中攻撃'!$O$2:$S$2,0))</f>
        <v>8</v>
      </c>
      <c r="J50" s="467" t="s">
        <v>973</v>
      </c>
      <c r="K50" s="377"/>
      <c r="L50" s="377"/>
      <c r="M50" s="825"/>
      <c r="N50" s="825"/>
      <c r="O50" s="199">
        <v>0.0</v>
      </c>
      <c r="P50" s="199">
        <v>1.0</v>
      </c>
      <c r="Q50" s="199">
        <v>1.0</v>
      </c>
      <c r="R50" s="1127"/>
      <c r="S50" s="110"/>
      <c r="T50" s="110"/>
      <c r="U50" s="110"/>
      <c r="V50" s="109"/>
    </row>
    <row r="51" outlineLevel="1">
      <c r="A51" s="188" t="s">
        <v>166</v>
      </c>
      <c r="B51" s="373" t="s">
        <v>350</v>
      </c>
      <c r="C51" s="367" t="s">
        <v>548</v>
      </c>
      <c r="D51" s="195" t="s">
        <v>111</v>
      </c>
      <c r="E51" s="138">
        <v>14.0</v>
      </c>
      <c r="F51" s="193">
        <v>16.8</v>
      </c>
      <c r="G51" s="193">
        <v>14.280000000000001</v>
      </c>
      <c r="H51" s="138" t="s">
        <v>75</v>
      </c>
      <c r="I51" s="454">
        <f t="array" ref="I51">INDEX('空中攻撃'!$O$3:$AA$109, MATCH($A$1,'空中攻撃'!$A$3:$A$109,0), MATCH(A51,'空中攻撃'!$O$2:$S$2,0))</f>
        <v>11</v>
      </c>
      <c r="J51" s="455" t="s">
        <v>2027</v>
      </c>
      <c r="K51" s="377"/>
      <c r="L51" s="377"/>
      <c r="M51" s="825"/>
      <c r="N51" s="825"/>
      <c r="O51" s="199">
        <v>0.0</v>
      </c>
      <c r="P51" s="199">
        <v>1.0</v>
      </c>
      <c r="Q51" s="199">
        <v>1.0</v>
      </c>
      <c r="R51" s="456"/>
      <c r="S51" s="164"/>
      <c r="T51" s="164"/>
      <c r="U51" s="164"/>
      <c r="V51" s="104"/>
    </row>
    <row r="52" outlineLevel="1">
      <c r="A52" s="156"/>
      <c r="B52" s="373" t="s">
        <v>356</v>
      </c>
      <c r="C52" s="156"/>
      <c r="D52" s="107"/>
      <c r="E52" s="138" t="s">
        <v>646</v>
      </c>
      <c r="F52" s="193" t="s">
        <v>647</v>
      </c>
      <c r="G52" s="193" t="s">
        <v>648</v>
      </c>
      <c r="H52" s="138" t="s">
        <v>318</v>
      </c>
      <c r="I52" s="156"/>
      <c r="J52" s="107"/>
      <c r="K52" s="1357"/>
      <c r="L52" s="1357"/>
      <c r="M52" s="1358"/>
      <c r="N52" s="1358"/>
      <c r="O52" s="1359"/>
      <c r="P52" s="1359"/>
      <c r="Q52" s="1359"/>
      <c r="R52" s="106"/>
      <c r="S52" s="168"/>
      <c r="T52" s="168"/>
      <c r="U52" s="168"/>
      <c r="V52" s="107"/>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tr">
        <f>'テンプレート'!A71</f>
        <v>必殺ワザ</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
        <v>2028</v>
      </c>
      <c r="B55" s="109"/>
      <c r="C55" s="231" t="s">
        <v>48</v>
      </c>
      <c r="D55" s="231" t="s">
        <v>49</v>
      </c>
      <c r="E55" s="232" t="s">
        <v>50</v>
      </c>
      <c r="F55" s="233" t="s">
        <v>51</v>
      </c>
      <c r="G55" s="232" t="s">
        <v>52</v>
      </c>
      <c r="H55" s="382" t="str">
        <f>'テンプレート'!H72</f>
        <v>備考</v>
      </c>
      <c r="I55" s="110"/>
      <c r="J55" s="109"/>
      <c r="K55" s="235" t="str">
        <f>'テンプレート'!K72</f>
        <v>ベクトル</v>
      </c>
      <c r="L55" s="235" t="str">
        <f>'テンプレート'!L72</f>
        <v>KBG (R.E.)</v>
      </c>
      <c r="M55" s="235" t="str">
        <f>'テンプレート'!M72</f>
        <v>BKB (R.A.)</v>
      </c>
      <c r="N55" s="235" t="str">
        <f>'テンプレート'!N72</f>
        <v>FKB (R.F.)</v>
      </c>
      <c r="O55" s="236" t="str">
        <f>'テンプレート'!O72</f>
        <v>盾削り値</v>
      </c>
      <c r="P55" s="235" t="str">
        <f>'テンプレート'!P72</f>
        <v>ﾋｯﾄｽﾄｯﾌﾟ</v>
      </c>
      <c r="Q55" s="236" t="str">
        <f>'テンプレート'!Q72</f>
        <v>ずらし</v>
      </c>
      <c r="R55" s="235" t="str">
        <f>'テンプレート'!R72</f>
        <v>相殺</v>
      </c>
      <c r="S55" s="236" t="str">
        <f>'テンプレート'!S72</f>
        <v>相殺ﾓｰｼｮﾝ</v>
      </c>
      <c r="T55" s="236" t="str">
        <f>'テンプレート'!T72</f>
        <v>飛び道具</v>
      </c>
      <c r="U55" s="236" t="str">
        <f>'テンプレート'!U72</f>
        <v>慣性反転</v>
      </c>
      <c r="V55" s="236" t="str">
        <f>'テンプレート'!V72</f>
        <v>向き反転</v>
      </c>
    </row>
    <row r="56" ht="21.75" customHeight="1" outlineLevel="1">
      <c r="A56" s="237" t="s">
        <v>184</v>
      </c>
      <c r="B56" s="243" t="s">
        <v>473</v>
      </c>
      <c r="C56" s="901" t="s">
        <v>2029</v>
      </c>
      <c r="D56" s="901" t="s">
        <v>118</v>
      </c>
      <c r="E56" s="365" t="s">
        <v>73</v>
      </c>
      <c r="F56" s="138">
        <v>4.8</v>
      </c>
      <c r="G56" s="239" t="s">
        <v>170</v>
      </c>
      <c r="H56" s="175" t="s">
        <v>2030</v>
      </c>
      <c r="I56" s="164"/>
      <c r="J56" s="104"/>
      <c r="K56" s="282"/>
      <c r="L56" s="282"/>
      <c r="M56" s="363"/>
      <c r="N56" s="363"/>
      <c r="O56" s="138">
        <v>0.0</v>
      </c>
      <c r="P56" s="138">
        <v>1.0</v>
      </c>
      <c r="Q56" s="138">
        <v>1.0</v>
      </c>
      <c r="R56" s="145" t="b">
        <v>1</v>
      </c>
      <c r="S56" s="145" t="b">
        <v>0</v>
      </c>
      <c r="T56" s="145" t="b">
        <v>1</v>
      </c>
      <c r="U56" s="166" t="s">
        <v>186</v>
      </c>
      <c r="V56" s="166" t="b">
        <v>1</v>
      </c>
    </row>
    <row r="57" ht="21.75" customHeight="1" outlineLevel="1">
      <c r="A57" s="146"/>
      <c r="B57" s="663" t="s">
        <v>340</v>
      </c>
      <c r="C57" s="146"/>
      <c r="D57" s="146"/>
      <c r="E57" s="239" t="s">
        <v>92</v>
      </c>
      <c r="F57" s="138">
        <v>30.0</v>
      </c>
      <c r="G57" s="239" t="s">
        <v>95</v>
      </c>
      <c r="H57" s="212"/>
      <c r="J57" s="210"/>
      <c r="K57" s="282"/>
      <c r="L57" s="282"/>
      <c r="M57" s="363"/>
      <c r="N57" s="363"/>
      <c r="O57" s="138"/>
      <c r="P57" s="138"/>
      <c r="Q57" s="138"/>
      <c r="R57" s="145" t="b">
        <v>0</v>
      </c>
      <c r="S57" s="145" t="b">
        <v>0</v>
      </c>
      <c r="T57" s="145" t="b">
        <v>0</v>
      </c>
      <c r="U57" s="146"/>
      <c r="V57" s="146"/>
    </row>
    <row r="58" ht="21.75" customHeight="1" outlineLevel="1">
      <c r="A58" s="146"/>
      <c r="B58" s="663" t="s">
        <v>1578</v>
      </c>
      <c r="C58" s="553"/>
      <c r="D58" s="1360">
        <v>27.0</v>
      </c>
      <c r="E58" s="553"/>
      <c r="F58" s="553"/>
      <c r="G58" s="553"/>
      <c r="H58" s="106"/>
      <c r="I58" s="168"/>
      <c r="J58" s="107"/>
      <c r="K58" s="282"/>
      <c r="L58" s="282"/>
      <c r="M58" s="363"/>
      <c r="N58" s="363"/>
      <c r="O58" s="138">
        <v>0.0</v>
      </c>
      <c r="P58" s="138">
        <v>1.0</v>
      </c>
      <c r="Q58" s="138">
        <v>1.0</v>
      </c>
      <c r="R58" s="145" t="b">
        <v>1</v>
      </c>
      <c r="S58" s="145" t="b">
        <v>0</v>
      </c>
      <c r="T58" s="145" t="b">
        <v>1</v>
      </c>
      <c r="U58" s="156"/>
      <c r="V58" s="156"/>
    </row>
    <row r="59" outlineLevel="1">
      <c r="A59" s="230" t="s">
        <v>2031</v>
      </c>
      <c r="B59" s="109"/>
      <c r="C59" s="231" t="s">
        <v>48</v>
      </c>
      <c r="D59" s="231" t="s">
        <v>49</v>
      </c>
      <c r="E59" s="232" t="s">
        <v>50</v>
      </c>
      <c r="F59" s="233" t="s">
        <v>51</v>
      </c>
      <c r="G59" s="232" t="s">
        <v>52</v>
      </c>
      <c r="H59" s="382" t="str">
        <f>'テンプレート'!H75</f>
        <v>備考</v>
      </c>
      <c r="I59" s="110"/>
      <c r="J59" s="109"/>
      <c r="K59" s="235" t="str">
        <f>'テンプレート'!K75</f>
        <v>ベクトル</v>
      </c>
      <c r="L59" s="235" t="str">
        <f>'テンプレート'!L75</f>
        <v>KBG (R.E.)</v>
      </c>
      <c r="M59" s="235" t="str">
        <f>'テンプレート'!M75</f>
        <v>BKB (R.A.)</v>
      </c>
      <c r="N59" s="235" t="str">
        <f>'テンプレート'!N75</f>
        <v>FKB (R.F.)</v>
      </c>
      <c r="O59" s="236" t="str">
        <f>'テンプレート'!O75</f>
        <v>盾削り値</v>
      </c>
      <c r="P59" s="235" t="str">
        <f>'テンプレート'!P75</f>
        <v>ﾋｯﾄｽﾄｯﾌﾟ</v>
      </c>
      <c r="Q59" s="236" t="str">
        <f>'テンプレート'!Q75</f>
        <v>ずらし</v>
      </c>
      <c r="R59" s="235" t="str">
        <f>'テンプレート'!R75</f>
        <v>相殺</v>
      </c>
      <c r="S59" s="236" t="str">
        <f>'テンプレート'!S75</f>
        <v>相殺ﾓｰｼｮﾝ</v>
      </c>
      <c r="T59" s="236" t="str">
        <f>'テンプレート'!T75</f>
        <v>飛び道具</v>
      </c>
      <c r="U59" s="236" t="str">
        <f>'テンプレート'!U75</f>
        <v>慣性反転</v>
      </c>
      <c r="V59" s="236" t="str">
        <f>'テンプレート'!V75</f>
        <v>向き反転</v>
      </c>
    </row>
    <row r="60" outlineLevel="1">
      <c r="A60" s="237" t="s">
        <v>184</v>
      </c>
      <c r="B60" s="243" t="s">
        <v>1152</v>
      </c>
      <c r="C60" s="365" t="s">
        <v>2032</v>
      </c>
      <c r="D60" s="365" t="s">
        <v>221</v>
      </c>
      <c r="E60" s="553"/>
      <c r="F60" s="553"/>
      <c r="G60" s="553"/>
      <c r="H60" s="903" t="s">
        <v>2033</v>
      </c>
      <c r="I60" s="110"/>
      <c r="J60" s="109"/>
      <c r="K60" s="261"/>
      <c r="L60" s="261"/>
      <c r="M60" s="261"/>
      <c r="N60" s="261"/>
      <c r="O60" s="261"/>
      <c r="P60" s="261"/>
      <c r="Q60" s="261"/>
      <c r="R60" s="261"/>
      <c r="S60" s="261"/>
      <c r="T60" s="261"/>
      <c r="U60" s="166" t="s">
        <v>186</v>
      </c>
      <c r="V60" s="166" t="b">
        <v>1</v>
      </c>
    </row>
    <row r="61" outlineLevel="1">
      <c r="A61" s="146"/>
      <c r="B61" s="243" t="s">
        <v>2034</v>
      </c>
      <c r="C61" s="239" t="s">
        <v>2035</v>
      </c>
      <c r="D61" s="279" t="s">
        <v>628</v>
      </c>
      <c r="E61" s="239" t="s">
        <v>2036</v>
      </c>
      <c r="F61" s="138">
        <v>1.38</v>
      </c>
      <c r="G61" s="553"/>
      <c r="H61" s="163" t="s">
        <v>2037</v>
      </c>
      <c r="I61" s="164"/>
      <c r="J61" s="104"/>
      <c r="K61" s="1361"/>
      <c r="L61" s="1361"/>
      <c r="M61" s="1361"/>
      <c r="N61" s="1361"/>
      <c r="O61" s="1362"/>
      <c r="P61" s="1361"/>
      <c r="Q61" s="1362"/>
      <c r="R61" s="1361"/>
      <c r="S61" s="1362"/>
      <c r="T61" s="1362"/>
      <c r="U61" s="146"/>
      <c r="V61" s="146"/>
    </row>
    <row r="62" outlineLevel="1">
      <c r="A62" s="146"/>
      <c r="B62" s="243" t="s">
        <v>1157</v>
      </c>
      <c r="C62" s="239" t="s">
        <v>628</v>
      </c>
      <c r="D62" s="156"/>
      <c r="E62" s="239" t="s">
        <v>213</v>
      </c>
      <c r="F62" s="138">
        <v>1.2</v>
      </c>
      <c r="G62" s="553"/>
      <c r="H62" s="106"/>
      <c r="I62" s="168"/>
      <c r="J62" s="107"/>
      <c r="K62" s="1361"/>
      <c r="L62" s="1361"/>
      <c r="M62" s="1361"/>
      <c r="N62" s="1361"/>
      <c r="O62" s="1362"/>
      <c r="P62" s="1361"/>
      <c r="Q62" s="1362"/>
      <c r="R62" s="1361"/>
      <c r="S62" s="1362"/>
      <c r="T62" s="1362"/>
      <c r="U62" s="156"/>
      <c r="V62" s="156"/>
    </row>
    <row r="63" outlineLevel="1">
      <c r="A63" s="230" t="s">
        <v>2038</v>
      </c>
      <c r="B63" s="109"/>
      <c r="C63" s="231" t="s">
        <v>48</v>
      </c>
      <c r="D63" s="231" t="s">
        <v>49</v>
      </c>
      <c r="E63" s="232" t="s">
        <v>50</v>
      </c>
      <c r="F63" s="233" t="s">
        <v>51</v>
      </c>
      <c r="G63" s="232" t="s">
        <v>52</v>
      </c>
      <c r="H63" s="382" t="str">
        <f>'テンプレート'!H80</f>
        <v>備考</v>
      </c>
      <c r="I63" s="110"/>
      <c r="J63" s="109"/>
      <c r="K63" s="235" t="str">
        <f>'テンプレート'!K80</f>
        <v>ベクトル</v>
      </c>
      <c r="L63" s="235" t="str">
        <f>'テンプレート'!L80</f>
        <v>KBG (R.E.)</v>
      </c>
      <c r="M63" s="235" t="str">
        <f>'テンプレート'!M80</f>
        <v>BKB (R.A.)</v>
      </c>
      <c r="N63" s="235" t="str">
        <f>'テンプレート'!N80</f>
        <v>FKB (R.F.)</v>
      </c>
      <c r="O63" s="236" t="str">
        <f>'テンプレート'!O80</f>
        <v>盾削り値</v>
      </c>
      <c r="P63" s="235" t="str">
        <f>'テンプレート'!P80</f>
        <v>ﾋｯﾄｽﾄｯﾌﾟ</v>
      </c>
      <c r="Q63" s="236" t="str">
        <f>'テンプレート'!Q80</f>
        <v>ずらし</v>
      </c>
      <c r="R63" s="235" t="str">
        <f>'テンプレート'!R80</f>
        <v>相殺</v>
      </c>
      <c r="S63" s="236" t="str">
        <f>'テンプレート'!S80</f>
        <v>相殺ﾓｰｼｮﾝ</v>
      </c>
      <c r="T63" s="236" t="str">
        <f>'テンプレート'!T80</f>
        <v>飛び道具</v>
      </c>
      <c r="U63" s="236" t="str">
        <f>'テンプレート'!U80</f>
        <v>慣性反転</v>
      </c>
      <c r="V63" s="236" t="str">
        <f>'テンプレート'!V80</f>
        <v>向き反転</v>
      </c>
    </row>
    <row r="64" outlineLevel="1">
      <c r="A64" s="237" t="s">
        <v>184</v>
      </c>
      <c r="B64" s="870"/>
      <c r="C64" s="553"/>
      <c r="D64" s="239" t="s">
        <v>2039</v>
      </c>
      <c r="E64" s="553"/>
      <c r="F64" s="553"/>
      <c r="G64" s="553"/>
      <c r="H64" s="903" t="s">
        <v>2040</v>
      </c>
      <c r="I64" s="110"/>
      <c r="J64" s="109"/>
      <c r="K64" s="261"/>
      <c r="L64" s="261"/>
      <c r="M64" s="261"/>
      <c r="N64" s="261"/>
      <c r="O64" s="261"/>
      <c r="P64" s="261"/>
      <c r="Q64" s="261"/>
      <c r="R64" s="261"/>
      <c r="S64" s="261"/>
      <c r="T64" s="261"/>
      <c r="U64" s="145" t="b">
        <v>0</v>
      </c>
      <c r="V64" s="145" t="b">
        <v>0</v>
      </c>
    </row>
    <row r="65" outlineLevel="1">
      <c r="A65" s="230" t="s">
        <v>2041</v>
      </c>
      <c r="B65" s="109"/>
      <c r="C65" s="231" t="s">
        <v>48</v>
      </c>
      <c r="D65" s="231" t="s">
        <v>49</v>
      </c>
      <c r="E65" s="232" t="s">
        <v>50</v>
      </c>
      <c r="F65" s="233" t="s">
        <v>51</v>
      </c>
      <c r="G65" s="232" t="s">
        <v>52</v>
      </c>
      <c r="H65" s="382" t="str">
        <f>'テンプレート'!H85</f>
        <v>備考</v>
      </c>
      <c r="I65" s="110"/>
      <c r="J65" s="109"/>
      <c r="K65" s="235" t="str">
        <f>'テンプレート'!K85</f>
        <v>ベクトル</v>
      </c>
      <c r="L65" s="235" t="str">
        <f>'テンプレート'!L85</f>
        <v>KBG (R.E.)</v>
      </c>
      <c r="M65" s="235" t="str">
        <f>'テンプレート'!M85</f>
        <v>BKB (R.A.)</v>
      </c>
      <c r="N65" s="235" t="str">
        <f>'テンプレート'!N85</f>
        <v>FKB (R.F.)</v>
      </c>
      <c r="O65" s="236" t="str">
        <f>'テンプレート'!O85</f>
        <v>盾削り値</v>
      </c>
      <c r="P65" s="235" t="str">
        <f>'テンプレート'!P85</f>
        <v>ﾋｯﾄｽﾄｯﾌﾟ</v>
      </c>
      <c r="Q65" s="236" t="str">
        <f>'テンプレート'!Q85</f>
        <v>ずらし</v>
      </c>
      <c r="R65" s="235" t="str">
        <f>'テンプレート'!R85</f>
        <v>相殺</v>
      </c>
      <c r="S65" s="236" t="str">
        <f>'テンプレート'!S85</f>
        <v>相殺ﾓｰｼｮﾝ</v>
      </c>
      <c r="T65" s="236" t="str">
        <f>'テンプレート'!T85</f>
        <v>飛び道具</v>
      </c>
      <c r="U65" s="236" t="str">
        <f>'テンプレート'!U85</f>
        <v>慣性反転</v>
      </c>
      <c r="V65" s="236" t="str">
        <f>'テンプレート'!V85</f>
        <v>向き反転</v>
      </c>
    </row>
    <row r="66" outlineLevel="1">
      <c r="A66" s="259" t="s">
        <v>184</v>
      </c>
      <c r="B66" s="626"/>
      <c r="C66" s="239" t="s">
        <v>1303</v>
      </c>
      <c r="D66" s="216" t="s">
        <v>634</v>
      </c>
      <c r="E66" s="239" t="s">
        <v>213</v>
      </c>
      <c r="F66" s="138">
        <v>1.2</v>
      </c>
      <c r="G66" s="239" t="s">
        <v>170</v>
      </c>
      <c r="H66" s="140" t="s">
        <v>2042</v>
      </c>
      <c r="I66" s="110"/>
      <c r="J66" s="109"/>
      <c r="K66" s="138"/>
      <c r="L66" s="138"/>
      <c r="M66" s="145"/>
      <c r="N66" s="145"/>
      <c r="O66" s="138">
        <v>0.0</v>
      </c>
      <c r="P66" s="138">
        <v>1.0</v>
      </c>
      <c r="Q66" s="138">
        <v>1.0</v>
      </c>
      <c r="R66" s="145" t="b">
        <v>0</v>
      </c>
      <c r="S66" s="145" t="b">
        <v>0</v>
      </c>
      <c r="T66" s="145" t="b">
        <v>1</v>
      </c>
      <c r="U66" s="145" t="b">
        <v>0</v>
      </c>
      <c r="V66" s="145" t="b">
        <v>0</v>
      </c>
    </row>
    <row r="67">
      <c r="A67" s="223"/>
      <c r="B67" s="224"/>
      <c r="C67" s="225"/>
      <c r="D67" s="225"/>
      <c r="E67" s="226"/>
      <c r="F67" s="226"/>
      <c r="G67" s="226"/>
      <c r="H67" s="227"/>
      <c r="I67" s="227"/>
      <c r="J67" s="228"/>
      <c r="K67" s="228"/>
      <c r="L67" s="228"/>
      <c r="M67" s="228"/>
      <c r="N67" s="228"/>
      <c r="O67" s="228"/>
      <c r="P67" s="228"/>
      <c r="Q67" s="118"/>
      <c r="R67" s="118"/>
      <c r="S67" s="118"/>
      <c r="T67" s="118"/>
      <c r="U67" s="118"/>
      <c r="V67" s="118"/>
    </row>
    <row r="68">
      <c r="A68" s="264" t="s">
        <v>211</v>
      </c>
      <c r="B68" s="104"/>
      <c r="C68" s="227"/>
      <c r="D68" s="227"/>
      <c r="E68" s="228"/>
      <c r="F68" s="265"/>
      <c r="G68" s="265"/>
      <c r="H68" s="228"/>
      <c r="I68" s="228"/>
      <c r="J68" s="228"/>
      <c r="K68" s="228"/>
      <c r="L68" s="228"/>
      <c r="M68" s="228"/>
      <c r="N68" s="118"/>
      <c r="O68" s="118"/>
      <c r="P68" s="118"/>
      <c r="Q68" s="228"/>
      <c r="R68" s="228"/>
      <c r="S68" s="228"/>
      <c r="T68" s="228"/>
      <c r="U68" s="228"/>
      <c r="V68" s="228"/>
    </row>
    <row r="69" outlineLevel="1">
      <c r="A69" s="106"/>
      <c r="B69" s="107"/>
      <c r="C69" s="266" t="s">
        <v>48</v>
      </c>
      <c r="D69" s="266" t="s">
        <v>49</v>
      </c>
      <c r="E69" s="266" t="s">
        <v>50</v>
      </c>
      <c r="F69" s="267" t="s">
        <v>51</v>
      </c>
      <c r="G69" s="227"/>
      <c r="H69" s="227"/>
      <c r="I69" s="227"/>
      <c r="J69" s="228"/>
      <c r="K69" s="228"/>
      <c r="L69" s="228"/>
      <c r="M69" s="228"/>
      <c r="N69" s="228"/>
      <c r="O69" s="228"/>
      <c r="P69" s="228"/>
      <c r="Q69" s="228"/>
      <c r="R69" s="228"/>
      <c r="S69" s="228"/>
      <c r="T69" s="228"/>
      <c r="U69" s="228"/>
      <c r="V69" s="228"/>
    </row>
    <row r="70" outlineLevel="1">
      <c r="A70" s="268" t="s">
        <v>212</v>
      </c>
      <c r="B70" s="269" t="s">
        <v>212</v>
      </c>
      <c r="C70" s="239" t="s">
        <v>213</v>
      </c>
      <c r="D70" s="239" t="s">
        <v>86</v>
      </c>
      <c r="E70" s="239" t="s">
        <v>214</v>
      </c>
      <c r="F70" s="138">
        <v>1.56</v>
      </c>
      <c r="G70" s="227"/>
      <c r="H70" s="227"/>
      <c r="I70" s="227"/>
      <c r="J70" s="228"/>
      <c r="K70" s="228"/>
      <c r="L70" s="228"/>
      <c r="M70" s="228"/>
      <c r="N70" s="228"/>
      <c r="O70" s="228"/>
      <c r="P70" s="228"/>
      <c r="Q70" s="228"/>
      <c r="R70" s="228"/>
      <c r="S70" s="228"/>
      <c r="T70" s="228"/>
      <c r="U70" s="228"/>
      <c r="V70" s="228"/>
    </row>
    <row r="71" outlineLevel="1">
      <c r="A71" s="270" t="s">
        <v>215</v>
      </c>
      <c r="B71" s="269" t="s">
        <v>216</v>
      </c>
      <c r="C71" s="239" t="s">
        <v>319</v>
      </c>
      <c r="D71" s="239" t="s">
        <v>118</v>
      </c>
      <c r="E71" s="271"/>
      <c r="F71" s="272"/>
      <c r="G71" s="272"/>
      <c r="H71" s="227"/>
      <c r="I71" s="227"/>
      <c r="J71" s="228"/>
      <c r="K71" s="228"/>
      <c r="L71" s="228"/>
      <c r="M71" s="228"/>
      <c r="N71" s="228"/>
      <c r="O71" s="228"/>
      <c r="P71" s="228"/>
      <c r="Q71" s="228"/>
      <c r="R71" s="228"/>
      <c r="S71" s="228"/>
      <c r="T71" s="228"/>
      <c r="U71" s="228"/>
      <c r="V71" s="228"/>
    </row>
    <row r="72" outlineLevel="1">
      <c r="A72" s="212"/>
      <c r="B72" s="269" t="s">
        <v>219</v>
      </c>
      <c r="C72" s="239" t="s">
        <v>223</v>
      </c>
      <c r="D72" s="239" t="s">
        <v>111</v>
      </c>
      <c r="E72" s="271"/>
      <c r="F72" s="272"/>
      <c r="G72" s="272"/>
      <c r="H72" s="227"/>
      <c r="I72" s="227"/>
      <c r="J72" s="228"/>
      <c r="K72" s="228"/>
      <c r="L72" s="228"/>
      <c r="M72" s="228"/>
      <c r="N72" s="228"/>
      <c r="O72" s="228"/>
      <c r="P72" s="228"/>
      <c r="Q72" s="228"/>
      <c r="R72" s="228"/>
      <c r="S72" s="228"/>
      <c r="T72" s="228"/>
      <c r="U72" s="228"/>
      <c r="V72" s="228"/>
    </row>
    <row r="73" outlineLevel="1">
      <c r="A73" s="106"/>
      <c r="B73" s="269" t="s">
        <v>222</v>
      </c>
      <c r="C73" s="239" t="s">
        <v>299</v>
      </c>
      <c r="D73" s="239" t="s">
        <v>221</v>
      </c>
      <c r="E73" s="227"/>
      <c r="F73" s="272"/>
      <c r="G73" s="272"/>
      <c r="H73" s="227"/>
      <c r="I73" s="227"/>
      <c r="J73" s="228"/>
      <c r="K73" s="228"/>
      <c r="L73" s="228"/>
      <c r="M73" s="228"/>
      <c r="N73" s="228"/>
      <c r="O73" s="228"/>
      <c r="P73" s="228"/>
      <c r="Q73" s="228"/>
      <c r="R73" s="228"/>
      <c r="S73" s="228"/>
      <c r="T73" s="228"/>
      <c r="U73" s="228"/>
      <c r="V73" s="228"/>
    </row>
    <row r="74" outlineLevel="1">
      <c r="A74" s="273" t="s">
        <v>225</v>
      </c>
      <c r="B74" s="109"/>
      <c r="C74" s="266" t="s">
        <v>48</v>
      </c>
      <c r="D74" s="266" t="s">
        <v>49</v>
      </c>
      <c r="E74" s="266" t="s">
        <v>50</v>
      </c>
      <c r="F74" s="267" t="s">
        <v>51</v>
      </c>
      <c r="G74" s="1168" t="s">
        <v>53</v>
      </c>
      <c r="H74" s="110"/>
      <c r="I74" s="110"/>
      <c r="J74" s="109"/>
      <c r="K74" s="275" t="str">
        <f>'テンプレート'!K97</f>
        <v>ベクトル</v>
      </c>
      <c r="L74" s="275" t="str">
        <f>'テンプレート'!L97</f>
        <v>KBG (R.E.)</v>
      </c>
      <c r="M74" s="275" t="str">
        <f>'テンプレート'!M97</f>
        <v>BKB (R.A.)</v>
      </c>
      <c r="N74" s="275" t="str">
        <f>'テンプレート'!N97</f>
        <v>FKB (R.F.)</v>
      </c>
      <c r="O74" s="276" t="str">
        <f>'テンプレート'!O97</f>
        <v>盾削り値</v>
      </c>
      <c r="P74" s="275" t="str">
        <f>'テンプレート'!P97</f>
        <v>ﾋｯﾄｽﾄｯﾌﾟ</v>
      </c>
      <c r="Q74" s="276" t="str">
        <f>'テンプレート'!Q97</f>
        <v>ずらし</v>
      </c>
      <c r="R74" s="277"/>
      <c r="S74" s="277"/>
      <c r="T74" s="277"/>
      <c r="U74" s="277"/>
      <c r="V74" s="277"/>
    </row>
    <row r="75" outlineLevel="1">
      <c r="A75" s="278" t="s">
        <v>226</v>
      </c>
      <c r="B75" s="269" t="s">
        <v>2043</v>
      </c>
      <c r="C75" s="113" t="s">
        <v>2044</v>
      </c>
      <c r="D75" s="279">
        <v>81.0</v>
      </c>
      <c r="E75" s="365" t="s">
        <v>1823</v>
      </c>
      <c r="F75" s="138">
        <v>2.88</v>
      </c>
      <c r="G75" s="1170"/>
      <c r="H75" s="164"/>
      <c r="I75" s="164"/>
      <c r="J75" s="104"/>
      <c r="K75" s="282"/>
      <c r="L75" s="282"/>
      <c r="M75" s="363"/>
      <c r="N75" s="363"/>
      <c r="O75" s="145">
        <v>0.0</v>
      </c>
      <c r="P75" s="145">
        <v>1.0</v>
      </c>
      <c r="Q75" s="145">
        <v>1.0</v>
      </c>
      <c r="R75" s="277"/>
      <c r="S75" s="228"/>
      <c r="T75" s="228"/>
      <c r="U75" s="228"/>
      <c r="V75" s="228"/>
    </row>
    <row r="76" outlineLevel="1">
      <c r="A76" s="156"/>
      <c r="B76" s="269" t="s">
        <v>225</v>
      </c>
      <c r="C76" s="113">
        <v>19.0</v>
      </c>
      <c r="D76" s="156"/>
      <c r="E76" s="239" t="s">
        <v>204</v>
      </c>
      <c r="F76" s="138">
        <v>3.5999999999999996</v>
      </c>
      <c r="G76" s="106"/>
      <c r="H76" s="168"/>
      <c r="I76" s="168"/>
      <c r="J76" s="107"/>
      <c r="K76" s="282"/>
      <c r="L76" s="282"/>
      <c r="M76" s="363"/>
      <c r="N76" s="363"/>
      <c r="O76" s="261"/>
      <c r="P76" s="261"/>
      <c r="Q76" s="261"/>
      <c r="R76" s="277"/>
      <c r="S76" s="228"/>
      <c r="T76" s="228"/>
      <c r="U76" s="228"/>
      <c r="V76" s="228"/>
    </row>
    <row r="77" outlineLevel="1">
      <c r="A77" s="278" t="s">
        <v>229</v>
      </c>
      <c r="B77" s="269" t="s">
        <v>227</v>
      </c>
      <c r="C77" s="553"/>
      <c r="D77" s="279">
        <v>54.0</v>
      </c>
      <c r="E77" s="261"/>
      <c r="F77" s="261"/>
      <c r="G77" s="1170"/>
      <c r="H77" s="164"/>
      <c r="I77" s="164"/>
      <c r="J77" s="104"/>
      <c r="K77" s="261"/>
      <c r="L77" s="261"/>
      <c r="M77" s="261"/>
      <c r="N77" s="261"/>
      <c r="O77" s="261"/>
      <c r="P77" s="261"/>
      <c r="Q77" s="261"/>
      <c r="R77" s="277"/>
      <c r="S77" s="228"/>
      <c r="T77" s="228"/>
      <c r="U77" s="228"/>
      <c r="V77" s="228"/>
    </row>
    <row r="78" outlineLevel="1">
      <c r="A78" s="156"/>
      <c r="B78" s="269" t="s">
        <v>225</v>
      </c>
      <c r="C78" s="1091" t="s">
        <v>164</v>
      </c>
      <c r="D78" s="156"/>
      <c r="E78" s="365" t="s">
        <v>232</v>
      </c>
      <c r="F78" s="138">
        <v>13.2</v>
      </c>
      <c r="G78" s="106"/>
      <c r="H78" s="168"/>
      <c r="I78" s="168"/>
      <c r="J78" s="107"/>
      <c r="K78" s="282"/>
      <c r="L78" s="282"/>
      <c r="M78" s="363"/>
      <c r="N78" s="363"/>
      <c r="O78" s="261"/>
      <c r="P78" s="261"/>
      <c r="Q78" s="261"/>
      <c r="R78" s="277"/>
      <c r="S78" s="228"/>
      <c r="T78" s="228"/>
      <c r="U78" s="228"/>
      <c r="V78" s="228"/>
    </row>
    <row r="79" outlineLevel="1">
      <c r="A79" s="278" t="s">
        <v>233</v>
      </c>
      <c r="B79" s="269" t="s">
        <v>227</v>
      </c>
      <c r="C79" s="553"/>
      <c r="D79" s="279">
        <v>79.0</v>
      </c>
      <c r="E79" s="261"/>
      <c r="F79" s="261"/>
      <c r="G79" s="1170"/>
      <c r="H79" s="164"/>
      <c r="I79" s="164"/>
      <c r="J79" s="104"/>
      <c r="K79" s="261"/>
      <c r="L79" s="261"/>
      <c r="M79" s="261"/>
      <c r="N79" s="261"/>
      <c r="O79" s="261"/>
      <c r="P79" s="261"/>
      <c r="Q79" s="261"/>
      <c r="R79" s="277"/>
      <c r="S79" s="228"/>
      <c r="T79" s="228"/>
      <c r="U79" s="228"/>
      <c r="V79" s="228"/>
    </row>
    <row r="80" outlineLevel="1">
      <c r="A80" s="156"/>
      <c r="B80" s="269" t="s">
        <v>225</v>
      </c>
      <c r="C80" s="113">
        <v>43.0</v>
      </c>
      <c r="D80" s="156"/>
      <c r="E80" s="239" t="s">
        <v>129</v>
      </c>
      <c r="F80" s="138">
        <v>14.399999999999999</v>
      </c>
      <c r="G80" s="106"/>
      <c r="H80" s="168"/>
      <c r="I80" s="168"/>
      <c r="J80" s="107"/>
      <c r="K80" s="282"/>
      <c r="L80" s="282"/>
      <c r="M80" s="363"/>
      <c r="N80" s="363"/>
      <c r="O80" s="261"/>
      <c r="P80" s="261"/>
      <c r="Q80" s="261"/>
      <c r="R80" s="277"/>
      <c r="S80" s="117"/>
      <c r="T80" s="117"/>
      <c r="U80" s="117"/>
      <c r="V80" s="117"/>
    </row>
    <row r="81" outlineLevel="1">
      <c r="A81" s="278" t="s">
        <v>234</v>
      </c>
      <c r="B81" s="269" t="s">
        <v>227</v>
      </c>
      <c r="C81" s="113" t="s">
        <v>454</v>
      </c>
      <c r="D81" s="901" t="s">
        <v>384</v>
      </c>
      <c r="E81" s="239" t="s">
        <v>73</v>
      </c>
      <c r="F81" s="138">
        <v>4.8</v>
      </c>
      <c r="G81" s="1170"/>
      <c r="H81" s="164"/>
      <c r="I81" s="164"/>
      <c r="J81" s="104"/>
      <c r="K81" s="282"/>
      <c r="L81" s="282"/>
      <c r="M81" s="363"/>
      <c r="N81" s="363"/>
      <c r="O81" s="145">
        <v>0.0</v>
      </c>
      <c r="P81" s="145">
        <v>1.0</v>
      </c>
      <c r="Q81" s="145">
        <v>1.0</v>
      </c>
      <c r="R81" s="277"/>
      <c r="S81" s="117"/>
      <c r="T81" s="117"/>
      <c r="U81" s="117"/>
      <c r="V81" s="117"/>
    </row>
    <row r="82" outlineLevel="1">
      <c r="A82" s="156"/>
      <c r="B82" s="269" t="s">
        <v>225</v>
      </c>
      <c r="C82" s="113">
        <v>18.0</v>
      </c>
      <c r="D82" s="156"/>
      <c r="E82" s="239" t="s">
        <v>150</v>
      </c>
      <c r="F82" s="138">
        <v>6.0</v>
      </c>
      <c r="G82" s="106"/>
      <c r="H82" s="168"/>
      <c r="I82" s="168"/>
      <c r="J82" s="107"/>
      <c r="K82" s="282"/>
      <c r="L82" s="282"/>
      <c r="M82" s="363"/>
      <c r="N82" s="363"/>
      <c r="O82" s="261"/>
      <c r="P82" s="261"/>
      <c r="Q82" s="261"/>
      <c r="R82" s="277"/>
      <c r="S82" s="117"/>
      <c r="T82" s="117"/>
      <c r="U82" s="117"/>
      <c r="V82" s="117"/>
    </row>
    <row r="83">
      <c r="A83" s="223"/>
      <c r="B83" s="224"/>
      <c r="C83" s="225"/>
      <c r="D83" s="225"/>
      <c r="E83" s="227"/>
      <c r="F83" s="177"/>
      <c r="G83" s="177"/>
      <c r="H83" s="227"/>
      <c r="I83" s="227"/>
      <c r="J83" s="228"/>
      <c r="K83" s="228"/>
      <c r="L83" s="111"/>
      <c r="M83" s="111"/>
      <c r="N83" s="111"/>
      <c r="O83" s="117"/>
      <c r="P83" s="117"/>
      <c r="Q83" s="111"/>
      <c r="R83" s="111"/>
      <c r="S83" s="111"/>
      <c r="T83" s="111"/>
      <c r="U83" s="111"/>
      <c r="V83" s="111"/>
    </row>
    <row r="84">
      <c r="A84" s="284" t="s">
        <v>241</v>
      </c>
      <c r="B84" s="104"/>
      <c r="C84" s="265"/>
      <c r="D84" s="111"/>
      <c r="E84" s="111"/>
      <c r="F84" s="111"/>
      <c r="G84" s="111"/>
      <c r="H84" s="111"/>
      <c r="I84" s="111"/>
      <c r="J84" s="118"/>
      <c r="K84" s="111"/>
      <c r="L84" s="111"/>
      <c r="M84" s="111"/>
      <c r="N84" s="111"/>
      <c r="O84" s="111"/>
      <c r="P84" s="111"/>
      <c r="Q84" s="118"/>
      <c r="R84" s="111"/>
      <c r="S84" s="111"/>
      <c r="T84" s="111"/>
      <c r="U84" s="111"/>
      <c r="V84" s="111"/>
    </row>
    <row r="85" outlineLevel="1">
      <c r="A85" s="106"/>
      <c r="B85" s="107"/>
      <c r="C85" s="285" t="s">
        <v>235</v>
      </c>
      <c r="D85" s="285" t="s">
        <v>236</v>
      </c>
      <c r="E85" s="285" t="s">
        <v>49</v>
      </c>
      <c r="F85" s="285" t="s">
        <v>237</v>
      </c>
      <c r="G85" s="286"/>
      <c r="H85" s="227"/>
      <c r="I85" s="227"/>
      <c r="J85" s="228"/>
      <c r="K85" s="228"/>
      <c r="L85" s="111"/>
      <c r="M85" s="111"/>
      <c r="N85" s="111"/>
      <c r="O85" s="111"/>
      <c r="P85" s="111"/>
      <c r="Q85" s="111"/>
      <c r="R85" s="111"/>
      <c r="S85" s="111"/>
      <c r="T85" s="111"/>
      <c r="U85" s="111"/>
      <c r="V85" s="111"/>
    </row>
    <row r="86" outlineLevel="1">
      <c r="A86" s="287" t="s">
        <v>395</v>
      </c>
      <c r="B86" s="288" t="s">
        <v>216</v>
      </c>
      <c r="C86" s="113" t="str">
        <f t="array" ref="C86">INDEX('回避'!$C$3:$U$84, MATCH($A$1,'回避'!$A$3:$A$91,0), MATCH(C85,'回避'!$C$2:$F$2,0))</f>
        <v>3-17</v>
      </c>
      <c r="D86" s="113" t="str">
        <f t="array" ref="D86">INDEX('回避'!$C$3:$U$84, MATCH($A$1,'回避'!$A$3:$A$91,0), MATCH(D85,'回避'!$C$2:$F$2,0))</f>
        <v>6-17</v>
      </c>
      <c r="E86" s="113" t="str">
        <f t="array" ref="E86">INDEX('回避'!$C$3:$U$84, MATCH($A$1,'回避'!$A$3:$A$91,0), MATCH(E85,'回避'!$C$2:$F$2,0))</f>
        <v>25 (20)</v>
      </c>
      <c r="F86" s="113" t="str">
        <f t="array" ref="F86">INDEX('回避'!$C$3:$U$84, MATCH($A$1,'回避'!$A$3:$A$91,0), MATCH(F85,'回避'!$C$2:$F$2,0))</f>
        <v>33 (27)</v>
      </c>
      <c r="G86" s="272"/>
      <c r="H86" s="227"/>
      <c r="I86" s="227"/>
      <c r="J86" s="228"/>
      <c r="K86" s="228"/>
      <c r="L86" s="228"/>
      <c r="M86" s="111"/>
      <c r="N86" s="111"/>
      <c r="O86" s="111"/>
      <c r="P86" s="111"/>
      <c r="Q86" s="111"/>
      <c r="R86" s="111"/>
      <c r="S86" s="111"/>
      <c r="T86" s="111"/>
      <c r="U86" s="111"/>
      <c r="V86" s="111"/>
    </row>
    <row r="87" outlineLevel="1">
      <c r="A87" s="212"/>
      <c r="B87" s="288" t="s">
        <v>245</v>
      </c>
      <c r="C87" s="113" t="str">
        <f t="array" ref="C87">INDEX('回避'!$G$3:$U$84, MATCH($A$1,'回避'!$A$3:$A$91,0), MATCH(C85,'回避'!$G$2:$J$2,0))</f>
        <v>4-15</v>
      </c>
      <c r="D87" s="113" t="str">
        <f t="array" ref="D87">INDEX('回避'!$G$3:$U$84, MATCH($A$1,'回避'!$A$3:$A$91,0), MATCH(D85,'回避'!$G$2:$J$2,0))</f>
        <v>8-14</v>
      </c>
      <c r="E87" s="113" t="str">
        <f t="array" ref="E87">INDEX('回避'!$G$3:$U$84, MATCH($A$1,'回避'!$A$3:$A$91,0), MATCH(E85,'回避'!$G$2:$J$2,0))</f>
        <v>29</v>
      </c>
      <c r="F87" s="113">
        <f t="array" ref="F87">INDEX('回避'!$G$3:$U$84, MATCH($A$1,'回避'!$A$3:$A$91,0), MATCH(F85,'回避'!$G$2:$J$2,0))</f>
        <v>38</v>
      </c>
      <c r="G87" s="289"/>
      <c r="H87" s="227"/>
      <c r="I87" s="227"/>
      <c r="J87" s="228"/>
      <c r="K87" s="228"/>
      <c r="L87" s="228"/>
      <c r="M87" s="228"/>
      <c r="N87" s="228"/>
      <c r="O87" s="111"/>
      <c r="P87" s="111"/>
      <c r="Q87" s="111"/>
      <c r="R87" s="111"/>
      <c r="S87" s="111"/>
      <c r="T87" s="111"/>
      <c r="U87" s="111"/>
      <c r="V87" s="111"/>
    </row>
    <row r="88" outlineLevel="1">
      <c r="A88" s="106"/>
      <c r="B88" s="288" t="s">
        <v>246</v>
      </c>
      <c r="C88" s="113" t="str">
        <f t="array" ref="C88">INDEX('回避'!$K$3:$U$84, MATCH($A$1,'回避'!$A$3:$A$91,0), MATCH(C85,'回避'!$K$2:$N$2,0))</f>
        <v>5-16</v>
      </c>
      <c r="D88" s="113" t="str">
        <f t="array" ref="D88">INDEX('回避'!$K$3:$U$84, MATCH($A$1,'回避'!$A$3:$A$91,0), MATCH(D85,'回避'!$K$2:$N$2,0))</f>
        <v>9-14</v>
      </c>
      <c r="E88" s="113" t="str">
        <f t="array" ref="E88">INDEX('回避'!$K$3:$U$84, MATCH($A$1,'回避'!$A$3:$A$91,0), MATCH(E85,'回避'!$K$2:$N$2,0))</f>
        <v>34</v>
      </c>
      <c r="F88" s="113" t="str">
        <f t="array" ref="F88">INDEX('回避'!$K$3:$U$84, MATCH($A$1,'回避'!$A$3:$A$91,0), MATCH(F85,'回避'!$K$2:$N$2,0))</f>
        <v>51</v>
      </c>
      <c r="G88" s="289"/>
      <c r="H88" s="290"/>
      <c r="I88" s="290"/>
      <c r="J88" s="117"/>
      <c r="K88" s="117"/>
      <c r="L88" s="117"/>
      <c r="M88" s="117"/>
      <c r="N88" s="117"/>
      <c r="O88" s="111"/>
      <c r="P88" s="111"/>
      <c r="Q88" s="111"/>
      <c r="R88" s="111"/>
      <c r="S88" s="111"/>
      <c r="T88" s="111"/>
      <c r="U88" s="111"/>
      <c r="V88" s="111"/>
    </row>
    <row r="89" outlineLevel="1">
      <c r="A89" s="287" t="s">
        <v>396</v>
      </c>
      <c r="B89" s="288" t="s">
        <v>397</v>
      </c>
      <c r="C89" s="113" t="str">
        <f t="array" ref="C89">INDEX('回避'!$O$3:$U$84, MATCH($A$1,'回避'!$A$3:$A$91,0), MATCH(C85,'回避'!$O$2:$R$2,0))</f>
        <v>3-26</v>
      </c>
      <c r="D89" s="113" t="str">
        <f t="array" ref="D89">INDEX('回避'!$O$3:$U$84, MATCH($A$1,'回避'!$A$3:$A$91,0), MATCH(D85,'回避'!$O$2:$R$2,0))</f>
        <v>6-24</v>
      </c>
      <c r="E89" s="113" t="str">
        <f t="array" ref="E89">INDEX('回避'!$O$3:$U$84, MATCH($A$1,'回避'!$A$3:$A$91,0), MATCH(E85,'回避'!$O$2:$R$2,0))</f>
        <v>51</v>
      </c>
      <c r="F89" s="177"/>
      <c r="G89" s="177"/>
      <c r="H89" s="118"/>
      <c r="I89" s="118"/>
      <c r="J89" s="111"/>
      <c r="K89" s="111"/>
      <c r="L89" s="111"/>
      <c r="M89" s="111"/>
      <c r="N89" s="111"/>
      <c r="O89" s="228"/>
      <c r="P89" s="228"/>
      <c r="Q89" s="228"/>
      <c r="R89" s="228"/>
      <c r="S89" s="228"/>
      <c r="T89" s="228"/>
      <c r="U89" s="228"/>
      <c r="V89" s="228"/>
    </row>
    <row r="90" outlineLevel="1">
      <c r="A90" s="106"/>
      <c r="B90" s="288" t="s">
        <v>398</v>
      </c>
      <c r="C90" s="113" t="str">
        <f t="array" ref="C90">INDEX('回避'!$S$3:$U$84, MATCH($A$1,'回避'!$A$3:$A$91,0), MATCH(C85,'回避'!$S$2:$U$2,0))</f>
        <v>3-21</v>
      </c>
      <c r="D90" s="113" t="str">
        <f t="array" ref="D90">INDEX('回避'!$S$3:$U$84, MATCH($A$1,'回避'!$A$3:$A$91,0), MATCH(D85,'回避'!$S$2:$U$2,0))</f>
        <v>6-20</v>
      </c>
      <c r="E90" s="113" t="str">
        <f t="array" ref="E90">INDEX('回避'!$S$3:$U$84, MATCH($A$1,'回避'!$A$3:$A$91,0), MATCH(E85,'回避'!$S$2:$U$2,0))</f>
        <v>真横：85
真上：114
真下：70</v>
      </c>
      <c r="F90" s="289"/>
      <c r="G90" s="289"/>
      <c r="H90" s="118"/>
      <c r="I90" s="118"/>
      <c r="J90" s="117"/>
      <c r="K90" s="117"/>
      <c r="L90" s="117"/>
      <c r="M90" s="117"/>
      <c r="N90" s="111"/>
      <c r="O90" s="118"/>
      <c r="P90" s="118"/>
      <c r="Q90" s="118"/>
      <c r="R90" s="118"/>
      <c r="S90" s="118"/>
      <c r="T90" s="118"/>
      <c r="U90" s="118"/>
      <c r="V90" s="118"/>
    </row>
    <row r="91">
      <c r="A91" s="291"/>
      <c r="B91" s="292"/>
      <c r="C91" s="286"/>
      <c r="D91" s="286"/>
      <c r="E91" s="293"/>
      <c r="F91" s="286"/>
      <c r="G91" s="286"/>
      <c r="H91" s="286"/>
      <c r="I91" s="286"/>
      <c r="J91" s="111"/>
      <c r="K91" s="227"/>
      <c r="L91" s="227"/>
      <c r="M91" s="227"/>
      <c r="N91" s="227"/>
      <c r="O91" s="118"/>
      <c r="P91" s="118"/>
      <c r="Q91" s="118"/>
      <c r="R91" s="118"/>
      <c r="S91" s="118"/>
      <c r="T91" s="118"/>
      <c r="U91" s="118"/>
      <c r="V91" s="118"/>
    </row>
    <row r="92">
      <c r="A92" s="294" t="s">
        <v>238</v>
      </c>
      <c r="B92" s="104"/>
      <c r="C92" s="228"/>
      <c r="D92" s="117"/>
      <c r="E92" s="228"/>
      <c r="F92" s="114"/>
      <c r="G92" s="114"/>
      <c r="H92" s="117"/>
      <c r="I92" s="117"/>
      <c r="J92" s="118"/>
      <c r="K92" s="118"/>
      <c r="L92" s="118"/>
      <c r="M92" s="118"/>
      <c r="N92" s="118"/>
      <c r="O92" s="118"/>
      <c r="P92" s="118"/>
      <c r="Q92" s="118"/>
      <c r="R92" s="118"/>
      <c r="S92" s="118"/>
      <c r="T92" s="118"/>
      <c r="U92" s="118"/>
      <c r="V92" s="118"/>
    </row>
    <row r="93" outlineLevel="1">
      <c r="A93" s="106"/>
      <c r="B93" s="107"/>
      <c r="C93" s="295" t="s">
        <v>235</v>
      </c>
      <c r="D93" s="295" t="s">
        <v>49</v>
      </c>
      <c r="E93" s="295" t="s">
        <v>48</v>
      </c>
      <c r="F93" s="295" t="s">
        <v>50</v>
      </c>
      <c r="G93" s="296" t="s">
        <v>51</v>
      </c>
      <c r="H93" s="228"/>
      <c r="I93" s="228"/>
      <c r="J93" s="117"/>
      <c r="K93" s="297" t="str">
        <f>'テンプレート'!K116</f>
        <v>アイテム取得</v>
      </c>
      <c r="L93" s="109"/>
      <c r="M93" s="298" t="str">
        <f>'テンプレート'!M116</f>
        <v>取得フレーム</v>
      </c>
      <c r="N93" s="298" t="str">
        <f>'テンプレート'!N116</f>
        <v>全体フレーム</v>
      </c>
      <c r="O93" s="118"/>
      <c r="P93" s="118"/>
      <c r="Q93" s="118"/>
      <c r="R93" s="118"/>
      <c r="S93" s="118"/>
      <c r="T93" s="118"/>
      <c r="U93" s="118"/>
      <c r="V93" s="118"/>
    </row>
    <row r="94" outlineLevel="1">
      <c r="A94" s="299" t="s">
        <v>239</v>
      </c>
      <c r="B94" s="300" t="s">
        <v>240</v>
      </c>
      <c r="C94" s="301"/>
      <c r="D94" s="113">
        <f t="array" ref="D94">INDEX('崖行動・受け身'!$C$3:$C98, MATCH($A$1,'崖行動・受け身'!$A$3:$A$115,0), MATCH(D93,'崖行動・受け身'!$C$2,0))</f>
        <v>19</v>
      </c>
      <c r="E94" s="301"/>
      <c r="F94" s="301"/>
      <c r="G94" s="301"/>
      <c r="H94" s="228"/>
      <c r="I94" s="228"/>
      <c r="J94" s="111"/>
      <c r="K94" s="302" t="str">
        <f>'テンプレート'!K117</f>
        <v>小アイテム</v>
      </c>
      <c r="L94" s="303" t="str">
        <f>'テンプレート'!L117</f>
        <v>その場</v>
      </c>
      <c r="M94" s="113" t="s">
        <v>76</v>
      </c>
      <c r="N94" s="113">
        <v>7.0</v>
      </c>
      <c r="O94" s="118"/>
      <c r="P94" s="118"/>
      <c r="Q94" s="118"/>
      <c r="R94" s="118"/>
      <c r="S94" s="118"/>
      <c r="T94" s="118"/>
      <c r="U94" s="118"/>
      <c r="V94" s="118"/>
    </row>
    <row r="95" outlineLevel="1">
      <c r="A95" s="146"/>
      <c r="B95" s="300" t="s">
        <v>216</v>
      </c>
      <c r="C95" s="113" t="str">
        <f t="array" ref="C95">INDEX('崖行動・受け身'!$D$3:$E98, MATCH($A$1,'崖行動・受け身'!$A$3:$A$115,0), MATCH(C93,'崖行動・受け身'!$D$2:$E$2,0))</f>
        <v>1-33</v>
      </c>
      <c r="D95" s="113">
        <f t="array" ref="D95">INDEX('崖行動・受け身'!$D$3:$E98, MATCH($A$1,'崖行動・受け身'!$A$3:$A$115,0), MATCH(D93,'崖行動・受け身'!$D$2:$E$2,0))</f>
        <v>34</v>
      </c>
      <c r="E95" s="301"/>
      <c r="F95" s="301"/>
      <c r="G95" s="301"/>
      <c r="H95" s="228"/>
      <c r="I95" s="228"/>
      <c r="J95" s="117"/>
      <c r="K95" s="156"/>
      <c r="L95" s="303" t="str">
        <f>'テンプレート'!L118</f>
        <v>歩き</v>
      </c>
      <c r="M95" s="113" t="s">
        <v>76</v>
      </c>
      <c r="N95" s="113">
        <v>19.0</v>
      </c>
      <c r="O95" s="118"/>
      <c r="P95" s="118"/>
      <c r="Q95" s="118"/>
      <c r="R95" s="118"/>
      <c r="S95" s="118"/>
      <c r="T95" s="118"/>
      <c r="U95" s="118"/>
      <c r="V95" s="118"/>
    </row>
    <row r="96" outlineLevel="1">
      <c r="A96" s="146"/>
      <c r="B96" s="300" t="s">
        <v>241</v>
      </c>
      <c r="C96" s="365" t="str">
        <f t="array" ref="C96">INDEX('崖行動・受け身'!$F$3:$G$115, MATCH($A$1,'崖行動・受け身'!$A$3:$A$115,0), MATCH(C93,'崖行動・受け身'!$F$2:$G$2,0))</f>
        <v>1-27</v>
      </c>
      <c r="D96" s="113">
        <f t="array" ref="D96">INDEX('崖行動・受け身'!$F$3:$G$115, MATCH($A$1,'崖行動・受け身'!$A$3:$A$115,0), MATCH(D93,'崖行動・受け身'!$F$2:$G$2,0))</f>
        <v>45</v>
      </c>
      <c r="E96" s="301"/>
      <c r="F96" s="301"/>
      <c r="G96" s="301"/>
      <c r="H96" s="228"/>
      <c r="I96" s="228"/>
      <c r="J96" s="111"/>
      <c r="K96" s="304" t="str">
        <f>'テンプレート'!K119</f>
        <v>アイテム投擲</v>
      </c>
      <c r="L96" s="109"/>
      <c r="M96" s="298" t="str">
        <f>'テンプレート'!M119</f>
        <v>投擲フレーム</v>
      </c>
      <c r="N96" s="298" t="str">
        <f>'テンプレート'!N119</f>
        <v>全体フレーム</v>
      </c>
      <c r="O96" s="118"/>
      <c r="P96" s="118"/>
      <c r="Q96" s="118"/>
      <c r="R96" s="118"/>
      <c r="S96" s="118"/>
      <c r="T96" s="118"/>
      <c r="U96" s="118"/>
      <c r="V96" s="118"/>
    </row>
    <row r="97" outlineLevel="1">
      <c r="A97" s="146"/>
      <c r="B97" s="300" t="s">
        <v>242</v>
      </c>
      <c r="C97" s="113" t="str">
        <f t="array" ref="C97">INDEX('崖行動・受け身'!$H$3:$I$115, MATCH($A$1,'崖行動・受け身'!$A$3:$A$115,0), MATCH(C93,'崖行動・受け身'!$H$2:$I$2,0))</f>
        <v>1-12</v>
      </c>
      <c r="D97" s="113">
        <f t="array" ref="D97">INDEX('崖行動・受け身'!$H$3:$I$115, MATCH($A$1,'崖行動・受け身'!$A$3:$A$115,0), MATCH(D93,'崖行動・受け身'!$H$2:$I$2,0))</f>
        <v>14</v>
      </c>
      <c r="E97" s="301"/>
      <c r="F97" s="301"/>
      <c r="G97" s="301"/>
      <c r="H97" s="228"/>
      <c r="I97" s="228"/>
      <c r="J97" s="117"/>
      <c r="K97" s="305" t="str">
        <f>'テンプレート'!K120</f>
        <v>地上投擲</v>
      </c>
      <c r="L97" s="303" t="str">
        <f>'テンプレート'!L120</f>
        <v>前投げ</v>
      </c>
      <c r="M97" s="113" t="s">
        <v>80</v>
      </c>
      <c r="N97" s="113">
        <v>24.0</v>
      </c>
      <c r="O97" s="111"/>
      <c r="P97" s="111"/>
      <c r="Q97" s="111"/>
      <c r="R97" s="111"/>
      <c r="S97" s="111"/>
      <c r="T97" s="111"/>
      <c r="U97" s="111"/>
      <c r="V97" s="111"/>
    </row>
    <row r="98" outlineLevel="1">
      <c r="A98" s="156"/>
      <c r="B98" s="300" t="s">
        <v>243</v>
      </c>
      <c r="C98" s="113" t="str">
        <f t="array" ref="C98">INDEX('崖行動・受け身'!$J$3:$M$115, MATCH($A$1,'崖行動・受け身'!$A$3:$A$115,0), MATCH(C93,'崖行動・受け身'!$J$2:$M$2,0))</f>
        <v>1-23</v>
      </c>
      <c r="D98" s="113">
        <f t="array" ref="D98">INDEX('崖行動・受け身'!$J$3:$M$115, MATCH($A$1,'崖行動・受け身'!$A$3:$A$115,0), MATCH(D93,'崖行動・受け身'!$J$2:$M$2,0))</f>
        <v>55</v>
      </c>
      <c r="E98" s="113" t="str">
        <f t="array" ref="E98">INDEX('崖行動・受け身'!$J$3:$M$115, MATCH($A$1,'崖行動・受け身'!$A$3:$A$115,0), MATCH(E93,'崖行動・受け身'!$J$2:$M$2,0))</f>
        <v>21-23</v>
      </c>
      <c r="F98" s="113">
        <f t="array" ref="F98">INDEX('崖行動・受け身'!$J$3:$M$115, MATCH($A$1,'崖行動・受け身'!$A$3:$A$115,0), MATCH(F93,'崖行動・受け身'!$J$2:$M$2,0))</f>
        <v>9</v>
      </c>
      <c r="G98" s="113">
        <f>F98*1.2</f>
        <v>10.8</v>
      </c>
      <c r="H98" s="228"/>
      <c r="I98" s="228"/>
      <c r="J98" s="111"/>
      <c r="K98" s="146"/>
      <c r="L98" s="303" t="str">
        <f>'テンプレート'!L121</f>
        <v>後投げ</v>
      </c>
      <c r="M98" s="113" t="s">
        <v>232</v>
      </c>
      <c r="N98" s="113">
        <v>24.0</v>
      </c>
      <c r="O98" s="111"/>
      <c r="P98" s="111"/>
      <c r="Q98" s="111"/>
      <c r="R98" s="111"/>
      <c r="S98" s="111"/>
      <c r="T98" s="111"/>
      <c r="U98" s="111"/>
      <c r="V98" s="111"/>
    </row>
    <row r="99" outlineLevel="1">
      <c r="A99" s="299" t="s">
        <v>244</v>
      </c>
      <c r="B99" s="300" t="s">
        <v>216</v>
      </c>
      <c r="C99" s="113" t="str">
        <f t="array" ref="C99">INDEX('崖行動・受け身'!$N$3:$O$115, MATCH($A$1,'崖行動・受け身'!$A$3:$A$115,0), MATCH(C93,'崖行動・受け身'!$N$2:$O$2,0))</f>
        <v>1-20</v>
      </c>
      <c r="D99" s="113">
        <f t="array" ref="D99">INDEX('崖行動・受け身'!$N$3:$O$115, MATCH($A$1,'崖行動・受け身'!$A$3:$A$115,0), MATCH(D93,'崖行動・受け身'!$N$2:$O$2,0))</f>
        <v>26</v>
      </c>
      <c r="E99" s="301"/>
      <c r="F99" s="301"/>
      <c r="G99" s="301"/>
      <c r="H99" s="228"/>
      <c r="I99" s="228"/>
      <c r="J99" s="117"/>
      <c r="K99" s="146"/>
      <c r="L99" s="303" t="str">
        <f>'テンプレート'!L122</f>
        <v>上投げ</v>
      </c>
      <c r="M99" s="113" t="s">
        <v>129</v>
      </c>
      <c r="N99" s="113">
        <v>23.0</v>
      </c>
      <c r="O99" s="228"/>
      <c r="P99" s="228"/>
      <c r="Q99" s="228"/>
      <c r="R99" s="228"/>
      <c r="S99" s="228"/>
      <c r="T99" s="228"/>
      <c r="U99" s="228"/>
      <c r="V99" s="228"/>
    </row>
    <row r="100" outlineLevel="1">
      <c r="A100" s="146"/>
      <c r="B100" s="300" t="s">
        <v>245</v>
      </c>
      <c r="C100" s="113" t="str">
        <f t="array" ref="C100">INDEX('崖行動・受け身'!$P$3:$Q$115, MATCH($A$1,'崖行動・受け身'!$A$3:$A$115,0), MATCH(C93,'崖行動・受け身'!$P$2:$Q$2,0))</f>
        <v>1-20</v>
      </c>
      <c r="D100" s="113">
        <f t="array" ref="D100">INDEX('崖行動・受け身'!$P$3:$Q$115, MATCH($A$1,'崖行動・受け身'!$A$3:$A$115,0), MATCH(D93,'崖行動・受け身'!$P$2:$Q$2,0))</f>
        <v>40</v>
      </c>
      <c r="E100" s="301"/>
      <c r="F100" s="301"/>
      <c r="G100" s="301"/>
      <c r="H100" s="228"/>
      <c r="I100" s="228"/>
      <c r="J100" s="111"/>
      <c r="K100" s="146"/>
      <c r="L100" s="303" t="str">
        <f>'テンプレート'!L123</f>
        <v>下投げ</v>
      </c>
      <c r="M100" s="113" t="s">
        <v>274</v>
      </c>
      <c r="N100" s="113">
        <v>19.0</v>
      </c>
      <c r="O100" s="118"/>
      <c r="P100" s="118"/>
      <c r="Q100" s="118"/>
      <c r="R100" s="118"/>
      <c r="S100" s="118"/>
      <c r="T100" s="118"/>
      <c r="U100" s="118"/>
      <c r="V100" s="118"/>
    </row>
    <row r="101" outlineLevel="1">
      <c r="A101" s="156"/>
      <c r="B101" s="300" t="s">
        <v>246</v>
      </c>
      <c r="C101" s="113" t="str">
        <f t="array" ref="C101">INDEX('崖行動・受け身'!$R$3:$S$115, MATCH($A$1,'崖行動・受け身'!$A$3:$A$115,0), MATCH(C93,'崖行動・受け身'!$R$2:$S$2,0))</f>
        <v>1-20</v>
      </c>
      <c r="D101" s="113">
        <f t="array" ref="D101">INDEX('崖行動・受け身'!$R$3:$S$115, MATCH($A$1,'崖行動・受け身'!$A$3:$A$115,0), MATCH(D93,'崖行動・受け身'!$R$2:$S$2,0))</f>
        <v>40</v>
      </c>
      <c r="E101" s="301"/>
      <c r="F101" s="301"/>
      <c r="G101" s="301"/>
      <c r="H101" s="228"/>
      <c r="I101" s="228"/>
      <c r="J101" s="117"/>
      <c r="K101" s="146"/>
      <c r="L101" s="306" t="str">
        <f>'テンプレート'!L124</f>
        <v>ダッシュ</v>
      </c>
      <c r="M101" s="113" t="s">
        <v>93</v>
      </c>
      <c r="N101" s="113">
        <v>37.0</v>
      </c>
      <c r="O101" s="118"/>
      <c r="P101" s="118"/>
      <c r="Q101" s="118"/>
      <c r="R101" s="118"/>
      <c r="S101" s="118"/>
      <c r="T101" s="118"/>
      <c r="U101" s="118"/>
      <c r="V101" s="118"/>
    </row>
    <row r="102" outlineLevel="1">
      <c r="A102" s="299" t="s">
        <v>247</v>
      </c>
      <c r="B102" s="300" t="s">
        <v>248</v>
      </c>
      <c r="C102" s="301"/>
      <c r="D102" s="113" t="str">
        <f t="array" ref="D102">INDEX('起きあがり'!$C$3:$C98, MATCH($A$1,'起きあがり'!$A$3:$A$115,0), MATCH(D93,'起きあがり'!$C$2:$AD$2,0))</f>
        <v>25</v>
      </c>
      <c r="E102" s="301"/>
      <c r="F102" s="301"/>
      <c r="G102" s="301"/>
      <c r="H102" s="228"/>
      <c r="I102" s="228"/>
      <c r="J102" s="111"/>
      <c r="K102" s="156"/>
      <c r="L102" s="306" t="str">
        <f>'テンプレート'!L125</f>
        <v>その場捨て</v>
      </c>
      <c r="M102" s="113" t="s">
        <v>93</v>
      </c>
      <c r="N102" s="113">
        <v>23.0</v>
      </c>
      <c r="O102" s="118"/>
      <c r="P102" s="118"/>
      <c r="Q102" s="118"/>
      <c r="R102" s="118"/>
      <c r="S102" s="118"/>
      <c r="T102" s="118"/>
      <c r="U102" s="118"/>
      <c r="V102" s="118"/>
    </row>
    <row r="103" outlineLevel="1">
      <c r="A103" s="146"/>
      <c r="B103" s="300" t="s">
        <v>216</v>
      </c>
      <c r="C103" s="307" t="str">
        <f t="array" ref="C103">INDEX('起きあがり'!$D$3:$E98, MATCH($A$1,'起きあがり'!$A$3:$A$115,0), MATCH(C93,'起きあがり'!$D$2:$AD$2,0))</f>
        <v>1-22</v>
      </c>
      <c r="D103" s="308">
        <f t="array" ref="D103">INDEX('起きあがり'!$D$3:$E98, MATCH($A$1,'起きあがり'!$A$3:$A$115,0), MATCH(D93,'起きあがり'!$D$2:$AD$2,0))</f>
        <v>29</v>
      </c>
      <c r="E103" s="301"/>
      <c r="F103" s="301"/>
      <c r="G103" s="301"/>
      <c r="H103" s="228"/>
      <c r="I103" s="228"/>
      <c r="J103" s="117"/>
      <c r="K103" s="305" t="str">
        <f>'テンプレート'!K126</f>
        <v>空中投擲</v>
      </c>
      <c r="L103" s="303" t="str">
        <f>'テンプレート'!L126</f>
        <v>前投げ</v>
      </c>
      <c r="M103" s="113" t="s">
        <v>274</v>
      </c>
      <c r="N103" s="113">
        <v>24.0</v>
      </c>
      <c r="O103" s="118"/>
      <c r="P103" s="118"/>
      <c r="Q103" s="118"/>
      <c r="R103" s="118"/>
      <c r="S103" s="118"/>
      <c r="T103" s="118"/>
      <c r="U103" s="118"/>
      <c r="V103" s="118"/>
    </row>
    <row r="104" outlineLevel="1">
      <c r="A104" s="146"/>
      <c r="B104" s="300" t="s">
        <v>245</v>
      </c>
      <c r="C104" s="307" t="str">
        <f t="array" ref="C104">INDEX('起きあがり'!$F$3:$G$115, MATCH($A$1,'起きあがり'!$A$3:$A$115,0), MATCH(C93,'起きあがり'!$F$2:$AD$2,0))</f>
        <v>1-22</v>
      </c>
      <c r="D104" s="308">
        <f t="array" ref="D104">INDEX('起きあがり'!$F$3:$G$115, MATCH($A$1,'起きあがり'!$A$3:$A$115,0), MATCH(D93,'起きあがり'!$F$2:$AD$2,0))</f>
        <v>35</v>
      </c>
      <c r="E104" s="301"/>
      <c r="F104" s="301"/>
      <c r="G104" s="301"/>
      <c r="H104" s="228"/>
      <c r="I104" s="228"/>
      <c r="J104" s="111"/>
      <c r="K104" s="146"/>
      <c r="L104" s="303" t="str">
        <f>'テンプレート'!L127</f>
        <v>後投げ</v>
      </c>
      <c r="M104" s="113" t="s">
        <v>232</v>
      </c>
      <c r="N104" s="113">
        <v>24.0</v>
      </c>
      <c r="O104" s="118"/>
      <c r="P104" s="118"/>
      <c r="Q104" s="118"/>
      <c r="R104" s="118"/>
      <c r="S104" s="118"/>
      <c r="T104" s="118"/>
      <c r="U104" s="118"/>
      <c r="V104" s="118"/>
    </row>
    <row r="105" outlineLevel="1">
      <c r="A105" s="146"/>
      <c r="B105" s="300" t="s">
        <v>246</v>
      </c>
      <c r="C105" s="113" t="str">
        <f t="array" ref="C105">INDEX('起きあがり'!$H$3:$I$115, MATCH($A$1,'起きあがり'!$A$3:$A$115,0), MATCH(C93,'起きあがり'!$H$2:$AD$2,0))</f>
        <v>1-22</v>
      </c>
      <c r="D105" s="113">
        <f t="array" ref="D105">INDEX('起きあがり'!$H$3:$I$115, MATCH($A$1,'起きあがり'!$A$3:$A$115,0), MATCH(D93,'起きあがり'!$H$2:$AD$2,0))</f>
        <v>35</v>
      </c>
      <c r="E105" s="301"/>
      <c r="F105" s="301"/>
      <c r="G105" s="301"/>
      <c r="H105" s="228"/>
      <c r="I105" s="228"/>
      <c r="J105" s="117"/>
      <c r="K105" s="146"/>
      <c r="L105" s="303" t="str">
        <f>'テンプレート'!L128</f>
        <v>上投げ</v>
      </c>
      <c r="M105" s="113" t="s">
        <v>129</v>
      </c>
      <c r="N105" s="113">
        <v>23.0</v>
      </c>
      <c r="O105" s="118"/>
      <c r="P105" s="118"/>
      <c r="Q105" s="118"/>
      <c r="R105" s="118"/>
      <c r="S105" s="118"/>
      <c r="T105" s="118"/>
      <c r="U105" s="118"/>
      <c r="V105" s="118"/>
    </row>
    <row r="106" outlineLevel="1">
      <c r="A106" s="146"/>
      <c r="B106" s="300" t="s">
        <v>249</v>
      </c>
      <c r="C106" s="309" t="str">
        <f t="array" ref="C106">INDEX('起きあがり'!$J$3:$M$115, MATCH($A$1,'起きあがり'!$A$3:$A$115,0), MATCH(C93,'起きあがり'!$J$2:$AD$2,0))</f>
        <v>1-25</v>
      </c>
      <c r="D106" s="310">
        <f t="array" ref="D106">INDEX('起きあがり'!$J$3:$M$115, MATCH($A$1,'起きあがり'!$A$3:$A$115,0), MATCH(D93,'起きあがり'!$J$2:$AD$2,0))</f>
        <v>45</v>
      </c>
      <c r="E106" s="307" t="str">
        <f t="array" ref="E106">INDEX('起きあがり'!$J$3:$M$115, MATCH($A$1,'起きあがり'!$A$3:$A$115,0), MATCH(E93,'起きあがり'!$J$2:$AD$2,0))</f>
        <v>19-20</v>
      </c>
      <c r="F106" s="308">
        <f t="array" ref="F106">INDEX('起きあがり'!$J$3:$M$115, MATCH($A$1,'起きあがり'!$A$3:$A$115,0), MATCH(F93,'起きあがり'!$J$2:$AD$2,0))</f>
        <v>7</v>
      </c>
      <c r="G106" s="113">
        <f t="shared" ref="G106:G107" si="1">F106*1.2</f>
        <v>8.4</v>
      </c>
      <c r="H106" s="228"/>
      <c r="I106" s="228"/>
      <c r="J106" s="111"/>
      <c r="K106" s="156"/>
      <c r="L106" s="303" t="str">
        <f>'テンプレート'!L129</f>
        <v>下投げ</v>
      </c>
      <c r="M106" s="113" t="s">
        <v>274</v>
      </c>
      <c r="N106" s="113">
        <v>19.0</v>
      </c>
      <c r="O106" s="111"/>
      <c r="P106" s="111"/>
      <c r="Q106" s="111"/>
      <c r="R106" s="111"/>
      <c r="S106" s="111"/>
      <c r="T106" s="111"/>
      <c r="U106" s="111"/>
      <c r="V106" s="111"/>
    </row>
    <row r="107" outlineLevel="1">
      <c r="A107" s="156"/>
      <c r="B107" s="311" t="s">
        <v>250</v>
      </c>
      <c r="C107" s="156"/>
      <c r="D107" s="156"/>
      <c r="E107" s="307" t="str">
        <f t="array" ref="E107">INDEX('起きあがり'!$N$3:$O$115, MATCH($A$1,'起きあがり'!$A$3:$A$115,0), MATCH(E93,'起きあがり'!$N$2:$AD$2,0))</f>
        <v>24-25</v>
      </c>
      <c r="F107" s="308">
        <f t="array" ref="F107">INDEX('起きあがり'!$N$3:$O$115, MATCH($A$1,'起きあがり'!$A$3:$A$115,0), MATCH(F93,'起きあがり'!$N$2:$AD$2,0))</f>
        <v>7</v>
      </c>
      <c r="G107" s="113">
        <f t="shared" si="1"/>
        <v>8.4</v>
      </c>
      <c r="H107" s="228"/>
      <c r="I107" s="228"/>
      <c r="J107" s="111"/>
      <c r="K107" s="312" t="str">
        <f>'テンプレート'!K130</f>
        <v>踏み台ジャンプ</v>
      </c>
      <c r="L107" s="168"/>
      <c r="M107" s="298" t="str">
        <f>'テンプレート'!M130</f>
        <v>全体フレーム</v>
      </c>
      <c r="N107" s="114"/>
      <c r="O107" s="111"/>
      <c r="P107" s="111"/>
      <c r="Q107" s="111"/>
      <c r="R107" s="111"/>
      <c r="S107" s="111"/>
      <c r="T107" s="111"/>
      <c r="U107" s="111"/>
      <c r="V107" s="111"/>
    </row>
    <row r="108" outlineLevel="1">
      <c r="A108" s="299" t="s">
        <v>251</v>
      </c>
      <c r="B108" s="300" t="s">
        <v>248</v>
      </c>
      <c r="C108" s="301"/>
      <c r="D108" s="307" t="str">
        <f t="array" ref="D108">INDEX('起きあがり'!$C$3:$C98, MATCH($A$1,'起きあがり'!$A$3:$A$115,0), MATCH(D93,'起きあがり'!$C$2,0))</f>
        <v>25</v>
      </c>
      <c r="E108" s="301"/>
      <c r="F108" s="301"/>
      <c r="G108" s="301"/>
      <c r="H108" s="228"/>
      <c r="I108" s="228"/>
      <c r="J108" s="117"/>
      <c r="K108" s="313" t="str">
        <f>'テンプレート'!K131</f>
        <v>踏み</v>
      </c>
      <c r="L108" s="314" t="str">
        <f>'テンプレート'!L131</f>
        <v>踏み</v>
      </c>
      <c r="M108" s="113">
        <v>8.0</v>
      </c>
      <c r="N108" s="315"/>
      <c r="O108" s="111"/>
      <c r="P108" s="111"/>
      <c r="Q108" s="111"/>
      <c r="R108" s="111"/>
      <c r="S108" s="111"/>
      <c r="T108" s="111"/>
      <c r="U108" s="111"/>
      <c r="V108" s="111"/>
    </row>
    <row r="109" outlineLevel="1">
      <c r="A109" s="146"/>
      <c r="B109" s="300" t="s">
        <v>216</v>
      </c>
      <c r="C109" s="307" t="str">
        <f t="array" ref="C109">INDEX('起きあがり'!$P$3:$Q$115, MATCH($A$1,'起きあがり'!$A$3:$A$115,0), MATCH(C93,'起きあがり'!$P$2:$AD$2,0))</f>
        <v>1-22</v>
      </c>
      <c r="D109" s="308">
        <f t="array" ref="D109">INDEX('起きあがり'!$P$3:$Q$115, MATCH($A$1,'起きあがり'!$A$3:$A$115,0), MATCH(D93,'起きあがり'!$P$2:$AD$2,0))</f>
        <v>29</v>
      </c>
      <c r="E109" s="301"/>
      <c r="F109" s="301"/>
      <c r="G109" s="301"/>
      <c r="H109" s="228"/>
      <c r="I109" s="228"/>
      <c r="J109" s="111"/>
      <c r="K109" s="305" t="str">
        <f>'テンプレート'!K132</f>
        <v>踏まれ</v>
      </c>
      <c r="L109" s="314" t="str">
        <f>'テンプレート'!L132</f>
        <v>地上踏まれ</v>
      </c>
      <c r="M109" s="113" t="s">
        <v>76</v>
      </c>
      <c r="N109" s="315"/>
      <c r="O109" s="228"/>
      <c r="P109" s="228"/>
      <c r="Q109" s="228"/>
      <c r="R109" s="228"/>
      <c r="S109" s="228"/>
      <c r="T109" s="228"/>
      <c r="U109" s="228"/>
      <c r="V109" s="228"/>
    </row>
    <row r="110" outlineLevel="1">
      <c r="A110" s="146"/>
      <c r="B110" s="300" t="s">
        <v>245</v>
      </c>
      <c r="C110" s="307" t="str">
        <f t="array" ref="C110">INDEX('起きあがり'!$R$3:$S$115, MATCH($A$1,'起きあがり'!$A$3:$A$115,0), MATCH(C93,'起きあがり'!$R$2:$AD$2,0))</f>
        <v>1-22</v>
      </c>
      <c r="D110" s="308">
        <f t="array" ref="D110">INDEX('起きあがり'!$R$3:$S$115, MATCH($A$1,'起きあがり'!$A$3:$A$115,0), MATCH(D93,'起きあがり'!$R$2:$AD$2,0))</f>
        <v>35</v>
      </c>
      <c r="E110" s="301"/>
      <c r="F110" s="301"/>
      <c r="G110" s="301"/>
      <c r="H110" s="228"/>
      <c r="I110" s="228"/>
      <c r="J110" s="117"/>
      <c r="K110" s="146"/>
      <c r="L110" s="314" t="s">
        <v>693</v>
      </c>
      <c r="M110" s="113">
        <v>28.0</v>
      </c>
      <c r="N110" s="102"/>
      <c r="O110" s="118"/>
      <c r="P110" s="118"/>
      <c r="Q110" s="118"/>
      <c r="R110" s="118"/>
      <c r="S110" s="118"/>
      <c r="T110" s="118"/>
      <c r="U110" s="118"/>
      <c r="V110" s="118"/>
    </row>
    <row r="111" outlineLevel="1">
      <c r="A111" s="146"/>
      <c r="B111" s="300" t="s">
        <v>246</v>
      </c>
      <c r="C111" s="307" t="str">
        <f t="array" ref="C111">INDEX('起きあがり'!$T$3:$U$115, MATCH($A$1,'起きあがり'!$A$3:$A$115,0), MATCH(C93,'起きあがり'!$T$2:$AD$2,0))</f>
        <v>1-22</v>
      </c>
      <c r="D111" s="308">
        <f t="array" ref="D111">INDEX('起きあがり'!$T$3:$U$115, MATCH($A$1,'起きあがり'!$A$3:$A$115,0), MATCH(D93,'起きあがり'!$T$2:$AD$2,0))</f>
        <v>35</v>
      </c>
      <c r="E111" s="301"/>
      <c r="F111" s="301"/>
      <c r="G111" s="301"/>
      <c r="H111" s="228"/>
      <c r="I111" s="228"/>
      <c r="J111" s="111"/>
      <c r="K111" s="146"/>
      <c r="L111" s="314" t="str">
        <f>'テンプレート'!L134</f>
        <v>空中踏まれ</v>
      </c>
      <c r="M111" s="113">
        <v>8.0</v>
      </c>
      <c r="N111" s="102"/>
      <c r="O111" s="118"/>
      <c r="P111" s="118"/>
      <c r="Q111" s="118"/>
      <c r="R111" s="118"/>
      <c r="S111" s="118"/>
      <c r="T111" s="118"/>
      <c r="U111" s="118"/>
      <c r="V111" s="118"/>
    </row>
    <row r="112" outlineLevel="1">
      <c r="A112" s="146"/>
      <c r="B112" s="300" t="s">
        <v>249</v>
      </c>
      <c r="C112" s="309" t="str">
        <f t="array" ref="C112">INDEX('起きあがり'!$V$3:$Y$115, MATCH($A$1,'起きあがり'!$A$3:$A$115,0), MATCH(C93,'起きあがり'!$V$2:$AD$2,0))</f>
        <v>1-25</v>
      </c>
      <c r="D112" s="310">
        <f t="array" ref="D112">INDEX('起きあがり'!$V$3:$Y$115, MATCH($A$1,'起きあがり'!$A$3:$A$115,0), MATCH(D93,'起きあがり'!$V$2:$AD$2,0))</f>
        <v>45</v>
      </c>
      <c r="E112" s="307" t="str">
        <f t="array" ref="E112">INDEX('起きあがり'!$V$3:$Y$115, MATCH($A$1,'起きあがり'!$A$3:$A$115,0), MATCH(E93,'起きあがり'!$V$2:$AD$2,0))</f>
        <v>19-20</v>
      </c>
      <c r="F112" s="308">
        <f t="array" ref="F112">INDEX('起きあがり'!$V$3:$Y$115, MATCH($A$1,'起きあがり'!$A$3:$A$115,0), MATCH(F93,'起きあがり'!$V$2:$AD$2,0))</f>
        <v>7</v>
      </c>
      <c r="G112" s="113">
        <f t="shared" ref="G112:G113" si="2">F112*1.2</f>
        <v>8.4</v>
      </c>
      <c r="H112" s="228"/>
      <c r="I112" s="228"/>
      <c r="J112" s="117"/>
      <c r="K112" s="146"/>
      <c r="L112" s="314" t="str">
        <f>'テンプレート'!L135</f>
        <v>空中落下</v>
      </c>
      <c r="M112" s="113">
        <v>37.0</v>
      </c>
      <c r="N112" s="102"/>
      <c r="O112" s="118"/>
      <c r="P112" s="118"/>
      <c r="Q112" s="118"/>
      <c r="R112" s="118"/>
      <c r="S112" s="118"/>
      <c r="T112" s="118"/>
      <c r="U112" s="118"/>
      <c r="V112" s="118"/>
    </row>
    <row r="113" outlineLevel="1">
      <c r="A113" s="156"/>
      <c r="B113" s="311" t="s">
        <v>250</v>
      </c>
      <c r="C113" s="156"/>
      <c r="D113" s="156"/>
      <c r="E113" s="307" t="str">
        <f t="array" ref="E113">INDEX('起きあがり'!$Z$3:$AA$115, MATCH($A$1,'起きあがり'!$A$3:$A$115,0), MATCH(E93,'起きあがり'!$Z$2:$AD$2,0))</f>
        <v>24-25</v>
      </c>
      <c r="F113" s="308">
        <f t="array" ref="F113">INDEX('起きあがり'!$Z$3:$AA$115, MATCH($A$1,'起きあがり'!$A$3:$A$115,0), MATCH(F93,'起きあがり'!$Z$2:$AD$2,0))</f>
        <v>7</v>
      </c>
      <c r="G113" s="113">
        <f t="shared" si="2"/>
        <v>8.4</v>
      </c>
      <c r="H113" s="228"/>
      <c r="I113" s="228"/>
      <c r="J113" s="117"/>
      <c r="K113" s="304" t="str">
        <f>'テンプレート'!K136</f>
        <v>倒れダメージ</v>
      </c>
      <c r="L113" s="110"/>
      <c r="M113" s="298" t="str">
        <f>'テンプレート'!M136</f>
        <v>全体フレーム</v>
      </c>
      <c r="N113" s="102"/>
      <c r="O113" s="118"/>
      <c r="P113" s="118"/>
      <c r="Q113" s="118"/>
      <c r="R113" s="118"/>
      <c r="S113" s="118"/>
      <c r="T113" s="118"/>
      <c r="U113" s="118"/>
      <c r="V113" s="118"/>
    </row>
    <row r="114" outlineLevel="1">
      <c r="A114" s="299" t="s">
        <v>252</v>
      </c>
      <c r="B114" s="300" t="s">
        <v>253</v>
      </c>
      <c r="C114" s="307" t="str">
        <f t="array" ref="C114">INDEX('転倒'!$C$3:$D98, MATCH($A$1,'転倒'!$A$3:$A$115,0), MATCH(C93,'転倒'!$C$2:$AC$2,0))</f>
        <v>1-5</v>
      </c>
      <c r="D114" s="308">
        <f t="array" ref="D114">INDEX('転倒'!$C$3:$D98, MATCH($A$1,'転倒'!$A$3:$A$115,0), MATCH(D93,'転倒'!$C$2:$AC$2,0))</f>
        <v>29</v>
      </c>
      <c r="E114" s="301"/>
      <c r="F114" s="301"/>
      <c r="G114" s="301"/>
      <c r="H114" s="228"/>
      <c r="I114" s="228"/>
      <c r="J114" s="111"/>
      <c r="K114" s="313" t="str">
        <f>'テンプレート'!K137</f>
        <v>あお向け倒れ</v>
      </c>
      <c r="L114" s="306" t="str">
        <f>'テンプレート'!L137</f>
        <v>モーション大</v>
      </c>
      <c r="M114" s="113">
        <v>39.0</v>
      </c>
      <c r="N114" s="315"/>
      <c r="O114" s="118"/>
      <c r="P114" s="118"/>
      <c r="Q114" s="118"/>
      <c r="R114" s="118"/>
      <c r="S114" s="118"/>
      <c r="T114" s="118"/>
      <c r="U114" s="118"/>
      <c r="V114" s="118"/>
    </row>
    <row r="115" outlineLevel="1">
      <c r="A115" s="146"/>
      <c r="B115" s="300" t="s">
        <v>254</v>
      </c>
      <c r="C115" s="307" t="str">
        <f t="array" ref="C115">INDEX('転倒'!$E$3:$F98, MATCH($A$1,'転倒'!$A$3:$A$115,0), MATCH(C93,'転倒'!$E$2:$AC$2,0))</f>
        <v>1-5</v>
      </c>
      <c r="D115" s="308">
        <f t="array" ref="D115">INDEX('転倒'!$E$3:$F98, MATCH($A$1,'転倒'!$A$3:$A$115,0), MATCH(D93,'転倒'!$E$2:$AC$2,0))</f>
        <v>39</v>
      </c>
      <c r="E115" s="301"/>
      <c r="F115" s="301"/>
      <c r="G115" s="301"/>
      <c r="H115" s="228"/>
      <c r="I115" s="228"/>
      <c r="J115" s="117"/>
      <c r="K115" s="313" t="str">
        <f>'テンプレート'!K138</f>
        <v>うつ伏せ倒れ</v>
      </c>
      <c r="L115" s="306" t="str">
        <f>'テンプレート'!L138</f>
        <v>モーション大</v>
      </c>
      <c r="M115" s="113" t="s">
        <v>118</v>
      </c>
      <c r="N115" s="315"/>
      <c r="O115" s="118"/>
      <c r="P115" s="118"/>
      <c r="Q115" s="118"/>
      <c r="R115" s="118"/>
      <c r="S115" s="118"/>
      <c r="T115" s="118"/>
      <c r="U115" s="118"/>
      <c r="V115" s="118"/>
    </row>
    <row r="116" outlineLevel="1">
      <c r="A116" s="146"/>
      <c r="B116" s="300" t="s">
        <v>216</v>
      </c>
      <c r="C116" s="307" t="str">
        <f t="array" ref="C116">INDEX('転倒'!$G$3:$H$115, MATCH($A$1,'転倒'!$A$3:$A$115,0), MATCH(C93,'転倒'!$G$2:$AC$2,0))</f>
        <v>1-16</v>
      </c>
      <c r="D116" s="308">
        <f t="array" ref="D116">INDEX('転倒'!$G$3:$H$115, MATCH($A$1,'転倒'!$A$3:$A$115,0), MATCH(D93,'転倒'!$G$2:$AC$2,0))</f>
        <v>21</v>
      </c>
      <c r="E116" s="301"/>
      <c r="F116" s="301"/>
      <c r="G116" s="301"/>
      <c r="H116" s="228"/>
      <c r="I116" s="228"/>
      <c r="J116" s="111"/>
      <c r="K116" s="304" t="str">
        <f>'テンプレート'!K139</f>
        <v/>
      </c>
      <c r="L116" s="110"/>
      <c r="M116" s="298" t="str">
        <f>'テンプレート'!M139</f>
        <v/>
      </c>
      <c r="N116" s="102"/>
      <c r="O116" s="118"/>
      <c r="P116" s="118"/>
      <c r="Q116" s="118"/>
      <c r="R116" s="118"/>
      <c r="S116" s="118"/>
      <c r="T116" s="118"/>
      <c r="U116" s="118"/>
      <c r="V116" s="118"/>
    </row>
    <row r="117" outlineLevel="1">
      <c r="A117" s="146"/>
      <c r="B117" s="300" t="s">
        <v>245</v>
      </c>
      <c r="C117" s="307" t="str">
        <f t="array" ref="C117">INDEX('転倒'!$I$3:$J$115, MATCH($A$1,'転倒'!$A$3:$A$115,0), MATCH(C93,'転倒'!$I$2:$AC$2,0))</f>
        <v>1-9</v>
      </c>
      <c r="D117" s="308">
        <f t="array" ref="D117">INDEX('転倒'!$I$3:$J$115, MATCH($A$1,'転倒'!$A$3:$A$115,0), MATCH(D93,'転倒'!$I$2:$AC$2,0))</f>
        <v>28</v>
      </c>
      <c r="E117" s="301"/>
      <c r="F117" s="301"/>
      <c r="G117" s="301"/>
      <c r="H117" s="228"/>
      <c r="I117" s="228"/>
      <c r="J117" s="228"/>
      <c r="K117" s="316"/>
      <c r="L117" s="317" t="str">
        <f>'テンプレート'!L140</f>
        <v/>
      </c>
      <c r="M117" s="113" t="s">
        <v>76</v>
      </c>
      <c r="N117" s="102"/>
      <c r="O117" s="118"/>
      <c r="P117" s="118"/>
      <c r="Q117" s="118"/>
      <c r="R117" s="118"/>
      <c r="S117" s="118"/>
      <c r="T117" s="118"/>
      <c r="U117" s="118"/>
      <c r="V117" s="118"/>
    </row>
    <row r="118" outlineLevel="1">
      <c r="A118" s="146"/>
      <c r="B118" s="300" t="s">
        <v>246</v>
      </c>
      <c r="C118" s="307" t="str">
        <f t="array" ref="C118">INDEX('転倒'!$K$3:$L$115, MATCH($A$1,'転倒'!$A$3:$A$115,0), MATCH(C93,'転倒'!$K$2:$AC$2,0))</f>
        <v>1-9</v>
      </c>
      <c r="D118" s="308">
        <f t="array" ref="D118">INDEX('転倒'!$K$3:$L$115, MATCH($A$1,'転倒'!$A$3:$A$115,0), MATCH(D93,'転倒'!$K$2:$AC$2,0))</f>
        <v>28</v>
      </c>
      <c r="E118" s="301"/>
      <c r="F118" s="301"/>
      <c r="G118" s="301"/>
      <c r="H118" s="228"/>
      <c r="I118" s="228"/>
      <c r="J118" s="228"/>
      <c r="K118" s="318"/>
      <c r="L118" s="118"/>
      <c r="M118" s="118"/>
      <c r="N118" s="102"/>
      <c r="O118" s="118"/>
      <c r="P118" s="118"/>
      <c r="Q118" s="118"/>
      <c r="R118" s="118"/>
      <c r="S118" s="118"/>
      <c r="T118" s="118"/>
      <c r="U118" s="118"/>
      <c r="V118" s="118"/>
    </row>
    <row r="119" outlineLevel="1">
      <c r="A119" s="146"/>
      <c r="B119" s="300" t="s">
        <v>249</v>
      </c>
      <c r="C119" s="309" t="str">
        <f t="array" ref="C119">INDEX('転倒'!$M$3:$P$115, MATCH($A$1,'転倒'!$A$3:$A$115,0), MATCH(C93,'転倒'!$M$2:$AC$2,0))</f>
        <v>1-7</v>
      </c>
      <c r="D119" s="310">
        <f t="array" ref="D119">INDEX('転倒'!$M$3:$P$115, MATCH($A$1,'転倒'!$A$3:$A$115,0), MATCH(D93,'転倒'!$M$2:$AC$2,0))</f>
        <v>49</v>
      </c>
      <c r="E119" s="307" t="str">
        <f t="array" ref="E119">INDEX('転倒'!$M$3:$P$115, MATCH($A$1,'転倒'!$A$3:$A$115,0), MATCH(E93,'転倒'!$M$2:$AC$2,0))</f>
        <v>19-20</v>
      </c>
      <c r="F119" s="308">
        <f t="array" ref="F119">INDEX('転倒'!$M$3:$P$115, MATCH($A$1,'転倒'!$A$3:$A$115,0), MATCH(F93,'転倒'!$M$2:$AC$2,0))</f>
        <v>5</v>
      </c>
      <c r="G119" s="113">
        <f t="shared" ref="G119:G120" si="3">F119*1.2</f>
        <v>6</v>
      </c>
      <c r="H119" s="228"/>
      <c r="I119" s="228"/>
      <c r="J119" s="228"/>
      <c r="K119" s="118"/>
      <c r="L119" s="118"/>
      <c r="M119" s="118"/>
      <c r="N119" s="102"/>
      <c r="O119" s="102"/>
      <c r="P119" s="102"/>
      <c r="Q119" s="102"/>
      <c r="R119" s="118"/>
      <c r="S119" s="118"/>
      <c r="T119" s="118"/>
      <c r="U119" s="118"/>
      <c r="V119" s="118"/>
    </row>
    <row r="120" outlineLevel="1">
      <c r="A120" s="156"/>
      <c r="B120" s="311" t="s">
        <v>250</v>
      </c>
      <c r="C120" s="156"/>
      <c r="D120" s="156"/>
      <c r="E120" s="307" t="str">
        <f t="array" ref="E120">INDEX('転倒'!$Q$3:$R$115, MATCH($A$1,'転倒'!$A$3:$A$115,0), MATCH(E93,'転倒'!$Q$2:$AC$2,0))</f>
        <v>31-32</v>
      </c>
      <c r="F120" s="308">
        <f t="array" ref="F120">INDEX('転倒'!$Q$3:$R$115, MATCH($A$1,'転倒'!$A$3:$A$115,0), MATCH(F93,'転倒'!$Q$2:$AC$2,0))</f>
        <v>5</v>
      </c>
      <c r="G120" s="113">
        <f t="shared" si="3"/>
        <v>6</v>
      </c>
      <c r="H120" s="228"/>
      <c r="I120" s="228"/>
      <c r="J120" s="228"/>
      <c r="K120" s="118"/>
      <c r="L120" s="118"/>
      <c r="M120" s="118"/>
      <c r="N120" s="102"/>
      <c r="O120" s="102"/>
      <c r="P120" s="102"/>
      <c r="Q120" s="102"/>
      <c r="R120" s="118"/>
      <c r="S120" s="118"/>
      <c r="T120" s="118"/>
      <c r="U120" s="118"/>
      <c r="V120" s="118"/>
    </row>
    <row r="121" outlineLevel="1">
      <c r="A121" s="319"/>
      <c r="B121" s="320"/>
      <c r="C121" s="321"/>
      <c r="D121" s="321"/>
      <c r="E121" s="322"/>
      <c r="F121" s="322"/>
      <c r="G121" s="114"/>
      <c r="H121" s="228"/>
      <c r="I121" s="228"/>
      <c r="J121" s="228"/>
      <c r="K121" s="118"/>
      <c r="L121" s="118"/>
      <c r="M121" s="118"/>
      <c r="N121" s="102"/>
      <c r="O121" s="102"/>
      <c r="P121" s="102"/>
      <c r="Q121" s="102"/>
      <c r="R121" s="118"/>
      <c r="S121" s="118"/>
      <c r="T121" s="118"/>
      <c r="U121" s="118"/>
      <c r="V121" s="118"/>
    </row>
    <row r="122" outlineLevel="1">
      <c r="A122" s="323" t="s">
        <v>255</v>
      </c>
      <c r="B122" s="109"/>
      <c r="C122" s="321"/>
      <c r="D122" s="321"/>
      <c r="E122" s="322"/>
      <c r="F122" s="322"/>
      <c r="G122" s="114"/>
      <c r="H122" s="228"/>
      <c r="I122" s="228"/>
      <c r="J122" s="228"/>
      <c r="K122" s="118"/>
      <c r="L122" s="118"/>
      <c r="M122" s="118"/>
      <c r="N122" s="102"/>
      <c r="O122" s="102"/>
      <c r="P122" s="102"/>
      <c r="Q122" s="102"/>
      <c r="R122" s="118"/>
      <c r="S122" s="118"/>
      <c r="T122" s="118"/>
      <c r="U122" s="118"/>
      <c r="V122" s="118"/>
    </row>
    <row r="123" outlineLevel="1">
      <c r="A123" s="324" t="s">
        <v>256</v>
      </c>
      <c r="B123" s="109"/>
      <c r="C123" s="325" t="s">
        <v>257</v>
      </c>
      <c r="D123" s="325" t="s">
        <v>49</v>
      </c>
      <c r="E123" s="322"/>
      <c r="F123" s="322"/>
      <c r="G123" s="114"/>
      <c r="H123" s="228"/>
      <c r="I123" s="228"/>
      <c r="J123" s="228"/>
      <c r="K123" s="118"/>
      <c r="L123" s="118"/>
      <c r="M123" s="118"/>
      <c r="N123" s="102"/>
      <c r="O123" s="102"/>
      <c r="P123" s="102"/>
      <c r="Q123" s="102"/>
      <c r="R123" s="118"/>
      <c r="S123" s="118"/>
      <c r="T123" s="118"/>
      <c r="U123" s="118"/>
      <c r="V123" s="118"/>
    </row>
    <row r="124" outlineLevel="1">
      <c r="A124" s="326" t="s">
        <v>258</v>
      </c>
      <c r="B124" s="327" t="s">
        <v>216</v>
      </c>
      <c r="C124" s="328" t="str">
        <f t="array" ref="C124">INDEX('アイテム'!$C$3:$D$114, MATCH($A$1,'アイテム'!$A$3:$A$114,0), MATCH(C123,'アイテム'!$C$2:$AQ$2,0))</f>
        <v>3</v>
      </c>
      <c r="D124" s="328">
        <f t="array" ref="D124">INDEX('アイテム'!$C$3:$D$114, MATCH($A$1,'アイテム'!$A$3:$A$114,0), MATCH(D123,'アイテム'!$C$2:$AQ$2,0))</f>
        <v>7</v>
      </c>
      <c r="E124" s="322"/>
      <c r="F124" s="322"/>
      <c r="G124" s="114"/>
      <c r="H124" s="228"/>
      <c r="I124" s="228"/>
      <c r="J124" s="228"/>
      <c r="K124" s="118"/>
      <c r="L124" s="118"/>
      <c r="M124" s="118"/>
      <c r="N124" s="102"/>
      <c r="O124" s="102"/>
      <c r="P124" s="102"/>
      <c r="Q124" s="102"/>
      <c r="R124" s="118"/>
      <c r="S124" s="118"/>
      <c r="T124" s="118"/>
      <c r="U124" s="118"/>
      <c r="V124" s="118"/>
    </row>
    <row r="125" outlineLevel="1">
      <c r="A125" s="156"/>
      <c r="B125" s="327" t="s">
        <v>219</v>
      </c>
      <c r="C125" s="328" t="str">
        <f t="array" ref="C125">INDEX('アイテム'!$E$3:$F$114, MATCH($A$1,'アイテム'!$A$3:$A$114,0), MATCH(C123,'アイテム'!$C$2:$AQ$2,0))</f>
        <v>3</v>
      </c>
      <c r="D125" s="328">
        <f t="array" ref="D125">INDEX('アイテム'!$E$3:$F$114, MATCH($A$1,'アイテム'!$A$3:$A$114,0), MATCH(D123,'アイテム'!$C$2:$AQ$2,0))</f>
        <v>19</v>
      </c>
      <c r="E125" s="322"/>
      <c r="F125" s="322"/>
      <c r="G125" s="114"/>
      <c r="H125" s="228"/>
      <c r="I125" s="228"/>
      <c r="J125" s="228"/>
      <c r="K125" s="118"/>
      <c r="L125" s="118"/>
      <c r="M125" s="118"/>
      <c r="N125" s="102"/>
      <c r="O125" s="102"/>
      <c r="P125" s="102"/>
      <c r="Q125" s="102"/>
      <c r="R125" s="118"/>
      <c r="S125" s="118"/>
      <c r="T125" s="118"/>
      <c r="U125" s="118"/>
      <c r="V125" s="118"/>
    </row>
    <row r="126" outlineLevel="1">
      <c r="A126" s="329" t="s">
        <v>259</v>
      </c>
      <c r="B126" s="327" t="s">
        <v>216</v>
      </c>
      <c r="C126" s="328">
        <f t="array" ref="C126">INDEX('アイテム'!$AA$3:$AB$114, MATCH($A$1,'アイテム'!$A$3:$A$114,0), MATCH(C123,'アイテム'!$C$2:$AQ$2,0))</f>
        <v>3</v>
      </c>
      <c r="D126" s="328" t="str">
        <f t="array" ref="D126">INDEX('アイテム'!$AA$3:$AB$114, MATCH($A$1,'アイテム'!$A$3:$A$114,0), MATCH(D123,'アイテム'!$C$2:$AQ$2,0))</f>
        <v>12</v>
      </c>
      <c r="E126" s="322"/>
      <c r="F126" s="322"/>
      <c r="G126" s="114"/>
      <c r="H126" s="228"/>
      <c r="I126" s="228"/>
      <c r="J126" s="228"/>
      <c r="K126" s="118"/>
      <c r="L126" s="118"/>
      <c r="M126" s="118"/>
      <c r="N126" s="102"/>
      <c r="O126" s="102"/>
      <c r="P126" s="102"/>
      <c r="Q126" s="102"/>
      <c r="R126" s="118"/>
      <c r="S126" s="118"/>
      <c r="T126" s="118"/>
      <c r="U126" s="118"/>
      <c r="V126" s="118"/>
    </row>
    <row r="127" outlineLevel="1">
      <c r="A127" s="324" t="s">
        <v>260</v>
      </c>
      <c r="B127" s="109"/>
      <c r="C127" s="325" t="s">
        <v>261</v>
      </c>
      <c r="D127" s="325" t="s">
        <v>49</v>
      </c>
      <c r="E127" s="322"/>
      <c r="F127" s="322"/>
      <c r="G127" s="114"/>
      <c r="H127" s="228"/>
      <c r="I127" s="228"/>
      <c r="J127" s="228"/>
      <c r="K127" s="118"/>
      <c r="L127" s="118"/>
      <c r="M127" s="118"/>
      <c r="N127" s="102"/>
      <c r="O127" s="102"/>
      <c r="P127" s="102"/>
      <c r="Q127" s="102"/>
      <c r="R127" s="118"/>
      <c r="S127" s="118"/>
      <c r="T127" s="118"/>
      <c r="U127" s="118"/>
      <c r="V127" s="118"/>
    </row>
    <row r="128" outlineLevel="1">
      <c r="A128" s="326" t="s">
        <v>262</v>
      </c>
      <c r="B128" s="327" t="s">
        <v>226</v>
      </c>
      <c r="C128" s="328" t="str">
        <f t="array" ref="C128">INDEX('アイテム'!$G$3:$H$114, MATCH($A$1,'アイテム'!$A$3:$A$114,0), MATCH(C123,'アイテム'!$C$2:$AQ$2,0))</f>
        <v>9</v>
      </c>
      <c r="D128" s="328">
        <f t="array" ref="D128">INDEX('アイテム'!$G$3:$H$114, MATCH($A$1,'アイテム'!$A$3:$A$114,0), MATCH(D123,'アイテム'!$C$2:$AQ$2,0))</f>
        <v>24</v>
      </c>
      <c r="E128" s="322"/>
      <c r="F128" s="322"/>
      <c r="G128" s="114"/>
      <c r="H128" s="228"/>
      <c r="I128" s="228"/>
      <c r="J128" s="228"/>
      <c r="K128" s="118"/>
      <c r="L128" s="118"/>
      <c r="M128" s="118"/>
      <c r="N128" s="102"/>
      <c r="O128" s="102"/>
      <c r="P128" s="102"/>
      <c r="Q128" s="102"/>
      <c r="R128" s="118"/>
      <c r="S128" s="118"/>
      <c r="T128" s="118"/>
      <c r="U128" s="118"/>
      <c r="V128" s="118"/>
    </row>
    <row r="129" outlineLevel="1">
      <c r="A129" s="146"/>
      <c r="B129" s="327" t="s">
        <v>229</v>
      </c>
      <c r="C129" s="328" t="str">
        <f t="array" ref="C129">INDEX('アイテム'!$I$3:$J$114, MATCH($A$1,'アイテム'!$A$3:$A$114,0), MATCH(C123,'アイテム'!$C$2:$AQ$2,0))</f>
        <v>11</v>
      </c>
      <c r="D129" s="328">
        <f t="array" ref="D129">INDEX('アイテム'!$I$3:$J$114, MATCH($A$1,'アイテム'!$A$3:$A$114,0), MATCH(D123,'アイテム'!$C$2:$AQ$2,0))</f>
        <v>24</v>
      </c>
      <c r="E129" s="322"/>
      <c r="F129" s="322"/>
      <c r="G129" s="114"/>
      <c r="H129" s="228"/>
      <c r="I129" s="228"/>
      <c r="J129" s="228"/>
      <c r="K129" s="118"/>
      <c r="L129" s="118"/>
      <c r="M129" s="118"/>
      <c r="N129" s="102"/>
      <c r="O129" s="102"/>
      <c r="P129" s="102"/>
      <c r="Q129" s="102"/>
      <c r="R129" s="118"/>
      <c r="S129" s="118"/>
      <c r="T129" s="118"/>
      <c r="U129" s="118"/>
      <c r="V129" s="118"/>
    </row>
    <row r="130" outlineLevel="1">
      <c r="A130" s="146"/>
      <c r="B130" s="327" t="s">
        <v>233</v>
      </c>
      <c r="C130" s="328" t="str">
        <f t="array" ref="C130">INDEX('アイテム'!$K$3:$L$114, MATCH($A$1,'アイテム'!$A$3:$A$114,0), MATCH(C123,'アイテム'!$C$2:$AQ$2,0))</f>
        <v>12</v>
      </c>
      <c r="D130" s="328">
        <f t="array" ref="D130">INDEX('アイテム'!$K$3:$L$114, MATCH($A$1,'アイテム'!$A$3:$A$114,0), MATCH(D123,'アイテム'!$C$2:$AQ$2,0))</f>
        <v>23</v>
      </c>
      <c r="E130" s="322"/>
      <c r="F130" s="322"/>
      <c r="G130" s="114"/>
      <c r="H130" s="228"/>
      <c r="I130" s="228"/>
      <c r="J130" s="228"/>
      <c r="K130" s="118"/>
      <c r="L130" s="118"/>
      <c r="M130" s="118"/>
      <c r="N130" s="102"/>
      <c r="O130" s="102"/>
      <c r="P130" s="102"/>
      <c r="Q130" s="102"/>
      <c r="R130" s="118"/>
      <c r="S130" s="118"/>
      <c r="T130" s="118"/>
      <c r="U130" s="118"/>
      <c r="V130" s="118"/>
    </row>
    <row r="131" outlineLevel="1">
      <c r="A131" s="146"/>
      <c r="B131" s="327" t="s">
        <v>234</v>
      </c>
      <c r="C131" s="328" t="str">
        <f t="array" ref="C131">INDEX('アイテム'!$M$3:$N$114, MATCH($A$1,'アイテム'!$A$3:$A$114,0), MATCH(C123,'アイテム'!$C$2:$AQ$2,0))</f>
        <v>9</v>
      </c>
      <c r="D131" s="328">
        <f t="array" ref="D131">INDEX('アイテム'!$M$3:$N$114, MATCH($A$1,'アイテム'!$A$3:$A$114,0), MATCH(D123,'アイテム'!$C$2:$AQ$2,0))</f>
        <v>19</v>
      </c>
      <c r="E131" s="322"/>
      <c r="F131" s="322"/>
      <c r="G131" s="114"/>
      <c r="H131" s="228"/>
      <c r="I131" s="228"/>
      <c r="J131" s="228"/>
      <c r="K131" s="118"/>
      <c r="L131" s="118"/>
      <c r="M131" s="118"/>
      <c r="N131" s="102"/>
      <c r="O131" s="102"/>
      <c r="P131" s="102"/>
      <c r="Q131" s="102"/>
      <c r="R131" s="118"/>
      <c r="S131" s="118"/>
      <c r="T131" s="118"/>
      <c r="U131" s="118"/>
      <c r="V131" s="118"/>
    </row>
    <row r="132" outlineLevel="1">
      <c r="A132" s="146"/>
      <c r="B132" s="327" t="s">
        <v>219</v>
      </c>
      <c r="C132" s="328" t="str">
        <f t="array" ref="C132">INDEX('アイテム'!$O$3:$P$114, MATCH($A$1,'アイテム'!$A$3:$A$114,0), MATCH(C123,'アイテム'!$C$2:$AQ$2,0))</f>
        <v>7</v>
      </c>
      <c r="D132" s="328">
        <f t="array" ref="D132">INDEX('アイテム'!$O$3:$P$114, MATCH($A$1,'アイテム'!$A$3:$A$114,0), MATCH(D123,'アイテム'!$C$2:$AQ$2,0))</f>
        <v>29</v>
      </c>
      <c r="E132" s="322"/>
      <c r="F132" s="322"/>
      <c r="G132" s="114"/>
      <c r="H132" s="228"/>
      <c r="I132" s="228"/>
      <c r="J132" s="228"/>
      <c r="K132" s="118"/>
      <c r="L132" s="118"/>
      <c r="M132" s="118"/>
      <c r="N132" s="102"/>
      <c r="O132" s="102"/>
      <c r="P132" s="102"/>
      <c r="Q132" s="102"/>
      <c r="R132" s="118"/>
      <c r="S132" s="118"/>
      <c r="T132" s="118"/>
      <c r="U132" s="118"/>
      <c r="V132" s="118"/>
    </row>
    <row r="133" outlineLevel="1">
      <c r="A133" s="156"/>
      <c r="B133" s="327" t="s">
        <v>263</v>
      </c>
      <c r="C133" s="328" t="str">
        <f t="array" ref="C133">INDEX('アイテム'!$Q$3:$R$114, MATCH($A$1,'アイテム'!$A$3:$A$114,0), MATCH(C123,'アイテム'!$C$2:$AQ$2,0))</f>
        <v>7</v>
      </c>
      <c r="D133" s="328">
        <f t="array" ref="D133">INDEX('アイテム'!$Q$3:$R$114, MATCH($A$1,'アイテム'!$A$3:$A$114,0), MATCH(D123,'アイテム'!$C$2:$AQ$2,0))</f>
        <v>23</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264</v>
      </c>
      <c r="B134" s="327" t="s">
        <v>226</v>
      </c>
      <c r="C134" s="328" t="str">
        <f t="array" ref="C134">INDEX('アイテム'!$S$3:$T$114, MATCH($A$1,'アイテム'!$A$3:$A$114,0), MATCH(C123,'アイテム'!$C$2:$AQ$2,0))</f>
        <v>9</v>
      </c>
      <c r="D134" s="328">
        <f t="array" ref="D134">INDEX('アイテム'!$S$3:$T$114, MATCH($A$1,'アイテム'!$A$3:$A$114,0), MATCH(D123,'アイテム'!$C$2:$AQ$2,0))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229</v>
      </c>
      <c r="C135" s="328" t="str">
        <f t="array" ref="C135">INDEX('アイテム'!$U$3:$V$114, MATCH($A$1,'アイテム'!$A$3:$A$114,0), MATCH(C123,'アイテム'!$C$2:$AQ$2,0))</f>
        <v>11</v>
      </c>
      <c r="D135" s="328">
        <f t="array" ref="D135">INDEX('アイテム'!$U$3:$V$114, MATCH($A$1,'アイテム'!$A$3:$A$114,0), MATCH(D123,'アイテム'!$C$2:$AQ$2,0))</f>
        <v>24</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233</v>
      </c>
      <c r="C136" s="328" t="str">
        <f t="array" ref="C136">INDEX('アイテム'!$W$3:$X$114, MATCH($A$1,'アイテム'!$A$3:$A$114,0), MATCH(C123,'アイテム'!$C$2:$AQ$2,0))</f>
        <v>12</v>
      </c>
      <c r="D136" s="328">
        <f t="array" ref="D136">INDEX('アイテム'!$W$3:$X$114, MATCH($A$1,'アイテム'!$A$3:$A$114,0), MATCH(D123,'アイテム'!$C$2:$AQ$2,0))</f>
        <v>23</v>
      </c>
      <c r="E136" s="322"/>
      <c r="F136" s="322"/>
      <c r="G136" s="114"/>
      <c r="H136" s="228"/>
      <c r="I136" s="228"/>
      <c r="J136" s="228"/>
      <c r="K136" s="118"/>
      <c r="L136" s="118"/>
      <c r="M136" s="118"/>
      <c r="N136" s="102"/>
      <c r="O136" s="102"/>
      <c r="P136" s="102"/>
      <c r="Q136" s="102"/>
      <c r="R136" s="118"/>
      <c r="S136" s="118"/>
      <c r="T136" s="118"/>
      <c r="U136" s="118"/>
      <c r="V136" s="118"/>
    </row>
    <row r="137" outlineLevel="1">
      <c r="A137" s="156"/>
      <c r="B137" s="327" t="s">
        <v>234</v>
      </c>
      <c r="C137" s="328" t="str">
        <f t="array" ref="C137">INDEX('アイテム'!$Y$3:$Z$114, MATCH($A$1,'アイテム'!$A$3:$A$114,0), MATCH(C123,'アイテム'!$C$2:$AQ$2,0))</f>
        <v>9</v>
      </c>
      <c r="D137" s="328">
        <f t="array" ref="D137">INDEX('アイテム'!$Y$3:$Z$114, MATCH($A$1,'アイテム'!$A$3:$A$114,0), MATCH(D123,'アイテム'!$C$2:$AQ$2,0))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265</v>
      </c>
      <c r="B138" s="327" t="s">
        <v>226</v>
      </c>
      <c r="C138" s="328">
        <f t="array" ref="C138">INDEX('アイテム'!$AC$3:$AD$114, MATCH($A$1,'アイテム'!$A$3:$A$114,0), MATCH(C123,'アイテム'!$C$2:$AQ$2,0))</f>
        <v>16</v>
      </c>
      <c r="D138" s="328" t="str">
        <f t="array" ref="D138">INDEX('アイテム'!$AC$3:$AD$114, MATCH($A$1,'アイテム'!$A$3:$A$114,0), MATCH(D123,'アイテム'!$C$2:$AQ$2,0))</f>
        <v>30</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f t="array" ref="C139">INDEX('アイテム'!$AE$3:$AF$114, MATCH($A$1,'アイテム'!$A$3:$A$114,0), MATCH(C123,'アイテム'!$C$2:$AQ$2,0))</f>
        <v>17</v>
      </c>
      <c r="D139" s="328" t="str">
        <f t="array" ref="D139">INDEX('アイテム'!$AE$3:$AF$114, MATCH($A$1,'アイテム'!$A$3:$A$114,0), MATCH(D123,'アイテム'!$C$2:$AQ$2,0))</f>
        <v>30</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f t="array" ref="C140">INDEX('アイテム'!$AG$3:$AH$114, MATCH($A$1,'アイテム'!$A$3:$A$114,0), MATCH(C123,'アイテム'!$C$2:$AQ$2,0))</f>
        <v>11</v>
      </c>
      <c r="D140" s="328" t="str">
        <f t="array" ref="D140">INDEX('アイテム'!$AG$3:$AH$114, MATCH($A$1,'アイテム'!$A$3:$A$114,0), MATCH(D123,'アイテム'!$C$2:$AQ$2,0))</f>
        <v>22</v>
      </c>
      <c r="E140" s="322"/>
      <c r="F140" s="322"/>
      <c r="G140" s="114"/>
      <c r="H140" s="228"/>
      <c r="I140" s="228"/>
      <c r="J140" s="228"/>
      <c r="K140" s="118"/>
      <c r="L140" s="118"/>
      <c r="M140" s="118"/>
      <c r="N140" s="102"/>
      <c r="O140" s="102"/>
      <c r="P140" s="102"/>
      <c r="Q140" s="102"/>
      <c r="R140" s="118"/>
      <c r="S140" s="118"/>
      <c r="T140" s="118"/>
      <c r="U140" s="118"/>
      <c r="V140" s="118"/>
    </row>
    <row r="141" outlineLevel="1">
      <c r="A141" s="156"/>
      <c r="B141" s="327" t="s">
        <v>234</v>
      </c>
      <c r="C141" s="328">
        <f t="array" ref="C141">INDEX('アイテム'!$AI$3:$AJ$114, MATCH($A$1,'アイテム'!$A$3:$A$114,0), MATCH(C123,'アイテム'!$C$2:$AQ$2,0))</f>
        <v>11</v>
      </c>
      <c r="D141" s="328" t="str">
        <f t="array" ref="D141">INDEX('アイテム'!$AI$3:$AJ$114, MATCH($A$1,'アイテム'!$A$3:$A$114,0), MATCH(D123,'アイテム'!$C$2:$AQ$2,0))</f>
        <v>22</v>
      </c>
      <c r="E141" s="322"/>
      <c r="F141" s="322"/>
      <c r="G141" s="114"/>
      <c r="H141" s="228"/>
      <c r="I141" s="228"/>
      <c r="J141" s="228"/>
      <c r="K141" s="118"/>
      <c r="L141" s="118"/>
      <c r="M141" s="118"/>
      <c r="N141" s="102"/>
      <c r="O141" s="102"/>
      <c r="P141" s="102"/>
      <c r="Q141" s="102"/>
      <c r="R141" s="118"/>
      <c r="S141" s="118"/>
      <c r="T141" s="118"/>
      <c r="U141" s="118"/>
      <c r="V141" s="118"/>
    </row>
  </sheetData>
  <mergeCells count="125">
    <mergeCell ref="R50:V50"/>
    <mergeCell ref="R51:V52"/>
    <mergeCell ref="U56:U58"/>
    <mergeCell ref="V56:V58"/>
    <mergeCell ref="U60:U62"/>
    <mergeCell ref="V60:V62"/>
    <mergeCell ref="U30:U31"/>
    <mergeCell ref="U33:U34"/>
    <mergeCell ref="U37:U41"/>
    <mergeCell ref="R45:V45"/>
    <mergeCell ref="R46:V47"/>
    <mergeCell ref="R48:V48"/>
    <mergeCell ref="R49:V49"/>
    <mergeCell ref="J51:J52"/>
    <mergeCell ref="H55:J55"/>
    <mergeCell ref="H35:J35"/>
    <mergeCell ref="H36:J36"/>
    <mergeCell ref="H37:J41"/>
    <mergeCell ref="H42:J42"/>
    <mergeCell ref="I46:I47"/>
    <mergeCell ref="J46:J47"/>
    <mergeCell ref="I51:I52"/>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1"/>
    <mergeCell ref="H32:J32"/>
    <mergeCell ref="H33:J34"/>
    <mergeCell ref="A24:B25"/>
    <mergeCell ref="A26:A29"/>
    <mergeCell ref="A30:A31"/>
    <mergeCell ref="D30:D31"/>
    <mergeCell ref="A33:A34"/>
    <mergeCell ref="D33:D34"/>
    <mergeCell ref="D37:D41"/>
    <mergeCell ref="A37:A41"/>
    <mergeCell ref="A44:B45"/>
    <mergeCell ref="A46:A47"/>
    <mergeCell ref="D46:D47"/>
    <mergeCell ref="A51:A52"/>
    <mergeCell ref="C51:C52"/>
    <mergeCell ref="D51:D52"/>
    <mergeCell ref="A56:A58"/>
    <mergeCell ref="A60:A62"/>
    <mergeCell ref="A94:A98"/>
    <mergeCell ref="A99:A101"/>
    <mergeCell ref="A102:A107"/>
    <mergeCell ref="C106:C107"/>
    <mergeCell ref="D106:D107"/>
    <mergeCell ref="C112:C113"/>
    <mergeCell ref="D112:D113"/>
    <mergeCell ref="A124:A125"/>
    <mergeCell ref="A128:A133"/>
    <mergeCell ref="A134:A137"/>
    <mergeCell ref="A138:A141"/>
    <mergeCell ref="A108:A113"/>
    <mergeCell ref="A114:A120"/>
    <mergeCell ref="C119:C120"/>
    <mergeCell ref="D119:D120"/>
    <mergeCell ref="A122:B122"/>
    <mergeCell ref="A123:B123"/>
    <mergeCell ref="A127:B127"/>
    <mergeCell ref="D56:D57"/>
    <mergeCell ref="D61:D62"/>
    <mergeCell ref="D75:D76"/>
    <mergeCell ref="D77:D78"/>
    <mergeCell ref="D79:D80"/>
    <mergeCell ref="D81:D82"/>
    <mergeCell ref="A54:B54"/>
    <mergeCell ref="A55:B55"/>
    <mergeCell ref="C56:C57"/>
    <mergeCell ref="H56:J58"/>
    <mergeCell ref="H59:J59"/>
    <mergeCell ref="H60:J60"/>
    <mergeCell ref="H61:J62"/>
    <mergeCell ref="A59:B59"/>
    <mergeCell ref="A63:B63"/>
    <mergeCell ref="A65:B65"/>
    <mergeCell ref="A68:B69"/>
    <mergeCell ref="A71:A73"/>
    <mergeCell ref="A74:B74"/>
    <mergeCell ref="A75:A76"/>
    <mergeCell ref="H63:J63"/>
    <mergeCell ref="H64:J64"/>
    <mergeCell ref="H65:J65"/>
    <mergeCell ref="H66:J66"/>
    <mergeCell ref="G74:J74"/>
    <mergeCell ref="G75:J76"/>
    <mergeCell ref="G77:J78"/>
    <mergeCell ref="A77:A78"/>
    <mergeCell ref="A79:A80"/>
    <mergeCell ref="A81:A82"/>
    <mergeCell ref="A84:B85"/>
    <mergeCell ref="A86:A88"/>
    <mergeCell ref="A89:A90"/>
    <mergeCell ref="A92:B93"/>
    <mergeCell ref="K103:K106"/>
    <mergeCell ref="K109:K112"/>
    <mergeCell ref="K113:L113"/>
    <mergeCell ref="K116:L116"/>
    <mergeCell ref="G79:J80"/>
    <mergeCell ref="G81:J82"/>
    <mergeCell ref="K93:L93"/>
    <mergeCell ref="K94:K95"/>
    <mergeCell ref="K96:L96"/>
    <mergeCell ref="K97:K102"/>
    <mergeCell ref="K107:L107"/>
  </mergeCells>
  <conditionalFormatting sqref="K1:K15 K17:K117">
    <cfRule type="containsText" dxfId="0" priority="1" operator="containsText" text="361">
      <formula>NOT(ISERROR(SEARCH(("361"),(K1))))</formula>
    </cfRule>
  </conditionalFormatting>
  <conditionalFormatting sqref="K1:K15 K17:K117">
    <cfRule type="containsText" dxfId="1" priority="2" operator="containsText" text="363">
      <formula>NOT(ISERROR(SEARCH(("363"),(K1))))</formula>
    </cfRule>
  </conditionalFormatting>
  <conditionalFormatting sqref="K1:K15 K17:K117">
    <cfRule type="containsText" dxfId="1" priority="3" operator="containsText" text="365">
      <formula>NOT(ISERROR(SEARCH(("365"),(K1))))</formula>
    </cfRule>
  </conditionalFormatting>
  <conditionalFormatting sqref="K1:K15 K17:K117">
    <cfRule type="containsText" dxfId="1" priority="4" operator="containsText" text="366">
      <formula>NOT(ISERROR(SEARCH(("366"),(K1))))</formula>
    </cfRule>
  </conditionalFormatting>
  <conditionalFormatting sqref="K1:K15 K17:K117">
    <cfRule type="containsText" dxfId="1" priority="5" operator="containsText" text="367">
      <formula>NOT(ISERROR(SEARCH(("367"),(K1))))</formula>
    </cfRule>
  </conditionalFormatting>
  <conditionalFormatting sqref="P75:P82">
    <cfRule type="cellIs" dxfId="2" priority="6" operator="equal">
      <formula>"敵のみ"</formula>
    </cfRule>
  </conditionalFormatting>
  <conditionalFormatting sqref="C75:C82">
    <cfRule type="cellIs" dxfId="3" priority="7" operator="equal">
      <formula>"-"</formula>
    </cfRule>
  </conditionalFormatting>
  <conditionalFormatting sqref="O1:O141 C58 E58:G58 E60:F60 G60:G62 K60:N60 P60:T60 C64 E64:G64 K64:N64 P64:T64 C77 E77:F77 K77:N77 P77:Q77 C79 E79:F79 K79:N79 P79:Q79 P82:Q82">
    <cfRule type="cellIs" dxfId="4" priority="8" operator="greaterThan">
      <formula>0</formula>
    </cfRule>
  </conditionalFormatting>
  <conditionalFormatting sqref="P1:Q141">
    <cfRule type="cellIs" dxfId="5" priority="9" operator="lessThan">
      <formula>1</formula>
    </cfRule>
  </conditionalFormatting>
  <conditionalFormatting sqref="P1:Q141">
    <cfRule type="cellIs" dxfId="4" priority="10" operator="greaterThan">
      <formula>1</formula>
    </cfRule>
  </conditionalFormatting>
  <conditionalFormatting sqref="N25:N82">
    <cfRule type="cellIs" dxfId="6" priority="11" operator="greaterThan">
      <formula>0</formula>
    </cfRule>
  </conditionalFormatting>
  <conditionalFormatting sqref="N1:N15 N17:N141">
    <cfRule type="containsText" dxfId="6" priority="12" operator="containsText" text="/">
      <formula>NOT(ISERROR(SEARCH(("/"),(N1))))</formula>
    </cfRule>
  </conditionalFormatting>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5292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363">
        <v>25.0</v>
      </c>
      <c r="B1" s="1364"/>
      <c r="C1" s="1365" t="str">
        <f>IMAGE(VLOOKUP($A$1,Fighters!A2:AI114,12,FALSE),1)</f>
        <v>#REF!</v>
      </c>
      <c r="D1" s="1366"/>
      <c r="E1" s="1366"/>
      <c r="F1" s="1366"/>
      <c r="G1" s="1367"/>
      <c r="H1" s="1368"/>
      <c r="I1" s="1366"/>
      <c r="J1" s="1367"/>
      <c r="K1" s="1369"/>
      <c r="L1" s="1366"/>
      <c r="M1" s="1367"/>
      <c r="N1" s="1370"/>
      <c r="O1" s="1370"/>
      <c r="P1" s="1370"/>
      <c r="Q1" s="1370"/>
      <c r="R1" s="1371"/>
      <c r="S1" s="1371"/>
      <c r="T1" s="1371"/>
      <c r="U1" s="1371"/>
      <c r="V1" s="1371"/>
    </row>
    <row r="2">
      <c r="A2" s="1372" t="str">
        <f>VLOOKUP($A$1,Fighters!$A$2:$AI$81,6,FALSE)</f>
        <v>#852924</v>
      </c>
      <c r="B2" s="1364"/>
      <c r="C2" s="1373"/>
      <c r="G2" s="1374"/>
      <c r="H2" s="1375"/>
      <c r="I2" s="1376"/>
      <c r="J2" s="1377"/>
      <c r="K2" s="1375"/>
      <c r="L2" s="1376"/>
      <c r="M2" s="1377"/>
      <c r="N2" s="1370"/>
      <c r="O2" s="1370"/>
      <c r="P2" s="1370"/>
      <c r="Q2" s="1370"/>
      <c r="R2" s="1371"/>
      <c r="S2" s="1371"/>
      <c r="T2" s="1371"/>
      <c r="U2" s="1371"/>
      <c r="V2" s="1371"/>
    </row>
    <row r="3">
      <c r="A3" s="1372" t="str">
        <f>VLOOKUP($A$1,Fighters!$A$2:$AI$81,14,FALSE)</f>
        <v>25. ロイ</v>
      </c>
      <c r="B3" s="1364"/>
      <c r="C3" s="1373"/>
      <c r="G3" s="1374"/>
      <c r="H3" s="1378"/>
      <c r="I3" s="1378"/>
      <c r="J3" s="1378"/>
      <c r="K3" s="1379"/>
      <c r="L3" s="1379"/>
      <c r="M3" s="1379"/>
      <c r="N3" s="1370"/>
      <c r="O3" s="1370"/>
      <c r="P3" s="1370"/>
      <c r="Q3" s="1370"/>
      <c r="R3" s="1380"/>
      <c r="S3" s="1371"/>
      <c r="T3" s="1371"/>
      <c r="U3" s="1371"/>
      <c r="V3" s="1371"/>
    </row>
    <row r="4">
      <c r="A4" s="1372" t="str">
        <f>VLOOKUP($A$1,Fighters!$A$2:$AI$81,13,FALSE)</f>
        <v>1</v>
      </c>
      <c r="B4" s="1364"/>
      <c r="C4" s="1373"/>
      <c r="G4" s="1374"/>
      <c r="H4" s="1381"/>
      <c r="I4" s="1381"/>
      <c r="J4" s="1378"/>
      <c r="K4" s="1379"/>
      <c r="L4" s="1379"/>
      <c r="M4" s="1379"/>
      <c r="N4" s="1370"/>
      <c r="O4" s="1370"/>
      <c r="P4" s="1370"/>
      <c r="Q4" s="1370"/>
      <c r="R4" s="1380"/>
      <c r="S4" s="1371"/>
      <c r="T4" s="1371"/>
      <c r="U4" s="1371"/>
      <c r="V4" s="1371"/>
    </row>
    <row r="5" ht="16.5" customHeight="1">
      <c r="A5" s="1363"/>
      <c r="B5" s="1364"/>
      <c r="C5" s="1373"/>
      <c r="G5" s="1374"/>
      <c r="H5" s="1382"/>
      <c r="I5" s="1382"/>
      <c r="J5" s="1383"/>
      <c r="K5" s="1384"/>
      <c r="L5" s="1385"/>
      <c r="M5" s="1385"/>
      <c r="N5" s="1370"/>
      <c r="O5" s="1370"/>
      <c r="P5" s="1370"/>
      <c r="Q5" s="1370"/>
      <c r="R5" s="1380"/>
      <c r="S5" s="1371"/>
      <c r="T5" s="1371"/>
      <c r="U5" s="1371"/>
      <c r="V5" s="1371"/>
    </row>
    <row r="6">
      <c r="A6" s="1364"/>
      <c r="B6" s="1364"/>
      <c r="C6" s="1373"/>
      <c r="G6" s="1374"/>
      <c r="H6" s="1381"/>
      <c r="I6" s="1386" t="s">
        <v>39</v>
      </c>
      <c r="J6" s="1384"/>
      <c r="K6" s="1387"/>
      <c r="L6" s="1385"/>
      <c r="M6" s="1385"/>
      <c r="N6" s="1370"/>
      <c r="O6" s="1370"/>
      <c r="P6" s="1370"/>
      <c r="Q6" s="1370"/>
      <c r="R6" s="1380"/>
      <c r="S6" s="1371"/>
      <c r="T6" s="1371"/>
      <c r="U6" s="1371"/>
      <c r="V6" s="1371"/>
    </row>
    <row r="7">
      <c r="A7" s="1364"/>
      <c r="B7" s="1364"/>
      <c r="C7" s="1373"/>
      <c r="G7" s="1374"/>
      <c r="H7" s="1382"/>
      <c r="I7" s="1382"/>
      <c r="J7" s="1384"/>
      <c r="K7" s="1387"/>
      <c r="L7" s="1385"/>
      <c r="M7" s="1385"/>
      <c r="N7" s="1370"/>
      <c r="O7" s="1370"/>
      <c r="P7" s="1370"/>
      <c r="Q7" s="1370"/>
      <c r="R7" s="1380"/>
      <c r="S7" s="1371"/>
      <c r="T7" s="1371"/>
      <c r="U7" s="1371"/>
      <c r="V7" s="1371"/>
    </row>
    <row r="8">
      <c r="A8" s="1364"/>
      <c r="B8" s="1364"/>
      <c r="C8" s="1373"/>
      <c r="G8" s="1374"/>
      <c r="H8" s="1388">
        <v>44379.844036712966</v>
      </c>
      <c r="I8" s="1366"/>
      <c r="J8" s="1367"/>
      <c r="K8" s="1384"/>
      <c r="L8" s="1385"/>
      <c r="M8" s="1385"/>
      <c r="N8" s="1370"/>
      <c r="O8" s="1370"/>
      <c r="P8" s="1370"/>
      <c r="Q8" s="1370"/>
      <c r="R8" s="1380"/>
      <c r="S8" s="1371"/>
      <c r="T8" s="1371"/>
      <c r="U8" s="1371"/>
      <c r="V8" s="1371"/>
    </row>
    <row r="9">
      <c r="A9" s="1364"/>
      <c r="B9" s="1364"/>
      <c r="C9" s="1373"/>
      <c r="G9" s="1374"/>
      <c r="H9" s="1375"/>
      <c r="I9" s="1376"/>
      <c r="J9" s="1377"/>
      <c r="K9" s="1371"/>
      <c r="L9" s="1370"/>
      <c r="M9" s="1370"/>
      <c r="N9" s="1370"/>
      <c r="O9" s="1370"/>
      <c r="P9" s="1370"/>
      <c r="Q9" s="1370"/>
      <c r="R9" s="1380"/>
      <c r="S9" s="1371"/>
      <c r="T9" s="1371"/>
      <c r="U9" s="1371"/>
      <c r="V9" s="1371"/>
    </row>
    <row r="10">
      <c r="A10" s="1364"/>
      <c r="B10" s="1364"/>
      <c r="C10" s="1373"/>
      <c r="G10" s="1374"/>
      <c r="H10" s="1389"/>
      <c r="I10" s="1389"/>
      <c r="J10" s="1371"/>
      <c r="K10" s="1371"/>
      <c r="L10" s="1370"/>
      <c r="M10" s="1370"/>
      <c r="N10" s="1370"/>
      <c r="O10" s="1370"/>
      <c r="P10" s="1370"/>
      <c r="Q10" s="1370"/>
      <c r="R10" s="1380"/>
      <c r="S10" s="1371"/>
      <c r="T10" s="1371"/>
      <c r="U10" s="1371"/>
      <c r="V10" s="1371"/>
    </row>
    <row r="11">
      <c r="A11" s="1390" t="s">
        <v>40</v>
      </c>
      <c r="B11" s="1367"/>
      <c r="C11" s="1373"/>
      <c r="G11" s="1374"/>
      <c r="H11" s="1382"/>
      <c r="I11" s="1382"/>
      <c r="J11" s="1371"/>
      <c r="K11" s="1371"/>
      <c r="L11" s="1370"/>
      <c r="M11" s="1370"/>
      <c r="N11" s="1370"/>
      <c r="O11" s="1370"/>
      <c r="P11" s="1370"/>
      <c r="Q11" s="1370"/>
      <c r="R11" s="1380"/>
      <c r="S11" s="1371"/>
      <c r="T11" s="1371"/>
      <c r="U11" s="1371"/>
      <c r="V11" s="1371"/>
    </row>
    <row r="12">
      <c r="A12" s="1375"/>
      <c r="B12" s="1377"/>
      <c r="C12" s="1375"/>
      <c r="D12" s="1376"/>
      <c r="E12" s="1376"/>
      <c r="F12" s="1376"/>
      <c r="G12" s="1377"/>
      <c r="H12" s="1391"/>
      <c r="I12" s="1391"/>
      <c r="J12" s="1364"/>
      <c r="K12" s="1364"/>
      <c r="L12" s="1370"/>
      <c r="M12" s="1370"/>
      <c r="N12" s="1370"/>
      <c r="O12" s="1370"/>
      <c r="P12" s="1370"/>
      <c r="Q12" s="1370"/>
      <c r="R12" s="1380"/>
      <c r="S12" s="1371"/>
      <c r="T12" s="1371"/>
      <c r="U12" s="1371"/>
      <c r="V12" s="1371"/>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95 [44th]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 [12th]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1.208 [27th]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44F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[77th]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30.97 [58th]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2.145 [14th]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20F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0.107 [48th]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 [78th]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1.302 [4th]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28 [76th]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 [13th]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0.005 [79th]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2.88 [13th]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0.114 [21st]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70" t="s">
        <v>266</v>
      </c>
      <c r="B26" s="134" t="s">
        <v>55</v>
      </c>
      <c r="C26" s="1392" t="s">
        <v>91</v>
      </c>
      <c r="D26" s="1392" t="s">
        <v>1114</v>
      </c>
      <c r="E26" s="616" t="s">
        <v>2045</v>
      </c>
      <c r="F26" s="138" t="s">
        <v>2046</v>
      </c>
      <c r="G26" s="139" t="s">
        <v>2047</v>
      </c>
      <c r="H26" s="1232"/>
      <c r="I26" s="110"/>
      <c r="J26" s="109"/>
      <c r="K26" s="138"/>
      <c r="L26" s="282"/>
      <c r="M26" s="363"/>
      <c r="N26" s="363"/>
      <c r="O26" s="145">
        <v>0.0</v>
      </c>
      <c r="P26" s="145">
        <v>1.0</v>
      </c>
      <c r="Q26" s="145">
        <v>1.0</v>
      </c>
      <c r="R26" s="100"/>
      <c r="S26" s="100"/>
      <c r="T26" s="100"/>
      <c r="U26" s="145" t="s">
        <v>69</v>
      </c>
      <c r="V26" s="100"/>
    </row>
    <row r="27" outlineLevel="1">
      <c r="A27" s="170" t="s">
        <v>77</v>
      </c>
      <c r="B27" s="160"/>
      <c r="C27" s="214" t="s">
        <v>1159</v>
      </c>
      <c r="D27" s="214" t="s">
        <v>146</v>
      </c>
      <c r="E27" s="214" t="s">
        <v>2048</v>
      </c>
      <c r="F27" s="138" t="s">
        <v>2049</v>
      </c>
      <c r="G27" s="162" t="s">
        <v>2050</v>
      </c>
      <c r="H27" s="1233" t="s">
        <v>2051</v>
      </c>
      <c r="I27" s="110"/>
      <c r="J27" s="109"/>
      <c r="K27" s="138"/>
      <c r="L27" s="282"/>
      <c r="M27" s="363"/>
      <c r="N27" s="363"/>
      <c r="O27" s="145">
        <v>0.0</v>
      </c>
      <c r="P27" s="145">
        <v>1.0</v>
      </c>
      <c r="Q27" s="145">
        <v>1.0</v>
      </c>
      <c r="R27" s="100"/>
      <c r="S27" s="100"/>
      <c r="T27" s="100"/>
      <c r="U27" s="145" t="s">
        <v>69</v>
      </c>
      <c r="V27" s="100"/>
    </row>
    <row r="28" outlineLevel="1">
      <c r="A28" s="170" t="s">
        <v>89</v>
      </c>
      <c r="B28" s="147"/>
      <c r="C28" s="214" t="s">
        <v>161</v>
      </c>
      <c r="D28" s="214" t="s">
        <v>72</v>
      </c>
      <c r="E28" s="214" t="s">
        <v>2052</v>
      </c>
      <c r="F28" s="138" t="s">
        <v>2053</v>
      </c>
      <c r="G28" s="139" t="s">
        <v>2054</v>
      </c>
      <c r="H28" s="1232"/>
      <c r="I28" s="110"/>
      <c r="J28" s="109"/>
      <c r="K28" s="138"/>
      <c r="L28" s="282"/>
      <c r="M28" s="363"/>
      <c r="N28" s="363"/>
      <c r="O28" s="145">
        <v>0.0</v>
      </c>
      <c r="P28" s="145">
        <v>1.0</v>
      </c>
      <c r="Q28" s="145">
        <v>1.0</v>
      </c>
      <c r="R28" s="100"/>
      <c r="S28" s="100"/>
      <c r="T28" s="100"/>
      <c r="U28" s="145" t="s">
        <v>96</v>
      </c>
      <c r="V28" s="100"/>
    </row>
    <row r="29" outlineLevel="1">
      <c r="A29" s="133" t="s">
        <v>97</v>
      </c>
      <c r="B29" s="160"/>
      <c r="C29" s="214" t="s">
        <v>86</v>
      </c>
      <c r="D29" s="191" t="s">
        <v>282</v>
      </c>
      <c r="E29" s="214" t="s">
        <v>2055</v>
      </c>
      <c r="F29" s="138" t="s">
        <v>2056</v>
      </c>
      <c r="G29" s="139" t="s">
        <v>2057</v>
      </c>
      <c r="H29" s="220"/>
      <c r="I29" s="164"/>
      <c r="J29" s="104"/>
      <c r="K29" s="282"/>
      <c r="L29" s="282"/>
      <c r="M29" s="363"/>
      <c r="N29" s="363"/>
      <c r="O29" s="145">
        <v>0.0</v>
      </c>
      <c r="P29" s="145">
        <v>1.0</v>
      </c>
      <c r="Q29" s="145">
        <v>1.0</v>
      </c>
      <c r="R29" s="100"/>
      <c r="S29" s="100"/>
      <c r="T29" s="100"/>
      <c r="U29" s="166" t="s">
        <v>69</v>
      </c>
      <c r="V29" s="100"/>
    </row>
    <row r="30" outlineLevel="1">
      <c r="A30" s="146"/>
      <c r="B30" s="147" t="s">
        <v>187</v>
      </c>
      <c r="C30" s="214" t="s">
        <v>319</v>
      </c>
      <c r="D30" s="210"/>
      <c r="E30" s="214" t="s">
        <v>2058</v>
      </c>
      <c r="F30" s="138" t="s">
        <v>2059</v>
      </c>
      <c r="G30" s="139" t="s">
        <v>2060</v>
      </c>
      <c r="H30" s="212"/>
      <c r="J30" s="210"/>
      <c r="K30" s="145"/>
      <c r="L30" s="363"/>
      <c r="M30" s="363"/>
      <c r="N30" s="363"/>
      <c r="O30" s="145">
        <v>0.0</v>
      </c>
      <c r="P30" s="145">
        <v>1.0</v>
      </c>
      <c r="Q30" s="145">
        <v>1.0</v>
      </c>
      <c r="R30" s="100"/>
      <c r="S30" s="100"/>
      <c r="T30" s="100"/>
      <c r="U30" s="146"/>
      <c r="V30" s="100"/>
    </row>
    <row r="31" outlineLevel="1">
      <c r="A31" s="156"/>
      <c r="B31" s="147" t="s">
        <v>189</v>
      </c>
      <c r="C31" s="214" t="s">
        <v>835</v>
      </c>
      <c r="D31" s="107"/>
      <c r="E31" s="214" t="s">
        <v>2061</v>
      </c>
      <c r="F31" s="138" t="s">
        <v>2062</v>
      </c>
      <c r="G31" s="139" t="s">
        <v>2063</v>
      </c>
      <c r="H31" s="106"/>
      <c r="I31" s="168"/>
      <c r="J31" s="107"/>
      <c r="K31" s="145"/>
      <c r="L31" s="363"/>
      <c r="M31" s="363"/>
      <c r="N31" s="363"/>
      <c r="O31" s="145">
        <v>0.0</v>
      </c>
      <c r="P31" s="145">
        <v>1.0</v>
      </c>
      <c r="Q31" s="145">
        <v>1.0</v>
      </c>
      <c r="R31" s="100"/>
      <c r="S31" s="100"/>
      <c r="T31" s="100"/>
      <c r="U31" s="156"/>
      <c r="V31" s="100"/>
    </row>
    <row r="32" outlineLevel="1">
      <c r="A32" s="170" t="s">
        <v>103</v>
      </c>
      <c r="B32" s="160"/>
      <c r="C32" s="214" t="s">
        <v>319</v>
      </c>
      <c r="D32" s="214" t="s">
        <v>65</v>
      </c>
      <c r="E32" s="214" t="s">
        <v>2064</v>
      </c>
      <c r="F32" s="138" t="s">
        <v>2065</v>
      </c>
      <c r="G32" s="139" t="s">
        <v>1550</v>
      </c>
      <c r="H32" s="1232"/>
      <c r="I32" s="110"/>
      <c r="J32" s="109"/>
      <c r="K32" s="145"/>
      <c r="L32" s="363"/>
      <c r="M32" s="363"/>
      <c r="N32" s="363"/>
      <c r="O32" s="145">
        <v>0.0</v>
      </c>
      <c r="P32" s="145">
        <v>1.0</v>
      </c>
      <c r="Q32" s="145">
        <v>1.0</v>
      </c>
      <c r="R32" s="100"/>
      <c r="S32" s="100"/>
      <c r="T32" s="100"/>
      <c r="U32" s="145" t="s">
        <v>69</v>
      </c>
      <c r="V32" s="100"/>
    </row>
    <row r="33" outlineLevel="1">
      <c r="A33" s="170" t="s">
        <v>109</v>
      </c>
      <c r="B33" s="147"/>
      <c r="C33" s="214" t="s">
        <v>305</v>
      </c>
      <c r="D33" s="214" t="s">
        <v>892</v>
      </c>
      <c r="E33" s="214" t="s">
        <v>2066</v>
      </c>
      <c r="F33" s="246" t="s">
        <v>2067</v>
      </c>
      <c r="G33" s="139" t="s">
        <v>2068</v>
      </c>
      <c r="H33" s="247" t="s">
        <v>560</v>
      </c>
      <c r="I33" s="110"/>
      <c r="J33" s="109"/>
      <c r="K33" s="282"/>
      <c r="L33" s="282"/>
      <c r="M33" s="363"/>
      <c r="N33" s="363"/>
      <c r="O33" s="145">
        <v>0.0</v>
      </c>
      <c r="P33" s="145">
        <v>1.0</v>
      </c>
      <c r="Q33" s="145">
        <v>1.0</v>
      </c>
      <c r="R33" s="100"/>
      <c r="S33" s="100"/>
      <c r="T33" s="100"/>
      <c r="U33" s="145" t="s">
        <v>123</v>
      </c>
      <c r="V33" s="100"/>
    </row>
    <row r="34" outlineLevel="1">
      <c r="A34" s="133" t="s">
        <v>116</v>
      </c>
      <c r="B34" s="147" t="s">
        <v>125</v>
      </c>
      <c r="C34" s="245" t="s">
        <v>129</v>
      </c>
      <c r="D34" s="823" t="s">
        <v>810</v>
      </c>
      <c r="E34" s="245" t="s">
        <v>213</v>
      </c>
      <c r="F34" s="246">
        <v>1.2</v>
      </c>
      <c r="G34" s="139" t="s">
        <v>170</v>
      </c>
      <c r="H34" s="666" t="s">
        <v>2069</v>
      </c>
      <c r="I34" s="164"/>
      <c r="J34" s="104"/>
      <c r="K34" s="363"/>
      <c r="L34" s="363"/>
      <c r="M34" s="363"/>
      <c r="N34" s="363"/>
      <c r="O34" s="145">
        <v>0.0</v>
      </c>
      <c r="P34" s="145">
        <v>1.0</v>
      </c>
      <c r="Q34" s="145">
        <v>1.0</v>
      </c>
      <c r="R34" s="100"/>
      <c r="S34" s="100"/>
      <c r="T34" s="100"/>
      <c r="U34" s="166" t="s">
        <v>62</v>
      </c>
      <c r="V34" s="100"/>
    </row>
    <row r="35" outlineLevel="1">
      <c r="A35" s="146"/>
      <c r="B35" s="147" t="s">
        <v>430</v>
      </c>
      <c r="C35" s="214" t="s">
        <v>228</v>
      </c>
      <c r="D35" s="210"/>
      <c r="E35" s="245" t="s">
        <v>176</v>
      </c>
      <c r="F35" s="246">
        <v>2.4</v>
      </c>
      <c r="G35" s="139" t="s">
        <v>60</v>
      </c>
      <c r="H35" s="212"/>
      <c r="J35" s="210"/>
      <c r="K35" s="363"/>
      <c r="L35" s="363"/>
      <c r="M35" s="363"/>
      <c r="N35" s="363"/>
      <c r="O35" s="145">
        <v>0.0</v>
      </c>
      <c r="P35" s="145">
        <v>1.0</v>
      </c>
      <c r="Q35" s="145">
        <v>1.0</v>
      </c>
      <c r="R35" s="100"/>
      <c r="S35" s="100"/>
      <c r="T35" s="100"/>
      <c r="U35" s="146"/>
      <c r="V35" s="100"/>
    </row>
    <row r="36" outlineLevel="1">
      <c r="A36" s="146"/>
      <c r="B36" s="147" t="s">
        <v>571</v>
      </c>
      <c r="C36" s="214" t="s">
        <v>2070</v>
      </c>
      <c r="D36" s="210"/>
      <c r="E36" s="245" t="s">
        <v>176</v>
      </c>
      <c r="F36" s="246">
        <v>2.4</v>
      </c>
      <c r="G36" s="139" t="s">
        <v>60</v>
      </c>
      <c r="H36" s="212"/>
      <c r="J36" s="210"/>
      <c r="K36" s="363"/>
      <c r="L36" s="363"/>
      <c r="M36" s="363"/>
      <c r="N36" s="363"/>
      <c r="O36" s="145">
        <v>0.0</v>
      </c>
      <c r="P36" s="145">
        <v>1.0</v>
      </c>
      <c r="Q36" s="145">
        <v>1.0</v>
      </c>
      <c r="R36" s="100"/>
      <c r="S36" s="100"/>
      <c r="T36" s="100"/>
      <c r="U36" s="146"/>
      <c r="V36" s="100"/>
    </row>
    <row r="37" outlineLevel="1">
      <c r="A37" s="156"/>
      <c r="B37" s="147" t="s">
        <v>521</v>
      </c>
      <c r="C37" s="214" t="s">
        <v>288</v>
      </c>
      <c r="D37" s="107"/>
      <c r="E37" s="245" t="s">
        <v>128</v>
      </c>
      <c r="F37" s="246">
        <v>12.0</v>
      </c>
      <c r="G37" s="139" t="s">
        <v>95</v>
      </c>
      <c r="H37" s="106"/>
      <c r="I37" s="168"/>
      <c r="J37" s="107"/>
      <c r="K37" s="363"/>
      <c r="L37" s="363"/>
      <c r="M37" s="363"/>
      <c r="N37" s="363"/>
      <c r="O37" s="145">
        <v>0.0</v>
      </c>
      <c r="P37" s="145">
        <v>1.0</v>
      </c>
      <c r="Q37" s="145">
        <v>1.0</v>
      </c>
      <c r="R37" s="100"/>
      <c r="S37" s="100"/>
      <c r="T37" s="100"/>
      <c r="U37" s="156"/>
      <c r="V37" s="100"/>
    </row>
    <row r="38" outlineLevel="1">
      <c r="A38" s="133" t="s">
        <v>124</v>
      </c>
      <c r="B38" s="147" t="s">
        <v>125</v>
      </c>
      <c r="C38" s="214" t="s">
        <v>217</v>
      </c>
      <c r="D38" s="823" t="s">
        <v>335</v>
      </c>
      <c r="E38" s="245" t="s">
        <v>2071</v>
      </c>
      <c r="F38" s="246" t="s">
        <v>2072</v>
      </c>
      <c r="G38" s="139" t="s">
        <v>2073</v>
      </c>
      <c r="H38" s="666" t="s">
        <v>553</v>
      </c>
      <c r="I38" s="164"/>
      <c r="J38" s="104"/>
      <c r="K38" s="282"/>
      <c r="L38" s="282"/>
      <c r="M38" s="363"/>
      <c r="N38" s="363"/>
      <c r="O38" s="145">
        <v>0.0</v>
      </c>
      <c r="P38" s="145">
        <v>1.0</v>
      </c>
      <c r="Q38" s="145">
        <v>1.0</v>
      </c>
      <c r="R38" s="100"/>
      <c r="S38" s="100"/>
      <c r="T38" s="100"/>
      <c r="U38" s="166" t="s">
        <v>62</v>
      </c>
      <c r="V38" s="100"/>
    </row>
    <row r="39" outlineLevel="1">
      <c r="A39" s="156"/>
      <c r="B39" s="147" t="s">
        <v>131</v>
      </c>
      <c r="C39" s="214" t="s">
        <v>834</v>
      </c>
      <c r="D39" s="107"/>
      <c r="E39" s="245" t="s">
        <v>2074</v>
      </c>
      <c r="F39" s="246" t="s">
        <v>2075</v>
      </c>
      <c r="G39" s="139" t="s">
        <v>2076</v>
      </c>
      <c r="H39" s="106"/>
      <c r="I39" s="168"/>
      <c r="J39" s="107"/>
      <c r="K39" s="282"/>
      <c r="L39" s="282"/>
      <c r="M39" s="363"/>
      <c r="N39" s="363"/>
      <c r="O39" s="145">
        <v>0.0</v>
      </c>
      <c r="P39" s="145">
        <v>1.0</v>
      </c>
      <c r="Q39" s="145">
        <v>1.0</v>
      </c>
      <c r="R39" s="100"/>
      <c r="S39" s="100"/>
      <c r="T39" s="100"/>
      <c r="U39" s="156"/>
      <c r="V39" s="100"/>
    </row>
    <row r="40">
      <c r="A40" s="118"/>
      <c r="B40" s="176"/>
      <c r="C40" s="118"/>
      <c r="D40" s="118"/>
      <c r="E40" s="118"/>
      <c r="F40" s="177"/>
      <c r="G40" s="177"/>
      <c r="H40" s="118"/>
      <c r="I40" s="118"/>
      <c r="J40" s="118"/>
      <c r="K40" s="118"/>
      <c r="L40" s="118"/>
      <c r="M40" s="118"/>
      <c r="N40" s="118"/>
      <c r="O40" s="118"/>
      <c r="P40" s="118"/>
      <c r="Q40" s="118"/>
      <c r="R40" s="118"/>
      <c r="S40" s="118"/>
      <c r="T40" s="118"/>
      <c r="U40" s="118"/>
      <c r="V40" s="118"/>
    </row>
    <row r="41">
      <c r="A41" s="178" t="s">
        <v>133</v>
      </c>
      <c r="B41" s="104"/>
      <c r="C41" s="179"/>
      <c r="D41" s="179"/>
      <c r="E41" s="179"/>
      <c r="F41" s="180"/>
      <c r="G41" s="179"/>
      <c r="H41" s="180"/>
      <c r="I41" s="180"/>
      <c r="J41" s="181"/>
      <c r="K41" s="180"/>
      <c r="L41" s="180"/>
      <c r="M41" s="180"/>
      <c r="N41" s="180"/>
      <c r="O41" s="180"/>
      <c r="P41" s="180"/>
      <c r="Q41" s="180"/>
      <c r="R41" s="180"/>
      <c r="S41" s="180"/>
      <c r="T41" s="180"/>
      <c r="U41" s="180"/>
      <c r="V41" s="180"/>
    </row>
    <row r="42" outlineLevel="1">
      <c r="A42" s="106"/>
      <c r="B42" s="107"/>
      <c r="C42" s="182" t="s">
        <v>48</v>
      </c>
      <c r="D42" s="183" t="s">
        <v>49</v>
      </c>
      <c r="E42" s="182" t="s">
        <v>50</v>
      </c>
      <c r="F42" s="184" t="s">
        <v>51</v>
      </c>
      <c r="G42" s="184" t="s">
        <v>134</v>
      </c>
      <c r="H42" s="185" t="str">
        <f>'テンプレート'!H56</f>
        <v>ガード硬直</v>
      </c>
      <c r="I42" s="184" t="str">
        <f>'テンプレート'!I56</f>
        <v>着地隙</v>
      </c>
      <c r="J42" s="184" t="s">
        <v>136</v>
      </c>
      <c r="K42" s="184" t="str">
        <f>'テンプレート'!K56</f>
        <v>ベクトル</v>
      </c>
      <c r="L42" s="184" t="str">
        <f>'テンプレート'!L56</f>
        <v>KBG (R.E.)</v>
      </c>
      <c r="M42" s="184" t="str">
        <f>'テンプレート'!M56</f>
        <v>BKB (R.A.)</v>
      </c>
      <c r="N42" s="184" t="str">
        <f>'テンプレート'!N56</f>
        <v>FKB (R.F.)</v>
      </c>
      <c r="O42" s="186" t="str">
        <f>'テンプレート'!O56</f>
        <v>盾削り値</v>
      </c>
      <c r="P42" s="184" t="str">
        <f>'テンプレート'!P56</f>
        <v>ﾋｯﾄｽﾄｯﾌﾟ</v>
      </c>
      <c r="Q42" s="186" t="str">
        <f>'テンプレート'!Q56</f>
        <v>ずらし</v>
      </c>
      <c r="R42" s="187" t="str">
        <f>'テンプレート'!R56</f>
        <v>備考</v>
      </c>
      <c r="S42" s="110"/>
      <c r="T42" s="110"/>
      <c r="U42" s="110"/>
      <c r="V42" s="110"/>
    </row>
    <row r="43" outlineLevel="1">
      <c r="A43" s="188" t="s">
        <v>144</v>
      </c>
      <c r="B43" s="373" t="s">
        <v>125</v>
      </c>
      <c r="C43" s="244" t="s">
        <v>217</v>
      </c>
      <c r="D43" s="824" t="s">
        <v>146</v>
      </c>
      <c r="E43" s="617" t="s">
        <v>2077</v>
      </c>
      <c r="F43" s="618" t="s">
        <v>2078</v>
      </c>
      <c r="G43" s="618" t="s">
        <v>2079</v>
      </c>
      <c r="H43" s="246" t="s">
        <v>914</v>
      </c>
      <c r="I43" s="1393" t="str">
        <f t="array" ref="I43">INDEX('空中攻撃'!$O$3:$AA$109, MATCH($A$1,'空中攻撃'!$A$3:$A$109,0), MATCH(A43,'空中攻撃'!$O$2:$S$2,0))</f>
        <v>9</v>
      </c>
      <c r="J43" s="823" t="s">
        <v>1748</v>
      </c>
      <c r="K43" s="138"/>
      <c r="L43" s="282"/>
      <c r="M43" s="363"/>
      <c r="N43" s="363"/>
      <c r="O43" s="145">
        <v>0.0</v>
      </c>
      <c r="P43" s="145">
        <v>1.0</v>
      </c>
      <c r="Q43" s="145">
        <v>1.0</v>
      </c>
      <c r="R43" s="661"/>
      <c r="S43" s="164"/>
      <c r="T43" s="164"/>
      <c r="U43" s="164"/>
      <c r="V43" s="104"/>
    </row>
    <row r="44" outlineLevel="1">
      <c r="A44" s="156"/>
      <c r="B44" s="373" t="s">
        <v>131</v>
      </c>
      <c r="C44" s="244" t="s">
        <v>1749</v>
      </c>
      <c r="D44" s="107"/>
      <c r="E44" s="244" t="s">
        <v>2080</v>
      </c>
      <c r="F44" s="246" t="s">
        <v>2081</v>
      </c>
      <c r="G44" s="246" t="s">
        <v>2082</v>
      </c>
      <c r="H44" s="246" t="s">
        <v>1904</v>
      </c>
      <c r="I44" s="156"/>
      <c r="J44" s="107"/>
      <c r="K44" s="138"/>
      <c r="L44" s="282"/>
      <c r="M44" s="363"/>
      <c r="N44" s="363"/>
      <c r="O44" s="145">
        <v>0.0</v>
      </c>
      <c r="P44" s="145">
        <v>1.0</v>
      </c>
      <c r="Q44" s="145">
        <v>1.0</v>
      </c>
      <c r="R44" s="106"/>
      <c r="S44" s="168"/>
      <c r="T44" s="168"/>
      <c r="U44" s="168"/>
      <c r="V44" s="107"/>
    </row>
    <row r="45" outlineLevel="1">
      <c r="A45" s="213" t="s">
        <v>151</v>
      </c>
      <c r="B45" s="373"/>
      <c r="C45" s="244" t="s">
        <v>627</v>
      </c>
      <c r="D45" s="1394">
        <v>29.0</v>
      </c>
      <c r="E45" s="244" t="s">
        <v>2083</v>
      </c>
      <c r="F45" s="246" t="s">
        <v>2084</v>
      </c>
      <c r="G45" s="246" t="s">
        <v>2085</v>
      </c>
      <c r="H45" s="246" t="s">
        <v>2086</v>
      </c>
      <c r="I45" s="1395" t="str">
        <f t="array" ref="I45">INDEX('空中攻撃'!$O$3:$AA$109, MATCH($A$1,'空中攻撃'!$A$3:$A$109,0), MATCH(A45,'空中攻撃'!$O$2:$S$2,0))</f>
        <v>8</v>
      </c>
      <c r="J45" s="214" t="s">
        <v>2087</v>
      </c>
      <c r="K45" s="138"/>
      <c r="L45" s="282"/>
      <c r="M45" s="363"/>
      <c r="N45" s="363"/>
      <c r="O45" s="145">
        <v>0.0</v>
      </c>
      <c r="P45" s="145">
        <v>1.0</v>
      </c>
      <c r="Q45" s="145">
        <v>1.0</v>
      </c>
      <c r="R45" s="662"/>
      <c r="S45" s="110"/>
      <c r="T45" s="110"/>
      <c r="U45" s="110"/>
      <c r="V45" s="109"/>
    </row>
    <row r="46" outlineLevel="1">
      <c r="A46" s="213" t="s">
        <v>157</v>
      </c>
      <c r="B46" s="373"/>
      <c r="C46" s="244" t="s">
        <v>161</v>
      </c>
      <c r="D46" s="1394">
        <v>35.0</v>
      </c>
      <c r="E46" s="244" t="s">
        <v>2088</v>
      </c>
      <c r="F46" s="246" t="s">
        <v>2089</v>
      </c>
      <c r="G46" s="246" t="s">
        <v>2090</v>
      </c>
      <c r="H46" s="246" t="s">
        <v>1321</v>
      </c>
      <c r="I46" s="1395">
        <f t="array" ref="I46">INDEX('空中攻撃'!$O$3:$AA$109, MATCH($A$1,'空中攻撃'!$A$3:$A$109,0), MATCH(A46,'空中攻撃'!$O$2:$S$2,0))</f>
        <v>10</v>
      </c>
      <c r="J46" s="245" t="s">
        <v>740</v>
      </c>
      <c r="K46" s="138"/>
      <c r="L46" s="282"/>
      <c r="M46" s="363"/>
      <c r="N46" s="363"/>
      <c r="O46" s="145">
        <v>0.0</v>
      </c>
      <c r="P46" s="145">
        <v>1.0</v>
      </c>
      <c r="Q46" s="145">
        <v>1.0</v>
      </c>
      <c r="R46" s="662"/>
      <c r="S46" s="110"/>
      <c r="T46" s="110"/>
      <c r="U46" s="110"/>
      <c r="V46" s="109"/>
    </row>
    <row r="47" outlineLevel="1">
      <c r="A47" s="213" t="s">
        <v>162</v>
      </c>
      <c r="B47" s="373"/>
      <c r="C47" s="244" t="s">
        <v>1055</v>
      </c>
      <c r="D47" s="1394" t="s">
        <v>384</v>
      </c>
      <c r="E47" s="244" t="s">
        <v>2091</v>
      </c>
      <c r="F47" s="246" t="s">
        <v>2092</v>
      </c>
      <c r="G47" s="246" t="s">
        <v>2093</v>
      </c>
      <c r="H47" s="246" t="s">
        <v>2086</v>
      </c>
      <c r="I47" s="1395" t="str">
        <f t="array" ref="I47">INDEX('空中攻撃'!$O$3:$AA$109, MATCH($A$1,'空中攻撃'!$A$3:$A$109,0), MATCH(A47,'空中攻撃'!$O$2:$S$2,0))</f>
        <v>8</v>
      </c>
      <c r="J47" s="245" t="s">
        <v>643</v>
      </c>
      <c r="K47" s="282"/>
      <c r="L47" s="282"/>
      <c r="M47" s="363"/>
      <c r="N47" s="363"/>
      <c r="O47" s="145">
        <v>0.0</v>
      </c>
      <c r="P47" s="145">
        <v>1.0</v>
      </c>
      <c r="Q47" s="145">
        <v>1.0</v>
      </c>
      <c r="R47" s="662"/>
      <c r="S47" s="110"/>
      <c r="T47" s="110"/>
      <c r="U47" s="110"/>
      <c r="V47" s="109"/>
    </row>
    <row r="48" outlineLevel="1">
      <c r="A48" s="213" t="s">
        <v>166</v>
      </c>
      <c r="B48" s="373"/>
      <c r="C48" s="244" t="s">
        <v>454</v>
      </c>
      <c r="D48" s="1394">
        <v>51.0</v>
      </c>
      <c r="E48" s="244" t="s">
        <v>2094</v>
      </c>
      <c r="F48" s="246" t="s">
        <v>2095</v>
      </c>
      <c r="G48" s="246" t="s">
        <v>2096</v>
      </c>
      <c r="H48" s="246" t="s">
        <v>1321</v>
      </c>
      <c r="I48" s="1395">
        <f t="array" ref="I48">INDEX('空中攻撃'!$O$3:$AA$109, MATCH($A$1,'空中攻撃'!$A$3:$A$109,0), MATCH(A48,'空中攻撃'!$O$2:$S$2,0))</f>
        <v>14</v>
      </c>
      <c r="J48" s="780" t="s">
        <v>2097</v>
      </c>
      <c r="K48" s="282"/>
      <c r="L48" s="282"/>
      <c r="M48" s="363"/>
      <c r="N48" s="363"/>
      <c r="O48" s="145">
        <v>0.0</v>
      </c>
      <c r="P48" s="145">
        <v>1.0</v>
      </c>
      <c r="Q48" s="145">
        <v>1.0</v>
      </c>
      <c r="R48" s="1233"/>
      <c r="S48" s="110"/>
      <c r="T48" s="110"/>
      <c r="U48" s="110"/>
      <c r="V48" s="109"/>
    </row>
    <row r="49">
      <c r="A49" s="223"/>
      <c r="B49" s="224"/>
      <c r="C49" s="225"/>
      <c r="D49" s="225"/>
      <c r="E49" s="226"/>
      <c r="F49" s="226"/>
      <c r="G49" s="226"/>
      <c r="H49" s="227"/>
      <c r="I49" s="227"/>
      <c r="J49" s="228"/>
      <c r="K49" s="228"/>
      <c r="L49" s="228"/>
      <c r="M49" s="228"/>
      <c r="N49" s="228"/>
      <c r="O49" s="228"/>
      <c r="P49" s="228"/>
      <c r="Q49" s="118"/>
      <c r="R49" s="118"/>
      <c r="S49" s="118"/>
      <c r="T49" s="118"/>
      <c r="U49" s="118"/>
      <c r="V49" s="118"/>
    </row>
    <row r="50">
      <c r="A50" s="229" t="s">
        <v>177</v>
      </c>
      <c r="B50" s="109"/>
      <c r="C50" s="225"/>
      <c r="D50" s="225"/>
      <c r="E50" s="226"/>
      <c r="F50" s="226"/>
      <c r="G50" s="226"/>
      <c r="H50" s="227"/>
      <c r="I50" s="227"/>
      <c r="J50" s="228"/>
      <c r="K50" s="228"/>
      <c r="L50" s="228"/>
      <c r="M50" s="228"/>
      <c r="N50" s="228"/>
      <c r="O50" s="228"/>
      <c r="P50" s="228"/>
      <c r="Q50" s="118"/>
      <c r="R50" s="118"/>
      <c r="S50" s="118"/>
      <c r="T50" s="118"/>
      <c r="U50" s="118"/>
      <c r="V50" s="118"/>
    </row>
    <row r="51" outlineLevel="1">
      <c r="A51" s="230" t="s">
        <v>2098</v>
      </c>
      <c r="B51" s="109"/>
      <c r="C51" s="231" t="s">
        <v>48</v>
      </c>
      <c r="D51" s="231" t="s">
        <v>49</v>
      </c>
      <c r="E51" s="232" t="s">
        <v>50</v>
      </c>
      <c r="F51" s="233" t="s">
        <v>51</v>
      </c>
      <c r="G51" s="232" t="s">
        <v>52</v>
      </c>
      <c r="H51" s="234" t="s">
        <v>53</v>
      </c>
      <c r="I51" s="110"/>
      <c r="J51" s="109"/>
      <c r="K51" s="235" t="s">
        <v>137</v>
      </c>
      <c r="L51" s="235" t="s">
        <v>138</v>
      </c>
      <c r="M51" s="235" t="s">
        <v>139</v>
      </c>
      <c r="N51" s="235" t="s">
        <v>140</v>
      </c>
      <c r="O51" s="236" t="s">
        <v>141</v>
      </c>
      <c r="P51" s="235" t="s">
        <v>142</v>
      </c>
      <c r="Q51" s="236" t="s">
        <v>143</v>
      </c>
      <c r="R51" s="235" t="s">
        <v>179</v>
      </c>
      <c r="S51" s="236" t="s">
        <v>180</v>
      </c>
      <c r="T51" s="236" t="s">
        <v>181</v>
      </c>
      <c r="U51" s="236" t="s">
        <v>182</v>
      </c>
      <c r="V51" s="236" t="s">
        <v>183</v>
      </c>
    </row>
    <row r="52" ht="27.0" customHeight="1" outlineLevel="1">
      <c r="A52" s="237" t="s">
        <v>184</v>
      </c>
      <c r="B52" s="243" t="s">
        <v>473</v>
      </c>
      <c r="C52" s="244" t="s">
        <v>1065</v>
      </c>
      <c r="D52" s="244" t="s">
        <v>393</v>
      </c>
      <c r="E52" s="244" t="s">
        <v>1841</v>
      </c>
      <c r="F52" s="246" t="s">
        <v>1842</v>
      </c>
      <c r="G52" s="139" t="s">
        <v>1843</v>
      </c>
      <c r="H52" s="240" t="s">
        <v>2099</v>
      </c>
      <c r="I52" s="164"/>
      <c r="J52" s="104"/>
      <c r="K52" s="282"/>
      <c r="L52" s="282"/>
      <c r="M52" s="363"/>
      <c r="N52" s="363"/>
      <c r="O52" s="138">
        <v>0.0</v>
      </c>
      <c r="P52" s="138">
        <v>1.0</v>
      </c>
      <c r="Q52" s="138">
        <v>1.0</v>
      </c>
      <c r="R52" s="145" t="b">
        <v>0</v>
      </c>
      <c r="S52" s="145"/>
      <c r="T52" s="145"/>
      <c r="U52" s="166" t="s">
        <v>186</v>
      </c>
      <c r="V52" s="166" t="b">
        <v>1</v>
      </c>
    </row>
    <row r="53" ht="27.0" customHeight="1" outlineLevel="1">
      <c r="A53" s="146"/>
      <c r="B53" s="663" t="s">
        <v>340</v>
      </c>
      <c r="C53" s="239" t="s">
        <v>2100</v>
      </c>
      <c r="D53" s="239" t="s">
        <v>2101</v>
      </c>
      <c r="E53" s="239" t="s">
        <v>2102</v>
      </c>
      <c r="F53" s="138" t="s">
        <v>2103</v>
      </c>
      <c r="G53" s="139" t="s">
        <v>2104</v>
      </c>
      <c r="H53" s="212"/>
      <c r="J53" s="210"/>
      <c r="K53" s="282"/>
      <c r="L53" s="282"/>
      <c r="M53" s="363"/>
      <c r="N53" s="363"/>
      <c r="O53" s="138">
        <v>30.0</v>
      </c>
      <c r="P53" s="138">
        <v>1.0</v>
      </c>
      <c r="Q53" s="138">
        <v>1.0</v>
      </c>
      <c r="R53" s="145" t="b">
        <v>0</v>
      </c>
      <c r="S53" s="145" t="b">
        <v>0</v>
      </c>
      <c r="T53" s="145"/>
      <c r="U53" s="146"/>
      <c r="V53" s="146"/>
    </row>
    <row r="54" ht="27.0" customHeight="1" outlineLevel="1">
      <c r="A54" s="146"/>
      <c r="B54" s="663" t="s">
        <v>222</v>
      </c>
      <c r="C54" s="1396"/>
      <c r="D54" s="239" t="s">
        <v>296</v>
      </c>
      <c r="E54" s="1396"/>
      <c r="F54" s="1396"/>
      <c r="G54" s="1396"/>
      <c r="H54" s="106"/>
      <c r="I54" s="168"/>
      <c r="J54" s="107"/>
      <c r="K54" s="1396"/>
      <c r="L54" s="1396"/>
      <c r="M54" s="1396"/>
      <c r="N54" s="1396"/>
      <c r="O54" s="1396"/>
      <c r="P54" s="1396"/>
      <c r="Q54" s="1396"/>
      <c r="R54" s="1396"/>
      <c r="S54" s="1396"/>
      <c r="T54" s="1396"/>
      <c r="U54" s="156"/>
      <c r="V54" s="156"/>
    </row>
    <row r="55" outlineLevel="1">
      <c r="A55" s="230" t="s">
        <v>1785</v>
      </c>
      <c r="B55" s="109"/>
      <c r="C55" s="231" t="s">
        <v>48</v>
      </c>
      <c r="D55" s="231" t="s">
        <v>49</v>
      </c>
      <c r="E55" s="232" t="s">
        <v>50</v>
      </c>
      <c r="F55" s="233" t="s">
        <v>51</v>
      </c>
      <c r="G55" s="232" t="s">
        <v>52</v>
      </c>
      <c r="H55" s="234" t="s">
        <v>53</v>
      </c>
      <c r="I55" s="110"/>
      <c r="J55" s="109"/>
      <c r="K55" s="235" t="s">
        <v>137</v>
      </c>
      <c r="L55" s="235" t="s">
        <v>138</v>
      </c>
      <c r="M55" s="235" t="s">
        <v>139</v>
      </c>
      <c r="N55" s="235" t="s">
        <v>140</v>
      </c>
      <c r="O55" s="236" t="s">
        <v>141</v>
      </c>
      <c r="P55" s="235" t="s">
        <v>142</v>
      </c>
      <c r="Q55" s="236" t="s">
        <v>143</v>
      </c>
      <c r="R55" s="235" t="s">
        <v>179</v>
      </c>
      <c r="S55" s="236" t="s">
        <v>180</v>
      </c>
      <c r="T55" s="236" t="s">
        <v>181</v>
      </c>
      <c r="U55" s="236" t="s">
        <v>182</v>
      </c>
      <c r="V55" s="236" t="s">
        <v>183</v>
      </c>
    </row>
    <row r="56" outlineLevel="1">
      <c r="A56" s="237" t="s">
        <v>1786</v>
      </c>
      <c r="B56" s="243" t="s">
        <v>1787</v>
      </c>
      <c r="C56" s="192" t="s">
        <v>835</v>
      </c>
      <c r="D56" s="244" t="s">
        <v>1788</v>
      </c>
      <c r="E56" s="244" t="s">
        <v>2105</v>
      </c>
      <c r="F56" s="246" t="s">
        <v>2106</v>
      </c>
      <c r="G56" s="139" t="s">
        <v>2107</v>
      </c>
      <c r="H56" s="283" t="s">
        <v>2108</v>
      </c>
      <c r="I56" s="164"/>
      <c r="J56" s="164"/>
      <c r="K56" s="282"/>
      <c r="L56" s="282"/>
      <c r="M56" s="363"/>
      <c r="N56" s="363"/>
      <c r="O56" s="138">
        <v>0.0</v>
      </c>
      <c r="P56" s="138">
        <v>1.0</v>
      </c>
      <c r="Q56" s="138">
        <v>1.0</v>
      </c>
      <c r="R56" s="145" t="b">
        <v>0</v>
      </c>
      <c r="S56" s="145" t="b">
        <v>0</v>
      </c>
      <c r="T56" s="145"/>
      <c r="U56" s="166" t="s">
        <v>186</v>
      </c>
      <c r="V56" s="166" t="b">
        <v>1</v>
      </c>
    </row>
    <row r="57" outlineLevel="1">
      <c r="A57" s="146"/>
      <c r="B57" s="243" t="s">
        <v>1792</v>
      </c>
      <c r="C57" s="167" t="s">
        <v>163</v>
      </c>
      <c r="D57" s="244" t="s">
        <v>1793</v>
      </c>
      <c r="E57" s="244" t="s">
        <v>2105</v>
      </c>
      <c r="F57" s="246" t="s">
        <v>2106</v>
      </c>
      <c r="G57" s="139" t="s">
        <v>2107</v>
      </c>
      <c r="H57" s="283" t="s">
        <v>2109</v>
      </c>
      <c r="I57" s="164"/>
      <c r="J57" s="164"/>
      <c r="K57" s="138"/>
      <c r="L57" s="138"/>
      <c r="M57" s="145"/>
      <c r="N57" s="145"/>
      <c r="O57" s="138">
        <v>0.0</v>
      </c>
      <c r="P57" s="138">
        <v>1.0</v>
      </c>
      <c r="Q57" s="138">
        <v>1.0</v>
      </c>
      <c r="R57" s="145" t="b">
        <v>0</v>
      </c>
      <c r="S57" s="145" t="b">
        <v>0</v>
      </c>
      <c r="T57" s="145"/>
      <c r="U57" s="146"/>
      <c r="V57" s="146"/>
    </row>
    <row r="58" outlineLevel="1">
      <c r="A58" s="146"/>
      <c r="B58" s="243" t="s">
        <v>1795</v>
      </c>
      <c r="C58" s="167" t="s">
        <v>91</v>
      </c>
      <c r="D58" s="244" t="s">
        <v>1793</v>
      </c>
      <c r="E58" s="244" t="s">
        <v>2105</v>
      </c>
      <c r="F58" s="246" t="s">
        <v>2106</v>
      </c>
      <c r="G58" s="139" t="s">
        <v>2107</v>
      </c>
      <c r="H58" s="283" t="s">
        <v>2110</v>
      </c>
      <c r="I58" s="164"/>
      <c r="J58" s="164"/>
      <c r="K58" s="138"/>
      <c r="L58" s="138"/>
      <c r="M58" s="145"/>
      <c r="N58" s="145"/>
      <c r="O58" s="138">
        <v>0.0</v>
      </c>
      <c r="P58" s="138">
        <v>1.0</v>
      </c>
      <c r="Q58" s="138">
        <v>1.0</v>
      </c>
      <c r="R58" s="145"/>
      <c r="S58" s="145"/>
      <c r="T58" s="145"/>
      <c r="U58" s="146"/>
      <c r="V58" s="146"/>
    </row>
    <row r="59" outlineLevel="1">
      <c r="A59" s="146"/>
      <c r="B59" s="243" t="s">
        <v>1797</v>
      </c>
      <c r="C59" s="148" t="s">
        <v>91</v>
      </c>
      <c r="D59" s="214" t="s">
        <v>1798</v>
      </c>
      <c r="E59" s="244" t="s">
        <v>2111</v>
      </c>
      <c r="F59" s="246" t="s">
        <v>2112</v>
      </c>
      <c r="G59" s="139" t="s">
        <v>2026</v>
      </c>
      <c r="H59" s="283" t="s">
        <v>2113</v>
      </c>
      <c r="I59" s="164"/>
      <c r="J59" s="164"/>
      <c r="K59" s="138"/>
      <c r="L59" s="138"/>
      <c r="M59" s="145"/>
      <c r="N59" s="145"/>
      <c r="O59" s="138">
        <v>0.0</v>
      </c>
      <c r="P59" s="138">
        <v>1.0</v>
      </c>
      <c r="Q59" s="138">
        <v>1.0</v>
      </c>
      <c r="R59" s="145"/>
      <c r="S59" s="145"/>
      <c r="T59" s="145"/>
      <c r="U59" s="146"/>
      <c r="V59" s="146"/>
    </row>
    <row r="60" outlineLevel="1">
      <c r="A60" s="146"/>
      <c r="B60" s="243" t="s">
        <v>1803</v>
      </c>
      <c r="C60" s="167" t="s">
        <v>270</v>
      </c>
      <c r="D60" s="214" t="s">
        <v>1798</v>
      </c>
      <c r="E60" s="244" t="s">
        <v>2111</v>
      </c>
      <c r="F60" s="246" t="s">
        <v>2112</v>
      </c>
      <c r="G60" s="139" t="s">
        <v>2026</v>
      </c>
      <c r="H60" s="283" t="s">
        <v>2114</v>
      </c>
      <c r="I60" s="164"/>
      <c r="J60" s="164"/>
      <c r="K60" s="138"/>
      <c r="L60" s="138"/>
      <c r="M60" s="145"/>
      <c r="N60" s="145"/>
      <c r="O60" s="138">
        <v>0.0</v>
      </c>
      <c r="P60" s="138">
        <v>1.0</v>
      </c>
      <c r="Q60" s="138">
        <v>1.0</v>
      </c>
      <c r="R60" s="145"/>
      <c r="S60" s="145"/>
      <c r="T60" s="145"/>
      <c r="U60" s="146"/>
      <c r="V60" s="146"/>
    </row>
    <row r="61" outlineLevel="1">
      <c r="A61" s="146"/>
      <c r="B61" s="243" t="s">
        <v>1805</v>
      </c>
      <c r="C61" s="167" t="s">
        <v>91</v>
      </c>
      <c r="D61" s="214" t="s">
        <v>1798</v>
      </c>
      <c r="E61" s="244" t="s">
        <v>929</v>
      </c>
      <c r="F61" s="246" t="s">
        <v>930</v>
      </c>
      <c r="G61" s="139" t="s">
        <v>980</v>
      </c>
      <c r="H61" s="283" t="s">
        <v>2115</v>
      </c>
      <c r="I61" s="164"/>
      <c r="J61" s="164"/>
      <c r="K61" s="138"/>
      <c r="L61" s="138"/>
      <c r="M61" s="145"/>
      <c r="N61" s="145"/>
      <c r="O61" s="138">
        <v>0.0</v>
      </c>
      <c r="P61" s="138">
        <v>1.0</v>
      </c>
      <c r="Q61" s="138">
        <v>1.0</v>
      </c>
      <c r="R61" s="145"/>
      <c r="S61" s="145"/>
      <c r="T61" s="145"/>
      <c r="U61" s="146"/>
      <c r="V61" s="146"/>
    </row>
    <row r="62" outlineLevel="1">
      <c r="A62" s="146"/>
      <c r="B62" s="243" t="s">
        <v>1810</v>
      </c>
      <c r="C62" s="167" t="s">
        <v>322</v>
      </c>
      <c r="D62" s="214" t="s">
        <v>1811</v>
      </c>
      <c r="E62" s="244" t="s">
        <v>2116</v>
      </c>
      <c r="F62" s="246" t="s">
        <v>2117</v>
      </c>
      <c r="G62" s="139" t="s">
        <v>2118</v>
      </c>
      <c r="H62" s="173" t="s">
        <v>411</v>
      </c>
      <c r="I62" s="110"/>
      <c r="J62" s="109"/>
      <c r="K62" s="138"/>
      <c r="L62" s="138"/>
      <c r="M62" s="145"/>
      <c r="N62" s="145"/>
      <c r="O62" s="138">
        <v>0.0</v>
      </c>
      <c r="P62" s="138">
        <v>1.0</v>
      </c>
      <c r="Q62" s="138">
        <v>1.0</v>
      </c>
      <c r="R62" s="145"/>
      <c r="S62" s="145"/>
      <c r="T62" s="145"/>
      <c r="U62" s="146"/>
      <c r="V62" s="146"/>
    </row>
    <row r="63" outlineLevel="1">
      <c r="A63" s="146"/>
      <c r="B63" s="243" t="s">
        <v>1815</v>
      </c>
      <c r="C63" s="167" t="s">
        <v>277</v>
      </c>
      <c r="D63" s="214" t="s">
        <v>2119</v>
      </c>
      <c r="E63" s="244" t="s">
        <v>2120</v>
      </c>
      <c r="F63" s="246" t="s">
        <v>2121</v>
      </c>
      <c r="G63" s="139" t="s">
        <v>632</v>
      </c>
      <c r="H63" s="173" t="s">
        <v>411</v>
      </c>
      <c r="I63" s="110"/>
      <c r="J63" s="109"/>
      <c r="K63" s="138"/>
      <c r="L63" s="138"/>
      <c r="M63" s="145"/>
      <c r="N63" s="145"/>
      <c r="O63" s="138">
        <v>0.0</v>
      </c>
      <c r="P63" s="138">
        <v>1.0</v>
      </c>
      <c r="Q63" s="138">
        <v>1.0</v>
      </c>
      <c r="R63" s="145"/>
      <c r="S63" s="145"/>
      <c r="T63" s="145"/>
      <c r="U63" s="146"/>
      <c r="V63" s="146"/>
    </row>
    <row r="64" outlineLevel="1">
      <c r="A64" s="146"/>
      <c r="B64" s="243" t="s">
        <v>1820</v>
      </c>
      <c r="C64" s="150" t="s">
        <v>1821</v>
      </c>
      <c r="D64" s="191" t="s">
        <v>2122</v>
      </c>
      <c r="E64" s="244" t="s">
        <v>176</v>
      </c>
      <c r="F64" s="246">
        <v>2.4</v>
      </c>
      <c r="G64" s="139" t="s">
        <v>60</v>
      </c>
      <c r="H64" s="175" t="s">
        <v>411</v>
      </c>
      <c r="I64" s="164"/>
      <c r="J64" s="104"/>
      <c r="K64" s="138"/>
      <c r="L64" s="138"/>
      <c r="M64" s="145"/>
      <c r="N64" s="145"/>
      <c r="O64" s="138">
        <v>0.0</v>
      </c>
      <c r="P64" s="138">
        <v>1.0</v>
      </c>
      <c r="Q64" s="138">
        <v>1.0</v>
      </c>
      <c r="R64" s="145"/>
      <c r="S64" s="145"/>
      <c r="T64" s="145"/>
      <c r="U64" s="146"/>
      <c r="V64" s="146"/>
    </row>
    <row r="65" outlineLevel="1">
      <c r="A65" s="146"/>
      <c r="B65" s="243" t="s">
        <v>1825</v>
      </c>
      <c r="C65" s="167" t="s">
        <v>378</v>
      </c>
      <c r="D65" s="107"/>
      <c r="E65" s="244" t="s">
        <v>2123</v>
      </c>
      <c r="F65" s="246" t="s">
        <v>2124</v>
      </c>
      <c r="G65" s="139" t="s">
        <v>2125</v>
      </c>
      <c r="H65" s="106"/>
      <c r="I65" s="168"/>
      <c r="J65" s="107"/>
      <c r="K65" s="138"/>
      <c r="L65" s="138"/>
      <c r="M65" s="145"/>
      <c r="N65" s="145"/>
      <c r="O65" s="138">
        <v>0.0</v>
      </c>
      <c r="P65" s="138">
        <v>1.0</v>
      </c>
      <c r="Q65" s="138">
        <v>1.0</v>
      </c>
      <c r="R65" s="145" t="b">
        <v>0</v>
      </c>
      <c r="S65" s="145" t="b">
        <v>0</v>
      </c>
      <c r="T65" s="145"/>
      <c r="U65" s="156"/>
      <c r="V65" s="156"/>
    </row>
    <row r="66" outlineLevel="1">
      <c r="A66" s="230" t="s">
        <v>2126</v>
      </c>
      <c r="B66" s="109"/>
      <c r="C66" s="231" t="s">
        <v>48</v>
      </c>
      <c r="D66" s="231" t="s">
        <v>49</v>
      </c>
      <c r="E66" s="232" t="s">
        <v>50</v>
      </c>
      <c r="F66" s="233" t="s">
        <v>51</v>
      </c>
      <c r="G66" s="232" t="s">
        <v>52</v>
      </c>
      <c r="H66" s="234"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outlineLevel="1">
      <c r="A67" s="237" t="s">
        <v>332</v>
      </c>
      <c r="B67" s="624" t="s">
        <v>152</v>
      </c>
      <c r="C67" s="244" t="s">
        <v>274</v>
      </c>
      <c r="D67" s="827"/>
      <c r="E67" s="244" t="s">
        <v>100</v>
      </c>
      <c r="F67" s="246">
        <v>6.6</v>
      </c>
      <c r="G67" s="139" t="s">
        <v>102</v>
      </c>
      <c r="H67" s="666" t="s">
        <v>2127</v>
      </c>
      <c r="I67" s="164"/>
      <c r="J67" s="104"/>
      <c r="K67" s="138"/>
      <c r="L67" s="138"/>
      <c r="M67" s="145"/>
      <c r="N67" s="145"/>
      <c r="O67" s="138">
        <v>0.0</v>
      </c>
      <c r="P67" s="138">
        <v>1.0</v>
      </c>
      <c r="Q67" s="138">
        <v>1.0</v>
      </c>
      <c r="R67" s="145" t="b">
        <v>0</v>
      </c>
      <c r="S67" s="145" t="b">
        <v>0</v>
      </c>
      <c r="T67" s="145"/>
      <c r="U67" s="166" t="s">
        <v>1256</v>
      </c>
      <c r="V67" s="166" t="b">
        <v>0</v>
      </c>
    </row>
    <row r="68" outlineLevel="1">
      <c r="A68" s="146"/>
      <c r="B68" s="624" t="s">
        <v>199</v>
      </c>
      <c r="C68" s="244" t="s">
        <v>2128</v>
      </c>
      <c r="D68" s="146"/>
      <c r="E68" s="244" t="s">
        <v>2129</v>
      </c>
      <c r="F68" s="246">
        <v>1.32</v>
      </c>
      <c r="G68" s="139" t="s">
        <v>170</v>
      </c>
      <c r="H68" s="212"/>
      <c r="J68" s="210"/>
      <c r="K68" s="138"/>
      <c r="L68" s="138"/>
      <c r="M68" s="145"/>
      <c r="N68" s="145"/>
      <c r="O68" s="138">
        <v>0.0</v>
      </c>
      <c r="P68" s="138">
        <v>1.0</v>
      </c>
      <c r="Q68" s="138">
        <v>1.0</v>
      </c>
      <c r="R68" s="145" t="b">
        <v>0</v>
      </c>
      <c r="S68" s="145" t="b">
        <v>0</v>
      </c>
      <c r="T68" s="145"/>
      <c r="U68" s="146"/>
      <c r="V68" s="146"/>
    </row>
    <row r="69" outlineLevel="1">
      <c r="A69" s="156"/>
      <c r="B69" s="624" t="s">
        <v>202</v>
      </c>
      <c r="C69" s="244" t="s">
        <v>351</v>
      </c>
      <c r="D69" s="146"/>
      <c r="E69" s="244" t="s">
        <v>80</v>
      </c>
      <c r="F69" s="246">
        <v>9.6</v>
      </c>
      <c r="G69" s="139" t="s">
        <v>123</v>
      </c>
      <c r="H69" s="212"/>
      <c r="J69" s="210"/>
      <c r="K69" s="138"/>
      <c r="L69" s="138"/>
      <c r="M69" s="145"/>
      <c r="N69" s="145"/>
      <c r="O69" s="138">
        <v>0.0</v>
      </c>
      <c r="P69" s="138">
        <v>1.0</v>
      </c>
      <c r="Q69" s="138">
        <v>1.0</v>
      </c>
      <c r="R69" s="145" t="b">
        <v>0</v>
      </c>
      <c r="S69" s="145" t="b">
        <v>0</v>
      </c>
      <c r="T69" s="145"/>
      <c r="U69" s="146"/>
      <c r="V69" s="146"/>
    </row>
    <row r="70" outlineLevel="1">
      <c r="A70" s="237" t="s">
        <v>344</v>
      </c>
      <c r="B70" s="624" t="s">
        <v>152</v>
      </c>
      <c r="C70" s="244" t="s">
        <v>274</v>
      </c>
      <c r="D70" s="146"/>
      <c r="E70" s="244" t="s">
        <v>1438</v>
      </c>
      <c r="F70" s="246">
        <v>5.3999999999999995</v>
      </c>
      <c r="G70" s="139" t="s">
        <v>75</v>
      </c>
      <c r="H70" s="212"/>
      <c r="J70" s="210"/>
      <c r="K70" s="138"/>
      <c r="L70" s="138"/>
      <c r="M70" s="145"/>
      <c r="N70" s="145"/>
      <c r="O70" s="138">
        <v>0.0</v>
      </c>
      <c r="P70" s="138">
        <v>1.0</v>
      </c>
      <c r="Q70" s="138">
        <v>1.0</v>
      </c>
      <c r="R70" s="145" t="b">
        <v>0</v>
      </c>
      <c r="S70" s="145" t="b">
        <v>0</v>
      </c>
      <c r="T70" s="145"/>
      <c r="U70" s="146"/>
      <c r="V70" s="146"/>
    </row>
    <row r="71" outlineLevel="1">
      <c r="A71" s="146"/>
      <c r="B71" s="624" t="s">
        <v>199</v>
      </c>
      <c r="C71" s="244" t="s">
        <v>2128</v>
      </c>
      <c r="D71" s="146"/>
      <c r="E71" s="244" t="s">
        <v>213</v>
      </c>
      <c r="F71" s="246">
        <v>1.2</v>
      </c>
      <c r="G71" s="139" t="s">
        <v>170</v>
      </c>
      <c r="H71" s="212"/>
      <c r="J71" s="210"/>
      <c r="K71" s="138"/>
      <c r="L71" s="138"/>
      <c r="M71" s="145"/>
      <c r="N71" s="145"/>
      <c r="O71" s="138">
        <v>0.0</v>
      </c>
      <c r="P71" s="138">
        <v>1.0</v>
      </c>
      <c r="Q71" s="138">
        <v>1.0</v>
      </c>
      <c r="R71" s="145" t="b">
        <v>0</v>
      </c>
      <c r="S71" s="145" t="b">
        <v>0</v>
      </c>
      <c r="T71" s="145"/>
      <c r="U71" s="146"/>
      <c r="V71" s="146"/>
    </row>
    <row r="72" outlineLevel="1">
      <c r="A72" s="156"/>
      <c r="B72" s="624" t="s">
        <v>202</v>
      </c>
      <c r="C72" s="244" t="s">
        <v>351</v>
      </c>
      <c r="D72" s="156"/>
      <c r="E72" s="244" t="s">
        <v>86</v>
      </c>
      <c r="F72" s="246">
        <v>7.199999999999999</v>
      </c>
      <c r="G72" s="139" t="s">
        <v>102</v>
      </c>
      <c r="H72" s="106"/>
      <c r="I72" s="168"/>
      <c r="J72" s="107"/>
      <c r="K72" s="138"/>
      <c r="L72" s="138"/>
      <c r="M72" s="145"/>
      <c r="N72" s="145"/>
      <c r="O72" s="138">
        <v>0.0</v>
      </c>
      <c r="P72" s="138">
        <v>1.0</v>
      </c>
      <c r="Q72" s="138">
        <v>1.0</v>
      </c>
      <c r="R72" s="145" t="b">
        <v>0</v>
      </c>
      <c r="S72" s="145" t="b">
        <v>0</v>
      </c>
      <c r="T72" s="145"/>
      <c r="U72" s="156"/>
      <c r="V72" s="156"/>
    </row>
    <row r="73" outlineLevel="1">
      <c r="A73" s="230" t="s">
        <v>1836</v>
      </c>
      <c r="B73" s="109"/>
      <c r="C73" s="231" t="s">
        <v>48</v>
      </c>
      <c r="D73" s="231" t="s">
        <v>49</v>
      </c>
      <c r="E73" s="232" t="s">
        <v>50</v>
      </c>
      <c r="F73" s="233" t="s">
        <v>51</v>
      </c>
      <c r="G73" s="232" t="s">
        <v>52</v>
      </c>
      <c r="H73" s="234"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546" t="s">
        <v>184</v>
      </c>
      <c r="B74" s="402" t="s">
        <v>1837</v>
      </c>
      <c r="C74" s="244" t="s">
        <v>2130</v>
      </c>
      <c r="D74" s="244" t="s">
        <v>208</v>
      </c>
      <c r="E74" s="1396"/>
      <c r="F74" s="1396"/>
      <c r="G74" s="1396"/>
      <c r="H74" s="410" t="s">
        <v>2131</v>
      </c>
      <c r="I74" s="110"/>
      <c r="J74" s="109"/>
      <c r="K74" s="281"/>
      <c r="L74" s="281"/>
      <c r="M74" s="281"/>
      <c r="N74" s="281"/>
      <c r="O74" s="281"/>
      <c r="P74" s="281"/>
      <c r="Q74" s="281"/>
      <c r="R74" s="281"/>
      <c r="S74" s="281"/>
      <c r="T74" s="281"/>
      <c r="U74" s="166" t="b">
        <v>0</v>
      </c>
      <c r="V74" s="166" t="b">
        <v>0</v>
      </c>
    </row>
    <row r="75" outlineLevel="1">
      <c r="A75" s="156"/>
      <c r="B75" s="402" t="s">
        <v>1242</v>
      </c>
      <c r="C75" s="244" t="s">
        <v>267</v>
      </c>
      <c r="D75" s="244" t="s">
        <v>384</v>
      </c>
      <c r="E75" s="244" t="s">
        <v>1841</v>
      </c>
      <c r="F75" s="246" t="s">
        <v>1842</v>
      </c>
      <c r="G75" s="244" t="s">
        <v>1843</v>
      </c>
      <c r="H75" s="410" t="s">
        <v>2132</v>
      </c>
      <c r="I75" s="110"/>
      <c r="J75" s="109"/>
      <c r="K75" s="138"/>
      <c r="L75" s="138"/>
      <c r="M75" s="145"/>
      <c r="N75" s="145"/>
      <c r="O75" s="138">
        <v>0.0</v>
      </c>
      <c r="P75" s="138">
        <v>1.0</v>
      </c>
      <c r="Q75" s="138">
        <v>1.0</v>
      </c>
      <c r="R75" s="145" t="b">
        <v>0</v>
      </c>
      <c r="S75" s="145" t="b">
        <v>0</v>
      </c>
      <c r="T75" s="145"/>
      <c r="U75" s="156"/>
      <c r="V75" s="156"/>
    </row>
    <row r="76">
      <c r="A76" s="223"/>
      <c r="B76" s="224"/>
      <c r="C76" s="225"/>
      <c r="D76" s="225"/>
      <c r="E76" s="226"/>
      <c r="F76" s="226"/>
      <c r="G76" s="226"/>
      <c r="H76" s="227"/>
      <c r="I76" s="227"/>
      <c r="J76" s="228"/>
      <c r="K76" s="228"/>
      <c r="L76" s="228"/>
      <c r="M76" s="228"/>
      <c r="N76" s="228"/>
      <c r="O76" s="228"/>
      <c r="P76" s="228"/>
      <c r="Q76" s="118"/>
      <c r="R76" s="118"/>
      <c r="S76" s="118"/>
      <c r="T76" s="118"/>
      <c r="U76" s="118"/>
      <c r="V76" s="118"/>
    </row>
    <row r="77">
      <c r="A77" s="264" t="s">
        <v>211</v>
      </c>
      <c r="B77" s="104"/>
      <c r="C77" s="227"/>
      <c r="D77" s="227"/>
      <c r="E77" s="228"/>
      <c r="F77" s="265"/>
      <c r="G77" s="265"/>
      <c r="H77" s="228"/>
      <c r="I77" s="228"/>
      <c r="J77" s="228"/>
      <c r="K77" s="228"/>
      <c r="L77" s="228"/>
      <c r="M77" s="228"/>
      <c r="N77" s="118"/>
      <c r="O77" s="118"/>
      <c r="P77" s="118"/>
      <c r="Q77" s="228"/>
      <c r="R77" s="228"/>
      <c r="S77" s="228"/>
      <c r="T77" s="228"/>
      <c r="U77" s="228"/>
      <c r="V77" s="228"/>
    </row>
    <row r="78" outlineLevel="1">
      <c r="A78" s="106"/>
      <c r="B78" s="107"/>
      <c r="C78" s="266" t="s">
        <v>48</v>
      </c>
      <c r="D78" s="266" t="s">
        <v>49</v>
      </c>
      <c r="E78" s="266" t="s">
        <v>50</v>
      </c>
      <c r="F78" s="267" t="s">
        <v>51</v>
      </c>
      <c r="G78" s="227"/>
      <c r="H78" s="227"/>
      <c r="I78" s="227"/>
      <c r="J78" s="228"/>
      <c r="K78" s="228"/>
      <c r="L78" s="228"/>
      <c r="M78" s="228"/>
      <c r="N78" s="228"/>
      <c r="O78" s="228"/>
      <c r="P78" s="228"/>
      <c r="Q78" s="228"/>
      <c r="R78" s="228"/>
      <c r="S78" s="228"/>
      <c r="T78" s="228"/>
      <c r="U78" s="228"/>
      <c r="V78" s="228"/>
    </row>
    <row r="79" outlineLevel="1">
      <c r="A79" s="268" t="s">
        <v>212</v>
      </c>
      <c r="B79" s="269" t="s">
        <v>212</v>
      </c>
      <c r="C79" s="244" t="s">
        <v>213</v>
      </c>
      <c r="D79" s="244" t="s">
        <v>86</v>
      </c>
      <c r="E79" s="239" t="s">
        <v>214</v>
      </c>
      <c r="F79" s="138">
        <v>1.56</v>
      </c>
      <c r="G79" s="227"/>
      <c r="H79" s="227"/>
      <c r="I79" s="227"/>
      <c r="J79" s="228"/>
      <c r="K79" s="228"/>
      <c r="L79" s="228"/>
      <c r="M79" s="228"/>
      <c r="N79" s="228"/>
      <c r="O79" s="228"/>
      <c r="P79" s="228"/>
      <c r="Q79" s="228"/>
      <c r="R79" s="228"/>
      <c r="S79" s="228"/>
      <c r="T79" s="228"/>
      <c r="U79" s="228"/>
      <c r="V79" s="228"/>
    </row>
    <row r="80" outlineLevel="1">
      <c r="A80" s="270" t="s">
        <v>215</v>
      </c>
      <c r="B80" s="269" t="s">
        <v>216</v>
      </c>
      <c r="C80" s="244" t="s">
        <v>319</v>
      </c>
      <c r="D80" s="244" t="s">
        <v>224</v>
      </c>
      <c r="E80" s="271"/>
      <c r="F80" s="272"/>
      <c r="G80" s="272"/>
      <c r="H80" s="227"/>
      <c r="I80" s="227"/>
      <c r="J80" s="228"/>
      <c r="K80" s="228"/>
      <c r="L80" s="228"/>
      <c r="M80" s="228"/>
      <c r="N80" s="228"/>
      <c r="O80" s="228"/>
      <c r="P80" s="228"/>
      <c r="Q80" s="228"/>
      <c r="R80" s="228"/>
      <c r="S80" s="228"/>
      <c r="T80" s="228"/>
      <c r="U80" s="228"/>
      <c r="V80" s="228"/>
    </row>
    <row r="81" outlineLevel="1">
      <c r="A81" s="212"/>
      <c r="B81" s="269" t="s">
        <v>219</v>
      </c>
      <c r="C81" s="244" t="s">
        <v>223</v>
      </c>
      <c r="D81" s="244" t="s">
        <v>393</v>
      </c>
      <c r="E81" s="271"/>
      <c r="F81" s="272"/>
      <c r="G81" s="272"/>
      <c r="H81" s="227"/>
      <c r="I81" s="227"/>
      <c r="J81" s="228"/>
      <c r="K81" s="228"/>
      <c r="L81" s="228"/>
      <c r="M81" s="228"/>
      <c r="N81" s="228"/>
      <c r="O81" s="228"/>
      <c r="P81" s="228"/>
      <c r="Q81" s="228"/>
      <c r="R81" s="228"/>
      <c r="S81" s="228"/>
      <c r="T81" s="228"/>
      <c r="U81" s="228"/>
      <c r="V81" s="228"/>
    </row>
    <row r="82" outlineLevel="1">
      <c r="A82" s="106"/>
      <c r="B82" s="269" t="s">
        <v>222</v>
      </c>
      <c r="C82" s="244" t="s">
        <v>299</v>
      </c>
      <c r="D82" s="244" t="s">
        <v>118</v>
      </c>
      <c r="E82" s="227"/>
      <c r="F82" s="272"/>
      <c r="G82" s="272"/>
      <c r="H82" s="227"/>
      <c r="I82" s="227"/>
      <c r="J82" s="228"/>
      <c r="K82" s="228"/>
      <c r="L82" s="228"/>
      <c r="M82" s="228"/>
      <c r="N82" s="228"/>
      <c r="O82" s="228"/>
      <c r="P82" s="228"/>
      <c r="Q82" s="228"/>
      <c r="R82" s="228"/>
      <c r="S82" s="228"/>
      <c r="T82" s="228"/>
      <c r="U82" s="228"/>
      <c r="V82" s="228"/>
    </row>
    <row r="83" outlineLevel="1">
      <c r="A83" s="273" t="s">
        <v>225</v>
      </c>
      <c r="B83" s="109"/>
      <c r="C83" s="266" t="s">
        <v>48</v>
      </c>
      <c r="D83" s="266" t="s">
        <v>49</v>
      </c>
      <c r="E83" s="266" t="s">
        <v>50</v>
      </c>
      <c r="F83" s="267" t="s">
        <v>51</v>
      </c>
      <c r="G83" s="274" t="s">
        <v>53</v>
      </c>
      <c r="H83" s="110"/>
      <c r="I83" s="110"/>
      <c r="J83" s="109"/>
      <c r="K83" s="275" t="str">
        <f>'テンプレート'!K97</f>
        <v>ベクトル</v>
      </c>
      <c r="L83" s="275" t="str">
        <f>'テンプレート'!L97</f>
        <v>KBG (R.E.)</v>
      </c>
      <c r="M83" s="275" t="str">
        <f>'テンプレート'!M97</f>
        <v>BKB (R.A.)</v>
      </c>
      <c r="N83" s="275" t="str">
        <f>'テンプレート'!N97</f>
        <v>FKB (R.F.)</v>
      </c>
      <c r="O83" s="276" t="str">
        <f>'テンプレート'!O97</f>
        <v>盾削り値</v>
      </c>
      <c r="P83" s="275" t="str">
        <f>'テンプレート'!P97</f>
        <v>ﾋｯﾄｽﾄｯﾌﾟ</v>
      </c>
      <c r="Q83" s="276" t="str">
        <f>'テンプレート'!Q97</f>
        <v>ずらし</v>
      </c>
      <c r="R83" s="277"/>
      <c r="S83" s="277"/>
      <c r="T83" s="277"/>
      <c r="U83" s="277"/>
      <c r="V83" s="277"/>
    </row>
    <row r="84" outlineLevel="1">
      <c r="A84" s="278" t="s">
        <v>226</v>
      </c>
      <c r="B84" s="269" t="s">
        <v>227</v>
      </c>
      <c r="C84" s="822"/>
      <c r="D84" s="1397">
        <v>31.0</v>
      </c>
      <c r="E84" s="822"/>
      <c r="F84" s="822"/>
      <c r="G84" s="416"/>
      <c r="H84" s="164"/>
      <c r="I84" s="164"/>
      <c r="J84" s="104"/>
      <c r="K84" s="261"/>
      <c r="L84" s="261"/>
      <c r="M84" s="261"/>
      <c r="N84" s="261"/>
      <c r="O84" s="261"/>
      <c r="P84" s="261"/>
      <c r="Q84" s="261"/>
      <c r="R84" s="277"/>
      <c r="S84" s="228"/>
      <c r="T84" s="228"/>
      <c r="U84" s="228"/>
      <c r="V84" s="228"/>
    </row>
    <row r="85" outlineLevel="1">
      <c r="A85" s="156"/>
      <c r="B85" s="269" t="s">
        <v>225</v>
      </c>
      <c r="C85" s="1091">
        <v>15.0</v>
      </c>
      <c r="D85" s="156"/>
      <c r="E85" s="244" t="s">
        <v>150</v>
      </c>
      <c r="F85" s="246">
        <v>6.0</v>
      </c>
      <c r="G85" s="106"/>
      <c r="H85" s="168"/>
      <c r="I85" s="168"/>
      <c r="J85" s="107"/>
      <c r="K85" s="282"/>
      <c r="L85" s="282"/>
      <c r="M85" s="363"/>
      <c r="N85" s="363"/>
      <c r="O85" s="261"/>
      <c r="P85" s="261"/>
      <c r="Q85" s="261"/>
      <c r="R85" s="277"/>
      <c r="S85" s="228"/>
      <c r="T85" s="228"/>
      <c r="U85" s="228"/>
      <c r="V85" s="228"/>
    </row>
    <row r="86" outlineLevel="1">
      <c r="A86" s="278" t="s">
        <v>229</v>
      </c>
      <c r="B86" s="269" t="s">
        <v>227</v>
      </c>
      <c r="C86" s="822"/>
      <c r="D86" s="1397">
        <v>44.0</v>
      </c>
      <c r="E86" s="822"/>
      <c r="F86" s="822"/>
      <c r="G86" s="416"/>
      <c r="H86" s="164"/>
      <c r="I86" s="164"/>
      <c r="J86" s="104"/>
      <c r="K86" s="261"/>
      <c r="L86" s="261"/>
      <c r="M86" s="261"/>
      <c r="N86" s="261"/>
      <c r="O86" s="261"/>
      <c r="P86" s="261"/>
      <c r="Q86" s="261"/>
      <c r="R86" s="277"/>
      <c r="S86" s="228"/>
      <c r="T86" s="228"/>
      <c r="U86" s="228"/>
      <c r="V86" s="228"/>
    </row>
    <row r="87" outlineLevel="1">
      <c r="A87" s="156"/>
      <c r="B87" s="269" t="s">
        <v>225</v>
      </c>
      <c r="C87" s="1091">
        <v>8.0</v>
      </c>
      <c r="D87" s="156"/>
      <c r="E87" s="244" t="s">
        <v>150</v>
      </c>
      <c r="F87" s="246">
        <v>6.0</v>
      </c>
      <c r="G87" s="106"/>
      <c r="H87" s="168"/>
      <c r="I87" s="168"/>
      <c r="J87" s="107"/>
      <c r="K87" s="282"/>
      <c r="L87" s="282"/>
      <c r="M87" s="363"/>
      <c r="N87" s="363"/>
      <c r="O87" s="261"/>
      <c r="P87" s="261"/>
      <c r="Q87" s="261"/>
      <c r="R87" s="277"/>
      <c r="S87" s="228"/>
      <c r="T87" s="228"/>
      <c r="U87" s="228"/>
      <c r="V87" s="228"/>
    </row>
    <row r="88" outlineLevel="1">
      <c r="A88" s="278" t="s">
        <v>233</v>
      </c>
      <c r="B88" s="269" t="s">
        <v>227</v>
      </c>
      <c r="C88" s="822"/>
      <c r="D88" s="1397">
        <v>44.0</v>
      </c>
      <c r="E88" s="822"/>
      <c r="F88" s="822"/>
      <c r="G88" s="416"/>
      <c r="H88" s="164"/>
      <c r="I88" s="164"/>
      <c r="J88" s="104"/>
      <c r="K88" s="261"/>
      <c r="L88" s="261"/>
      <c r="M88" s="261"/>
      <c r="N88" s="261"/>
      <c r="O88" s="261"/>
      <c r="P88" s="261"/>
      <c r="Q88" s="261"/>
      <c r="R88" s="277"/>
      <c r="S88" s="228"/>
      <c r="T88" s="228"/>
      <c r="U88" s="228"/>
      <c r="V88" s="228"/>
    </row>
    <row r="89" outlineLevel="1">
      <c r="A89" s="156"/>
      <c r="B89" s="269" t="s">
        <v>225</v>
      </c>
      <c r="C89" s="1091">
        <v>13.0</v>
      </c>
      <c r="D89" s="156"/>
      <c r="E89" s="244" t="s">
        <v>86</v>
      </c>
      <c r="F89" s="246">
        <v>7.199999999999999</v>
      </c>
      <c r="G89" s="106"/>
      <c r="H89" s="168"/>
      <c r="I89" s="168"/>
      <c r="J89" s="107"/>
      <c r="K89" s="282"/>
      <c r="L89" s="282"/>
      <c r="M89" s="363"/>
      <c r="N89" s="363"/>
      <c r="O89" s="261"/>
      <c r="P89" s="261"/>
      <c r="Q89" s="261"/>
      <c r="R89" s="277"/>
      <c r="S89" s="117"/>
      <c r="T89" s="117"/>
      <c r="U89" s="117"/>
      <c r="V89" s="117"/>
    </row>
    <row r="90" outlineLevel="1">
      <c r="A90" s="278" t="s">
        <v>234</v>
      </c>
      <c r="B90" s="269" t="s">
        <v>227</v>
      </c>
      <c r="C90" s="822"/>
      <c r="D90" s="1397" t="s">
        <v>384</v>
      </c>
      <c r="E90" s="822"/>
      <c r="F90" s="822"/>
      <c r="G90" s="416"/>
      <c r="H90" s="164"/>
      <c r="I90" s="164"/>
      <c r="J90" s="104"/>
      <c r="K90" s="261"/>
      <c r="L90" s="261"/>
      <c r="M90" s="261"/>
      <c r="N90" s="261"/>
      <c r="O90" s="261"/>
      <c r="P90" s="261"/>
      <c r="Q90" s="261"/>
      <c r="R90" s="277"/>
      <c r="S90" s="117"/>
      <c r="T90" s="117"/>
      <c r="U90" s="117"/>
      <c r="V90" s="117"/>
    </row>
    <row r="91" outlineLevel="1">
      <c r="A91" s="156"/>
      <c r="B91" s="269" t="s">
        <v>225</v>
      </c>
      <c r="C91" s="1091">
        <v>16.0</v>
      </c>
      <c r="D91" s="156"/>
      <c r="E91" s="244" t="s">
        <v>150</v>
      </c>
      <c r="F91" s="246">
        <v>6.0</v>
      </c>
      <c r="G91" s="106"/>
      <c r="H91" s="168"/>
      <c r="I91" s="168"/>
      <c r="J91" s="107"/>
      <c r="K91" s="282"/>
      <c r="L91" s="282"/>
      <c r="M91" s="363"/>
      <c r="N91" s="363"/>
      <c r="O91" s="261"/>
      <c r="P91" s="261"/>
      <c r="Q91" s="261"/>
      <c r="R91" s="277"/>
      <c r="S91" s="117"/>
      <c r="T91" s="117"/>
      <c r="U91" s="117"/>
      <c r="V91" s="117"/>
    </row>
    <row r="92">
      <c r="A92" s="223"/>
      <c r="B92" s="224"/>
      <c r="C92" s="225"/>
      <c r="D92" s="225"/>
      <c r="E92" s="227"/>
      <c r="F92" s="177"/>
      <c r="G92" s="177"/>
      <c r="H92" s="227"/>
      <c r="I92" s="227"/>
      <c r="J92" s="228"/>
      <c r="K92" s="228"/>
      <c r="L92" s="111"/>
      <c r="M92" s="111"/>
      <c r="N92" s="111"/>
      <c r="O92" s="117"/>
      <c r="P92" s="117"/>
      <c r="Q92" s="111"/>
      <c r="R92" s="111"/>
      <c r="S92" s="111"/>
      <c r="T92" s="111"/>
      <c r="U92" s="111"/>
      <c r="V92" s="111"/>
    </row>
    <row r="93">
      <c r="A93" s="284" t="s">
        <v>241</v>
      </c>
      <c r="B93" s="104"/>
      <c r="C93" s="265"/>
      <c r="D93" s="111"/>
      <c r="E93" s="111"/>
      <c r="F93" s="111"/>
      <c r="G93" s="111"/>
      <c r="H93" s="111"/>
      <c r="I93" s="111"/>
      <c r="J93" s="118"/>
      <c r="K93" s="111"/>
      <c r="L93" s="111"/>
      <c r="M93" s="111"/>
      <c r="N93" s="111"/>
      <c r="O93" s="111"/>
      <c r="P93" s="111"/>
      <c r="Q93" s="118"/>
      <c r="R93" s="111"/>
      <c r="S93" s="111"/>
      <c r="T93" s="111"/>
      <c r="U93" s="111"/>
      <c r="V93" s="111"/>
    </row>
    <row r="94" outlineLevel="1">
      <c r="A94" s="106"/>
      <c r="B94" s="107"/>
      <c r="C94" s="285" t="s">
        <v>235</v>
      </c>
      <c r="D94" s="285" t="s">
        <v>236</v>
      </c>
      <c r="E94" s="285" t="s">
        <v>49</v>
      </c>
      <c r="F94" s="285" t="s">
        <v>237</v>
      </c>
      <c r="G94" s="286"/>
      <c r="H94" s="227"/>
      <c r="I94" s="227"/>
      <c r="J94" s="228"/>
      <c r="K94" s="228"/>
      <c r="L94" s="111"/>
      <c r="M94" s="111"/>
      <c r="N94" s="111"/>
      <c r="O94" s="111"/>
      <c r="P94" s="111"/>
      <c r="Q94" s="111"/>
      <c r="R94" s="111"/>
      <c r="S94" s="111"/>
      <c r="T94" s="111"/>
      <c r="U94" s="111"/>
      <c r="V94" s="111"/>
    </row>
    <row r="95" outlineLevel="1">
      <c r="A95" s="287" t="s">
        <v>395</v>
      </c>
      <c r="B95" s="288" t="s">
        <v>216</v>
      </c>
      <c r="C95" s="113" t="str">
        <f t="array" ref="C95">INDEX('回避'!$C$3:$U$84, MATCH($A$1,'回避'!$A$3:$A$91,0), MATCH(C94,'回避'!$C$2:$F$2,0))</f>
        <v>3-17</v>
      </c>
      <c r="D95" s="113" t="str">
        <f t="array" ref="D95">INDEX('回避'!$C$3:$U$84, MATCH($A$1,'回避'!$A$3:$A$91,0), MATCH(D94,'回避'!$C$2:$F$2,0))</f>
        <v>6-17</v>
      </c>
      <c r="E95" s="113" t="str">
        <f t="array" ref="E95">INDEX('回避'!$C$3:$U$84, MATCH($A$1,'回避'!$A$3:$A$91,0), MATCH(E94,'回避'!$C$2:$F$2,0))</f>
        <v>25 (20)</v>
      </c>
      <c r="F95" s="113" t="str">
        <f t="array" ref="F95">INDEX('回避'!$C$3:$U$84, MATCH($A$1,'回避'!$A$3:$A$91,0), MATCH(F94,'回避'!$C$2:$F$2,0))</f>
        <v>33 (27)</v>
      </c>
      <c r="G95" s="272"/>
      <c r="H95" s="227"/>
      <c r="I95" s="227"/>
      <c r="J95" s="228"/>
      <c r="K95" s="228"/>
      <c r="L95" s="228"/>
      <c r="M95" s="111"/>
      <c r="N95" s="111"/>
      <c r="O95" s="111"/>
      <c r="P95" s="111"/>
      <c r="Q95" s="111"/>
      <c r="R95" s="111"/>
      <c r="S95" s="111"/>
      <c r="T95" s="111"/>
      <c r="U95" s="111"/>
      <c r="V95" s="111"/>
    </row>
    <row r="96" outlineLevel="1">
      <c r="A96" s="212"/>
      <c r="B96" s="288" t="s">
        <v>245</v>
      </c>
      <c r="C96" s="113" t="str">
        <f t="array" ref="C96">INDEX('回避'!$G$3:$U$84, MATCH($A$1,'回避'!$A$3:$A$91,0), MATCH(C94,'回避'!$G$2:$J$2,0))</f>
        <v>4-15</v>
      </c>
      <c r="D96" s="113" t="str">
        <f t="array" ref="D96">INDEX('回避'!$G$3:$U$84, MATCH($A$1,'回避'!$A$3:$A$91,0), MATCH(D94,'回避'!$G$2:$J$2,0))</f>
        <v>8-14</v>
      </c>
      <c r="E96" s="113" t="str">
        <f t="array" ref="E96">INDEX('回避'!$G$3:$U$84, MATCH($A$1,'回避'!$A$3:$A$91,0), MATCH(E94,'回避'!$G$2:$J$2,0))</f>
        <v>29</v>
      </c>
      <c r="F96" s="113">
        <f t="array" ref="F96">INDEX('回避'!$G$3:$U$84, MATCH($A$1,'回避'!$A$3:$A$91,0), MATCH(F94,'回避'!$G$2:$J$2,0))</f>
        <v>38</v>
      </c>
      <c r="G96" s="289"/>
      <c r="H96" s="227"/>
      <c r="I96" s="227"/>
      <c r="J96" s="228"/>
      <c r="K96" s="228"/>
      <c r="L96" s="228"/>
      <c r="M96" s="228"/>
      <c r="N96" s="228"/>
      <c r="O96" s="111"/>
      <c r="P96" s="111"/>
      <c r="Q96" s="111"/>
      <c r="R96" s="111"/>
      <c r="S96" s="111"/>
      <c r="T96" s="111"/>
      <c r="U96" s="111"/>
      <c r="V96" s="111"/>
    </row>
    <row r="97" outlineLevel="1">
      <c r="A97" s="106"/>
      <c r="B97" s="288" t="s">
        <v>246</v>
      </c>
      <c r="C97" s="113" t="str">
        <f t="array" ref="C97">INDEX('回避'!$K$3:$U$84, MATCH($A$1,'回避'!$A$3:$A$91,0), MATCH(C94,'回避'!$K$2:$N$2,0))</f>
        <v>5-16</v>
      </c>
      <c r="D97" s="113" t="str">
        <f t="array" ref="D97">INDEX('回避'!$K$3:$U$84, MATCH($A$1,'回避'!$A$3:$A$91,0), MATCH(D94,'回避'!$K$2:$N$2,0))</f>
        <v>9-14</v>
      </c>
      <c r="E97" s="113" t="str">
        <f t="array" ref="E97">INDEX('回避'!$K$3:$U$84, MATCH($A$1,'回避'!$A$3:$A$91,0), MATCH(E94,'回避'!$K$2:$N$2,0))</f>
        <v>34</v>
      </c>
      <c r="F97" s="113" t="str">
        <f t="array" ref="F97">INDEX('回避'!$K$3:$U$84, MATCH($A$1,'回避'!$A$3:$A$91,0), MATCH(F94,'回避'!$K$2:$N$2,0))</f>
        <v>51</v>
      </c>
      <c r="G97" s="289"/>
      <c r="H97" s="290"/>
      <c r="I97" s="290"/>
      <c r="J97" s="117"/>
      <c r="K97" s="117"/>
      <c r="L97" s="117"/>
      <c r="M97" s="117"/>
      <c r="N97" s="117"/>
      <c r="O97" s="111"/>
      <c r="P97" s="111"/>
      <c r="Q97" s="111"/>
      <c r="R97" s="111"/>
      <c r="S97" s="111"/>
      <c r="T97" s="111"/>
      <c r="U97" s="111"/>
      <c r="V97" s="111"/>
    </row>
    <row r="98" outlineLevel="1">
      <c r="A98" s="287" t="s">
        <v>396</v>
      </c>
      <c r="B98" s="288" t="s">
        <v>397</v>
      </c>
      <c r="C98" s="113" t="str">
        <f t="array" ref="C98">INDEX('回避'!$O$3:$U$84, MATCH($A$1,'回避'!$A$3:$A$91,0), MATCH(C94,'回避'!$O$2:$R$2,0))</f>
        <v>3-29</v>
      </c>
      <c r="D98" s="113" t="str">
        <f t="array" ref="D98">INDEX('回避'!$O$3:$U$84, MATCH($A$1,'回避'!$A$3:$A$91,0), MATCH(D94,'回避'!$O$2:$R$2,0))</f>
        <v>6-27</v>
      </c>
      <c r="E98" s="113" t="str">
        <f t="array" ref="E98">INDEX('回避'!$O$3:$U$84, MATCH($A$1,'回避'!$A$3:$A$91,0), MATCH(E94,'回避'!$O$2:$R$2,0))</f>
        <v>44</v>
      </c>
      <c r="F98" s="177"/>
      <c r="G98" s="177"/>
      <c r="H98" s="118"/>
      <c r="I98" s="118"/>
      <c r="J98" s="111"/>
      <c r="K98" s="111"/>
      <c r="L98" s="111"/>
      <c r="M98" s="111"/>
      <c r="N98" s="111"/>
      <c r="O98" s="228"/>
      <c r="P98" s="228"/>
      <c r="Q98" s="228"/>
      <c r="R98" s="228"/>
      <c r="S98" s="228"/>
      <c r="T98" s="228"/>
      <c r="U98" s="228"/>
      <c r="V98" s="228"/>
    </row>
    <row r="99" outlineLevel="1">
      <c r="A99" s="106"/>
      <c r="B99" s="288" t="s">
        <v>398</v>
      </c>
      <c r="C99" s="113" t="str">
        <f t="array" ref="C99">INDEX('回避'!$S$3:$U$84, MATCH($A$1,'回避'!$A$3:$A$91,0), MATCH(C94,'回避'!$S$2:$U$2,0))</f>
        <v>3-21</v>
      </c>
      <c r="D99" s="113" t="str">
        <f t="array" ref="D99">INDEX('回避'!$S$3:$U$84, MATCH($A$1,'回避'!$A$3:$A$91,0), MATCH(D94,'回避'!$S$2:$U$2,0))</f>
        <v>6-20</v>
      </c>
      <c r="E99" s="113" t="str">
        <f t="array" ref="E99">INDEX('回避'!$S$3:$U$84, MATCH($A$1,'回避'!$A$3:$A$91,0), MATCH(E94,'回避'!$S$2:$U$2,0))</f>
        <v>真横：74
真上：97
真下：62</v>
      </c>
      <c r="F99" s="289"/>
      <c r="G99" s="289"/>
      <c r="H99" s="118"/>
      <c r="I99" s="118"/>
      <c r="J99" s="117"/>
      <c r="K99" s="117"/>
      <c r="L99" s="117"/>
      <c r="M99" s="117"/>
      <c r="N99" s="111"/>
      <c r="O99" s="118"/>
      <c r="P99" s="118"/>
      <c r="Q99" s="118"/>
      <c r="R99" s="118"/>
      <c r="S99" s="118"/>
      <c r="T99" s="118"/>
      <c r="U99" s="118"/>
      <c r="V99" s="118"/>
    </row>
    <row r="100">
      <c r="A100" s="291"/>
      <c r="B100" s="292"/>
      <c r="C100" s="286"/>
      <c r="D100" s="286"/>
      <c r="E100" s="293"/>
      <c r="F100" s="286"/>
      <c r="G100" s="286"/>
      <c r="H100" s="286"/>
      <c r="I100" s="286"/>
      <c r="J100" s="111"/>
      <c r="K100" s="227"/>
      <c r="L100" s="227"/>
      <c r="M100" s="227"/>
      <c r="N100" s="227"/>
      <c r="O100" s="118"/>
      <c r="P100" s="118"/>
      <c r="Q100" s="118"/>
      <c r="R100" s="118"/>
      <c r="S100" s="118"/>
      <c r="T100" s="118"/>
      <c r="U100" s="118"/>
      <c r="V100" s="118"/>
    </row>
    <row r="101">
      <c r="A101" s="294" t="s">
        <v>238</v>
      </c>
      <c r="B101" s="104"/>
      <c r="C101" s="228"/>
      <c r="D101" s="117"/>
      <c r="E101" s="228"/>
      <c r="F101" s="114"/>
      <c r="G101" s="114"/>
      <c r="H101" s="117"/>
      <c r="I101" s="117"/>
      <c r="J101" s="118"/>
      <c r="K101" s="118"/>
      <c r="L101" s="118"/>
      <c r="M101" s="118"/>
      <c r="N101" s="118"/>
      <c r="O101" s="118"/>
      <c r="P101" s="118"/>
      <c r="Q101" s="118"/>
      <c r="R101" s="118"/>
      <c r="S101" s="118"/>
      <c r="T101" s="118"/>
      <c r="U101" s="118"/>
      <c r="V101" s="118"/>
    </row>
    <row r="102" outlineLevel="1">
      <c r="A102" s="106"/>
      <c r="B102" s="107"/>
      <c r="C102" s="295" t="s">
        <v>235</v>
      </c>
      <c r="D102" s="295" t="s">
        <v>49</v>
      </c>
      <c r="E102" s="295" t="s">
        <v>48</v>
      </c>
      <c r="F102" s="295" t="s">
        <v>50</v>
      </c>
      <c r="G102" s="296" t="s">
        <v>51</v>
      </c>
      <c r="H102" s="228"/>
      <c r="I102" s="228"/>
      <c r="J102" s="117"/>
      <c r="K102" s="297" t="str">
        <f>'テンプレート'!K116</f>
        <v>アイテム取得</v>
      </c>
      <c r="L102" s="109"/>
      <c r="M102" s="298" t="str">
        <f>'テンプレート'!M116</f>
        <v>取得フレーム</v>
      </c>
      <c r="N102" s="298" t="str">
        <f>'テンプレート'!N116</f>
        <v>全体フレーム</v>
      </c>
      <c r="O102" s="118"/>
      <c r="P102" s="118"/>
      <c r="Q102" s="118"/>
      <c r="R102" s="118"/>
      <c r="S102" s="118"/>
      <c r="T102" s="118"/>
      <c r="U102" s="118"/>
      <c r="V102" s="118"/>
    </row>
    <row r="103" outlineLevel="1">
      <c r="A103" s="299" t="s">
        <v>239</v>
      </c>
      <c r="B103" s="300" t="s">
        <v>240</v>
      </c>
      <c r="C103" s="301"/>
      <c r="D103" s="113">
        <f t="array" ref="D103">INDEX('崖行動・受け身'!$C$3:$C108, MATCH($A$1,'崖行動・受け身'!$A$3:$A$115,0), MATCH(D102,'崖行動・受け身'!$C$2,0))</f>
        <v>19</v>
      </c>
      <c r="E103" s="301"/>
      <c r="F103" s="301"/>
      <c r="G103" s="301"/>
      <c r="H103" s="228"/>
      <c r="I103" s="228"/>
      <c r="J103" s="111"/>
      <c r="K103" s="302" t="str">
        <f>'テンプレート'!K117</f>
        <v>小アイテム</v>
      </c>
      <c r="L103" s="303" t="str">
        <f>'テンプレート'!L117</f>
        <v>その場</v>
      </c>
      <c r="M103" s="113" t="s">
        <v>76</v>
      </c>
      <c r="N103" s="113">
        <v>7.0</v>
      </c>
      <c r="O103" s="118"/>
      <c r="P103" s="118"/>
      <c r="Q103" s="118"/>
      <c r="R103" s="118"/>
      <c r="S103" s="118"/>
      <c r="T103" s="118"/>
      <c r="U103" s="118"/>
      <c r="V103" s="118"/>
    </row>
    <row r="104" outlineLevel="1">
      <c r="A104" s="146"/>
      <c r="B104" s="300" t="s">
        <v>216</v>
      </c>
      <c r="C104" s="113" t="str">
        <f t="array" ref="C104">INDEX('崖行動・受け身'!$D$3:$E108, MATCH($A$1,'崖行動・受け身'!$A$3:$A$115,0), MATCH(C102,'崖行動・受け身'!$D$2:$E$2,0))</f>
        <v>1-33</v>
      </c>
      <c r="D104" s="113">
        <f t="array" ref="D104">INDEX('崖行動・受け身'!$D$3:$E108, MATCH($A$1,'崖行動・受け身'!$A$3:$A$115,0), MATCH(D102,'崖行動・受け身'!$D$2:$E$2,0))</f>
        <v>34</v>
      </c>
      <c r="E104" s="301"/>
      <c r="F104" s="301"/>
      <c r="G104" s="301"/>
      <c r="H104" s="228"/>
      <c r="I104" s="228"/>
      <c r="J104" s="117"/>
      <c r="K104" s="156"/>
      <c r="L104" s="303" t="str">
        <f>'テンプレート'!L118</f>
        <v>歩き</v>
      </c>
      <c r="M104" s="113" t="s">
        <v>76</v>
      </c>
      <c r="N104" s="113">
        <v>19.0</v>
      </c>
      <c r="O104" s="118"/>
      <c r="P104" s="118"/>
      <c r="Q104" s="118"/>
      <c r="R104" s="118"/>
      <c r="S104" s="118"/>
      <c r="T104" s="118"/>
      <c r="U104" s="118"/>
      <c r="V104" s="118"/>
    </row>
    <row r="105" outlineLevel="1">
      <c r="A105" s="146"/>
      <c r="B105" s="300" t="s">
        <v>241</v>
      </c>
      <c r="C105" s="113" t="str">
        <f t="array" ref="C105">INDEX('崖行動・受け身'!$F$3:$G$115, MATCH($A$1,'崖行動・受け身'!$A$3:$A$115,0), MATCH(C102,'崖行動・受け身'!$F$2:$G$2,0))</f>
        <v>1-27</v>
      </c>
      <c r="D105" s="113">
        <f t="array" ref="D105">INDEX('崖行動・受け身'!$F$3:$G$115, MATCH($A$1,'崖行動・受け身'!$A$3:$A$115,0), MATCH(D102,'崖行動・受け身'!$F$2:$G$2,0))</f>
        <v>45</v>
      </c>
      <c r="E105" s="301"/>
      <c r="F105" s="301"/>
      <c r="G105" s="301"/>
      <c r="H105" s="228"/>
      <c r="I105" s="228"/>
      <c r="J105" s="111"/>
      <c r="K105" s="304" t="str">
        <f>'テンプレート'!K119</f>
        <v>アイテム投擲</v>
      </c>
      <c r="L105" s="109"/>
      <c r="M105" s="298" t="str">
        <f>'テンプレート'!M119</f>
        <v>投擲フレーム</v>
      </c>
      <c r="N105" s="298" t="str">
        <f>'テンプレート'!N119</f>
        <v>全体フレーム</v>
      </c>
      <c r="O105" s="118"/>
      <c r="P105" s="118"/>
      <c r="Q105" s="118"/>
      <c r="R105" s="118"/>
      <c r="S105" s="118"/>
      <c r="T105" s="118"/>
      <c r="U105" s="118"/>
      <c r="V105" s="118"/>
    </row>
    <row r="106" outlineLevel="1">
      <c r="A106" s="146"/>
      <c r="B106" s="300" t="s">
        <v>242</v>
      </c>
      <c r="C106" s="113" t="str">
        <f t="array" ref="C106">INDEX('崖行動・受け身'!$H$3:$I$115, MATCH($A$1,'崖行動・受け身'!$A$3:$A$115,0), MATCH(C102,'崖行動・受け身'!$H$2:$I$2,0))</f>
        <v>1-12</v>
      </c>
      <c r="D106" s="113">
        <f t="array" ref="D106">INDEX('崖行動・受け身'!$H$3:$I$115, MATCH($A$1,'崖行動・受け身'!$A$3:$A$115,0), MATCH(D102,'崖行動・受け身'!$H$2:$I$2,0))</f>
        <v>14</v>
      </c>
      <c r="E106" s="301"/>
      <c r="F106" s="301"/>
      <c r="G106" s="301"/>
      <c r="H106" s="228"/>
      <c r="I106" s="228"/>
      <c r="J106" s="117"/>
      <c r="K106" s="305" t="str">
        <f>'テンプレート'!K120</f>
        <v>地上投擲</v>
      </c>
      <c r="L106" s="303" t="str">
        <f>'テンプレート'!L120</f>
        <v>前投げ</v>
      </c>
      <c r="M106" s="113" t="s">
        <v>128</v>
      </c>
      <c r="N106" s="113">
        <v>24.0</v>
      </c>
      <c r="O106" s="111"/>
      <c r="P106" s="111"/>
      <c r="Q106" s="111"/>
      <c r="R106" s="111"/>
      <c r="S106" s="111"/>
      <c r="T106" s="111"/>
      <c r="U106" s="111"/>
      <c r="V106" s="111"/>
    </row>
    <row r="107" outlineLevel="1">
      <c r="A107" s="156"/>
      <c r="B107" s="300" t="s">
        <v>243</v>
      </c>
      <c r="C107" s="113" t="str">
        <f t="array" ref="C107">INDEX('崖行動・受け身'!$J$3:$M$115, MATCH($A$1,'崖行動・受け身'!$A$3:$A$115,0), MATCH(C102,'崖行動・受け身'!$J$2:$M$2,0))</f>
        <v>1-25</v>
      </c>
      <c r="D107" s="113">
        <f t="array" ref="D107">INDEX('崖行動・受け身'!$J$3:$M$115, MATCH($A$1,'崖行動・受け身'!$A$3:$A$115,0), MATCH(D102,'崖行動・受け身'!$J$2:$M$2,0))</f>
        <v>55</v>
      </c>
      <c r="E107" s="113" t="str">
        <f t="array" ref="E107">INDEX('崖行動・受け身'!$J$3:$M$115, MATCH($A$1,'崖行動・受け身'!$A$3:$A$115,0), MATCH(E102,'崖行動・受け身'!$J$2:$M$2,0))</f>
        <v>23-25</v>
      </c>
      <c r="F107" s="113">
        <f t="array" ref="F107">INDEX('崖行動・受け身'!$J$3:$M$115, MATCH($A$1,'崖行動・受け身'!$A$3:$A$115,0), MATCH(F102,'崖行動・受け身'!$J$2:$M$2,0))</f>
        <v>10</v>
      </c>
      <c r="G107" s="113">
        <f>F107*1.2</f>
        <v>12</v>
      </c>
      <c r="H107" s="228"/>
      <c r="I107" s="228"/>
      <c r="J107" s="111"/>
      <c r="K107" s="146"/>
      <c r="L107" s="303" t="str">
        <f>'テンプレート'!L121</f>
        <v>後投げ</v>
      </c>
      <c r="M107" s="113" t="s">
        <v>119</v>
      </c>
      <c r="N107" s="113">
        <v>24.0</v>
      </c>
      <c r="O107" s="111"/>
      <c r="P107" s="111"/>
      <c r="Q107" s="111"/>
      <c r="R107" s="111"/>
      <c r="S107" s="111"/>
      <c r="T107" s="111"/>
      <c r="U107" s="111"/>
      <c r="V107" s="111"/>
    </row>
    <row r="108" outlineLevel="1">
      <c r="A108" s="299" t="s">
        <v>244</v>
      </c>
      <c r="B108" s="300" t="s">
        <v>216</v>
      </c>
      <c r="C108" s="113" t="str">
        <f t="array" ref="C108">INDEX('崖行動・受け身'!$N$3:$O$115, MATCH($A$1,'崖行動・受け身'!$A$3:$A$115,0), MATCH(C102,'崖行動・受け身'!$N$2:$O$2,0))</f>
        <v>1-20</v>
      </c>
      <c r="D108" s="113">
        <f t="array" ref="D108">INDEX('崖行動・受け身'!$N$3:$O$115, MATCH($A$1,'崖行動・受け身'!$A$3:$A$115,0), MATCH(D102,'崖行動・受け身'!$N$2:$O$2,0))</f>
        <v>26</v>
      </c>
      <c r="E108" s="301"/>
      <c r="F108" s="301"/>
      <c r="G108" s="301"/>
      <c r="H108" s="228"/>
      <c r="I108" s="228"/>
      <c r="J108" s="117"/>
      <c r="K108" s="146"/>
      <c r="L108" s="303" t="str">
        <f>'テンプレート'!L122</f>
        <v>上投げ</v>
      </c>
      <c r="M108" s="113" t="s">
        <v>386</v>
      </c>
      <c r="N108" s="113">
        <v>23.0</v>
      </c>
      <c r="O108" s="228"/>
      <c r="P108" s="228"/>
      <c r="Q108" s="228"/>
      <c r="R108" s="228"/>
      <c r="S108" s="228"/>
      <c r="T108" s="228"/>
      <c r="U108" s="228"/>
      <c r="V108" s="228"/>
    </row>
    <row r="109" outlineLevel="1">
      <c r="A109" s="146"/>
      <c r="B109" s="300" t="s">
        <v>245</v>
      </c>
      <c r="C109" s="113" t="str">
        <f t="array" ref="C109">INDEX('崖行動・受け身'!$P$3:$Q$115, MATCH($A$1,'崖行動・受け身'!$A$3:$A$115,0), MATCH(C102,'崖行動・受け身'!$P$2:$Q$2,0))</f>
        <v>1-20</v>
      </c>
      <c r="D109" s="113">
        <f t="array" ref="D109">INDEX('崖行動・受け身'!$P$3:$Q$115, MATCH($A$1,'崖行動・受け身'!$A$3:$A$115,0), MATCH(D102,'崖行動・受け身'!$P$2:$Q$2,0))</f>
        <v>40</v>
      </c>
      <c r="E109" s="301"/>
      <c r="F109" s="301"/>
      <c r="G109" s="301"/>
      <c r="H109" s="228"/>
      <c r="I109" s="228"/>
      <c r="J109" s="111"/>
      <c r="K109" s="146"/>
      <c r="L109" s="303" t="str">
        <f>'テンプレート'!L123</f>
        <v>下投げ</v>
      </c>
      <c r="M109" s="113" t="s">
        <v>80</v>
      </c>
      <c r="N109" s="113">
        <v>19.0</v>
      </c>
      <c r="O109" s="118"/>
      <c r="P109" s="118"/>
      <c r="Q109" s="118"/>
      <c r="R109" s="118"/>
      <c r="S109" s="118"/>
      <c r="T109" s="118"/>
      <c r="U109" s="118"/>
      <c r="V109" s="118"/>
    </row>
    <row r="110" outlineLevel="1">
      <c r="A110" s="156"/>
      <c r="B110" s="300" t="s">
        <v>246</v>
      </c>
      <c r="C110" s="113" t="str">
        <f t="array" ref="C110">INDEX('崖行動・受け身'!$R$3:$S$115, MATCH($A$1,'崖行動・受け身'!$A$3:$A$115,0), MATCH(C102,'崖行動・受け身'!$R$2:$S$2,0))</f>
        <v>1-20</v>
      </c>
      <c r="D110" s="113">
        <f t="array" ref="D110">INDEX('崖行動・受け身'!$R$3:$S$115, MATCH($A$1,'崖行動・受け身'!$A$3:$A$115,0), MATCH(D102,'崖行動・受け身'!$R$2:$S$2,0))</f>
        <v>40</v>
      </c>
      <c r="E110" s="301"/>
      <c r="F110" s="301"/>
      <c r="G110" s="301"/>
      <c r="H110" s="228"/>
      <c r="I110" s="228"/>
      <c r="J110" s="117"/>
      <c r="K110" s="146"/>
      <c r="L110" s="306" t="str">
        <f>'テンプレート'!L124</f>
        <v>ダッシュ</v>
      </c>
      <c r="M110" s="113" t="s">
        <v>86</v>
      </c>
      <c r="N110" s="113">
        <v>37.0</v>
      </c>
      <c r="O110" s="118"/>
      <c r="P110" s="118"/>
      <c r="Q110" s="118"/>
      <c r="R110" s="118"/>
      <c r="S110" s="118"/>
      <c r="T110" s="118"/>
      <c r="U110" s="118"/>
      <c r="V110" s="118"/>
    </row>
    <row r="111" outlineLevel="1">
      <c r="A111" s="299" t="s">
        <v>247</v>
      </c>
      <c r="B111" s="300" t="s">
        <v>248</v>
      </c>
      <c r="C111" s="301"/>
      <c r="D111" s="113" t="str">
        <f t="array" ref="D111">INDEX('起きあがり'!$C$3:$C108, MATCH($A$1,'起きあがり'!$A$3:$A$115,0), MATCH(D102,'起きあがり'!$C$2:$AD$2,0))</f>
        <v>25</v>
      </c>
      <c r="E111" s="301"/>
      <c r="F111" s="301"/>
      <c r="G111" s="301"/>
      <c r="H111" s="228"/>
      <c r="I111" s="228"/>
      <c r="J111" s="111"/>
      <c r="K111" s="156"/>
      <c r="L111" s="306" t="str">
        <f>'テンプレート'!L125</f>
        <v>その場捨て</v>
      </c>
      <c r="M111" s="113" t="s">
        <v>93</v>
      </c>
      <c r="N111" s="113">
        <v>23.0</v>
      </c>
      <c r="O111" s="118"/>
      <c r="P111" s="118"/>
      <c r="Q111" s="118"/>
      <c r="R111" s="118"/>
      <c r="S111" s="118"/>
      <c r="T111" s="118"/>
      <c r="U111" s="118"/>
      <c r="V111" s="118"/>
    </row>
    <row r="112" outlineLevel="1">
      <c r="A112" s="146"/>
      <c r="B112" s="300" t="s">
        <v>216</v>
      </c>
      <c r="C112" s="307" t="str">
        <f t="array" ref="C112">INDEX('起きあがり'!$D$3:$E108, MATCH($A$1,'起きあがり'!$A$3:$A$115,0), MATCH(C102,'起きあがり'!$D$2:$AD$2,0))</f>
        <v>1-22</v>
      </c>
      <c r="D112" s="308">
        <f t="array" ref="D112">INDEX('起きあがり'!$D$3:$E108, MATCH($A$1,'起きあがり'!$A$3:$A$115,0), MATCH(D102,'起きあがり'!$D$2:$AD$2,0))</f>
        <v>29</v>
      </c>
      <c r="E112" s="301"/>
      <c r="F112" s="301"/>
      <c r="G112" s="301"/>
      <c r="H112" s="228"/>
      <c r="I112" s="228"/>
      <c r="J112" s="117"/>
      <c r="K112" s="305" t="str">
        <f>'テンプレート'!K126</f>
        <v>空中投擲</v>
      </c>
      <c r="L112" s="303" t="str">
        <f>'テンプレート'!L126</f>
        <v>前投げ</v>
      </c>
      <c r="M112" s="113" t="s">
        <v>128</v>
      </c>
      <c r="N112" s="113">
        <v>24.0</v>
      </c>
      <c r="O112" s="118"/>
      <c r="P112" s="118"/>
      <c r="Q112" s="118"/>
      <c r="R112" s="118"/>
      <c r="S112" s="118"/>
      <c r="T112" s="118"/>
      <c r="U112" s="118"/>
      <c r="V112" s="118"/>
    </row>
    <row r="113" outlineLevel="1">
      <c r="A113" s="146"/>
      <c r="B113" s="300" t="s">
        <v>245</v>
      </c>
      <c r="C113" s="307" t="str">
        <f t="array" ref="C113">INDEX('起きあがり'!$F$3:$G$115, MATCH($A$1,'起きあがり'!$A$3:$A$115,0), MATCH(C102,'起きあがり'!$F$2:$AD$2,0))</f>
        <v>1-19</v>
      </c>
      <c r="D113" s="308">
        <f t="array" ref="D113">INDEX('起きあがり'!$F$3:$G$115, MATCH($A$1,'起きあがり'!$A$3:$A$115,0), MATCH(D102,'起きあがり'!$F$2:$AD$2,0))</f>
        <v>35</v>
      </c>
      <c r="E113" s="301"/>
      <c r="F113" s="301"/>
      <c r="G113" s="301"/>
      <c r="H113" s="228"/>
      <c r="I113" s="228"/>
      <c r="J113" s="111"/>
      <c r="K113" s="146"/>
      <c r="L113" s="303" t="str">
        <f>'テンプレート'!L127</f>
        <v>後投げ</v>
      </c>
      <c r="M113" s="113" t="s">
        <v>119</v>
      </c>
      <c r="N113" s="113">
        <v>24.0</v>
      </c>
      <c r="O113" s="118"/>
      <c r="P113" s="118"/>
      <c r="Q113" s="118"/>
      <c r="R113" s="118"/>
      <c r="S113" s="118"/>
      <c r="T113" s="118"/>
      <c r="U113" s="118"/>
      <c r="V113" s="118"/>
    </row>
    <row r="114" outlineLevel="1">
      <c r="A114" s="146"/>
      <c r="B114" s="300" t="s">
        <v>246</v>
      </c>
      <c r="C114" s="113" t="str">
        <f t="array" ref="C114">INDEX('起きあがり'!$H$3:$I$115, MATCH($A$1,'起きあがり'!$A$3:$A$115,0), MATCH(C102,'起きあがり'!$H$2:$AD$2,0))</f>
        <v>1-19</v>
      </c>
      <c r="D114" s="113">
        <f t="array" ref="D114">INDEX('起きあがり'!$H$3:$I$115, MATCH($A$1,'起きあがり'!$A$3:$A$115,0), MATCH(D102,'起きあがり'!$H$2:$AD$2,0))</f>
        <v>35</v>
      </c>
      <c r="E114" s="301"/>
      <c r="F114" s="301"/>
      <c r="G114" s="301"/>
      <c r="H114" s="228"/>
      <c r="I114" s="228"/>
      <c r="J114" s="117"/>
      <c r="K114" s="146"/>
      <c r="L114" s="303" t="str">
        <f>'テンプレート'!L128</f>
        <v>上投げ</v>
      </c>
      <c r="M114" s="113" t="s">
        <v>386</v>
      </c>
      <c r="N114" s="113">
        <v>23.0</v>
      </c>
      <c r="O114" s="118"/>
      <c r="P114" s="118"/>
      <c r="Q114" s="118"/>
      <c r="R114" s="118"/>
      <c r="S114" s="118"/>
      <c r="T114" s="118"/>
      <c r="U114" s="118"/>
      <c r="V114" s="118"/>
    </row>
    <row r="115" outlineLevel="1">
      <c r="A115" s="146"/>
      <c r="B115" s="300" t="s">
        <v>249</v>
      </c>
      <c r="C115" s="309" t="str">
        <f t="array" ref="C115">INDEX('起きあがり'!$J$3:$M$115, MATCH($A$1,'起きあがり'!$A$3:$A$115,0), MATCH(C102,'起きあがり'!$J$2:$AD$2,0))</f>
        <v>1-24</v>
      </c>
      <c r="D115" s="310">
        <f t="array" ref="D115">INDEX('起きあがり'!$J$3:$M$115, MATCH($A$1,'起きあがり'!$A$3:$A$115,0), MATCH(D102,'起きあがり'!$J$2:$AD$2,0))</f>
        <v>45</v>
      </c>
      <c r="E115" s="307" t="str">
        <f t="array" ref="E115">INDEX('起きあがり'!$J$3:$M$115, MATCH($A$1,'起きあがり'!$A$3:$A$115,0), MATCH(E102,'起きあがり'!$J$2:$AD$2,0))</f>
        <v>16-17</v>
      </c>
      <c r="F115" s="308">
        <f t="array" ref="F115">INDEX('起きあがり'!$J$3:$M$115, MATCH($A$1,'起きあがり'!$A$3:$A$115,0), MATCH(F102,'起きあがり'!$J$2:$AD$2,0))</f>
        <v>7</v>
      </c>
      <c r="G115" s="113">
        <f t="shared" ref="G115:G116" si="1">F115*1.2</f>
        <v>8.4</v>
      </c>
      <c r="H115" s="228"/>
      <c r="I115" s="228"/>
      <c r="J115" s="111"/>
      <c r="K115" s="156"/>
      <c r="L115" s="303" t="str">
        <f>'テンプレート'!L129</f>
        <v>下投げ</v>
      </c>
      <c r="M115" s="113" t="s">
        <v>80</v>
      </c>
      <c r="N115" s="113">
        <v>19.0</v>
      </c>
      <c r="O115" s="111"/>
      <c r="P115" s="111"/>
      <c r="Q115" s="111"/>
      <c r="R115" s="111"/>
      <c r="S115" s="111"/>
      <c r="T115" s="111"/>
      <c r="U115" s="111"/>
      <c r="V115" s="111"/>
    </row>
    <row r="116" outlineLevel="1">
      <c r="A116" s="156"/>
      <c r="B116" s="311" t="s">
        <v>250</v>
      </c>
      <c r="C116" s="156"/>
      <c r="D116" s="156"/>
      <c r="E116" s="307" t="str">
        <f t="array" ref="E116">INDEX('起きあがり'!$N$3:$O$115, MATCH($A$1,'起きあがり'!$A$3:$A$115,0), MATCH(E102,'起きあがり'!$N$2:$AD$2,0))</f>
        <v>23-24</v>
      </c>
      <c r="F116" s="308">
        <f t="array" ref="F116">INDEX('起きあがり'!$N$3:$O$115, MATCH($A$1,'起きあがり'!$A$3:$A$115,0), MATCH(F102,'起きあがり'!$N$2:$AD$2,0))</f>
        <v>7</v>
      </c>
      <c r="G116" s="113">
        <f t="shared" si="1"/>
        <v>8.4</v>
      </c>
      <c r="H116" s="228"/>
      <c r="I116" s="228"/>
      <c r="J116" s="111"/>
      <c r="K116" s="312" t="str">
        <f>'テンプレート'!K130</f>
        <v>踏み台ジャンプ</v>
      </c>
      <c r="L116" s="168"/>
      <c r="M116" s="298" t="str">
        <f>'テンプレート'!M130</f>
        <v>全体フレーム</v>
      </c>
      <c r="N116" s="114"/>
      <c r="O116" s="111"/>
      <c r="P116" s="111"/>
      <c r="Q116" s="111"/>
      <c r="R116" s="111"/>
      <c r="S116" s="111"/>
      <c r="T116" s="111"/>
      <c r="U116" s="111"/>
      <c r="V116" s="111"/>
    </row>
    <row r="117" outlineLevel="1">
      <c r="A117" s="299" t="s">
        <v>251</v>
      </c>
      <c r="B117" s="300" t="s">
        <v>248</v>
      </c>
      <c r="C117" s="301"/>
      <c r="D117" s="307" t="str">
        <f t="array" ref="D117">INDEX('起きあがり'!$C$3:$C108, MATCH($A$1,'起きあがり'!$A$3:$A$115,0), MATCH(D102,'起きあがり'!$C$2,0))</f>
        <v>25</v>
      </c>
      <c r="E117" s="301"/>
      <c r="F117" s="301"/>
      <c r="G117" s="301"/>
      <c r="H117" s="228"/>
      <c r="I117" s="228"/>
      <c r="J117" s="117"/>
      <c r="K117" s="313" t="str">
        <f>'テンプレート'!K131</f>
        <v>踏み</v>
      </c>
      <c r="L117" s="314" t="str">
        <f>'テンプレート'!L131</f>
        <v>踏み</v>
      </c>
      <c r="M117" s="113">
        <v>8.0</v>
      </c>
      <c r="N117" s="315"/>
      <c r="O117" s="111"/>
      <c r="P117" s="111"/>
      <c r="Q117" s="111"/>
      <c r="R117" s="111"/>
      <c r="S117" s="111"/>
      <c r="T117" s="111"/>
      <c r="U117" s="111"/>
      <c r="V117" s="111"/>
    </row>
    <row r="118" outlineLevel="1">
      <c r="A118" s="146"/>
      <c r="B118" s="300" t="s">
        <v>216</v>
      </c>
      <c r="C118" s="307" t="str">
        <f t="array" ref="C118">INDEX('起きあがり'!$P$3:$Q$115, MATCH($A$1,'起きあがり'!$A$3:$A$115,0), MATCH(C102,'起きあがり'!$P$2:$AD$2,0))</f>
        <v>1-22</v>
      </c>
      <c r="D118" s="308">
        <f t="array" ref="D118">INDEX('起きあがり'!$P$3:$Q$115, MATCH($A$1,'起きあがり'!$A$3:$A$115,0), MATCH(D102,'起きあがり'!$P$2:$AD$2,0))</f>
        <v>29</v>
      </c>
      <c r="E118" s="301"/>
      <c r="F118" s="301"/>
      <c r="G118" s="301"/>
      <c r="H118" s="228"/>
      <c r="I118" s="228"/>
      <c r="J118" s="111"/>
      <c r="K118" s="305" t="str">
        <f>'テンプレート'!K132</f>
        <v>踏まれ</v>
      </c>
      <c r="L118" s="314" t="str">
        <f>'テンプレート'!L132</f>
        <v>地上踏まれ</v>
      </c>
      <c r="M118" s="113" t="s">
        <v>76</v>
      </c>
      <c r="N118" s="315"/>
      <c r="O118" s="228"/>
      <c r="P118" s="228"/>
      <c r="Q118" s="228"/>
      <c r="R118" s="228"/>
      <c r="S118" s="228"/>
      <c r="T118" s="228"/>
      <c r="U118" s="228"/>
      <c r="V118" s="228"/>
    </row>
    <row r="119" outlineLevel="1">
      <c r="A119" s="146"/>
      <c r="B119" s="300" t="s">
        <v>245</v>
      </c>
      <c r="C119" s="307" t="str">
        <f t="array" ref="C119">INDEX('起きあがり'!$R$3:$S$115, MATCH($A$1,'起きあがり'!$A$3:$A$115,0), MATCH(C102,'起きあがり'!$R$2:$AD$2,0))</f>
        <v>1-19</v>
      </c>
      <c r="D119" s="308">
        <f t="array" ref="D119">INDEX('起きあがり'!$R$3:$S$115, MATCH($A$1,'起きあがり'!$A$3:$A$115,0), MATCH(D102,'起きあがり'!$R$2:$AD$2,0))</f>
        <v>35</v>
      </c>
      <c r="E119" s="301"/>
      <c r="F119" s="301"/>
      <c r="G119" s="301"/>
      <c r="H119" s="228"/>
      <c r="I119" s="228"/>
      <c r="J119" s="117"/>
      <c r="K119" s="146"/>
      <c r="L119" s="314" t="s">
        <v>693</v>
      </c>
      <c r="M119" s="113">
        <v>28.0</v>
      </c>
      <c r="N119" s="102"/>
      <c r="O119" s="118"/>
      <c r="P119" s="118"/>
      <c r="Q119" s="118"/>
      <c r="R119" s="118"/>
      <c r="S119" s="118"/>
      <c r="T119" s="118"/>
      <c r="U119" s="118"/>
      <c r="V119" s="118"/>
    </row>
    <row r="120" outlineLevel="1">
      <c r="A120" s="146"/>
      <c r="B120" s="300" t="s">
        <v>246</v>
      </c>
      <c r="C120" s="307" t="str">
        <f t="array" ref="C120">INDEX('起きあがり'!$T$3:$U$115, MATCH($A$1,'起きあがり'!$A$3:$A$115,0), MATCH(C102,'起きあがり'!$T$2:$AD$2,0))</f>
        <v>1-19</v>
      </c>
      <c r="D120" s="308">
        <f t="array" ref="D120">INDEX('起きあがり'!$T$3:$U$115, MATCH($A$1,'起きあがり'!$A$3:$A$115,0), MATCH(D102,'起きあがり'!$T$2:$AD$2,0))</f>
        <v>35</v>
      </c>
      <c r="E120" s="301"/>
      <c r="F120" s="301"/>
      <c r="G120" s="301"/>
      <c r="H120" s="228"/>
      <c r="I120" s="228"/>
      <c r="J120" s="111"/>
      <c r="K120" s="146"/>
      <c r="L120" s="314" t="str">
        <f>'テンプレート'!L134</f>
        <v>空中踏まれ</v>
      </c>
      <c r="M120" s="113">
        <v>12.0</v>
      </c>
      <c r="N120" s="102"/>
      <c r="O120" s="118"/>
      <c r="P120" s="118"/>
      <c r="Q120" s="118"/>
      <c r="R120" s="118"/>
      <c r="S120" s="118"/>
      <c r="T120" s="118"/>
      <c r="U120" s="118"/>
      <c r="V120" s="118"/>
    </row>
    <row r="121" outlineLevel="1">
      <c r="A121" s="146"/>
      <c r="B121" s="300" t="s">
        <v>249</v>
      </c>
      <c r="C121" s="309" t="str">
        <f t="array" ref="C121">INDEX('起きあがり'!$V$3:$Y$115, MATCH($A$1,'起きあがり'!$A$3:$A$115,0), MATCH(C102,'起きあがり'!$V$2:$AD$2,0))</f>
        <v>1-22</v>
      </c>
      <c r="D121" s="310">
        <f t="array" ref="D121">INDEX('起きあがり'!$V$3:$Y$115, MATCH($A$1,'起きあがり'!$A$3:$A$115,0), MATCH(D102,'起きあがり'!$V$2:$AD$2,0))</f>
        <v>45</v>
      </c>
      <c r="E121" s="307" t="str">
        <f t="array" ref="E121">INDEX('起きあがり'!$V$3:$Y$115, MATCH($A$1,'起きあがり'!$A$3:$A$115,0), MATCH(E102,'起きあがり'!$V$2:$AD$2,0))</f>
        <v>16-17</v>
      </c>
      <c r="F121" s="308">
        <f t="array" ref="F121">INDEX('起きあがり'!$V$3:$Y$115, MATCH($A$1,'起きあがり'!$A$3:$A$115,0), MATCH(F102,'起きあがり'!$V$2:$AD$2,0))</f>
        <v>7</v>
      </c>
      <c r="G121" s="113">
        <f t="shared" ref="G121:G122" si="2">F121*1.2</f>
        <v>8.4</v>
      </c>
      <c r="H121" s="228"/>
      <c r="I121" s="228"/>
      <c r="J121" s="117"/>
      <c r="K121" s="146"/>
      <c r="L121" s="314" t="str">
        <f>'テンプレート'!L135</f>
        <v>空中落下</v>
      </c>
      <c r="M121" s="113">
        <v>33.0</v>
      </c>
      <c r="N121" s="102"/>
      <c r="O121" s="118"/>
      <c r="P121" s="118"/>
      <c r="Q121" s="118"/>
      <c r="R121" s="118"/>
      <c r="S121" s="118"/>
      <c r="T121" s="118"/>
      <c r="U121" s="118"/>
      <c r="V121" s="118"/>
    </row>
    <row r="122" outlineLevel="1">
      <c r="A122" s="156"/>
      <c r="B122" s="311" t="s">
        <v>250</v>
      </c>
      <c r="C122" s="156"/>
      <c r="D122" s="156"/>
      <c r="E122" s="307" t="str">
        <f t="array" ref="E122">INDEX('起きあがり'!$Z$3:$AA$115, MATCH($A$1,'起きあがり'!$A$3:$A$115,0), MATCH(E102,'起きあがり'!$Z$2:$AD$2,0))</f>
        <v>21-22</v>
      </c>
      <c r="F122" s="308">
        <f t="array" ref="F122">INDEX('起きあがり'!$Z$3:$AA$115, MATCH($A$1,'起きあがり'!$A$3:$A$115,0), MATCH(F102,'起きあがり'!$Z$2:$AD$2,0))</f>
        <v>7</v>
      </c>
      <c r="G122" s="113">
        <f t="shared" si="2"/>
        <v>8.4</v>
      </c>
      <c r="H122" s="228"/>
      <c r="I122" s="228"/>
      <c r="J122" s="117"/>
      <c r="K122" s="304" t="str">
        <f>'テンプレート'!K136</f>
        <v>倒れダメージ</v>
      </c>
      <c r="L122" s="110"/>
      <c r="M122" s="298" t="str">
        <f>'テンプレート'!M136</f>
        <v>全体フレーム</v>
      </c>
      <c r="N122" s="102"/>
      <c r="O122" s="118"/>
      <c r="P122" s="118"/>
      <c r="Q122" s="118"/>
      <c r="R122" s="118"/>
      <c r="S122" s="118"/>
      <c r="T122" s="118"/>
      <c r="U122" s="118"/>
      <c r="V122" s="118"/>
    </row>
    <row r="123" outlineLevel="1">
      <c r="A123" s="299" t="s">
        <v>252</v>
      </c>
      <c r="B123" s="300" t="s">
        <v>253</v>
      </c>
      <c r="C123" s="307" t="str">
        <f t="array" ref="C123">INDEX('転倒'!$C$3:$D108, MATCH($A$1,'転倒'!$A$3:$A$115,0), MATCH(C102,'転倒'!$C$2:$AC$2,0))</f>
        <v>1-5</v>
      </c>
      <c r="D123" s="308">
        <f t="array" ref="D123">INDEX('転倒'!$C$3:$D108, MATCH($A$1,'転倒'!$A$3:$A$115,0), MATCH(D102,'転倒'!$C$2:$AC$2,0))</f>
        <v>29</v>
      </c>
      <c r="E123" s="301"/>
      <c r="F123" s="301"/>
      <c r="G123" s="301"/>
      <c r="H123" s="228"/>
      <c r="I123" s="228"/>
      <c r="J123" s="111"/>
      <c r="K123" s="313" t="str">
        <f>'テンプレート'!K137</f>
        <v>あお向け倒れ</v>
      </c>
      <c r="L123" s="306" t="str">
        <f>'テンプレート'!L137</f>
        <v>モーション大</v>
      </c>
      <c r="M123" s="113">
        <v>39.0</v>
      </c>
      <c r="N123" s="315"/>
      <c r="O123" s="118"/>
      <c r="P123" s="118"/>
      <c r="Q123" s="118"/>
      <c r="R123" s="118"/>
      <c r="S123" s="118"/>
      <c r="T123" s="118"/>
      <c r="U123" s="118"/>
      <c r="V123" s="118"/>
    </row>
    <row r="124" outlineLevel="1">
      <c r="A124" s="146"/>
      <c r="B124" s="300" t="s">
        <v>254</v>
      </c>
      <c r="C124" s="307" t="str">
        <f t="array" ref="C124">INDEX('転倒'!$E$3:$F108, MATCH($A$1,'転倒'!$A$3:$A$115,0), MATCH(C102,'転倒'!$E$2:$AC$2,0))</f>
        <v>1-5</v>
      </c>
      <c r="D124" s="308">
        <f t="array" ref="D124">INDEX('転倒'!$E$3:$F108, MATCH($A$1,'転倒'!$A$3:$A$115,0), MATCH(D102,'転倒'!$E$2:$AC$2,0))</f>
        <v>39</v>
      </c>
      <c r="E124" s="301"/>
      <c r="F124" s="301"/>
      <c r="G124" s="301"/>
      <c r="H124" s="228"/>
      <c r="I124" s="228"/>
      <c r="J124" s="117"/>
      <c r="K124" s="313" t="str">
        <f>'テンプレート'!K138</f>
        <v>うつ伏せ倒れ</v>
      </c>
      <c r="L124" s="306" t="str">
        <f>'テンプレート'!L138</f>
        <v>モーション大</v>
      </c>
      <c r="M124" s="113" t="s">
        <v>118</v>
      </c>
      <c r="N124" s="315"/>
      <c r="O124" s="118"/>
      <c r="P124" s="118"/>
      <c r="Q124" s="118"/>
      <c r="R124" s="118"/>
      <c r="S124" s="118"/>
      <c r="T124" s="118"/>
      <c r="U124" s="118"/>
      <c r="V124" s="118"/>
    </row>
    <row r="125" outlineLevel="1">
      <c r="A125" s="146"/>
      <c r="B125" s="300" t="s">
        <v>216</v>
      </c>
      <c r="C125" s="307" t="str">
        <f t="array" ref="C125">INDEX('転倒'!$G$3:$H$115, MATCH($A$1,'転倒'!$A$3:$A$115,0), MATCH(C102,'転倒'!$G$2:$AC$2,0))</f>
        <v>1-16</v>
      </c>
      <c r="D125" s="308">
        <f t="array" ref="D125">INDEX('転倒'!$G$3:$H$115, MATCH($A$1,'転倒'!$A$3:$A$115,0), MATCH(D102,'転倒'!$G$2:$AC$2,0))</f>
        <v>21</v>
      </c>
      <c r="E125" s="301"/>
      <c r="F125" s="301"/>
      <c r="G125" s="301"/>
      <c r="H125" s="228"/>
      <c r="I125" s="228"/>
      <c r="J125" s="111"/>
      <c r="K125" s="304" t="str">
        <f>'テンプレート'!K139</f>
        <v/>
      </c>
      <c r="L125" s="110"/>
      <c r="M125" s="298" t="str">
        <f>'テンプレート'!M139</f>
        <v/>
      </c>
      <c r="N125" s="102"/>
      <c r="O125" s="118"/>
      <c r="P125" s="118"/>
      <c r="Q125" s="118"/>
      <c r="R125" s="118"/>
      <c r="S125" s="118"/>
      <c r="T125" s="118"/>
      <c r="U125" s="118"/>
      <c r="V125" s="118"/>
    </row>
    <row r="126" outlineLevel="1">
      <c r="A126" s="146"/>
      <c r="B126" s="300" t="s">
        <v>245</v>
      </c>
      <c r="C126" s="307" t="str">
        <f t="array" ref="C126">INDEX('転倒'!$I$3:$J$115, MATCH($A$1,'転倒'!$A$3:$A$115,0), MATCH(C102,'転倒'!$I$2:$AC$2,0))</f>
        <v>1-9</v>
      </c>
      <c r="D126" s="308">
        <f t="array" ref="D126">INDEX('転倒'!$I$3:$J$115, MATCH($A$1,'転倒'!$A$3:$A$115,0), MATCH(D102,'転倒'!$I$2:$AC$2,0))</f>
        <v>28</v>
      </c>
      <c r="E126" s="301"/>
      <c r="F126" s="301"/>
      <c r="G126" s="301"/>
      <c r="H126" s="228"/>
      <c r="I126" s="228"/>
      <c r="J126" s="228"/>
      <c r="K126" s="316"/>
      <c r="L126" s="317" t="str">
        <f>'テンプレート'!L140</f>
        <v/>
      </c>
      <c r="M126" s="113" t="s">
        <v>76</v>
      </c>
      <c r="N126" s="102"/>
      <c r="O126" s="118"/>
      <c r="P126" s="118"/>
      <c r="Q126" s="118"/>
      <c r="R126" s="118"/>
      <c r="S126" s="118"/>
      <c r="T126" s="118"/>
      <c r="U126" s="118"/>
      <c r="V126" s="118"/>
    </row>
    <row r="127" outlineLevel="1">
      <c r="A127" s="146"/>
      <c r="B127" s="300" t="s">
        <v>246</v>
      </c>
      <c r="C127" s="307" t="str">
        <f t="array" ref="C127">INDEX('転倒'!$K$3:$L$115, MATCH($A$1,'転倒'!$A$3:$A$115,0), MATCH(C102,'転倒'!$K$2:$AC$2,0))</f>
        <v>1-9</v>
      </c>
      <c r="D127" s="308">
        <f t="array" ref="D127">INDEX('転倒'!$K$3:$L$115, MATCH($A$1,'転倒'!$A$3:$A$115,0), MATCH(D102,'転倒'!$K$2:$AC$2,0))</f>
        <v>28</v>
      </c>
      <c r="E127" s="301"/>
      <c r="F127" s="301"/>
      <c r="G127" s="301"/>
      <c r="H127" s="228"/>
      <c r="I127" s="228"/>
      <c r="J127" s="228"/>
      <c r="K127" s="318"/>
      <c r="L127" s="118"/>
      <c r="M127" s="118"/>
      <c r="N127" s="102"/>
      <c r="O127" s="118"/>
      <c r="P127" s="118"/>
      <c r="Q127" s="118"/>
      <c r="R127" s="118"/>
      <c r="S127" s="118"/>
      <c r="T127" s="118"/>
      <c r="U127" s="118"/>
      <c r="V127" s="118"/>
    </row>
    <row r="128" outlineLevel="1">
      <c r="A128" s="146"/>
      <c r="B128" s="300" t="s">
        <v>249</v>
      </c>
      <c r="C128" s="309" t="str">
        <f t="array" ref="C128">INDEX('転倒'!$M$3:$P$115, MATCH($A$1,'転倒'!$A$3:$A$115,0), MATCH(C102,'転倒'!$M$2:$AC$2,0))</f>
        <v>1-7</v>
      </c>
      <c r="D128" s="310">
        <f t="array" ref="D128">INDEX('転倒'!$M$3:$P$115, MATCH($A$1,'転倒'!$A$3:$A$115,0), MATCH(D102,'転倒'!$M$2:$AC$2,0))</f>
        <v>49</v>
      </c>
      <c r="E128" s="307" t="str">
        <f t="array" ref="E128">INDEX('転倒'!$M$3:$P$115, MATCH($A$1,'転倒'!$A$3:$A$115,0), MATCH(E102,'転倒'!$M$2:$AC$2,0))</f>
        <v>20-21</v>
      </c>
      <c r="F128" s="308">
        <f t="array" ref="F128">INDEX('転倒'!$M$3:$P$115, MATCH($A$1,'転倒'!$A$3:$A$115,0), MATCH(F102,'転倒'!$M$2:$AC$2,0))</f>
        <v>5</v>
      </c>
      <c r="G128" s="113">
        <f t="shared" ref="G128:G129" si="3">F128*1.2</f>
        <v>6</v>
      </c>
      <c r="H128" s="228"/>
      <c r="I128" s="228"/>
      <c r="J128" s="228"/>
      <c r="K128" s="118"/>
      <c r="L128" s="118"/>
      <c r="M128" s="118"/>
      <c r="N128" s="102"/>
      <c r="O128" s="102"/>
      <c r="P128" s="102"/>
      <c r="Q128" s="102"/>
      <c r="R128" s="118"/>
      <c r="S128" s="118"/>
      <c r="T128" s="118"/>
      <c r="U128" s="118"/>
      <c r="V128" s="118"/>
    </row>
    <row r="129" outlineLevel="1">
      <c r="A129" s="156"/>
      <c r="B129" s="311" t="s">
        <v>250</v>
      </c>
      <c r="C129" s="156"/>
      <c r="D129" s="156"/>
      <c r="E129" s="307" t="str">
        <f t="array" ref="E129">INDEX('転倒'!$Q$3:$R$115, MATCH($A$1,'転倒'!$A$3:$A$115,0), MATCH(E102,'転倒'!$Q$2:$AC$2,0))</f>
        <v>30-31</v>
      </c>
      <c r="F129" s="308">
        <f t="array" ref="F129">INDEX('転倒'!$Q$3:$R$115, MATCH($A$1,'転倒'!$A$3:$A$115,0), MATCH(F102,'転倒'!$Q$2:$AC$2,0))</f>
        <v>5</v>
      </c>
      <c r="G129" s="113">
        <f t="shared" si="3"/>
        <v>6</v>
      </c>
      <c r="H129" s="228"/>
      <c r="I129" s="228"/>
      <c r="J129" s="228"/>
      <c r="K129" s="118"/>
      <c r="L129" s="118"/>
      <c r="M129" s="118"/>
      <c r="N129" s="102"/>
      <c r="O129" s="102"/>
      <c r="P129" s="102"/>
      <c r="Q129" s="102"/>
      <c r="R129" s="118"/>
      <c r="S129" s="118"/>
      <c r="T129" s="118"/>
      <c r="U129" s="118"/>
      <c r="V129" s="118"/>
    </row>
    <row r="130" outlineLevel="1">
      <c r="A130" s="319"/>
      <c r="B130" s="320"/>
      <c r="C130" s="321"/>
      <c r="D130" s="321"/>
      <c r="E130" s="322"/>
      <c r="F130" s="322"/>
      <c r="G130" s="114"/>
      <c r="H130" s="228"/>
      <c r="I130" s="228"/>
      <c r="J130" s="228"/>
      <c r="K130" s="118"/>
      <c r="L130" s="118"/>
      <c r="M130" s="118"/>
      <c r="N130" s="102"/>
      <c r="O130" s="102"/>
      <c r="P130" s="102"/>
      <c r="Q130" s="102"/>
      <c r="R130" s="118"/>
      <c r="S130" s="118"/>
      <c r="T130" s="118"/>
      <c r="U130" s="118"/>
      <c r="V130" s="118"/>
    </row>
    <row r="131" outlineLevel="1">
      <c r="A131" s="323" t="s">
        <v>255</v>
      </c>
      <c r="B131" s="109"/>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4" t="s">
        <v>256</v>
      </c>
      <c r="B132" s="109"/>
      <c r="C132" s="325" t="s">
        <v>257</v>
      </c>
      <c r="D132" s="325" t="s">
        <v>49</v>
      </c>
      <c r="E132" s="322"/>
      <c r="F132" s="322"/>
      <c r="G132" s="114"/>
      <c r="H132" s="228"/>
      <c r="I132" s="228"/>
      <c r="J132" s="228"/>
      <c r="K132" s="118"/>
      <c r="L132" s="118"/>
      <c r="M132" s="118"/>
      <c r="N132" s="102"/>
      <c r="O132" s="102"/>
      <c r="P132" s="102"/>
      <c r="Q132" s="102"/>
      <c r="R132" s="118"/>
      <c r="S132" s="118"/>
      <c r="T132" s="118"/>
      <c r="U132" s="118"/>
      <c r="V132" s="118"/>
    </row>
    <row r="133" outlineLevel="1">
      <c r="A133" s="326" t="s">
        <v>258</v>
      </c>
      <c r="B133" s="327" t="s">
        <v>216</v>
      </c>
      <c r="C133" s="328" t="str">
        <f t="array" ref="C133">INDEX('アイテム'!$C$3:$D$114, MATCH($A$1,'アイテム'!$A$3:$A$114,0), MATCH(C132,'アイテム'!$C$2:$AQ$2,0))</f>
        <v>3</v>
      </c>
      <c r="D133" s="328">
        <f t="array" ref="D133">INDEX('アイテム'!$C$3:$D$114, MATCH($A$1,'アイテム'!$A$3:$A$114,0), MATCH(D132,'アイテム'!$C$2:$AQ$2,0))</f>
        <v>7</v>
      </c>
      <c r="E133" s="322"/>
      <c r="F133" s="322"/>
      <c r="G133" s="114"/>
      <c r="H133" s="228"/>
      <c r="I133" s="228"/>
      <c r="J133" s="228"/>
      <c r="K133" s="118"/>
      <c r="L133" s="118"/>
      <c r="M133" s="118"/>
      <c r="N133" s="102"/>
      <c r="O133" s="102"/>
      <c r="P133" s="102"/>
      <c r="Q133" s="102"/>
      <c r="R133" s="118"/>
      <c r="S133" s="118"/>
      <c r="T133" s="118"/>
      <c r="U133" s="118"/>
      <c r="V133" s="118"/>
    </row>
    <row r="134" outlineLevel="1">
      <c r="A134" s="156"/>
      <c r="B134" s="327" t="s">
        <v>219</v>
      </c>
      <c r="C134" s="328" t="str">
        <f t="array" ref="C134">INDEX('アイテム'!$E$3:$F$114, MATCH($A$1,'アイテム'!$A$3:$A$114,0), MATCH(C132,'アイテム'!$C$2:$AQ$2,0))</f>
        <v>2</v>
      </c>
      <c r="D134" s="328">
        <f t="array" ref="D134">INDEX('アイテム'!$E$3:$F$114, MATCH($A$1,'アイテム'!$A$3:$A$114,0), MATCH(D132,'アイテム'!$C$2:$AQ$2,0))</f>
        <v>19</v>
      </c>
      <c r="E134" s="322"/>
      <c r="F134" s="322"/>
      <c r="G134" s="114"/>
      <c r="H134" s="228"/>
      <c r="I134" s="228"/>
      <c r="J134" s="228"/>
      <c r="K134" s="118"/>
      <c r="L134" s="118"/>
      <c r="M134" s="118"/>
      <c r="N134" s="102"/>
      <c r="O134" s="102"/>
      <c r="P134" s="102"/>
      <c r="Q134" s="102"/>
      <c r="R134" s="118"/>
      <c r="S134" s="118"/>
      <c r="T134" s="118"/>
      <c r="U134" s="118"/>
      <c r="V134" s="118"/>
    </row>
    <row r="135" outlineLevel="1">
      <c r="A135" s="329" t="s">
        <v>259</v>
      </c>
      <c r="B135" s="327" t="s">
        <v>216</v>
      </c>
      <c r="C135" s="328">
        <f t="array" ref="C135">INDEX('アイテム'!$AA$3:$AB$114, MATCH($A$1,'アイテム'!$A$3:$A$114,0), MATCH(C132,'アイテム'!$C$2:$AQ$2,0))</f>
        <v>5</v>
      </c>
      <c r="D135" s="328" t="str">
        <f t="array" ref="D135">INDEX('アイテム'!$AA$3:$AB$114, MATCH($A$1,'アイテム'!$A$3:$A$114,0), MATCH(D132,'アイテム'!$C$2:$AQ$2,0))</f>
        <v>12</v>
      </c>
      <c r="E135" s="322"/>
      <c r="F135" s="322"/>
      <c r="G135" s="114"/>
      <c r="H135" s="228"/>
      <c r="I135" s="228"/>
      <c r="J135" s="228"/>
      <c r="K135" s="118"/>
      <c r="L135" s="118"/>
      <c r="M135" s="118"/>
      <c r="N135" s="102"/>
      <c r="O135" s="102"/>
      <c r="P135" s="102"/>
      <c r="Q135" s="102"/>
      <c r="R135" s="118"/>
      <c r="S135" s="118"/>
      <c r="T135" s="118"/>
      <c r="U135" s="118"/>
      <c r="V135" s="118"/>
    </row>
    <row r="136" outlineLevel="1">
      <c r="A136" s="324" t="s">
        <v>260</v>
      </c>
      <c r="B136" s="109"/>
      <c r="C136" s="325" t="s">
        <v>261</v>
      </c>
      <c r="D136" s="325" t="s">
        <v>49</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262</v>
      </c>
      <c r="B137" s="327" t="s">
        <v>226</v>
      </c>
      <c r="C137" s="328" t="str">
        <f t="array" ref="C137">INDEX('アイテム'!$G$3:$H$114, MATCH($A$1,'アイテム'!$A$3:$A$114,0), MATCH(C132,'アイテム'!$C$2:$AQ$2,0))</f>
        <v>10</v>
      </c>
      <c r="D137" s="328">
        <f t="array" ref="D137">INDEX('アイテム'!$G$3:$H$114, MATCH($A$1,'アイテム'!$A$3:$A$114,0), MATCH(D132,'アイテム'!$C$2:$AQ$2,0))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229</v>
      </c>
      <c r="C138" s="328" t="str">
        <f t="array" ref="C138">INDEX('アイテム'!$I$3:$J$114, MATCH($A$1,'アイテム'!$A$3:$A$114,0), MATCH(C132,'アイテム'!$C$2:$AQ$2,0))</f>
        <v>14</v>
      </c>
      <c r="D138" s="328">
        <f t="array" ref="D138">INDEX('アイテム'!$I$3:$J$114, MATCH($A$1,'アイテム'!$A$3:$A$114,0), MATCH(D132,'アイテム'!$C$2:$AQ$2,0))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233</v>
      </c>
      <c r="C139" s="328" t="str">
        <f t="array" ref="C139">INDEX('アイテム'!$K$3:$L$114, MATCH($A$1,'アイテム'!$A$3:$A$114,0), MATCH(C132,'アイテム'!$C$2:$AQ$2,0))</f>
        <v>15</v>
      </c>
      <c r="D139" s="328">
        <f t="array" ref="D139">INDEX('アイテム'!$K$3:$L$114, MATCH($A$1,'アイテム'!$A$3:$A$114,0), MATCH(D132,'アイテム'!$C$2:$AQ$2,0))</f>
        <v>23</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234</v>
      </c>
      <c r="C140" s="328" t="str">
        <f t="array" ref="C140">INDEX('アイテム'!$M$3:$N$114, MATCH($A$1,'アイテム'!$A$3:$A$114,0), MATCH(C132,'アイテム'!$C$2:$AQ$2,0))</f>
        <v>8</v>
      </c>
      <c r="D140" s="328">
        <f t="array" ref="D140">INDEX('アイテム'!$M$3:$N$114, MATCH($A$1,'アイテム'!$A$3:$A$114,0), MATCH(D132,'アイテム'!$C$2:$AQ$2,0))</f>
        <v>19</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219</v>
      </c>
      <c r="C141" s="328" t="str">
        <f t="array" ref="C141">INDEX('アイテム'!$O$3:$P$114, MATCH($A$1,'アイテム'!$A$3:$A$114,0), MATCH(C132,'アイテム'!$C$2:$AQ$2,0))</f>
        <v>6</v>
      </c>
      <c r="D141" s="328">
        <f t="array" ref="D141">INDEX('アイテム'!$O$3:$P$114, MATCH($A$1,'アイテム'!$A$3:$A$114,0), MATCH(D132,'アイテム'!$C$2:$AQ$2,0))</f>
        <v>29</v>
      </c>
      <c r="E141" s="322"/>
      <c r="F141" s="322"/>
      <c r="G141" s="114"/>
      <c r="H141" s="228"/>
      <c r="I141" s="228"/>
      <c r="J141" s="228"/>
      <c r="K141" s="118"/>
      <c r="L141" s="118"/>
      <c r="M141" s="118"/>
      <c r="N141" s="102"/>
      <c r="O141" s="102"/>
      <c r="P141" s="102"/>
      <c r="Q141" s="102"/>
      <c r="R141" s="118"/>
      <c r="S141" s="118"/>
      <c r="T141" s="118"/>
      <c r="U141" s="118"/>
      <c r="V141" s="118"/>
    </row>
    <row r="142" outlineLevel="1">
      <c r="A142" s="156"/>
      <c r="B142" s="327" t="s">
        <v>263</v>
      </c>
      <c r="C142" s="328" t="str">
        <f t="array" ref="C142">INDEX('アイテム'!$Q$3:$R$114, MATCH($A$1,'アイテム'!$A$3:$A$114,0), MATCH(C132,'アイテム'!$C$2:$AQ$2,0))</f>
        <v>7</v>
      </c>
      <c r="D142" s="328">
        <f t="array" ref="D142">INDEX('アイテム'!$Q$3:$R$114, MATCH($A$1,'アイテム'!$A$3:$A$114,0), MATCH(D132,'アイテム'!$C$2:$AQ$2,0))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326" t="s">
        <v>264</v>
      </c>
      <c r="B143" s="327" t="s">
        <v>226</v>
      </c>
      <c r="C143" s="328" t="str">
        <f t="array" ref="C143">INDEX('アイテム'!$S$3:$T$114, MATCH($A$1,'アイテム'!$A$3:$A$114,0), MATCH(C132,'アイテム'!$C$2:$AQ$2,0))</f>
        <v>10</v>
      </c>
      <c r="D143" s="328">
        <f t="array" ref="D143">INDEX('アイテム'!$S$3:$T$114, MATCH($A$1,'アイテム'!$A$3:$A$114,0), MATCH(D132,'アイテム'!$C$2:$AQ$2,0))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229</v>
      </c>
      <c r="C144" s="328" t="str">
        <f t="array" ref="C144">INDEX('アイテム'!$U$3:$V$114, MATCH($A$1,'アイテム'!$A$3:$A$114,0), MATCH(C132,'アイテム'!$C$2:$AQ$2,0))</f>
        <v>14</v>
      </c>
      <c r="D144" s="328">
        <f t="array" ref="D144">INDEX('アイテム'!$U$3:$V$114, MATCH($A$1,'アイテム'!$A$3:$A$114,0), MATCH(D132,'アイテム'!$C$2:$AQ$2,0))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233</v>
      </c>
      <c r="C145" s="328" t="str">
        <f t="array" ref="C145">INDEX('アイテム'!$W$3:$X$114, MATCH($A$1,'アイテム'!$A$3:$A$114,0), MATCH(C132,'アイテム'!$C$2:$AQ$2,0))</f>
        <v>15</v>
      </c>
      <c r="D145" s="328">
        <f t="array" ref="D145">INDEX('アイテム'!$W$3:$X$114, MATCH($A$1,'アイテム'!$A$3:$A$114,0), MATCH(D132,'アイテム'!$C$2:$AQ$2,0))</f>
        <v>23</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234</v>
      </c>
      <c r="C146" s="328" t="str">
        <f t="array" ref="C146">INDEX('アイテム'!$Y$3:$Z$114, MATCH($A$1,'アイテム'!$A$3:$A$114,0), MATCH(C132,'アイテム'!$C$2:$AQ$2,0))</f>
        <v>8</v>
      </c>
      <c r="D146" s="328">
        <f t="array" ref="D146">INDEX('アイテム'!$Y$3:$Z$114, MATCH($A$1,'アイテム'!$A$3:$A$114,0), MATCH(D132,'アイテム'!$C$2:$AQ$2,0))</f>
        <v>19</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265</v>
      </c>
      <c r="B147" s="327" t="s">
        <v>226</v>
      </c>
      <c r="C147" s="328">
        <f t="array" ref="C147">INDEX('アイテム'!$AC$3:$AD$114, MATCH($A$1,'アイテム'!$A$3:$A$114,0), MATCH(C132,'アイテム'!$C$2:$AQ$2,0))</f>
        <v>18</v>
      </c>
      <c r="D147" s="328" t="str">
        <f t="array" ref="D147">INDEX('アイテム'!$AC$3:$AD$114, MATCH($A$1,'アイテム'!$A$3:$A$114,0), MATCH(D132,'アイテム'!$C$2:$AQ$2,0))</f>
        <v>30</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229</v>
      </c>
      <c r="C148" s="328">
        <f t="array" ref="C148">INDEX('アイテム'!$AE$3:$AF$114, MATCH($A$1,'アイテム'!$A$3:$A$114,0), MATCH(C132,'アイテム'!$C$2:$AQ$2,0))</f>
        <v>16</v>
      </c>
      <c r="D148" s="328" t="str">
        <f t="array" ref="D148">INDEX('アイテム'!$AE$3:$AF$114, MATCH($A$1,'アイテム'!$A$3:$A$114,0), MATCH(D132,'アイテム'!$C$2:$AQ$2,0))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233</v>
      </c>
      <c r="C149" s="328">
        <f t="array" ref="C149">INDEX('アイテム'!$AG$3:$AH$114, MATCH($A$1,'アイテム'!$A$3:$A$114,0), MATCH(C132,'アイテム'!$C$2:$AQ$2,0))</f>
        <v>12</v>
      </c>
      <c r="D149" s="328" t="str">
        <f t="array" ref="D149">INDEX('アイテム'!$AG$3:$AH$114, MATCH($A$1,'アイテム'!$A$3:$A$114,0), MATCH(D132,'アイテム'!$C$2:$AQ$2,0))</f>
        <v>22</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234</v>
      </c>
      <c r="C150" s="328">
        <f t="array" ref="C150">INDEX('アイテム'!$AI$3:$AJ$114, MATCH($A$1,'アイテム'!$A$3:$A$114,0), MATCH(C132,'アイテム'!$C$2:$AQ$2,0))</f>
        <v>11</v>
      </c>
      <c r="D150" s="328" t="str">
        <f t="array" ref="D150">INDEX('アイテム'!$AI$3:$AJ$114, MATCH($A$1,'アイテム'!$A$3:$A$114,0), MATCH(D132,'アイテム'!$C$2:$AQ$2,0))</f>
        <v>22</v>
      </c>
      <c r="E150" s="322"/>
      <c r="F150" s="322"/>
      <c r="G150" s="114"/>
      <c r="H150" s="228"/>
      <c r="I150" s="228"/>
      <c r="J150" s="228"/>
      <c r="K150" s="118"/>
      <c r="L150" s="118"/>
      <c r="M150" s="118"/>
      <c r="N150" s="102"/>
      <c r="O150" s="102"/>
      <c r="P150" s="102"/>
      <c r="Q150" s="102"/>
      <c r="R150" s="118"/>
      <c r="S150" s="118"/>
      <c r="T150" s="118"/>
      <c r="U150" s="118"/>
      <c r="V150" s="118"/>
    </row>
  </sheetData>
  <mergeCells count="130">
    <mergeCell ref="H6:H7"/>
    <mergeCell ref="H10:H11"/>
    <mergeCell ref="H1:J2"/>
    <mergeCell ref="K1:M2"/>
    <mergeCell ref="H4:H5"/>
    <mergeCell ref="I4:I5"/>
    <mergeCell ref="I6:I7"/>
    <mergeCell ref="H8:J9"/>
    <mergeCell ref="I10:I11"/>
    <mergeCell ref="K16:N16"/>
    <mergeCell ref="H25:J25"/>
    <mergeCell ref="H26:J26"/>
    <mergeCell ref="H27:J27"/>
    <mergeCell ref="H28:J28"/>
    <mergeCell ref="H29:J31"/>
    <mergeCell ref="H32:J32"/>
    <mergeCell ref="H33:J33"/>
    <mergeCell ref="H34:J37"/>
    <mergeCell ref="A29:A31"/>
    <mergeCell ref="D29:D31"/>
    <mergeCell ref="U29:U31"/>
    <mergeCell ref="C1:G12"/>
    <mergeCell ref="A11:B12"/>
    <mergeCell ref="A15:B16"/>
    <mergeCell ref="C16:D16"/>
    <mergeCell ref="E16:F16"/>
    <mergeCell ref="G16:H16"/>
    <mergeCell ref="A24:B25"/>
    <mergeCell ref="D38:D39"/>
    <mergeCell ref="D43:D44"/>
    <mergeCell ref="I43:I44"/>
    <mergeCell ref="J43:J44"/>
    <mergeCell ref="A34:A37"/>
    <mergeCell ref="D34:D37"/>
    <mergeCell ref="U34:U37"/>
    <mergeCell ref="A38:A39"/>
    <mergeCell ref="H38:J39"/>
    <mergeCell ref="A41:B42"/>
    <mergeCell ref="A43:A44"/>
    <mergeCell ref="U52:U54"/>
    <mergeCell ref="V52:V54"/>
    <mergeCell ref="U56:U65"/>
    <mergeCell ref="V56:V65"/>
    <mergeCell ref="U67:U72"/>
    <mergeCell ref="V67:V72"/>
    <mergeCell ref="U74:U75"/>
    <mergeCell ref="V74:V75"/>
    <mergeCell ref="U38:U39"/>
    <mergeCell ref="R42:V42"/>
    <mergeCell ref="R43:V44"/>
    <mergeCell ref="R45:V45"/>
    <mergeCell ref="R46:V46"/>
    <mergeCell ref="R47:V47"/>
    <mergeCell ref="R48:V48"/>
    <mergeCell ref="H55:J55"/>
    <mergeCell ref="H56:J56"/>
    <mergeCell ref="H57:J57"/>
    <mergeCell ref="H58:J58"/>
    <mergeCell ref="H59:J59"/>
    <mergeCell ref="H60:J60"/>
    <mergeCell ref="H61:J61"/>
    <mergeCell ref="H62:J62"/>
    <mergeCell ref="A70:A72"/>
    <mergeCell ref="A74:A75"/>
    <mergeCell ref="A77:B78"/>
    <mergeCell ref="A80:A82"/>
    <mergeCell ref="A83:B83"/>
    <mergeCell ref="A84:A85"/>
    <mergeCell ref="A86:A87"/>
    <mergeCell ref="A88:A89"/>
    <mergeCell ref="A90:A91"/>
    <mergeCell ref="A93:B94"/>
    <mergeCell ref="A95:A97"/>
    <mergeCell ref="A98:A99"/>
    <mergeCell ref="A101:B102"/>
    <mergeCell ref="A103:A107"/>
    <mergeCell ref="A143:A146"/>
    <mergeCell ref="A147:A150"/>
    <mergeCell ref="A117:A122"/>
    <mergeCell ref="A123:A129"/>
    <mergeCell ref="A131:B131"/>
    <mergeCell ref="A132:B132"/>
    <mergeCell ref="A133:A134"/>
    <mergeCell ref="A136:B136"/>
    <mergeCell ref="A137:A142"/>
    <mergeCell ref="H63:J63"/>
    <mergeCell ref="D64:D65"/>
    <mergeCell ref="H64:J65"/>
    <mergeCell ref="A50:B50"/>
    <mergeCell ref="A51:B51"/>
    <mergeCell ref="H51:J51"/>
    <mergeCell ref="A52:A54"/>
    <mergeCell ref="H52:J54"/>
    <mergeCell ref="A55:B55"/>
    <mergeCell ref="A56:A65"/>
    <mergeCell ref="A66:B66"/>
    <mergeCell ref="H66:J66"/>
    <mergeCell ref="A67:A69"/>
    <mergeCell ref="D67:D72"/>
    <mergeCell ref="H67:J72"/>
    <mergeCell ref="A73:B73"/>
    <mergeCell ref="H73:J73"/>
    <mergeCell ref="D84:D85"/>
    <mergeCell ref="D86:D87"/>
    <mergeCell ref="D88:D89"/>
    <mergeCell ref="D90:D91"/>
    <mergeCell ref="H74:J74"/>
    <mergeCell ref="H75:J75"/>
    <mergeCell ref="G83:J83"/>
    <mergeCell ref="G84:J85"/>
    <mergeCell ref="G86:J87"/>
    <mergeCell ref="G88:J89"/>
    <mergeCell ref="G90:J91"/>
    <mergeCell ref="A108:A110"/>
    <mergeCell ref="A111:A116"/>
    <mergeCell ref="C115:C116"/>
    <mergeCell ref="D115:D116"/>
    <mergeCell ref="C121:C122"/>
    <mergeCell ref="D121:D122"/>
    <mergeCell ref="C128:C129"/>
    <mergeCell ref="D128:D129"/>
    <mergeCell ref="K122:L122"/>
    <mergeCell ref="K125:L125"/>
    <mergeCell ref="K102:L102"/>
    <mergeCell ref="K103:K104"/>
    <mergeCell ref="K105:L105"/>
    <mergeCell ref="K106:K111"/>
    <mergeCell ref="K112:K115"/>
    <mergeCell ref="K116:L116"/>
    <mergeCell ref="K118:K121"/>
  </mergeCells>
  <conditionalFormatting sqref="K1:K15 K17:K53 K55:K73 K75:K126 C84 E84:F84 C86 E86:F86 C88 E88:F88 C90 E90:F90">
    <cfRule type="containsText" dxfId="0" priority="1" operator="containsText" text="361">
      <formula>NOT(ISERROR(SEARCH(("361"),(K1))))</formula>
    </cfRule>
  </conditionalFormatting>
  <conditionalFormatting sqref="K1:K15 K17:K53 K55:K73 K75:K126 C84 E84:F84 C86 E86:F86 C88 E88:F88 C90 E90:F90">
    <cfRule type="containsText" dxfId="1" priority="2" operator="containsText" text="363">
      <formula>NOT(ISERROR(SEARCH(("363"),(K1))))</formula>
    </cfRule>
  </conditionalFormatting>
  <conditionalFormatting sqref="K1:K15 K17:K53 K55:K73 K75:K126 C84 E84:F84 C86 E86:F86 C88 E88:F88 C90 E90:F90">
    <cfRule type="containsText" dxfId="1" priority="3" operator="containsText" text="365">
      <formula>NOT(ISERROR(SEARCH(("365"),(K1))))</formula>
    </cfRule>
  </conditionalFormatting>
  <conditionalFormatting sqref="K1:K15 K17:K53 K55:K73 K75:K126 C84 E84:F84 C86 E86:F86 C88 E88:F88 C90 E90:F90">
    <cfRule type="containsText" dxfId="1" priority="4" operator="containsText" text="366">
      <formula>NOT(ISERROR(SEARCH(("366"),(K1))))</formula>
    </cfRule>
  </conditionalFormatting>
  <conditionalFormatting sqref="K1:K15 K17:K53 K55:K73 K75:K126 C84 E84:F84 C86 E86:F86 C88 E88:F88 C90 E90:F90">
    <cfRule type="containsText" dxfId="1" priority="5" operator="containsText" text="367">
      <formula>NOT(ISERROR(SEARCH(("367"),(K1))))</formula>
    </cfRule>
  </conditionalFormatting>
  <conditionalFormatting sqref="P84:P91">
    <cfRule type="cellIs" dxfId="2" priority="6" operator="equal">
      <formula>"敵のみ"</formula>
    </cfRule>
  </conditionalFormatting>
  <conditionalFormatting sqref="C84:C91">
    <cfRule type="cellIs" dxfId="3" priority="7" operator="equal">
      <formula>"-"</formula>
    </cfRule>
  </conditionalFormatting>
  <conditionalFormatting sqref="O1:O53 O55:O73 O75:O150 C84 E84:F84 K84:N84 P84:Q91 C86 E86:F86 K86:N86 C88 E88:F88 K88:N88 C90 E90:F90 K90:N90">
    <cfRule type="cellIs" dxfId="4" priority="8" operator="greaterThan">
      <formula>0</formula>
    </cfRule>
  </conditionalFormatting>
  <conditionalFormatting sqref="P1:Q53 P55:Q73 P75:Q150">
    <cfRule type="cellIs" dxfId="5" priority="9" operator="lessThan">
      <formula>1</formula>
    </cfRule>
  </conditionalFormatting>
  <conditionalFormatting sqref="P1:Q53 P55:Q73 P75:Q150">
    <cfRule type="cellIs" dxfId="4" priority="10" operator="greaterThan">
      <formula>1</formula>
    </cfRule>
  </conditionalFormatting>
  <conditionalFormatting sqref="N25:N53 N55:N73 N75:N91">
    <cfRule type="cellIs" dxfId="6" priority="11" operator="greaterThan">
      <formula>0</formula>
    </cfRule>
  </conditionalFormatting>
  <conditionalFormatting sqref="N1:N15 N17:N53 N55:N73 N75:N150">
    <cfRule type="containsText" dxfId="6" priority="12" operator="containsText" text="/">
      <formula>NOT(ISERROR(SEARCH(("/"),(N1))))</formula>
    </cfRule>
  </conditionalFormatting>
  <drawing r:id="rId2"/>
  <legacyDrawing r:id="rId3"/>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496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398" t="s">
        <v>2133</v>
      </c>
      <c r="B1" s="1399"/>
      <c r="C1" s="1400" t="str">
        <f>IMAGE(VLOOKUP($A$1,Fighters!A2:AI114,12,FALSE),1)</f>
        <v>#REF!</v>
      </c>
      <c r="D1" s="1401"/>
      <c r="E1" s="1401"/>
      <c r="F1" s="1401"/>
      <c r="G1" s="1402"/>
      <c r="H1" s="1403"/>
      <c r="I1" s="1401"/>
      <c r="J1" s="1402"/>
      <c r="K1" s="1404"/>
      <c r="L1" s="1401"/>
      <c r="M1" s="1402"/>
      <c r="N1" s="1405"/>
      <c r="O1" s="1405"/>
      <c r="P1" s="1405"/>
      <c r="Q1" s="1405"/>
      <c r="R1" s="1406"/>
      <c r="S1" s="1406"/>
      <c r="T1" s="1406"/>
      <c r="U1" s="1406"/>
      <c r="V1" s="1406"/>
    </row>
    <row r="2">
      <c r="A2" s="1407" t="str">
        <f>VLOOKUP($A$1,Fighters!$A$2:$AI$81,6,FALSE)</f>
        <v>#3d4960</v>
      </c>
      <c r="B2" s="1399"/>
      <c r="C2" s="1408"/>
      <c r="G2" s="1409"/>
      <c r="H2" s="1410"/>
      <c r="I2" s="1411"/>
      <c r="J2" s="1412"/>
      <c r="K2" s="1410"/>
      <c r="L2" s="1411"/>
      <c r="M2" s="1412"/>
      <c r="N2" s="1405"/>
      <c r="O2" s="1405"/>
      <c r="P2" s="1405"/>
      <c r="Q2" s="1405"/>
      <c r="R2" s="1406"/>
      <c r="S2" s="1406"/>
      <c r="T2" s="1406"/>
      <c r="U2" s="1406"/>
      <c r="V2" s="1406"/>
    </row>
    <row r="3">
      <c r="A3" s="1407" t="str">
        <f>VLOOKUP($A$1,Fighters!$A$2:$AI$81,14,FALSE)</f>
        <v>25'. クロム</v>
      </c>
      <c r="B3" s="1399"/>
      <c r="C3" s="1408"/>
      <c r="G3" s="1409"/>
      <c r="H3" s="1413"/>
      <c r="I3" s="1413"/>
      <c r="J3" s="1413"/>
      <c r="K3" s="1414"/>
      <c r="L3" s="1414"/>
      <c r="M3" s="1414"/>
      <c r="N3" s="1405"/>
      <c r="O3" s="1405"/>
      <c r="P3" s="1405"/>
      <c r="Q3" s="1405"/>
      <c r="R3" s="1415"/>
      <c r="S3" s="1406"/>
      <c r="T3" s="1406"/>
      <c r="U3" s="1406"/>
      <c r="V3" s="1406"/>
    </row>
    <row r="4">
      <c r="A4" s="1407" t="str">
        <f>VLOOKUP($A$1,Fighters!$A$2:$AI$81,13,FALSE)</f>
        <v>1</v>
      </c>
      <c r="B4" s="1399"/>
      <c r="C4" s="1408"/>
      <c r="G4" s="1409"/>
      <c r="H4" s="1416"/>
      <c r="I4" s="1416"/>
      <c r="J4" s="1413"/>
      <c r="K4" s="1414"/>
      <c r="L4" s="1414"/>
      <c r="M4" s="1414"/>
      <c r="N4" s="1405"/>
      <c r="O4" s="1405"/>
      <c r="P4" s="1405"/>
      <c r="Q4" s="1405"/>
      <c r="R4" s="1415"/>
      <c r="S4" s="1406"/>
      <c r="T4" s="1406"/>
      <c r="U4" s="1406"/>
      <c r="V4" s="1406"/>
    </row>
    <row r="5" ht="16.5" customHeight="1">
      <c r="A5" s="1398"/>
      <c r="B5" s="1399"/>
      <c r="C5" s="1408"/>
      <c r="G5" s="1409"/>
      <c r="H5" s="1417"/>
      <c r="I5" s="1417"/>
      <c r="J5" s="1418"/>
      <c r="K5" s="1419"/>
      <c r="L5" s="1420"/>
      <c r="M5" s="1420"/>
      <c r="N5" s="1405"/>
      <c r="O5" s="1405"/>
      <c r="P5" s="1405"/>
      <c r="Q5" s="1405"/>
      <c r="R5" s="1415"/>
      <c r="S5" s="1406"/>
      <c r="T5" s="1406"/>
      <c r="U5" s="1406"/>
      <c r="V5" s="1406"/>
    </row>
    <row r="6">
      <c r="A6" s="1399"/>
      <c r="B6" s="1399"/>
      <c r="C6" s="1408"/>
      <c r="G6" s="1409"/>
      <c r="H6" s="1416"/>
      <c r="I6" s="1421" t="s">
        <v>39</v>
      </c>
      <c r="J6" s="1419"/>
      <c r="K6" s="1422"/>
      <c r="L6" s="1420"/>
      <c r="M6" s="1420"/>
      <c r="N6" s="1405"/>
      <c r="O6" s="1405"/>
      <c r="P6" s="1405"/>
      <c r="Q6" s="1405"/>
      <c r="R6" s="1415"/>
      <c r="S6" s="1406"/>
      <c r="T6" s="1406"/>
      <c r="U6" s="1406"/>
      <c r="V6" s="1406"/>
    </row>
    <row r="7">
      <c r="A7" s="1399"/>
      <c r="B7" s="1399"/>
      <c r="C7" s="1408"/>
      <c r="G7" s="1409"/>
      <c r="H7" s="1417"/>
      <c r="I7" s="1417"/>
      <c r="J7" s="1419"/>
      <c r="K7" s="1422"/>
      <c r="L7" s="1420"/>
      <c r="M7" s="1420"/>
      <c r="N7" s="1405"/>
      <c r="O7" s="1405"/>
      <c r="P7" s="1405"/>
      <c r="Q7" s="1405"/>
      <c r="R7" s="1415"/>
      <c r="S7" s="1406"/>
      <c r="T7" s="1406"/>
      <c r="U7" s="1406"/>
      <c r="V7" s="1406"/>
    </row>
    <row r="8">
      <c r="A8" s="1399"/>
      <c r="B8" s="1399"/>
      <c r="C8" s="1408"/>
      <c r="G8" s="1409"/>
      <c r="H8" s="1423">
        <v>44379.84406054398</v>
      </c>
      <c r="I8" s="1401"/>
      <c r="J8" s="1402"/>
      <c r="K8" s="1419"/>
      <c r="L8" s="1420"/>
      <c r="M8" s="1420"/>
      <c r="N8" s="1405"/>
      <c r="O8" s="1405"/>
      <c r="P8" s="1405"/>
      <c r="Q8" s="1405"/>
      <c r="R8" s="1415"/>
      <c r="S8" s="1406"/>
      <c r="T8" s="1406"/>
      <c r="U8" s="1406"/>
      <c r="V8" s="1406"/>
    </row>
    <row r="9">
      <c r="A9" s="1399"/>
      <c r="B9" s="1399"/>
      <c r="C9" s="1408"/>
      <c r="G9" s="1409"/>
      <c r="H9" s="1410"/>
      <c r="I9" s="1411"/>
      <c r="J9" s="1412"/>
      <c r="K9" s="1406"/>
      <c r="L9" s="1405"/>
      <c r="M9" s="1405"/>
      <c r="N9" s="1405"/>
      <c r="O9" s="1405"/>
      <c r="P9" s="1405"/>
      <c r="Q9" s="1405"/>
      <c r="R9" s="1415"/>
      <c r="S9" s="1406"/>
      <c r="T9" s="1406"/>
      <c r="U9" s="1406"/>
      <c r="V9" s="1406"/>
    </row>
    <row r="10">
      <c r="A10" s="1399"/>
      <c r="B10" s="1399"/>
      <c r="C10" s="1408"/>
      <c r="G10" s="1409"/>
      <c r="H10" s="1424"/>
      <c r="I10" s="1424"/>
      <c r="J10" s="1406"/>
      <c r="K10" s="1406"/>
      <c r="L10" s="1405"/>
      <c r="M10" s="1405"/>
      <c r="N10" s="1405"/>
      <c r="O10" s="1405"/>
      <c r="P10" s="1405"/>
      <c r="Q10" s="1405"/>
      <c r="R10" s="1415"/>
      <c r="S10" s="1406"/>
      <c r="T10" s="1406"/>
      <c r="U10" s="1406"/>
      <c r="V10" s="1406"/>
    </row>
    <row r="11">
      <c r="A11" s="1425" t="s">
        <v>40</v>
      </c>
      <c r="B11" s="1402"/>
      <c r="C11" s="1408"/>
      <c r="G11" s="1409"/>
      <c r="H11" s="1417"/>
      <c r="I11" s="1417"/>
      <c r="J11" s="1406"/>
      <c r="K11" s="1406"/>
      <c r="L11" s="1405"/>
      <c r="M11" s="1405"/>
      <c r="N11" s="1405"/>
      <c r="O11" s="1405"/>
      <c r="P11" s="1405"/>
      <c r="Q11" s="1405"/>
      <c r="R11" s="1415"/>
      <c r="S11" s="1406"/>
      <c r="T11" s="1406"/>
      <c r="U11" s="1406"/>
      <c r="V11" s="1406"/>
    </row>
    <row r="12">
      <c r="A12" s="1410"/>
      <c r="B12" s="1412"/>
      <c r="C12" s="1410"/>
      <c r="D12" s="1411"/>
      <c r="E12" s="1411"/>
      <c r="F12" s="1411"/>
      <c r="G12" s="1412"/>
      <c r="H12" s="1426"/>
      <c r="I12" s="1426"/>
      <c r="J12" s="1399"/>
      <c r="K12" s="1399"/>
      <c r="L12" s="1405"/>
      <c r="M12" s="1405"/>
      <c r="N12" s="1405"/>
      <c r="O12" s="1405"/>
      <c r="P12" s="1405"/>
      <c r="Q12" s="1405"/>
      <c r="R12" s="1415"/>
      <c r="S12" s="1406"/>
      <c r="T12" s="1406"/>
      <c r="U12" s="1406"/>
      <c r="V12" s="140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95 [44th]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 [12th]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1.208 [27th]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44F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[77th]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30.97 [58th]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2.145 [14th]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20F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0.107 [48th]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 [78th]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1.302 [4th]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28 [76th]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 [13th]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0.005 [79th]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2.88 [13th]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0.114 [21st]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70" t="s">
        <v>266</v>
      </c>
      <c r="B26" s="134" t="s">
        <v>55</v>
      </c>
      <c r="C26" s="701" t="s">
        <v>91</v>
      </c>
      <c r="D26" s="1392" t="s">
        <v>1114</v>
      </c>
      <c r="E26" s="616" t="s">
        <v>2134</v>
      </c>
      <c r="F26" s="138">
        <v>7.8</v>
      </c>
      <c r="G26" s="139" t="s">
        <v>95</v>
      </c>
      <c r="H26" s="1232"/>
      <c r="I26" s="110"/>
      <c r="J26" s="109"/>
      <c r="K26" s="138"/>
      <c r="L26" s="282"/>
      <c r="M26" s="363"/>
      <c r="N26" s="363"/>
      <c r="O26" s="145">
        <v>0.0</v>
      </c>
      <c r="P26" s="145">
        <v>1.0</v>
      </c>
      <c r="Q26" s="145">
        <v>1.0</v>
      </c>
      <c r="R26" s="100"/>
      <c r="S26" s="100"/>
      <c r="T26" s="100"/>
      <c r="U26" s="145" t="s">
        <v>69</v>
      </c>
      <c r="V26" s="100"/>
    </row>
    <row r="27" outlineLevel="1">
      <c r="A27" s="170" t="s">
        <v>77</v>
      </c>
      <c r="B27" s="160"/>
      <c r="C27" s="467" t="s">
        <v>1159</v>
      </c>
      <c r="D27" s="245" t="s">
        <v>146</v>
      </c>
      <c r="E27" s="245" t="s">
        <v>129</v>
      </c>
      <c r="F27" s="138">
        <v>14.399999999999999</v>
      </c>
      <c r="G27" s="139" t="s">
        <v>88</v>
      </c>
      <c r="H27" s="1233"/>
      <c r="I27" s="110"/>
      <c r="J27" s="109"/>
      <c r="K27" s="138"/>
      <c r="L27" s="282"/>
      <c r="M27" s="363"/>
      <c r="N27" s="363"/>
      <c r="O27" s="145">
        <v>0.0</v>
      </c>
      <c r="P27" s="145">
        <v>1.0</v>
      </c>
      <c r="Q27" s="145">
        <v>1.0</v>
      </c>
      <c r="R27" s="100"/>
      <c r="S27" s="100"/>
      <c r="T27" s="100"/>
      <c r="U27" s="145" t="s">
        <v>69</v>
      </c>
      <c r="V27" s="100"/>
    </row>
    <row r="28" outlineLevel="1">
      <c r="A28" s="170" t="s">
        <v>89</v>
      </c>
      <c r="B28" s="147"/>
      <c r="C28" s="467" t="s">
        <v>161</v>
      </c>
      <c r="D28" s="245" t="s">
        <v>72</v>
      </c>
      <c r="E28" s="245" t="s">
        <v>1851</v>
      </c>
      <c r="F28" s="138">
        <v>13.110000000000001</v>
      </c>
      <c r="G28" s="139" t="s">
        <v>121</v>
      </c>
      <c r="H28" s="1232"/>
      <c r="I28" s="110"/>
      <c r="J28" s="109"/>
      <c r="K28" s="138"/>
      <c r="L28" s="282"/>
      <c r="M28" s="363"/>
      <c r="N28" s="363"/>
      <c r="O28" s="145">
        <v>0.0</v>
      </c>
      <c r="P28" s="145">
        <v>1.0</v>
      </c>
      <c r="Q28" s="145">
        <v>1.0</v>
      </c>
      <c r="R28" s="100"/>
      <c r="S28" s="100"/>
      <c r="T28" s="100"/>
      <c r="U28" s="145" t="s">
        <v>96</v>
      </c>
      <c r="V28" s="100"/>
    </row>
    <row r="29" outlineLevel="1">
      <c r="A29" s="133" t="s">
        <v>97</v>
      </c>
      <c r="B29" s="160"/>
      <c r="C29" s="467" t="s">
        <v>86</v>
      </c>
      <c r="D29" s="823" t="s">
        <v>282</v>
      </c>
      <c r="E29" s="245" t="s">
        <v>2135</v>
      </c>
      <c r="F29" s="138">
        <v>12.54</v>
      </c>
      <c r="G29" s="139" t="s">
        <v>121</v>
      </c>
      <c r="H29" s="220"/>
      <c r="I29" s="164"/>
      <c r="J29" s="104"/>
      <c r="K29" s="282"/>
      <c r="L29" s="282"/>
      <c r="M29" s="363"/>
      <c r="N29" s="363"/>
      <c r="O29" s="145">
        <v>0.0</v>
      </c>
      <c r="P29" s="145">
        <v>1.0</v>
      </c>
      <c r="Q29" s="145">
        <v>1.0</v>
      </c>
      <c r="R29" s="100"/>
      <c r="S29" s="100"/>
      <c r="T29" s="100"/>
      <c r="U29" s="166" t="s">
        <v>69</v>
      </c>
      <c r="V29" s="100"/>
    </row>
    <row r="30" outlineLevel="1">
      <c r="A30" s="146"/>
      <c r="B30" s="147" t="s">
        <v>187</v>
      </c>
      <c r="C30" s="467" t="s">
        <v>319</v>
      </c>
      <c r="D30" s="210"/>
      <c r="E30" s="245" t="s">
        <v>2135</v>
      </c>
      <c r="F30" s="138">
        <v>12.54</v>
      </c>
      <c r="G30" s="139" t="s">
        <v>121</v>
      </c>
      <c r="H30" s="212"/>
      <c r="J30" s="210"/>
      <c r="K30" s="145"/>
      <c r="L30" s="363"/>
      <c r="M30" s="363"/>
      <c r="N30" s="363"/>
      <c r="O30" s="145">
        <v>0.0</v>
      </c>
      <c r="P30" s="145">
        <v>1.0</v>
      </c>
      <c r="Q30" s="145">
        <v>1.0</v>
      </c>
      <c r="R30" s="100"/>
      <c r="S30" s="100"/>
      <c r="T30" s="100"/>
      <c r="U30" s="146"/>
      <c r="V30" s="100"/>
    </row>
    <row r="31" outlineLevel="1">
      <c r="A31" s="156"/>
      <c r="B31" s="147" t="s">
        <v>189</v>
      </c>
      <c r="C31" s="467" t="s">
        <v>835</v>
      </c>
      <c r="D31" s="107"/>
      <c r="E31" s="245" t="s">
        <v>2135</v>
      </c>
      <c r="F31" s="138">
        <v>12.54</v>
      </c>
      <c r="G31" s="139" t="s">
        <v>121</v>
      </c>
      <c r="H31" s="106"/>
      <c r="I31" s="168"/>
      <c r="J31" s="107"/>
      <c r="K31" s="145"/>
      <c r="L31" s="363"/>
      <c r="M31" s="363"/>
      <c r="N31" s="363"/>
      <c r="O31" s="145">
        <v>0.0</v>
      </c>
      <c r="P31" s="145">
        <v>1.0</v>
      </c>
      <c r="Q31" s="145">
        <v>1.0</v>
      </c>
      <c r="R31" s="100"/>
      <c r="S31" s="100"/>
      <c r="T31" s="100"/>
      <c r="U31" s="156"/>
      <c r="V31" s="100"/>
    </row>
    <row r="32" outlineLevel="1">
      <c r="A32" s="170" t="s">
        <v>103</v>
      </c>
      <c r="B32" s="160"/>
      <c r="C32" s="467" t="s">
        <v>319</v>
      </c>
      <c r="D32" s="245" t="s">
        <v>65</v>
      </c>
      <c r="E32" s="245" t="s">
        <v>274</v>
      </c>
      <c r="F32" s="138">
        <v>10.799999999999999</v>
      </c>
      <c r="G32" s="139" t="s">
        <v>275</v>
      </c>
      <c r="H32" s="1232"/>
      <c r="I32" s="110"/>
      <c r="J32" s="109"/>
      <c r="K32" s="145"/>
      <c r="L32" s="363"/>
      <c r="M32" s="363"/>
      <c r="N32" s="363"/>
      <c r="O32" s="145">
        <v>0.0</v>
      </c>
      <c r="P32" s="145">
        <v>1.0</v>
      </c>
      <c r="Q32" s="145">
        <v>1.0</v>
      </c>
      <c r="R32" s="100"/>
      <c r="S32" s="100"/>
      <c r="T32" s="100"/>
      <c r="U32" s="145" t="s">
        <v>69</v>
      </c>
      <c r="V32" s="100"/>
    </row>
    <row r="33" outlineLevel="1">
      <c r="A33" s="170" t="s">
        <v>109</v>
      </c>
      <c r="B33" s="147"/>
      <c r="C33" s="467" t="s">
        <v>305</v>
      </c>
      <c r="D33" s="245" t="s">
        <v>892</v>
      </c>
      <c r="E33" s="245" t="s">
        <v>466</v>
      </c>
      <c r="F33" s="138">
        <v>21.599999999999998</v>
      </c>
      <c r="G33" s="139" t="s">
        <v>407</v>
      </c>
      <c r="H33" s="247" t="s">
        <v>560</v>
      </c>
      <c r="I33" s="110"/>
      <c r="J33" s="109"/>
      <c r="K33" s="282"/>
      <c r="L33" s="282"/>
      <c r="M33" s="363"/>
      <c r="N33" s="363"/>
      <c r="O33" s="145">
        <v>0.0</v>
      </c>
      <c r="P33" s="145">
        <v>1.0</v>
      </c>
      <c r="Q33" s="145">
        <v>1.0</v>
      </c>
      <c r="R33" s="100"/>
      <c r="S33" s="100"/>
      <c r="T33" s="100"/>
      <c r="U33" s="145" t="s">
        <v>123</v>
      </c>
      <c r="V33" s="100"/>
    </row>
    <row r="34" outlineLevel="1">
      <c r="A34" s="133" t="s">
        <v>116</v>
      </c>
      <c r="B34" s="147" t="s">
        <v>125</v>
      </c>
      <c r="C34" s="467" t="s">
        <v>129</v>
      </c>
      <c r="D34" s="823" t="s">
        <v>810</v>
      </c>
      <c r="E34" s="245" t="s">
        <v>213</v>
      </c>
      <c r="F34" s="138">
        <v>1.2</v>
      </c>
      <c r="G34" s="139" t="s">
        <v>170</v>
      </c>
      <c r="H34" s="666" t="s">
        <v>2069</v>
      </c>
      <c r="I34" s="164"/>
      <c r="J34" s="104"/>
      <c r="K34" s="363"/>
      <c r="L34" s="363"/>
      <c r="M34" s="363"/>
      <c r="N34" s="363"/>
      <c r="O34" s="145">
        <v>0.0</v>
      </c>
      <c r="P34" s="145">
        <v>1.0</v>
      </c>
      <c r="Q34" s="145">
        <v>1.0</v>
      </c>
      <c r="R34" s="100"/>
      <c r="S34" s="100"/>
      <c r="T34" s="100"/>
      <c r="U34" s="166" t="s">
        <v>62</v>
      </c>
      <c r="V34" s="100"/>
    </row>
    <row r="35" outlineLevel="1">
      <c r="A35" s="146"/>
      <c r="B35" s="147" t="s">
        <v>430</v>
      </c>
      <c r="C35" s="216" t="s">
        <v>228</v>
      </c>
      <c r="D35" s="210"/>
      <c r="E35" s="245" t="s">
        <v>176</v>
      </c>
      <c r="F35" s="138">
        <v>2.4</v>
      </c>
      <c r="G35" s="139" t="s">
        <v>60</v>
      </c>
      <c r="H35" s="212"/>
      <c r="J35" s="210"/>
      <c r="K35" s="363"/>
      <c r="L35" s="363"/>
      <c r="M35" s="363"/>
      <c r="N35" s="363"/>
      <c r="O35" s="145">
        <v>0.0</v>
      </c>
      <c r="P35" s="145">
        <v>1.0</v>
      </c>
      <c r="Q35" s="145">
        <v>1.0</v>
      </c>
      <c r="R35" s="100"/>
      <c r="S35" s="100"/>
      <c r="T35" s="100"/>
      <c r="U35" s="146"/>
      <c r="V35" s="100"/>
    </row>
    <row r="36" outlineLevel="1">
      <c r="A36" s="146"/>
      <c r="B36" s="147" t="s">
        <v>571</v>
      </c>
      <c r="C36" s="216" t="s">
        <v>2070</v>
      </c>
      <c r="D36" s="210"/>
      <c r="E36" s="245" t="s">
        <v>176</v>
      </c>
      <c r="F36" s="138">
        <v>2.4</v>
      </c>
      <c r="G36" s="139" t="s">
        <v>60</v>
      </c>
      <c r="H36" s="212"/>
      <c r="J36" s="210"/>
      <c r="K36" s="363"/>
      <c r="L36" s="363"/>
      <c r="M36" s="363"/>
      <c r="N36" s="363"/>
      <c r="O36" s="145">
        <v>0.0</v>
      </c>
      <c r="P36" s="145">
        <v>1.0</v>
      </c>
      <c r="Q36" s="145">
        <v>1.0</v>
      </c>
      <c r="R36" s="100"/>
      <c r="S36" s="100"/>
      <c r="T36" s="100"/>
      <c r="U36" s="146"/>
      <c r="V36" s="100"/>
    </row>
    <row r="37" outlineLevel="1">
      <c r="A37" s="156"/>
      <c r="B37" s="147" t="s">
        <v>521</v>
      </c>
      <c r="C37" s="216" t="s">
        <v>288</v>
      </c>
      <c r="D37" s="107"/>
      <c r="E37" s="245" t="s">
        <v>128</v>
      </c>
      <c r="F37" s="138">
        <v>12.0</v>
      </c>
      <c r="G37" s="139" t="s">
        <v>95</v>
      </c>
      <c r="H37" s="106"/>
      <c r="I37" s="168"/>
      <c r="J37" s="107"/>
      <c r="K37" s="363"/>
      <c r="L37" s="363"/>
      <c r="M37" s="363"/>
      <c r="N37" s="363"/>
      <c r="O37" s="145">
        <v>0.0</v>
      </c>
      <c r="P37" s="145">
        <v>1.0</v>
      </c>
      <c r="Q37" s="145">
        <v>1.0</v>
      </c>
      <c r="R37" s="100"/>
      <c r="S37" s="100"/>
      <c r="T37" s="100"/>
      <c r="U37" s="156"/>
      <c r="V37" s="100"/>
    </row>
    <row r="38" outlineLevel="1">
      <c r="A38" s="133" t="s">
        <v>124</v>
      </c>
      <c r="B38" s="147" t="s">
        <v>125</v>
      </c>
      <c r="C38" s="216" t="s">
        <v>217</v>
      </c>
      <c r="D38" s="823" t="s">
        <v>335</v>
      </c>
      <c r="E38" s="245" t="s">
        <v>1863</v>
      </c>
      <c r="F38" s="138">
        <v>14.819999999999999</v>
      </c>
      <c r="G38" s="139" t="s">
        <v>275</v>
      </c>
      <c r="H38" s="666" t="s">
        <v>553</v>
      </c>
      <c r="I38" s="164"/>
      <c r="J38" s="104"/>
      <c r="K38" s="282"/>
      <c r="L38" s="282"/>
      <c r="M38" s="363"/>
      <c r="N38" s="363"/>
      <c r="O38" s="145">
        <v>0.0</v>
      </c>
      <c r="P38" s="145">
        <v>1.0</v>
      </c>
      <c r="Q38" s="145">
        <v>1.0</v>
      </c>
      <c r="R38" s="100"/>
      <c r="S38" s="100"/>
      <c r="T38" s="100"/>
      <c r="U38" s="166" t="s">
        <v>62</v>
      </c>
      <c r="V38" s="100"/>
    </row>
    <row r="39" outlineLevel="1">
      <c r="A39" s="156"/>
      <c r="B39" s="147" t="s">
        <v>131</v>
      </c>
      <c r="C39" s="216" t="s">
        <v>834</v>
      </c>
      <c r="D39" s="107"/>
      <c r="E39" s="245" t="s">
        <v>1857</v>
      </c>
      <c r="F39" s="138">
        <v>17.099999999999998</v>
      </c>
      <c r="G39" s="139" t="s">
        <v>121</v>
      </c>
      <c r="H39" s="106"/>
      <c r="I39" s="168"/>
      <c r="J39" s="107"/>
      <c r="K39" s="282"/>
      <c r="L39" s="282"/>
      <c r="M39" s="363"/>
      <c r="N39" s="363"/>
      <c r="O39" s="145">
        <v>0.0</v>
      </c>
      <c r="P39" s="145">
        <v>1.0</v>
      </c>
      <c r="Q39" s="145">
        <v>1.0</v>
      </c>
      <c r="R39" s="100"/>
      <c r="S39" s="100"/>
      <c r="T39" s="100"/>
      <c r="U39" s="156"/>
      <c r="V39" s="100"/>
    </row>
    <row r="40">
      <c r="A40" s="118"/>
      <c r="B40" s="176"/>
      <c r="C40" s="118"/>
      <c r="D40" s="118"/>
      <c r="E40" s="118"/>
      <c r="F40" s="177"/>
      <c r="G40" s="177"/>
      <c r="H40" s="118"/>
      <c r="I40" s="118"/>
      <c r="J40" s="118"/>
      <c r="K40" s="118"/>
      <c r="L40" s="118"/>
      <c r="M40" s="118"/>
      <c r="N40" s="118"/>
      <c r="O40" s="118"/>
      <c r="P40" s="118"/>
      <c r="Q40" s="118"/>
      <c r="R40" s="118"/>
      <c r="S40" s="118"/>
      <c r="T40" s="118"/>
      <c r="U40" s="118"/>
      <c r="V40" s="118"/>
    </row>
    <row r="41">
      <c r="A41" s="178" t="s">
        <v>133</v>
      </c>
      <c r="B41" s="104"/>
      <c r="C41" s="179"/>
      <c r="D41" s="179"/>
      <c r="E41" s="179"/>
      <c r="F41" s="180"/>
      <c r="G41" s="179"/>
      <c r="H41" s="180"/>
      <c r="I41" s="180"/>
      <c r="J41" s="181"/>
      <c r="K41" s="180"/>
      <c r="L41" s="180"/>
      <c r="M41" s="180"/>
      <c r="N41" s="180"/>
      <c r="O41" s="180"/>
      <c r="P41" s="180"/>
      <c r="Q41" s="180"/>
      <c r="R41" s="180"/>
      <c r="S41" s="180"/>
      <c r="T41" s="180"/>
      <c r="U41" s="180"/>
      <c r="V41" s="180"/>
    </row>
    <row r="42" outlineLevel="1">
      <c r="A42" s="106"/>
      <c r="B42" s="107"/>
      <c r="C42" s="182" t="s">
        <v>48</v>
      </c>
      <c r="D42" s="183" t="s">
        <v>49</v>
      </c>
      <c r="E42" s="182" t="s">
        <v>50</v>
      </c>
      <c r="F42" s="184" t="s">
        <v>51</v>
      </c>
      <c r="G42" s="184" t="s">
        <v>134</v>
      </c>
      <c r="H42" s="185" t="str">
        <f>'テンプレート'!H56</f>
        <v>ガード硬直</v>
      </c>
      <c r="I42" s="184" t="str">
        <f>'テンプレート'!I56</f>
        <v>着地隙</v>
      </c>
      <c r="J42" s="184" t="s">
        <v>136</v>
      </c>
      <c r="K42" s="184" t="str">
        <f>'テンプレート'!K56</f>
        <v>ベクトル</v>
      </c>
      <c r="L42" s="184" t="str">
        <f>'テンプレート'!L56</f>
        <v>KBG (R.E.)</v>
      </c>
      <c r="M42" s="184" t="str">
        <f>'テンプレート'!M56</f>
        <v>BKB (R.A.)</v>
      </c>
      <c r="N42" s="184" t="str">
        <f>'テンプレート'!N56</f>
        <v>FKB (R.F.)</v>
      </c>
      <c r="O42" s="186" t="str">
        <f>'テンプレート'!O56</f>
        <v>盾削り値</v>
      </c>
      <c r="P42" s="184" t="str">
        <f>'テンプレート'!P56</f>
        <v>ﾋｯﾄｽﾄｯﾌﾟ</v>
      </c>
      <c r="Q42" s="186" t="str">
        <f>'テンプレート'!Q56</f>
        <v>ずらし</v>
      </c>
      <c r="R42" s="187" t="str">
        <f>'テンプレート'!R56</f>
        <v>備考</v>
      </c>
      <c r="S42" s="110"/>
      <c r="T42" s="110"/>
      <c r="U42" s="110"/>
      <c r="V42" s="110"/>
    </row>
    <row r="43" outlineLevel="1">
      <c r="A43" s="188" t="s">
        <v>144</v>
      </c>
      <c r="B43" s="373" t="s">
        <v>125</v>
      </c>
      <c r="C43" s="239" t="s">
        <v>217</v>
      </c>
      <c r="D43" s="824" t="s">
        <v>146</v>
      </c>
      <c r="E43" s="617" t="s">
        <v>1850</v>
      </c>
      <c r="F43" s="193">
        <v>5.7</v>
      </c>
      <c r="G43" s="193">
        <v>4.845</v>
      </c>
      <c r="H43" s="246" t="s">
        <v>60</v>
      </c>
      <c r="I43" s="454" t="str">
        <f t="array" ref="I43">INDEX('空中攻撃'!$O$3:$AA$109, MATCH($A$1,'空中攻撃'!$A$3:$A$109,0), MATCH(A43,'空中攻撃'!$O$2:$S$2,0))</f>
        <v>9</v>
      </c>
      <c r="J43" s="455" t="s">
        <v>1748</v>
      </c>
      <c r="K43" s="376"/>
      <c r="L43" s="377"/>
      <c r="M43" s="825"/>
      <c r="N43" s="825"/>
      <c r="O43" s="199">
        <v>0.0</v>
      </c>
      <c r="P43" s="199">
        <v>1.0</v>
      </c>
      <c r="Q43" s="199">
        <v>1.0</v>
      </c>
      <c r="R43" s="200"/>
      <c r="S43" s="164"/>
      <c r="T43" s="164"/>
      <c r="U43" s="164"/>
      <c r="V43" s="104"/>
    </row>
    <row r="44" outlineLevel="1">
      <c r="A44" s="156"/>
      <c r="B44" s="373" t="s">
        <v>131</v>
      </c>
      <c r="C44" s="239" t="s">
        <v>1749</v>
      </c>
      <c r="D44" s="107"/>
      <c r="E44" s="244" t="s">
        <v>2136</v>
      </c>
      <c r="F44" s="138">
        <v>7.98</v>
      </c>
      <c r="G44" s="138">
        <v>6.783</v>
      </c>
      <c r="H44" s="246" t="s">
        <v>60</v>
      </c>
      <c r="I44" s="156"/>
      <c r="J44" s="107"/>
      <c r="K44" s="376"/>
      <c r="L44" s="377"/>
      <c r="M44" s="825"/>
      <c r="N44" s="825"/>
      <c r="O44" s="199">
        <v>0.0</v>
      </c>
      <c r="P44" s="199">
        <v>1.0</v>
      </c>
      <c r="Q44" s="199">
        <v>1.0</v>
      </c>
      <c r="R44" s="106"/>
      <c r="S44" s="168"/>
      <c r="T44" s="168"/>
      <c r="U44" s="168"/>
      <c r="V44" s="107"/>
    </row>
    <row r="45" outlineLevel="1">
      <c r="A45" s="213" t="s">
        <v>151</v>
      </c>
      <c r="B45" s="373"/>
      <c r="C45" s="239" t="s">
        <v>627</v>
      </c>
      <c r="D45" s="1394">
        <v>29.0</v>
      </c>
      <c r="E45" s="244" t="s">
        <v>2137</v>
      </c>
      <c r="F45" s="138">
        <v>10.83</v>
      </c>
      <c r="G45" s="138">
        <v>9.2055</v>
      </c>
      <c r="H45" s="246" t="s">
        <v>147</v>
      </c>
      <c r="I45" s="621" t="str">
        <f t="array" ref="I45">INDEX('空中攻撃'!$O$3:$AA$109, MATCH($A$1,'空中攻撃'!$A$3:$A$109,0), MATCH(A45,'空中攻撃'!$O$2:$S$2,0))</f>
        <v>8</v>
      </c>
      <c r="J45" s="467" t="s">
        <v>2087</v>
      </c>
      <c r="K45" s="376"/>
      <c r="L45" s="377"/>
      <c r="M45" s="825"/>
      <c r="N45" s="825"/>
      <c r="O45" s="199">
        <v>0.0</v>
      </c>
      <c r="P45" s="199">
        <v>1.0</v>
      </c>
      <c r="Q45" s="199">
        <v>1.0</v>
      </c>
      <c r="R45" s="218"/>
      <c r="S45" s="110"/>
      <c r="T45" s="110"/>
      <c r="U45" s="110"/>
      <c r="V45" s="109"/>
    </row>
    <row r="46" outlineLevel="1">
      <c r="A46" s="213" t="s">
        <v>157</v>
      </c>
      <c r="B46" s="373"/>
      <c r="C46" s="239" t="s">
        <v>161</v>
      </c>
      <c r="D46" s="1394">
        <v>35.0</v>
      </c>
      <c r="E46" s="244" t="s">
        <v>1851</v>
      </c>
      <c r="F46" s="138">
        <v>13.110000000000001</v>
      </c>
      <c r="G46" s="138">
        <v>11.143500000000001</v>
      </c>
      <c r="H46" s="246" t="s">
        <v>147</v>
      </c>
      <c r="I46" s="621">
        <f t="array" ref="I46">INDEX('空中攻撃'!$O$3:$AA$109, MATCH($A$1,'空中攻撃'!$A$3:$A$109,0), MATCH(A46,'空中攻撃'!$O$2:$S$2,0))</f>
        <v>10</v>
      </c>
      <c r="J46" s="467" t="s">
        <v>740</v>
      </c>
      <c r="K46" s="376"/>
      <c r="L46" s="377"/>
      <c r="M46" s="825"/>
      <c r="N46" s="825"/>
      <c r="O46" s="199">
        <v>0.0</v>
      </c>
      <c r="P46" s="199">
        <v>1.0</v>
      </c>
      <c r="Q46" s="199">
        <v>1.0</v>
      </c>
      <c r="R46" s="218"/>
      <c r="S46" s="110"/>
      <c r="T46" s="110"/>
      <c r="U46" s="110"/>
      <c r="V46" s="109"/>
    </row>
    <row r="47" outlineLevel="1">
      <c r="A47" s="213" t="s">
        <v>162</v>
      </c>
      <c r="B47" s="373"/>
      <c r="C47" s="239" t="s">
        <v>1055</v>
      </c>
      <c r="D47" s="1394" t="s">
        <v>384</v>
      </c>
      <c r="E47" s="244" t="s">
        <v>1853</v>
      </c>
      <c r="F47" s="138">
        <v>9.12</v>
      </c>
      <c r="G47" s="138">
        <v>7.752</v>
      </c>
      <c r="H47" s="246" t="s">
        <v>147</v>
      </c>
      <c r="I47" s="621" t="str">
        <f t="array" ref="I47">INDEX('空中攻撃'!$O$3:$AA$109, MATCH($A$1,'空中攻撃'!$A$3:$A$109,0), MATCH(A47,'空中攻撃'!$O$2:$S$2,0))</f>
        <v>8</v>
      </c>
      <c r="J47" s="467" t="s">
        <v>643</v>
      </c>
      <c r="K47" s="377"/>
      <c r="L47" s="377"/>
      <c r="M47" s="825"/>
      <c r="N47" s="825"/>
      <c r="O47" s="199">
        <v>0.0</v>
      </c>
      <c r="P47" s="199">
        <v>1.0</v>
      </c>
      <c r="Q47" s="199">
        <v>1.0</v>
      </c>
      <c r="R47" s="218"/>
      <c r="S47" s="110"/>
      <c r="T47" s="110"/>
      <c r="U47" s="110"/>
      <c r="V47" s="109"/>
    </row>
    <row r="48" outlineLevel="1">
      <c r="A48" s="213" t="s">
        <v>166</v>
      </c>
      <c r="B48" s="373"/>
      <c r="C48" s="239" t="s">
        <v>454</v>
      </c>
      <c r="D48" s="1394">
        <v>51.0</v>
      </c>
      <c r="E48" s="244" t="s">
        <v>2138</v>
      </c>
      <c r="F48" s="138" t="s">
        <v>2139</v>
      </c>
      <c r="G48" s="138" t="s">
        <v>2140</v>
      </c>
      <c r="H48" s="246" t="s">
        <v>318</v>
      </c>
      <c r="I48" s="621">
        <f t="array" ref="I48">INDEX('空中攻撃'!$O$3:$AA$109, MATCH($A$1,'空中攻撃'!$A$3:$A$109,0), MATCH(A48,'空中攻撃'!$O$2:$S$2,0))</f>
        <v>14</v>
      </c>
      <c r="J48" s="245" t="s">
        <v>2097</v>
      </c>
      <c r="K48" s="377"/>
      <c r="L48" s="377"/>
      <c r="M48" s="825"/>
      <c r="N48" s="825"/>
      <c r="O48" s="199">
        <v>0.0</v>
      </c>
      <c r="P48" s="199">
        <v>1.0</v>
      </c>
      <c r="Q48" s="199">
        <v>1.0</v>
      </c>
      <c r="R48" s="1232"/>
      <c r="S48" s="110"/>
      <c r="T48" s="110"/>
      <c r="U48" s="110"/>
      <c r="V48" s="109"/>
    </row>
    <row r="49">
      <c r="A49" s="223"/>
      <c r="B49" s="224"/>
      <c r="C49" s="225"/>
      <c r="D49" s="225"/>
      <c r="E49" s="226"/>
      <c r="F49" s="226"/>
      <c r="G49" s="226"/>
      <c r="H49" s="227"/>
      <c r="I49" s="227"/>
      <c r="J49" s="228"/>
      <c r="K49" s="228"/>
      <c r="L49" s="228"/>
      <c r="M49" s="228"/>
      <c r="N49" s="228"/>
      <c r="O49" s="228"/>
      <c r="P49" s="228"/>
      <c r="Q49" s="118"/>
      <c r="R49" s="118"/>
      <c r="S49" s="118"/>
      <c r="T49" s="118"/>
      <c r="U49" s="118"/>
      <c r="V49" s="118"/>
    </row>
    <row r="50">
      <c r="A50" s="229" t="s">
        <v>177</v>
      </c>
      <c r="B50" s="109"/>
      <c r="C50" s="225"/>
      <c r="D50" s="225"/>
      <c r="E50" s="226"/>
      <c r="F50" s="226"/>
      <c r="G50" s="226"/>
      <c r="H50" s="227"/>
      <c r="I50" s="227"/>
      <c r="J50" s="228"/>
      <c r="K50" s="228"/>
      <c r="L50" s="228"/>
      <c r="M50" s="228"/>
      <c r="N50" s="228"/>
      <c r="O50" s="228"/>
      <c r="P50" s="228"/>
      <c r="Q50" s="118"/>
      <c r="R50" s="118"/>
      <c r="S50" s="118"/>
      <c r="T50" s="118"/>
      <c r="U50" s="118"/>
      <c r="V50" s="118"/>
    </row>
    <row r="51" outlineLevel="1">
      <c r="A51" s="230" t="s">
        <v>2098</v>
      </c>
      <c r="B51" s="109"/>
      <c r="C51" s="231" t="s">
        <v>48</v>
      </c>
      <c r="D51" s="231" t="s">
        <v>49</v>
      </c>
      <c r="E51" s="232" t="s">
        <v>50</v>
      </c>
      <c r="F51" s="233" t="s">
        <v>51</v>
      </c>
      <c r="G51" s="232" t="s">
        <v>52</v>
      </c>
      <c r="H51" s="234" t="str">
        <f>'テンプレート'!H72</f>
        <v>備考</v>
      </c>
      <c r="I51" s="110"/>
      <c r="J51" s="109"/>
      <c r="K51" s="235" t="str">
        <f>'テンプレート'!K72</f>
        <v>ベクトル</v>
      </c>
      <c r="L51" s="235" t="str">
        <f>'テンプレート'!L72</f>
        <v>KBG (R.E.)</v>
      </c>
      <c r="M51" s="235" t="str">
        <f>'テンプレート'!M72</f>
        <v>BKB (R.A.)</v>
      </c>
      <c r="N51" s="235" t="str">
        <f>'テンプレート'!N72</f>
        <v>FKB (R.F.)</v>
      </c>
      <c r="O51" s="236" t="str">
        <f>'テンプレート'!O72</f>
        <v>盾削り値</v>
      </c>
      <c r="P51" s="235" t="str">
        <f>'テンプレート'!P72</f>
        <v>ﾋｯﾄｽﾄｯﾌﾟ</v>
      </c>
      <c r="Q51" s="236" t="str">
        <f>'テンプレート'!Q72</f>
        <v>ずらし</v>
      </c>
      <c r="R51" s="235" t="str">
        <f>'テンプレート'!R72</f>
        <v>相殺</v>
      </c>
      <c r="S51" s="236" t="str">
        <f>'テンプレート'!S72</f>
        <v>相殺ﾓｰｼｮﾝ</v>
      </c>
      <c r="T51" s="236" t="str">
        <f>'テンプレート'!T72</f>
        <v>飛び道具</v>
      </c>
      <c r="U51" s="236" t="str">
        <f>'テンプレート'!U72</f>
        <v>慣性反転</v>
      </c>
      <c r="V51" s="236" t="str">
        <f>'テンプレート'!V72</f>
        <v>向き反転</v>
      </c>
    </row>
    <row r="52" ht="26.25" customHeight="1" outlineLevel="1">
      <c r="A52" s="237" t="s">
        <v>184</v>
      </c>
      <c r="B52" s="243" t="s">
        <v>473</v>
      </c>
      <c r="C52" s="244" t="s">
        <v>1065</v>
      </c>
      <c r="D52" s="244" t="s">
        <v>393</v>
      </c>
      <c r="E52" s="244" t="s">
        <v>1841</v>
      </c>
      <c r="F52" s="246" t="s">
        <v>1842</v>
      </c>
      <c r="G52" s="139" t="s">
        <v>1843</v>
      </c>
      <c r="H52" s="240" t="s">
        <v>2099</v>
      </c>
      <c r="I52" s="164"/>
      <c r="J52" s="104"/>
      <c r="K52" s="282"/>
      <c r="L52" s="282"/>
      <c r="M52" s="363"/>
      <c r="N52" s="363"/>
      <c r="O52" s="138">
        <v>0.0</v>
      </c>
      <c r="P52" s="138">
        <v>1.0</v>
      </c>
      <c r="Q52" s="138">
        <v>1.0</v>
      </c>
      <c r="R52" s="145" t="b">
        <v>0</v>
      </c>
      <c r="S52" s="145"/>
      <c r="T52" s="145"/>
      <c r="U52" s="166" t="b">
        <v>1</v>
      </c>
      <c r="V52" s="166" t="b">
        <v>1</v>
      </c>
    </row>
    <row r="53" ht="26.25" customHeight="1" outlineLevel="1">
      <c r="A53" s="146"/>
      <c r="B53" s="663" t="s">
        <v>340</v>
      </c>
      <c r="C53" s="239" t="s">
        <v>2100</v>
      </c>
      <c r="D53" s="239" t="s">
        <v>2101</v>
      </c>
      <c r="E53" s="244" t="s">
        <v>2102</v>
      </c>
      <c r="F53" s="246" t="s">
        <v>2103</v>
      </c>
      <c r="G53" s="139" t="s">
        <v>2104</v>
      </c>
      <c r="H53" s="212"/>
      <c r="J53" s="210"/>
      <c r="K53" s="282"/>
      <c r="L53" s="282"/>
      <c r="M53" s="363"/>
      <c r="N53" s="363"/>
      <c r="O53" s="138">
        <v>30.0</v>
      </c>
      <c r="P53" s="138">
        <v>1.0</v>
      </c>
      <c r="Q53" s="138">
        <v>1.0</v>
      </c>
      <c r="R53" s="145" t="b">
        <v>0</v>
      </c>
      <c r="S53" s="145" t="b">
        <v>0</v>
      </c>
      <c r="T53" s="145"/>
      <c r="U53" s="146"/>
      <c r="V53" s="146"/>
    </row>
    <row r="54" ht="26.25" customHeight="1" outlineLevel="1">
      <c r="A54" s="146"/>
      <c r="B54" s="663" t="s">
        <v>222</v>
      </c>
      <c r="C54" s="1396"/>
      <c r="D54" s="239" t="s">
        <v>296</v>
      </c>
      <c r="E54" s="1396"/>
      <c r="F54" s="1396"/>
      <c r="G54" s="1396"/>
      <c r="H54" s="106"/>
      <c r="I54" s="168"/>
      <c r="J54" s="107"/>
      <c r="K54" s="1396"/>
      <c r="L54" s="1396"/>
      <c r="M54" s="1396"/>
      <c r="N54" s="1396"/>
      <c r="O54" s="1396"/>
      <c r="P54" s="1396"/>
      <c r="Q54" s="1396"/>
      <c r="R54" s="1396"/>
      <c r="S54" s="1396"/>
      <c r="T54" s="1396"/>
      <c r="U54" s="156"/>
      <c r="V54" s="156"/>
    </row>
    <row r="55" outlineLevel="1">
      <c r="A55" s="230" t="s">
        <v>1785</v>
      </c>
      <c r="B55" s="109"/>
      <c r="C55" s="231" t="s">
        <v>48</v>
      </c>
      <c r="D55" s="231" t="s">
        <v>49</v>
      </c>
      <c r="E55" s="232" t="s">
        <v>50</v>
      </c>
      <c r="F55" s="233" t="s">
        <v>51</v>
      </c>
      <c r="G55" s="232" t="s">
        <v>52</v>
      </c>
      <c r="H55" s="234" t="str">
        <f>'テンプレート'!H75</f>
        <v>備考</v>
      </c>
      <c r="I55" s="110"/>
      <c r="J55" s="109"/>
      <c r="K55" s="235" t="str">
        <f>'テンプレート'!K75</f>
        <v>ベクトル</v>
      </c>
      <c r="L55" s="235" t="str">
        <f>'テンプレート'!L75</f>
        <v>KBG (R.E.)</v>
      </c>
      <c r="M55" s="235" t="str">
        <f>'テンプレート'!M75</f>
        <v>BKB (R.A.)</v>
      </c>
      <c r="N55" s="235" t="str">
        <f>'テンプレート'!N75</f>
        <v>FKB (R.F.)</v>
      </c>
      <c r="O55" s="236" t="str">
        <f>'テンプレート'!O75</f>
        <v>盾削り値</v>
      </c>
      <c r="P55" s="235" t="str">
        <f>'テンプレート'!P75</f>
        <v>ﾋｯﾄｽﾄｯﾌﾟ</v>
      </c>
      <c r="Q55" s="236" t="str">
        <f>'テンプレート'!Q75</f>
        <v>ずらし</v>
      </c>
      <c r="R55" s="235" t="str">
        <f>'テンプレート'!R75</f>
        <v>相殺</v>
      </c>
      <c r="S55" s="236" t="str">
        <f>'テンプレート'!S75</f>
        <v>相殺ﾓｰｼｮﾝ</v>
      </c>
      <c r="T55" s="236" t="str">
        <f>'テンプレート'!T75</f>
        <v>飛び道具</v>
      </c>
      <c r="U55" s="236" t="str">
        <f>'テンプレート'!U75</f>
        <v>慣性反転</v>
      </c>
      <c r="V55" s="236" t="str">
        <f>'テンプレート'!V75</f>
        <v>向き反転</v>
      </c>
    </row>
    <row r="56" outlineLevel="1">
      <c r="A56" s="237" t="s">
        <v>1786</v>
      </c>
      <c r="B56" s="243" t="s">
        <v>1787</v>
      </c>
      <c r="C56" s="192" t="s">
        <v>835</v>
      </c>
      <c r="D56" s="244" t="s">
        <v>1788</v>
      </c>
      <c r="E56" s="244" t="s">
        <v>1866</v>
      </c>
      <c r="F56" s="246">
        <v>3.42</v>
      </c>
      <c r="G56" s="139" t="s">
        <v>147</v>
      </c>
      <c r="H56" s="163" t="s">
        <v>2108</v>
      </c>
      <c r="I56" s="164"/>
      <c r="J56" s="164"/>
      <c r="K56" s="282"/>
      <c r="L56" s="282"/>
      <c r="M56" s="363"/>
      <c r="N56" s="363"/>
      <c r="O56" s="138">
        <v>0.0</v>
      </c>
      <c r="P56" s="138">
        <v>1.0</v>
      </c>
      <c r="Q56" s="138">
        <v>1.0</v>
      </c>
      <c r="R56" s="145" t="b">
        <v>0</v>
      </c>
      <c r="S56" s="145" t="b">
        <v>0</v>
      </c>
      <c r="T56" s="145"/>
      <c r="U56" s="166" t="b">
        <v>1</v>
      </c>
      <c r="V56" s="166" t="b">
        <v>1</v>
      </c>
    </row>
    <row r="57" outlineLevel="1">
      <c r="A57" s="146"/>
      <c r="B57" s="243" t="s">
        <v>1792</v>
      </c>
      <c r="C57" s="167" t="s">
        <v>163</v>
      </c>
      <c r="D57" s="244" t="s">
        <v>1793</v>
      </c>
      <c r="E57" s="244" t="s">
        <v>1866</v>
      </c>
      <c r="F57" s="246">
        <v>3.42</v>
      </c>
      <c r="G57" s="139" t="s">
        <v>147</v>
      </c>
      <c r="H57" s="163" t="s">
        <v>2141</v>
      </c>
      <c r="I57" s="164"/>
      <c r="J57" s="164"/>
      <c r="K57" s="138"/>
      <c r="L57" s="138"/>
      <c r="M57" s="145"/>
      <c r="N57" s="145"/>
      <c r="O57" s="138">
        <v>0.0</v>
      </c>
      <c r="P57" s="138">
        <v>1.0</v>
      </c>
      <c r="Q57" s="138">
        <v>1.0</v>
      </c>
      <c r="R57" s="145" t="b">
        <v>0</v>
      </c>
      <c r="S57" s="145" t="b">
        <v>0</v>
      </c>
      <c r="T57" s="145"/>
      <c r="U57" s="146"/>
      <c r="V57" s="146"/>
    </row>
    <row r="58" outlineLevel="1">
      <c r="A58" s="146"/>
      <c r="B58" s="243" t="s">
        <v>1795</v>
      </c>
      <c r="C58" s="167" t="s">
        <v>91</v>
      </c>
      <c r="D58" s="244" t="s">
        <v>1793</v>
      </c>
      <c r="E58" s="244" t="s">
        <v>1866</v>
      </c>
      <c r="F58" s="246">
        <v>3.42</v>
      </c>
      <c r="G58" s="139" t="s">
        <v>147</v>
      </c>
      <c r="H58" s="163" t="s">
        <v>2142</v>
      </c>
      <c r="I58" s="164"/>
      <c r="J58" s="164"/>
      <c r="K58" s="138"/>
      <c r="L58" s="138"/>
      <c r="M58" s="145"/>
      <c r="N58" s="145"/>
      <c r="O58" s="138">
        <v>0.0</v>
      </c>
      <c r="P58" s="138">
        <v>1.0</v>
      </c>
      <c r="Q58" s="138">
        <v>1.0</v>
      </c>
      <c r="R58" s="145"/>
      <c r="S58" s="145"/>
      <c r="T58" s="145"/>
      <c r="U58" s="146"/>
      <c r="V58" s="146"/>
    </row>
    <row r="59" outlineLevel="1">
      <c r="A59" s="146"/>
      <c r="B59" s="243" t="s">
        <v>1797</v>
      </c>
      <c r="C59" s="167" t="s">
        <v>91</v>
      </c>
      <c r="D59" s="245" t="s">
        <v>1798</v>
      </c>
      <c r="E59" s="244" t="s">
        <v>2143</v>
      </c>
      <c r="F59" s="246">
        <v>4.56</v>
      </c>
      <c r="G59" s="139" t="s">
        <v>75</v>
      </c>
      <c r="H59" s="163" t="s">
        <v>2144</v>
      </c>
      <c r="I59" s="164"/>
      <c r="J59" s="164"/>
      <c r="K59" s="138"/>
      <c r="L59" s="138"/>
      <c r="M59" s="145"/>
      <c r="N59" s="145"/>
      <c r="O59" s="138">
        <v>0.0</v>
      </c>
      <c r="P59" s="138">
        <v>1.0</v>
      </c>
      <c r="Q59" s="138">
        <v>1.0</v>
      </c>
      <c r="R59" s="145"/>
      <c r="S59" s="145"/>
      <c r="T59" s="145"/>
      <c r="U59" s="146"/>
      <c r="V59" s="146"/>
    </row>
    <row r="60" outlineLevel="1">
      <c r="A60" s="146"/>
      <c r="B60" s="243" t="s">
        <v>1803</v>
      </c>
      <c r="C60" s="167" t="s">
        <v>270</v>
      </c>
      <c r="D60" s="245" t="s">
        <v>1798</v>
      </c>
      <c r="E60" s="244" t="s">
        <v>2143</v>
      </c>
      <c r="F60" s="246">
        <v>4.56</v>
      </c>
      <c r="G60" s="139" t="s">
        <v>75</v>
      </c>
      <c r="H60" s="163" t="s">
        <v>2145</v>
      </c>
      <c r="I60" s="164"/>
      <c r="J60" s="164"/>
      <c r="K60" s="138"/>
      <c r="L60" s="138"/>
      <c r="M60" s="145"/>
      <c r="N60" s="145"/>
      <c r="O60" s="138">
        <v>0.0</v>
      </c>
      <c r="P60" s="138">
        <v>1.0</v>
      </c>
      <c r="Q60" s="138">
        <v>1.0</v>
      </c>
      <c r="R60" s="145"/>
      <c r="S60" s="145"/>
      <c r="T60" s="145"/>
      <c r="U60" s="146"/>
      <c r="V60" s="146"/>
    </row>
    <row r="61" outlineLevel="1">
      <c r="A61" s="146"/>
      <c r="B61" s="243" t="s">
        <v>1805</v>
      </c>
      <c r="C61" s="167" t="s">
        <v>91</v>
      </c>
      <c r="D61" s="245" t="s">
        <v>1798</v>
      </c>
      <c r="E61" s="244" t="s">
        <v>2143</v>
      </c>
      <c r="F61" s="246">
        <v>4.56</v>
      </c>
      <c r="G61" s="139" t="s">
        <v>75</v>
      </c>
      <c r="H61" s="163" t="s">
        <v>2146</v>
      </c>
      <c r="I61" s="164"/>
      <c r="J61" s="164"/>
      <c r="K61" s="138"/>
      <c r="L61" s="138"/>
      <c r="M61" s="145"/>
      <c r="N61" s="145"/>
      <c r="O61" s="138">
        <v>0.0</v>
      </c>
      <c r="P61" s="138">
        <v>1.0</v>
      </c>
      <c r="Q61" s="138">
        <v>1.0</v>
      </c>
      <c r="R61" s="145"/>
      <c r="S61" s="145"/>
      <c r="T61" s="145"/>
      <c r="U61" s="146"/>
      <c r="V61" s="146"/>
    </row>
    <row r="62" outlineLevel="1">
      <c r="A62" s="146"/>
      <c r="B62" s="243" t="s">
        <v>1810</v>
      </c>
      <c r="C62" s="167" t="s">
        <v>322</v>
      </c>
      <c r="D62" s="245" t="s">
        <v>1811</v>
      </c>
      <c r="E62" s="244" t="s">
        <v>2147</v>
      </c>
      <c r="F62" s="246">
        <v>7.752</v>
      </c>
      <c r="G62" s="139" t="s">
        <v>95</v>
      </c>
      <c r="H62" s="173" t="s">
        <v>411</v>
      </c>
      <c r="I62" s="110"/>
      <c r="J62" s="109"/>
      <c r="K62" s="138"/>
      <c r="L62" s="138"/>
      <c r="M62" s="145"/>
      <c r="N62" s="145"/>
      <c r="O62" s="138">
        <v>0.0</v>
      </c>
      <c r="P62" s="138">
        <v>1.0</v>
      </c>
      <c r="Q62" s="138">
        <v>1.0</v>
      </c>
      <c r="R62" s="145"/>
      <c r="S62" s="145"/>
      <c r="T62" s="145"/>
      <c r="U62" s="146"/>
      <c r="V62" s="146"/>
    </row>
    <row r="63" outlineLevel="1">
      <c r="A63" s="146"/>
      <c r="B63" s="243" t="s">
        <v>1815</v>
      </c>
      <c r="C63" s="167" t="s">
        <v>277</v>
      </c>
      <c r="D63" s="245" t="s">
        <v>2119</v>
      </c>
      <c r="E63" s="244" t="s">
        <v>2148</v>
      </c>
      <c r="F63" s="246">
        <v>6.27</v>
      </c>
      <c r="G63" s="139" t="s">
        <v>102</v>
      </c>
      <c r="H63" s="173" t="s">
        <v>411</v>
      </c>
      <c r="I63" s="110"/>
      <c r="J63" s="109"/>
      <c r="K63" s="138"/>
      <c r="L63" s="138"/>
      <c r="M63" s="145"/>
      <c r="N63" s="145"/>
      <c r="O63" s="138">
        <v>0.0</v>
      </c>
      <c r="P63" s="138">
        <v>1.0</v>
      </c>
      <c r="Q63" s="138">
        <v>1.0</v>
      </c>
      <c r="R63" s="145"/>
      <c r="S63" s="145"/>
      <c r="T63" s="145"/>
      <c r="U63" s="146"/>
      <c r="V63" s="146"/>
    </row>
    <row r="64" outlineLevel="1">
      <c r="A64" s="146"/>
      <c r="B64" s="243" t="s">
        <v>1820</v>
      </c>
      <c r="C64" s="148" t="s">
        <v>1821</v>
      </c>
      <c r="D64" s="823" t="s">
        <v>2122</v>
      </c>
      <c r="E64" s="244" t="s">
        <v>176</v>
      </c>
      <c r="F64" s="246">
        <v>2.4</v>
      </c>
      <c r="G64" s="139" t="s">
        <v>60</v>
      </c>
      <c r="H64" s="175" t="s">
        <v>411</v>
      </c>
      <c r="I64" s="164"/>
      <c r="J64" s="104"/>
      <c r="K64" s="138"/>
      <c r="L64" s="138"/>
      <c r="M64" s="145"/>
      <c r="N64" s="145"/>
      <c r="O64" s="138">
        <v>0.0</v>
      </c>
      <c r="P64" s="138">
        <v>1.0</v>
      </c>
      <c r="Q64" s="138">
        <v>1.0</v>
      </c>
      <c r="R64" s="145"/>
      <c r="S64" s="145"/>
      <c r="T64" s="145"/>
      <c r="U64" s="146"/>
      <c r="V64" s="146"/>
    </row>
    <row r="65" outlineLevel="1">
      <c r="A65" s="146"/>
      <c r="B65" s="243" t="s">
        <v>1825</v>
      </c>
      <c r="C65" s="167" t="s">
        <v>378</v>
      </c>
      <c r="D65" s="107"/>
      <c r="E65" s="244" t="s">
        <v>1859</v>
      </c>
      <c r="F65" s="246">
        <v>5.13</v>
      </c>
      <c r="G65" s="139" t="s">
        <v>75</v>
      </c>
      <c r="H65" s="106"/>
      <c r="I65" s="168"/>
      <c r="J65" s="107"/>
      <c r="K65" s="138"/>
      <c r="L65" s="138"/>
      <c r="M65" s="145"/>
      <c r="N65" s="145"/>
      <c r="O65" s="138">
        <v>0.0</v>
      </c>
      <c r="P65" s="138">
        <v>1.0</v>
      </c>
      <c r="Q65" s="138">
        <v>1.0</v>
      </c>
      <c r="R65" s="145" t="b">
        <v>0</v>
      </c>
      <c r="S65" s="145" t="b">
        <v>0</v>
      </c>
      <c r="T65" s="145"/>
      <c r="U65" s="156"/>
      <c r="V65" s="156"/>
    </row>
    <row r="66" outlineLevel="1">
      <c r="A66" s="230" t="s">
        <v>2149</v>
      </c>
      <c r="B66" s="109"/>
      <c r="C66" s="231" t="s">
        <v>48</v>
      </c>
      <c r="D66" s="231" t="s">
        <v>49</v>
      </c>
      <c r="E66" s="232" t="s">
        <v>50</v>
      </c>
      <c r="F66" s="233" t="s">
        <v>51</v>
      </c>
      <c r="G66" s="232" t="s">
        <v>52</v>
      </c>
      <c r="H66" s="234" t="str">
        <f>'テンプレート'!H80</f>
        <v>備考</v>
      </c>
      <c r="I66" s="110"/>
      <c r="J66" s="109"/>
      <c r="K66" s="235" t="str">
        <f>'テンプレート'!K80</f>
        <v>ベクトル</v>
      </c>
      <c r="L66" s="235" t="str">
        <f>'テンプレート'!L80</f>
        <v>KBG (R.E.)</v>
      </c>
      <c r="M66" s="235" t="str">
        <f>'テンプレート'!M80</f>
        <v>BKB (R.A.)</v>
      </c>
      <c r="N66" s="235" t="str">
        <f>'テンプレート'!N80</f>
        <v>FKB (R.F.)</v>
      </c>
      <c r="O66" s="236" t="str">
        <f>'テンプレート'!O80</f>
        <v>盾削り値</v>
      </c>
      <c r="P66" s="235" t="str">
        <f>'テンプレート'!P80</f>
        <v>ﾋｯﾄｽﾄｯﾌﾟ</v>
      </c>
      <c r="Q66" s="236" t="str">
        <f>'テンプレート'!Q80</f>
        <v>ずらし</v>
      </c>
      <c r="R66" s="235" t="str">
        <f>'テンプレート'!R80</f>
        <v>相殺</v>
      </c>
      <c r="S66" s="236" t="str">
        <f>'テンプレート'!S80</f>
        <v>相殺ﾓｰｼｮﾝ</v>
      </c>
      <c r="T66" s="236" t="str">
        <f>'テンプレート'!T80</f>
        <v>飛び道具</v>
      </c>
      <c r="U66" s="236" t="str">
        <f>'テンプレート'!U80</f>
        <v>慣性反転</v>
      </c>
      <c r="V66" s="236" t="str">
        <f>'テンプレート'!V80</f>
        <v>向き反転</v>
      </c>
    </row>
    <row r="67" outlineLevel="1">
      <c r="A67" s="237" t="s">
        <v>184</v>
      </c>
      <c r="B67" s="624"/>
      <c r="C67" s="244" t="s">
        <v>223</v>
      </c>
      <c r="D67" s="827"/>
      <c r="E67" s="244" t="s">
        <v>86</v>
      </c>
      <c r="F67" s="246">
        <v>7.199999999999999</v>
      </c>
      <c r="G67" s="244" t="s">
        <v>102</v>
      </c>
      <c r="H67" s="666" t="s">
        <v>2150</v>
      </c>
      <c r="I67" s="164"/>
      <c r="J67" s="104"/>
      <c r="K67" s="138"/>
      <c r="L67" s="138"/>
      <c r="M67" s="145"/>
      <c r="N67" s="145"/>
      <c r="O67" s="138">
        <v>0.0</v>
      </c>
      <c r="P67" s="138">
        <v>1.0</v>
      </c>
      <c r="Q67" s="138">
        <v>1.0</v>
      </c>
      <c r="R67" s="145" t="b">
        <v>0</v>
      </c>
      <c r="S67" s="145" t="b">
        <v>0</v>
      </c>
      <c r="T67" s="145"/>
      <c r="U67" s="166" t="s">
        <v>186</v>
      </c>
      <c r="V67" s="166" t="b">
        <v>1</v>
      </c>
    </row>
    <row r="68" outlineLevel="1">
      <c r="A68" s="146"/>
      <c r="B68" s="624" t="s">
        <v>199</v>
      </c>
      <c r="C68" s="244" t="s">
        <v>2151</v>
      </c>
      <c r="D68" s="146"/>
      <c r="E68" s="244" t="s">
        <v>1024</v>
      </c>
      <c r="F68" s="246">
        <v>1.7999999999999998</v>
      </c>
      <c r="G68" s="244" t="s">
        <v>60</v>
      </c>
      <c r="H68" s="212"/>
      <c r="J68" s="210"/>
      <c r="K68" s="138"/>
      <c r="L68" s="138"/>
      <c r="M68" s="145"/>
      <c r="N68" s="145"/>
      <c r="O68" s="138">
        <v>0.0</v>
      </c>
      <c r="P68" s="138">
        <v>1.0</v>
      </c>
      <c r="Q68" s="138">
        <v>1.0</v>
      </c>
      <c r="R68" s="145" t="b">
        <v>0</v>
      </c>
      <c r="S68" s="145" t="b">
        <v>0</v>
      </c>
      <c r="T68" s="145"/>
      <c r="U68" s="146"/>
      <c r="V68" s="146"/>
    </row>
    <row r="69" outlineLevel="1">
      <c r="A69" s="146"/>
      <c r="B69" s="624" t="s">
        <v>202</v>
      </c>
      <c r="C69" s="244" t="s">
        <v>2152</v>
      </c>
      <c r="D69" s="146"/>
      <c r="E69" s="244" t="s">
        <v>86</v>
      </c>
      <c r="F69" s="246">
        <v>7.199999999999999</v>
      </c>
      <c r="G69" s="244" t="s">
        <v>102</v>
      </c>
      <c r="H69" s="212"/>
      <c r="J69" s="210"/>
      <c r="K69" s="138"/>
      <c r="L69" s="138"/>
      <c r="M69" s="145"/>
      <c r="N69" s="145"/>
      <c r="O69" s="138"/>
      <c r="P69" s="138"/>
      <c r="Q69" s="138"/>
      <c r="R69" s="145" t="b">
        <v>0</v>
      </c>
      <c r="S69" s="145" t="b">
        <v>0</v>
      </c>
      <c r="T69" s="145" t="b">
        <v>0</v>
      </c>
      <c r="U69" s="146"/>
      <c r="V69" s="146"/>
    </row>
    <row r="70" outlineLevel="1">
      <c r="A70" s="156"/>
      <c r="B70" s="624" t="s">
        <v>174</v>
      </c>
      <c r="C70" s="244" t="s">
        <v>2153</v>
      </c>
      <c r="D70" s="1427" t="s">
        <v>224</v>
      </c>
      <c r="E70" s="244" t="s">
        <v>86</v>
      </c>
      <c r="F70" s="246">
        <v>7.199999999999999</v>
      </c>
      <c r="G70" s="244" t="s">
        <v>102</v>
      </c>
      <c r="H70" s="106"/>
      <c r="I70" s="168"/>
      <c r="J70" s="107"/>
      <c r="K70" s="138"/>
      <c r="L70" s="138"/>
      <c r="M70" s="145"/>
      <c r="N70" s="145"/>
      <c r="O70" s="138">
        <v>0.0</v>
      </c>
      <c r="P70" s="138">
        <v>1.0</v>
      </c>
      <c r="Q70" s="138">
        <v>1.0</v>
      </c>
      <c r="R70" s="145" t="b">
        <v>0</v>
      </c>
      <c r="S70" s="145" t="b">
        <v>0</v>
      </c>
      <c r="T70" s="145"/>
      <c r="U70" s="156"/>
      <c r="V70" s="156"/>
    </row>
    <row r="71" outlineLevel="1">
      <c r="A71" s="230" t="s">
        <v>1836</v>
      </c>
      <c r="B71" s="109"/>
      <c r="C71" s="231" t="s">
        <v>48</v>
      </c>
      <c r="D71" s="231" t="s">
        <v>49</v>
      </c>
      <c r="E71" s="232" t="s">
        <v>50</v>
      </c>
      <c r="F71" s="233" t="s">
        <v>51</v>
      </c>
      <c r="G71" s="232" t="s">
        <v>52</v>
      </c>
      <c r="H71" s="234" t="str">
        <f>'テンプレート'!H85</f>
        <v>備考</v>
      </c>
      <c r="I71" s="110"/>
      <c r="J71" s="109"/>
      <c r="K71" s="235" t="str">
        <f>'テンプレート'!K85</f>
        <v>ベクトル</v>
      </c>
      <c r="L71" s="235" t="str">
        <f>'テンプレート'!L85</f>
        <v>KBG (R.E.)</v>
      </c>
      <c r="M71" s="235" t="str">
        <f>'テンプレート'!M85</f>
        <v>BKB (R.A.)</v>
      </c>
      <c r="N71" s="235" t="str">
        <f>'テンプレート'!N85</f>
        <v>FKB (R.F.)</v>
      </c>
      <c r="O71" s="236" t="str">
        <f>'テンプレート'!O85</f>
        <v>盾削り値</v>
      </c>
      <c r="P71" s="235" t="str">
        <f>'テンプレート'!P85</f>
        <v>ﾋｯﾄｽﾄｯﾌﾟ</v>
      </c>
      <c r="Q71" s="236" t="str">
        <f>'テンプレート'!Q85</f>
        <v>ずらし</v>
      </c>
      <c r="R71" s="235" t="str">
        <f>'テンプレート'!R85</f>
        <v>相殺</v>
      </c>
      <c r="S71" s="236" t="str">
        <f>'テンプレート'!S85</f>
        <v>相殺ﾓｰｼｮﾝ</v>
      </c>
      <c r="T71" s="236" t="str">
        <f>'テンプレート'!T85</f>
        <v>飛び道具</v>
      </c>
      <c r="U71" s="236" t="str">
        <f>'テンプレート'!U85</f>
        <v>慣性反転</v>
      </c>
      <c r="V71" s="236" t="str">
        <f>'テンプレート'!V85</f>
        <v>向き反転</v>
      </c>
    </row>
    <row r="72" outlineLevel="1">
      <c r="A72" s="546" t="s">
        <v>184</v>
      </c>
      <c r="B72" s="402" t="s">
        <v>1837</v>
      </c>
      <c r="C72" s="244" t="s">
        <v>2130</v>
      </c>
      <c r="D72" s="244" t="s">
        <v>208</v>
      </c>
      <c r="E72" s="1396"/>
      <c r="F72" s="1396"/>
      <c r="G72" s="1396"/>
      <c r="H72" s="247" t="s">
        <v>2131</v>
      </c>
      <c r="I72" s="110"/>
      <c r="J72" s="109"/>
      <c r="K72" s="281"/>
      <c r="L72" s="281"/>
      <c r="M72" s="281"/>
      <c r="N72" s="281"/>
      <c r="O72" s="281"/>
      <c r="P72" s="281"/>
      <c r="Q72" s="281"/>
      <c r="R72" s="281"/>
      <c r="S72" s="281"/>
      <c r="T72" s="281"/>
      <c r="U72" s="166" t="b">
        <v>0</v>
      </c>
      <c r="V72" s="166" t="b">
        <v>0</v>
      </c>
    </row>
    <row r="73" outlineLevel="1">
      <c r="A73" s="156"/>
      <c r="B73" s="402" t="s">
        <v>1242</v>
      </c>
      <c r="C73" s="244" t="s">
        <v>267</v>
      </c>
      <c r="D73" s="244" t="s">
        <v>384</v>
      </c>
      <c r="E73" s="244" t="s">
        <v>1841</v>
      </c>
      <c r="F73" s="246" t="s">
        <v>1842</v>
      </c>
      <c r="G73" s="244" t="s">
        <v>1843</v>
      </c>
      <c r="H73" s="410" t="s">
        <v>2132</v>
      </c>
      <c r="I73" s="110"/>
      <c r="J73" s="109"/>
      <c r="K73" s="138"/>
      <c r="L73" s="138"/>
      <c r="M73" s="145"/>
      <c r="N73" s="145"/>
      <c r="O73" s="138">
        <v>0.0</v>
      </c>
      <c r="P73" s="138">
        <v>1.0</v>
      </c>
      <c r="Q73" s="138">
        <v>1.0</v>
      </c>
      <c r="R73" s="145" t="b">
        <v>0</v>
      </c>
      <c r="S73" s="145" t="b">
        <v>0</v>
      </c>
      <c r="T73" s="145"/>
      <c r="U73" s="156"/>
      <c r="V73" s="156"/>
    </row>
    <row r="74">
      <c r="A74" s="223"/>
      <c r="B74" s="224"/>
      <c r="C74" s="225"/>
      <c r="D74" s="225"/>
      <c r="E74" s="226"/>
      <c r="F74" s="226"/>
      <c r="G74" s="226"/>
      <c r="H74" s="227"/>
      <c r="I74" s="227"/>
      <c r="J74" s="228"/>
      <c r="K74" s="228"/>
      <c r="L74" s="228"/>
      <c r="M74" s="228"/>
      <c r="N74" s="228"/>
      <c r="O74" s="228"/>
      <c r="P74" s="228"/>
      <c r="Q74" s="118"/>
      <c r="R74" s="118"/>
      <c r="S74" s="118"/>
      <c r="T74" s="118"/>
      <c r="U74" s="118"/>
      <c r="V74" s="118"/>
    </row>
    <row r="75">
      <c r="A75" s="264" t="s">
        <v>211</v>
      </c>
      <c r="B75" s="104"/>
      <c r="C75" s="227"/>
      <c r="D75" s="227"/>
      <c r="E75" s="228"/>
      <c r="F75" s="265"/>
      <c r="G75" s="265"/>
      <c r="H75" s="228"/>
      <c r="I75" s="228"/>
      <c r="J75" s="228"/>
      <c r="K75" s="228"/>
      <c r="L75" s="228"/>
      <c r="M75" s="228"/>
      <c r="N75" s="118"/>
      <c r="O75" s="118"/>
      <c r="P75" s="118"/>
      <c r="Q75" s="228"/>
      <c r="R75" s="228"/>
      <c r="S75" s="228"/>
      <c r="T75" s="228"/>
      <c r="U75" s="228"/>
      <c r="V75" s="228"/>
    </row>
    <row r="76" outlineLevel="1">
      <c r="A76" s="106"/>
      <c r="B76" s="107"/>
      <c r="C76" s="266" t="s">
        <v>48</v>
      </c>
      <c r="D76" s="266" t="s">
        <v>49</v>
      </c>
      <c r="E76" s="266" t="s">
        <v>50</v>
      </c>
      <c r="F76" s="267" t="s">
        <v>51</v>
      </c>
      <c r="G76" s="227"/>
      <c r="H76" s="227"/>
      <c r="I76" s="227"/>
      <c r="J76" s="228"/>
      <c r="K76" s="228"/>
      <c r="L76" s="228"/>
      <c r="M76" s="228"/>
      <c r="N76" s="228"/>
      <c r="O76" s="228"/>
      <c r="P76" s="228"/>
      <c r="Q76" s="228"/>
      <c r="R76" s="228"/>
      <c r="S76" s="228"/>
      <c r="T76" s="228"/>
      <c r="U76" s="228"/>
      <c r="V76" s="228"/>
    </row>
    <row r="77" outlineLevel="1">
      <c r="A77" s="268" t="s">
        <v>212</v>
      </c>
      <c r="B77" s="269" t="s">
        <v>212</v>
      </c>
      <c r="C77" s="1091" t="s">
        <v>213</v>
      </c>
      <c r="D77" s="1091" t="s">
        <v>86</v>
      </c>
      <c r="E77" s="113" t="s">
        <v>214</v>
      </c>
      <c r="F77" s="138">
        <v>1.56</v>
      </c>
      <c r="G77" s="227"/>
      <c r="H77" s="227"/>
      <c r="I77" s="227"/>
      <c r="J77" s="228"/>
      <c r="K77" s="228"/>
      <c r="L77" s="228"/>
      <c r="M77" s="228"/>
      <c r="N77" s="228"/>
      <c r="O77" s="228"/>
      <c r="P77" s="228"/>
      <c r="Q77" s="228"/>
      <c r="R77" s="228"/>
      <c r="S77" s="228"/>
      <c r="T77" s="228"/>
      <c r="U77" s="228"/>
      <c r="V77" s="228"/>
    </row>
    <row r="78" outlineLevel="1">
      <c r="A78" s="270" t="s">
        <v>215</v>
      </c>
      <c r="B78" s="269" t="s">
        <v>216</v>
      </c>
      <c r="C78" s="1091" t="s">
        <v>319</v>
      </c>
      <c r="D78" s="1091" t="s">
        <v>224</v>
      </c>
      <c r="E78" s="271"/>
      <c r="F78" s="272"/>
      <c r="G78" s="272"/>
      <c r="H78" s="227"/>
      <c r="I78" s="227"/>
      <c r="J78" s="228"/>
      <c r="K78" s="228"/>
      <c r="L78" s="228"/>
      <c r="M78" s="228"/>
      <c r="N78" s="228"/>
      <c r="O78" s="228"/>
      <c r="P78" s="228"/>
      <c r="Q78" s="228"/>
      <c r="R78" s="228"/>
      <c r="S78" s="228"/>
      <c r="T78" s="228"/>
      <c r="U78" s="228"/>
      <c r="V78" s="228"/>
    </row>
    <row r="79" outlineLevel="1">
      <c r="A79" s="212"/>
      <c r="B79" s="269" t="s">
        <v>219</v>
      </c>
      <c r="C79" s="1091" t="s">
        <v>223</v>
      </c>
      <c r="D79" s="1091" t="s">
        <v>393</v>
      </c>
      <c r="E79" s="271"/>
      <c r="F79" s="272"/>
      <c r="G79" s="272"/>
      <c r="H79" s="227"/>
      <c r="I79" s="227"/>
      <c r="J79" s="228"/>
      <c r="K79" s="228"/>
      <c r="L79" s="228"/>
      <c r="M79" s="228"/>
      <c r="N79" s="228"/>
      <c r="O79" s="228"/>
      <c r="P79" s="228"/>
      <c r="Q79" s="228"/>
      <c r="R79" s="228"/>
      <c r="S79" s="228"/>
      <c r="T79" s="228"/>
      <c r="U79" s="228"/>
      <c r="V79" s="228"/>
    </row>
    <row r="80" outlineLevel="1">
      <c r="A80" s="106"/>
      <c r="B80" s="269" t="s">
        <v>222</v>
      </c>
      <c r="C80" s="1091" t="s">
        <v>299</v>
      </c>
      <c r="D80" s="1091" t="s">
        <v>118</v>
      </c>
      <c r="E80" s="227"/>
      <c r="F80" s="272"/>
      <c r="G80" s="272"/>
      <c r="H80" s="227"/>
      <c r="I80" s="227"/>
      <c r="J80" s="228"/>
      <c r="K80" s="228"/>
      <c r="L80" s="228"/>
      <c r="M80" s="228"/>
      <c r="N80" s="228"/>
      <c r="O80" s="228"/>
      <c r="P80" s="228"/>
      <c r="Q80" s="228"/>
      <c r="R80" s="228"/>
      <c r="S80" s="228"/>
      <c r="T80" s="228"/>
      <c r="U80" s="228"/>
      <c r="V80" s="228"/>
    </row>
    <row r="81" outlineLevel="1">
      <c r="A81" s="273" t="s">
        <v>225</v>
      </c>
      <c r="B81" s="109"/>
      <c r="C81" s="266" t="s">
        <v>48</v>
      </c>
      <c r="D81" s="266" t="s">
        <v>49</v>
      </c>
      <c r="E81" s="266" t="s">
        <v>50</v>
      </c>
      <c r="F81" s="267" t="s">
        <v>51</v>
      </c>
      <c r="G81" s="274" t="s">
        <v>53</v>
      </c>
      <c r="H81" s="110"/>
      <c r="I81" s="110"/>
      <c r="J81" s="109"/>
      <c r="K81" s="275" t="str">
        <f>'テンプレート'!K97</f>
        <v>ベクトル</v>
      </c>
      <c r="L81" s="275" t="str">
        <f>'テンプレート'!L97</f>
        <v>KBG (R.E.)</v>
      </c>
      <c r="M81" s="275" t="str">
        <f>'テンプレート'!M97</f>
        <v>BKB (R.A.)</v>
      </c>
      <c r="N81" s="275" t="str">
        <f>'テンプレート'!N97</f>
        <v>FKB (R.F.)</v>
      </c>
      <c r="O81" s="276" t="str">
        <f>'テンプレート'!O97</f>
        <v>盾削り値</v>
      </c>
      <c r="P81" s="275" t="str">
        <f>'テンプレート'!P97</f>
        <v>ﾋｯﾄｽﾄｯﾌﾟ</v>
      </c>
      <c r="Q81" s="276" t="str">
        <f>'テンプレート'!Q97</f>
        <v>ずらし</v>
      </c>
      <c r="R81" s="277"/>
      <c r="S81" s="277"/>
      <c r="T81" s="277"/>
      <c r="U81" s="277"/>
      <c r="V81" s="277"/>
    </row>
    <row r="82" outlineLevel="1">
      <c r="A82" s="278" t="s">
        <v>226</v>
      </c>
      <c r="B82" s="269" t="s">
        <v>227</v>
      </c>
      <c r="C82" s="822"/>
      <c r="D82" s="1397">
        <v>31.0</v>
      </c>
      <c r="E82" s="822"/>
      <c r="F82" s="261"/>
      <c r="G82" s="416"/>
      <c r="H82" s="164"/>
      <c r="I82" s="164"/>
      <c r="J82" s="104"/>
      <c r="K82" s="261"/>
      <c r="L82" s="261"/>
      <c r="M82" s="261"/>
      <c r="N82" s="261"/>
      <c r="O82" s="261"/>
      <c r="P82" s="261"/>
      <c r="Q82" s="261"/>
      <c r="R82" s="277"/>
      <c r="S82" s="228"/>
      <c r="T82" s="228"/>
      <c r="U82" s="228"/>
      <c r="V82" s="228"/>
    </row>
    <row r="83" outlineLevel="1">
      <c r="A83" s="156"/>
      <c r="B83" s="269" t="s">
        <v>225</v>
      </c>
      <c r="C83" s="1091">
        <v>15.0</v>
      </c>
      <c r="D83" s="156"/>
      <c r="E83" s="244" t="s">
        <v>150</v>
      </c>
      <c r="F83" s="138">
        <v>6.0</v>
      </c>
      <c r="G83" s="106"/>
      <c r="H83" s="168"/>
      <c r="I83" s="168"/>
      <c r="J83" s="107"/>
      <c r="K83" s="282"/>
      <c r="L83" s="282"/>
      <c r="M83" s="363"/>
      <c r="N83" s="363"/>
      <c r="O83" s="261"/>
      <c r="P83" s="261"/>
      <c r="Q83" s="261"/>
      <c r="R83" s="277"/>
      <c r="S83" s="228"/>
      <c r="T83" s="228"/>
      <c r="U83" s="228"/>
      <c r="V83" s="228"/>
    </row>
    <row r="84" outlineLevel="1">
      <c r="A84" s="278" t="s">
        <v>229</v>
      </c>
      <c r="B84" s="269" t="s">
        <v>227</v>
      </c>
      <c r="C84" s="822"/>
      <c r="D84" s="1397">
        <v>44.0</v>
      </c>
      <c r="E84" s="822"/>
      <c r="F84" s="261"/>
      <c r="G84" s="416"/>
      <c r="H84" s="164"/>
      <c r="I84" s="164"/>
      <c r="J84" s="104"/>
      <c r="K84" s="261"/>
      <c r="L84" s="261"/>
      <c r="M84" s="261"/>
      <c r="N84" s="261"/>
      <c r="O84" s="261"/>
      <c r="P84" s="261"/>
      <c r="Q84" s="261"/>
      <c r="R84" s="277"/>
      <c r="S84" s="228"/>
      <c r="T84" s="228"/>
      <c r="U84" s="228"/>
      <c r="V84" s="228"/>
    </row>
    <row r="85" outlineLevel="1">
      <c r="A85" s="156"/>
      <c r="B85" s="269" t="s">
        <v>225</v>
      </c>
      <c r="C85" s="1091">
        <v>8.0</v>
      </c>
      <c r="D85" s="156"/>
      <c r="E85" s="244" t="s">
        <v>150</v>
      </c>
      <c r="F85" s="138">
        <v>6.0</v>
      </c>
      <c r="G85" s="106"/>
      <c r="H85" s="168"/>
      <c r="I85" s="168"/>
      <c r="J85" s="107"/>
      <c r="K85" s="282"/>
      <c r="L85" s="282"/>
      <c r="M85" s="363"/>
      <c r="N85" s="363"/>
      <c r="O85" s="261"/>
      <c r="P85" s="261"/>
      <c r="Q85" s="261"/>
      <c r="R85" s="277"/>
      <c r="S85" s="228"/>
      <c r="T85" s="228"/>
      <c r="U85" s="228"/>
      <c r="V85" s="228"/>
    </row>
    <row r="86" outlineLevel="1">
      <c r="A86" s="278" t="s">
        <v>233</v>
      </c>
      <c r="B86" s="269" t="s">
        <v>227</v>
      </c>
      <c r="C86" s="822"/>
      <c r="D86" s="1397">
        <v>44.0</v>
      </c>
      <c r="E86" s="822"/>
      <c r="F86" s="261"/>
      <c r="G86" s="416"/>
      <c r="H86" s="164"/>
      <c r="I86" s="164"/>
      <c r="J86" s="104"/>
      <c r="K86" s="261"/>
      <c r="L86" s="261"/>
      <c r="M86" s="261"/>
      <c r="N86" s="261"/>
      <c r="O86" s="261"/>
      <c r="P86" s="261"/>
      <c r="Q86" s="261"/>
      <c r="R86" s="277"/>
      <c r="S86" s="228"/>
      <c r="T86" s="228"/>
      <c r="U86" s="228"/>
      <c r="V86" s="228"/>
    </row>
    <row r="87" outlineLevel="1">
      <c r="A87" s="156"/>
      <c r="B87" s="269" t="s">
        <v>225</v>
      </c>
      <c r="C87" s="1091">
        <v>13.0</v>
      </c>
      <c r="D87" s="156"/>
      <c r="E87" s="244" t="s">
        <v>86</v>
      </c>
      <c r="F87" s="138">
        <v>7.199999999999999</v>
      </c>
      <c r="G87" s="106"/>
      <c r="H87" s="168"/>
      <c r="I87" s="168"/>
      <c r="J87" s="107"/>
      <c r="K87" s="282"/>
      <c r="L87" s="282"/>
      <c r="M87" s="363"/>
      <c r="N87" s="363"/>
      <c r="O87" s="261"/>
      <c r="P87" s="261"/>
      <c r="Q87" s="261"/>
      <c r="R87" s="277"/>
      <c r="S87" s="117"/>
      <c r="T87" s="117"/>
      <c r="U87" s="117"/>
      <c r="V87" s="117"/>
    </row>
    <row r="88" outlineLevel="1">
      <c r="A88" s="278" t="s">
        <v>234</v>
      </c>
      <c r="B88" s="269" t="s">
        <v>227</v>
      </c>
      <c r="C88" s="822"/>
      <c r="D88" s="1397" t="s">
        <v>384</v>
      </c>
      <c r="E88" s="822"/>
      <c r="F88" s="261"/>
      <c r="G88" s="416"/>
      <c r="H88" s="164"/>
      <c r="I88" s="164"/>
      <c r="J88" s="104"/>
      <c r="K88" s="261"/>
      <c r="L88" s="261"/>
      <c r="M88" s="261"/>
      <c r="N88" s="261"/>
      <c r="O88" s="261"/>
      <c r="P88" s="261"/>
      <c r="Q88" s="261"/>
      <c r="R88" s="277"/>
      <c r="S88" s="117"/>
      <c r="T88" s="117"/>
      <c r="U88" s="117"/>
      <c r="V88" s="117"/>
    </row>
    <row r="89" outlineLevel="1">
      <c r="A89" s="156"/>
      <c r="B89" s="269" t="s">
        <v>225</v>
      </c>
      <c r="C89" s="1091">
        <v>16.0</v>
      </c>
      <c r="D89" s="156"/>
      <c r="E89" s="244" t="s">
        <v>150</v>
      </c>
      <c r="F89" s="138">
        <v>6.0</v>
      </c>
      <c r="G89" s="106"/>
      <c r="H89" s="168"/>
      <c r="I89" s="168"/>
      <c r="J89" s="107"/>
      <c r="K89" s="282"/>
      <c r="L89" s="282"/>
      <c r="M89" s="363"/>
      <c r="N89" s="363"/>
      <c r="O89" s="261"/>
      <c r="P89" s="261"/>
      <c r="Q89" s="261"/>
      <c r="R89" s="277"/>
      <c r="S89" s="117"/>
      <c r="T89" s="117"/>
      <c r="U89" s="117"/>
      <c r="V89" s="117"/>
    </row>
    <row r="90">
      <c r="A90" s="223"/>
      <c r="B90" s="224"/>
      <c r="C90" s="225"/>
      <c r="D90" s="225"/>
      <c r="E90" s="227"/>
      <c r="F90" s="177"/>
      <c r="G90" s="177"/>
      <c r="H90" s="227"/>
      <c r="I90" s="227"/>
      <c r="J90" s="228"/>
      <c r="K90" s="228"/>
      <c r="L90" s="111"/>
      <c r="M90" s="111"/>
      <c r="N90" s="111"/>
      <c r="O90" s="117"/>
      <c r="P90" s="117"/>
      <c r="Q90" s="111"/>
      <c r="R90" s="111"/>
      <c r="S90" s="111"/>
      <c r="T90" s="111"/>
      <c r="U90" s="111"/>
      <c r="V90" s="111"/>
    </row>
    <row r="91">
      <c r="A91" s="284" t="s">
        <v>241</v>
      </c>
      <c r="B91" s="104"/>
      <c r="C91" s="265"/>
      <c r="D91" s="111"/>
      <c r="E91" s="111"/>
      <c r="F91" s="111"/>
      <c r="G91" s="111"/>
      <c r="H91" s="111"/>
      <c r="I91" s="111"/>
      <c r="J91" s="118"/>
      <c r="K91" s="111"/>
      <c r="L91" s="111"/>
      <c r="M91" s="111"/>
      <c r="N91" s="111"/>
      <c r="O91" s="111"/>
      <c r="P91" s="111"/>
      <c r="Q91" s="118"/>
      <c r="R91" s="111"/>
      <c r="S91" s="111"/>
      <c r="T91" s="111"/>
      <c r="U91" s="111"/>
      <c r="V91" s="111"/>
    </row>
    <row r="92" outlineLevel="1">
      <c r="A92" s="106"/>
      <c r="B92" s="107"/>
      <c r="C92" s="285" t="s">
        <v>235</v>
      </c>
      <c r="D92" s="285" t="s">
        <v>236</v>
      </c>
      <c r="E92" s="285" t="s">
        <v>49</v>
      </c>
      <c r="F92" s="285" t="s">
        <v>237</v>
      </c>
      <c r="G92" s="286"/>
      <c r="H92" s="227"/>
      <c r="I92" s="227"/>
      <c r="J92" s="228"/>
      <c r="K92" s="228"/>
      <c r="L92" s="111"/>
      <c r="M92" s="111"/>
      <c r="N92" s="111"/>
      <c r="O92" s="111"/>
      <c r="P92" s="111"/>
      <c r="Q92" s="111"/>
      <c r="R92" s="111"/>
      <c r="S92" s="111"/>
      <c r="T92" s="111"/>
      <c r="U92" s="111"/>
      <c r="V92" s="111"/>
    </row>
    <row r="93" outlineLevel="1">
      <c r="A93" s="287" t="s">
        <v>395</v>
      </c>
      <c r="B93" s="288" t="s">
        <v>216</v>
      </c>
      <c r="C93" s="113" t="str">
        <f t="array" ref="C93">INDEX('回避'!$C$3:$U$84, MATCH($A$1,'回避'!$A$3:$A$91,0), MATCH(C92,'回避'!$C$2:$F$2,0))</f>
        <v>3-17</v>
      </c>
      <c r="D93" s="113" t="str">
        <f t="array" ref="D93">INDEX('回避'!$C$3:$U$84, MATCH($A$1,'回避'!$A$3:$A$91,0), MATCH(D92,'回避'!$C$2:$F$2,0))</f>
        <v>6-17</v>
      </c>
      <c r="E93" s="113" t="str">
        <f t="array" ref="E93">INDEX('回避'!$C$3:$U$84, MATCH($A$1,'回避'!$A$3:$A$91,0), MATCH(E92,'回避'!$C$2:$F$2,0))</f>
        <v>25 (20)</v>
      </c>
      <c r="F93" s="113" t="str">
        <f t="array" ref="F93">INDEX('回避'!$C$3:$U$84, MATCH($A$1,'回避'!$A$3:$A$91,0), MATCH(F92,'回避'!$C$2:$F$2,0))</f>
        <v>33 (27)</v>
      </c>
      <c r="G93" s="272"/>
      <c r="H93" s="227"/>
      <c r="I93" s="227"/>
      <c r="J93" s="228"/>
      <c r="K93" s="228"/>
      <c r="L93" s="228"/>
      <c r="M93" s="111"/>
      <c r="N93" s="111"/>
      <c r="O93" s="111"/>
      <c r="P93" s="111"/>
      <c r="Q93" s="111"/>
      <c r="R93" s="111"/>
      <c r="S93" s="111"/>
      <c r="T93" s="111"/>
      <c r="U93" s="111"/>
      <c r="V93" s="111"/>
    </row>
    <row r="94" outlineLevel="1">
      <c r="A94" s="212"/>
      <c r="B94" s="288" t="s">
        <v>245</v>
      </c>
      <c r="C94" s="113" t="str">
        <f t="array" ref="C94">INDEX('回避'!$G$3:$U$84, MATCH($A$1,'回避'!$A$3:$A$91,0), MATCH(C92,'回避'!$G$2:$J$2,0))</f>
        <v>4-15</v>
      </c>
      <c r="D94" s="113" t="str">
        <f t="array" ref="D94">INDEX('回避'!$G$3:$U$84, MATCH($A$1,'回避'!$A$3:$A$91,0), MATCH(D92,'回避'!$G$2:$J$2,0))</f>
        <v>8-14</v>
      </c>
      <c r="E94" s="113" t="str">
        <f t="array" ref="E94">INDEX('回避'!$G$3:$U$84, MATCH($A$1,'回避'!$A$3:$A$91,0), MATCH(E92,'回避'!$G$2:$J$2,0))</f>
        <v>29</v>
      </c>
      <c r="F94" s="113">
        <f t="array" ref="F94">INDEX('回避'!$G$3:$U$84, MATCH($A$1,'回避'!$A$3:$A$91,0), MATCH(F92,'回避'!$G$2:$J$2,0))</f>
        <v>38</v>
      </c>
      <c r="G94" s="289"/>
      <c r="H94" s="227"/>
      <c r="I94" s="227"/>
      <c r="J94" s="228"/>
      <c r="K94" s="228"/>
      <c r="L94" s="228"/>
      <c r="M94" s="228"/>
      <c r="N94" s="228"/>
      <c r="O94" s="111"/>
      <c r="P94" s="111"/>
      <c r="Q94" s="111"/>
      <c r="R94" s="111"/>
      <c r="S94" s="111"/>
      <c r="T94" s="111"/>
      <c r="U94" s="111"/>
      <c r="V94" s="111"/>
    </row>
    <row r="95" outlineLevel="1">
      <c r="A95" s="106"/>
      <c r="B95" s="288" t="s">
        <v>246</v>
      </c>
      <c r="C95" s="113" t="str">
        <f t="array" ref="C95">INDEX('回避'!$K$3:$U$84, MATCH($A$1,'回避'!$A$3:$A$91,0), MATCH(C92,'回避'!$K$2:$N$2,0))</f>
        <v>5-16</v>
      </c>
      <c r="D95" s="113" t="str">
        <f t="array" ref="D95">INDEX('回避'!$K$3:$U$84, MATCH($A$1,'回避'!$A$3:$A$91,0), MATCH(D92,'回避'!$K$2:$N$2,0))</f>
        <v>9-14</v>
      </c>
      <c r="E95" s="113" t="str">
        <f t="array" ref="E95">INDEX('回避'!$K$3:$U$84, MATCH($A$1,'回避'!$A$3:$A$91,0), MATCH(E92,'回避'!$K$2:$N$2,0))</f>
        <v>34</v>
      </c>
      <c r="F95" s="113" t="str">
        <f t="array" ref="F95">INDEX('回避'!$K$3:$U$84, MATCH($A$1,'回避'!$A$3:$A$91,0), MATCH(F92,'回避'!$K$2:$N$2,0))</f>
        <v>51</v>
      </c>
      <c r="G95" s="289"/>
      <c r="H95" s="290"/>
      <c r="I95" s="290"/>
      <c r="J95" s="117"/>
      <c r="K95" s="117"/>
      <c r="L95" s="117"/>
      <c r="M95" s="117"/>
      <c r="N95" s="117"/>
      <c r="O95" s="111"/>
      <c r="P95" s="111"/>
      <c r="Q95" s="111"/>
      <c r="R95" s="111"/>
      <c r="S95" s="111"/>
      <c r="T95" s="111"/>
      <c r="U95" s="111"/>
      <c r="V95" s="111"/>
    </row>
    <row r="96" outlineLevel="1">
      <c r="A96" s="287" t="s">
        <v>396</v>
      </c>
      <c r="B96" s="288" t="s">
        <v>397</v>
      </c>
      <c r="C96" s="113" t="str">
        <f t="array" ref="C96">INDEX('回避'!$O$3:$U$84, MATCH($A$1,'回避'!$A$3:$A$91,0), MATCH(C92,'回避'!$O$2:$R$2,0))</f>
        <v>3-29</v>
      </c>
      <c r="D96" s="113" t="str">
        <f t="array" ref="D96">INDEX('回避'!$O$3:$U$84, MATCH($A$1,'回避'!$A$3:$A$91,0), MATCH(D92,'回避'!$O$2:$R$2,0))</f>
        <v>6-27</v>
      </c>
      <c r="E96" s="113" t="str">
        <f t="array" ref="E96">INDEX('回避'!$O$3:$U$84, MATCH($A$1,'回避'!$A$3:$A$91,0), MATCH(E92,'回避'!$O$2:$R$2,0))</f>
        <v>44</v>
      </c>
      <c r="F96" s="177"/>
      <c r="G96" s="177"/>
      <c r="H96" s="118"/>
      <c r="I96" s="118"/>
      <c r="J96" s="111"/>
      <c r="K96" s="111"/>
      <c r="L96" s="111"/>
      <c r="M96" s="111"/>
      <c r="N96" s="111"/>
      <c r="O96" s="228"/>
      <c r="P96" s="228"/>
      <c r="Q96" s="228"/>
      <c r="R96" s="228"/>
      <c r="S96" s="228"/>
      <c r="T96" s="228"/>
      <c r="U96" s="228"/>
      <c r="V96" s="228"/>
    </row>
    <row r="97" outlineLevel="1">
      <c r="A97" s="106"/>
      <c r="B97" s="288" t="s">
        <v>398</v>
      </c>
      <c r="C97" s="113" t="str">
        <f t="array" ref="C97">INDEX('回避'!$S$3:$U$84, MATCH($A$1,'回避'!$A$3:$A$91,0), MATCH(C92,'回避'!$S$2:$U$2,0))</f>
        <v>3-21</v>
      </c>
      <c r="D97" s="113" t="str">
        <f t="array" ref="D97">INDEX('回避'!$S$3:$U$84, MATCH($A$1,'回避'!$A$3:$A$91,0), MATCH(D92,'回避'!$S$2:$U$2,0))</f>
        <v>6-20</v>
      </c>
      <c r="E97" s="113" t="str">
        <f t="array" ref="E97">INDEX('回避'!$S$3:$U$84, MATCH($A$1,'回避'!$A$3:$A$91,0), MATCH(E92,'回避'!$S$2:$U$2,0))</f>
        <v>真横：74
真上：97
真下：62</v>
      </c>
      <c r="F97" s="289"/>
      <c r="G97" s="289"/>
      <c r="H97" s="118"/>
      <c r="I97" s="118"/>
      <c r="J97" s="117"/>
      <c r="K97" s="117"/>
      <c r="L97" s="117"/>
      <c r="M97" s="117"/>
      <c r="N97" s="111"/>
      <c r="O97" s="118"/>
      <c r="P97" s="118"/>
      <c r="Q97" s="118"/>
      <c r="R97" s="118"/>
      <c r="S97" s="118"/>
      <c r="T97" s="118"/>
      <c r="U97" s="118"/>
      <c r="V97" s="118"/>
    </row>
    <row r="98">
      <c r="A98" s="291"/>
      <c r="B98" s="292"/>
      <c r="C98" s="286"/>
      <c r="D98" s="286"/>
      <c r="E98" s="293"/>
      <c r="F98" s="286"/>
      <c r="G98" s="286"/>
      <c r="H98" s="286"/>
      <c r="I98" s="286"/>
      <c r="J98" s="111"/>
      <c r="K98" s="227"/>
      <c r="L98" s="227"/>
      <c r="M98" s="227"/>
      <c r="N98" s="227"/>
      <c r="O98" s="118"/>
      <c r="P98" s="118"/>
      <c r="Q98" s="118"/>
      <c r="R98" s="118"/>
      <c r="S98" s="118"/>
      <c r="T98" s="118"/>
      <c r="U98" s="118"/>
      <c r="V98" s="118"/>
    </row>
    <row r="99">
      <c r="A99" s="294" t="s">
        <v>238</v>
      </c>
      <c r="B99" s="104"/>
      <c r="C99" s="228"/>
      <c r="D99" s="117"/>
      <c r="E99" s="228"/>
      <c r="F99" s="114"/>
      <c r="G99" s="114"/>
      <c r="H99" s="117"/>
      <c r="I99" s="117"/>
      <c r="J99" s="118"/>
      <c r="K99" s="118"/>
      <c r="L99" s="118"/>
      <c r="M99" s="118"/>
      <c r="N99" s="118"/>
      <c r="O99" s="118"/>
      <c r="P99" s="118"/>
      <c r="Q99" s="118"/>
      <c r="R99" s="118"/>
      <c r="S99" s="118"/>
      <c r="T99" s="118"/>
      <c r="U99" s="118"/>
      <c r="V99" s="118"/>
    </row>
    <row r="100" outlineLevel="1">
      <c r="A100" s="106"/>
      <c r="B100" s="107"/>
      <c r="C100" s="295" t="s">
        <v>235</v>
      </c>
      <c r="D100" s="295" t="s">
        <v>49</v>
      </c>
      <c r="E100" s="295" t="s">
        <v>48</v>
      </c>
      <c r="F100" s="295" t="s">
        <v>50</v>
      </c>
      <c r="G100" s="296" t="s">
        <v>51</v>
      </c>
      <c r="H100" s="228"/>
      <c r="I100" s="228"/>
      <c r="J100" s="117"/>
      <c r="K100" s="297" t="str">
        <f>'テンプレート'!K116</f>
        <v>アイテム取得</v>
      </c>
      <c r="L100" s="109"/>
      <c r="M100" s="298" t="str">
        <f>'テンプレート'!M116</f>
        <v>取得フレーム</v>
      </c>
      <c r="N100" s="298" t="str">
        <f>'テンプレート'!N116</f>
        <v>全体フレーム</v>
      </c>
      <c r="O100" s="118"/>
      <c r="P100" s="118"/>
      <c r="Q100" s="118"/>
      <c r="R100" s="118"/>
      <c r="S100" s="118"/>
      <c r="T100" s="118"/>
      <c r="U100" s="118"/>
      <c r="V100" s="118"/>
    </row>
    <row r="101" outlineLevel="1">
      <c r="A101" s="299" t="s">
        <v>239</v>
      </c>
      <c r="B101" s="300" t="s">
        <v>240</v>
      </c>
      <c r="C101" s="301"/>
      <c r="D101" s="113">
        <f t="array" ref="D101">INDEX('崖行動・受け身'!$C$3:$C106, MATCH($A$1,'崖行動・受け身'!$A$3:$A$115,0), MATCH(D100,'崖行動・受け身'!$C$2,0))</f>
        <v>19</v>
      </c>
      <c r="E101" s="301"/>
      <c r="F101" s="301"/>
      <c r="G101" s="301"/>
      <c r="H101" s="228"/>
      <c r="I101" s="228"/>
      <c r="J101" s="111"/>
      <c r="K101" s="302" t="str">
        <f>'テンプレート'!K117</f>
        <v>小アイテム</v>
      </c>
      <c r="L101" s="303" t="str">
        <f>'テンプレート'!L117</f>
        <v>その場</v>
      </c>
      <c r="M101" s="113" t="s">
        <v>76</v>
      </c>
      <c r="N101" s="113">
        <v>7.0</v>
      </c>
      <c r="O101" s="118"/>
      <c r="P101" s="118"/>
      <c r="Q101" s="118"/>
      <c r="R101" s="118"/>
      <c r="S101" s="118"/>
      <c r="T101" s="118"/>
      <c r="U101" s="118"/>
      <c r="V101" s="118"/>
    </row>
    <row r="102" outlineLevel="1">
      <c r="A102" s="146"/>
      <c r="B102" s="300" t="s">
        <v>216</v>
      </c>
      <c r="C102" s="113" t="str">
        <f t="array" ref="C102">INDEX('崖行動・受け身'!$D$3:$E106, MATCH($A$1,'崖行動・受け身'!$A$3:$A$115,0), MATCH(C100,'崖行動・受け身'!$D$2:$E$2,0))</f>
        <v>1-33</v>
      </c>
      <c r="D102" s="113">
        <f t="array" ref="D102">INDEX('崖行動・受け身'!$D$3:$E106, MATCH($A$1,'崖行動・受け身'!$A$3:$A$115,0), MATCH(D100,'崖行動・受け身'!$D$2:$E$2,0))</f>
        <v>34</v>
      </c>
      <c r="E102" s="301"/>
      <c r="F102" s="301"/>
      <c r="G102" s="301"/>
      <c r="H102" s="228"/>
      <c r="I102" s="228"/>
      <c r="J102" s="117"/>
      <c r="K102" s="156"/>
      <c r="L102" s="303" t="str">
        <f>'テンプレート'!L118</f>
        <v>歩き</v>
      </c>
      <c r="M102" s="113" t="s">
        <v>76</v>
      </c>
      <c r="N102" s="113">
        <v>19.0</v>
      </c>
      <c r="O102" s="118"/>
      <c r="P102" s="118"/>
      <c r="Q102" s="118"/>
      <c r="R102" s="118"/>
      <c r="S102" s="118"/>
      <c r="T102" s="118"/>
      <c r="U102" s="118"/>
      <c r="V102" s="118"/>
    </row>
    <row r="103" outlineLevel="1">
      <c r="A103" s="146"/>
      <c r="B103" s="300" t="s">
        <v>241</v>
      </c>
      <c r="C103" s="113" t="str">
        <f t="array" ref="C103">INDEX('崖行動・受け身'!$F$3:$G$115, MATCH($A$1,'崖行動・受け身'!$A$3:$A$115,0), MATCH(C100,'崖行動・受け身'!$F$2:$G$2,0))</f>
        <v>1-27</v>
      </c>
      <c r="D103" s="113">
        <f t="array" ref="D103">INDEX('崖行動・受け身'!$F$3:$G$115, MATCH($A$1,'崖行動・受け身'!$A$3:$A$115,0), MATCH(D100,'崖行動・受け身'!$F$2:$G$2,0))</f>
        <v>45</v>
      </c>
      <c r="E103" s="301"/>
      <c r="F103" s="301"/>
      <c r="G103" s="301"/>
      <c r="H103" s="228"/>
      <c r="I103" s="228"/>
      <c r="J103" s="111"/>
      <c r="K103" s="304" t="str">
        <f>'テンプレート'!K119</f>
        <v>アイテム投擲</v>
      </c>
      <c r="L103" s="109"/>
      <c r="M103" s="298" t="str">
        <f>'テンプレート'!M119</f>
        <v>投擲フレーム</v>
      </c>
      <c r="N103" s="298" t="str">
        <f>'テンプレート'!N119</f>
        <v>全体フレーム</v>
      </c>
      <c r="O103" s="118"/>
      <c r="P103" s="118"/>
      <c r="Q103" s="118"/>
      <c r="R103" s="118"/>
      <c r="S103" s="118"/>
      <c r="T103" s="118"/>
      <c r="U103" s="118"/>
      <c r="V103" s="118"/>
    </row>
    <row r="104" outlineLevel="1">
      <c r="A104" s="146"/>
      <c r="B104" s="300" t="s">
        <v>242</v>
      </c>
      <c r="C104" s="113" t="str">
        <f t="array" ref="C104">INDEX('崖行動・受け身'!$H$3:$I$115, MATCH($A$1,'崖行動・受け身'!$A$3:$A$115,0), MATCH(C100,'崖行動・受け身'!$H$2:$I$2,0))</f>
        <v>1-12</v>
      </c>
      <c r="D104" s="113">
        <f t="array" ref="D104">INDEX('崖行動・受け身'!$H$3:$I$115, MATCH($A$1,'崖行動・受け身'!$A$3:$A$115,0), MATCH(D100,'崖行動・受け身'!$H$2:$I$2,0))</f>
        <v>14</v>
      </c>
      <c r="E104" s="301"/>
      <c r="F104" s="301"/>
      <c r="G104" s="301"/>
      <c r="H104" s="228"/>
      <c r="I104" s="228"/>
      <c r="J104" s="117"/>
      <c r="K104" s="305" t="str">
        <f>'テンプレート'!K120</f>
        <v>地上投擲</v>
      </c>
      <c r="L104" s="303" t="str">
        <f>'テンプレート'!L120</f>
        <v>前投げ</v>
      </c>
      <c r="M104" s="113" t="s">
        <v>128</v>
      </c>
      <c r="N104" s="113">
        <v>24.0</v>
      </c>
      <c r="O104" s="111"/>
      <c r="P104" s="111"/>
      <c r="Q104" s="111"/>
      <c r="R104" s="111"/>
      <c r="S104" s="111"/>
      <c r="T104" s="111"/>
      <c r="U104" s="111"/>
      <c r="V104" s="111"/>
    </row>
    <row r="105" outlineLevel="1">
      <c r="A105" s="156"/>
      <c r="B105" s="300" t="s">
        <v>243</v>
      </c>
      <c r="C105" s="113" t="str">
        <f t="array" ref="C105">INDEX('崖行動・受け身'!$J$3:$M$115, MATCH($A$1,'崖行動・受け身'!$A$3:$A$115,0), MATCH(C100,'崖行動・受け身'!$J$2:$M$2,0))</f>
        <v>1-25</v>
      </c>
      <c r="D105" s="113">
        <f t="array" ref="D105">INDEX('崖行動・受け身'!$J$3:$M$115, MATCH($A$1,'崖行動・受け身'!$A$3:$A$115,0), MATCH(D100,'崖行動・受け身'!$J$2:$M$2,0))</f>
        <v>55</v>
      </c>
      <c r="E105" s="113" t="str">
        <f t="array" ref="E105">INDEX('崖行動・受け身'!$J$3:$M$115, MATCH($A$1,'崖行動・受け身'!$A$3:$A$115,0), MATCH(E100,'崖行動・受け身'!$J$2:$M$2,0))</f>
        <v>23-25</v>
      </c>
      <c r="F105" s="113">
        <f t="array" ref="F105">INDEX('崖行動・受け身'!$J$3:$M$115, MATCH($A$1,'崖行動・受け身'!$A$3:$A$115,0), MATCH(F100,'崖行動・受け身'!$J$2:$M$2,0))</f>
        <v>10</v>
      </c>
      <c r="G105" s="113">
        <f>F105*1.2</f>
        <v>12</v>
      </c>
      <c r="H105" s="228"/>
      <c r="I105" s="228"/>
      <c r="J105" s="111"/>
      <c r="K105" s="146"/>
      <c r="L105" s="303" t="str">
        <f>'テンプレート'!L121</f>
        <v>後投げ</v>
      </c>
      <c r="M105" s="113" t="s">
        <v>119</v>
      </c>
      <c r="N105" s="113">
        <v>24.0</v>
      </c>
      <c r="O105" s="111"/>
      <c r="P105" s="111"/>
      <c r="Q105" s="111"/>
      <c r="R105" s="111"/>
      <c r="S105" s="111"/>
      <c r="T105" s="111"/>
      <c r="U105" s="111"/>
      <c r="V105" s="111"/>
    </row>
    <row r="106" outlineLevel="1">
      <c r="A106" s="299" t="s">
        <v>244</v>
      </c>
      <c r="B106" s="300" t="s">
        <v>216</v>
      </c>
      <c r="C106" s="113" t="str">
        <f t="array" ref="C106">INDEX('崖行動・受け身'!$N$3:$O$115, MATCH($A$1,'崖行動・受け身'!$A$3:$A$115,0), MATCH(C100,'崖行動・受け身'!$N$2:$O$2,0))</f>
        <v>1-20</v>
      </c>
      <c r="D106" s="113">
        <f t="array" ref="D106">INDEX('崖行動・受け身'!$N$3:$O$115, MATCH($A$1,'崖行動・受け身'!$A$3:$A$115,0), MATCH(D100,'崖行動・受け身'!$N$2:$O$2,0))</f>
        <v>26</v>
      </c>
      <c r="E106" s="301"/>
      <c r="F106" s="301"/>
      <c r="G106" s="301"/>
      <c r="H106" s="228"/>
      <c r="I106" s="228"/>
      <c r="J106" s="117"/>
      <c r="K106" s="146"/>
      <c r="L106" s="303" t="str">
        <f>'テンプレート'!L122</f>
        <v>上投げ</v>
      </c>
      <c r="M106" s="113" t="s">
        <v>386</v>
      </c>
      <c r="N106" s="113">
        <v>23.0</v>
      </c>
      <c r="O106" s="228"/>
      <c r="P106" s="228"/>
      <c r="Q106" s="228"/>
      <c r="R106" s="228"/>
      <c r="S106" s="228"/>
      <c r="T106" s="228"/>
      <c r="U106" s="228"/>
      <c r="V106" s="228"/>
    </row>
    <row r="107" outlineLevel="1">
      <c r="A107" s="146"/>
      <c r="B107" s="300" t="s">
        <v>245</v>
      </c>
      <c r="C107" s="113" t="str">
        <f t="array" ref="C107">INDEX('崖行動・受け身'!$P$3:$Q$115, MATCH($A$1,'崖行動・受け身'!$A$3:$A$115,0), MATCH(C100,'崖行動・受け身'!$P$2:$Q$2,0))</f>
        <v>1-20</v>
      </c>
      <c r="D107" s="113">
        <f t="array" ref="D107">INDEX('崖行動・受け身'!$P$3:$Q$115, MATCH($A$1,'崖行動・受け身'!$A$3:$A$115,0), MATCH(D100,'崖行動・受け身'!$P$2:$Q$2,0))</f>
        <v>40</v>
      </c>
      <c r="E107" s="301"/>
      <c r="F107" s="301"/>
      <c r="G107" s="301"/>
      <c r="H107" s="228"/>
      <c r="I107" s="228"/>
      <c r="J107" s="111"/>
      <c r="K107" s="146"/>
      <c r="L107" s="303" t="str">
        <f>'テンプレート'!L123</f>
        <v>下投げ</v>
      </c>
      <c r="M107" s="113" t="s">
        <v>80</v>
      </c>
      <c r="N107" s="113">
        <v>19.0</v>
      </c>
      <c r="O107" s="118"/>
      <c r="P107" s="118"/>
      <c r="Q107" s="118"/>
      <c r="R107" s="118"/>
      <c r="S107" s="118"/>
      <c r="T107" s="118"/>
      <c r="U107" s="118"/>
      <c r="V107" s="118"/>
    </row>
    <row r="108" outlineLevel="1">
      <c r="A108" s="156"/>
      <c r="B108" s="300" t="s">
        <v>246</v>
      </c>
      <c r="C108" s="113" t="str">
        <f t="array" ref="C108">INDEX('崖行動・受け身'!$R$3:$S$115, MATCH($A$1,'崖行動・受け身'!$A$3:$A$115,0), MATCH(C100,'崖行動・受け身'!$R$2:$S$2,0))</f>
        <v>1-20</v>
      </c>
      <c r="D108" s="113">
        <f t="array" ref="D108">INDEX('崖行動・受け身'!$R$3:$S$115, MATCH($A$1,'崖行動・受け身'!$A$3:$A$115,0), MATCH(D100,'崖行動・受け身'!$R$2:$S$2,0))</f>
        <v>40</v>
      </c>
      <c r="E108" s="301"/>
      <c r="F108" s="301"/>
      <c r="G108" s="301"/>
      <c r="H108" s="228"/>
      <c r="I108" s="228"/>
      <c r="J108" s="117"/>
      <c r="K108" s="146"/>
      <c r="L108" s="306" t="str">
        <f>'テンプレート'!L124</f>
        <v>ダッシュ</v>
      </c>
      <c r="M108" s="113" t="s">
        <v>86</v>
      </c>
      <c r="N108" s="113">
        <v>37.0</v>
      </c>
      <c r="O108" s="118"/>
      <c r="P108" s="118"/>
      <c r="Q108" s="118"/>
      <c r="R108" s="118"/>
      <c r="S108" s="118"/>
      <c r="T108" s="118"/>
      <c r="U108" s="118"/>
      <c r="V108" s="118"/>
    </row>
    <row r="109" outlineLevel="1">
      <c r="A109" s="299" t="s">
        <v>247</v>
      </c>
      <c r="B109" s="300" t="s">
        <v>248</v>
      </c>
      <c r="C109" s="301"/>
      <c r="D109" s="113" t="str">
        <f t="array" ref="D109">INDEX('起きあがり'!$C$3:$C106, MATCH($A$1,'起きあがり'!$A$3:$A$115,0), MATCH(D100,'起きあがり'!$C$2:$AD$2,0))</f>
        <v>25</v>
      </c>
      <c r="E109" s="301"/>
      <c r="F109" s="301"/>
      <c r="G109" s="301"/>
      <c r="H109" s="228"/>
      <c r="I109" s="228"/>
      <c r="J109" s="111"/>
      <c r="K109" s="156"/>
      <c r="L109" s="306" t="str">
        <f>'テンプレート'!L125</f>
        <v>その場捨て</v>
      </c>
      <c r="M109" s="113" t="s">
        <v>93</v>
      </c>
      <c r="N109" s="113">
        <v>23.0</v>
      </c>
      <c r="O109" s="118"/>
      <c r="P109" s="118"/>
      <c r="Q109" s="118"/>
      <c r="R109" s="118"/>
      <c r="S109" s="118"/>
      <c r="T109" s="118"/>
      <c r="U109" s="118"/>
      <c r="V109" s="118"/>
    </row>
    <row r="110" outlineLevel="1">
      <c r="A110" s="146"/>
      <c r="B110" s="300" t="s">
        <v>216</v>
      </c>
      <c r="C110" s="307" t="str">
        <f t="array" ref="C110">INDEX('起きあがり'!$D$3:$E106, MATCH($A$1,'起きあがり'!$A$3:$A$115,0), MATCH(C100,'起きあがり'!$D$2:$AD$2,0))</f>
        <v>1-22</v>
      </c>
      <c r="D110" s="308">
        <f t="array" ref="D110">INDEX('起きあがり'!$D$3:$E106, MATCH($A$1,'起きあがり'!$A$3:$A$115,0), MATCH(D100,'起きあがり'!$D$2:$AD$2,0))</f>
        <v>29</v>
      </c>
      <c r="E110" s="301"/>
      <c r="F110" s="301"/>
      <c r="G110" s="301"/>
      <c r="H110" s="228"/>
      <c r="I110" s="228"/>
      <c r="J110" s="117"/>
      <c r="K110" s="305" t="str">
        <f>'テンプレート'!K126</f>
        <v>空中投擲</v>
      </c>
      <c r="L110" s="303" t="str">
        <f>'テンプレート'!L126</f>
        <v>前投げ</v>
      </c>
      <c r="M110" s="113" t="s">
        <v>128</v>
      </c>
      <c r="N110" s="113">
        <v>24.0</v>
      </c>
      <c r="O110" s="118"/>
      <c r="P110" s="118"/>
      <c r="Q110" s="118"/>
      <c r="R110" s="118"/>
      <c r="S110" s="118"/>
      <c r="T110" s="118"/>
      <c r="U110" s="118"/>
      <c r="V110" s="118"/>
    </row>
    <row r="111" outlineLevel="1">
      <c r="A111" s="146"/>
      <c r="B111" s="300" t="s">
        <v>245</v>
      </c>
      <c r="C111" s="307" t="str">
        <f t="array" ref="C111">INDEX('起きあがり'!$F$3:$G$115, MATCH($A$1,'起きあがり'!$A$3:$A$115,0), MATCH(C100,'起きあがり'!$F$2:$AD$2,0))</f>
        <v>1-19</v>
      </c>
      <c r="D111" s="308">
        <f t="array" ref="D111">INDEX('起きあがり'!$F$3:$G$115, MATCH($A$1,'起きあがり'!$A$3:$A$115,0), MATCH(D100,'起きあがり'!$F$2:$AD$2,0))</f>
        <v>35</v>
      </c>
      <c r="E111" s="301"/>
      <c r="F111" s="301"/>
      <c r="G111" s="301"/>
      <c r="H111" s="228"/>
      <c r="I111" s="228"/>
      <c r="J111" s="111"/>
      <c r="K111" s="146"/>
      <c r="L111" s="303" t="str">
        <f>'テンプレート'!L127</f>
        <v>後投げ</v>
      </c>
      <c r="M111" s="113" t="s">
        <v>119</v>
      </c>
      <c r="N111" s="113">
        <v>24.0</v>
      </c>
      <c r="O111" s="118"/>
      <c r="P111" s="118"/>
      <c r="Q111" s="118"/>
      <c r="R111" s="118"/>
      <c r="S111" s="118"/>
      <c r="T111" s="118"/>
      <c r="U111" s="118"/>
      <c r="V111" s="118"/>
    </row>
    <row r="112" outlineLevel="1">
      <c r="A112" s="146"/>
      <c r="B112" s="300" t="s">
        <v>246</v>
      </c>
      <c r="C112" s="113" t="str">
        <f t="array" ref="C112">INDEX('起きあがり'!$H$3:$I$115, MATCH($A$1,'起きあがり'!$A$3:$A$115,0), MATCH(C100,'起きあがり'!$H$2:$AD$2,0))</f>
        <v>1-19</v>
      </c>
      <c r="D112" s="113">
        <f t="array" ref="D112">INDEX('起きあがり'!$H$3:$I$115, MATCH($A$1,'起きあがり'!$A$3:$A$115,0), MATCH(D100,'起きあがり'!$H$2:$AD$2,0))</f>
        <v>35</v>
      </c>
      <c r="E112" s="301"/>
      <c r="F112" s="301"/>
      <c r="G112" s="301"/>
      <c r="H112" s="228"/>
      <c r="I112" s="228"/>
      <c r="J112" s="117"/>
      <c r="K112" s="146"/>
      <c r="L112" s="303" t="str">
        <f>'テンプレート'!L128</f>
        <v>上投げ</v>
      </c>
      <c r="M112" s="113" t="s">
        <v>386</v>
      </c>
      <c r="N112" s="113">
        <v>23.0</v>
      </c>
      <c r="O112" s="118"/>
      <c r="P112" s="118"/>
      <c r="Q112" s="118"/>
      <c r="R112" s="118"/>
      <c r="S112" s="118"/>
      <c r="T112" s="118"/>
      <c r="U112" s="118"/>
      <c r="V112" s="118"/>
    </row>
    <row r="113" outlineLevel="1">
      <c r="A113" s="146"/>
      <c r="B113" s="300" t="s">
        <v>249</v>
      </c>
      <c r="C113" s="309" t="str">
        <f t="array" ref="C113">INDEX('起きあがり'!$J$3:$M$115, MATCH($A$1,'起きあがり'!$A$3:$A$115,0), MATCH(C100,'起きあがり'!$J$2:$AD$2,0))</f>
        <v>1-24</v>
      </c>
      <c r="D113" s="310">
        <f t="array" ref="D113">INDEX('起きあがり'!$J$3:$M$115, MATCH($A$1,'起きあがり'!$A$3:$A$115,0), MATCH(D100,'起きあがり'!$J$2:$AD$2,0))</f>
        <v>45</v>
      </c>
      <c r="E113" s="307" t="str">
        <f t="array" ref="E113">INDEX('起きあがり'!$J$3:$M$115, MATCH($A$1,'起きあがり'!$A$3:$A$115,0), MATCH(E100,'起きあがり'!$J$2:$AD$2,0))</f>
        <v>16-17</v>
      </c>
      <c r="F113" s="308">
        <f t="array" ref="F113">INDEX('起きあがり'!$J$3:$M$115, MATCH($A$1,'起きあがり'!$A$3:$A$115,0), MATCH(F100,'起きあがり'!$J$2:$AD$2,0))</f>
        <v>7</v>
      </c>
      <c r="G113" s="113">
        <f t="shared" ref="G113:G114" si="1">F113*1.2</f>
        <v>8.4</v>
      </c>
      <c r="H113" s="228"/>
      <c r="I113" s="228"/>
      <c r="J113" s="111"/>
      <c r="K113" s="156"/>
      <c r="L113" s="303" t="str">
        <f>'テンプレート'!L129</f>
        <v>下投げ</v>
      </c>
      <c r="M113" s="113" t="s">
        <v>80</v>
      </c>
      <c r="N113" s="113">
        <v>19.0</v>
      </c>
      <c r="O113" s="111"/>
      <c r="P113" s="111"/>
      <c r="Q113" s="111"/>
      <c r="R113" s="111"/>
      <c r="S113" s="111"/>
      <c r="T113" s="111"/>
      <c r="U113" s="111"/>
      <c r="V113" s="111"/>
    </row>
    <row r="114" outlineLevel="1">
      <c r="A114" s="156"/>
      <c r="B114" s="311" t="s">
        <v>250</v>
      </c>
      <c r="C114" s="156"/>
      <c r="D114" s="156"/>
      <c r="E114" s="307" t="str">
        <f t="array" ref="E114">INDEX('起きあがり'!$N$3:$O$115, MATCH($A$1,'起きあがり'!$A$3:$A$115,0), MATCH(E100,'起きあがり'!$N$2:$AD$2,0))</f>
        <v>23-24</v>
      </c>
      <c r="F114" s="308">
        <f t="array" ref="F114">INDEX('起きあがり'!$N$3:$O$115, MATCH($A$1,'起きあがり'!$A$3:$A$115,0), MATCH(F100,'起きあがり'!$N$2:$AD$2,0))</f>
        <v>7</v>
      </c>
      <c r="G114" s="113">
        <f t="shared" si="1"/>
        <v>8.4</v>
      </c>
      <c r="H114" s="228"/>
      <c r="I114" s="228"/>
      <c r="J114" s="111"/>
      <c r="K114" s="312" t="str">
        <f>'テンプレート'!K130</f>
        <v>踏み台ジャンプ</v>
      </c>
      <c r="L114" s="168"/>
      <c r="M114" s="298" t="str">
        <f>'テンプレート'!M130</f>
        <v>全体フレーム</v>
      </c>
      <c r="N114" s="114"/>
      <c r="O114" s="111"/>
      <c r="P114" s="111"/>
      <c r="Q114" s="111"/>
      <c r="R114" s="111"/>
      <c r="S114" s="111"/>
      <c r="T114" s="111"/>
      <c r="U114" s="111"/>
      <c r="V114" s="111"/>
    </row>
    <row r="115" outlineLevel="1">
      <c r="A115" s="299" t="s">
        <v>251</v>
      </c>
      <c r="B115" s="300" t="s">
        <v>248</v>
      </c>
      <c r="C115" s="301"/>
      <c r="D115" s="307" t="str">
        <f t="array" ref="D115">INDEX('起きあがり'!$C$3:$C106, MATCH($A$1,'起きあがり'!$A$3:$A$115,0), MATCH(D100,'起きあがり'!$C$2,0))</f>
        <v>25</v>
      </c>
      <c r="E115" s="301"/>
      <c r="F115" s="301"/>
      <c r="G115" s="301"/>
      <c r="H115" s="228"/>
      <c r="I115" s="228"/>
      <c r="J115" s="117"/>
      <c r="K115" s="313" t="str">
        <f>'テンプレート'!K131</f>
        <v>踏み</v>
      </c>
      <c r="L115" s="314" t="str">
        <f>'テンプレート'!L131</f>
        <v>踏み</v>
      </c>
      <c r="M115" s="113">
        <v>8.0</v>
      </c>
      <c r="N115" s="315"/>
      <c r="O115" s="111"/>
      <c r="P115" s="111"/>
      <c r="Q115" s="111"/>
      <c r="R115" s="111"/>
      <c r="S115" s="111"/>
      <c r="T115" s="111"/>
      <c r="U115" s="111"/>
      <c r="V115" s="111"/>
    </row>
    <row r="116" outlineLevel="1">
      <c r="A116" s="146"/>
      <c r="B116" s="300" t="s">
        <v>216</v>
      </c>
      <c r="C116" s="307" t="str">
        <f t="array" ref="C116">INDEX('起きあがり'!$P$3:$Q$115, MATCH($A$1,'起きあがり'!$A$3:$A$115,0), MATCH(C100,'起きあがり'!$P$2:$AD$2,0))</f>
        <v>1-22</v>
      </c>
      <c r="D116" s="308">
        <f t="array" ref="D116">INDEX('起きあがり'!$P$3:$Q$115, MATCH($A$1,'起きあがり'!$A$3:$A$115,0), MATCH(D100,'起きあがり'!$P$2:$AD$2,0))</f>
        <v>29</v>
      </c>
      <c r="E116" s="301"/>
      <c r="F116" s="301"/>
      <c r="G116" s="301"/>
      <c r="H116" s="228"/>
      <c r="I116" s="228"/>
      <c r="J116" s="111"/>
      <c r="K116" s="305" t="str">
        <f>'テンプレート'!K132</f>
        <v>踏まれ</v>
      </c>
      <c r="L116" s="314" t="str">
        <f>'テンプレート'!L132</f>
        <v>地上踏まれ</v>
      </c>
      <c r="M116" s="113" t="s">
        <v>76</v>
      </c>
      <c r="N116" s="315"/>
      <c r="O116" s="228"/>
      <c r="P116" s="228"/>
      <c r="Q116" s="228"/>
      <c r="R116" s="228"/>
      <c r="S116" s="228"/>
      <c r="T116" s="228"/>
      <c r="U116" s="228"/>
      <c r="V116" s="228"/>
    </row>
    <row r="117" outlineLevel="1">
      <c r="A117" s="146"/>
      <c r="B117" s="300" t="s">
        <v>245</v>
      </c>
      <c r="C117" s="307" t="str">
        <f t="array" ref="C117">INDEX('起きあがり'!$R$3:$S$115, MATCH($A$1,'起きあがり'!$A$3:$A$115,0), MATCH(C100,'起きあがり'!$R$2:$AD$2,0))</f>
        <v>1-19</v>
      </c>
      <c r="D117" s="308">
        <f t="array" ref="D117">INDEX('起きあがり'!$R$3:$S$115, MATCH($A$1,'起きあがり'!$A$3:$A$115,0), MATCH(D100,'起きあがり'!$R$2:$AD$2,0))</f>
        <v>35</v>
      </c>
      <c r="E117" s="301"/>
      <c r="F117" s="301"/>
      <c r="G117" s="301"/>
      <c r="H117" s="228"/>
      <c r="I117" s="228"/>
      <c r="J117" s="117"/>
      <c r="K117" s="146"/>
      <c r="L117" s="314" t="s">
        <v>693</v>
      </c>
      <c r="M117" s="113">
        <v>28.0</v>
      </c>
      <c r="N117" s="102"/>
      <c r="O117" s="118"/>
      <c r="P117" s="118"/>
      <c r="Q117" s="118"/>
      <c r="R117" s="118"/>
      <c r="S117" s="118"/>
      <c r="T117" s="118"/>
      <c r="U117" s="118"/>
      <c r="V117" s="118"/>
    </row>
    <row r="118" outlineLevel="1">
      <c r="A118" s="146"/>
      <c r="B118" s="300" t="s">
        <v>246</v>
      </c>
      <c r="C118" s="307" t="str">
        <f t="array" ref="C118">INDEX('起きあがり'!$T$3:$U$115, MATCH($A$1,'起きあがり'!$A$3:$A$115,0), MATCH(C100,'起きあがり'!$T$2:$AD$2,0))</f>
        <v>1-19</v>
      </c>
      <c r="D118" s="308">
        <f t="array" ref="D118">INDEX('起きあがり'!$T$3:$U$115, MATCH($A$1,'起きあがり'!$A$3:$A$115,0), MATCH(D100,'起きあがり'!$T$2:$AD$2,0))</f>
        <v>35</v>
      </c>
      <c r="E118" s="301"/>
      <c r="F118" s="301"/>
      <c r="G118" s="301"/>
      <c r="H118" s="228"/>
      <c r="I118" s="228"/>
      <c r="J118" s="111"/>
      <c r="K118" s="146"/>
      <c r="L118" s="314" t="str">
        <f>'テンプレート'!L134</f>
        <v>空中踏まれ</v>
      </c>
      <c r="M118" s="113">
        <v>12.0</v>
      </c>
      <c r="N118" s="102"/>
      <c r="O118" s="118"/>
      <c r="P118" s="118"/>
      <c r="Q118" s="118"/>
      <c r="R118" s="118"/>
      <c r="S118" s="118"/>
      <c r="T118" s="118"/>
      <c r="U118" s="118"/>
      <c r="V118" s="118"/>
    </row>
    <row r="119" outlineLevel="1">
      <c r="A119" s="146"/>
      <c r="B119" s="300" t="s">
        <v>249</v>
      </c>
      <c r="C119" s="309" t="str">
        <f t="array" ref="C119">INDEX('起きあがり'!$V$3:$Y$115, MATCH($A$1,'起きあがり'!$A$3:$A$115,0), MATCH(C100,'起きあがり'!$V$2:$AD$2,0))</f>
        <v>1-22</v>
      </c>
      <c r="D119" s="310">
        <f t="array" ref="D119">INDEX('起きあがり'!$V$3:$Y$115, MATCH($A$1,'起きあがり'!$A$3:$A$115,0), MATCH(D100,'起きあがり'!$V$2:$AD$2,0))</f>
        <v>45</v>
      </c>
      <c r="E119" s="307" t="str">
        <f t="array" ref="E119">INDEX('起きあがり'!$V$3:$Y$115, MATCH($A$1,'起きあがり'!$A$3:$A$115,0), MATCH(E100,'起きあがり'!$V$2:$AD$2,0))</f>
        <v>16-17</v>
      </c>
      <c r="F119" s="308">
        <f t="array" ref="F119">INDEX('起きあがり'!$V$3:$Y$115, MATCH($A$1,'起きあがり'!$A$3:$A$115,0), MATCH(F100,'起きあがり'!$V$2:$AD$2,0))</f>
        <v>7</v>
      </c>
      <c r="G119" s="113">
        <f t="shared" ref="G119:G120" si="2">F119*1.2</f>
        <v>8.4</v>
      </c>
      <c r="H119" s="228"/>
      <c r="I119" s="228"/>
      <c r="J119" s="117"/>
      <c r="K119" s="146"/>
      <c r="L119" s="314" t="str">
        <f>'テンプレート'!L135</f>
        <v>空中落下</v>
      </c>
      <c r="M119" s="113">
        <v>33.0</v>
      </c>
      <c r="N119" s="102"/>
      <c r="O119" s="118"/>
      <c r="P119" s="118"/>
      <c r="Q119" s="118"/>
      <c r="R119" s="118"/>
      <c r="S119" s="118"/>
      <c r="T119" s="118"/>
      <c r="U119" s="118"/>
      <c r="V119" s="118"/>
    </row>
    <row r="120" outlineLevel="1">
      <c r="A120" s="156"/>
      <c r="B120" s="311" t="s">
        <v>250</v>
      </c>
      <c r="C120" s="156"/>
      <c r="D120" s="156"/>
      <c r="E120" s="307" t="str">
        <f t="array" ref="E120">INDEX('起きあがり'!$Z$3:$AA$115, MATCH($A$1,'起きあがり'!$A$3:$A$115,0), MATCH(E100,'起きあがり'!$Z$2:$AD$2,0))</f>
        <v>21-22</v>
      </c>
      <c r="F120" s="308">
        <f t="array" ref="F120">INDEX('起きあがり'!$Z$3:$AA$115, MATCH($A$1,'起きあがり'!$A$3:$A$115,0), MATCH(F100,'起きあがり'!$Z$2:$AD$2,0))</f>
        <v>7</v>
      </c>
      <c r="G120" s="113">
        <f t="shared" si="2"/>
        <v>8.4</v>
      </c>
      <c r="H120" s="228"/>
      <c r="I120" s="228"/>
      <c r="J120" s="117"/>
      <c r="K120" s="304" t="str">
        <f>'テンプレート'!K136</f>
        <v>倒れダメージ</v>
      </c>
      <c r="L120" s="110"/>
      <c r="M120" s="298" t="str">
        <f>'テンプレート'!M136</f>
        <v>全体フレーム</v>
      </c>
      <c r="N120" s="102"/>
      <c r="O120" s="118"/>
      <c r="P120" s="118"/>
      <c r="Q120" s="118"/>
      <c r="R120" s="118"/>
      <c r="S120" s="118"/>
      <c r="T120" s="118"/>
      <c r="U120" s="118"/>
      <c r="V120" s="118"/>
    </row>
    <row r="121" outlineLevel="1">
      <c r="A121" s="299" t="s">
        <v>252</v>
      </c>
      <c r="B121" s="300" t="s">
        <v>253</v>
      </c>
      <c r="C121" s="307" t="str">
        <f t="array" ref="C121">INDEX('転倒'!$C$3:$D106, MATCH($A$1,'転倒'!$A$3:$A$115,0), MATCH(C100,'転倒'!$C$2:$AC$2,0))</f>
        <v>1-5</v>
      </c>
      <c r="D121" s="308">
        <f t="array" ref="D121">INDEX('転倒'!$C$3:$D106, MATCH($A$1,'転倒'!$A$3:$A$115,0), MATCH(D100,'転倒'!$C$2:$AC$2,0))</f>
        <v>29</v>
      </c>
      <c r="E121" s="301"/>
      <c r="F121" s="301"/>
      <c r="G121" s="301"/>
      <c r="H121" s="228"/>
      <c r="I121" s="228"/>
      <c r="J121" s="111"/>
      <c r="K121" s="313" t="str">
        <f>'テンプレート'!K137</f>
        <v>あお向け倒れ</v>
      </c>
      <c r="L121" s="306" t="str">
        <f>'テンプレート'!L137</f>
        <v>モーション大</v>
      </c>
      <c r="M121" s="113">
        <v>39.0</v>
      </c>
      <c r="N121" s="315"/>
      <c r="O121" s="118"/>
      <c r="P121" s="118"/>
      <c r="Q121" s="118"/>
      <c r="R121" s="118"/>
      <c r="S121" s="118"/>
      <c r="T121" s="118"/>
      <c r="U121" s="118"/>
      <c r="V121" s="118"/>
    </row>
    <row r="122" outlineLevel="1">
      <c r="A122" s="146"/>
      <c r="B122" s="300" t="s">
        <v>254</v>
      </c>
      <c r="C122" s="307" t="str">
        <f t="array" ref="C122">INDEX('転倒'!$E$3:$F106, MATCH($A$1,'転倒'!$A$3:$A$115,0), MATCH(C100,'転倒'!$E$2:$AC$2,0))</f>
        <v>1-5</v>
      </c>
      <c r="D122" s="308">
        <f t="array" ref="D122">INDEX('転倒'!$E$3:$F106, MATCH($A$1,'転倒'!$A$3:$A$115,0), MATCH(D100,'転倒'!$E$2:$AC$2,0))</f>
        <v>39</v>
      </c>
      <c r="E122" s="301"/>
      <c r="F122" s="301"/>
      <c r="G122" s="301"/>
      <c r="H122" s="228"/>
      <c r="I122" s="228"/>
      <c r="J122" s="117"/>
      <c r="K122" s="313" t="str">
        <f>'テンプレート'!K138</f>
        <v>うつ伏せ倒れ</v>
      </c>
      <c r="L122" s="306" t="str">
        <f>'テンプレート'!L138</f>
        <v>モーション大</v>
      </c>
      <c r="M122" s="113" t="s">
        <v>118</v>
      </c>
      <c r="N122" s="315"/>
      <c r="O122" s="118"/>
      <c r="P122" s="118"/>
      <c r="Q122" s="118"/>
      <c r="R122" s="118"/>
      <c r="S122" s="118"/>
      <c r="T122" s="118"/>
      <c r="U122" s="118"/>
      <c r="V122" s="118"/>
    </row>
    <row r="123" outlineLevel="1">
      <c r="A123" s="146"/>
      <c r="B123" s="300" t="s">
        <v>216</v>
      </c>
      <c r="C123" s="307" t="str">
        <f t="array" ref="C123">INDEX('転倒'!$G$3:$H$115, MATCH($A$1,'転倒'!$A$3:$A$115,0), MATCH(C100,'転倒'!$G$2:$AC$2,0))</f>
        <v>1-16</v>
      </c>
      <c r="D123" s="308">
        <f t="array" ref="D123">INDEX('転倒'!$G$3:$H$115, MATCH($A$1,'転倒'!$A$3:$A$115,0), MATCH(D100,'転倒'!$G$2:$AC$2,0))</f>
        <v>21</v>
      </c>
      <c r="E123" s="301"/>
      <c r="F123" s="301"/>
      <c r="G123" s="301"/>
      <c r="H123" s="228"/>
      <c r="I123" s="228"/>
      <c r="J123" s="111"/>
      <c r="K123" s="304" t="str">
        <f>'テンプレート'!K139</f>
        <v/>
      </c>
      <c r="L123" s="110"/>
      <c r="M123" s="298" t="str">
        <f>'テンプレート'!M139</f>
        <v/>
      </c>
      <c r="N123" s="102"/>
      <c r="O123" s="118"/>
      <c r="P123" s="118"/>
      <c r="Q123" s="118"/>
      <c r="R123" s="118"/>
      <c r="S123" s="118"/>
      <c r="T123" s="118"/>
      <c r="U123" s="118"/>
      <c r="V123" s="118"/>
    </row>
    <row r="124" outlineLevel="1">
      <c r="A124" s="146"/>
      <c r="B124" s="300" t="s">
        <v>245</v>
      </c>
      <c r="C124" s="307" t="str">
        <f t="array" ref="C124">INDEX('転倒'!$I$3:$J$115, MATCH($A$1,'転倒'!$A$3:$A$115,0), MATCH(C100,'転倒'!$I$2:$AC$2,0))</f>
        <v>1-9</v>
      </c>
      <c r="D124" s="308">
        <f t="array" ref="D124">INDEX('転倒'!$I$3:$J$115, MATCH($A$1,'転倒'!$A$3:$A$115,0), MATCH(D100,'転倒'!$I$2:$AC$2,0))</f>
        <v>28</v>
      </c>
      <c r="E124" s="301"/>
      <c r="F124" s="301"/>
      <c r="G124" s="301"/>
      <c r="H124" s="228"/>
      <c r="I124" s="228"/>
      <c r="J124" s="228"/>
      <c r="K124" s="316"/>
      <c r="L124" s="317" t="str">
        <f>'テンプレート'!L140</f>
        <v/>
      </c>
      <c r="M124" s="113" t="s">
        <v>76</v>
      </c>
      <c r="N124" s="102"/>
      <c r="O124" s="118"/>
      <c r="P124" s="118"/>
      <c r="Q124" s="118"/>
      <c r="R124" s="118"/>
      <c r="S124" s="118"/>
      <c r="T124" s="118"/>
      <c r="U124" s="118"/>
      <c r="V124" s="118"/>
    </row>
    <row r="125" outlineLevel="1">
      <c r="A125" s="146"/>
      <c r="B125" s="300" t="s">
        <v>246</v>
      </c>
      <c r="C125" s="307" t="str">
        <f t="array" ref="C125">INDEX('転倒'!$K$3:$L$115, MATCH($A$1,'転倒'!$A$3:$A$115,0), MATCH(C100,'転倒'!$K$2:$AC$2,0))</f>
        <v>1-9</v>
      </c>
      <c r="D125" s="308">
        <f t="array" ref="D125">INDEX('転倒'!$K$3:$L$115, MATCH($A$1,'転倒'!$A$3:$A$115,0), MATCH(D100,'転倒'!$K$2:$AC$2,0))</f>
        <v>28</v>
      </c>
      <c r="E125" s="301"/>
      <c r="F125" s="301"/>
      <c r="G125" s="301"/>
      <c r="H125" s="228"/>
      <c r="I125" s="228"/>
      <c r="J125" s="228"/>
      <c r="K125" s="318"/>
      <c r="L125" s="118"/>
      <c r="M125" s="118"/>
      <c r="N125" s="102"/>
      <c r="O125" s="118"/>
      <c r="P125" s="118"/>
      <c r="Q125" s="118"/>
      <c r="R125" s="118"/>
      <c r="S125" s="118"/>
      <c r="T125" s="118"/>
      <c r="U125" s="118"/>
      <c r="V125" s="118"/>
    </row>
    <row r="126" outlineLevel="1">
      <c r="A126" s="146"/>
      <c r="B126" s="300" t="s">
        <v>249</v>
      </c>
      <c r="C126" s="309" t="str">
        <f t="array" ref="C126">INDEX('転倒'!$M$3:$P$115, MATCH($A$1,'転倒'!$A$3:$A$115,0), MATCH(C100,'転倒'!$M$2:$AC$2,0))</f>
        <v>1-7</v>
      </c>
      <c r="D126" s="310">
        <f t="array" ref="D126">INDEX('転倒'!$M$3:$P$115, MATCH($A$1,'転倒'!$A$3:$A$115,0), MATCH(D100,'転倒'!$M$2:$AC$2,0))</f>
        <v>49</v>
      </c>
      <c r="E126" s="307" t="str">
        <f t="array" ref="E126">INDEX('転倒'!$M$3:$P$115, MATCH($A$1,'転倒'!$A$3:$A$115,0), MATCH(E100,'転倒'!$M$2:$AC$2,0))</f>
        <v>20-21</v>
      </c>
      <c r="F126" s="308">
        <f t="array" ref="F126">INDEX('転倒'!$M$3:$P$115, MATCH($A$1,'転倒'!$A$3:$A$115,0), MATCH(F100,'転倒'!$M$2:$AC$2,0))</f>
        <v>5</v>
      </c>
      <c r="G126" s="113">
        <f t="shared" ref="G126:G127" si="3">F126*1.2</f>
        <v>6</v>
      </c>
      <c r="H126" s="228"/>
      <c r="I126" s="228"/>
      <c r="J126" s="228"/>
      <c r="K126" s="118"/>
      <c r="L126" s="118"/>
      <c r="M126" s="118"/>
      <c r="N126" s="102"/>
      <c r="O126" s="102"/>
      <c r="P126" s="102"/>
      <c r="Q126" s="102"/>
      <c r="R126" s="118"/>
      <c r="S126" s="118"/>
      <c r="T126" s="118"/>
      <c r="U126" s="118"/>
      <c r="V126" s="118"/>
    </row>
    <row r="127" outlineLevel="1">
      <c r="A127" s="156"/>
      <c r="B127" s="311" t="s">
        <v>250</v>
      </c>
      <c r="C127" s="156"/>
      <c r="D127" s="156"/>
      <c r="E127" s="307" t="str">
        <f t="array" ref="E127">INDEX('転倒'!$Q$3:$R$115, MATCH($A$1,'転倒'!$A$3:$A$115,0), MATCH(E100,'転倒'!$Q$2:$AC$2,0))</f>
        <v>30-31</v>
      </c>
      <c r="F127" s="308">
        <f t="array" ref="F127">INDEX('転倒'!$Q$3:$R$115, MATCH($A$1,'転倒'!$A$3:$A$115,0), MATCH(F100,'転倒'!$Q$2:$AC$2,0))</f>
        <v>5</v>
      </c>
      <c r="G127" s="113">
        <f t="shared" si="3"/>
        <v>6</v>
      </c>
      <c r="H127" s="228"/>
      <c r="I127" s="228"/>
      <c r="J127" s="228"/>
      <c r="K127" s="118"/>
      <c r="L127" s="118"/>
      <c r="M127" s="118"/>
      <c r="N127" s="102"/>
      <c r="O127" s="102"/>
      <c r="P127" s="102"/>
      <c r="Q127" s="102"/>
      <c r="R127" s="118"/>
      <c r="S127" s="118"/>
      <c r="T127" s="118"/>
      <c r="U127" s="118"/>
      <c r="V127" s="118"/>
    </row>
    <row r="128" outlineLevel="1">
      <c r="A128" s="319"/>
      <c r="B128" s="320"/>
      <c r="C128" s="321"/>
      <c r="D128" s="321"/>
      <c r="E128" s="322"/>
      <c r="F128" s="322"/>
      <c r="G128" s="114"/>
      <c r="H128" s="228"/>
      <c r="I128" s="228"/>
      <c r="J128" s="228"/>
      <c r="K128" s="118"/>
      <c r="L128" s="118"/>
      <c r="M128" s="118"/>
      <c r="N128" s="102"/>
      <c r="O128" s="102"/>
      <c r="P128" s="102"/>
      <c r="Q128" s="102"/>
      <c r="R128" s="118"/>
      <c r="S128" s="118"/>
      <c r="T128" s="118"/>
      <c r="U128" s="118"/>
      <c r="V128" s="118"/>
    </row>
    <row r="129" outlineLevel="1">
      <c r="A129" s="323" t="s">
        <v>255</v>
      </c>
      <c r="B129" s="109"/>
      <c r="C129" s="321"/>
      <c r="D129" s="321"/>
      <c r="E129" s="322"/>
      <c r="F129" s="322"/>
      <c r="G129" s="114"/>
      <c r="H129" s="228"/>
      <c r="I129" s="228"/>
      <c r="J129" s="228"/>
      <c r="K129" s="118"/>
      <c r="L129" s="118"/>
      <c r="M129" s="118"/>
      <c r="N129" s="102"/>
      <c r="O129" s="102"/>
      <c r="P129" s="102"/>
      <c r="Q129" s="102"/>
      <c r="R129" s="118"/>
      <c r="S129" s="118"/>
      <c r="T129" s="118"/>
      <c r="U129" s="118"/>
      <c r="V129" s="118"/>
    </row>
    <row r="130" outlineLevel="1">
      <c r="A130" s="324" t="s">
        <v>256</v>
      </c>
      <c r="B130" s="109"/>
      <c r="C130" s="325" t="s">
        <v>257</v>
      </c>
      <c r="D130" s="325" t="s">
        <v>49</v>
      </c>
      <c r="E130" s="322"/>
      <c r="F130" s="322"/>
      <c r="G130" s="114"/>
      <c r="H130" s="228"/>
      <c r="I130" s="228"/>
      <c r="J130" s="228"/>
      <c r="K130" s="118"/>
      <c r="L130" s="118"/>
      <c r="M130" s="118"/>
      <c r="N130" s="102"/>
      <c r="O130" s="102"/>
      <c r="P130" s="102"/>
      <c r="Q130" s="102"/>
      <c r="R130" s="118"/>
      <c r="S130" s="118"/>
      <c r="T130" s="118"/>
      <c r="U130" s="118"/>
      <c r="V130" s="118"/>
    </row>
    <row r="131" outlineLevel="1">
      <c r="A131" s="326" t="s">
        <v>258</v>
      </c>
      <c r="B131" s="327" t="s">
        <v>216</v>
      </c>
      <c r="C131" s="328" t="str">
        <f t="array" ref="C131">INDEX('アイテム'!$C$3:$D$114, MATCH($A$1,'アイテム'!$A$3:$A$114,0), MATCH(C130,'アイテム'!$C$2:$AQ$2,0))</f>
        <v>3</v>
      </c>
      <c r="D131" s="328">
        <f t="array" ref="D131">INDEX('アイテム'!$C$3:$D$114, MATCH($A$1,'アイテム'!$A$3:$A$114,0), MATCH(D130,'アイテム'!$C$2:$AQ$2,0))</f>
        <v>7</v>
      </c>
      <c r="E131" s="322"/>
      <c r="F131" s="322"/>
      <c r="G131" s="114"/>
      <c r="H131" s="228"/>
      <c r="I131" s="228"/>
      <c r="J131" s="228"/>
      <c r="K131" s="118"/>
      <c r="L131" s="118"/>
      <c r="M131" s="118"/>
      <c r="N131" s="102"/>
      <c r="O131" s="102"/>
      <c r="P131" s="102"/>
      <c r="Q131" s="102"/>
      <c r="R131" s="118"/>
      <c r="S131" s="118"/>
      <c r="T131" s="118"/>
      <c r="U131" s="118"/>
      <c r="V131" s="118"/>
    </row>
    <row r="132" outlineLevel="1">
      <c r="A132" s="156"/>
      <c r="B132" s="327" t="s">
        <v>219</v>
      </c>
      <c r="C132" s="328" t="str">
        <f t="array" ref="C132">INDEX('アイテム'!$E$3:$F$114, MATCH($A$1,'アイテム'!$A$3:$A$114,0), MATCH(C130,'アイテム'!$C$2:$AQ$2,0))</f>
        <v>2</v>
      </c>
      <c r="D132" s="328">
        <f t="array" ref="D132">INDEX('アイテム'!$E$3:$F$114, MATCH($A$1,'アイテム'!$A$3:$A$114,0), MATCH(D130,'アイテム'!$C$2:$AQ$2,0))</f>
        <v>19</v>
      </c>
      <c r="E132" s="322"/>
      <c r="F132" s="322"/>
      <c r="G132" s="114"/>
      <c r="H132" s="228"/>
      <c r="I132" s="228"/>
      <c r="J132" s="228"/>
      <c r="K132" s="118"/>
      <c r="L132" s="118"/>
      <c r="M132" s="118"/>
      <c r="N132" s="102"/>
      <c r="O132" s="102"/>
      <c r="P132" s="102"/>
      <c r="Q132" s="102"/>
      <c r="R132" s="118"/>
      <c r="S132" s="118"/>
      <c r="T132" s="118"/>
      <c r="U132" s="118"/>
      <c r="V132" s="118"/>
    </row>
    <row r="133" outlineLevel="1">
      <c r="A133" s="329" t="s">
        <v>259</v>
      </c>
      <c r="B133" s="327" t="s">
        <v>216</v>
      </c>
      <c r="C133" s="328">
        <f t="array" ref="C133">INDEX('アイテム'!$AA$3:$AB$114, MATCH($A$1,'アイテム'!$A$3:$A$114,0), MATCH(C130,'アイテム'!$C$2:$AQ$2,0))</f>
        <v>5</v>
      </c>
      <c r="D133" s="328" t="str">
        <f t="array" ref="D133">INDEX('アイテム'!$AA$3:$AB$114, MATCH($A$1,'アイテム'!$A$3:$A$114,0), MATCH(D130,'アイテム'!$C$2:$AQ$2,0))</f>
        <v>12</v>
      </c>
      <c r="E133" s="322"/>
      <c r="F133" s="322"/>
      <c r="G133" s="114"/>
      <c r="H133" s="228"/>
      <c r="I133" s="228"/>
      <c r="J133" s="228"/>
      <c r="K133" s="118"/>
      <c r="L133" s="118"/>
      <c r="M133" s="118"/>
      <c r="N133" s="102"/>
      <c r="O133" s="102"/>
      <c r="P133" s="102"/>
      <c r="Q133" s="102"/>
      <c r="R133" s="118"/>
      <c r="S133" s="118"/>
      <c r="T133" s="118"/>
      <c r="U133" s="118"/>
      <c r="V133" s="118"/>
    </row>
    <row r="134" outlineLevel="1">
      <c r="A134" s="324" t="s">
        <v>260</v>
      </c>
      <c r="B134" s="109"/>
      <c r="C134" s="325" t="s">
        <v>261</v>
      </c>
      <c r="D134" s="325" t="s">
        <v>49</v>
      </c>
      <c r="E134" s="322"/>
      <c r="F134" s="322"/>
      <c r="G134" s="114"/>
      <c r="H134" s="228"/>
      <c r="I134" s="228"/>
      <c r="J134" s="228"/>
      <c r="K134" s="118"/>
      <c r="L134" s="118"/>
      <c r="M134" s="118"/>
      <c r="N134" s="102"/>
      <c r="O134" s="102"/>
      <c r="P134" s="102"/>
      <c r="Q134" s="102"/>
      <c r="R134" s="118"/>
      <c r="S134" s="118"/>
      <c r="T134" s="118"/>
      <c r="U134" s="118"/>
      <c r="V134" s="118"/>
    </row>
    <row r="135" outlineLevel="1">
      <c r="A135" s="326" t="s">
        <v>262</v>
      </c>
      <c r="B135" s="327" t="s">
        <v>226</v>
      </c>
      <c r="C135" s="328" t="str">
        <f t="array" ref="C135">INDEX('アイテム'!$G$3:$H$114, MATCH($A$1,'アイテム'!$A$3:$A$114,0), MATCH(C130,'アイテム'!$C$2:$AQ$2,0))</f>
        <v>10</v>
      </c>
      <c r="D135" s="328">
        <f t="array" ref="D135">INDEX('アイテム'!$G$3:$H$114, MATCH($A$1,'アイテム'!$A$3:$A$114,0), MATCH(D130,'アイテム'!$C$2:$AQ$2,0))</f>
        <v>24</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229</v>
      </c>
      <c r="C136" s="328" t="str">
        <f t="array" ref="C136">INDEX('アイテム'!$I$3:$J$114, MATCH($A$1,'アイテム'!$A$3:$A$114,0), MATCH(C130,'アイテム'!$C$2:$AQ$2,0))</f>
        <v>14</v>
      </c>
      <c r="D136" s="328">
        <f t="array" ref="D136">INDEX('アイテム'!$I$3:$J$114, MATCH($A$1,'アイテム'!$A$3:$A$114,0), MATCH(D130,'アイテム'!$C$2:$AQ$2,0))</f>
        <v>24</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233</v>
      </c>
      <c r="C137" s="328" t="str">
        <f t="array" ref="C137">INDEX('アイテム'!$K$3:$L$114, MATCH($A$1,'アイテム'!$A$3:$A$114,0), MATCH(C130,'アイテム'!$C$2:$AQ$2,0))</f>
        <v>15</v>
      </c>
      <c r="D137" s="328">
        <f t="array" ref="D137">INDEX('アイテム'!$K$3:$L$114, MATCH($A$1,'アイテム'!$A$3:$A$114,0), MATCH(D130,'アイテム'!$C$2:$AQ$2,0))</f>
        <v>23</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234</v>
      </c>
      <c r="C138" s="328" t="str">
        <f t="array" ref="C138">INDEX('アイテム'!$M$3:$N$114, MATCH($A$1,'アイテム'!$A$3:$A$114,0), MATCH(C130,'アイテム'!$C$2:$AQ$2,0))</f>
        <v>8</v>
      </c>
      <c r="D138" s="328">
        <f t="array" ref="D138">INDEX('アイテム'!$M$3:$N$114, MATCH($A$1,'アイテム'!$A$3:$A$114,0), MATCH(D130,'アイテム'!$C$2:$AQ$2,0))</f>
        <v>19</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219</v>
      </c>
      <c r="C139" s="328" t="str">
        <f t="array" ref="C139">INDEX('アイテム'!$O$3:$P$114, MATCH($A$1,'アイテム'!$A$3:$A$114,0), MATCH(C130,'アイテム'!$C$2:$AQ$2,0))</f>
        <v>6</v>
      </c>
      <c r="D139" s="328">
        <f t="array" ref="D139">INDEX('アイテム'!$O$3:$P$114, MATCH($A$1,'アイテム'!$A$3:$A$114,0), MATCH(D130,'アイテム'!$C$2:$AQ$2,0))</f>
        <v>29</v>
      </c>
      <c r="E139" s="322"/>
      <c r="F139" s="322"/>
      <c r="G139" s="114"/>
      <c r="H139" s="228"/>
      <c r="I139" s="228"/>
      <c r="J139" s="228"/>
      <c r="K139" s="118"/>
      <c r="L139" s="118"/>
      <c r="M139" s="118"/>
      <c r="N139" s="102"/>
      <c r="O139" s="102"/>
      <c r="P139" s="102"/>
      <c r="Q139" s="102"/>
      <c r="R139" s="118"/>
      <c r="S139" s="118"/>
      <c r="T139" s="118"/>
      <c r="U139" s="118"/>
      <c r="V139" s="118"/>
    </row>
    <row r="140" outlineLevel="1">
      <c r="A140" s="156"/>
      <c r="B140" s="327" t="s">
        <v>263</v>
      </c>
      <c r="C140" s="328" t="str">
        <f t="array" ref="C140">INDEX('アイテム'!$Q$3:$R$114, MATCH($A$1,'アイテム'!$A$3:$A$114,0), MATCH(C130,'アイテム'!$C$2:$AQ$2,0))</f>
        <v>7</v>
      </c>
      <c r="D140" s="328">
        <f t="array" ref="D140">INDEX('アイテム'!$Q$3:$R$114, MATCH($A$1,'アイテム'!$A$3:$A$114,0), MATCH(D130,'アイテム'!$C$2:$AQ$2,0))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264</v>
      </c>
      <c r="B141" s="327" t="s">
        <v>226</v>
      </c>
      <c r="C141" s="328" t="str">
        <f t="array" ref="C141">INDEX('アイテム'!$S$3:$T$114, MATCH($A$1,'アイテム'!$A$3:$A$114,0), MATCH(C130,'アイテム'!$C$2:$AQ$2,0))</f>
        <v>10</v>
      </c>
      <c r="D141" s="328">
        <f t="array" ref="D141">INDEX('アイテム'!$S$3:$T$114, MATCH($A$1,'アイテム'!$A$3:$A$114,0), MATCH(D130,'アイテム'!$C$2:$AQ$2,0))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229</v>
      </c>
      <c r="C142" s="328" t="str">
        <f t="array" ref="C142">INDEX('アイテム'!$U$3:$V$114, MATCH($A$1,'アイテム'!$A$3:$A$114,0), MATCH(C130,'アイテム'!$C$2:$AQ$2,0))</f>
        <v>14</v>
      </c>
      <c r="D142" s="328">
        <f t="array" ref="D142">INDEX('アイテム'!$U$3:$V$114, MATCH($A$1,'アイテム'!$A$3:$A$114,0), MATCH(D130,'アイテム'!$C$2:$AQ$2,0))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233</v>
      </c>
      <c r="C143" s="328" t="str">
        <f t="array" ref="C143">INDEX('アイテム'!$W$3:$X$114, MATCH($A$1,'アイテム'!$A$3:$A$114,0), MATCH(C130,'アイテム'!$C$2:$AQ$2,0))</f>
        <v>15</v>
      </c>
      <c r="D143" s="328">
        <f t="array" ref="D143">INDEX('アイテム'!$W$3:$X$114, MATCH($A$1,'アイテム'!$A$3:$A$114,0), MATCH(D130,'アイテム'!$C$2:$AQ$2,0))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156"/>
      <c r="B144" s="327" t="s">
        <v>234</v>
      </c>
      <c r="C144" s="328" t="str">
        <f t="array" ref="C144">INDEX('アイテム'!$Y$3:$Z$114, MATCH($A$1,'アイテム'!$A$3:$A$114,0), MATCH(C130,'アイテム'!$C$2:$AQ$2,0))</f>
        <v>8</v>
      </c>
      <c r="D144" s="328">
        <f t="array" ref="D144">INDEX('アイテム'!$Y$3:$Z$114, MATCH($A$1,'アイテム'!$A$3:$A$114,0), MATCH(D130,'アイテム'!$C$2:$AQ$2,0))</f>
        <v>19</v>
      </c>
      <c r="E144" s="322"/>
      <c r="F144" s="322"/>
      <c r="G144" s="114"/>
      <c r="H144" s="228"/>
      <c r="I144" s="228"/>
      <c r="J144" s="228"/>
      <c r="K144" s="118"/>
      <c r="L144" s="118"/>
      <c r="M144" s="118"/>
      <c r="N144" s="102"/>
      <c r="O144" s="102"/>
      <c r="P144" s="102"/>
      <c r="Q144" s="102"/>
      <c r="R144" s="118"/>
      <c r="S144" s="118"/>
      <c r="T144" s="118"/>
      <c r="U144" s="118"/>
      <c r="V144" s="118"/>
    </row>
    <row r="145" outlineLevel="1">
      <c r="A145" s="326" t="s">
        <v>265</v>
      </c>
      <c r="B145" s="327" t="s">
        <v>226</v>
      </c>
      <c r="C145" s="328">
        <f t="array" ref="C145">INDEX('アイテム'!$AC$3:$AD$114, MATCH($A$1,'アイテム'!$A$3:$A$114,0), MATCH(C130,'アイテム'!$C$2:$AQ$2,0))</f>
        <v>18</v>
      </c>
      <c r="D145" s="328" t="str">
        <f t="array" ref="D145">INDEX('アイテム'!$AC$3:$AD$114, MATCH($A$1,'アイテム'!$A$3:$A$114,0), MATCH(D130,'アイテム'!$C$2:$AQ$2,0))</f>
        <v>30</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229</v>
      </c>
      <c r="C146" s="328">
        <f t="array" ref="C146">INDEX('アイテム'!$AE$3:$AF$114, MATCH($A$1,'アイテム'!$A$3:$A$114,0), MATCH(C130,'アイテム'!$C$2:$AQ$2,0))</f>
        <v>16</v>
      </c>
      <c r="D146" s="328" t="str">
        <f t="array" ref="D146">INDEX('アイテム'!$AE$3:$AF$114, MATCH($A$1,'アイテム'!$A$3:$A$114,0), MATCH(D130,'アイテム'!$C$2:$AQ$2,0))</f>
        <v>30</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233</v>
      </c>
      <c r="C147" s="328">
        <f t="array" ref="C147">INDEX('アイテム'!$AG$3:$AH$114, MATCH($A$1,'アイテム'!$A$3:$A$114,0), MATCH(C130,'アイテム'!$C$2:$AQ$2,0))</f>
        <v>12</v>
      </c>
      <c r="D147" s="328" t="str">
        <f t="array" ref="D147">INDEX('アイテム'!$AG$3:$AH$114, MATCH($A$1,'アイテム'!$A$3:$A$114,0), MATCH(D130,'アイテム'!$C$2:$AQ$2,0))</f>
        <v>22</v>
      </c>
      <c r="E147" s="322"/>
      <c r="F147" s="322"/>
      <c r="G147" s="114"/>
      <c r="H147" s="228"/>
      <c r="I147" s="228"/>
      <c r="J147" s="228"/>
      <c r="K147" s="118"/>
      <c r="L147" s="118"/>
      <c r="M147" s="118"/>
      <c r="N147" s="102"/>
      <c r="O147" s="102"/>
      <c r="P147" s="102"/>
      <c r="Q147" s="102"/>
      <c r="R147" s="118"/>
      <c r="S147" s="118"/>
      <c r="T147" s="118"/>
      <c r="U147" s="118"/>
      <c r="V147" s="118"/>
    </row>
    <row r="148" outlineLevel="1">
      <c r="A148" s="156"/>
      <c r="B148" s="327" t="s">
        <v>234</v>
      </c>
      <c r="C148" s="328">
        <f t="array" ref="C148">INDEX('アイテム'!$AI$3:$AJ$114, MATCH($A$1,'アイテム'!$A$3:$A$114,0), MATCH(C130,'アイテム'!$C$2:$AQ$2,0))</f>
        <v>11</v>
      </c>
      <c r="D148" s="328" t="str">
        <f t="array" ref="D148">INDEX('アイテム'!$AI$3:$AJ$114, MATCH($A$1,'アイテム'!$A$3:$A$114,0), MATCH(D130,'アイテム'!$C$2:$AQ$2,0))</f>
        <v>22</v>
      </c>
      <c r="E148" s="322"/>
      <c r="F148" s="322"/>
      <c r="G148" s="114"/>
      <c r="H148" s="228"/>
      <c r="I148" s="228"/>
      <c r="J148" s="228"/>
      <c r="K148" s="118"/>
      <c r="L148" s="118"/>
      <c r="M148" s="118"/>
      <c r="N148" s="102"/>
      <c r="O148" s="102"/>
      <c r="P148" s="102"/>
      <c r="Q148" s="102"/>
      <c r="R148" s="118"/>
      <c r="S148" s="118"/>
      <c r="T148" s="118"/>
      <c r="U148" s="118"/>
      <c r="V148" s="118"/>
    </row>
  </sheetData>
  <mergeCells count="129">
    <mergeCell ref="H6:H7"/>
    <mergeCell ref="H10:H11"/>
    <mergeCell ref="H1:J2"/>
    <mergeCell ref="K1:M2"/>
    <mergeCell ref="H4:H5"/>
    <mergeCell ref="I4:I5"/>
    <mergeCell ref="I6:I7"/>
    <mergeCell ref="H8:J9"/>
    <mergeCell ref="I10:I11"/>
    <mergeCell ref="K16:N16"/>
    <mergeCell ref="H25:J25"/>
    <mergeCell ref="H26:J26"/>
    <mergeCell ref="H27:J27"/>
    <mergeCell ref="H28:J28"/>
    <mergeCell ref="H29:J31"/>
    <mergeCell ref="H32:J32"/>
    <mergeCell ref="H33:J33"/>
    <mergeCell ref="H34:J37"/>
    <mergeCell ref="A29:A31"/>
    <mergeCell ref="D29:D31"/>
    <mergeCell ref="U29:U31"/>
    <mergeCell ref="C1:G12"/>
    <mergeCell ref="A11:B12"/>
    <mergeCell ref="A15:B16"/>
    <mergeCell ref="C16:D16"/>
    <mergeCell ref="E16:F16"/>
    <mergeCell ref="G16:H16"/>
    <mergeCell ref="A24:B25"/>
    <mergeCell ref="D38:D39"/>
    <mergeCell ref="D43:D44"/>
    <mergeCell ref="I43:I44"/>
    <mergeCell ref="J43:J44"/>
    <mergeCell ref="A34:A37"/>
    <mergeCell ref="D34:D37"/>
    <mergeCell ref="U34:U37"/>
    <mergeCell ref="A38:A39"/>
    <mergeCell ref="H38:J39"/>
    <mergeCell ref="A41:B42"/>
    <mergeCell ref="A43:A44"/>
    <mergeCell ref="U52:U54"/>
    <mergeCell ref="V52:V54"/>
    <mergeCell ref="U56:U65"/>
    <mergeCell ref="V56:V65"/>
    <mergeCell ref="U67:U70"/>
    <mergeCell ref="V67:V70"/>
    <mergeCell ref="U72:U73"/>
    <mergeCell ref="V72:V73"/>
    <mergeCell ref="U38:U39"/>
    <mergeCell ref="R42:V42"/>
    <mergeCell ref="R43:V44"/>
    <mergeCell ref="R45:V45"/>
    <mergeCell ref="R46:V46"/>
    <mergeCell ref="R47:V47"/>
    <mergeCell ref="R48:V48"/>
    <mergeCell ref="H55:J55"/>
    <mergeCell ref="H56:J56"/>
    <mergeCell ref="H57:J57"/>
    <mergeCell ref="H58:J58"/>
    <mergeCell ref="H59:J59"/>
    <mergeCell ref="H60:J60"/>
    <mergeCell ref="H61:J61"/>
    <mergeCell ref="H62:J62"/>
    <mergeCell ref="A84:A85"/>
    <mergeCell ref="A86:A87"/>
    <mergeCell ref="A88:A89"/>
    <mergeCell ref="A91:B92"/>
    <mergeCell ref="A93:A95"/>
    <mergeCell ref="A96:A97"/>
    <mergeCell ref="A99:B100"/>
    <mergeCell ref="A129:B129"/>
    <mergeCell ref="A130:B130"/>
    <mergeCell ref="A131:A132"/>
    <mergeCell ref="A134:B134"/>
    <mergeCell ref="A135:A140"/>
    <mergeCell ref="A141:A144"/>
    <mergeCell ref="A145:A148"/>
    <mergeCell ref="A101:A105"/>
    <mergeCell ref="A106:A108"/>
    <mergeCell ref="A109:A114"/>
    <mergeCell ref="A115:A120"/>
    <mergeCell ref="A121:A127"/>
    <mergeCell ref="C126:C127"/>
    <mergeCell ref="D126:D127"/>
    <mergeCell ref="H63:J63"/>
    <mergeCell ref="D64:D65"/>
    <mergeCell ref="H64:J65"/>
    <mergeCell ref="A50:B50"/>
    <mergeCell ref="A51:B51"/>
    <mergeCell ref="H51:J51"/>
    <mergeCell ref="A52:A54"/>
    <mergeCell ref="H52:J54"/>
    <mergeCell ref="A55:B55"/>
    <mergeCell ref="A56:A65"/>
    <mergeCell ref="A66:B66"/>
    <mergeCell ref="H66:J66"/>
    <mergeCell ref="A67:A70"/>
    <mergeCell ref="D67:D69"/>
    <mergeCell ref="H67:J70"/>
    <mergeCell ref="A71:B71"/>
    <mergeCell ref="H73:J73"/>
    <mergeCell ref="D86:D87"/>
    <mergeCell ref="D88:D89"/>
    <mergeCell ref="C113:C114"/>
    <mergeCell ref="D113:D114"/>
    <mergeCell ref="C119:C120"/>
    <mergeCell ref="D119:D120"/>
    <mergeCell ref="A72:A73"/>
    <mergeCell ref="A75:B76"/>
    <mergeCell ref="A78:A80"/>
    <mergeCell ref="A81:B81"/>
    <mergeCell ref="A82:A83"/>
    <mergeCell ref="D82:D83"/>
    <mergeCell ref="D84:D85"/>
    <mergeCell ref="H71:J71"/>
    <mergeCell ref="H72:J72"/>
    <mergeCell ref="G81:J81"/>
    <mergeCell ref="G82:J83"/>
    <mergeCell ref="G84:J85"/>
    <mergeCell ref="G86:J87"/>
    <mergeCell ref="G88:J89"/>
    <mergeCell ref="K120:L120"/>
    <mergeCell ref="K123:L123"/>
    <mergeCell ref="K100:L100"/>
    <mergeCell ref="K101:K102"/>
    <mergeCell ref="K103:L103"/>
    <mergeCell ref="K104:K109"/>
    <mergeCell ref="K110:K113"/>
    <mergeCell ref="K114:L114"/>
    <mergeCell ref="K116:K119"/>
  </mergeCells>
  <conditionalFormatting sqref="K1:K15 K17:K53 K55:K71 K73:K124 C82 E82:F82 C84 E84:F84 C86 E86:F86 C88 E88:F88">
    <cfRule type="containsText" dxfId="0" priority="1" operator="containsText" text="361">
      <formula>NOT(ISERROR(SEARCH(("361"),(K1))))</formula>
    </cfRule>
  </conditionalFormatting>
  <conditionalFormatting sqref="K1:K15 K17:K53 K55:K71 K73:K124 C82 E82:F82 C84 E84:F84 C86 E86:F86 C88 E88:F88">
    <cfRule type="containsText" dxfId="1" priority="2" operator="containsText" text="363">
      <formula>NOT(ISERROR(SEARCH(("363"),(K1))))</formula>
    </cfRule>
  </conditionalFormatting>
  <conditionalFormatting sqref="K1:K15 K17:K53 K55:K71 K73:K124 C82 E82:F82 C84 E84:F84 C86 E86:F86 C88 E88:F88">
    <cfRule type="containsText" dxfId="1" priority="3" operator="containsText" text="365">
      <formula>NOT(ISERROR(SEARCH(("365"),(K1))))</formula>
    </cfRule>
  </conditionalFormatting>
  <conditionalFormatting sqref="K1:K15 K17:K53 K55:K71 K73:K124 C82 E82:F82 C84 E84:F84 C86 E86:F86 C88 E88:F88">
    <cfRule type="containsText" dxfId="1" priority="4" operator="containsText" text="366">
      <formula>NOT(ISERROR(SEARCH(("366"),(K1))))</formula>
    </cfRule>
  </conditionalFormatting>
  <conditionalFormatting sqref="K1:K15 K17:K53 K55:K71 K73:K124 C82 E82:F82 C84 E84:F84 C86 E86:F86 C88 E88:F88">
    <cfRule type="containsText" dxfId="1" priority="5" operator="containsText" text="367">
      <formula>NOT(ISERROR(SEARCH(("367"),(K1))))</formula>
    </cfRule>
  </conditionalFormatting>
  <conditionalFormatting sqref="P82:P89">
    <cfRule type="cellIs" dxfId="2" priority="6" operator="equal">
      <formula>"敵のみ"</formula>
    </cfRule>
  </conditionalFormatting>
  <conditionalFormatting sqref="C82:C89">
    <cfRule type="cellIs" dxfId="3" priority="7" operator="equal">
      <formula>"-"</formula>
    </cfRule>
  </conditionalFormatting>
  <conditionalFormatting sqref="O1:O53 O55:O71 O73:O148 C82 E82:F82 K82:N82 P82:Q89 C84 E84:F84 K84:N84 C86 E86:F86 K86:N86 C88 E88:F88 K88:N88">
    <cfRule type="cellIs" dxfId="4" priority="8" operator="greaterThan">
      <formula>0</formula>
    </cfRule>
  </conditionalFormatting>
  <conditionalFormatting sqref="P1:Q53 P55:Q71 P73:Q148">
    <cfRule type="cellIs" dxfId="5" priority="9" operator="lessThan">
      <formula>1</formula>
    </cfRule>
  </conditionalFormatting>
  <conditionalFormatting sqref="P1:Q53 P55:Q71 P73:Q148">
    <cfRule type="cellIs" dxfId="4" priority="10" operator="greaterThan">
      <formula>1</formula>
    </cfRule>
  </conditionalFormatting>
  <conditionalFormatting sqref="N25:N53 N55:N71 N73:N89">
    <cfRule type="cellIs" dxfId="6" priority="11" operator="greaterThan">
      <formula>0</formula>
    </cfRule>
  </conditionalFormatting>
  <conditionalFormatting sqref="N1:N15 N17:N53 N55:N71 N73:N148">
    <cfRule type="containsText" dxfId="6" priority="12" operator="containsText" text="/">
      <formula>NOT(ISERROR(SEARCH(("/"),(N1))))</formula>
    </cfRule>
  </conditionalFormatting>
  <drawing r:id="rId2"/>
  <legacyDrawing r:id="rId3"/>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CBCBC"/>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428">
        <v>26.0</v>
      </c>
      <c r="B1" s="1429"/>
      <c r="C1" s="1430" t="str">
        <f>IMAGE(VLOOKUP($A$1,Fighters!A2:AI114,12,FALSE),1)</f>
        <v>#REF!</v>
      </c>
      <c r="D1" s="1431"/>
      <c r="E1" s="1431"/>
      <c r="F1" s="1431"/>
      <c r="G1" s="1432"/>
      <c r="H1" s="1433"/>
      <c r="I1" s="1431"/>
      <c r="J1" s="1432"/>
      <c r="K1" s="1434"/>
      <c r="L1" s="1431"/>
      <c r="M1" s="1432"/>
      <c r="N1" s="1435"/>
      <c r="O1" s="1435"/>
      <c r="P1" s="1435"/>
      <c r="Q1" s="1435"/>
      <c r="R1" s="1436"/>
      <c r="S1" s="1436"/>
      <c r="T1" s="1436"/>
      <c r="U1" s="1436"/>
      <c r="V1" s="1436"/>
    </row>
    <row r="2">
      <c r="A2" s="1437" t="str">
        <f>VLOOKUP($A$1,Fighters!$A$2:$AI$81,6,FALSE)</f>
        <v>#bcbcbc</v>
      </c>
      <c r="B2" s="1429"/>
      <c r="C2" s="1438"/>
      <c r="G2" s="1439"/>
      <c r="H2" s="1440"/>
      <c r="I2" s="1441"/>
      <c r="J2" s="1442"/>
      <c r="K2" s="1440"/>
      <c r="L2" s="1441"/>
      <c r="M2" s="1442"/>
      <c r="N2" s="1435"/>
      <c r="O2" s="1435"/>
      <c r="P2" s="1435"/>
      <c r="Q2" s="1435"/>
      <c r="R2" s="1436"/>
      <c r="S2" s="1436"/>
      <c r="T2" s="1436"/>
      <c r="U2" s="1436"/>
      <c r="V2" s="1436"/>
    </row>
    <row r="3">
      <c r="A3" s="1437" t="str">
        <f>VLOOKUP($A$1,Fighters!$A$2:$AI$81,14,FALSE)</f>
        <v>26. Mr. ゲーム&amp;ウォッチ</v>
      </c>
      <c r="B3" s="1429"/>
      <c r="C3" s="1438"/>
      <c r="G3" s="1439"/>
      <c r="H3" s="1443"/>
      <c r="I3" s="1443"/>
      <c r="J3" s="1443"/>
      <c r="K3" s="1444"/>
      <c r="L3" s="1444"/>
      <c r="M3" s="1444"/>
      <c r="N3" s="1435"/>
      <c r="O3" s="1435"/>
      <c r="P3" s="1435"/>
      <c r="Q3" s="1435"/>
      <c r="R3" s="1445"/>
      <c r="S3" s="1436"/>
      <c r="T3" s="1436"/>
      <c r="U3" s="1436"/>
      <c r="V3" s="1436"/>
    </row>
    <row r="4">
      <c r="A4" s="1437" t="str">
        <f>VLOOKUP($A$1,Fighters!$A$2:$AI$81,13,FALSE)</f>
        <v>0</v>
      </c>
      <c r="B4" s="1429"/>
      <c r="C4" s="1438"/>
      <c r="G4" s="1439"/>
      <c r="H4" s="1446"/>
      <c r="I4" s="1446"/>
      <c r="J4" s="1443"/>
      <c r="K4" s="1444"/>
      <c r="L4" s="1444"/>
      <c r="M4" s="1444"/>
      <c r="N4" s="1435"/>
      <c r="O4" s="1435"/>
      <c r="P4" s="1435"/>
      <c r="Q4" s="1435"/>
      <c r="R4" s="1445"/>
      <c r="S4" s="1436"/>
      <c r="T4" s="1436"/>
      <c r="U4" s="1436"/>
      <c r="V4" s="1436"/>
    </row>
    <row r="5" ht="16.5" customHeight="1">
      <c r="A5" s="1428"/>
      <c r="B5" s="1429"/>
      <c r="C5" s="1438"/>
      <c r="G5" s="1439"/>
      <c r="H5" s="1447"/>
      <c r="I5" s="1447"/>
      <c r="J5" s="1448"/>
      <c r="K5" s="1449"/>
      <c r="L5" s="1450"/>
      <c r="M5" s="1450"/>
      <c r="N5" s="1435"/>
      <c r="O5" s="1435"/>
      <c r="P5" s="1435"/>
      <c r="Q5" s="1435"/>
      <c r="R5" s="1445"/>
      <c r="S5" s="1436"/>
      <c r="T5" s="1436"/>
      <c r="U5" s="1436"/>
      <c r="V5" s="1436"/>
    </row>
    <row r="6">
      <c r="A6" s="1429"/>
      <c r="B6" s="1429"/>
      <c r="C6" s="1438"/>
      <c r="G6" s="1439"/>
      <c r="H6" s="1446"/>
      <c r="I6" s="1451" t="s">
        <v>39</v>
      </c>
      <c r="J6" s="1449"/>
      <c r="K6" s="1452"/>
      <c r="L6" s="1450"/>
      <c r="M6" s="1450"/>
      <c r="N6" s="1435"/>
      <c r="O6" s="1435"/>
      <c r="P6" s="1435"/>
      <c r="Q6" s="1435"/>
      <c r="R6" s="1445"/>
      <c r="S6" s="1436"/>
      <c r="T6" s="1436"/>
      <c r="U6" s="1436"/>
      <c r="V6" s="1436"/>
    </row>
    <row r="7">
      <c r="A7" s="1429"/>
      <c r="B7" s="1429"/>
      <c r="C7" s="1438"/>
      <c r="G7" s="1439"/>
      <c r="H7" s="1447"/>
      <c r="I7" s="1447"/>
      <c r="J7" s="1449"/>
      <c r="K7" s="1452"/>
      <c r="L7" s="1450"/>
      <c r="M7" s="1450"/>
      <c r="N7" s="1435"/>
      <c r="O7" s="1435"/>
      <c r="P7" s="1435"/>
      <c r="Q7" s="1435"/>
      <c r="R7" s="1445"/>
      <c r="S7" s="1436"/>
      <c r="T7" s="1436"/>
      <c r="U7" s="1436"/>
      <c r="V7" s="1436"/>
    </row>
    <row r="8">
      <c r="A8" s="1429"/>
      <c r="B8" s="1429"/>
      <c r="C8" s="1438"/>
      <c r="G8" s="1439"/>
      <c r="H8" s="1453">
        <v>44489.75237270833</v>
      </c>
      <c r="I8" s="1431"/>
      <c r="J8" s="1432"/>
      <c r="K8" s="1449"/>
      <c r="L8" s="1450"/>
      <c r="M8" s="1450"/>
      <c r="N8" s="1435"/>
      <c r="O8" s="1435"/>
      <c r="P8" s="1435"/>
      <c r="Q8" s="1435"/>
      <c r="R8" s="1445"/>
      <c r="S8" s="1436"/>
      <c r="T8" s="1436"/>
      <c r="U8" s="1436"/>
      <c r="V8" s="1436"/>
    </row>
    <row r="9">
      <c r="A9" s="1429"/>
      <c r="B9" s="1429"/>
      <c r="C9" s="1438"/>
      <c r="G9" s="1439"/>
      <c r="H9" s="1440"/>
      <c r="I9" s="1441"/>
      <c r="J9" s="1442"/>
      <c r="K9" s="1436"/>
      <c r="L9" s="1435"/>
      <c r="M9" s="1435"/>
      <c r="N9" s="1435"/>
      <c r="O9" s="1435"/>
      <c r="P9" s="1435"/>
      <c r="Q9" s="1435"/>
      <c r="R9" s="1445"/>
      <c r="S9" s="1436"/>
      <c r="T9" s="1436"/>
      <c r="U9" s="1436"/>
      <c r="V9" s="1436"/>
    </row>
    <row r="10">
      <c r="A10" s="1429"/>
      <c r="B10" s="1429"/>
      <c r="C10" s="1438"/>
      <c r="G10" s="1439"/>
      <c r="H10" s="1454"/>
      <c r="I10" s="1454"/>
      <c r="J10" s="1436"/>
      <c r="K10" s="1436"/>
      <c r="L10" s="1435"/>
      <c r="M10" s="1435"/>
      <c r="N10" s="1435"/>
      <c r="O10" s="1435"/>
      <c r="P10" s="1435"/>
      <c r="Q10" s="1435"/>
      <c r="R10" s="1445"/>
      <c r="S10" s="1436"/>
      <c r="T10" s="1436"/>
      <c r="U10" s="1436"/>
      <c r="V10" s="1436"/>
    </row>
    <row r="11">
      <c r="A11" s="1455" t="s">
        <v>40</v>
      </c>
      <c r="B11" s="1432"/>
      <c r="C11" s="1438"/>
      <c r="G11" s="1439"/>
      <c r="H11" s="1447"/>
      <c r="I11" s="1447"/>
      <c r="J11" s="1436"/>
      <c r="K11" s="1436"/>
      <c r="L11" s="1435"/>
      <c r="M11" s="1435"/>
      <c r="N11" s="1435"/>
      <c r="O11" s="1435"/>
      <c r="P11" s="1435"/>
      <c r="Q11" s="1435"/>
      <c r="R11" s="1445"/>
      <c r="S11" s="1436"/>
      <c r="T11" s="1436"/>
      <c r="U11" s="1436"/>
      <c r="V11" s="1436"/>
    </row>
    <row r="12">
      <c r="A12" s="1440"/>
      <c r="B12" s="1442"/>
      <c r="C12" s="1440"/>
      <c r="D12" s="1441"/>
      <c r="E12" s="1441"/>
      <c r="F12" s="1441"/>
      <c r="G12" s="1442"/>
      <c r="H12" s="1456"/>
      <c r="I12" s="1456"/>
      <c r="J12" s="1429"/>
      <c r="K12" s="1429"/>
      <c r="L12" s="1435"/>
      <c r="M12" s="1435"/>
      <c r="N12" s="1435"/>
      <c r="O12" s="1435"/>
      <c r="P12" s="1435"/>
      <c r="Q12" s="1435"/>
      <c r="R12" s="1445"/>
      <c r="S12" s="1436"/>
      <c r="T12" s="1436"/>
      <c r="U12" s="1436"/>
      <c r="V12" s="143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75 [86th]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36F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1.98 [30th]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1.18 [33rd]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0.13453 [62nd]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27.51 [77th]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1.679 [47th]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25F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0.131 [5th]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13.26 [77th]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8F [3rd]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1.176 [18th]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 [9th]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27.51 [79th]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1.24 [84th]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0.012 [33rd]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1.984 [84th]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 [68th]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717</v>
      </c>
      <c r="D26" s="701" t="s">
        <v>386</v>
      </c>
      <c r="E26" s="139" t="s">
        <v>204</v>
      </c>
      <c r="F26" s="138">
        <v>3.5999999999999996</v>
      </c>
      <c r="G26" s="139" t="s">
        <v>147</v>
      </c>
      <c r="H26" s="151" t="s">
        <v>1999</v>
      </c>
      <c r="I26" s="110"/>
      <c r="J26" s="109"/>
      <c r="K26" s="138"/>
      <c r="L26" s="282"/>
      <c r="M26" s="363"/>
      <c r="N26" s="363"/>
      <c r="O26" s="145">
        <v>0.0</v>
      </c>
      <c r="P26" s="145">
        <v>1.0</v>
      </c>
      <c r="Q26" s="145">
        <v>1.0</v>
      </c>
      <c r="R26" s="100"/>
      <c r="S26" s="100"/>
      <c r="T26" s="100"/>
      <c r="U26" s="166" t="s">
        <v>62</v>
      </c>
      <c r="V26" s="100"/>
    </row>
    <row r="27" outlineLevel="1">
      <c r="A27" s="146"/>
      <c r="B27" s="147" t="s">
        <v>704</v>
      </c>
      <c r="C27" s="1457" t="s">
        <v>2154</v>
      </c>
      <c r="D27" s="1457" t="s">
        <v>296</v>
      </c>
      <c r="E27" s="216" t="s">
        <v>1375</v>
      </c>
      <c r="F27" s="138">
        <v>0.96</v>
      </c>
      <c r="G27" s="450" t="s">
        <v>123</v>
      </c>
      <c r="H27" s="151" t="s">
        <v>2155</v>
      </c>
      <c r="I27" s="110"/>
      <c r="J27" s="109"/>
      <c r="K27" s="282"/>
      <c r="L27" s="282"/>
      <c r="M27" s="363"/>
      <c r="N27" s="363"/>
      <c r="O27" s="145">
        <v>0.0</v>
      </c>
      <c r="P27" s="145">
        <v>1.0</v>
      </c>
      <c r="Q27" s="145">
        <v>1.0</v>
      </c>
      <c r="R27" s="100"/>
      <c r="S27" s="100"/>
      <c r="T27" s="100"/>
      <c r="U27" s="146"/>
      <c r="V27" s="100"/>
    </row>
    <row r="28" outlineLevel="1">
      <c r="A28" s="156"/>
      <c r="B28" s="147" t="s">
        <v>708</v>
      </c>
      <c r="C28" s="216" t="s">
        <v>176</v>
      </c>
      <c r="D28" s="216" t="s">
        <v>218</v>
      </c>
      <c r="E28" s="216" t="s">
        <v>204</v>
      </c>
      <c r="F28" s="138">
        <v>3.5999999999999996</v>
      </c>
      <c r="G28" s="467" t="s">
        <v>147</v>
      </c>
      <c r="H28" s="151" t="s">
        <v>411</v>
      </c>
      <c r="I28" s="110"/>
      <c r="J28" s="109"/>
      <c r="K28" s="282"/>
      <c r="L28" s="282"/>
      <c r="M28" s="363"/>
      <c r="N28" s="363"/>
      <c r="O28" s="145">
        <v>0.0</v>
      </c>
      <c r="P28" s="145">
        <v>1.0</v>
      </c>
      <c r="Q28" s="145">
        <v>1.0</v>
      </c>
      <c r="R28" s="100"/>
      <c r="S28" s="100"/>
      <c r="T28" s="100"/>
      <c r="U28" s="156"/>
      <c r="V28" s="100"/>
    </row>
    <row r="29" outlineLevel="1">
      <c r="A29" s="133" t="s">
        <v>77</v>
      </c>
      <c r="B29" s="160"/>
      <c r="C29" s="467" t="s">
        <v>543</v>
      </c>
      <c r="D29" s="455" t="s">
        <v>79</v>
      </c>
      <c r="E29" s="467" t="s">
        <v>128</v>
      </c>
      <c r="F29" s="138">
        <v>12.0</v>
      </c>
      <c r="G29" s="139" t="s">
        <v>121</v>
      </c>
      <c r="H29" s="163" t="s">
        <v>2156</v>
      </c>
      <c r="I29" s="164"/>
      <c r="J29" s="104"/>
      <c r="K29" s="138"/>
      <c r="L29" s="282"/>
      <c r="M29" s="363"/>
      <c r="N29" s="363"/>
      <c r="O29" s="145">
        <v>1.0</v>
      </c>
      <c r="P29" s="145">
        <v>1.0</v>
      </c>
      <c r="Q29" s="145">
        <v>1.0</v>
      </c>
      <c r="R29" s="100"/>
      <c r="S29" s="100"/>
      <c r="T29" s="100"/>
      <c r="U29" s="166" t="s">
        <v>69</v>
      </c>
      <c r="V29" s="100"/>
    </row>
    <row r="30" outlineLevel="1">
      <c r="A30" s="156"/>
      <c r="B30" s="147" t="s">
        <v>84</v>
      </c>
      <c r="C30" s="467" t="s">
        <v>2157</v>
      </c>
      <c r="D30" s="107"/>
      <c r="E30" s="467" t="s">
        <v>2134</v>
      </c>
      <c r="F30" s="138">
        <v>7.8</v>
      </c>
      <c r="G30" s="139" t="s">
        <v>95</v>
      </c>
      <c r="H30" s="106"/>
      <c r="I30" s="168"/>
      <c r="J30" s="107"/>
      <c r="K30" s="282"/>
      <c r="L30" s="282"/>
      <c r="M30" s="363"/>
      <c r="N30" s="363"/>
      <c r="O30" s="145">
        <v>1.0</v>
      </c>
      <c r="P30" s="145">
        <v>1.0</v>
      </c>
      <c r="Q30" s="145">
        <v>1.0</v>
      </c>
      <c r="R30" s="100"/>
      <c r="S30" s="100"/>
      <c r="T30" s="100"/>
      <c r="U30" s="156"/>
      <c r="V30" s="100"/>
    </row>
    <row r="31" outlineLevel="1">
      <c r="A31" s="133" t="s">
        <v>89</v>
      </c>
      <c r="B31" s="147"/>
      <c r="C31" s="216" t="s">
        <v>518</v>
      </c>
      <c r="D31" s="195" t="s">
        <v>79</v>
      </c>
      <c r="E31" s="216" t="s">
        <v>640</v>
      </c>
      <c r="F31" s="138" t="s">
        <v>641</v>
      </c>
      <c r="G31" s="139" t="s">
        <v>1302</v>
      </c>
      <c r="H31" s="368"/>
      <c r="I31" s="164"/>
      <c r="J31" s="104"/>
      <c r="K31" s="138"/>
      <c r="L31" s="282"/>
      <c r="M31" s="363"/>
      <c r="N31" s="363"/>
      <c r="O31" s="145">
        <v>0.0</v>
      </c>
      <c r="P31" s="145">
        <v>1.0</v>
      </c>
      <c r="Q31" s="145">
        <v>1.0</v>
      </c>
      <c r="R31" s="100"/>
      <c r="S31" s="100"/>
      <c r="T31" s="100"/>
      <c r="U31" s="166" t="s">
        <v>62</v>
      </c>
      <c r="V31" s="100"/>
    </row>
    <row r="32" outlineLevel="1">
      <c r="A32" s="156"/>
      <c r="B32" s="147" t="s">
        <v>84</v>
      </c>
      <c r="C32" s="216" t="s">
        <v>1174</v>
      </c>
      <c r="D32" s="107"/>
      <c r="E32" s="216" t="s">
        <v>86</v>
      </c>
      <c r="F32" s="138">
        <v>7.199999999999999</v>
      </c>
      <c r="G32" s="139" t="s">
        <v>102</v>
      </c>
      <c r="H32" s="106"/>
      <c r="I32" s="168"/>
      <c r="J32" s="107"/>
      <c r="K32" s="138"/>
      <c r="L32" s="282"/>
      <c r="M32" s="363"/>
      <c r="N32" s="363"/>
      <c r="O32" s="145">
        <v>0.0</v>
      </c>
      <c r="P32" s="145">
        <v>1.0</v>
      </c>
      <c r="Q32" s="145">
        <v>1.0</v>
      </c>
      <c r="R32" s="100"/>
      <c r="S32" s="100"/>
      <c r="T32" s="100"/>
      <c r="U32" s="156"/>
      <c r="V32" s="100"/>
    </row>
    <row r="33" outlineLevel="1">
      <c r="A33" s="133" t="s">
        <v>97</v>
      </c>
      <c r="B33" s="147" t="s">
        <v>125</v>
      </c>
      <c r="C33" s="216" t="s">
        <v>627</v>
      </c>
      <c r="D33" s="195" t="s">
        <v>72</v>
      </c>
      <c r="E33" s="216" t="s">
        <v>93</v>
      </c>
      <c r="F33" s="138">
        <v>8.4</v>
      </c>
      <c r="G33" s="139" t="s">
        <v>95</v>
      </c>
      <c r="H33" s="283" t="s">
        <v>2158</v>
      </c>
      <c r="I33" s="164"/>
      <c r="J33" s="104"/>
      <c r="K33" s="282"/>
      <c r="L33" s="282"/>
      <c r="M33" s="363"/>
      <c r="N33" s="363"/>
      <c r="O33" s="145">
        <v>0.0</v>
      </c>
      <c r="P33" s="145">
        <v>1.0</v>
      </c>
      <c r="Q33" s="145">
        <v>1.0</v>
      </c>
      <c r="R33" s="100"/>
      <c r="S33" s="100"/>
      <c r="T33" s="100"/>
      <c r="U33" s="166" t="s">
        <v>62</v>
      </c>
      <c r="V33" s="100"/>
    </row>
    <row r="34" outlineLevel="1">
      <c r="A34" s="156"/>
      <c r="B34" s="147" t="s">
        <v>131</v>
      </c>
      <c r="C34" s="216" t="s">
        <v>2159</v>
      </c>
      <c r="D34" s="107"/>
      <c r="E34" s="216" t="s">
        <v>93</v>
      </c>
      <c r="F34" s="138">
        <v>8.4</v>
      </c>
      <c r="G34" s="139" t="s">
        <v>95</v>
      </c>
      <c r="H34" s="106"/>
      <c r="I34" s="168"/>
      <c r="J34" s="107"/>
      <c r="K34" s="145"/>
      <c r="L34" s="363"/>
      <c r="M34" s="363"/>
      <c r="N34" s="363"/>
      <c r="O34" s="145">
        <v>0.0</v>
      </c>
      <c r="P34" s="145">
        <v>1.0</v>
      </c>
      <c r="Q34" s="145">
        <v>1.0</v>
      </c>
      <c r="R34" s="100"/>
      <c r="S34" s="100"/>
      <c r="T34" s="100"/>
      <c r="U34" s="156"/>
      <c r="V34" s="100"/>
    </row>
    <row r="35" outlineLevel="1">
      <c r="A35" s="170" t="s">
        <v>103</v>
      </c>
      <c r="B35" s="147" t="s">
        <v>2160</v>
      </c>
      <c r="C35" s="216" t="s">
        <v>549</v>
      </c>
      <c r="D35" s="216" t="s">
        <v>221</v>
      </c>
      <c r="E35" s="216" t="s">
        <v>274</v>
      </c>
      <c r="F35" s="138">
        <v>10.799999999999999</v>
      </c>
      <c r="G35" s="139" t="s">
        <v>275</v>
      </c>
      <c r="H35" s="140" t="s">
        <v>2161</v>
      </c>
      <c r="I35" s="110"/>
      <c r="J35" s="109"/>
      <c r="K35" s="145"/>
      <c r="L35" s="363"/>
      <c r="M35" s="363"/>
      <c r="N35" s="363"/>
      <c r="O35" s="145">
        <v>0.0</v>
      </c>
      <c r="P35" s="145">
        <v>1.0</v>
      </c>
      <c r="Q35" s="145">
        <v>1.0</v>
      </c>
      <c r="R35" s="100"/>
      <c r="S35" s="100"/>
      <c r="T35" s="100"/>
      <c r="U35" s="145" t="s">
        <v>62</v>
      </c>
      <c r="V35" s="100"/>
    </row>
    <row r="36" outlineLevel="1">
      <c r="A36" s="170" t="s">
        <v>109</v>
      </c>
      <c r="B36" s="147"/>
      <c r="C36" s="216" t="s">
        <v>203</v>
      </c>
      <c r="D36" s="216" t="s">
        <v>221</v>
      </c>
      <c r="E36" s="216" t="s">
        <v>2162</v>
      </c>
      <c r="F36" s="138" t="s">
        <v>2163</v>
      </c>
      <c r="G36" s="139" t="s">
        <v>2164</v>
      </c>
      <c r="H36" s="140" t="s">
        <v>1379</v>
      </c>
      <c r="I36" s="110"/>
      <c r="J36" s="109"/>
      <c r="K36" s="282"/>
      <c r="L36" s="282"/>
      <c r="M36" s="363"/>
      <c r="N36" s="363"/>
      <c r="O36" s="145">
        <v>0.0</v>
      </c>
      <c r="P36" s="145">
        <v>1.0</v>
      </c>
      <c r="Q36" s="145">
        <v>1.0</v>
      </c>
      <c r="R36" s="100"/>
      <c r="S36" s="100"/>
      <c r="T36" s="100"/>
      <c r="U36" s="145" t="s">
        <v>275</v>
      </c>
      <c r="V36" s="100"/>
    </row>
    <row r="37" outlineLevel="1">
      <c r="A37" s="170" t="s">
        <v>116</v>
      </c>
      <c r="B37" s="160"/>
      <c r="C37" s="216" t="s">
        <v>2165</v>
      </c>
      <c r="D37" s="216" t="s">
        <v>282</v>
      </c>
      <c r="E37" s="216" t="s">
        <v>153</v>
      </c>
      <c r="F37" s="138">
        <v>19.2</v>
      </c>
      <c r="G37" s="139" t="s">
        <v>88</v>
      </c>
      <c r="H37" s="140" t="s">
        <v>2166</v>
      </c>
      <c r="I37" s="110"/>
      <c r="J37" s="109"/>
      <c r="K37" s="363"/>
      <c r="L37" s="363"/>
      <c r="M37" s="363"/>
      <c r="N37" s="363"/>
      <c r="O37" s="145">
        <v>0.0</v>
      </c>
      <c r="P37" s="145">
        <v>1.0</v>
      </c>
      <c r="Q37" s="145">
        <v>1.0</v>
      </c>
      <c r="R37" s="100"/>
      <c r="S37" s="100"/>
      <c r="T37" s="100"/>
      <c r="U37" s="145" t="s">
        <v>62</v>
      </c>
      <c r="V37" s="100"/>
    </row>
    <row r="38" outlineLevel="1">
      <c r="A38" s="170" t="s">
        <v>124</v>
      </c>
      <c r="B38" s="147"/>
      <c r="C38" s="216" t="s">
        <v>1670</v>
      </c>
      <c r="D38" s="216" t="s">
        <v>79</v>
      </c>
      <c r="E38" s="216" t="s">
        <v>2167</v>
      </c>
      <c r="F38" s="138" t="s">
        <v>2168</v>
      </c>
      <c r="G38" s="139" t="s">
        <v>547</v>
      </c>
      <c r="H38" s="140" t="s">
        <v>2169</v>
      </c>
      <c r="I38" s="110"/>
      <c r="J38" s="109"/>
      <c r="K38" s="282"/>
      <c r="L38" s="282"/>
      <c r="M38" s="363"/>
      <c r="N38" s="363"/>
      <c r="O38" s="145">
        <v>0.0</v>
      </c>
      <c r="P38" s="145">
        <v>1.0</v>
      </c>
      <c r="Q38" s="145">
        <v>1.0</v>
      </c>
      <c r="R38" s="100"/>
      <c r="S38" s="100"/>
      <c r="T38" s="100"/>
      <c r="U38" s="145" t="s">
        <v>62</v>
      </c>
      <c r="V38" s="100"/>
    </row>
    <row r="39">
      <c r="A39" s="118"/>
      <c r="B39" s="176"/>
      <c r="C39" s="118"/>
      <c r="D39" s="118"/>
      <c r="E39" s="118"/>
      <c r="F39" s="177"/>
      <c r="G39" s="177"/>
      <c r="H39" s="118"/>
      <c r="I39" s="118"/>
      <c r="J39" s="118"/>
      <c r="K39" s="118"/>
      <c r="L39" s="118"/>
      <c r="M39" s="118"/>
      <c r="N39" s="118"/>
      <c r="O39" s="118"/>
      <c r="P39" s="118"/>
      <c r="Q39" s="118"/>
      <c r="R39" s="118"/>
      <c r="S39" s="118"/>
      <c r="T39" s="118"/>
      <c r="U39" s="118"/>
      <c r="V39" s="118"/>
    </row>
    <row r="40">
      <c r="A40" s="178" t="s">
        <v>133</v>
      </c>
      <c r="B40" s="104"/>
      <c r="C40" s="179"/>
      <c r="D40" s="179"/>
      <c r="E40" s="179"/>
      <c r="F40" s="180"/>
      <c r="G40" s="179"/>
      <c r="H40" s="180"/>
      <c r="I40" s="180"/>
      <c r="J40" s="181"/>
      <c r="K40" s="180"/>
      <c r="L40" s="180"/>
      <c r="M40" s="180"/>
      <c r="N40" s="180"/>
      <c r="O40" s="180"/>
      <c r="P40" s="180"/>
      <c r="Q40" s="180"/>
      <c r="R40" s="180"/>
      <c r="S40" s="180"/>
      <c r="T40" s="180"/>
      <c r="U40" s="180"/>
      <c r="V40" s="180"/>
    </row>
    <row r="41" outlineLevel="1">
      <c r="A41" s="106"/>
      <c r="B41" s="107"/>
      <c r="C41" s="182" t="s">
        <v>48</v>
      </c>
      <c r="D41" s="183" t="s">
        <v>49</v>
      </c>
      <c r="E41" s="182" t="s">
        <v>50</v>
      </c>
      <c r="F41" s="184" t="s">
        <v>51</v>
      </c>
      <c r="G41" s="184" t="s">
        <v>134</v>
      </c>
      <c r="H41" s="185" t="s">
        <v>52</v>
      </c>
      <c r="I41" s="184" t="str">
        <f>'テンプレート'!I56</f>
        <v>着地隙</v>
      </c>
      <c r="J41" s="184" t="s">
        <v>136</v>
      </c>
      <c r="K41" s="184" t="str">
        <f>'テンプレート'!K56</f>
        <v>ベクトル</v>
      </c>
      <c r="L41" s="184" t="str">
        <f>'テンプレート'!L56</f>
        <v>KBG (R.E.)</v>
      </c>
      <c r="M41" s="184" t="str">
        <f>'テンプレート'!M56</f>
        <v>BKB (R.A.)</v>
      </c>
      <c r="N41" s="184" t="str">
        <f>'テンプレート'!N56</f>
        <v>FKB (R.F.)</v>
      </c>
      <c r="O41" s="186" t="str">
        <f>'テンプレート'!O56</f>
        <v>盾削り値</v>
      </c>
      <c r="P41" s="184" t="str">
        <f>'テンプレート'!P56</f>
        <v>ﾋｯﾄｽﾄｯﾌﾟ</v>
      </c>
      <c r="Q41" s="186" t="str">
        <f>'テンプレート'!Q56</f>
        <v>ずらし</v>
      </c>
      <c r="R41" s="187" t="str">
        <f>'テンプレート'!R56</f>
        <v>備考</v>
      </c>
      <c r="S41" s="110"/>
      <c r="T41" s="110"/>
      <c r="U41" s="110"/>
      <c r="V41" s="110"/>
    </row>
    <row r="42" outlineLevel="1">
      <c r="A42" s="188" t="s">
        <v>144</v>
      </c>
      <c r="B42" s="373" t="s">
        <v>125</v>
      </c>
      <c r="C42" s="239" t="s">
        <v>975</v>
      </c>
      <c r="D42" s="374" t="s">
        <v>221</v>
      </c>
      <c r="E42" s="401" t="s">
        <v>204</v>
      </c>
      <c r="F42" s="193">
        <v>3.5999999999999996</v>
      </c>
      <c r="G42" s="193">
        <v>3.06</v>
      </c>
      <c r="H42" s="138" t="s">
        <v>170</v>
      </c>
      <c r="I42" s="454" t="str">
        <f t="array" ref="I42">INDEX('空中攻撃'!$O$3:$AA$109, MATCH($A$1,'空中攻撃'!$A$3:$A$109,0), MATCH(A42,'空中攻撃'!$O$2:$S$2,0))</f>
        <v>7</v>
      </c>
      <c r="J42" s="195" t="s">
        <v>154</v>
      </c>
      <c r="K42" s="376"/>
      <c r="L42" s="377"/>
      <c r="M42" s="825"/>
      <c r="N42" s="825"/>
      <c r="O42" s="199">
        <v>0.0</v>
      </c>
      <c r="P42" s="199">
        <v>1.0</v>
      </c>
      <c r="Q42" s="199">
        <v>1.0</v>
      </c>
      <c r="R42" s="163"/>
      <c r="S42" s="164"/>
      <c r="T42" s="164"/>
      <c r="U42" s="164"/>
      <c r="V42" s="104"/>
    </row>
    <row r="43" outlineLevel="1">
      <c r="A43" s="146"/>
      <c r="B43" s="373" t="s">
        <v>131</v>
      </c>
      <c r="C43" s="239" t="s">
        <v>1128</v>
      </c>
      <c r="D43" s="210"/>
      <c r="E43" s="401" t="s">
        <v>204</v>
      </c>
      <c r="F43" s="193">
        <v>3.5999999999999996</v>
      </c>
      <c r="G43" s="193">
        <v>3.06</v>
      </c>
      <c r="H43" s="138" t="s">
        <v>170</v>
      </c>
      <c r="I43" s="146"/>
      <c r="J43" s="210"/>
      <c r="K43" s="376"/>
      <c r="L43" s="377"/>
      <c r="M43" s="825"/>
      <c r="N43" s="825"/>
      <c r="O43" s="199"/>
      <c r="P43" s="199"/>
      <c r="Q43" s="199"/>
      <c r="R43" s="212"/>
      <c r="V43" s="210"/>
    </row>
    <row r="44" outlineLevel="1">
      <c r="A44" s="146"/>
      <c r="B44" s="373" t="s">
        <v>434</v>
      </c>
      <c r="C44" s="239" t="s">
        <v>156</v>
      </c>
      <c r="D44" s="210"/>
      <c r="E44" s="401" t="s">
        <v>204</v>
      </c>
      <c r="F44" s="193">
        <v>3.5999999999999996</v>
      </c>
      <c r="G44" s="193">
        <v>3.06</v>
      </c>
      <c r="H44" s="138" t="s">
        <v>170</v>
      </c>
      <c r="I44" s="146"/>
      <c r="J44" s="210"/>
      <c r="K44" s="376"/>
      <c r="L44" s="377"/>
      <c r="M44" s="825"/>
      <c r="N44" s="825"/>
      <c r="O44" s="199"/>
      <c r="P44" s="199"/>
      <c r="Q44" s="199"/>
      <c r="R44" s="212"/>
      <c r="V44" s="210"/>
    </row>
    <row r="45" outlineLevel="1">
      <c r="A45" s="156"/>
      <c r="B45" s="373" t="s">
        <v>520</v>
      </c>
      <c r="C45" s="239" t="s">
        <v>288</v>
      </c>
      <c r="D45" s="107"/>
      <c r="E45" s="239" t="s">
        <v>73</v>
      </c>
      <c r="F45" s="193">
        <v>4.8</v>
      </c>
      <c r="G45" s="193">
        <v>4.08</v>
      </c>
      <c r="H45" s="138" t="s">
        <v>60</v>
      </c>
      <c r="I45" s="156"/>
      <c r="J45" s="107"/>
      <c r="K45" s="376"/>
      <c r="L45" s="377"/>
      <c r="M45" s="825"/>
      <c r="N45" s="825"/>
      <c r="O45" s="199">
        <v>0.0</v>
      </c>
      <c r="P45" s="199">
        <v>1.0</v>
      </c>
      <c r="Q45" s="199">
        <v>1.0</v>
      </c>
      <c r="R45" s="106"/>
      <c r="S45" s="168"/>
      <c r="T45" s="168"/>
      <c r="U45" s="168"/>
      <c r="V45" s="107"/>
    </row>
    <row r="46" ht="41.25" customHeight="1" outlineLevel="1">
      <c r="A46" s="188" t="s">
        <v>151</v>
      </c>
      <c r="B46" s="373"/>
      <c r="C46" s="239" t="s">
        <v>309</v>
      </c>
      <c r="D46" s="195" t="s">
        <v>111</v>
      </c>
      <c r="E46" s="239" t="s">
        <v>204</v>
      </c>
      <c r="F46" s="193">
        <v>3.5999999999999996</v>
      </c>
      <c r="G46" s="193">
        <v>3.06</v>
      </c>
      <c r="H46" s="138" t="s">
        <v>170</v>
      </c>
      <c r="I46" s="454" t="str">
        <f t="array" ref="I46">INDEX('空中攻撃'!$O$3:$AA$109, MATCH($A$1,'空中攻撃'!$A$3:$A$109,0), MATCH(A46,'空中攻撃'!$O$2:$S$2,0))</f>
        <v>17</v>
      </c>
      <c r="J46" s="195" t="s">
        <v>2170</v>
      </c>
      <c r="K46" s="376"/>
      <c r="L46" s="377"/>
      <c r="M46" s="825"/>
      <c r="N46" s="825"/>
      <c r="O46" s="199">
        <v>0.0</v>
      </c>
      <c r="P46" s="199">
        <v>1.0</v>
      </c>
      <c r="Q46" s="199">
        <v>1.0</v>
      </c>
      <c r="R46" s="163" t="s">
        <v>2171</v>
      </c>
      <c r="S46" s="164"/>
      <c r="T46" s="164"/>
      <c r="U46" s="164"/>
      <c r="V46" s="104"/>
    </row>
    <row r="47" ht="41.25" customHeight="1" outlineLevel="1">
      <c r="A47" s="156"/>
      <c r="B47" s="373" t="s">
        <v>1485</v>
      </c>
      <c r="C47" s="239" t="s">
        <v>2172</v>
      </c>
      <c r="D47" s="107"/>
      <c r="E47" s="239" t="s">
        <v>129</v>
      </c>
      <c r="F47" s="193">
        <v>14.399999999999999</v>
      </c>
      <c r="G47" s="193">
        <v>12.24</v>
      </c>
      <c r="H47" s="138" t="s">
        <v>75</v>
      </c>
      <c r="I47" s="156"/>
      <c r="J47" s="107"/>
      <c r="K47" s="376"/>
      <c r="L47" s="377"/>
      <c r="M47" s="825"/>
      <c r="N47" s="825"/>
      <c r="O47" s="199"/>
      <c r="P47" s="199"/>
      <c r="Q47" s="199"/>
      <c r="R47" s="106"/>
      <c r="S47" s="168"/>
      <c r="T47" s="168"/>
      <c r="U47" s="168"/>
      <c r="V47" s="107"/>
    </row>
    <row r="48" outlineLevel="1">
      <c r="A48" s="188" t="s">
        <v>157</v>
      </c>
      <c r="B48" s="373" t="s">
        <v>903</v>
      </c>
      <c r="C48" s="239" t="s">
        <v>2173</v>
      </c>
      <c r="D48" s="374">
        <v>39.0</v>
      </c>
      <c r="E48" s="239" t="s">
        <v>176</v>
      </c>
      <c r="F48" s="193">
        <v>2.4</v>
      </c>
      <c r="G48" s="193">
        <v>2.04</v>
      </c>
      <c r="H48" s="138" t="s">
        <v>170</v>
      </c>
      <c r="I48" s="454">
        <f t="array" ref="I48">INDEX('空中攻撃'!$O$3:$AA$109, MATCH($A$1,'空中攻撃'!$A$3:$A$109,0), MATCH(A48,'空中攻撃'!$O$2:$S$2,0))</f>
        <v>18</v>
      </c>
      <c r="J48" s="455" t="s">
        <v>2174</v>
      </c>
      <c r="K48" s="376"/>
      <c r="L48" s="377"/>
      <c r="M48" s="825"/>
      <c r="N48" s="825"/>
      <c r="O48" s="199">
        <v>0.0</v>
      </c>
      <c r="P48" s="199">
        <v>1.0</v>
      </c>
      <c r="Q48" s="199">
        <v>1.0</v>
      </c>
      <c r="R48" s="163"/>
      <c r="S48" s="164"/>
      <c r="T48" s="164"/>
      <c r="U48" s="164"/>
      <c r="V48" s="104"/>
    </row>
    <row r="49" outlineLevel="1">
      <c r="A49" s="146"/>
      <c r="B49" s="373" t="s">
        <v>520</v>
      </c>
      <c r="C49" s="239" t="s">
        <v>1114</v>
      </c>
      <c r="D49" s="210"/>
      <c r="E49" s="239" t="s">
        <v>204</v>
      </c>
      <c r="F49" s="193">
        <v>3.5999999999999996</v>
      </c>
      <c r="G49" s="193">
        <v>3.06</v>
      </c>
      <c r="H49" s="138" t="s">
        <v>170</v>
      </c>
      <c r="I49" s="146"/>
      <c r="J49" s="210"/>
      <c r="K49" s="376"/>
      <c r="L49" s="377"/>
      <c r="M49" s="825"/>
      <c r="N49" s="825"/>
      <c r="O49" s="199"/>
      <c r="P49" s="199"/>
      <c r="Q49" s="199"/>
      <c r="R49" s="212"/>
      <c r="V49" s="210"/>
    </row>
    <row r="50" outlineLevel="1">
      <c r="A50" s="156"/>
      <c r="B50" s="373" t="s">
        <v>174</v>
      </c>
      <c r="C50" s="239" t="s">
        <v>213</v>
      </c>
      <c r="D50" s="107"/>
      <c r="E50" s="239" t="s">
        <v>204</v>
      </c>
      <c r="F50" s="193">
        <v>3.5999999999999996</v>
      </c>
      <c r="G50" s="193">
        <v>3.06</v>
      </c>
      <c r="H50" s="138" t="s">
        <v>147</v>
      </c>
      <c r="I50" s="156"/>
      <c r="J50" s="107"/>
      <c r="K50" s="376"/>
      <c r="L50" s="377"/>
      <c r="M50" s="825"/>
      <c r="N50" s="825"/>
      <c r="O50" s="199">
        <v>0.0</v>
      </c>
      <c r="P50" s="199">
        <v>1.0</v>
      </c>
      <c r="Q50" s="199">
        <v>1.0</v>
      </c>
      <c r="R50" s="106"/>
      <c r="S50" s="168"/>
      <c r="T50" s="168"/>
      <c r="U50" s="168"/>
      <c r="V50" s="107"/>
    </row>
    <row r="51" outlineLevel="1">
      <c r="A51" s="188" t="s">
        <v>162</v>
      </c>
      <c r="B51" s="373" t="s">
        <v>604</v>
      </c>
      <c r="C51" s="239" t="s">
        <v>2175</v>
      </c>
      <c r="D51" s="195" t="s">
        <v>221</v>
      </c>
      <c r="E51" s="239" t="s">
        <v>700</v>
      </c>
      <c r="F51" s="193">
        <v>2.16</v>
      </c>
      <c r="G51" s="193">
        <v>1.836</v>
      </c>
      <c r="H51" s="138" t="s">
        <v>170</v>
      </c>
      <c r="I51" s="454" t="str">
        <f t="array" ref="I51">INDEX('空中攻撃'!$O$3:$AA$109, MATCH($A$1,'空中攻撃'!$A$3:$A$109,0), MATCH(A51,'空中攻撃'!$O$2:$S$2,0))</f>
        <v>12</v>
      </c>
      <c r="J51" s="195" t="s">
        <v>2176</v>
      </c>
      <c r="K51" s="377"/>
      <c r="L51" s="377"/>
      <c r="M51" s="825"/>
      <c r="N51" s="825"/>
      <c r="O51" s="199">
        <v>0.0</v>
      </c>
      <c r="P51" s="199">
        <v>1.0</v>
      </c>
      <c r="Q51" s="199">
        <v>1.0</v>
      </c>
      <c r="R51" s="163" t="s">
        <v>2177</v>
      </c>
      <c r="S51" s="164"/>
      <c r="T51" s="164"/>
      <c r="U51" s="164"/>
      <c r="V51" s="104"/>
    </row>
    <row r="52" outlineLevel="1">
      <c r="A52" s="146"/>
      <c r="B52" s="373" t="s">
        <v>606</v>
      </c>
      <c r="C52" s="239" t="s">
        <v>2178</v>
      </c>
      <c r="D52" s="210"/>
      <c r="E52" s="239" t="s">
        <v>700</v>
      </c>
      <c r="F52" s="193">
        <v>2.16</v>
      </c>
      <c r="G52" s="193">
        <v>1.836</v>
      </c>
      <c r="H52" s="138" t="s">
        <v>170</v>
      </c>
      <c r="I52" s="146"/>
      <c r="J52" s="210"/>
      <c r="K52" s="377"/>
      <c r="L52" s="377"/>
      <c r="M52" s="825"/>
      <c r="N52" s="825"/>
      <c r="O52" s="199"/>
      <c r="P52" s="199"/>
      <c r="Q52" s="199"/>
      <c r="R52" s="212"/>
      <c r="V52" s="210"/>
    </row>
    <row r="53" outlineLevel="1">
      <c r="A53" s="146"/>
      <c r="B53" s="373" t="s">
        <v>608</v>
      </c>
      <c r="C53" s="239" t="s">
        <v>2179</v>
      </c>
      <c r="D53" s="210"/>
      <c r="E53" s="239" t="s">
        <v>700</v>
      </c>
      <c r="F53" s="193">
        <v>2.16</v>
      </c>
      <c r="G53" s="193">
        <v>1.836</v>
      </c>
      <c r="H53" s="138" t="s">
        <v>170</v>
      </c>
      <c r="I53" s="146"/>
      <c r="J53" s="210"/>
      <c r="K53" s="377"/>
      <c r="L53" s="377"/>
      <c r="M53" s="825"/>
      <c r="N53" s="825"/>
      <c r="O53" s="199"/>
      <c r="P53" s="199"/>
      <c r="Q53" s="199"/>
      <c r="R53" s="212"/>
      <c r="V53" s="210"/>
    </row>
    <row r="54" outlineLevel="1">
      <c r="A54" s="156"/>
      <c r="B54" s="373" t="s">
        <v>202</v>
      </c>
      <c r="C54" s="239" t="s">
        <v>2180</v>
      </c>
      <c r="D54" s="107"/>
      <c r="E54" s="239" t="s">
        <v>204</v>
      </c>
      <c r="F54" s="193">
        <v>3.5999999999999996</v>
      </c>
      <c r="G54" s="193">
        <v>3.06</v>
      </c>
      <c r="H54" s="138" t="s">
        <v>170</v>
      </c>
      <c r="I54" s="156"/>
      <c r="J54" s="107"/>
      <c r="K54" s="377"/>
      <c r="L54" s="377"/>
      <c r="M54" s="825"/>
      <c r="N54" s="825"/>
      <c r="O54" s="199">
        <v>0.0</v>
      </c>
      <c r="P54" s="199">
        <v>1.0</v>
      </c>
      <c r="Q54" s="199">
        <v>1.0</v>
      </c>
      <c r="R54" s="106"/>
      <c r="S54" s="168"/>
      <c r="T54" s="168"/>
      <c r="U54" s="168"/>
      <c r="V54" s="107"/>
    </row>
    <row r="55" outlineLevel="1">
      <c r="A55" s="188" t="s">
        <v>166</v>
      </c>
      <c r="B55" s="373" t="s">
        <v>155</v>
      </c>
      <c r="C55" s="239" t="s">
        <v>373</v>
      </c>
      <c r="D55" s="452">
        <v>49.0</v>
      </c>
      <c r="E55" s="239" t="s">
        <v>232</v>
      </c>
      <c r="F55" s="193">
        <v>13.2</v>
      </c>
      <c r="G55" s="193">
        <v>11.22</v>
      </c>
      <c r="H55" s="138" t="s">
        <v>147</v>
      </c>
      <c r="I55" s="454">
        <f t="array" ref="I55">INDEX('空中攻撃'!$O$3:$AA$109, MATCH($A$1,'空中攻撃'!$A$3:$A$109,0), MATCH(A55,'空中攻撃'!$O$2:$S$2,0))</f>
        <v>22</v>
      </c>
      <c r="J55" s="379" t="s">
        <v>2181</v>
      </c>
      <c r="K55" s="377"/>
      <c r="L55" s="377"/>
      <c r="M55" s="825"/>
      <c r="N55" s="825"/>
      <c r="O55" s="199">
        <v>0.0</v>
      </c>
      <c r="P55" s="199">
        <v>1.0</v>
      </c>
      <c r="Q55" s="199">
        <v>1.0</v>
      </c>
      <c r="R55" s="456"/>
      <c r="S55" s="164"/>
      <c r="T55" s="164"/>
      <c r="U55" s="164"/>
      <c r="V55" s="104"/>
    </row>
    <row r="56" outlineLevel="1">
      <c r="A56" s="146"/>
      <c r="B56" s="373" t="s">
        <v>84</v>
      </c>
      <c r="C56" s="239" t="s">
        <v>2182</v>
      </c>
      <c r="D56" s="210"/>
      <c r="E56" s="239" t="s">
        <v>232</v>
      </c>
      <c r="F56" s="193">
        <v>13.2</v>
      </c>
      <c r="G56" s="193">
        <v>11.22</v>
      </c>
      <c r="H56" s="138" t="s">
        <v>147</v>
      </c>
      <c r="I56" s="146"/>
      <c r="J56" s="210"/>
      <c r="K56" s="377"/>
      <c r="L56" s="377"/>
      <c r="M56" s="825"/>
      <c r="N56" s="825"/>
      <c r="O56" s="199">
        <v>0.0</v>
      </c>
      <c r="P56" s="199">
        <v>1.0</v>
      </c>
      <c r="Q56" s="199">
        <v>1.0</v>
      </c>
      <c r="R56" s="212"/>
      <c r="V56" s="210"/>
    </row>
    <row r="57" outlineLevel="1">
      <c r="A57" s="156"/>
      <c r="B57" s="373" t="s">
        <v>174</v>
      </c>
      <c r="C57" s="239" t="s">
        <v>175</v>
      </c>
      <c r="D57" s="107"/>
      <c r="E57" s="239" t="s">
        <v>651</v>
      </c>
      <c r="F57" s="193">
        <v>4.2</v>
      </c>
      <c r="G57" s="193">
        <v>3.5700000000000003</v>
      </c>
      <c r="H57" s="138" t="s">
        <v>147</v>
      </c>
      <c r="I57" s="156"/>
      <c r="J57" s="107"/>
      <c r="K57" s="377"/>
      <c r="L57" s="377"/>
      <c r="M57" s="825"/>
      <c r="N57" s="825"/>
      <c r="O57" s="199">
        <v>0.0</v>
      </c>
      <c r="P57" s="199">
        <v>1.0</v>
      </c>
      <c r="Q57" s="199">
        <v>1.0</v>
      </c>
      <c r="R57" s="106"/>
      <c r="S57" s="168"/>
      <c r="T57" s="168"/>
      <c r="U57" s="168"/>
      <c r="V57" s="107"/>
    </row>
    <row r="58">
      <c r="A58" s="223"/>
      <c r="B58" s="224"/>
      <c r="C58" s="225"/>
      <c r="D58" s="225"/>
      <c r="E58" s="226"/>
      <c r="F58" s="226"/>
      <c r="G58" s="226"/>
      <c r="H58" s="227"/>
      <c r="I58" s="227"/>
      <c r="J58" s="228"/>
      <c r="K58" s="228"/>
      <c r="L58" s="228"/>
      <c r="M58" s="228"/>
      <c r="N58" s="228"/>
      <c r="O58" s="228"/>
      <c r="P58" s="228"/>
      <c r="Q58" s="118"/>
      <c r="R58" s="118"/>
      <c r="S58" s="118"/>
      <c r="T58" s="118"/>
      <c r="U58" s="118"/>
      <c r="V58" s="118"/>
    </row>
    <row r="59">
      <c r="A59" s="229" t="s">
        <v>177</v>
      </c>
      <c r="B59" s="109"/>
      <c r="C59" s="225"/>
      <c r="D59" s="225"/>
      <c r="E59" s="226"/>
      <c r="F59" s="226"/>
      <c r="G59" s="226"/>
      <c r="H59" s="227"/>
      <c r="I59" s="227"/>
      <c r="J59" s="228"/>
      <c r="K59" s="228"/>
      <c r="L59" s="228"/>
      <c r="M59" s="228"/>
      <c r="N59" s="228"/>
      <c r="O59" s="228"/>
      <c r="P59" s="228"/>
      <c r="Q59" s="118"/>
      <c r="R59" s="118"/>
      <c r="S59" s="118"/>
      <c r="T59" s="118"/>
      <c r="U59" s="118"/>
      <c r="V59" s="118"/>
    </row>
    <row r="60" outlineLevel="1">
      <c r="A60" s="230" t="s">
        <v>2183</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outlineLevel="1">
      <c r="A61" s="237" t="s">
        <v>184</v>
      </c>
      <c r="B61" s="243" t="s">
        <v>1213</v>
      </c>
      <c r="C61" s="239" t="s">
        <v>2184</v>
      </c>
      <c r="D61" s="195" t="s">
        <v>289</v>
      </c>
      <c r="E61" s="239" t="s">
        <v>80</v>
      </c>
      <c r="F61" s="138">
        <v>9.6</v>
      </c>
      <c r="G61" s="139" t="s">
        <v>123</v>
      </c>
      <c r="H61" s="163" t="s">
        <v>2185</v>
      </c>
      <c r="I61" s="164"/>
      <c r="J61" s="104"/>
      <c r="K61" s="282"/>
      <c r="L61" s="282"/>
      <c r="M61" s="363"/>
      <c r="N61" s="363"/>
      <c r="O61" s="138">
        <v>0.0</v>
      </c>
      <c r="P61" s="138">
        <v>1.0</v>
      </c>
      <c r="Q61" s="138">
        <v>1.0</v>
      </c>
      <c r="R61" s="145" t="b">
        <v>1</v>
      </c>
      <c r="S61" s="145" t="b">
        <v>0</v>
      </c>
      <c r="T61" s="145"/>
      <c r="U61" s="166" t="s">
        <v>186</v>
      </c>
      <c r="V61" s="166" t="b">
        <v>1</v>
      </c>
    </row>
    <row r="62" outlineLevel="1">
      <c r="A62" s="146"/>
      <c r="B62" s="663" t="s">
        <v>181</v>
      </c>
      <c r="C62" s="1458" t="s">
        <v>2186</v>
      </c>
      <c r="D62" s="107"/>
      <c r="E62" s="239" t="s">
        <v>150</v>
      </c>
      <c r="F62" s="138">
        <v>6.0</v>
      </c>
      <c r="G62" s="139" t="s">
        <v>60</v>
      </c>
      <c r="H62" s="106"/>
      <c r="I62" s="168"/>
      <c r="J62" s="107"/>
      <c r="K62" s="282"/>
      <c r="L62" s="282"/>
      <c r="M62" s="363"/>
      <c r="N62" s="363"/>
      <c r="O62" s="138">
        <v>0.0</v>
      </c>
      <c r="P62" s="138">
        <v>1.0</v>
      </c>
      <c r="Q62" s="138">
        <v>1.0</v>
      </c>
      <c r="R62" s="145" t="b">
        <v>1</v>
      </c>
      <c r="S62" s="145" t="b">
        <v>0</v>
      </c>
      <c r="T62" s="145" t="b">
        <v>1</v>
      </c>
      <c r="U62" s="156"/>
      <c r="V62" s="156"/>
    </row>
    <row r="63" outlineLevel="1">
      <c r="A63" s="230" t="s">
        <v>2187</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237" t="s">
        <v>184</v>
      </c>
      <c r="B64" s="243" t="s">
        <v>2188</v>
      </c>
      <c r="C64" s="239" t="s">
        <v>1303</v>
      </c>
      <c r="D64" s="239" t="s">
        <v>185</v>
      </c>
      <c r="E64" s="239" t="s">
        <v>176</v>
      </c>
      <c r="F64" s="138">
        <v>2.4</v>
      </c>
      <c r="G64" s="139" t="s">
        <v>60</v>
      </c>
      <c r="H64" s="163" t="s">
        <v>2189</v>
      </c>
      <c r="I64" s="164"/>
      <c r="J64" s="104"/>
      <c r="K64" s="282"/>
      <c r="L64" s="282"/>
      <c r="M64" s="363"/>
      <c r="N64" s="363"/>
      <c r="O64" s="138">
        <v>0.0</v>
      </c>
      <c r="P64" s="138">
        <v>1.0</v>
      </c>
      <c r="Q64" s="138">
        <v>1.0</v>
      </c>
      <c r="R64" s="145" t="b">
        <v>1</v>
      </c>
      <c r="S64" s="145" t="b">
        <v>1</v>
      </c>
      <c r="T64" s="145"/>
      <c r="U64" s="166" t="s">
        <v>186</v>
      </c>
      <c r="V64" s="166" t="b">
        <v>1</v>
      </c>
    </row>
    <row r="65" outlineLevel="1">
      <c r="A65" s="146"/>
      <c r="B65" s="243" t="s">
        <v>2190</v>
      </c>
      <c r="C65" s="239" t="s">
        <v>1303</v>
      </c>
      <c r="D65" s="239" t="s">
        <v>185</v>
      </c>
      <c r="E65" s="239" t="s">
        <v>73</v>
      </c>
      <c r="F65" s="138">
        <v>4.8</v>
      </c>
      <c r="G65" s="139" t="s">
        <v>75</v>
      </c>
      <c r="H65" s="212"/>
      <c r="J65" s="210"/>
      <c r="K65" s="138"/>
      <c r="L65" s="138"/>
      <c r="M65" s="145"/>
      <c r="N65" s="145"/>
      <c r="O65" s="138">
        <v>0.0</v>
      </c>
      <c r="P65" s="138">
        <v>1.0</v>
      </c>
      <c r="Q65" s="138">
        <v>1.0</v>
      </c>
      <c r="R65" s="145" t="b">
        <v>1</v>
      </c>
      <c r="S65" s="145" t="b">
        <v>1</v>
      </c>
      <c r="T65" s="145"/>
      <c r="U65" s="146"/>
      <c r="V65" s="146"/>
    </row>
    <row r="66" outlineLevel="1">
      <c r="A66" s="146"/>
      <c r="B66" s="243" t="s">
        <v>2191</v>
      </c>
      <c r="C66" s="239" t="s">
        <v>1303</v>
      </c>
      <c r="D66" s="239" t="s">
        <v>185</v>
      </c>
      <c r="E66" s="239" t="s">
        <v>86</v>
      </c>
      <c r="F66" s="138">
        <v>7.199999999999999</v>
      </c>
      <c r="G66" s="139" t="s">
        <v>102</v>
      </c>
      <c r="H66" s="212"/>
      <c r="J66" s="210"/>
      <c r="K66" s="138"/>
      <c r="L66" s="138"/>
      <c r="M66" s="145"/>
      <c r="N66" s="145"/>
      <c r="O66" s="138">
        <v>25.0</v>
      </c>
      <c r="P66" s="138">
        <v>1.0</v>
      </c>
      <c r="Q66" s="138">
        <v>1.0</v>
      </c>
      <c r="R66" s="145" t="b">
        <v>1</v>
      </c>
      <c r="S66" s="145" t="b">
        <v>1</v>
      </c>
      <c r="T66" s="145"/>
      <c r="U66" s="146"/>
      <c r="V66" s="146"/>
    </row>
    <row r="67" outlineLevel="1">
      <c r="A67" s="146"/>
      <c r="B67" s="243" t="s">
        <v>2192</v>
      </c>
      <c r="C67" s="239" t="s">
        <v>1303</v>
      </c>
      <c r="D67" s="239" t="s">
        <v>185</v>
      </c>
      <c r="E67" s="239" t="s">
        <v>80</v>
      </c>
      <c r="F67" s="138">
        <v>9.6</v>
      </c>
      <c r="G67" s="139" t="s">
        <v>123</v>
      </c>
      <c r="H67" s="212"/>
      <c r="J67" s="210"/>
      <c r="K67" s="138"/>
      <c r="L67" s="138"/>
      <c r="M67" s="145"/>
      <c r="N67" s="145"/>
      <c r="O67" s="138">
        <v>0.0</v>
      </c>
      <c r="P67" s="138">
        <v>1.0</v>
      </c>
      <c r="Q67" s="138">
        <v>1.0</v>
      </c>
      <c r="R67" s="145" t="b">
        <v>1</v>
      </c>
      <c r="S67" s="145" t="b">
        <v>1</v>
      </c>
      <c r="T67" s="145"/>
      <c r="U67" s="146"/>
      <c r="V67" s="146"/>
    </row>
    <row r="68" outlineLevel="1">
      <c r="A68" s="146"/>
      <c r="B68" s="243" t="s">
        <v>2193</v>
      </c>
      <c r="C68" s="239" t="s">
        <v>2194</v>
      </c>
      <c r="D68" s="239" t="s">
        <v>185</v>
      </c>
      <c r="E68" s="239" t="s">
        <v>204</v>
      </c>
      <c r="F68" s="138">
        <v>3.5999999999999996</v>
      </c>
      <c r="G68" s="139" t="s">
        <v>147</v>
      </c>
      <c r="H68" s="212"/>
      <c r="J68" s="210"/>
      <c r="K68" s="138"/>
      <c r="L68" s="138"/>
      <c r="M68" s="145"/>
      <c r="N68" s="145"/>
      <c r="O68" s="138">
        <v>0.0</v>
      </c>
      <c r="P68" s="138">
        <v>1.0</v>
      </c>
      <c r="Q68" s="138">
        <v>1.0</v>
      </c>
      <c r="R68" s="145" t="b">
        <v>1</v>
      </c>
      <c r="S68" s="145" t="b">
        <v>1</v>
      </c>
      <c r="T68" s="145"/>
      <c r="U68" s="146"/>
      <c r="V68" s="146"/>
    </row>
    <row r="69" outlineLevel="1">
      <c r="A69" s="146"/>
      <c r="B69" s="243" t="s">
        <v>2195</v>
      </c>
      <c r="C69" s="239" t="s">
        <v>1303</v>
      </c>
      <c r="D69" s="239" t="s">
        <v>185</v>
      </c>
      <c r="E69" s="239" t="s">
        <v>129</v>
      </c>
      <c r="F69" s="138">
        <v>14.399999999999999</v>
      </c>
      <c r="G69" s="139" t="s">
        <v>88</v>
      </c>
      <c r="H69" s="212"/>
      <c r="J69" s="210"/>
      <c r="K69" s="138"/>
      <c r="L69" s="138"/>
      <c r="M69" s="145"/>
      <c r="N69" s="145"/>
      <c r="O69" s="138">
        <v>0.0</v>
      </c>
      <c r="P69" s="138">
        <v>1.0</v>
      </c>
      <c r="Q69" s="138">
        <v>1.0</v>
      </c>
      <c r="R69" s="145" t="b">
        <v>1</v>
      </c>
      <c r="S69" s="145" t="b">
        <v>1</v>
      </c>
      <c r="T69" s="145"/>
      <c r="U69" s="146"/>
      <c r="V69" s="146"/>
    </row>
    <row r="70" outlineLevel="1">
      <c r="A70" s="146"/>
      <c r="B70" s="243" t="s">
        <v>2196</v>
      </c>
      <c r="C70" s="239" t="s">
        <v>1303</v>
      </c>
      <c r="D70" s="239" t="s">
        <v>185</v>
      </c>
      <c r="E70" s="239" t="s">
        <v>119</v>
      </c>
      <c r="F70" s="138">
        <v>16.8</v>
      </c>
      <c r="G70" s="139" t="s">
        <v>297</v>
      </c>
      <c r="H70" s="212"/>
      <c r="J70" s="210"/>
      <c r="K70" s="138"/>
      <c r="L70" s="138"/>
      <c r="M70" s="145"/>
      <c r="N70" s="145"/>
      <c r="O70" s="138">
        <v>0.0</v>
      </c>
      <c r="P70" s="138">
        <v>1.0</v>
      </c>
      <c r="Q70" s="138">
        <v>1.0</v>
      </c>
      <c r="R70" s="145" t="b">
        <v>1</v>
      </c>
      <c r="S70" s="145" t="b">
        <v>1</v>
      </c>
      <c r="T70" s="145"/>
      <c r="U70" s="146"/>
      <c r="V70" s="146"/>
    </row>
    <row r="71" outlineLevel="1">
      <c r="A71" s="146"/>
      <c r="B71" s="243" t="s">
        <v>2197</v>
      </c>
      <c r="C71" s="239" t="s">
        <v>1303</v>
      </c>
      <c r="D71" s="239" t="s">
        <v>185</v>
      </c>
      <c r="E71" s="239" t="s">
        <v>228</v>
      </c>
      <c r="F71" s="138">
        <v>15.6</v>
      </c>
      <c r="G71" s="139" t="s">
        <v>407</v>
      </c>
      <c r="H71" s="212"/>
      <c r="J71" s="210"/>
      <c r="K71" s="138"/>
      <c r="L71" s="138"/>
      <c r="M71" s="145"/>
      <c r="N71" s="145"/>
      <c r="O71" s="138">
        <v>0.0</v>
      </c>
      <c r="P71" s="138">
        <v>1.0</v>
      </c>
      <c r="Q71" s="138">
        <v>1.0</v>
      </c>
      <c r="R71" s="145" t="b">
        <v>1</v>
      </c>
      <c r="S71" s="145" t="b">
        <v>1</v>
      </c>
      <c r="T71" s="145"/>
      <c r="U71" s="146"/>
      <c r="V71" s="146"/>
    </row>
    <row r="72" outlineLevel="1">
      <c r="A72" s="146"/>
      <c r="B72" s="243" t="s">
        <v>2198</v>
      </c>
      <c r="C72" s="239" t="s">
        <v>1303</v>
      </c>
      <c r="D72" s="239" t="s">
        <v>185</v>
      </c>
      <c r="E72" s="239" t="s">
        <v>964</v>
      </c>
      <c r="F72" s="138">
        <v>38.4</v>
      </c>
      <c r="G72" s="139" t="s">
        <v>2199</v>
      </c>
      <c r="H72" s="106"/>
      <c r="I72" s="168"/>
      <c r="J72" s="107"/>
      <c r="K72" s="138"/>
      <c r="L72" s="138"/>
      <c r="M72" s="145"/>
      <c r="N72" s="145"/>
      <c r="O72" s="138">
        <v>0.0</v>
      </c>
      <c r="P72" s="138">
        <v>1.0</v>
      </c>
      <c r="Q72" s="138">
        <v>1.0</v>
      </c>
      <c r="R72" s="145" t="b">
        <v>1</v>
      </c>
      <c r="S72" s="145" t="b">
        <v>1</v>
      </c>
      <c r="T72" s="145"/>
      <c r="U72" s="156"/>
      <c r="V72" s="156"/>
    </row>
    <row r="73" outlineLevel="1">
      <c r="A73" s="230" t="s">
        <v>2200</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ht="38.25" customHeight="1" outlineLevel="1">
      <c r="A74" s="546" t="s">
        <v>184</v>
      </c>
      <c r="B74" s="402" t="s">
        <v>125</v>
      </c>
      <c r="C74" s="239" t="s">
        <v>71</v>
      </c>
      <c r="D74" s="367" t="s">
        <v>224</v>
      </c>
      <c r="E74" s="239" t="s">
        <v>204</v>
      </c>
      <c r="F74" s="138">
        <v>3.5999999999999996</v>
      </c>
      <c r="G74" s="139" t="s">
        <v>147</v>
      </c>
      <c r="H74" s="163" t="s">
        <v>2201</v>
      </c>
      <c r="I74" s="164"/>
      <c r="J74" s="104"/>
      <c r="K74" s="138"/>
      <c r="L74" s="138"/>
      <c r="M74" s="145"/>
      <c r="N74" s="145"/>
      <c r="O74" s="138">
        <v>0.0</v>
      </c>
      <c r="P74" s="138">
        <v>1.0</v>
      </c>
      <c r="Q74" s="138">
        <v>1.0</v>
      </c>
      <c r="R74" s="145" t="b">
        <v>0</v>
      </c>
      <c r="S74" s="145" t="b">
        <v>0</v>
      </c>
      <c r="T74" s="145"/>
      <c r="U74" s="166" t="s">
        <v>2202</v>
      </c>
      <c r="V74" s="166" t="b">
        <v>0</v>
      </c>
    </row>
    <row r="75" ht="38.25" customHeight="1" outlineLevel="1">
      <c r="A75" s="156"/>
      <c r="B75" s="402" t="s">
        <v>131</v>
      </c>
      <c r="C75" s="239" t="s">
        <v>2203</v>
      </c>
      <c r="D75" s="156"/>
      <c r="E75" s="239" t="s">
        <v>86</v>
      </c>
      <c r="F75" s="138">
        <v>7.199999999999999</v>
      </c>
      <c r="G75" s="139" t="s">
        <v>102</v>
      </c>
      <c r="H75" s="106"/>
      <c r="I75" s="168"/>
      <c r="J75" s="107"/>
      <c r="K75" s="138"/>
      <c r="L75" s="138"/>
      <c r="M75" s="145"/>
      <c r="N75" s="145"/>
      <c r="O75" s="138">
        <v>0.0</v>
      </c>
      <c r="P75" s="138">
        <v>1.0</v>
      </c>
      <c r="Q75" s="138">
        <v>1.0</v>
      </c>
      <c r="R75" s="145" t="b">
        <v>1</v>
      </c>
      <c r="S75" s="145" t="b">
        <v>0</v>
      </c>
      <c r="T75" s="145"/>
      <c r="U75" s="156"/>
      <c r="V75" s="156"/>
    </row>
    <row r="76" outlineLevel="1">
      <c r="A76" s="230" t="s">
        <v>2204</v>
      </c>
      <c r="B76" s="109"/>
      <c r="C76" s="231" t="s">
        <v>48</v>
      </c>
      <c r="D76" s="231" t="s">
        <v>49</v>
      </c>
      <c r="E76" s="232" t="s">
        <v>50</v>
      </c>
      <c r="F76" s="233" t="s">
        <v>51</v>
      </c>
      <c r="G76" s="232"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236" t="s">
        <v>183</v>
      </c>
    </row>
    <row r="77" ht="21.0" customHeight="1" outlineLevel="1">
      <c r="A77" s="259" t="s">
        <v>332</v>
      </c>
      <c r="B77" s="1459" t="s">
        <v>2205</v>
      </c>
      <c r="C77" s="239" t="s">
        <v>2206</v>
      </c>
      <c r="D77" s="239" t="s">
        <v>127</v>
      </c>
      <c r="E77" s="409"/>
      <c r="F77" s="409"/>
      <c r="G77" s="409"/>
      <c r="H77" s="283" t="s">
        <v>2207</v>
      </c>
      <c r="I77" s="164"/>
      <c r="J77" s="104"/>
      <c r="K77" s="409"/>
      <c r="L77" s="409"/>
      <c r="M77" s="409"/>
      <c r="N77" s="409"/>
      <c r="O77" s="409"/>
      <c r="P77" s="409"/>
      <c r="Q77" s="409"/>
      <c r="R77" s="409"/>
      <c r="S77" s="409"/>
      <c r="T77" s="409"/>
      <c r="U77" s="166" t="b">
        <v>0</v>
      </c>
      <c r="V77" s="166" t="b">
        <v>0</v>
      </c>
    </row>
    <row r="78" ht="21.0" customHeight="1" outlineLevel="1">
      <c r="A78" s="259" t="s">
        <v>344</v>
      </c>
      <c r="B78" s="107"/>
      <c r="C78" s="239" t="s">
        <v>2208</v>
      </c>
      <c r="D78" s="239" t="s">
        <v>221</v>
      </c>
      <c r="E78" s="409"/>
      <c r="F78" s="409"/>
      <c r="G78" s="409"/>
      <c r="H78" s="106"/>
      <c r="I78" s="168"/>
      <c r="J78" s="107"/>
      <c r="K78" s="409"/>
      <c r="L78" s="409"/>
      <c r="M78" s="409"/>
      <c r="N78" s="409"/>
      <c r="O78" s="409"/>
      <c r="P78" s="409"/>
      <c r="Q78" s="409"/>
      <c r="R78" s="409"/>
      <c r="S78" s="409"/>
      <c r="T78" s="409"/>
      <c r="U78" s="146"/>
      <c r="V78" s="146"/>
    </row>
    <row r="79" ht="27.0" customHeight="1" outlineLevel="1">
      <c r="A79" s="237" t="s">
        <v>184</v>
      </c>
      <c r="B79" s="402" t="s">
        <v>677</v>
      </c>
      <c r="C79" s="409"/>
      <c r="D79" s="239" t="s">
        <v>228</v>
      </c>
      <c r="E79" s="409"/>
      <c r="F79" s="409"/>
      <c r="G79" s="409"/>
      <c r="H79" s="283" t="s">
        <v>2209</v>
      </c>
      <c r="I79" s="164"/>
      <c r="J79" s="104"/>
      <c r="K79" s="409"/>
      <c r="L79" s="409"/>
      <c r="M79" s="409"/>
      <c r="N79" s="409"/>
      <c r="O79" s="409"/>
      <c r="P79" s="409"/>
      <c r="Q79" s="409"/>
      <c r="R79" s="409"/>
      <c r="S79" s="409"/>
      <c r="T79" s="409"/>
      <c r="U79" s="146"/>
      <c r="V79" s="146"/>
    </row>
    <row r="80" ht="27.0" customHeight="1" outlineLevel="1">
      <c r="A80" s="146"/>
      <c r="B80" s="402" t="s">
        <v>2210</v>
      </c>
      <c r="C80" s="409"/>
      <c r="D80" s="239" t="s">
        <v>268</v>
      </c>
      <c r="E80" s="409"/>
      <c r="F80" s="409"/>
      <c r="G80" s="409"/>
      <c r="H80" s="106"/>
      <c r="I80" s="168"/>
      <c r="J80" s="107"/>
      <c r="K80" s="409"/>
      <c r="L80" s="409"/>
      <c r="M80" s="409"/>
      <c r="N80" s="409"/>
      <c r="O80" s="409"/>
      <c r="P80" s="409"/>
      <c r="Q80" s="409"/>
      <c r="R80" s="409"/>
      <c r="S80" s="409"/>
      <c r="T80" s="409"/>
      <c r="U80" s="146"/>
      <c r="V80" s="146"/>
    </row>
    <row r="81" ht="26.25" customHeight="1" outlineLevel="1">
      <c r="A81" s="146"/>
      <c r="B81" s="624" t="s">
        <v>2211</v>
      </c>
      <c r="C81" s="239" t="s">
        <v>2212</v>
      </c>
      <c r="D81" s="367" t="s">
        <v>185</v>
      </c>
      <c r="E81" s="367" t="s">
        <v>2213</v>
      </c>
      <c r="F81" s="367" t="s">
        <v>2214</v>
      </c>
      <c r="G81" s="367" t="s">
        <v>2215</v>
      </c>
      <c r="H81" s="283" t="s">
        <v>2216</v>
      </c>
      <c r="I81" s="164"/>
      <c r="J81" s="104"/>
      <c r="K81" s="138"/>
      <c r="L81" s="138"/>
      <c r="M81" s="145"/>
      <c r="N81" s="145"/>
      <c r="O81" s="138"/>
      <c r="P81" s="138"/>
      <c r="Q81" s="138"/>
      <c r="R81" s="145" t="b">
        <v>0</v>
      </c>
      <c r="S81" s="145" t="b">
        <v>0</v>
      </c>
      <c r="T81" s="145" t="b">
        <v>0</v>
      </c>
      <c r="U81" s="146"/>
      <c r="V81" s="146"/>
    </row>
    <row r="82" ht="26.25" customHeight="1" outlineLevel="1">
      <c r="A82" s="146"/>
      <c r="B82" s="624" t="s">
        <v>2217</v>
      </c>
      <c r="C82" s="239" t="s">
        <v>2218</v>
      </c>
      <c r="D82" s="146"/>
      <c r="E82" s="146"/>
      <c r="F82" s="146"/>
      <c r="G82" s="146"/>
      <c r="H82" s="212"/>
      <c r="J82" s="210"/>
      <c r="K82" s="138"/>
      <c r="L82" s="138"/>
      <c r="M82" s="145"/>
      <c r="N82" s="145"/>
      <c r="O82" s="138"/>
      <c r="P82" s="138"/>
      <c r="Q82" s="138"/>
      <c r="R82" s="145" t="b">
        <v>0</v>
      </c>
      <c r="S82" s="145" t="b">
        <v>0</v>
      </c>
      <c r="T82" s="145" t="b">
        <v>0</v>
      </c>
      <c r="U82" s="146"/>
      <c r="V82" s="146"/>
    </row>
    <row r="83" ht="26.25" customHeight="1" outlineLevel="1">
      <c r="A83" s="156"/>
      <c r="B83" s="624" t="s">
        <v>2219</v>
      </c>
      <c r="C83" s="239" t="s">
        <v>2220</v>
      </c>
      <c r="D83" s="156"/>
      <c r="E83" s="156"/>
      <c r="F83" s="156"/>
      <c r="G83" s="156"/>
      <c r="H83" s="106"/>
      <c r="I83" s="168"/>
      <c r="J83" s="107"/>
      <c r="K83" s="138"/>
      <c r="L83" s="138"/>
      <c r="M83" s="145"/>
      <c r="N83" s="145"/>
      <c r="O83" s="138">
        <v>0.0</v>
      </c>
      <c r="P83" s="138">
        <v>1.0</v>
      </c>
      <c r="Q83" s="138">
        <v>1.0</v>
      </c>
      <c r="R83" s="145" t="b">
        <v>1</v>
      </c>
      <c r="S83" s="145" t="b">
        <v>1</v>
      </c>
      <c r="T83" s="145"/>
      <c r="U83" s="156"/>
      <c r="V83" s="156"/>
    </row>
    <row r="84">
      <c r="A84" s="223"/>
      <c r="B84" s="224"/>
      <c r="C84" s="225"/>
      <c r="D84" s="225"/>
      <c r="E84" s="226"/>
      <c r="F84" s="226"/>
      <c r="G84" s="226"/>
      <c r="H84" s="227"/>
      <c r="I84" s="227"/>
      <c r="J84" s="228"/>
      <c r="K84" s="228"/>
      <c r="L84" s="228"/>
      <c r="M84" s="228"/>
      <c r="N84" s="228"/>
      <c r="O84" s="228"/>
      <c r="P84" s="228"/>
      <c r="Q84" s="118"/>
      <c r="R84" s="118"/>
      <c r="S84" s="118"/>
      <c r="T84" s="118"/>
      <c r="U84" s="118"/>
      <c r="V84" s="118"/>
    </row>
    <row r="85">
      <c r="A85" s="264" t="s">
        <v>211</v>
      </c>
      <c r="B85" s="104"/>
      <c r="C85" s="227"/>
      <c r="D85" s="227"/>
      <c r="E85" s="228"/>
      <c r="F85" s="265"/>
      <c r="G85" s="265"/>
      <c r="H85" s="228"/>
      <c r="I85" s="228"/>
      <c r="J85" s="228"/>
      <c r="K85" s="228"/>
      <c r="L85" s="228"/>
      <c r="M85" s="228"/>
      <c r="N85" s="118"/>
      <c r="O85" s="118"/>
      <c r="P85" s="118"/>
      <c r="Q85" s="228"/>
      <c r="R85" s="228"/>
      <c r="S85" s="228"/>
      <c r="T85" s="228"/>
      <c r="U85" s="228"/>
      <c r="V85" s="228"/>
    </row>
    <row r="86" outlineLevel="1">
      <c r="A86" s="106"/>
      <c r="B86" s="107"/>
      <c r="C86" s="266" t="s">
        <v>48</v>
      </c>
      <c r="D86" s="266" t="s">
        <v>49</v>
      </c>
      <c r="E86" s="266" t="s">
        <v>50</v>
      </c>
      <c r="F86" s="267" t="s">
        <v>51</v>
      </c>
      <c r="G86" s="227"/>
      <c r="H86" s="227"/>
      <c r="I86" s="227"/>
      <c r="J86" s="228"/>
      <c r="K86" s="228"/>
      <c r="L86" s="228"/>
      <c r="M86" s="228"/>
      <c r="N86" s="228"/>
      <c r="O86" s="228"/>
      <c r="P86" s="228"/>
      <c r="Q86" s="228"/>
      <c r="R86" s="228"/>
      <c r="S86" s="228"/>
      <c r="T86" s="228"/>
      <c r="U86" s="228"/>
      <c r="V86" s="228"/>
    </row>
    <row r="87" outlineLevel="1">
      <c r="A87" s="268" t="s">
        <v>212</v>
      </c>
      <c r="B87" s="269" t="s">
        <v>212</v>
      </c>
      <c r="C87" s="113" t="s">
        <v>213</v>
      </c>
      <c r="D87" s="113" t="s">
        <v>86</v>
      </c>
      <c r="E87" s="113" t="s">
        <v>214</v>
      </c>
      <c r="F87" s="138">
        <v>1.56</v>
      </c>
      <c r="G87" s="227"/>
      <c r="H87" s="227"/>
      <c r="I87" s="227"/>
      <c r="J87" s="228"/>
      <c r="K87" s="228"/>
      <c r="L87" s="228"/>
      <c r="M87" s="228"/>
      <c r="N87" s="228"/>
      <c r="O87" s="228"/>
      <c r="P87" s="228"/>
      <c r="Q87" s="228"/>
      <c r="R87" s="228"/>
      <c r="S87" s="228"/>
      <c r="T87" s="228"/>
      <c r="U87" s="228"/>
      <c r="V87" s="228"/>
    </row>
    <row r="88" outlineLevel="1">
      <c r="A88" s="270" t="s">
        <v>215</v>
      </c>
      <c r="B88" s="269" t="s">
        <v>216</v>
      </c>
      <c r="C88" s="239" t="s">
        <v>217</v>
      </c>
      <c r="D88" s="239" t="s">
        <v>218</v>
      </c>
      <c r="E88" s="271"/>
      <c r="F88" s="272"/>
      <c r="G88" s="272"/>
      <c r="H88" s="227"/>
      <c r="I88" s="227"/>
      <c r="J88" s="228"/>
      <c r="K88" s="228"/>
      <c r="L88" s="228"/>
      <c r="M88" s="228"/>
      <c r="N88" s="228"/>
      <c r="O88" s="228"/>
      <c r="P88" s="228"/>
      <c r="Q88" s="228"/>
      <c r="R88" s="228"/>
      <c r="S88" s="228"/>
      <c r="T88" s="228"/>
      <c r="U88" s="228"/>
      <c r="V88" s="228"/>
    </row>
    <row r="89" outlineLevel="1">
      <c r="A89" s="212"/>
      <c r="B89" s="269" t="s">
        <v>219</v>
      </c>
      <c r="C89" s="239" t="s">
        <v>220</v>
      </c>
      <c r="D89" s="239" t="s">
        <v>221</v>
      </c>
      <c r="E89" s="271"/>
      <c r="F89" s="272"/>
      <c r="G89" s="272"/>
      <c r="H89" s="227"/>
      <c r="I89" s="227"/>
      <c r="J89" s="228"/>
      <c r="K89" s="228"/>
      <c r="L89" s="228"/>
      <c r="M89" s="228"/>
      <c r="N89" s="228"/>
      <c r="O89" s="228"/>
      <c r="P89" s="228"/>
      <c r="Q89" s="228"/>
      <c r="R89" s="228"/>
      <c r="S89" s="228"/>
      <c r="T89" s="228"/>
      <c r="U89" s="228"/>
      <c r="V89" s="228"/>
    </row>
    <row r="90" outlineLevel="1">
      <c r="A90" s="106"/>
      <c r="B90" s="269" t="s">
        <v>222</v>
      </c>
      <c r="C90" s="239" t="s">
        <v>223</v>
      </c>
      <c r="D90" s="239" t="s">
        <v>224</v>
      </c>
      <c r="E90" s="227"/>
      <c r="F90" s="272"/>
      <c r="G90" s="272"/>
      <c r="H90" s="227"/>
      <c r="I90" s="227"/>
      <c r="J90" s="228"/>
      <c r="K90" s="228"/>
      <c r="L90" s="228"/>
      <c r="M90" s="228"/>
      <c r="N90" s="228"/>
      <c r="O90" s="228"/>
      <c r="P90" s="228"/>
      <c r="Q90" s="228"/>
      <c r="R90" s="228"/>
      <c r="S90" s="228"/>
      <c r="T90" s="228"/>
      <c r="U90" s="228"/>
      <c r="V90" s="228"/>
    </row>
    <row r="91" outlineLevel="1">
      <c r="A91" s="273" t="s">
        <v>225</v>
      </c>
      <c r="B91" s="109"/>
      <c r="C91" s="266" t="s">
        <v>48</v>
      </c>
      <c r="D91" s="266" t="s">
        <v>49</v>
      </c>
      <c r="E91" s="266" t="s">
        <v>50</v>
      </c>
      <c r="F91" s="267" t="s">
        <v>51</v>
      </c>
      <c r="G91" s="1168" t="s">
        <v>53</v>
      </c>
      <c r="H91" s="110"/>
      <c r="I91" s="110"/>
      <c r="J91" s="109"/>
      <c r="K91" s="275" t="str">
        <f>'テンプレート'!K97</f>
        <v>ベクトル</v>
      </c>
      <c r="L91" s="275" t="str">
        <f>'テンプレート'!L97</f>
        <v>KBG (R.E.)</v>
      </c>
      <c r="M91" s="275" t="str">
        <f>'テンプレート'!M97</f>
        <v>BKB (R.A.)</v>
      </c>
      <c r="N91" s="275" t="str">
        <f>'テンプレート'!N97</f>
        <v>FKB (R.F.)</v>
      </c>
      <c r="O91" s="276" t="str">
        <f>'テンプレート'!O97</f>
        <v>盾削り値</v>
      </c>
      <c r="P91" s="275" t="str">
        <f>'テンプレート'!P97</f>
        <v>ﾋｯﾄｽﾄｯﾌﾟ</v>
      </c>
      <c r="Q91" s="276" t="str">
        <f>'テンプレート'!Q97</f>
        <v>ずらし</v>
      </c>
      <c r="R91" s="277"/>
      <c r="S91" s="277"/>
      <c r="T91" s="277"/>
      <c r="U91" s="277"/>
      <c r="V91" s="277"/>
    </row>
    <row r="92" outlineLevel="1">
      <c r="A92" s="278" t="s">
        <v>226</v>
      </c>
      <c r="B92" s="269" t="s">
        <v>227</v>
      </c>
      <c r="C92" s="261"/>
      <c r="D92" s="367" t="s">
        <v>628</v>
      </c>
      <c r="E92" s="261"/>
      <c r="F92" s="261"/>
      <c r="G92" s="1170"/>
      <c r="H92" s="164"/>
      <c r="I92" s="164"/>
      <c r="J92" s="104"/>
      <c r="K92" s="261"/>
      <c r="L92" s="261"/>
      <c r="M92" s="261"/>
      <c r="N92" s="261"/>
      <c r="O92" s="261"/>
      <c r="P92" s="261"/>
      <c r="Q92" s="261"/>
      <c r="R92" s="277"/>
      <c r="S92" s="228"/>
      <c r="T92" s="228"/>
      <c r="U92" s="228"/>
      <c r="V92" s="228"/>
    </row>
    <row r="93" outlineLevel="1">
      <c r="A93" s="156"/>
      <c r="B93" s="269" t="s">
        <v>225</v>
      </c>
      <c r="C93" s="113">
        <v>26.0</v>
      </c>
      <c r="D93" s="156"/>
      <c r="E93" s="239" t="s">
        <v>80</v>
      </c>
      <c r="F93" s="138">
        <v>9.6</v>
      </c>
      <c r="G93" s="106"/>
      <c r="H93" s="168"/>
      <c r="I93" s="168"/>
      <c r="J93" s="107"/>
      <c r="K93" s="282"/>
      <c r="L93" s="282"/>
      <c r="M93" s="363"/>
      <c r="N93" s="363"/>
      <c r="O93" s="261"/>
      <c r="P93" s="261"/>
      <c r="Q93" s="261"/>
      <c r="R93" s="277"/>
      <c r="S93" s="228"/>
      <c r="T93" s="228"/>
      <c r="U93" s="228"/>
      <c r="V93" s="228"/>
    </row>
    <row r="94" outlineLevel="1">
      <c r="A94" s="278" t="s">
        <v>229</v>
      </c>
      <c r="B94" s="269" t="s">
        <v>227</v>
      </c>
      <c r="C94" s="261"/>
      <c r="D94" s="367" t="s">
        <v>628</v>
      </c>
      <c r="E94" s="261"/>
      <c r="F94" s="261"/>
      <c r="G94" s="1170"/>
      <c r="H94" s="164"/>
      <c r="I94" s="164"/>
      <c r="J94" s="104"/>
      <c r="K94" s="261"/>
      <c r="L94" s="261"/>
      <c r="M94" s="261"/>
      <c r="N94" s="261"/>
      <c r="O94" s="261"/>
      <c r="P94" s="261"/>
      <c r="Q94" s="261"/>
      <c r="R94" s="277"/>
      <c r="S94" s="228"/>
      <c r="T94" s="228"/>
      <c r="U94" s="228"/>
      <c r="V94" s="228"/>
    </row>
    <row r="95" outlineLevel="1">
      <c r="A95" s="156"/>
      <c r="B95" s="269" t="s">
        <v>225</v>
      </c>
      <c r="C95" s="113">
        <v>26.0</v>
      </c>
      <c r="D95" s="156"/>
      <c r="E95" s="239" t="s">
        <v>80</v>
      </c>
      <c r="F95" s="138">
        <v>9.6</v>
      </c>
      <c r="G95" s="106"/>
      <c r="H95" s="168"/>
      <c r="I95" s="168"/>
      <c r="J95" s="107"/>
      <c r="K95" s="282"/>
      <c r="L95" s="282"/>
      <c r="M95" s="363"/>
      <c r="N95" s="363"/>
      <c r="O95" s="261"/>
      <c r="P95" s="261"/>
      <c r="Q95" s="261"/>
      <c r="R95" s="277"/>
      <c r="S95" s="228"/>
      <c r="T95" s="228"/>
      <c r="U95" s="228"/>
      <c r="V95" s="228"/>
    </row>
    <row r="96" outlineLevel="1">
      <c r="A96" s="278" t="s">
        <v>233</v>
      </c>
      <c r="B96" s="269" t="s">
        <v>227</v>
      </c>
      <c r="C96" s="261"/>
      <c r="D96" s="367" t="s">
        <v>628</v>
      </c>
      <c r="E96" s="261"/>
      <c r="F96" s="261"/>
      <c r="G96" s="1170"/>
      <c r="H96" s="164"/>
      <c r="I96" s="164"/>
      <c r="J96" s="104"/>
      <c r="K96" s="261"/>
      <c r="L96" s="261"/>
      <c r="M96" s="261"/>
      <c r="N96" s="261"/>
      <c r="O96" s="261"/>
      <c r="P96" s="261"/>
      <c r="Q96" s="261"/>
      <c r="R96" s="277"/>
      <c r="S96" s="228"/>
      <c r="T96" s="228"/>
      <c r="U96" s="228"/>
      <c r="V96" s="228"/>
    </row>
    <row r="97" outlineLevel="1">
      <c r="A97" s="156"/>
      <c r="B97" s="269" t="s">
        <v>225</v>
      </c>
      <c r="C97" s="113">
        <v>26.0</v>
      </c>
      <c r="D97" s="156"/>
      <c r="E97" s="239" t="s">
        <v>129</v>
      </c>
      <c r="F97" s="138">
        <v>14.399999999999999</v>
      </c>
      <c r="G97" s="106"/>
      <c r="H97" s="168"/>
      <c r="I97" s="168"/>
      <c r="J97" s="107"/>
      <c r="K97" s="282"/>
      <c r="L97" s="282"/>
      <c r="M97" s="363"/>
      <c r="N97" s="363"/>
      <c r="O97" s="261"/>
      <c r="P97" s="261"/>
      <c r="Q97" s="261"/>
      <c r="R97" s="277"/>
      <c r="S97" s="117"/>
      <c r="T97" s="117"/>
      <c r="U97" s="117"/>
      <c r="V97" s="117"/>
    </row>
    <row r="98" outlineLevel="1">
      <c r="A98" s="278" t="s">
        <v>234</v>
      </c>
      <c r="B98" s="269" t="s">
        <v>227</v>
      </c>
      <c r="C98" s="553"/>
      <c r="D98" s="367" t="s">
        <v>185</v>
      </c>
      <c r="E98" s="553"/>
      <c r="F98" s="261"/>
      <c r="G98" s="283"/>
      <c r="H98" s="164"/>
      <c r="I98" s="164"/>
      <c r="J98" s="104"/>
      <c r="K98" s="261"/>
      <c r="L98" s="261"/>
      <c r="M98" s="261"/>
      <c r="N98" s="261"/>
      <c r="O98" s="261"/>
      <c r="P98" s="261"/>
      <c r="Q98" s="261"/>
      <c r="R98" s="277"/>
      <c r="S98" s="117"/>
      <c r="T98" s="117"/>
      <c r="U98" s="117"/>
      <c r="V98" s="117"/>
    </row>
    <row r="99" outlineLevel="1">
      <c r="A99" s="156"/>
      <c r="B99" s="269" t="s">
        <v>225</v>
      </c>
      <c r="C99" s="113" t="s">
        <v>193</v>
      </c>
      <c r="D99" s="156"/>
      <c r="E99" s="239" t="s">
        <v>73</v>
      </c>
      <c r="F99" s="138">
        <v>4.8</v>
      </c>
      <c r="G99" s="106"/>
      <c r="H99" s="168"/>
      <c r="I99" s="168"/>
      <c r="J99" s="107"/>
      <c r="K99" s="282"/>
      <c r="L99" s="282"/>
      <c r="M99" s="363"/>
      <c r="N99" s="363"/>
      <c r="O99" s="261"/>
      <c r="P99" s="261"/>
      <c r="Q99" s="261"/>
      <c r="R99" s="277"/>
      <c r="S99" s="117"/>
      <c r="T99" s="117"/>
      <c r="U99" s="117"/>
      <c r="V99" s="117"/>
    </row>
    <row r="100">
      <c r="A100" s="223"/>
      <c r="B100" s="224"/>
      <c r="C100" s="225"/>
      <c r="D100" s="225"/>
      <c r="E100" s="227"/>
      <c r="F100" s="177"/>
      <c r="G100" s="177"/>
      <c r="H100" s="227"/>
      <c r="I100" s="227"/>
      <c r="J100" s="228"/>
      <c r="K100" s="228"/>
      <c r="L100" s="111"/>
      <c r="M100" s="111"/>
      <c r="N100" s="111"/>
      <c r="O100" s="117"/>
      <c r="P100" s="117"/>
      <c r="Q100" s="111"/>
      <c r="R100" s="111"/>
      <c r="S100" s="111"/>
      <c r="T100" s="111"/>
      <c r="U100" s="111"/>
      <c r="V100" s="111"/>
    </row>
    <row r="101">
      <c r="A101" s="284" t="s">
        <v>241</v>
      </c>
      <c r="B101" s="104"/>
      <c r="C101" s="265"/>
      <c r="D101" s="111"/>
      <c r="E101" s="111"/>
      <c r="F101" s="111"/>
      <c r="G101" s="111"/>
      <c r="H101" s="111"/>
      <c r="I101" s="111"/>
      <c r="J101" s="118"/>
      <c r="K101" s="111"/>
      <c r="L101" s="111"/>
      <c r="M101" s="111"/>
      <c r="N101" s="111"/>
      <c r="O101" s="111"/>
      <c r="P101" s="111"/>
      <c r="Q101" s="118"/>
      <c r="R101" s="111"/>
      <c r="S101" s="111"/>
      <c r="T101" s="111"/>
      <c r="U101" s="111"/>
      <c r="V101" s="111"/>
    </row>
    <row r="102" outlineLevel="1">
      <c r="A102" s="106"/>
      <c r="B102" s="107"/>
      <c r="C102" s="285" t="s">
        <v>235</v>
      </c>
      <c r="D102" s="285" t="s">
        <v>236</v>
      </c>
      <c r="E102" s="285" t="s">
        <v>49</v>
      </c>
      <c r="F102" s="285" t="s">
        <v>237</v>
      </c>
      <c r="G102" s="286"/>
      <c r="H102" s="227"/>
      <c r="I102" s="227"/>
      <c r="J102" s="228"/>
      <c r="K102" s="228"/>
      <c r="L102" s="111"/>
      <c r="M102" s="111"/>
      <c r="N102" s="111"/>
      <c r="O102" s="111"/>
      <c r="P102" s="111"/>
      <c r="Q102" s="111"/>
      <c r="R102" s="111"/>
      <c r="S102" s="111"/>
      <c r="T102" s="111"/>
      <c r="U102" s="111"/>
      <c r="V102" s="111"/>
    </row>
    <row r="103" outlineLevel="1">
      <c r="A103" s="287" t="s">
        <v>395</v>
      </c>
      <c r="B103" s="288" t="s">
        <v>216</v>
      </c>
      <c r="C103" s="113" t="str">
        <f t="array" ref="C103">INDEX('回避'!$C$3:$U$84, MATCH($A$1,'回避'!$A$3:$A$91,0), MATCH(C102,'回避'!$C$2:$F$2,0))</f>
        <v>3-17</v>
      </c>
      <c r="D103" s="113" t="str">
        <f t="array" ref="D103">INDEX('回避'!$C$3:$U$84, MATCH($A$1,'回避'!$A$3:$A$91,0), MATCH(D102,'回避'!$C$2:$F$2,0))</f>
        <v>6-17</v>
      </c>
      <c r="E103" s="113" t="str">
        <f t="array" ref="E103">INDEX('回避'!$C$3:$U$84, MATCH($A$1,'回避'!$A$3:$A$91,0), MATCH(E102,'回避'!$C$2:$F$2,0))</f>
        <v>26 (21)</v>
      </c>
      <c r="F103" s="113" t="str">
        <f t="array" ref="F103">INDEX('回避'!$C$3:$U$84, MATCH($A$1,'回避'!$A$3:$A$91,0), MATCH(F102,'回避'!$C$2:$F$2,0))</f>
        <v>35 (28)</v>
      </c>
      <c r="G103" s="272"/>
      <c r="H103" s="227"/>
      <c r="I103" s="227"/>
      <c r="J103" s="228"/>
      <c r="K103" s="228"/>
      <c r="L103" s="228"/>
      <c r="M103" s="111"/>
      <c r="N103" s="111"/>
      <c r="O103" s="111"/>
      <c r="P103" s="111"/>
      <c r="Q103" s="111"/>
      <c r="R103" s="111"/>
      <c r="S103" s="111"/>
      <c r="T103" s="111"/>
      <c r="U103" s="111"/>
      <c r="V103" s="111"/>
    </row>
    <row r="104" outlineLevel="1">
      <c r="A104" s="212"/>
      <c r="B104" s="288" t="s">
        <v>245</v>
      </c>
      <c r="C104" s="113" t="str">
        <f t="array" ref="C104">INDEX('回避'!$G$3:$U$84, MATCH($A$1,'回避'!$A$3:$A$91,0), MATCH(C102,'回避'!$G$2:$J$2,0))</f>
        <v>4-15</v>
      </c>
      <c r="D104" s="113" t="str">
        <f t="array" ref="D104">INDEX('回避'!$G$3:$U$84, MATCH($A$1,'回避'!$A$3:$A$91,0), MATCH(D102,'回避'!$G$2:$J$2,0))</f>
        <v>8-14</v>
      </c>
      <c r="E104" s="113" t="str">
        <f t="array" ref="E104">INDEX('回避'!$G$3:$U$84, MATCH($A$1,'回避'!$A$3:$A$91,0), MATCH(E102,'回避'!$G$2:$J$2,0))</f>
        <v>30</v>
      </c>
      <c r="F104" s="113">
        <f t="array" ref="F104">INDEX('回避'!$G$3:$U$84, MATCH($A$1,'回避'!$A$3:$A$91,0), MATCH(F102,'回避'!$G$2:$J$2,0))</f>
        <v>40</v>
      </c>
      <c r="G104" s="289"/>
      <c r="H104" s="227"/>
      <c r="I104" s="227"/>
      <c r="J104" s="228"/>
      <c r="K104" s="228"/>
      <c r="L104" s="228"/>
      <c r="M104" s="228"/>
      <c r="N104" s="228"/>
      <c r="O104" s="111"/>
      <c r="P104" s="111"/>
      <c r="Q104" s="111"/>
      <c r="R104" s="111"/>
      <c r="S104" s="111"/>
      <c r="T104" s="111"/>
      <c r="U104" s="111"/>
      <c r="V104" s="111"/>
    </row>
    <row r="105" outlineLevel="1">
      <c r="A105" s="106"/>
      <c r="B105" s="288" t="s">
        <v>246</v>
      </c>
      <c r="C105" s="113" t="str">
        <f t="array" ref="C105">INDEX('回避'!$K$3:$U$84, MATCH($A$1,'回避'!$A$3:$A$91,0), MATCH(C102,'回避'!$K$2:$N$2,0))</f>
        <v>5-16</v>
      </c>
      <c r="D105" s="113" t="str">
        <f t="array" ref="D105">INDEX('回避'!$K$3:$U$84, MATCH($A$1,'回避'!$A$3:$A$91,0), MATCH(D102,'回避'!$K$2:$N$2,0))</f>
        <v>9-14</v>
      </c>
      <c r="E105" s="113" t="str">
        <f t="array" ref="E105">INDEX('回避'!$K$3:$U$84, MATCH($A$1,'回避'!$A$3:$A$91,0), MATCH(E102,'回避'!$K$2:$N$2,0))</f>
        <v>35</v>
      </c>
      <c r="F105" s="113" t="str">
        <f t="array" ref="F105">INDEX('回避'!$K$3:$U$84, MATCH($A$1,'回避'!$A$3:$A$91,0), MATCH(F102,'回避'!$K$2:$N$2,0))</f>
        <v>53</v>
      </c>
      <c r="G105" s="289"/>
      <c r="H105" s="290"/>
      <c r="I105" s="290"/>
      <c r="J105" s="117"/>
      <c r="K105" s="117"/>
      <c r="L105" s="117"/>
      <c r="M105" s="117"/>
      <c r="N105" s="117"/>
      <c r="O105" s="111"/>
      <c r="P105" s="111"/>
      <c r="Q105" s="111"/>
      <c r="R105" s="111"/>
      <c r="S105" s="111"/>
      <c r="T105" s="111"/>
      <c r="U105" s="111"/>
      <c r="V105" s="111"/>
    </row>
    <row r="106" outlineLevel="1">
      <c r="A106" s="287" t="s">
        <v>396</v>
      </c>
      <c r="B106" s="288" t="s">
        <v>397</v>
      </c>
      <c r="C106" s="113" t="str">
        <f t="array" ref="C106">INDEX('回避'!$O$3:$U$84, MATCH($A$1,'回避'!$A$3:$A$91,0), MATCH(C102,'回避'!$O$2:$R$2,0))</f>
        <v>3-28</v>
      </c>
      <c r="D106" s="113" t="str">
        <f t="array" ref="D106">INDEX('回避'!$O$3:$U$84, MATCH($A$1,'回避'!$A$3:$A$91,0), MATCH(D102,'回避'!$O$2:$R$2,0))</f>
        <v>6-26</v>
      </c>
      <c r="E106" s="113" t="str">
        <f t="array" ref="E106">INDEX('回避'!$O$3:$U$84, MATCH($A$1,'回避'!$A$3:$A$91,0), MATCH(E102,'回避'!$O$2:$R$2,0))</f>
        <v>59</v>
      </c>
      <c r="F106" s="177"/>
      <c r="G106" s="177"/>
      <c r="H106" s="118"/>
      <c r="I106" s="118"/>
      <c r="J106" s="111"/>
      <c r="K106" s="111"/>
      <c r="L106" s="111"/>
      <c r="M106" s="111"/>
      <c r="N106" s="111"/>
      <c r="O106" s="228"/>
      <c r="P106" s="228"/>
      <c r="Q106" s="228"/>
      <c r="R106" s="228"/>
      <c r="S106" s="228"/>
      <c r="T106" s="228"/>
      <c r="U106" s="228"/>
      <c r="V106" s="228"/>
    </row>
    <row r="107" outlineLevel="1">
      <c r="A107" s="106"/>
      <c r="B107" s="288" t="s">
        <v>398</v>
      </c>
      <c r="C107" s="113" t="str">
        <f t="array" ref="C107">INDEX('回避'!$S$3:$U$84, MATCH($A$1,'回避'!$A$3:$A$91,0), MATCH(C102,'回避'!$S$2:$U$2,0))</f>
        <v>3-21</v>
      </c>
      <c r="D107" s="113" t="str">
        <f t="array" ref="D107">INDEX('回避'!$S$3:$U$84, MATCH($A$1,'回避'!$A$3:$A$91,0), MATCH(D102,'回避'!$S$2:$U$2,0))</f>
        <v>6-20</v>
      </c>
      <c r="E107" s="113" t="str">
        <f t="array" ref="E107">INDEX('回避'!$S$3:$U$84, MATCH($A$1,'回避'!$A$3:$A$91,0), MATCH(E102,'回避'!$S$2:$U$2,0))</f>
        <v>真横：100
真上：132
真下：84</v>
      </c>
      <c r="F107" s="289"/>
      <c r="G107" s="289"/>
      <c r="H107" s="118"/>
      <c r="I107" s="118"/>
      <c r="J107" s="117"/>
      <c r="K107" s="117"/>
      <c r="L107" s="117"/>
      <c r="M107" s="117"/>
      <c r="N107" s="111"/>
      <c r="O107" s="118"/>
      <c r="P107" s="118"/>
      <c r="Q107" s="118"/>
      <c r="R107" s="118"/>
      <c r="S107" s="118"/>
      <c r="T107" s="118"/>
      <c r="U107" s="118"/>
      <c r="V107" s="118"/>
    </row>
    <row r="108">
      <c r="A108" s="291"/>
      <c r="B108" s="292"/>
      <c r="C108" s="286"/>
      <c r="D108" s="286"/>
      <c r="E108" s="293"/>
      <c r="F108" s="286"/>
      <c r="G108" s="286"/>
      <c r="H108" s="286"/>
      <c r="I108" s="286"/>
      <c r="J108" s="111"/>
      <c r="K108" s="227"/>
      <c r="L108" s="227"/>
      <c r="M108" s="227"/>
      <c r="N108" s="227"/>
      <c r="O108" s="118"/>
      <c r="P108" s="118"/>
      <c r="Q108" s="118"/>
      <c r="R108" s="118"/>
      <c r="S108" s="118"/>
      <c r="T108" s="118"/>
      <c r="U108" s="118"/>
      <c r="V108" s="118"/>
    </row>
    <row r="109">
      <c r="A109" s="294" t="s">
        <v>238</v>
      </c>
      <c r="B109" s="104"/>
      <c r="C109" s="228"/>
      <c r="D109" s="117"/>
      <c r="E109" s="228"/>
      <c r="F109" s="114"/>
      <c r="G109" s="114"/>
      <c r="H109" s="117"/>
      <c r="I109" s="117"/>
      <c r="J109" s="118"/>
      <c r="K109" s="118"/>
      <c r="L109" s="118"/>
      <c r="M109" s="118"/>
      <c r="N109" s="118"/>
      <c r="O109" s="118"/>
      <c r="P109" s="118"/>
      <c r="Q109" s="118"/>
      <c r="R109" s="118"/>
      <c r="S109" s="118"/>
      <c r="T109" s="118"/>
      <c r="U109" s="118"/>
      <c r="V109" s="118"/>
    </row>
    <row r="110" outlineLevel="1">
      <c r="A110" s="106"/>
      <c r="B110" s="107"/>
      <c r="C110" s="295" t="s">
        <v>235</v>
      </c>
      <c r="D110" s="295" t="s">
        <v>49</v>
      </c>
      <c r="E110" s="295" t="s">
        <v>48</v>
      </c>
      <c r="F110" s="295" t="s">
        <v>50</v>
      </c>
      <c r="G110" s="296" t="s">
        <v>51</v>
      </c>
      <c r="H110" s="228"/>
      <c r="I110" s="228"/>
      <c r="J110" s="117"/>
      <c r="K110" s="297" t="str">
        <f>'テンプレート'!K116</f>
        <v>アイテム取得</v>
      </c>
      <c r="L110" s="109"/>
      <c r="M110" s="298" t="str">
        <f>'テンプレート'!M116</f>
        <v>取得フレーム</v>
      </c>
      <c r="N110" s="298" t="str">
        <f>'テンプレート'!N116</f>
        <v>全体フレーム</v>
      </c>
      <c r="O110" s="118"/>
      <c r="P110" s="118"/>
      <c r="Q110" s="118"/>
      <c r="R110" s="118"/>
      <c r="S110" s="118"/>
      <c r="T110" s="118"/>
      <c r="U110" s="118"/>
      <c r="V110" s="118"/>
    </row>
    <row r="111" outlineLevel="1">
      <c r="A111" s="299" t="s">
        <v>239</v>
      </c>
      <c r="B111" s="300" t="s">
        <v>240</v>
      </c>
      <c r="C111" s="301"/>
      <c r="D111" s="113">
        <f t="array" ref="D111">INDEX('崖行動・受け身'!$C$3:$C114, MATCH($A$1,'崖行動・受け身'!$A$3:$A$115,0), MATCH(D110,'崖行動・受け身'!$C$2,0))</f>
        <v>19</v>
      </c>
      <c r="E111" s="301"/>
      <c r="F111" s="301"/>
      <c r="G111" s="301"/>
      <c r="H111" s="228"/>
      <c r="I111" s="228"/>
      <c r="J111" s="111"/>
      <c r="K111" s="302" t="str">
        <f>'テンプレート'!K117</f>
        <v>小アイテム</v>
      </c>
      <c r="L111" s="303" t="str">
        <f>'テンプレート'!L117</f>
        <v>その場</v>
      </c>
      <c r="M111" s="113" t="s">
        <v>76</v>
      </c>
      <c r="N111" s="113">
        <v>7.0</v>
      </c>
      <c r="O111" s="118"/>
      <c r="P111" s="118"/>
      <c r="Q111" s="118"/>
      <c r="R111" s="118"/>
      <c r="S111" s="118"/>
      <c r="T111" s="118"/>
      <c r="U111" s="118"/>
      <c r="V111" s="118"/>
    </row>
    <row r="112" outlineLevel="1">
      <c r="A112" s="146"/>
      <c r="B112" s="300" t="s">
        <v>216</v>
      </c>
      <c r="C112" s="113" t="str">
        <f t="array" ref="C112">INDEX('崖行動・受け身'!$D$3:$E114, MATCH($A$1,'崖行動・受け身'!$A$3:$A$115,0), MATCH(C110,'崖行動・受け身'!$D$2:$E$2,0))</f>
        <v>1-33</v>
      </c>
      <c r="D112" s="113">
        <f t="array" ref="D112">INDEX('崖行動・受け身'!$D$3:$E114, MATCH($A$1,'崖行動・受け身'!$A$3:$A$115,0), MATCH(D110,'崖行動・受け身'!$D$2:$E$2,0))</f>
        <v>34</v>
      </c>
      <c r="E112" s="301"/>
      <c r="F112" s="301"/>
      <c r="G112" s="301"/>
      <c r="H112" s="228"/>
      <c r="I112" s="228"/>
      <c r="J112" s="117"/>
      <c r="K112" s="156"/>
      <c r="L112" s="303" t="str">
        <f>'テンプレート'!L118</f>
        <v>歩き</v>
      </c>
      <c r="M112" s="113" t="s">
        <v>76</v>
      </c>
      <c r="N112" s="113">
        <v>19.0</v>
      </c>
      <c r="O112" s="118"/>
      <c r="P112" s="118"/>
      <c r="Q112" s="118"/>
      <c r="R112" s="118"/>
      <c r="S112" s="118"/>
      <c r="T112" s="118"/>
      <c r="U112" s="118"/>
      <c r="V112" s="118"/>
    </row>
    <row r="113" outlineLevel="1">
      <c r="A113" s="146"/>
      <c r="B113" s="300" t="s">
        <v>241</v>
      </c>
      <c r="C113" s="113" t="str">
        <f t="array" ref="C113">INDEX('崖行動・受け身'!$F$3:$G$115, MATCH($A$1,'崖行動・受け身'!$A$3:$A$115,0), MATCH(C110,'崖行動・受け身'!$F$2:$G$2,0))</f>
        <v>1-29</v>
      </c>
      <c r="D113" s="113">
        <f t="array" ref="D113">INDEX('崖行動・受け身'!$F$3:$G$115, MATCH($A$1,'崖行動・受け身'!$A$3:$A$115,0), MATCH(D110,'崖行動・受け身'!$F$2:$G$2,0))</f>
        <v>45</v>
      </c>
      <c r="E113" s="301"/>
      <c r="F113" s="301"/>
      <c r="G113" s="301"/>
      <c r="H113" s="228"/>
      <c r="I113" s="228"/>
      <c r="J113" s="111"/>
      <c r="K113" s="304" t="str">
        <f>'テンプレート'!K119</f>
        <v>アイテム投擲</v>
      </c>
      <c r="L113" s="109"/>
      <c r="M113" s="298" t="str">
        <f>'テンプレート'!M119</f>
        <v>投擲フレーム</v>
      </c>
      <c r="N113" s="298" t="str">
        <f>'テンプレート'!N119</f>
        <v>全体フレーム</v>
      </c>
      <c r="O113" s="118"/>
      <c r="P113" s="118"/>
      <c r="Q113" s="118"/>
      <c r="R113" s="118"/>
      <c r="S113" s="118"/>
      <c r="T113" s="118"/>
      <c r="U113" s="118"/>
      <c r="V113" s="118"/>
    </row>
    <row r="114" outlineLevel="1">
      <c r="A114" s="146"/>
      <c r="B114" s="300" t="s">
        <v>242</v>
      </c>
      <c r="C114" s="113" t="str">
        <f t="array" ref="C114">INDEX('崖行動・受け身'!$H$3:$I$115, MATCH($A$1,'崖行動・受け身'!$A$3:$A$115,0), MATCH(C110,'崖行動・受け身'!$H$2:$I$2,0))</f>
        <v>1-12</v>
      </c>
      <c r="D114" s="113">
        <f t="array" ref="D114">INDEX('崖行動・受け身'!$H$3:$I$115, MATCH($A$1,'崖行動・受け身'!$A$3:$A$115,0), MATCH(D110,'崖行動・受け身'!$H$2:$I$2,0))</f>
        <v>14</v>
      </c>
      <c r="E114" s="301"/>
      <c r="F114" s="301"/>
      <c r="G114" s="301"/>
      <c r="H114" s="228"/>
      <c r="I114" s="228"/>
      <c r="J114" s="117"/>
      <c r="K114" s="305" t="str">
        <f>'テンプレート'!K120</f>
        <v>地上投擲</v>
      </c>
      <c r="L114" s="303" t="str">
        <f>'テンプレート'!L120</f>
        <v>前投げ</v>
      </c>
      <c r="M114" s="113" t="s">
        <v>232</v>
      </c>
      <c r="N114" s="113">
        <v>24.0</v>
      </c>
      <c r="O114" s="111"/>
      <c r="P114" s="111"/>
      <c r="Q114" s="111"/>
      <c r="R114" s="111"/>
      <c r="S114" s="111"/>
      <c r="T114" s="111"/>
      <c r="U114" s="111"/>
      <c r="V114" s="111"/>
    </row>
    <row r="115" outlineLevel="1">
      <c r="A115" s="156"/>
      <c r="B115" s="300" t="s">
        <v>243</v>
      </c>
      <c r="C115" s="113" t="str">
        <f t="array" ref="C115">INDEX('崖行動・受け身'!$J$3:$M$115, MATCH($A$1,'崖行動・受け身'!$A$3:$A$115,0), MATCH(C110,'崖行動・受け身'!$J$2:$M$2,0))</f>
        <v>1-26</v>
      </c>
      <c r="D115" s="113">
        <f t="array" ref="D115">INDEX('崖行動・受け身'!$J$3:$M$115, MATCH($A$1,'崖行動・受け身'!$A$3:$A$115,0), MATCH(D110,'崖行動・受け身'!$J$2:$M$2,0))</f>
        <v>55</v>
      </c>
      <c r="E115" s="113" t="str">
        <f t="array" ref="E115">INDEX('崖行動・受け身'!$J$3:$M$115, MATCH($A$1,'崖行動・受け身'!$A$3:$A$115,0), MATCH(E110,'崖行動・受け身'!$J$2:$M$2,0))</f>
        <v>24-26</v>
      </c>
      <c r="F115" s="113">
        <f t="array" ref="F115">INDEX('崖行動・受け身'!$J$3:$M$115, MATCH($A$1,'崖行動・受け身'!$A$3:$A$115,0), MATCH(F110,'崖行動・受け身'!$J$2:$M$2,0))</f>
        <v>9</v>
      </c>
      <c r="G115" s="113">
        <f>F115*1.2</f>
        <v>10.8</v>
      </c>
      <c r="H115" s="228"/>
      <c r="I115" s="228"/>
      <c r="J115" s="111"/>
      <c r="K115" s="146"/>
      <c r="L115" s="303" t="str">
        <f>'テンプレート'!L121</f>
        <v>後投げ</v>
      </c>
      <c r="M115" s="113" t="s">
        <v>232</v>
      </c>
      <c r="N115" s="113">
        <v>24.0</v>
      </c>
      <c r="O115" s="111"/>
      <c r="P115" s="111"/>
      <c r="Q115" s="111"/>
      <c r="R115" s="111"/>
      <c r="S115" s="111"/>
      <c r="T115" s="111"/>
      <c r="U115" s="111"/>
      <c r="V115" s="111"/>
    </row>
    <row r="116" outlineLevel="1">
      <c r="A116" s="299" t="s">
        <v>244</v>
      </c>
      <c r="B116" s="300" t="s">
        <v>216</v>
      </c>
      <c r="C116" s="113" t="str">
        <f t="array" ref="C116">INDEX('崖行動・受け身'!$N$3:$O$115, MATCH($A$1,'崖行動・受け身'!$A$3:$A$115,0), MATCH(C110,'崖行動・受け身'!$N$2:$O$2,0))</f>
        <v>1-20</v>
      </c>
      <c r="D116" s="113">
        <f t="array" ref="D116">INDEX('崖行動・受け身'!$N$3:$O$115, MATCH($A$1,'崖行動・受け身'!$A$3:$A$115,0), MATCH(D110,'崖行動・受け身'!$N$2:$O$2,0))</f>
        <v>26</v>
      </c>
      <c r="E116" s="301"/>
      <c r="F116" s="301"/>
      <c r="G116" s="301"/>
      <c r="H116" s="228"/>
      <c r="I116" s="228"/>
      <c r="J116" s="117"/>
      <c r="K116" s="146"/>
      <c r="L116" s="303" t="str">
        <f>'テンプレート'!L122</f>
        <v>上投げ</v>
      </c>
      <c r="M116" s="113" t="s">
        <v>232</v>
      </c>
      <c r="N116" s="113">
        <v>23.0</v>
      </c>
      <c r="O116" s="228"/>
      <c r="P116" s="228"/>
      <c r="Q116" s="228"/>
      <c r="R116" s="228"/>
      <c r="S116" s="228"/>
      <c r="T116" s="228"/>
      <c r="U116" s="228"/>
      <c r="V116" s="228"/>
    </row>
    <row r="117" outlineLevel="1">
      <c r="A117" s="146"/>
      <c r="B117" s="300" t="s">
        <v>245</v>
      </c>
      <c r="C117" s="113" t="str">
        <f t="array" ref="C117">INDEX('崖行動・受け身'!$P$3:$Q$115, MATCH($A$1,'崖行動・受け身'!$A$3:$A$115,0), MATCH(C110,'崖行動・受け身'!$P$2:$Q$2,0))</f>
        <v>1-20</v>
      </c>
      <c r="D117" s="113">
        <f t="array" ref="D117">INDEX('崖行動・受け身'!$P$3:$Q$115, MATCH($A$1,'崖行動・受け身'!$A$3:$A$115,0), MATCH(D110,'崖行動・受け身'!$P$2:$Q$2,0))</f>
        <v>40</v>
      </c>
      <c r="E117" s="301"/>
      <c r="F117" s="301"/>
      <c r="G117" s="301"/>
      <c r="H117" s="228"/>
      <c r="I117" s="228"/>
      <c r="J117" s="111"/>
      <c r="K117" s="146"/>
      <c r="L117" s="303" t="str">
        <f>'テンプレート'!L123</f>
        <v>下投げ</v>
      </c>
      <c r="M117" s="113" t="s">
        <v>232</v>
      </c>
      <c r="N117" s="113">
        <v>19.0</v>
      </c>
      <c r="O117" s="118"/>
      <c r="P117" s="118"/>
      <c r="Q117" s="118"/>
      <c r="R117" s="118"/>
      <c r="S117" s="118"/>
      <c r="T117" s="118"/>
      <c r="U117" s="118"/>
      <c r="V117" s="118"/>
    </row>
    <row r="118" outlineLevel="1">
      <c r="A118" s="156"/>
      <c r="B118" s="300" t="s">
        <v>246</v>
      </c>
      <c r="C118" s="113" t="str">
        <f t="array" ref="C118">INDEX('崖行動・受け身'!$R$3:$S$115, MATCH($A$1,'崖行動・受け身'!$A$3:$A$115,0), MATCH(C110,'崖行動・受け身'!$R$2:$S$2,0))</f>
        <v>1-20</v>
      </c>
      <c r="D118" s="113">
        <f t="array" ref="D118">INDEX('崖行動・受け身'!$R$3:$S$115, MATCH($A$1,'崖行動・受け身'!$A$3:$A$115,0), MATCH(D110,'崖行動・受け身'!$R$2:$S$2,0))</f>
        <v>40</v>
      </c>
      <c r="E118" s="301"/>
      <c r="F118" s="301"/>
      <c r="G118" s="301"/>
      <c r="H118" s="228"/>
      <c r="I118" s="228"/>
      <c r="J118" s="117"/>
      <c r="K118" s="146"/>
      <c r="L118" s="306" t="str">
        <f>'テンプレート'!L124</f>
        <v>ダッシュ</v>
      </c>
      <c r="M118" s="113" t="s">
        <v>129</v>
      </c>
      <c r="N118" s="113">
        <v>37.0</v>
      </c>
      <c r="O118" s="118"/>
      <c r="P118" s="118"/>
      <c r="Q118" s="118"/>
      <c r="R118" s="118"/>
      <c r="S118" s="118"/>
      <c r="T118" s="118"/>
      <c r="U118" s="118"/>
      <c r="V118" s="118"/>
    </row>
    <row r="119" outlineLevel="1">
      <c r="A119" s="299" t="s">
        <v>247</v>
      </c>
      <c r="B119" s="300" t="s">
        <v>248</v>
      </c>
      <c r="C119" s="301"/>
      <c r="D119" s="113" t="str">
        <f t="array" ref="D119">INDEX('起きあがり'!$C$3:$C114, MATCH($A$1,'起きあがり'!$A$3:$A$115,0), MATCH(D110,'起きあがり'!$C$2:$AD$2,0))</f>
        <v>25</v>
      </c>
      <c r="E119" s="301"/>
      <c r="F119" s="301"/>
      <c r="G119" s="301"/>
      <c r="H119" s="228"/>
      <c r="I119" s="228"/>
      <c r="J119" s="111"/>
      <c r="K119" s="156"/>
      <c r="L119" s="306" t="str">
        <f>'テンプレート'!L125</f>
        <v>その場捨て</v>
      </c>
      <c r="M119" s="113" t="s">
        <v>128</v>
      </c>
      <c r="N119" s="113">
        <v>23.0</v>
      </c>
      <c r="O119" s="118"/>
      <c r="P119" s="118"/>
      <c r="Q119" s="118"/>
      <c r="R119" s="118"/>
      <c r="S119" s="118"/>
      <c r="T119" s="118"/>
      <c r="U119" s="118"/>
      <c r="V119" s="118"/>
    </row>
    <row r="120" outlineLevel="1">
      <c r="A120" s="146"/>
      <c r="B120" s="300" t="s">
        <v>216</v>
      </c>
      <c r="C120" s="307" t="str">
        <f t="array" ref="C120">INDEX('起きあがり'!$D$3:$E114, MATCH($A$1,'起きあがり'!$A$3:$A$115,0), MATCH(C110,'起きあがり'!$D$2:$AD$2,0))</f>
        <v>1-22</v>
      </c>
      <c r="D120" s="308">
        <f t="array" ref="D120">INDEX('起きあがり'!$D$3:$E114, MATCH($A$1,'起きあがり'!$A$3:$A$115,0), MATCH(D110,'起きあがり'!$D$2:$AD$2,0))</f>
        <v>29</v>
      </c>
      <c r="E120" s="301"/>
      <c r="F120" s="301"/>
      <c r="G120" s="301"/>
      <c r="H120" s="228"/>
      <c r="I120" s="228"/>
      <c r="J120" s="117"/>
      <c r="K120" s="305" t="str">
        <f>'テンプレート'!K126</f>
        <v>空中投擲</v>
      </c>
      <c r="L120" s="303" t="str">
        <f>'テンプレート'!L126</f>
        <v>前投げ</v>
      </c>
      <c r="M120" s="113" t="s">
        <v>232</v>
      </c>
      <c r="N120" s="113">
        <v>24.0</v>
      </c>
      <c r="O120" s="118"/>
      <c r="P120" s="118"/>
      <c r="Q120" s="118"/>
      <c r="R120" s="118"/>
      <c r="S120" s="118"/>
      <c r="T120" s="118"/>
      <c r="U120" s="118"/>
      <c r="V120" s="118"/>
    </row>
    <row r="121" outlineLevel="1">
      <c r="A121" s="146"/>
      <c r="B121" s="300" t="s">
        <v>245</v>
      </c>
      <c r="C121" s="307" t="str">
        <f t="array" ref="C121">INDEX('起きあがり'!$F$3:$G$115, MATCH($A$1,'起きあがり'!$A$3:$A$115,0), MATCH(C110,'起きあがり'!$F$2:$AD$2,0))</f>
        <v>1-20</v>
      </c>
      <c r="D121" s="308">
        <f t="array" ref="D121">INDEX('起きあがり'!$F$3:$G$115, MATCH($A$1,'起きあがり'!$A$3:$A$115,0), MATCH(D110,'起きあがり'!$F$2:$AD$2,0))</f>
        <v>35</v>
      </c>
      <c r="E121" s="301"/>
      <c r="F121" s="301"/>
      <c r="G121" s="301"/>
      <c r="H121" s="228"/>
      <c r="I121" s="228"/>
      <c r="J121" s="111"/>
      <c r="K121" s="146"/>
      <c r="L121" s="303" t="str">
        <f>'テンプレート'!L127</f>
        <v>後投げ</v>
      </c>
      <c r="M121" s="113" t="s">
        <v>232</v>
      </c>
      <c r="N121" s="113">
        <v>24.0</v>
      </c>
      <c r="O121" s="118"/>
      <c r="P121" s="118"/>
      <c r="Q121" s="118"/>
      <c r="R121" s="118"/>
      <c r="S121" s="118"/>
      <c r="T121" s="118"/>
      <c r="U121" s="118"/>
      <c r="V121" s="118"/>
    </row>
    <row r="122" outlineLevel="1">
      <c r="A122" s="146"/>
      <c r="B122" s="300" t="s">
        <v>246</v>
      </c>
      <c r="C122" s="113" t="str">
        <f t="array" ref="C122">INDEX('起きあがり'!$H$3:$I$115, MATCH($A$1,'起きあがり'!$A$3:$A$115,0), MATCH(C110,'起きあがり'!$H$2:$AD$2,0))</f>
        <v>1-20</v>
      </c>
      <c r="D122" s="113">
        <f t="array" ref="D122">INDEX('起きあがり'!$H$3:$I$115, MATCH($A$1,'起きあがり'!$A$3:$A$115,0), MATCH(D110,'起きあがり'!$H$2:$AD$2,0))</f>
        <v>35</v>
      </c>
      <c r="E122" s="301"/>
      <c r="F122" s="301"/>
      <c r="G122" s="301"/>
      <c r="H122" s="228"/>
      <c r="I122" s="228"/>
      <c r="J122" s="117"/>
      <c r="K122" s="146"/>
      <c r="L122" s="303" t="str">
        <f>'テンプレート'!L128</f>
        <v>上投げ</v>
      </c>
      <c r="M122" s="113" t="s">
        <v>232</v>
      </c>
      <c r="N122" s="113">
        <v>23.0</v>
      </c>
      <c r="O122" s="118"/>
      <c r="P122" s="118"/>
      <c r="Q122" s="118"/>
      <c r="R122" s="118"/>
      <c r="S122" s="118"/>
      <c r="T122" s="118"/>
      <c r="U122" s="118"/>
      <c r="V122" s="118"/>
    </row>
    <row r="123" outlineLevel="1">
      <c r="A123" s="146"/>
      <c r="B123" s="300" t="s">
        <v>249</v>
      </c>
      <c r="C123" s="309" t="str">
        <f t="array" ref="C123">INDEX('起きあがり'!$J$3:$M$115, MATCH($A$1,'起きあがり'!$A$3:$A$115,0), MATCH(C110,'起きあがり'!$J$2:$AD$2,0))</f>
        <v>1-22</v>
      </c>
      <c r="D123" s="310">
        <f t="array" ref="D123">INDEX('起きあがり'!$J$3:$M$115, MATCH($A$1,'起きあがり'!$A$3:$A$115,0), MATCH(D110,'起きあがり'!$J$2:$AD$2,0))</f>
        <v>45</v>
      </c>
      <c r="E123" s="307" t="str">
        <f t="array" ref="E123">INDEX('起きあがり'!$J$3:$M$115, MATCH($A$1,'起きあがり'!$A$3:$A$115,0), MATCH(E110,'起きあがり'!$J$2:$AD$2,0))</f>
        <v>16-17</v>
      </c>
      <c r="F123" s="308">
        <f t="array" ref="F123">INDEX('起きあがり'!$J$3:$M$115, MATCH($A$1,'起きあがり'!$A$3:$A$115,0), MATCH(F110,'起きあがり'!$J$2:$AD$2,0))</f>
        <v>7</v>
      </c>
      <c r="G123" s="113">
        <f t="shared" ref="G123:G124" si="1">F123*1.2</f>
        <v>8.4</v>
      </c>
      <c r="H123" s="228"/>
      <c r="I123" s="228"/>
      <c r="J123" s="111"/>
      <c r="K123" s="156"/>
      <c r="L123" s="303" t="str">
        <f>'テンプレート'!L129</f>
        <v>下投げ</v>
      </c>
      <c r="M123" s="113" t="s">
        <v>232</v>
      </c>
      <c r="N123" s="113">
        <v>19.0</v>
      </c>
      <c r="O123" s="111"/>
      <c r="P123" s="111"/>
      <c r="Q123" s="111"/>
      <c r="R123" s="111"/>
      <c r="S123" s="111"/>
      <c r="T123" s="111"/>
      <c r="U123" s="111"/>
      <c r="V123" s="111"/>
    </row>
    <row r="124" outlineLevel="1">
      <c r="A124" s="156"/>
      <c r="B124" s="311" t="s">
        <v>250</v>
      </c>
      <c r="C124" s="156"/>
      <c r="D124" s="156"/>
      <c r="E124" s="307" t="str">
        <f t="array" ref="E124">INDEX('起きあがり'!$N$3:$O$115, MATCH($A$1,'起きあがり'!$A$3:$A$115,0), MATCH(E110,'起きあがり'!$N$2:$AD$2,0))</f>
        <v>21-22</v>
      </c>
      <c r="F124" s="308">
        <f t="array" ref="F124">INDEX('起きあがり'!$N$3:$O$115, MATCH($A$1,'起きあがり'!$A$3:$A$115,0), MATCH(F110,'起きあがり'!$N$2:$AD$2,0))</f>
        <v>7</v>
      </c>
      <c r="G124" s="113">
        <f t="shared" si="1"/>
        <v>8.4</v>
      </c>
      <c r="H124" s="228"/>
      <c r="I124" s="228"/>
      <c r="J124" s="111"/>
      <c r="K124" s="312" t="str">
        <f>'テンプレート'!K130</f>
        <v>踏み台ジャンプ</v>
      </c>
      <c r="L124" s="168"/>
      <c r="M124" s="298" t="str">
        <f>'テンプレート'!M130</f>
        <v>全体フレーム</v>
      </c>
      <c r="N124" s="114"/>
      <c r="O124" s="111"/>
      <c r="P124" s="111"/>
      <c r="Q124" s="111"/>
      <c r="R124" s="111"/>
      <c r="S124" s="111"/>
      <c r="T124" s="111"/>
      <c r="U124" s="111"/>
      <c r="V124" s="111"/>
    </row>
    <row r="125" outlineLevel="1">
      <c r="A125" s="299" t="s">
        <v>251</v>
      </c>
      <c r="B125" s="300" t="s">
        <v>248</v>
      </c>
      <c r="C125" s="301"/>
      <c r="D125" s="307" t="str">
        <f t="array" ref="D125">INDEX('起きあがり'!$C$3:$C114, MATCH($A$1,'起きあがり'!$A$3:$A$115,0), MATCH(D110,'起きあがり'!$C$2,0))</f>
        <v>25</v>
      </c>
      <c r="E125" s="301"/>
      <c r="F125" s="301"/>
      <c r="G125" s="301"/>
      <c r="H125" s="228"/>
      <c r="I125" s="228"/>
      <c r="J125" s="117"/>
      <c r="K125" s="313" t="str">
        <f>'テンプレート'!K131</f>
        <v>踏み</v>
      </c>
      <c r="L125" s="314" t="str">
        <f>'テンプレート'!L131</f>
        <v>踏み</v>
      </c>
      <c r="M125" s="113">
        <v>8.0</v>
      </c>
      <c r="N125" s="315"/>
      <c r="O125" s="111"/>
      <c r="P125" s="111"/>
      <c r="Q125" s="111"/>
      <c r="R125" s="111"/>
      <c r="S125" s="111"/>
      <c r="T125" s="111"/>
      <c r="U125" s="111"/>
      <c r="V125" s="111"/>
    </row>
    <row r="126" outlineLevel="1">
      <c r="A126" s="146"/>
      <c r="B126" s="300" t="s">
        <v>216</v>
      </c>
      <c r="C126" s="307" t="str">
        <f t="array" ref="C126">INDEX('起きあがり'!$P$3:$Q$115, MATCH($A$1,'起きあがり'!$A$3:$A$115,0), MATCH(C110,'起きあがり'!$P$2:$AD$2,0))</f>
        <v>1-22</v>
      </c>
      <c r="D126" s="308">
        <f t="array" ref="D126">INDEX('起きあがり'!$P$3:$Q$115, MATCH($A$1,'起きあがり'!$A$3:$A$115,0), MATCH(D110,'起きあがり'!$P$2:$AD$2,0))</f>
        <v>29</v>
      </c>
      <c r="E126" s="301"/>
      <c r="F126" s="301"/>
      <c r="G126" s="301"/>
      <c r="H126" s="228"/>
      <c r="I126" s="228"/>
      <c r="J126" s="111"/>
      <c r="K126" s="305" t="str">
        <f>'テンプレート'!K132</f>
        <v>踏まれ</v>
      </c>
      <c r="L126" s="314" t="str">
        <f>'テンプレート'!L132</f>
        <v>地上踏まれ</v>
      </c>
      <c r="M126" s="113" t="s">
        <v>76</v>
      </c>
      <c r="N126" s="315"/>
      <c r="O126" s="228"/>
      <c r="P126" s="228"/>
      <c r="Q126" s="228"/>
      <c r="R126" s="228"/>
      <c r="S126" s="228"/>
      <c r="T126" s="228"/>
      <c r="U126" s="228"/>
      <c r="V126" s="228"/>
    </row>
    <row r="127" outlineLevel="1">
      <c r="A127" s="146"/>
      <c r="B127" s="300" t="s">
        <v>245</v>
      </c>
      <c r="C127" s="307" t="str">
        <f t="array" ref="C127">INDEX('起きあがり'!$R$3:$S$115, MATCH($A$1,'起きあがり'!$A$3:$A$115,0), MATCH(C110,'起きあがり'!$R$2:$AD$2,0))</f>
        <v>1-20</v>
      </c>
      <c r="D127" s="308">
        <f t="array" ref="D127">INDEX('起きあがり'!$R$3:$S$115, MATCH($A$1,'起きあがり'!$A$3:$A$115,0), MATCH(D110,'起きあがり'!$R$2:$AD$2,0))</f>
        <v>35</v>
      </c>
      <c r="E127" s="301"/>
      <c r="F127" s="301"/>
      <c r="G127" s="301"/>
      <c r="H127" s="228"/>
      <c r="I127" s="228"/>
      <c r="J127" s="117"/>
      <c r="K127" s="146"/>
      <c r="L127" s="314" t="s">
        <v>693</v>
      </c>
      <c r="M127" s="113">
        <v>28.0</v>
      </c>
      <c r="N127" s="102"/>
      <c r="O127" s="118"/>
      <c r="P127" s="118"/>
      <c r="Q127" s="118"/>
      <c r="R127" s="118"/>
      <c r="S127" s="118"/>
      <c r="T127" s="118"/>
      <c r="U127" s="118"/>
      <c r="V127" s="118"/>
    </row>
    <row r="128" outlineLevel="1">
      <c r="A128" s="146"/>
      <c r="B128" s="300" t="s">
        <v>246</v>
      </c>
      <c r="C128" s="307" t="str">
        <f t="array" ref="C128">INDEX('起きあがり'!$T$3:$U$115, MATCH($A$1,'起きあがり'!$A$3:$A$115,0), MATCH(C110,'起きあがり'!$T$2:$AD$2,0))</f>
        <v>1-20</v>
      </c>
      <c r="D128" s="308">
        <f t="array" ref="D128">INDEX('起きあがり'!$T$3:$U$115, MATCH($A$1,'起きあがり'!$A$3:$A$115,0), MATCH(D110,'起きあがり'!$T$2:$AD$2,0))</f>
        <v>35</v>
      </c>
      <c r="E128" s="301"/>
      <c r="F128" s="301"/>
      <c r="G128" s="301"/>
      <c r="H128" s="228"/>
      <c r="I128" s="228"/>
      <c r="J128" s="111"/>
      <c r="K128" s="146"/>
      <c r="L128" s="314" t="str">
        <f>'テンプレート'!L134</f>
        <v>空中踏まれ</v>
      </c>
      <c r="M128" s="113">
        <v>8.0</v>
      </c>
      <c r="N128" s="102"/>
      <c r="O128" s="118"/>
      <c r="P128" s="118"/>
      <c r="Q128" s="118"/>
      <c r="R128" s="118"/>
      <c r="S128" s="118"/>
      <c r="T128" s="118"/>
      <c r="U128" s="118"/>
      <c r="V128" s="118"/>
    </row>
    <row r="129" outlineLevel="1">
      <c r="A129" s="146"/>
      <c r="B129" s="300" t="s">
        <v>249</v>
      </c>
      <c r="C129" s="309" t="str">
        <f t="array" ref="C129">INDEX('起きあがり'!$V$3:$Y$115, MATCH($A$1,'起きあがり'!$A$3:$A$115,0), MATCH(C110,'起きあがり'!$V$2:$AD$2,0))</f>
        <v>1-22</v>
      </c>
      <c r="D129" s="310">
        <f t="array" ref="D129">INDEX('起きあがり'!$V$3:$Y$115, MATCH($A$1,'起きあがり'!$A$3:$A$115,0), MATCH(D110,'起きあがり'!$V$2:$AD$2,0))</f>
        <v>45</v>
      </c>
      <c r="E129" s="307" t="str">
        <f t="array" ref="E129">INDEX('起きあがり'!$V$3:$Y$115, MATCH($A$1,'起きあがり'!$A$3:$A$115,0), MATCH(E110,'起きあがり'!$V$2:$AD$2,0))</f>
        <v>16-17</v>
      </c>
      <c r="F129" s="308">
        <f t="array" ref="F129">INDEX('起きあがり'!$V$3:$Y$115, MATCH($A$1,'起きあがり'!$A$3:$A$115,0), MATCH(F110,'起きあがり'!$V$2:$AD$2,0))</f>
        <v>7</v>
      </c>
      <c r="G129" s="113">
        <f t="shared" ref="G129:G130" si="2">F129*1.2</f>
        <v>8.4</v>
      </c>
      <c r="H129" s="228"/>
      <c r="I129" s="228"/>
      <c r="J129" s="117"/>
      <c r="K129" s="146"/>
      <c r="L129" s="314" t="str">
        <f>'テンプレート'!L135</f>
        <v>空中落下</v>
      </c>
      <c r="M129" s="113">
        <v>41.0</v>
      </c>
      <c r="N129" s="102"/>
      <c r="O129" s="118"/>
      <c r="P129" s="118"/>
      <c r="Q129" s="118"/>
      <c r="R129" s="118"/>
      <c r="S129" s="118"/>
      <c r="T129" s="118"/>
      <c r="U129" s="118"/>
      <c r="V129" s="118"/>
    </row>
    <row r="130" outlineLevel="1">
      <c r="A130" s="156"/>
      <c r="B130" s="311" t="s">
        <v>250</v>
      </c>
      <c r="C130" s="156"/>
      <c r="D130" s="156"/>
      <c r="E130" s="307" t="str">
        <f t="array" ref="E130">INDEX('起きあがり'!$Z$3:$AA$115, MATCH($A$1,'起きあがり'!$A$3:$A$115,0), MATCH(E110,'起きあがり'!$Z$2:$AD$2,0))</f>
        <v>21-22</v>
      </c>
      <c r="F130" s="308">
        <f t="array" ref="F130">INDEX('起きあがり'!$Z$3:$AA$115, MATCH($A$1,'起きあがり'!$A$3:$A$115,0), MATCH(F110,'起きあがり'!$Z$2:$AD$2,0))</f>
        <v>7</v>
      </c>
      <c r="G130" s="113">
        <f t="shared" si="2"/>
        <v>8.4</v>
      </c>
      <c r="H130" s="228"/>
      <c r="I130" s="228"/>
      <c r="J130" s="117"/>
      <c r="K130" s="304" t="str">
        <f>'テンプレート'!K136</f>
        <v>倒れダメージ</v>
      </c>
      <c r="L130" s="110"/>
      <c r="M130" s="298" t="str">
        <f>'テンプレート'!M136</f>
        <v>全体フレーム</v>
      </c>
      <c r="N130" s="102"/>
      <c r="O130" s="118"/>
      <c r="P130" s="118"/>
      <c r="Q130" s="118"/>
      <c r="R130" s="118"/>
      <c r="S130" s="118"/>
      <c r="T130" s="118"/>
      <c r="U130" s="118"/>
      <c r="V130" s="118"/>
    </row>
    <row r="131" outlineLevel="1">
      <c r="A131" s="299" t="s">
        <v>252</v>
      </c>
      <c r="B131" s="300" t="s">
        <v>253</v>
      </c>
      <c r="C131" s="307" t="str">
        <f t="array" ref="C131">INDEX('転倒'!$C$3:$D114, MATCH($A$1,'転倒'!$A$3:$A$115,0), MATCH(C110,'転倒'!$C$2:$AC$2,0))</f>
        <v>1-5</v>
      </c>
      <c r="D131" s="308">
        <f t="array" ref="D131">INDEX('転倒'!$C$3:$D114, MATCH($A$1,'転倒'!$A$3:$A$115,0), MATCH(D110,'転倒'!$C$2:$AC$2,0))</f>
        <v>29</v>
      </c>
      <c r="E131" s="301"/>
      <c r="F131" s="301"/>
      <c r="G131" s="301"/>
      <c r="H131" s="228"/>
      <c r="I131" s="228"/>
      <c r="J131" s="111"/>
      <c r="K131" s="313" t="str">
        <f>'テンプレート'!K137</f>
        <v>あお向け倒れ</v>
      </c>
      <c r="L131" s="306" t="str">
        <f>'テンプレート'!L137</f>
        <v>モーション大</v>
      </c>
      <c r="M131" s="113">
        <v>39.0</v>
      </c>
      <c r="N131" s="315"/>
      <c r="O131" s="118"/>
      <c r="P131" s="118"/>
      <c r="Q131" s="118"/>
      <c r="R131" s="118"/>
      <c r="S131" s="118"/>
      <c r="T131" s="118"/>
      <c r="U131" s="118"/>
      <c r="V131" s="118"/>
    </row>
    <row r="132" outlineLevel="1">
      <c r="A132" s="146"/>
      <c r="B132" s="300" t="s">
        <v>254</v>
      </c>
      <c r="C132" s="307" t="str">
        <f t="array" ref="C132">INDEX('転倒'!$E$3:$F114, MATCH($A$1,'転倒'!$A$3:$A$115,0), MATCH(C110,'転倒'!$E$2:$AC$2,0))</f>
        <v>1-5</v>
      </c>
      <c r="D132" s="308">
        <f t="array" ref="D132">INDEX('転倒'!$E$3:$F114, MATCH($A$1,'転倒'!$A$3:$A$115,0), MATCH(D110,'転倒'!$E$2:$AC$2,0))</f>
        <v>39</v>
      </c>
      <c r="E132" s="301"/>
      <c r="F132" s="301"/>
      <c r="G132" s="301"/>
      <c r="H132" s="228"/>
      <c r="I132" s="228"/>
      <c r="J132" s="117"/>
      <c r="K132" s="313" t="str">
        <f>'テンプレート'!K138</f>
        <v>うつ伏せ倒れ</v>
      </c>
      <c r="L132" s="306" t="str">
        <f>'テンプレート'!L138</f>
        <v>モーション大</v>
      </c>
      <c r="M132" s="113" t="s">
        <v>118</v>
      </c>
      <c r="N132" s="315"/>
      <c r="O132" s="118"/>
      <c r="P132" s="118"/>
      <c r="Q132" s="118"/>
      <c r="R132" s="118"/>
      <c r="S132" s="118"/>
      <c r="T132" s="118"/>
      <c r="U132" s="118"/>
      <c r="V132" s="118"/>
    </row>
    <row r="133" outlineLevel="1">
      <c r="A133" s="146"/>
      <c r="B133" s="300" t="s">
        <v>216</v>
      </c>
      <c r="C133" s="307" t="str">
        <f t="array" ref="C133">INDEX('転倒'!$G$3:$H$115, MATCH($A$1,'転倒'!$A$3:$A$115,0), MATCH(C110,'転倒'!$G$2:$AC$2,0))</f>
        <v>1-16</v>
      </c>
      <c r="D133" s="308">
        <f t="array" ref="D133">INDEX('転倒'!$G$3:$H$115, MATCH($A$1,'転倒'!$A$3:$A$115,0), MATCH(D110,'転倒'!$G$2:$AC$2,0))</f>
        <v>21</v>
      </c>
      <c r="E133" s="301"/>
      <c r="F133" s="301"/>
      <c r="G133" s="301"/>
      <c r="H133" s="228"/>
      <c r="I133" s="228"/>
      <c r="J133" s="111"/>
      <c r="K133" s="304" t="str">
        <f>'テンプレート'!K139</f>
        <v/>
      </c>
      <c r="L133" s="110"/>
      <c r="M133" s="298" t="str">
        <f>'テンプレート'!M139</f>
        <v/>
      </c>
      <c r="N133" s="102"/>
      <c r="O133" s="118"/>
      <c r="P133" s="118"/>
      <c r="Q133" s="118"/>
      <c r="R133" s="118"/>
      <c r="S133" s="118"/>
      <c r="T133" s="118"/>
      <c r="U133" s="118"/>
      <c r="V133" s="118"/>
    </row>
    <row r="134" outlineLevel="1">
      <c r="A134" s="146"/>
      <c r="B134" s="300" t="s">
        <v>245</v>
      </c>
      <c r="C134" s="307" t="str">
        <f t="array" ref="C134">INDEX('転倒'!$I$3:$J$115, MATCH($A$1,'転倒'!$A$3:$A$115,0), MATCH(C110,'転倒'!$I$2:$AC$2,0))</f>
        <v>1-9</v>
      </c>
      <c r="D134" s="308">
        <f t="array" ref="D134">INDEX('転倒'!$I$3:$J$115, MATCH($A$1,'転倒'!$A$3:$A$115,0), MATCH(D110,'転倒'!$I$2:$AC$2,0))</f>
        <v>28</v>
      </c>
      <c r="E134" s="301"/>
      <c r="F134" s="301"/>
      <c r="G134" s="301"/>
      <c r="H134" s="228"/>
      <c r="I134" s="228"/>
      <c r="J134" s="228"/>
      <c r="K134" s="316"/>
      <c r="L134" s="317" t="str">
        <f>'テンプレート'!L140</f>
        <v/>
      </c>
      <c r="M134" s="113" t="s">
        <v>76</v>
      </c>
      <c r="N134" s="102"/>
      <c r="O134" s="118"/>
      <c r="P134" s="118"/>
      <c r="Q134" s="118"/>
      <c r="R134" s="118"/>
      <c r="S134" s="118"/>
      <c r="T134" s="118"/>
      <c r="U134" s="118"/>
      <c r="V134" s="118"/>
    </row>
    <row r="135" outlineLevel="1">
      <c r="A135" s="146"/>
      <c r="B135" s="300" t="s">
        <v>246</v>
      </c>
      <c r="C135" s="307" t="str">
        <f t="array" ref="C135">INDEX('転倒'!$K$3:$L$115, MATCH($A$1,'転倒'!$A$3:$A$115,0), MATCH(C110,'転倒'!$K$2:$AC$2,0))</f>
        <v>1-9</v>
      </c>
      <c r="D135" s="308">
        <f t="array" ref="D135">INDEX('転倒'!$K$3:$L$115, MATCH($A$1,'転倒'!$A$3:$A$115,0), MATCH(D110,'転倒'!$K$2:$AC$2,0))</f>
        <v>28</v>
      </c>
      <c r="E135" s="301"/>
      <c r="F135" s="301"/>
      <c r="G135" s="301"/>
      <c r="H135" s="228"/>
      <c r="I135" s="228"/>
      <c r="J135" s="228"/>
      <c r="K135" s="318"/>
      <c r="L135" s="118"/>
      <c r="M135" s="118"/>
      <c r="N135" s="102"/>
      <c r="O135" s="118"/>
      <c r="P135" s="118"/>
      <c r="Q135" s="118"/>
      <c r="R135" s="118"/>
      <c r="S135" s="118"/>
      <c r="T135" s="118"/>
      <c r="U135" s="118"/>
      <c r="V135" s="118"/>
    </row>
    <row r="136" outlineLevel="1">
      <c r="A136" s="146"/>
      <c r="B136" s="300" t="s">
        <v>249</v>
      </c>
      <c r="C136" s="309" t="str">
        <f t="array" ref="C136">INDEX('転倒'!$M$3:$P$115, MATCH($A$1,'転倒'!$A$3:$A$115,0), MATCH(C110,'転倒'!$M$2:$AC$2,0))</f>
        <v>1-7</v>
      </c>
      <c r="D136" s="310">
        <f t="array" ref="D136">INDEX('転倒'!$M$3:$P$115, MATCH($A$1,'転倒'!$A$3:$A$115,0), MATCH(D110,'転倒'!$M$2:$AC$2,0))</f>
        <v>49</v>
      </c>
      <c r="E136" s="307" t="str">
        <f t="array" ref="E136">INDEX('転倒'!$M$3:$P$115, MATCH($A$1,'転倒'!$A$3:$A$115,0), MATCH(E110,'転倒'!$M$2:$AC$2,0))</f>
        <v>19-20</v>
      </c>
      <c r="F136" s="308">
        <f t="array" ref="F136">INDEX('転倒'!$M$3:$P$115, MATCH($A$1,'転倒'!$A$3:$A$115,0), MATCH(F110,'転倒'!$M$2:$AC$2,0))</f>
        <v>5</v>
      </c>
      <c r="G136" s="113">
        <f t="shared" ref="G136:G137" si="3">F136*1.2</f>
        <v>6</v>
      </c>
      <c r="H136" s="228"/>
      <c r="I136" s="228"/>
      <c r="J136" s="228"/>
      <c r="K136" s="118"/>
      <c r="L136" s="118"/>
      <c r="M136" s="118"/>
      <c r="N136" s="102"/>
      <c r="O136" s="102"/>
      <c r="P136" s="102"/>
      <c r="Q136" s="102"/>
      <c r="R136" s="118"/>
      <c r="S136" s="118"/>
      <c r="T136" s="118"/>
      <c r="U136" s="118"/>
      <c r="V136" s="118"/>
    </row>
    <row r="137" outlineLevel="1">
      <c r="A137" s="156"/>
      <c r="B137" s="311" t="s">
        <v>250</v>
      </c>
      <c r="C137" s="156"/>
      <c r="D137" s="156"/>
      <c r="E137" s="307" t="str">
        <f t="array" ref="E137">INDEX('転倒'!$Q$3:$R$115, MATCH($A$1,'転倒'!$A$3:$A$115,0), MATCH(E110,'転倒'!$Q$2:$AC$2,0))</f>
        <v>29-30</v>
      </c>
      <c r="F137" s="308">
        <f t="array" ref="F137">INDEX('転倒'!$Q$3:$R$115, MATCH($A$1,'転倒'!$A$3:$A$115,0), MATCH(F110,'転倒'!$Q$2:$AC$2,0))</f>
        <v>5</v>
      </c>
      <c r="G137" s="113">
        <f t="shared" si="3"/>
        <v>6</v>
      </c>
      <c r="H137" s="228"/>
      <c r="I137" s="228"/>
      <c r="J137" s="228"/>
      <c r="K137" s="118"/>
      <c r="L137" s="118"/>
      <c r="M137" s="118"/>
      <c r="N137" s="102"/>
      <c r="O137" s="102"/>
      <c r="P137" s="102"/>
      <c r="Q137" s="102"/>
      <c r="R137" s="118"/>
      <c r="S137" s="118"/>
      <c r="T137" s="118"/>
      <c r="U137" s="118"/>
      <c r="V137" s="118"/>
    </row>
    <row r="138" outlineLevel="1">
      <c r="A138" s="319"/>
      <c r="B138" s="320"/>
      <c r="C138" s="321"/>
      <c r="D138" s="321"/>
      <c r="E138" s="322"/>
      <c r="F138" s="322"/>
      <c r="G138" s="114"/>
      <c r="H138" s="228"/>
      <c r="I138" s="228"/>
      <c r="J138" s="228"/>
      <c r="K138" s="118"/>
      <c r="L138" s="118"/>
      <c r="M138" s="118"/>
      <c r="N138" s="102"/>
      <c r="O138" s="102"/>
      <c r="P138" s="102"/>
      <c r="Q138" s="102"/>
      <c r="R138" s="118"/>
      <c r="S138" s="118"/>
      <c r="T138" s="118"/>
      <c r="U138" s="118"/>
      <c r="V138" s="118"/>
    </row>
    <row r="139" outlineLevel="1">
      <c r="A139" s="323" t="s">
        <v>255</v>
      </c>
      <c r="B139" s="109"/>
      <c r="C139" s="321"/>
      <c r="D139" s="321"/>
      <c r="E139" s="322"/>
      <c r="F139" s="322"/>
      <c r="G139" s="114"/>
      <c r="H139" s="228"/>
      <c r="I139" s="228"/>
      <c r="J139" s="228"/>
      <c r="K139" s="118"/>
      <c r="L139" s="118"/>
      <c r="M139" s="118"/>
      <c r="N139" s="102"/>
      <c r="O139" s="102"/>
      <c r="P139" s="102"/>
      <c r="Q139" s="102"/>
      <c r="R139" s="118"/>
      <c r="S139" s="118"/>
      <c r="T139" s="118"/>
      <c r="U139" s="118"/>
      <c r="V139" s="118"/>
    </row>
    <row r="140" outlineLevel="1">
      <c r="A140" s="324" t="s">
        <v>256</v>
      </c>
      <c r="B140" s="109"/>
      <c r="C140" s="325" t="s">
        <v>257</v>
      </c>
      <c r="D140" s="325" t="s">
        <v>49</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258</v>
      </c>
      <c r="B141" s="327" t="s">
        <v>216</v>
      </c>
      <c r="C141" s="328" t="str">
        <f t="array" ref="C141">INDEX('アイテム'!$C$3:$D$114, MATCH($A$1,'アイテム'!$A$3:$A$114,0), MATCH(C140,'アイテム'!$C$2:$AQ$2,0))</f>
        <v>5</v>
      </c>
      <c r="D141" s="328">
        <f t="array" ref="D141">INDEX('アイテム'!$C$3:$D$114, MATCH($A$1,'アイテム'!$A$3:$A$114,0), MATCH(D140,'アイテム'!$C$2:$AQ$2,0))</f>
        <v>7</v>
      </c>
      <c r="E141" s="322"/>
      <c r="F141" s="322"/>
      <c r="G141" s="114"/>
      <c r="H141" s="228"/>
      <c r="I141" s="228"/>
      <c r="J141" s="228"/>
      <c r="K141" s="118"/>
      <c r="L141" s="118"/>
      <c r="M141" s="118"/>
      <c r="N141" s="102"/>
      <c r="O141" s="102"/>
      <c r="P141" s="102"/>
      <c r="Q141" s="102"/>
      <c r="R141" s="118"/>
      <c r="S141" s="118"/>
      <c r="T141" s="118"/>
      <c r="U141" s="118"/>
      <c r="V141" s="118"/>
    </row>
    <row r="142" outlineLevel="1">
      <c r="A142" s="156"/>
      <c r="B142" s="327" t="s">
        <v>219</v>
      </c>
      <c r="C142" s="328" t="str">
        <f t="array" ref="C142">INDEX('アイテム'!$E$3:$F$114, MATCH($A$1,'アイテム'!$A$3:$A$114,0), MATCH(C140,'アイテム'!$C$2:$AQ$2,0))</f>
        <v>3</v>
      </c>
      <c r="D142" s="328">
        <f t="array" ref="D142">INDEX('アイテム'!$E$3:$F$114, MATCH($A$1,'アイテム'!$A$3:$A$114,0), MATCH(D140,'アイテム'!$C$2:$AQ$2,0))</f>
        <v>19</v>
      </c>
      <c r="E142" s="322"/>
      <c r="F142" s="322"/>
      <c r="G142" s="114"/>
      <c r="H142" s="228"/>
      <c r="I142" s="228"/>
      <c r="J142" s="228"/>
      <c r="K142" s="118"/>
      <c r="L142" s="118"/>
      <c r="M142" s="118"/>
      <c r="N142" s="102"/>
      <c r="O142" s="102"/>
      <c r="P142" s="102"/>
      <c r="Q142" s="102"/>
      <c r="R142" s="118"/>
      <c r="S142" s="118"/>
      <c r="T142" s="118"/>
      <c r="U142" s="118"/>
      <c r="V142" s="118"/>
    </row>
    <row r="143" outlineLevel="1">
      <c r="A143" s="329" t="s">
        <v>259</v>
      </c>
      <c r="B143" s="327" t="s">
        <v>216</v>
      </c>
      <c r="C143" s="328">
        <f t="array" ref="C143">INDEX('アイテム'!$AA$3:$AB$114, MATCH($A$1,'アイテム'!$A$3:$A$114,0), MATCH(C140,'アイテム'!$C$2:$AQ$2,0))</f>
        <v>8</v>
      </c>
      <c r="D143" s="328" t="str">
        <f t="array" ref="D143">INDEX('アイテム'!$AA$3:$AB$114, MATCH($A$1,'アイテム'!$A$3:$A$114,0), MATCH(D140,'アイテム'!$C$2:$AQ$2,0))</f>
        <v>12</v>
      </c>
      <c r="E143" s="322"/>
      <c r="F143" s="322"/>
      <c r="G143" s="114"/>
      <c r="H143" s="228"/>
      <c r="I143" s="228"/>
      <c r="J143" s="228"/>
      <c r="K143" s="118"/>
      <c r="L143" s="118"/>
      <c r="M143" s="118"/>
      <c r="N143" s="102"/>
      <c r="O143" s="102"/>
      <c r="P143" s="102"/>
      <c r="Q143" s="102"/>
      <c r="R143" s="118"/>
      <c r="S143" s="118"/>
      <c r="T143" s="118"/>
      <c r="U143" s="118"/>
      <c r="V143" s="118"/>
    </row>
    <row r="144" outlineLevel="1">
      <c r="A144" s="324" t="s">
        <v>260</v>
      </c>
      <c r="B144" s="109"/>
      <c r="C144" s="325" t="s">
        <v>261</v>
      </c>
      <c r="D144" s="325" t="s">
        <v>49</v>
      </c>
      <c r="E144" s="322"/>
      <c r="F144" s="322"/>
      <c r="G144" s="114"/>
      <c r="H144" s="228"/>
      <c r="I144" s="228"/>
      <c r="J144" s="228"/>
      <c r="K144" s="118"/>
      <c r="L144" s="118"/>
      <c r="M144" s="118"/>
      <c r="N144" s="102"/>
      <c r="O144" s="102"/>
      <c r="P144" s="102"/>
      <c r="Q144" s="102"/>
      <c r="R144" s="118"/>
      <c r="S144" s="118"/>
      <c r="T144" s="118"/>
      <c r="U144" s="118"/>
      <c r="V144" s="118"/>
    </row>
    <row r="145" outlineLevel="1">
      <c r="A145" s="326" t="s">
        <v>262</v>
      </c>
      <c r="B145" s="327" t="s">
        <v>226</v>
      </c>
      <c r="C145" s="328" t="str">
        <f t="array" ref="C145">INDEX('アイテム'!$G$3:$H$114, MATCH($A$1,'アイテム'!$A$3:$A$114,0), MATCH(C140,'アイテム'!$C$2:$AQ$2,0))</f>
        <v>11</v>
      </c>
      <c r="D145" s="328">
        <f t="array" ref="D145">INDEX('アイテム'!$G$3:$H$114, MATCH($A$1,'アイテム'!$A$3:$A$114,0), MATCH(D140,'アイテム'!$C$2:$AQ$2,0))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229</v>
      </c>
      <c r="C146" s="328" t="str">
        <f t="array" ref="C146">INDEX('アイテム'!$I$3:$J$114, MATCH($A$1,'アイテム'!$A$3:$A$114,0), MATCH(C140,'アイテム'!$C$2:$AQ$2,0))</f>
        <v>11</v>
      </c>
      <c r="D146" s="328">
        <f t="array" ref="D146">INDEX('アイテム'!$I$3:$J$114, MATCH($A$1,'アイテム'!$A$3:$A$114,0), MATCH(D140,'アイテム'!$C$2:$AQ$2,0))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233</v>
      </c>
      <c r="C147" s="328" t="str">
        <f t="array" ref="C147">INDEX('アイテム'!$K$3:$L$114, MATCH($A$1,'アイテム'!$A$3:$A$114,0), MATCH(C140,'アイテム'!$C$2:$AQ$2,0))</f>
        <v>11</v>
      </c>
      <c r="D147" s="328">
        <f t="array" ref="D147">INDEX('アイテム'!$K$3:$L$114, MATCH($A$1,'アイテム'!$A$3:$A$114,0), MATCH(D140,'アイテム'!$C$2:$AQ$2,0))</f>
        <v>23</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234</v>
      </c>
      <c r="C148" s="328" t="str">
        <f t="array" ref="C148">INDEX('アイテム'!$M$3:$N$114, MATCH($A$1,'アイテム'!$A$3:$A$114,0), MATCH(C140,'アイテム'!$C$2:$AQ$2,0))</f>
        <v>11</v>
      </c>
      <c r="D148" s="328">
        <f t="array" ref="D148">INDEX('アイテム'!$M$3:$N$114, MATCH($A$1,'アイテム'!$A$3:$A$114,0), MATCH(D140,'アイテム'!$C$2:$AQ$2,0))</f>
        <v>19</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219</v>
      </c>
      <c r="C149" s="328" t="str">
        <f t="array" ref="C149">INDEX('アイテム'!$O$3:$P$114, MATCH($A$1,'アイテム'!$A$3:$A$114,0), MATCH(C140,'アイテム'!$C$2:$AQ$2,0))</f>
        <v>12</v>
      </c>
      <c r="D149" s="328">
        <f t="array" ref="D149">INDEX('アイテム'!$O$3:$P$114, MATCH($A$1,'アイテム'!$A$3:$A$114,0), MATCH(D140,'アイテム'!$C$2:$AQ$2,0))</f>
        <v>29</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263</v>
      </c>
      <c r="C150" s="328" t="str">
        <f t="array" ref="C150">INDEX('アイテム'!$Q$3:$R$114, MATCH($A$1,'アイテム'!$A$3:$A$114,0), MATCH(C140,'アイテム'!$C$2:$AQ$2,0))</f>
        <v>10</v>
      </c>
      <c r="D150" s="328">
        <f t="array" ref="D150">INDEX('アイテム'!$Q$3:$R$114, MATCH($A$1,'アイテム'!$A$3:$A$114,0), MATCH(D140,'アイテム'!$C$2:$AQ$2,0))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264</v>
      </c>
      <c r="B151" s="327" t="s">
        <v>226</v>
      </c>
      <c r="C151" s="328" t="str">
        <f t="array" ref="C151">INDEX('アイテム'!$S$3:$T$114, MATCH($A$1,'アイテム'!$A$3:$A$114,0), MATCH(C140,'アイテム'!$C$2:$AQ$2,0))</f>
        <v>11</v>
      </c>
      <c r="D151" s="328">
        <f t="array" ref="D151">INDEX('アイテム'!$S$3:$T$114, MATCH($A$1,'アイテム'!$A$3:$A$114,0), MATCH(D140,'アイテム'!$C$2:$AQ$2,0))</f>
        <v>24</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229</v>
      </c>
      <c r="C152" s="328" t="str">
        <f t="array" ref="C152">INDEX('アイテム'!$U$3:$V$114, MATCH($A$1,'アイテム'!$A$3:$A$114,0), MATCH(C140,'アイテム'!$C$2:$AQ$2,0))</f>
        <v>11</v>
      </c>
      <c r="D152" s="328">
        <f t="array" ref="D152">INDEX('アイテム'!$U$3:$V$114, MATCH($A$1,'アイテム'!$A$3:$A$114,0), MATCH(D140,'アイテム'!$C$2:$AQ$2,0))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233</v>
      </c>
      <c r="C153" s="328" t="str">
        <f t="array" ref="C153">INDEX('アイテム'!$W$3:$X$114, MATCH($A$1,'アイテム'!$A$3:$A$114,0), MATCH(C140,'アイテム'!$C$2:$AQ$2,0))</f>
        <v>11</v>
      </c>
      <c r="D153" s="328">
        <f t="array" ref="D153">INDEX('アイテム'!$W$3:$X$114, MATCH($A$1,'アイテム'!$A$3:$A$114,0), MATCH(D140,'アイテム'!$C$2:$AQ$2,0))</f>
        <v>23</v>
      </c>
      <c r="E153" s="322"/>
      <c r="F153" s="322"/>
      <c r="G153" s="114"/>
      <c r="H153" s="228"/>
      <c r="I153" s="228"/>
      <c r="J153" s="228"/>
      <c r="K153" s="118"/>
      <c r="L153" s="118"/>
      <c r="M153" s="118"/>
      <c r="N153" s="102"/>
      <c r="O153" s="102"/>
      <c r="P153" s="102"/>
      <c r="Q153" s="102"/>
      <c r="R153" s="118"/>
      <c r="S153" s="118"/>
      <c r="T153" s="118"/>
      <c r="U153" s="118"/>
      <c r="V153" s="118"/>
    </row>
    <row r="154" outlineLevel="1">
      <c r="A154" s="156"/>
      <c r="B154" s="327" t="s">
        <v>234</v>
      </c>
      <c r="C154" s="328" t="str">
        <f t="array" ref="C154">INDEX('アイテム'!$Y$3:$Z$114, MATCH($A$1,'アイテム'!$A$3:$A$114,0), MATCH(C140,'アイテム'!$C$2:$AQ$2,0))</f>
        <v>11</v>
      </c>
      <c r="D154" s="328">
        <f t="array" ref="D154">INDEX('アイテム'!$Y$3:$Z$114, MATCH($A$1,'アイテム'!$A$3:$A$114,0), MATCH(D140,'アイテム'!$C$2:$AQ$2,0))</f>
        <v>19</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265</v>
      </c>
      <c r="B155" s="327" t="s">
        <v>226</v>
      </c>
      <c r="C155" s="328">
        <f t="array" ref="C155">INDEX('アイテム'!$AC$3:$AD$114, MATCH($A$1,'アイテム'!$A$3:$A$114,0), MATCH(C140,'アイテム'!$C$2:$AQ$2,0))</f>
        <v>20</v>
      </c>
      <c r="D155" s="328" t="str">
        <f t="array" ref="D155">INDEX('アイテム'!$AC$3:$AD$114, MATCH($A$1,'アイテム'!$A$3:$A$114,0), MATCH(D140,'アイテム'!$C$2:$AQ$2,0))</f>
        <v>30</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229</v>
      </c>
      <c r="C156" s="328">
        <f t="array" ref="C156">INDEX('アイテム'!$AE$3:$AF$114, MATCH($A$1,'アイテム'!$A$3:$A$114,0), MATCH(C140,'アイテム'!$C$2:$AQ$2,0))</f>
        <v>20</v>
      </c>
      <c r="D156" s="328" t="str">
        <f t="array" ref="D156">INDEX('アイテム'!$AE$3:$AF$114, MATCH($A$1,'アイテム'!$A$3:$A$114,0), MATCH(D140,'アイテム'!$C$2:$AQ$2,0))</f>
        <v>30</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233</v>
      </c>
      <c r="C157" s="328">
        <f t="array" ref="C157">INDEX('アイテム'!$AG$3:$AH$114, MATCH($A$1,'アイテム'!$A$3:$A$114,0), MATCH(C140,'アイテム'!$C$2:$AQ$2,0))</f>
        <v>12</v>
      </c>
      <c r="D157" s="328" t="str">
        <f t="array" ref="D157">INDEX('アイテム'!$AG$3:$AH$114, MATCH($A$1,'アイテム'!$A$3:$A$114,0), MATCH(D140,'アイテム'!$C$2:$AQ$2,0))</f>
        <v>22</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234</v>
      </c>
      <c r="C158" s="328">
        <f t="array" ref="C158">INDEX('アイテム'!$AI$3:$AJ$114, MATCH($A$1,'アイテム'!$A$3:$A$114,0), MATCH(C140,'アイテム'!$C$2:$AQ$2,0))</f>
        <v>16</v>
      </c>
      <c r="D158" s="328" t="str">
        <f t="array" ref="D158">INDEX('アイテム'!$AI$3:$AJ$114, MATCH($A$1,'アイテム'!$A$3:$A$114,0), MATCH(D140,'アイテム'!$C$2:$AQ$2,0))</f>
        <v>22</v>
      </c>
      <c r="E158" s="322"/>
      <c r="F158" s="322"/>
      <c r="G158" s="114"/>
      <c r="H158" s="228"/>
      <c r="I158" s="228"/>
      <c r="J158" s="228"/>
      <c r="K158" s="118"/>
      <c r="L158" s="118"/>
      <c r="M158" s="118"/>
      <c r="N158" s="102"/>
      <c r="O158" s="102"/>
      <c r="P158" s="102"/>
      <c r="Q158" s="102"/>
      <c r="R158" s="118"/>
      <c r="S158" s="118"/>
      <c r="T158" s="118"/>
      <c r="U158" s="118"/>
      <c r="V158" s="118"/>
    </row>
  </sheetData>
  <mergeCells count="147">
    <mergeCell ref="I46:I47"/>
    <mergeCell ref="J46:J47"/>
    <mergeCell ref="A40:B41"/>
    <mergeCell ref="A42:A45"/>
    <mergeCell ref="D42:D45"/>
    <mergeCell ref="I42:I45"/>
    <mergeCell ref="J42:J45"/>
    <mergeCell ref="A46:A47"/>
    <mergeCell ref="A48:A50"/>
    <mergeCell ref="D46:D47"/>
    <mergeCell ref="D48:D50"/>
    <mergeCell ref="A51:A54"/>
    <mergeCell ref="D51:D54"/>
    <mergeCell ref="A55:A57"/>
    <mergeCell ref="D55:D57"/>
    <mergeCell ref="A59:B59"/>
    <mergeCell ref="H61:J62"/>
    <mergeCell ref="H63:J63"/>
    <mergeCell ref="H64:J72"/>
    <mergeCell ref="H73:J73"/>
    <mergeCell ref="H74:J75"/>
    <mergeCell ref="H76:J76"/>
    <mergeCell ref="H77:J78"/>
    <mergeCell ref="I48:I50"/>
    <mergeCell ref="J48:J50"/>
    <mergeCell ref="I51:I54"/>
    <mergeCell ref="J51:J54"/>
    <mergeCell ref="I55:I57"/>
    <mergeCell ref="J55:J57"/>
    <mergeCell ref="H60:J60"/>
    <mergeCell ref="A74:A75"/>
    <mergeCell ref="A76:B76"/>
    <mergeCell ref="B77:B78"/>
    <mergeCell ref="A60:B60"/>
    <mergeCell ref="A61:A62"/>
    <mergeCell ref="D61:D62"/>
    <mergeCell ref="A63:B63"/>
    <mergeCell ref="A64:A72"/>
    <mergeCell ref="A73:B73"/>
    <mergeCell ref="D74:D75"/>
    <mergeCell ref="C1:G12"/>
    <mergeCell ref="A11:B12"/>
    <mergeCell ref="C16:D16"/>
    <mergeCell ref="E16:F16"/>
    <mergeCell ref="G16:H16"/>
    <mergeCell ref="H25:J25"/>
    <mergeCell ref="H26:J26"/>
    <mergeCell ref="A15:B16"/>
    <mergeCell ref="A29:A30"/>
    <mergeCell ref="D29:D30"/>
    <mergeCell ref="A31:A32"/>
    <mergeCell ref="D31:D32"/>
    <mergeCell ref="A33:A34"/>
    <mergeCell ref="D33:D34"/>
    <mergeCell ref="H6:H7"/>
    <mergeCell ref="H10:H11"/>
    <mergeCell ref="H1:J2"/>
    <mergeCell ref="K1:M2"/>
    <mergeCell ref="H4:H5"/>
    <mergeCell ref="I4:I5"/>
    <mergeCell ref="I6:I7"/>
    <mergeCell ref="H8:J9"/>
    <mergeCell ref="I10:I11"/>
    <mergeCell ref="K16:N16"/>
    <mergeCell ref="A24:B25"/>
    <mergeCell ref="A26:A28"/>
    <mergeCell ref="U26:U28"/>
    <mergeCell ref="H27:J27"/>
    <mergeCell ref="H28:J28"/>
    <mergeCell ref="U29:U30"/>
    <mergeCell ref="U31:U32"/>
    <mergeCell ref="U33:U34"/>
    <mergeCell ref="U61:U62"/>
    <mergeCell ref="U64:U72"/>
    <mergeCell ref="V64:V72"/>
    <mergeCell ref="U74:U75"/>
    <mergeCell ref="V74:V75"/>
    <mergeCell ref="U77:U83"/>
    <mergeCell ref="V77:V83"/>
    <mergeCell ref="R41:V41"/>
    <mergeCell ref="R42:V45"/>
    <mergeCell ref="R46:V47"/>
    <mergeCell ref="R48:V50"/>
    <mergeCell ref="R51:V54"/>
    <mergeCell ref="R55:V57"/>
    <mergeCell ref="V61:V62"/>
    <mergeCell ref="H29:J30"/>
    <mergeCell ref="H31:J32"/>
    <mergeCell ref="H33:J34"/>
    <mergeCell ref="H35:J35"/>
    <mergeCell ref="H36:J36"/>
    <mergeCell ref="H37:J37"/>
    <mergeCell ref="H38:J38"/>
    <mergeCell ref="A88:A90"/>
    <mergeCell ref="A92:A93"/>
    <mergeCell ref="D92:D93"/>
    <mergeCell ref="G92:J93"/>
    <mergeCell ref="A101:B102"/>
    <mergeCell ref="A103:A105"/>
    <mergeCell ref="A106:A107"/>
    <mergeCell ref="A109:B110"/>
    <mergeCell ref="A111:A115"/>
    <mergeCell ref="A116:A118"/>
    <mergeCell ref="A119:A124"/>
    <mergeCell ref="A125:A130"/>
    <mergeCell ref="A131:A137"/>
    <mergeCell ref="A139:B139"/>
    <mergeCell ref="A140:B140"/>
    <mergeCell ref="A141:A142"/>
    <mergeCell ref="A144:B144"/>
    <mergeCell ref="A145:A150"/>
    <mergeCell ref="H79:J80"/>
    <mergeCell ref="H81:J83"/>
    <mergeCell ref="G91:J91"/>
    <mergeCell ref="A79:A83"/>
    <mergeCell ref="D81:D83"/>
    <mergeCell ref="E81:E83"/>
    <mergeCell ref="F81:F83"/>
    <mergeCell ref="G81:G83"/>
    <mergeCell ref="A85:B86"/>
    <mergeCell ref="A91:B91"/>
    <mergeCell ref="A94:A95"/>
    <mergeCell ref="D94:D95"/>
    <mergeCell ref="G94:J95"/>
    <mergeCell ref="A96:A97"/>
    <mergeCell ref="D96:D97"/>
    <mergeCell ref="A98:A99"/>
    <mergeCell ref="D98:D99"/>
    <mergeCell ref="C123:C124"/>
    <mergeCell ref="D123:D124"/>
    <mergeCell ref="C129:C130"/>
    <mergeCell ref="D129:D130"/>
    <mergeCell ref="C136:C137"/>
    <mergeCell ref="D136:D137"/>
    <mergeCell ref="K120:K123"/>
    <mergeCell ref="K126:K129"/>
    <mergeCell ref="K130:L130"/>
    <mergeCell ref="K133:L133"/>
    <mergeCell ref="G96:J97"/>
    <mergeCell ref="G98:J99"/>
    <mergeCell ref="K110:L110"/>
    <mergeCell ref="K111:K112"/>
    <mergeCell ref="K113:L113"/>
    <mergeCell ref="K114:K119"/>
    <mergeCell ref="K124:L124"/>
    <mergeCell ref="A151:A154"/>
    <mergeCell ref="A155:A158"/>
  </mergeCells>
  <conditionalFormatting sqref="K1:K15 K17:K76 K81:K134">
    <cfRule type="containsText" dxfId="0" priority="1" operator="containsText" text="361">
      <formula>NOT(ISERROR(SEARCH(("361"),(K1))))</formula>
    </cfRule>
  </conditionalFormatting>
  <conditionalFormatting sqref="K1:K15 K17:K76 K81:K134">
    <cfRule type="containsText" dxfId="1" priority="2" operator="containsText" text="363">
      <formula>NOT(ISERROR(SEARCH(("363"),(K1))))</formula>
    </cfRule>
  </conditionalFormatting>
  <conditionalFormatting sqref="K1:K15 K17:K76 K81:K134">
    <cfRule type="containsText" dxfId="1" priority="3" operator="containsText" text="365">
      <formula>NOT(ISERROR(SEARCH(("365"),(K1))))</formula>
    </cfRule>
  </conditionalFormatting>
  <conditionalFormatting sqref="K1:K15 K17:K76 K81:K134">
    <cfRule type="containsText" dxfId="1" priority="4" operator="containsText" text="366">
      <formula>NOT(ISERROR(SEARCH(("366"),(K1))))</formula>
    </cfRule>
  </conditionalFormatting>
  <conditionalFormatting sqref="K1:K15 K17:K76 K81:K134">
    <cfRule type="containsText" dxfId="1" priority="5" operator="containsText" text="367">
      <formula>NOT(ISERROR(SEARCH(("367"),(K1))))</formula>
    </cfRule>
  </conditionalFormatting>
  <conditionalFormatting sqref="C92 E92:F92 K92:N92 O92:O94 P92:P99 Q92 C94 E94:F94 K94:N94 Q94 C96 E96:F96 K96:O96 Q96 C98 E98:F98 K98:O98 Q98">
    <cfRule type="cellIs" dxfId="2" priority="6" operator="equal">
      <formula>"敵のみ"</formula>
    </cfRule>
  </conditionalFormatting>
  <conditionalFormatting sqref="C92:C99">
    <cfRule type="cellIs" dxfId="3" priority="7" operator="equal">
      <formula>"-"</formula>
    </cfRule>
  </conditionalFormatting>
  <conditionalFormatting sqref="O1:O76 O81:O158">
    <cfRule type="cellIs" dxfId="4" priority="8" operator="greaterThan">
      <formula>0</formula>
    </cfRule>
  </conditionalFormatting>
  <conditionalFormatting sqref="P1:Q76 P81:Q158 C92 E92:F92 K92:N92 O92:O94 C94 E94:F94 K94:N94 C96 E96:F96 K96:O96 C98 E98:F98 K98:O98">
    <cfRule type="cellIs" dxfId="5" priority="9" operator="lessThan">
      <formula>1</formula>
    </cfRule>
  </conditionalFormatting>
  <conditionalFormatting sqref="P1:Q76 P81:Q158 C92 E92:F92 K92:N92 O92:O94 C94 E94:F94 K94:N94 C96 E96:F96 K96:O96 C98 E98:F98 K98:O98">
    <cfRule type="cellIs" dxfId="4" priority="10" operator="greaterThan">
      <formula>1</formula>
    </cfRule>
  </conditionalFormatting>
  <conditionalFormatting sqref="N25:N76 N81:N99">
    <cfRule type="cellIs" dxfId="6" priority="11" operator="greaterThan">
      <formula>0</formula>
    </cfRule>
  </conditionalFormatting>
  <conditionalFormatting sqref="N1:N15 N17:N76 N81:N158">
    <cfRule type="containsText" dxfId="6" priority="12" operator="containsText" text="/">
      <formula>NOT(ISERROR(SEARCH(("/"),(N1))))</formula>
    </cfRule>
  </conditionalFormatting>
  <drawing r:id="rId2"/>
  <legacyDrawing r:id="rId3"/>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6466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460">
        <v>27.0</v>
      </c>
      <c r="B1" s="1461"/>
      <c r="C1" s="1462" t="str">
        <f>IMAGE(VLOOKUP($A$1,Fighters!A2:AI114,12,FALSE),1)</f>
        <v>#REF!</v>
      </c>
      <c r="D1" s="1463"/>
      <c r="E1" s="1463"/>
      <c r="F1" s="1463"/>
      <c r="G1" s="1464"/>
      <c r="H1" s="1465"/>
      <c r="I1" s="1463"/>
      <c r="J1" s="1464"/>
      <c r="K1" s="1466"/>
      <c r="L1" s="1463"/>
      <c r="M1" s="1464"/>
      <c r="N1" s="1467"/>
      <c r="O1" s="1467"/>
      <c r="P1" s="1467"/>
      <c r="Q1" s="1467"/>
      <c r="R1" s="1468"/>
      <c r="S1" s="1468"/>
      <c r="T1" s="1468"/>
      <c r="U1" s="1468"/>
      <c r="V1" s="1468"/>
    </row>
    <row r="2">
      <c r="A2" s="1469" t="str">
        <f>VLOOKUP($A$1,Fighters!$A$2:$AI$81,6,FALSE)</f>
        <v>#464664</v>
      </c>
      <c r="B2" s="1461"/>
      <c r="C2" s="1470"/>
      <c r="G2" s="1471"/>
      <c r="H2" s="1472"/>
      <c r="I2" s="1473"/>
      <c r="J2" s="1474"/>
      <c r="K2" s="1472"/>
      <c r="L2" s="1473"/>
      <c r="M2" s="1474"/>
      <c r="N2" s="1467"/>
      <c r="O2" s="1467"/>
      <c r="P2" s="1467"/>
      <c r="Q2" s="1467"/>
      <c r="R2" s="1468"/>
      <c r="S2" s="1468"/>
      <c r="T2" s="1468"/>
      <c r="U2" s="1468"/>
      <c r="V2" s="1468"/>
    </row>
    <row r="3">
      <c r="A3" s="1469" t="str">
        <f>VLOOKUP($A$1,Fighters!$A$2:$AI$81,14,FALSE)</f>
        <v>27. メタナイト</v>
      </c>
      <c r="B3" s="1461"/>
      <c r="C3" s="1470"/>
      <c r="G3" s="1471"/>
      <c r="H3" s="1475"/>
      <c r="I3" s="1475"/>
      <c r="J3" s="1475"/>
      <c r="K3" s="1476"/>
      <c r="L3" s="1476"/>
      <c r="M3" s="1476"/>
      <c r="N3" s="1467"/>
      <c r="O3" s="1467"/>
      <c r="P3" s="1467"/>
      <c r="Q3" s="1467"/>
      <c r="R3" s="1477"/>
      <c r="S3" s="1468"/>
      <c r="T3" s="1468"/>
      <c r="U3" s="1468"/>
      <c r="V3" s="1468"/>
    </row>
    <row r="4">
      <c r="A4" s="1469" t="str">
        <f>VLOOKUP($A$1,Fighters!$A$2:$AI$81,13,FALSE)</f>
        <v>1</v>
      </c>
      <c r="B4" s="1461"/>
      <c r="C4" s="1470"/>
      <c r="G4" s="1471"/>
      <c r="H4" s="1478"/>
      <c r="I4" s="1478"/>
      <c r="J4" s="1475"/>
      <c r="K4" s="1476"/>
      <c r="L4" s="1476"/>
      <c r="M4" s="1476"/>
      <c r="N4" s="1467"/>
      <c r="O4" s="1467"/>
      <c r="P4" s="1467"/>
      <c r="Q4" s="1467"/>
      <c r="R4" s="1477"/>
      <c r="S4" s="1468"/>
      <c r="T4" s="1468"/>
      <c r="U4" s="1468"/>
      <c r="V4" s="1468"/>
    </row>
    <row r="5" ht="16.5" customHeight="1">
      <c r="A5" s="1460"/>
      <c r="B5" s="1461"/>
      <c r="C5" s="1470"/>
      <c r="G5" s="1471"/>
      <c r="H5" s="1479"/>
      <c r="I5" s="1479"/>
      <c r="J5" s="1480"/>
      <c r="K5" s="1481"/>
      <c r="L5" s="1482"/>
      <c r="M5" s="1482"/>
      <c r="N5" s="1467"/>
      <c r="O5" s="1467"/>
      <c r="P5" s="1467"/>
      <c r="Q5" s="1467"/>
      <c r="R5" s="1477"/>
      <c r="S5" s="1468"/>
      <c r="T5" s="1468"/>
      <c r="U5" s="1468"/>
      <c r="V5" s="1468"/>
    </row>
    <row r="6">
      <c r="A6" s="1461"/>
      <c r="B6" s="1461"/>
      <c r="C6" s="1470"/>
      <c r="G6" s="1471"/>
      <c r="H6" s="1478"/>
      <c r="I6" s="1483" t="s">
        <v>39</v>
      </c>
      <c r="J6" s="1481"/>
      <c r="K6" s="1484"/>
      <c r="L6" s="1482"/>
      <c r="M6" s="1482"/>
      <c r="N6" s="1467"/>
      <c r="O6" s="1467"/>
      <c r="P6" s="1467"/>
      <c r="Q6" s="1467"/>
      <c r="R6" s="1477"/>
      <c r="S6" s="1468"/>
      <c r="T6" s="1468"/>
      <c r="U6" s="1468"/>
      <c r="V6" s="1468"/>
    </row>
    <row r="7">
      <c r="A7" s="1461"/>
      <c r="B7" s="1461"/>
      <c r="C7" s="1470"/>
      <c r="G7" s="1471"/>
      <c r="H7" s="1479"/>
      <c r="I7" s="1479"/>
      <c r="J7" s="1481"/>
      <c r="K7" s="1484"/>
      <c r="L7" s="1482"/>
      <c r="M7" s="1482"/>
      <c r="N7" s="1467"/>
      <c r="O7" s="1467"/>
      <c r="P7" s="1467"/>
      <c r="Q7" s="1467"/>
      <c r="R7" s="1477"/>
      <c r="S7" s="1468"/>
      <c r="T7" s="1468"/>
      <c r="U7" s="1468"/>
      <c r="V7" s="1468"/>
    </row>
    <row r="8">
      <c r="A8" s="1461"/>
      <c r="B8" s="1461"/>
      <c r="C8" s="1470"/>
      <c r="G8" s="1471"/>
      <c r="H8" s="1485">
        <v>44533.41369980324</v>
      </c>
      <c r="I8" s="1463"/>
      <c r="J8" s="1464"/>
      <c r="K8" s="1481"/>
      <c r="L8" s="1482"/>
      <c r="M8" s="1482"/>
      <c r="N8" s="1467"/>
      <c r="O8" s="1467"/>
      <c r="P8" s="1467"/>
      <c r="Q8" s="1467"/>
      <c r="R8" s="1477"/>
      <c r="S8" s="1468"/>
      <c r="T8" s="1468"/>
      <c r="U8" s="1468"/>
      <c r="V8" s="1468"/>
    </row>
    <row r="9">
      <c r="A9" s="1461"/>
      <c r="B9" s="1461"/>
      <c r="C9" s="1470"/>
      <c r="G9" s="1471"/>
      <c r="H9" s="1472"/>
      <c r="I9" s="1473"/>
      <c r="J9" s="1474"/>
      <c r="K9" s="1468"/>
      <c r="L9" s="1467"/>
      <c r="M9" s="1467"/>
      <c r="N9" s="1467"/>
      <c r="O9" s="1467"/>
      <c r="P9" s="1467"/>
      <c r="Q9" s="1467"/>
      <c r="R9" s="1477"/>
      <c r="S9" s="1468"/>
      <c r="T9" s="1468"/>
      <c r="U9" s="1468"/>
      <c r="V9" s="1468"/>
    </row>
    <row r="10">
      <c r="A10" s="1461"/>
      <c r="B10" s="1461"/>
      <c r="C10" s="1470"/>
      <c r="G10" s="1471"/>
      <c r="H10" s="1486"/>
      <c r="I10" s="1486"/>
      <c r="J10" s="1468"/>
      <c r="K10" s="1468"/>
      <c r="L10" s="1467"/>
      <c r="M10" s="1467"/>
      <c r="N10" s="1467"/>
      <c r="O10" s="1467"/>
      <c r="P10" s="1467"/>
      <c r="Q10" s="1467"/>
      <c r="R10" s="1477"/>
      <c r="S10" s="1468"/>
      <c r="T10" s="1468"/>
      <c r="U10" s="1468"/>
      <c r="V10" s="1468"/>
    </row>
    <row r="11">
      <c r="A11" s="1487" t="s">
        <v>40</v>
      </c>
      <c r="B11" s="1464"/>
      <c r="C11" s="1470"/>
      <c r="G11" s="1471"/>
      <c r="H11" s="1479"/>
      <c r="I11" s="1479"/>
      <c r="J11" s="1468"/>
      <c r="K11" s="1468"/>
      <c r="L11" s="1467"/>
      <c r="M11" s="1467"/>
      <c r="N11" s="1467"/>
      <c r="O11" s="1467"/>
      <c r="P11" s="1467"/>
      <c r="Q11" s="1467"/>
      <c r="R11" s="1477"/>
      <c r="S11" s="1468"/>
      <c r="T11" s="1468"/>
      <c r="U11" s="1468"/>
      <c r="V11" s="1468"/>
    </row>
    <row r="12">
      <c r="A12" s="1472"/>
      <c r="B12" s="1474"/>
      <c r="C12" s="1472"/>
      <c r="D12" s="1473"/>
      <c r="E12" s="1473"/>
      <c r="F12" s="1473"/>
      <c r="G12" s="1474"/>
      <c r="H12" s="1488"/>
      <c r="I12" s="1488"/>
      <c r="J12" s="1461"/>
      <c r="K12" s="1461"/>
      <c r="L12" s="1467"/>
      <c r="M12" s="1467"/>
      <c r="N12" s="1467"/>
      <c r="O12" s="1467"/>
      <c r="P12" s="1467"/>
      <c r="Q12" s="1467"/>
      <c r="R12" s="1477"/>
      <c r="S12" s="1468"/>
      <c r="T12" s="1468"/>
      <c r="U12" s="1468"/>
      <c r="V12" s="146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694</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80 [77th]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2.211 [11th]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447"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1.239 [24th]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47F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0.14828 [48th]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 [51st]</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2.09 [16th]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22F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0.097 [64th]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13.92 [73rd]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1.04 [47th]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33F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0.075 [43rd]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20.91 [88th]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25F [88th]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1.66 [32nd]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0.012 [33rd]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2.656 [33rd]</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0.11 [23rd]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10"/>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47" t="s">
        <v>703</v>
      </c>
      <c r="C26" s="553"/>
      <c r="D26" s="467" t="s">
        <v>176</v>
      </c>
      <c r="E26" s="553"/>
      <c r="F26" s="553"/>
      <c r="G26" s="553"/>
      <c r="H26" s="151"/>
      <c r="I26" s="110"/>
      <c r="J26" s="109"/>
      <c r="K26" s="282"/>
      <c r="L26" s="282"/>
      <c r="M26" s="363"/>
      <c r="N26" s="363"/>
      <c r="O26" s="145">
        <v>1.0</v>
      </c>
      <c r="P26" s="145">
        <v>1.0</v>
      </c>
      <c r="Q26" s="145">
        <v>0.6</v>
      </c>
      <c r="R26" s="100"/>
      <c r="S26" s="100"/>
      <c r="T26" s="100"/>
      <c r="U26" s="166" t="s">
        <v>62</v>
      </c>
      <c r="V26" s="100"/>
    </row>
    <row r="27" outlineLevel="1">
      <c r="A27" s="146"/>
      <c r="B27" s="147" t="s">
        <v>704</v>
      </c>
      <c r="C27" s="216" t="s">
        <v>2221</v>
      </c>
      <c r="D27" s="467" t="s">
        <v>1114</v>
      </c>
      <c r="E27" s="216" t="s">
        <v>213</v>
      </c>
      <c r="F27" s="138">
        <v>1.2</v>
      </c>
      <c r="G27" s="450" t="s">
        <v>75</v>
      </c>
      <c r="H27" s="173" t="s">
        <v>2222</v>
      </c>
      <c r="I27" s="110"/>
      <c r="J27" s="109"/>
      <c r="K27" s="282"/>
      <c r="L27" s="282"/>
      <c r="M27" s="363"/>
      <c r="N27" s="363"/>
      <c r="O27" s="145"/>
      <c r="P27" s="145"/>
      <c r="Q27" s="145"/>
      <c r="R27" s="100"/>
      <c r="S27" s="100"/>
      <c r="T27" s="100"/>
      <c r="U27" s="146"/>
      <c r="V27" s="100"/>
    </row>
    <row r="28" outlineLevel="1">
      <c r="A28" s="156"/>
      <c r="B28" s="147" t="s">
        <v>708</v>
      </c>
      <c r="C28" s="467" t="s">
        <v>204</v>
      </c>
      <c r="D28" s="216" t="s">
        <v>164</v>
      </c>
      <c r="E28" s="216" t="s">
        <v>176</v>
      </c>
      <c r="F28" s="138">
        <v>2.4</v>
      </c>
      <c r="G28" s="216" t="s">
        <v>60</v>
      </c>
      <c r="H28" s="173"/>
      <c r="I28" s="110"/>
      <c r="J28" s="109"/>
      <c r="K28" s="282"/>
      <c r="L28" s="282"/>
      <c r="M28" s="363"/>
      <c r="N28" s="363"/>
      <c r="O28" s="145">
        <v>0.0</v>
      </c>
      <c r="P28" s="145">
        <v>1.0</v>
      </c>
      <c r="Q28" s="145">
        <v>1.0</v>
      </c>
      <c r="R28" s="100"/>
      <c r="S28" s="100"/>
      <c r="T28" s="100"/>
      <c r="U28" s="156"/>
      <c r="V28" s="100"/>
    </row>
    <row r="29" outlineLevel="1">
      <c r="A29" s="170" t="s">
        <v>77</v>
      </c>
      <c r="B29" s="160"/>
      <c r="C29" s="467" t="s">
        <v>733</v>
      </c>
      <c r="D29" s="216" t="s">
        <v>964</v>
      </c>
      <c r="E29" s="216" t="s">
        <v>2223</v>
      </c>
      <c r="F29" s="138" t="s">
        <v>1835</v>
      </c>
      <c r="G29" s="216" t="s">
        <v>517</v>
      </c>
      <c r="H29" s="173"/>
      <c r="I29" s="110"/>
      <c r="J29" s="109"/>
      <c r="K29" s="138"/>
      <c r="L29" s="282"/>
      <c r="M29" s="363"/>
      <c r="N29" s="363"/>
      <c r="O29" s="145">
        <v>0.0</v>
      </c>
      <c r="P29" s="145">
        <v>1.0</v>
      </c>
      <c r="Q29" s="145">
        <v>1.0</v>
      </c>
      <c r="R29" s="100"/>
      <c r="S29" s="100"/>
      <c r="T29" s="100"/>
      <c r="U29" s="145" t="s">
        <v>69</v>
      </c>
      <c r="V29" s="100"/>
    </row>
    <row r="30" outlineLevel="1">
      <c r="A30" s="133" t="s">
        <v>89</v>
      </c>
      <c r="B30" s="147" t="s">
        <v>2224</v>
      </c>
      <c r="C30" s="467" t="s">
        <v>86</v>
      </c>
      <c r="D30" s="467" t="s">
        <v>92</v>
      </c>
      <c r="E30" s="467" t="s">
        <v>176</v>
      </c>
      <c r="F30" s="138">
        <v>2.4</v>
      </c>
      <c r="G30" s="216" t="s">
        <v>60</v>
      </c>
      <c r="H30" s="173" t="s">
        <v>2225</v>
      </c>
      <c r="I30" s="110"/>
      <c r="J30" s="109"/>
      <c r="K30" s="138"/>
      <c r="L30" s="282"/>
      <c r="M30" s="363"/>
      <c r="N30" s="363"/>
      <c r="O30" s="145">
        <v>0.0</v>
      </c>
      <c r="P30" s="145">
        <v>1.0</v>
      </c>
      <c r="Q30" s="145">
        <v>1.0</v>
      </c>
      <c r="R30" s="100"/>
      <c r="S30" s="100"/>
      <c r="T30" s="100"/>
      <c r="U30" s="166" t="s">
        <v>96</v>
      </c>
      <c r="V30" s="100"/>
    </row>
    <row r="31" outlineLevel="1">
      <c r="A31" s="146"/>
      <c r="B31" s="147" t="s">
        <v>2226</v>
      </c>
      <c r="C31" s="467" t="s">
        <v>176</v>
      </c>
      <c r="D31" s="467" t="s">
        <v>105</v>
      </c>
      <c r="E31" s="467" t="s">
        <v>176</v>
      </c>
      <c r="F31" s="138">
        <v>2.4</v>
      </c>
      <c r="G31" s="216" t="s">
        <v>60</v>
      </c>
      <c r="H31" s="173" t="s">
        <v>2227</v>
      </c>
      <c r="I31" s="110"/>
      <c r="J31" s="109"/>
      <c r="K31" s="138"/>
      <c r="L31" s="282"/>
      <c r="M31" s="363"/>
      <c r="N31" s="363"/>
      <c r="O31" s="145">
        <v>0.0</v>
      </c>
      <c r="P31" s="145">
        <v>1.0</v>
      </c>
      <c r="Q31" s="145">
        <v>1.0</v>
      </c>
      <c r="R31" s="100"/>
      <c r="S31" s="100"/>
      <c r="T31" s="100"/>
      <c r="U31" s="146"/>
      <c r="V31" s="100"/>
    </row>
    <row r="32" outlineLevel="1">
      <c r="A32" s="156"/>
      <c r="B32" s="147" t="s">
        <v>2228</v>
      </c>
      <c r="C32" s="467" t="s">
        <v>176</v>
      </c>
      <c r="D32" s="467" t="s">
        <v>164</v>
      </c>
      <c r="E32" s="467" t="s">
        <v>73</v>
      </c>
      <c r="F32" s="138">
        <v>4.8</v>
      </c>
      <c r="G32" s="216" t="s">
        <v>75</v>
      </c>
      <c r="H32" s="173"/>
      <c r="I32" s="110"/>
      <c r="J32" s="109"/>
      <c r="K32" s="282"/>
      <c r="L32" s="282"/>
      <c r="M32" s="363"/>
      <c r="N32" s="363"/>
      <c r="O32" s="145">
        <v>0.0</v>
      </c>
      <c r="P32" s="145">
        <v>1.0</v>
      </c>
      <c r="Q32" s="145">
        <v>1.0</v>
      </c>
      <c r="R32" s="100"/>
      <c r="S32" s="100"/>
      <c r="T32" s="100"/>
      <c r="U32" s="156"/>
      <c r="V32" s="100"/>
    </row>
    <row r="33" outlineLevel="1">
      <c r="A33" s="133" t="s">
        <v>97</v>
      </c>
      <c r="B33" s="160"/>
      <c r="C33" s="467" t="s">
        <v>80</v>
      </c>
      <c r="D33" s="455" t="s">
        <v>218</v>
      </c>
      <c r="E33" s="216" t="s">
        <v>2229</v>
      </c>
      <c r="F33" s="138" t="s">
        <v>2230</v>
      </c>
      <c r="G33" s="216" t="s">
        <v>108</v>
      </c>
      <c r="H33" s="175"/>
      <c r="I33" s="164"/>
      <c r="J33" s="104"/>
      <c r="K33" s="282"/>
      <c r="L33" s="282"/>
      <c r="M33" s="363"/>
      <c r="N33" s="363"/>
      <c r="O33" s="145">
        <v>0.0</v>
      </c>
      <c r="P33" s="145">
        <v>1.0</v>
      </c>
      <c r="Q33" s="145">
        <v>1.0</v>
      </c>
      <c r="R33" s="100"/>
      <c r="S33" s="100"/>
      <c r="T33" s="100"/>
      <c r="U33" s="166" t="s">
        <v>62</v>
      </c>
      <c r="V33" s="100"/>
    </row>
    <row r="34" outlineLevel="1">
      <c r="A34" s="146"/>
      <c r="B34" s="147" t="s">
        <v>187</v>
      </c>
      <c r="C34" s="467" t="s">
        <v>220</v>
      </c>
      <c r="D34" s="210"/>
      <c r="E34" s="467" t="s">
        <v>2229</v>
      </c>
      <c r="F34" s="138" t="s">
        <v>2230</v>
      </c>
      <c r="G34" s="216" t="s">
        <v>108</v>
      </c>
      <c r="H34" s="212"/>
      <c r="J34" s="210"/>
      <c r="K34" s="145"/>
      <c r="L34" s="363"/>
      <c r="M34" s="363"/>
      <c r="N34" s="363"/>
      <c r="O34" s="145"/>
      <c r="P34" s="145"/>
      <c r="Q34" s="145"/>
      <c r="R34" s="100"/>
      <c r="S34" s="100"/>
      <c r="T34" s="100"/>
      <c r="U34" s="146"/>
      <c r="V34" s="100"/>
    </row>
    <row r="35" outlineLevel="1">
      <c r="A35" s="156"/>
      <c r="B35" s="147" t="s">
        <v>189</v>
      </c>
      <c r="C35" s="467" t="s">
        <v>580</v>
      </c>
      <c r="D35" s="107"/>
      <c r="E35" s="467" t="s">
        <v>150</v>
      </c>
      <c r="F35" s="138">
        <v>6.0</v>
      </c>
      <c r="G35" s="216" t="s">
        <v>102</v>
      </c>
      <c r="H35" s="106"/>
      <c r="I35" s="168"/>
      <c r="J35" s="107"/>
      <c r="K35" s="145"/>
      <c r="L35" s="363"/>
      <c r="M35" s="363"/>
      <c r="N35" s="363"/>
      <c r="O35" s="145">
        <v>0.0</v>
      </c>
      <c r="P35" s="145">
        <v>1.0</v>
      </c>
      <c r="Q35" s="145">
        <v>1.0</v>
      </c>
      <c r="R35" s="100"/>
      <c r="S35" s="100"/>
      <c r="T35" s="100"/>
      <c r="U35" s="156"/>
      <c r="V35" s="100"/>
    </row>
    <row r="36" outlineLevel="1">
      <c r="A36" s="170" t="s">
        <v>103</v>
      </c>
      <c r="B36" s="160"/>
      <c r="C36" s="467" t="s">
        <v>71</v>
      </c>
      <c r="D36" s="467" t="s">
        <v>466</v>
      </c>
      <c r="E36" s="467" t="s">
        <v>150</v>
      </c>
      <c r="F36" s="138">
        <v>6.0</v>
      </c>
      <c r="G36" s="216" t="s">
        <v>102</v>
      </c>
      <c r="H36" s="173" t="s">
        <v>2231</v>
      </c>
      <c r="I36" s="110"/>
      <c r="J36" s="109"/>
      <c r="K36" s="145"/>
      <c r="L36" s="363"/>
      <c r="M36" s="363"/>
      <c r="N36" s="363"/>
      <c r="O36" s="145">
        <v>0.0</v>
      </c>
      <c r="P36" s="145">
        <v>1.0</v>
      </c>
      <c r="Q36" s="145">
        <v>1.0</v>
      </c>
      <c r="R36" s="100"/>
      <c r="S36" s="100"/>
      <c r="T36" s="100"/>
      <c r="U36" s="145" t="s">
        <v>62</v>
      </c>
      <c r="V36" s="100"/>
    </row>
    <row r="37" outlineLevel="1">
      <c r="A37" s="170" t="s">
        <v>109</v>
      </c>
      <c r="B37" s="147"/>
      <c r="C37" s="467" t="s">
        <v>268</v>
      </c>
      <c r="D37" s="467" t="s">
        <v>384</v>
      </c>
      <c r="E37" s="467" t="s">
        <v>153</v>
      </c>
      <c r="F37" s="138">
        <v>19.2</v>
      </c>
      <c r="G37" s="216" t="s">
        <v>88</v>
      </c>
      <c r="H37" s="362" t="s">
        <v>2232</v>
      </c>
      <c r="I37" s="110"/>
      <c r="J37" s="109"/>
      <c r="K37" s="282"/>
      <c r="L37" s="282"/>
      <c r="M37" s="363"/>
      <c r="N37" s="363"/>
      <c r="O37" s="145">
        <v>0.0</v>
      </c>
      <c r="P37" s="145">
        <v>1.0</v>
      </c>
      <c r="Q37" s="145">
        <v>1.0</v>
      </c>
      <c r="R37" s="100"/>
      <c r="S37" s="100"/>
      <c r="T37" s="100"/>
      <c r="U37" s="145" t="s">
        <v>348</v>
      </c>
      <c r="V37" s="100"/>
    </row>
    <row r="38" outlineLevel="1">
      <c r="A38" s="133" t="s">
        <v>116</v>
      </c>
      <c r="B38" s="147" t="s">
        <v>125</v>
      </c>
      <c r="C38" s="467" t="s">
        <v>80</v>
      </c>
      <c r="D38" s="455" t="s">
        <v>185</v>
      </c>
      <c r="E38" s="216" t="s">
        <v>73</v>
      </c>
      <c r="F38" s="138">
        <v>4.8</v>
      </c>
      <c r="G38" s="216" t="s">
        <v>147</v>
      </c>
      <c r="H38" s="395" t="s">
        <v>553</v>
      </c>
      <c r="I38" s="164"/>
      <c r="J38" s="104"/>
      <c r="K38" s="363"/>
      <c r="L38" s="363"/>
      <c r="M38" s="363"/>
      <c r="N38" s="363"/>
      <c r="O38" s="145">
        <v>0.0</v>
      </c>
      <c r="P38" s="145">
        <v>1.0</v>
      </c>
      <c r="Q38" s="145">
        <v>1.0</v>
      </c>
      <c r="R38" s="100"/>
      <c r="S38" s="100"/>
      <c r="T38" s="100"/>
      <c r="U38" s="166" t="s">
        <v>62</v>
      </c>
      <c r="V38" s="100"/>
    </row>
    <row r="39" outlineLevel="1">
      <c r="A39" s="146"/>
      <c r="B39" s="147" t="s">
        <v>131</v>
      </c>
      <c r="C39" s="216" t="s">
        <v>129</v>
      </c>
      <c r="D39" s="210"/>
      <c r="E39" s="216" t="s">
        <v>204</v>
      </c>
      <c r="F39" s="138">
        <v>3.5999999999999996</v>
      </c>
      <c r="G39" s="216" t="s">
        <v>60</v>
      </c>
      <c r="H39" s="212"/>
      <c r="J39" s="210"/>
      <c r="K39" s="363"/>
      <c r="L39" s="363"/>
      <c r="M39" s="363"/>
      <c r="N39" s="363"/>
      <c r="O39" s="145">
        <v>0.0</v>
      </c>
      <c r="P39" s="145">
        <v>1.0</v>
      </c>
      <c r="Q39" s="145">
        <v>1.0</v>
      </c>
      <c r="R39" s="100"/>
      <c r="S39" s="100"/>
      <c r="T39" s="100"/>
      <c r="U39" s="146"/>
      <c r="V39" s="100"/>
    </row>
    <row r="40" outlineLevel="1">
      <c r="A40" s="156"/>
      <c r="B40" s="147" t="s">
        <v>434</v>
      </c>
      <c r="C40" s="216" t="s">
        <v>394</v>
      </c>
      <c r="D40" s="107"/>
      <c r="E40" s="216" t="s">
        <v>150</v>
      </c>
      <c r="F40" s="138">
        <v>6.0</v>
      </c>
      <c r="G40" s="216" t="s">
        <v>147</v>
      </c>
      <c r="H40" s="106"/>
      <c r="I40" s="168"/>
      <c r="J40" s="107"/>
      <c r="K40" s="363"/>
      <c r="L40" s="363"/>
      <c r="M40" s="363"/>
      <c r="N40" s="363"/>
      <c r="O40" s="145">
        <v>0.0</v>
      </c>
      <c r="P40" s="145">
        <v>1.0</v>
      </c>
      <c r="Q40" s="145">
        <v>1.0</v>
      </c>
      <c r="R40" s="100"/>
      <c r="S40" s="100"/>
      <c r="T40" s="100"/>
      <c r="U40" s="156"/>
      <c r="V40" s="100"/>
    </row>
    <row r="41" outlineLevel="1">
      <c r="A41" s="133" t="s">
        <v>124</v>
      </c>
      <c r="B41" s="147" t="s">
        <v>125</v>
      </c>
      <c r="C41" s="216" t="s">
        <v>73</v>
      </c>
      <c r="D41" s="455" t="s">
        <v>79</v>
      </c>
      <c r="E41" s="216" t="s">
        <v>128</v>
      </c>
      <c r="F41" s="138">
        <v>12.0</v>
      </c>
      <c r="G41" s="216" t="s">
        <v>95</v>
      </c>
      <c r="H41" s="395" t="s">
        <v>1443</v>
      </c>
      <c r="I41" s="164"/>
      <c r="J41" s="104"/>
      <c r="K41" s="282"/>
      <c r="L41" s="282"/>
      <c r="M41" s="363"/>
      <c r="N41" s="363"/>
      <c r="O41" s="145">
        <v>0.0</v>
      </c>
      <c r="P41" s="145">
        <v>1.0</v>
      </c>
      <c r="Q41" s="145">
        <v>1.0</v>
      </c>
      <c r="R41" s="100"/>
      <c r="S41" s="100"/>
      <c r="T41" s="100"/>
      <c r="U41" s="166" t="s">
        <v>62</v>
      </c>
      <c r="V41" s="100"/>
    </row>
    <row r="42" outlineLevel="1">
      <c r="A42" s="156"/>
      <c r="B42" s="147" t="s">
        <v>131</v>
      </c>
      <c r="C42" s="216" t="s">
        <v>274</v>
      </c>
      <c r="D42" s="107"/>
      <c r="E42" s="216" t="s">
        <v>228</v>
      </c>
      <c r="F42" s="138">
        <v>15.6</v>
      </c>
      <c r="G42" s="216" t="s">
        <v>275</v>
      </c>
      <c r="H42" s="106"/>
      <c r="I42" s="168"/>
      <c r="J42" s="107"/>
      <c r="K42" s="282"/>
      <c r="L42" s="282"/>
      <c r="M42" s="363"/>
      <c r="N42" s="363"/>
      <c r="O42" s="145">
        <v>0.0</v>
      </c>
      <c r="P42" s="145">
        <v>1.0</v>
      </c>
      <c r="Q42" s="145">
        <v>1.0</v>
      </c>
      <c r="R42" s="100"/>
      <c r="S42" s="100"/>
      <c r="T42" s="100"/>
      <c r="U42" s="156"/>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tr">
        <f>'テンプレート'!I56</f>
        <v>着地隙</v>
      </c>
      <c r="J45" s="184" t="s">
        <v>136</v>
      </c>
      <c r="K45" s="184" t="str">
        <f>'テンプレート'!K56</f>
        <v>ベクトル</v>
      </c>
      <c r="L45" s="184" t="str">
        <f>'テンプレート'!L56</f>
        <v>KBG (R.E.)</v>
      </c>
      <c r="M45" s="184" t="str">
        <f>'テンプレート'!M56</f>
        <v>BKB (R.A.)</v>
      </c>
      <c r="N45" s="184" t="str">
        <f>'テンプレート'!N56</f>
        <v>FKB (R.F.)</v>
      </c>
      <c r="O45" s="186" t="str">
        <f>'テンプレート'!O56</f>
        <v>盾削り値</v>
      </c>
      <c r="P45" s="184" t="str">
        <f>'テンプレート'!P56</f>
        <v>ﾋｯﾄｽﾄｯﾌﾟ</v>
      </c>
      <c r="Q45" s="186" t="str">
        <f>'テンプレート'!Q56</f>
        <v>ずらし</v>
      </c>
      <c r="R45" s="187" t="str">
        <f>'テンプレート'!R56</f>
        <v>備考</v>
      </c>
      <c r="S45" s="110"/>
      <c r="T45" s="110"/>
      <c r="U45" s="110"/>
      <c r="V45" s="110"/>
    </row>
    <row r="46" outlineLevel="1">
      <c r="A46" s="188" t="s">
        <v>144</v>
      </c>
      <c r="B46" s="373"/>
      <c r="C46" s="239" t="s">
        <v>217</v>
      </c>
      <c r="D46" s="452" t="s">
        <v>127</v>
      </c>
      <c r="E46" s="401" t="s">
        <v>128</v>
      </c>
      <c r="F46" s="193">
        <v>12.0</v>
      </c>
      <c r="G46" s="193">
        <v>10.2</v>
      </c>
      <c r="H46" s="138" t="s">
        <v>147</v>
      </c>
      <c r="I46" s="454" t="str">
        <f t="array" ref="I46">INDEX('空中攻撃'!$O$3:$AA$109, MATCH($A$1,'空中攻撃'!$A$3:$A$109,0), MATCH(A46,'空中攻撃'!$O$2:$S$2,0))</f>
        <v>7</v>
      </c>
      <c r="J46" s="195" t="s">
        <v>2233</v>
      </c>
      <c r="K46" s="138"/>
      <c r="L46" s="282"/>
      <c r="M46" s="363"/>
      <c r="N46" s="363"/>
      <c r="O46" s="145">
        <v>0.0</v>
      </c>
      <c r="P46" s="145">
        <v>1.0</v>
      </c>
      <c r="Q46" s="145">
        <v>1.0</v>
      </c>
      <c r="R46" s="619"/>
      <c r="S46" s="164"/>
      <c r="T46" s="164"/>
      <c r="U46" s="164"/>
      <c r="V46" s="104"/>
    </row>
    <row r="47" outlineLevel="1">
      <c r="A47" s="156"/>
      <c r="B47" s="373" t="s">
        <v>84</v>
      </c>
      <c r="C47" s="239" t="s">
        <v>1168</v>
      </c>
      <c r="D47" s="107"/>
      <c r="E47" s="239" t="s">
        <v>1665</v>
      </c>
      <c r="F47" s="138">
        <v>9.0</v>
      </c>
      <c r="G47" s="138">
        <v>7.65</v>
      </c>
      <c r="H47" s="138" t="s">
        <v>60</v>
      </c>
      <c r="I47" s="156"/>
      <c r="J47" s="107"/>
      <c r="K47" s="138"/>
      <c r="L47" s="282"/>
      <c r="M47" s="363"/>
      <c r="N47" s="363"/>
      <c r="O47" s="145">
        <v>0.0</v>
      </c>
      <c r="P47" s="145">
        <v>1.0</v>
      </c>
      <c r="Q47" s="145">
        <v>1.0</v>
      </c>
      <c r="R47" s="106"/>
      <c r="S47" s="168"/>
      <c r="T47" s="168"/>
      <c r="U47" s="168"/>
      <c r="V47" s="107"/>
    </row>
    <row r="48" outlineLevel="1">
      <c r="A48" s="188" t="s">
        <v>151</v>
      </c>
      <c r="B48" s="373" t="s">
        <v>125</v>
      </c>
      <c r="C48" s="239" t="s">
        <v>274</v>
      </c>
      <c r="D48" s="379" t="s">
        <v>118</v>
      </c>
      <c r="E48" s="365" t="s">
        <v>176</v>
      </c>
      <c r="F48" s="138">
        <v>2.4</v>
      </c>
      <c r="G48" s="138">
        <v>2.04</v>
      </c>
      <c r="H48" s="138" t="s">
        <v>170</v>
      </c>
      <c r="I48" s="454" t="str">
        <f t="array" ref="I48">INDEX('空中攻撃'!$O$3:$AA$109, MATCH($A$1,'空中攻撃'!$A$3:$A$109,0), MATCH(A48,'空中攻撃'!$O$2:$S$2,0))</f>
        <v>10</v>
      </c>
      <c r="J48" s="379" t="s">
        <v>2234</v>
      </c>
      <c r="K48" s="138"/>
      <c r="L48" s="282"/>
      <c r="M48" s="363"/>
      <c r="N48" s="363"/>
      <c r="O48" s="145">
        <v>0.0</v>
      </c>
      <c r="P48" s="145">
        <v>1.0</v>
      </c>
      <c r="Q48" s="145">
        <v>1.0</v>
      </c>
      <c r="R48" s="619"/>
      <c r="S48" s="164"/>
      <c r="T48" s="164"/>
      <c r="U48" s="164"/>
      <c r="V48" s="104"/>
    </row>
    <row r="49" outlineLevel="1">
      <c r="A49" s="146"/>
      <c r="B49" s="373" t="s">
        <v>131</v>
      </c>
      <c r="C49" s="239" t="s">
        <v>129</v>
      </c>
      <c r="D49" s="210"/>
      <c r="E49" s="365" t="s">
        <v>176</v>
      </c>
      <c r="F49" s="138">
        <v>2.4</v>
      </c>
      <c r="G49" s="138">
        <v>2.04</v>
      </c>
      <c r="H49" s="138" t="s">
        <v>170</v>
      </c>
      <c r="I49" s="146"/>
      <c r="J49" s="210"/>
      <c r="K49" s="138"/>
      <c r="L49" s="282"/>
      <c r="M49" s="363"/>
      <c r="N49" s="363"/>
      <c r="O49" s="145"/>
      <c r="P49" s="145"/>
      <c r="Q49" s="145"/>
      <c r="R49" s="212"/>
      <c r="V49" s="210"/>
    </row>
    <row r="50" outlineLevel="1">
      <c r="A50" s="156"/>
      <c r="B50" s="373" t="s">
        <v>434</v>
      </c>
      <c r="C50" s="239" t="s">
        <v>386</v>
      </c>
      <c r="D50" s="107"/>
      <c r="E50" s="239" t="s">
        <v>204</v>
      </c>
      <c r="F50" s="138">
        <v>3.5999999999999996</v>
      </c>
      <c r="G50" s="138">
        <v>3.06</v>
      </c>
      <c r="H50" s="138" t="s">
        <v>170</v>
      </c>
      <c r="I50" s="156"/>
      <c r="J50" s="107"/>
      <c r="K50" s="138"/>
      <c r="L50" s="282"/>
      <c r="M50" s="363"/>
      <c r="N50" s="363"/>
      <c r="O50" s="145">
        <v>0.0</v>
      </c>
      <c r="P50" s="145">
        <v>1.0</v>
      </c>
      <c r="Q50" s="145">
        <v>1.0</v>
      </c>
      <c r="R50" s="106"/>
      <c r="S50" s="168"/>
      <c r="T50" s="168"/>
      <c r="U50" s="168"/>
      <c r="V50" s="107"/>
    </row>
    <row r="51" outlineLevel="1">
      <c r="A51" s="188" t="s">
        <v>157</v>
      </c>
      <c r="B51" s="373" t="s">
        <v>125</v>
      </c>
      <c r="C51" s="239" t="s">
        <v>319</v>
      </c>
      <c r="D51" s="452">
        <v>51.0</v>
      </c>
      <c r="E51" s="365" t="s">
        <v>176</v>
      </c>
      <c r="F51" s="138">
        <v>2.4</v>
      </c>
      <c r="G51" s="138">
        <v>2.04</v>
      </c>
      <c r="H51" s="138" t="s">
        <v>170</v>
      </c>
      <c r="I51" s="454">
        <f t="array" ref="I51">INDEX('空中攻撃'!$O$3:$AA$109, MATCH($A$1,'空中攻撃'!$A$3:$A$109,0), MATCH(A51,'空中攻撃'!$O$2:$S$2,0))</f>
        <v>11</v>
      </c>
      <c r="J51" s="455" t="s">
        <v>2235</v>
      </c>
      <c r="K51" s="138"/>
      <c r="L51" s="282"/>
      <c r="M51" s="363"/>
      <c r="N51" s="363"/>
      <c r="O51" s="145">
        <v>0.0</v>
      </c>
      <c r="P51" s="145">
        <v>1.0</v>
      </c>
      <c r="Q51" s="145">
        <v>1.0</v>
      </c>
      <c r="R51" s="619"/>
      <c r="S51" s="164"/>
      <c r="T51" s="164"/>
      <c r="U51" s="164"/>
      <c r="V51" s="104"/>
    </row>
    <row r="52" outlineLevel="1">
      <c r="A52" s="146"/>
      <c r="B52" s="373" t="s">
        <v>131</v>
      </c>
      <c r="C52" s="239" t="s">
        <v>305</v>
      </c>
      <c r="D52" s="210"/>
      <c r="E52" s="365" t="s">
        <v>176</v>
      </c>
      <c r="F52" s="138">
        <v>2.4</v>
      </c>
      <c r="G52" s="138">
        <v>2.04</v>
      </c>
      <c r="H52" s="138" t="s">
        <v>170</v>
      </c>
      <c r="I52" s="146"/>
      <c r="J52" s="210"/>
      <c r="K52" s="138"/>
      <c r="L52" s="282"/>
      <c r="M52" s="363"/>
      <c r="N52" s="363"/>
      <c r="O52" s="145"/>
      <c r="P52" s="145"/>
      <c r="Q52" s="145"/>
      <c r="R52" s="212"/>
      <c r="V52" s="210"/>
    </row>
    <row r="53" outlineLevel="1">
      <c r="A53" s="156"/>
      <c r="B53" s="373" t="s">
        <v>434</v>
      </c>
      <c r="C53" s="239" t="s">
        <v>351</v>
      </c>
      <c r="D53" s="107"/>
      <c r="E53" s="239" t="s">
        <v>73</v>
      </c>
      <c r="F53" s="138">
        <v>4.8</v>
      </c>
      <c r="G53" s="138">
        <v>4.08</v>
      </c>
      <c r="H53" s="138" t="s">
        <v>60</v>
      </c>
      <c r="I53" s="156"/>
      <c r="J53" s="107"/>
      <c r="K53" s="138"/>
      <c r="L53" s="282"/>
      <c r="M53" s="363"/>
      <c r="N53" s="363"/>
      <c r="O53" s="145">
        <v>0.0</v>
      </c>
      <c r="P53" s="145">
        <v>1.0</v>
      </c>
      <c r="Q53" s="145">
        <v>1.0</v>
      </c>
      <c r="R53" s="106"/>
      <c r="S53" s="168"/>
      <c r="T53" s="168"/>
      <c r="U53" s="168"/>
      <c r="V53" s="107"/>
    </row>
    <row r="54" outlineLevel="1">
      <c r="A54" s="213" t="s">
        <v>162</v>
      </c>
      <c r="B54" s="373"/>
      <c r="C54" s="239" t="s">
        <v>86</v>
      </c>
      <c r="D54" s="774" t="s">
        <v>876</v>
      </c>
      <c r="E54" s="239" t="s">
        <v>73</v>
      </c>
      <c r="F54" s="138">
        <v>4.8</v>
      </c>
      <c r="G54" s="138">
        <v>4.08</v>
      </c>
      <c r="H54" s="138" t="s">
        <v>60</v>
      </c>
      <c r="I54" s="621" t="str">
        <f t="array" ref="I54">INDEX('空中攻撃'!$O$3:$AA$109, MATCH($A$1,'空中攻撃'!$A$3:$A$109,0), MATCH(A54,'空中攻撃'!$O$2:$S$2,0))</f>
        <v>9</v>
      </c>
      <c r="J54" s="467" t="s">
        <v>983</v>
      </c>
      <c r="K54" s="282"/>
      <c r="L54" s="282"/>
      <c r="M54" s="363"/>
      <c r="N54" s="363"/>
      <c r="O54" s="145">
        <v>0.0</v>
      </c>
      <c r="P54" s="145">
        <v>1.0</v>
      </c>
      <c r="Q54" s="145">
        <v>1.5</v>
      </c>
      <c r="R54" s="622"/>
      <c r="S54" s="110"/>
      <c r="T54" s="110"/>
      <c r="U54" s="110"/>
      <c r="V54" s="109"/>
    </row>
    <row r="55" outlineLevel="1">
      <c r="A55" s="213" t="s">
        <v>166</v>
      </c>
      <c r="B55" s="373"/>
      <c r="C55" s="239" t="s">
        <v>73</v>
      </c>
      <c r="D55" s="774">
        <v>27.0</v>
      </c>
      <c r="E55" s="239" t="s">
        <v>86</v>
      </c>
      <c r="F55" s="138">
        <v>7.199999999999999</v>
      </c>
      <c r="G55" s="138">
        <v>6.12</v>
      </c>
      <c r="H55" s="138" t="s">
        <v>60</v>
      </c>
      <c r="I55" s="621">
        <f t="array" ref="I55">INDEX('空中攻撃'!$O$3:$AA$109, MATCH($A$1,'空中攻撃'!$A$3:$A$109,0), MATCH(A55,'空中攻撃'!$O$2:$S$2,0))</f>
        <v>9</v>
      </c>
      <c r="J55" s="467" t="s">
        <v>1175</v>
      </c>
      <c r="K55" s="282"/>
      <c r="L55" s="282"/>
      <c r="M55" s="363"/>
      <c r="N55" s="363"/>
      <c r="O55" s="145">
        <v>0.0</v>
      </c>
      <c r="P55" s="145">
        <v>1.0</v>
      </c>
      <c r="Q55" s="145">
        <v>1.0</v>
      </c>
      <c r="R55" s="151"/>
      <c r="S55" s="110"/>
      <c r="T55" s="110"/>
      <c r="U55" s="110"/>
      <c r="V55" s="109"/>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
        <v>177</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
        <v>2236</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184</v>
      </c>
      <c r="B59" s="243" t="s">
        <v>2237</v>
      </c>
      <c r="C59" s="365" t="s">
        <v>644</v>
      </c>
      <c r="D59" s="195" t="s">
        <v>358</v>
      </c>
      <c r="E59" s="239" t="s">
        <v>2238</v>
      </c>
      <c r="F59" s="138" t="s">
        <v>2239</v>
      </c>
      <c r="G59" s="216" t="s">
        <v>2240</v>
      </c>
      <c r="H59" s="283" t="s">
        <v>2241</v>
      </c>
      <c r="I59" s="164"/>
      <c r="J59" s="104"/>
      <c r="K59" s="282"/>
      <c r="L59" s="282"/>
      <c r="M59" s="363"/>
      <c r="N59" s="363"/>
      <c r="O59" s="138">
        <v>0.0</v>
      </c>
      <c r="P59" s="138">
        <v>1.0</v>
      </c>
      <c r="Q59" s="138">
        <v>1.0</v>
      </c>
      <c r="R59" s="145" t="b">
        <v>1</v>
      </c>
      <c r="S59" s="145" t="b">
        <v>1</v>
      </c>
      <c r="T59" s="145"/>
      <c r="U59" s="166" t="b">
        <v>0</v>
      </c>
      <c r="V59" s="166" t="b">
        <v>1</v>
      </c>
    </row>
    <row r="60" outlineLevel="1">
      <c r="A60" s="146"/>
      <c r="B60" s="663" t="s">
        <v>2242</v>
      </c>
      <c r="C60" s="365" t="s">
        <v>2243</v>
      </c>
      <c r="D60" s="107"/>
      <c r="E60" s="239" t="s">
        <v>2244</v>
      </c>
      <c r="F60" s="138" t="s">
        <v>2245</v>
      </c>
      <c r="G60" s="216" t="s">
        <v>2246</v>
      </c>
      <c r="H60" s="106"/>
      <c r="I60" s="168"/>
      <c r="J60" s="107"/>
      <c r="K60" s="282"/>
      <c r="L60" s="282"/>
      <c r="M60" s="363"/>
      <c r="N60" s="363"/>
      <c r="O60" s="138">
        <v>0.0</v>
      </c>
      <c r="P60" s="138">
        <v>1.0</v>
      </c>
      <c r="Q60" s="138">
        <v>1.0</v>
      </c>
      <c r="R60" s="145" t="b">
        <v>1</v>
      </c>
      <c r="S60" s="145" t="b">
        <v>1</v>
      </c>
      <c r="T60" s="145"/>
      <c r="U60" s="156"/>
      <c r="V60" s="156"/>
    </row>
    <row r="61" outlineLevel="1">
      <c r="A61" s="230" t="s">
        <v>2247</v>
      </c>
      <c r="B61" s="109"/>
      <c r="C61" s="231" t="s">
        <v>48</v>
      </c>
      <c r="D61" s="231" t="s">
        <v>49</v>
      </c>
      <c r="E61" s="232" t="s">
        <v>50</v>
      </c>
      <c r="F61" s="233" t="s">
        <v>51</v>
      </c>
      <c r="G61" s="232" t="s">
        <v>52</v>
      </c>
      <c r="H61" s="382" t="s">
        <v>53</v>
      </c>
      <c r="I61" s="110"/>
      <c r="J61" s="109"/>
      <c r="K61" s="235" t="s">
        <v>137</v>
      </c>
      <c r="L61" s="235" t="s">
        <v>138</v>
      </c>
      <c r="M61" s="235" t="s">
        <v>139</v>
      </c>
      <c r="N61" s="235" t="s">
        <v>140</v>
      </c>
      <c r="O61" s="236" t="s">
        <v>141</v>
      </c>
      <c r="P61" s="235" t="s">
        <v>142</v>
      </c>
      <c r="Q61" s="236" t="s">
        <v>143</v>
      </c>
      <c r="R61" s="235" t="s">
        <v>179</v>
      </c>
      <c r="S61" s="236" t="s">
        <v>180</v>
      </c>
      <c r="T61" s="236" t="s">
        <v>181</v>
      </c>
      <c r="U61" s="236" t="s">
        <v>182</v>
      </c>
      <c r="V61" s="236" t="s">
        <v>183</v>
      </c>
    </row>
    <row r="62" ht="30.75" customHeight="1" outlineLevel="1">
      <c r="A62" s="237" t="s">
        <v>184</v>
      </c>
      <c r="B62" s="243" t="s">
        <v>604</v>
      </c>
      <c r="C62" s="1458" t="s">
        <v>2248</v>
      </c>
      <c r="D62" s="455" t="s">
        <v>2249</v>
      </c>
      <c r="E62" s="239" t="s">
        <v>2129</v>
      </c>
      <c r="F62" s="138">
        <v>1.32</v>
      </c>
      <c r="G62" s="216" t="s">
        <v>170</v>
      </c>
      <c r="H62" s="163" t="s">
        <v>2250</v>
      </c>
      <c r="I62" s="164"/>
      <c r="J62" s="104"/>
      <c r="K62" s="282"/>
      <c r="L62" s="282"/>
      <c r="M62" s="363"/>
      <c r="N62" s="363"/>
      <c r="O62" s="138">
        <v>0.0</v>
      </c>
      <c r="P62" s="138">
        <v>1.0</v>
      </c>
      <c r="Q62" s="138">
        <v>0.5</v>
      </c>
      <c r="R62" s="145" t="b">
        <v>1</v>
      </c>
      <c r="S62" s="145" t="b">
        <v>1</v>
      </c>
      <c r="T62" s="145"/>
      <c r="U62" s="166" t="s">
        <v>186</v>
      </c>
      <c r="V62" s="166" t="b">
        <v>1</v>
      </c>
    </row>
    <row r="63" ht="30.75" customHeight="1" outlineLevel="1">
      <c r="A63" s="146"/>
      <c r="B63" s="243" t="s">
        <v>606</v>
      </c>
      <c r="C63" s="1458" t="s">
        <v>2251</v>
      </c>
      <c r="D63" s="210"/>
      <c r="E63" s="239" t="s">
        <v>2129</v>
      </c>
      <c r="F63" s="138">
        <v>1.32</v>
      </c>
      <c r="G63" s="216" t="s">
        <v>170</v>
      </c>
      <c r="H63" s="212"/>
      <c r="J63" s="210"/>
      <c r="K63" s="138"/>
      <c r="L63" s="138"/>
      <c r="M63" s="145"/>
      <c r="N63" s="145"/>
      <c r="O63" s="138">
        <v>0.0</v>
      </c>
      <c r="P63" s="138">
        <v>1.0</v>
      </c>
      <c r="Q63" s="138">
        <v>1.0</v>
      </c>
      <c r="R63" s="145" t="b">
        <v>1</v>
      </c>
      <c r="S63" s="145" t="b">
        <v>1</v>
      </c>
      <c r="T63" s="145"/>
      <c r="U63" s="146"/>
      <c r="V63" s="146"/>
    </row>
    <row r="64" outlineLevel="1">
      <c r="A64" s="146"/>
      <c r="B64" s="243" t="s">
        <v>202</v>
      </c>
      <c r="C64" s="1458" t="s">
        <v>1580</v>
      </c>
      <c r="D64" s="107"/>
      <c r="E64" s="239" t="s">
        <v>204</v>
      </c>
      <c r="F64" s="138">
        <v>3.5999999999999996</v>
      </c>
      <c r="G64" s="216" t="s">
        <v>147</v>
      </c>
      <c r="H64" s="106"/>
      <c r="I64" s="168"/>
      <c r="J64" s="107"/>
      <c r="K64" s="138"/>
      <c r="L64" s="138"/>
      <c r="M64" s="145"/>
      <c r="N64" s="145"/>
      <c r="O64" s="138">
        <v>0.0</v>
      </c>
      <c r="P64" s="138">
        <v>1.0</v>
      </c>
      <c r="Q64" s="138">
        <v>1.0</v>
      </c>
      <c r="R64" s="145" t="b">
        <v>1</v>
      </c>
      <c r="S64" s="145" t="b">
        <v>1</v>
      </c>
      <c r="T64" s="145"/>
      <c r="U64" s="156"/>
      <c r="V64" s="156"/>
    </row>
    <row r="65" outlineLevel="1">
      <c r="A65" s="230" t="s">
        <v>2252</v>
      </c>
      <c r="B65" s="109"/>
      <c r="C65" s="231" t="s">
        <v>48</v>
      </c>
      <c r="D65" s="231" t="s">
        <v>49</v>
      </c>
      <c r="E65" s="232" t="s">
        <v>50</v>
      </c>
      <c r="F65" s="233" t="s">
        <v>51</v>
      </c>
      <c r="G65" s="232" t="s">
        <v>52</v>
      </c>
      <c r="H65" s="382"/>
      <c r="I65" s="110"/>
      <c r="J65" s="109"/>
      <c r="K65" s="235" t="s">
        <v>137</v>
      </c>
      <c r="L65" s="235" t="s">
        <v>138</v>
      </c>
      <c r="M65" s="235" t="s">
        <v>139</v>
      </c>
      <c r="N65" s="235" t="s">
        <v>140</v>
      </c>
      <c r="O65" s="236" t="s">
        <v>141</v>
      </c>
      <c r="P65" s="235" t="s">
        <v>142</v>
      </c>
      <c r="Q65" s="236" t="s">
        <v>143</v>
      </c>
      <c r="R65" s="235" t="s">
        <v>179</v>
      </c>
      <c r="S65" s="236" t="s">
        <v>180</v>
      </c>
      <c r="T65" s="236" t="s">
        <v>181</v>
      </c>
      <c r="U65" s="236" t="s">
        <v>182</v>
      </c>
      <c r="V65" s="236" t="s">
        <v>183</v>
      </c>
    </row>
    <row r="66" outlineLevel="1">
      <c r="A66" s="396" t="s">
        <v>332</v>
      </c>
      <c r="B66" s="402" t="s">
        <v>125</v>
      </c>
      <c r="C66" s="239" t="s">
        <v>80</v>
      </c>
      <c r="D66" s="400"/>
      <c r="E66" s="239" t="s">
        <v>274</v>
      </c>
      <c r="F66" s="138">
        <v>10.799999999999999</v>
      </c>
      <c r="G66" s="216" t="s">
        <v>275</v>
      </c>
      <c r="H66" s="163" t="s">
        <v>2253</v>
      </c>
      <c r="I66" s="164"/>
      <c r="J66" s="104"/>
      <c r="K66" s="138"/>
      <c r="L66" s="138"/>
      <c r="M66" s="145"/>
      <c r="N66" s="145"/>
      <c r="O66" s="138">
        <v>0.0</v>
      </c>
      <c r="P66" s="138">
        <v>1.0</v>
      </c>
      <c r="Q66" s="138">
        <v>1.0</v>
      </c>
      <c r="R66" s="145" t="b">
        <v>0</v>
      </c>
      <c r="S66" s="145" t="b">
        <v>0</v>
      </c>
      <c r="T66" s="145"/>
      <c r="U66" s="166" t="s">
        <v>186</v>
      </c>
      <c r="V66" s="166" t="b">
        <v>1</v>
      </c>
    </row>
    <row r="67" outlineLevel="1">
      <c r="A67" s="146"/>
      <c r="B67" s="402" t="s">
        <v>1233</v>
      </c>
      <c r="C67" s="239" t="s">
        <v>274</v>
      </c>
      <c r="D67" s="146"/>
      <c r="E67" s="239" t="s">
        <v>86</v>
      </c>
      <c r="F67" s="138">
        <v>7.199999999999999</v>
      </c>
      <c r="G67" s="216" t="s">
        <v>102</v>
      </c>
      <c r="H67" s="212"/>
      <c r="J67" s="210"/>
      <c r="K67" s="138"/>
      <c r="L67" s="138"/>
      <c r="M67" s="145"/>
      <c r="N67" s="145"/>
      <c r="O67" s="138">
        <v>0.0</v>
      </c>
      <c r="P67" s="138">
        <v>1.0</v>
      </c>
      <c r="Q67" s="138">
        <v>1.0</v>
      </c>
      <c r="R67" s="145" t="b">
        <v>0</v>
      </c>
      <c r="S67" s="145" t="b">
        <v>0</v>
      </c>
      <c r="T67" s="145"/>
      <c r="U67" s="146"/>
      <c r="V67" s="146"/>
    </row>
    <row r="68" outlineLevel="1">
      <c r="A68" s="146"/>
      <c r="B68" s="402" t="s">
        <v>2254</v>
      </c>
      <c r="C68" s="239" t="s">
        <v>627</v>
      </c>
      <c r="D68" s="146"/>
      <c r="E68" s="239" t="s">
        <v>86</v>
      </c>
      <c r="F68" s="138">
        <v>7.199999999999999</v>
      </c>
      <c r="G68" s="216" t="s">
        <v>102</v>
      </c>
      <c r="H68" s="212"/>
      <c r="J68" s="210"/>
      <c r="K68" s="138"/>
      <c r="L68" s="138"/>
      <c r="M68" s="145"/>
      <c r="N68" s="145"/>
      <c r="O68" s="138"/>
      <c r="P68" s="138"/>
      <c r="Q68" s="138"/>
      <c r="R68" s="145" t="b">
        <v>0</v>
      </c>
      <c r="S68" s="145" t="b">
        <v>0</v>
      </c>
      <c r="T68" s="145" t="b">
        <v>0</v>
      </c>
      <c r="U68" s="146"/>
      <c r="V68" s="146"/>
    </row>
    <row r="69" outlineLevel="1">
      <c r="A69" s="156"/>
      <c r="B69" s="402" t="s">
        <v>131</v>
      </c>
      <c r="C69" s="239" t="s">
        <v>2255</v>
      </c>
      <c r="D69" s="146"/>
      <c r="E69" s="239" t="s">
        <v>86</v>
      </c>
      <c r="F69" s="138">
        <v>7.199999999999999</v>
      </c>
      <c r="G69" s="216" t="s">
        <v>102</v>
      </c>
      <c r="H69" s="212"/>
      <c r="J69" s="210"/>
      <c r="K69" s="138"/>
      <c r="L69" s="138"/>
      <c r="M69" s="145"/>
      <c r="N69" s="145"/>
      <c r="O69" s="138">
        <v>0.0</v>
      </c>
      <c r="P69" s="138">
        <v>1.0</v>
      </c>
      <c r="Q69" s="138">
        <v>1.0</v>
      </c>
      <c r="R69" s="145" t="b">
        <v>0</v>
      </c>
      <c r="S69" s="145" t="b">
        <v>0</v>
      </c>
      <c r="T69" s="145"/>
      <c r="U69" s="146"/>
      <c r="V69" s="146"/>
    </row>
    <row r="70" outlineLevel="1">
      <c r="A70" s="396" t="s">
        <v>344</v>
      </c>
      <c r="B70" s="402" t="s">
        <v>125</v>
      </c>
      <c r="C70" s="239" t="s">
        <v>975</v>
      </c>
      <c r="D70" s="146"/>
      <c r="E70" s="239" t="s">
        <v>86</v>
      </c>
      <c r="F70" s="138">
        <v>7.199999999999999</v>
      </c>
      <c r="G70" s="216" t="s">
        <v>102</v>
      </c>
      <c r="H70" s="212"/>
      <c r="J70" s="210"/>
      <c r="K70" s="138"/>
      <c r="L70" s="138"/>
      <c r="M70" s="145"/>
      <c r="N70" s="145"/>
      <c r="O70" s="138">
        <v>0.0</v>
      </c>
      <c r="P70" s="138">
        <v>1.0</v>
      </c>
      <c r="Q70" s="138">
        <v>1.0</v>
      </c>
      <c r="R70" s="145" t="b">
        <v>0</v>
      </c>
      <c r="S70" s="145" t="b">
        <v>0</v>
      </c>
      <c r="T70" s="145"/>
      <c r="U70" s="146"/>
      <c r="V70" s="146"/>
    </row>
    <row r="71" outlineLevel="1">
      <c r="A71" s="156"/>
      <c r="B71" s="402" t="s">
        <v>131</v>
      </c>
      <c r="C71" s="239" t="s">
        <v>2256</v>
      </c>
      <c r="D71" s="156"/>
      <c r="E71" s="239" t="s">
        <v>86</v>
      </c>
      <c r="F71" s="138">
        <v>7.199999999999999</v>
      </c>
      <c r="G71" s="216" t="s">
        <v>102</v>
      </c>
      <c r="H71" s="106"/>
      <c r="I71" s="168"/>
      <c r="J71" s="107"/>
      <c r="K71" s="138"/>
      <c r="L71" s="138"/>
      <c r="M71" s="145"/>
      <c r="N71" s="145"/>
      <c r="O71" s="138">
        <v>0.0</v>
      </c>
      <c r="P71" s="138">
        <v>1.0</v>
      </c>
      <c r="Q71" s="138">
        <v>1.0</v>
      </c>
      <c r="R71" s="145" t="b">
        <v>0</v>
      </c>
      <c r="S71" s="145" t="b">
        <v>0</v>
      </c>
      <c r="T71" s="145"/>
      <c r="U71" s="156"/>
      <c r="V71" s="156"/>
    </row>
    <row r="72" outlineLevel="1">
      <c r="A72" s="230" t="s">
        <v>2257</v>
      </c>
      <c r="B72" s="109"/>
      <c r="C72" s="231" t="s">
        <v>48</v>
      </c>
      <c r="D72" s="231" t="s">
        <v>49</v>
      </c>
      <c r="E72" s="232" t="s">
        <v>50</v>
      </c>
      <c r="F72" s="233" t="s">
        <v>51</v>
      </c>
      <c r="G72" s="232" t="s">
        <v>52</v>
      </c>
      <c r="H72" s="382"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236" t="s">
        <v>183</v>
      </c>
    </row>
    <row r="73" outlineLevel="1">
      <c r="A73" s="259" t="s">
        <v>184</v>
      </c>
      <c r="B73" s="624" t="s">
        <v>398</v>
      </c>
      <c r="C73" s="281"/>
      <c r="D73" s="239" t="s">
        <v>600</v>
      </c>
      <c r="E73" s="281"/>
      <c r="F73" s="281"/>
      <c r="G73" s="409"/>
      <c r="H73" s="283" t="s">
        <v>2258</v>
      </c>
      <c r="I73" s="164"/>
      <c r="J73" s="104"/>
      <c r="K73" s="281"/>
      <c r="L73" s="281"/>
      <c r="M73" s="281"/>
      <c r="N73" s="281"/>
      <c r="O73" s="281"/>
      <c r="P73" s="281"/>
      <c r="Q73" s="281"/>
      <c r="R73" s="281"/>
      <c r="S73" s="281"/>
      <c r="T73" s="281"/>
      <c r="U73" s="166" t="b">
        <v>0</v>
      </c>
      <c r="V73" s="166" t="b">
        <v>0</v>
      </c>
    </row>
    <row r="74" outlineLevel="1">
      <c r="A74" s="237" t="s">
        <v>2259</v>
      </c>
      <c r="B74" s="624" t="s">
        <v>2260</v>
      </c>
      <c r="C74" s="239" t="s">
        <v>218</v>
      </c>
      <c r="D74" s="239" t="s">
        <v>1004</v>
      </c>
      <c r="E74" s="239" t="s">
        <v>386</v>
      </c>
      <c r="F74" s="138">
        <v>18.0</v>
      </c>
      <c r="G74" s="216" t="s">
        <v>82</v>
      </c>
      <c r="H74" s="212"/>
      <c r="J74" s="210"/>
      <c r="K74" s="138"/>
      <c r="L74" s="138"/>
      <c r="M74" s="145"/>
      <c r="N74" s="145"/>
      <c r="O74" s="138">
        <v>0.0</v>
      </c>
      <c r="P74" s="138">
        <v>1.0</v>
      </c>
      <c r="Q74" s="138">
        <v>1.0</v>
      </c>
      <c r="R74" s="1489" t="b">
        <v>0</v>
      </c>
      <c r="S74" s="1490" t="b">
        <v>0</v>
      </c>
      <c r="T74" s="1490"/>
      <c r="U74" s="146"/>
      <c r="V74" s="146"/>
    </row>
    <row r="75" outlineLevel="1">
      <c r="A75" s="146"/>
      <c r="B75" s="624" t="s">
        <v>2261</v>
      </c>
      <c r="C75" s="239" t="s">
        <v>218</v>
      </c>
      <c r="D75" s="239" t="s">
        <v>1004</v>
      </c>
      <c r="E75" s="239" t="s">
        <v>228</v>
      </c>
      <c r="F75" s="138">
        <v>15.6</v>
      </c>
      <c r="G75" s="216" t="s">
        <v>407</v>
      </c>
      <c r="H75" s="212"/>
      <c r="J75" s="210"/>
      <c r="K75" s="138"/>
      <c r="L75" s="138"/>
      <c r="M75" s="145"/>
      <c r="N75" s="145"/>
      <c r="O75" s="138">
        <v>0.0</v>
      </c>
      <c r="P75" s="138">
        <v>1.0</v>
      </c>
      <c r="Q75" s="138">
        <v>1.0</v>
      </c>
      <c r="R75" s="145"/>
      <c r="S75" s="145"/>
      <c r="T75" s="145"/>
      <c r="U75" s="146"/>
      <c r="V75" s="146"/>
    </row>
    <row r="76" outlineLevel="1">
      <c r="A76" s="156"/>
      <c r="B76" s="624" t="s">
        <v>2262</v>
      </c>
      <c r="C76" s="239" t="s">
        <v>218</v>
      </c>
      <c r="D76" s="239" t="s">
        <v>1004</v>
      </c>
      <c r="E76" s="239" t="s">
        <v>386</v>
      </c>
      <c r="F76" s="138">
        <v>18.0</v>
      </c>
      <c r="G76" s="216" t="s">
        <v>82</v>
      </c>
      <c r="H76" s="212"/>
      <c r="J76" s="210"/>
      <c r="K76" s="138"/>
      <c r="L76" s="138"/>
      <c r="M76" s="145"/>
      <c r="N76" s="145"/>
      <c r="O76" s="138">
        <v>0.0</v>
      </c>
      <c r="P76" s="138">
        <v>1.0</v>
      </c>
      <c r="Q76" s="138">
        <v>1.0</v>
      </c>
      <c r="R76" s="145"/>
      <c r="S76" s="145"/>
      <c r="T76" s="145"/>
      <c r="U76" s="146"/>
      <c r="V76" s="146"/>
    </row>
    <row r="77" outlineLevel="1">
      <c r="A77" s="237" t="s">
        <v>2263</v>
      </c>
      <c r="B77" s="624" t="s">
        <v>2260</v>
      </c>
      <c r="C77" s="239" t="s">
        <v>218</v>
      </c>
      <c r="D77" s="239" t="s">
        <v>1004</v>
      </c>
      <c r="E77" s="239" t="s">
        <v>153</v>
      </c>
      <c r="F77" s="138">
        <v>19.2</v>
      </c>
      <c r="G77" s="216" t="s">
        <v>82</v>
      </c>
      <c r="H77" s="212"/>
      <c r="J77" s="210"/>
      <c r="K77" s="138"/>
      <c r="L77" s="138"/>
      <c r="M77" s="145"/>
      <c r="N77" s="145"/>
      <c r="O77" s="138">
        <v>0.0</v>
      </c>
      <c r="P77" s="138">
        <v>1.0</v>
      </c>
      <c r="Q77" s="138">
        <v>1.0</v>
      </c>
      <c r="R77" s="145"/>
      <c r="S77" s="145"/>
      <c r="T77" s="145"/>
      <c r="U77" s="146"/>
      <c r="V77" s="146"/>
    </row>
    <row r="78" outlineLevel="1">
      <c r="A78" s="146"/>
      <c r="B78" s="624" t="s">
        <v>2261</v>
      </c>
      <c r="C78" s="239" t="s">
        <v>218</v>
      </c>
      <c r="D78" s="239" t="s">
        <v>1004</v>
      </c>
      <c r="E78" s="239" t="s">
        <v>119</v>
      </c>
      <c r="F78" s="138">
        <v>16.8</v>
      </c>
      <c r="G78" s="216" t="s">
        <v>297</v>
      </c>
      <c r="H78" s="212"/>
      <c r="J78" s="210"/>
      <c r="K78" s="138"/>
      <c r="L78" s="138"/>
      <c r="M78" s="145"/>
      <c r="N78" s="145"/>
      <c r="O78" s="138">
        <v>0.0</v>
      </c>
      <c r="P78" s="138">
        <v>1.0</v>
      </c>
      <c r="Q78" s="138">
        <v>1.0</v>
      </c>
      <c r="R78" s="145"/>
      <c r="S78" s="145"/>
      <c r="T78" s="145"/>
      <c r="U78" s="146"/>
      <c r="V78" s="146"/>
    </row>
    <row r="79" outlineLevel="1">
      <c r="A79" s="156"/>
      <c r="B79" s="624" t="s">
        <v>2262</v>
      </c>
      <c r="C79" s="239" t="s">
        <v>218</v>
      </c>
      <c r="D79" s="239" t="s">
        <v>1004</v>
      </c>
      <c r="E79" s="239" t="s">
        <v>153</v>
      </c>
      <c r="F79" s="138">
        <v>19.2</v>
      </c>
      <c r="G79" s="216" t="s">
        <v>82</v>
      </c>
      <c r="H79" s="106"/>
      <c r="I79" s="168"/>
      <c r="J79" s="107"/>
      <c r="K79" s="138"/>
      <c r="L79" s="138"/>
      <c r="M79" s="145"/>
      <c r="N79" s="145"/>
      <c r="O79" s="138">
        <v>0.0</v>
      </c>
      <c r="P79" s="138">
        <v>1.0</v>
      </c>
      <c r="Q79" s="138">
        <v>1.0</v>
      </c>
      <c r="R79" s="145"/>
      <c r="S79" s="145"/>
      <c r="T79" s="145"/>
      <c r="U79" s="156"/>
      <c r="V79" s="156"/>
    </row>
    <row r="80">
      <c r="A80" s="223"/>
      <c r="B80" s="224"/>
      <c r="C80" s="225"/>
      <c r="D80" s="225"/>
      <c r="E80" s="226"/>
      <c r="F80" s="226"/>
      <c r="G80" s="226"/>
      <c r="H80" s="227"/>
      <c r="I80" s="227"/>
      <c r="J80" s="228"/>
      <c r="K80" s="228"/>
      <c r="L80" s="228"/>
      <c r="M80" s="228"/>
      <c r="N80" s="228"/>
      <c r="O80" s="228"/>
      <c r="P80" s="228"/>
      <c r="Q80" s="118"/>
      <c r="R80" s="118"/>
      <c r="S80" s="118"/>
      <c r="T80" s="118"/>
      <c r="U80" s="118"/>
      <c r="V80" s="118"/>
    </row>
    <row r="81">
      <c r="A81" s="264" t="s">
        <v>211</v>
      </c>
      <c r="B81" s="104"/>
      <c r="C81" s="227"/>
      <c r="D81" s="227"/>
      <c r="E81" s="228"/>
      <c r="F81" s="265"/>
      <c r="G81" s="265"/>
      <c r="H81" s="228"/>
      <c r="I81" s="228"/>
      <c r="J81" s="228"/>
      <c r="K81" s="228"/>
      <c r="L81" s="228"/>
      <c r="M81" s="228"/>
      <c r="N81" s="118"/>
      <c r="O81" s="118"/>
      <c r="P81" s="118"/>
      <c r="Q81" s="228"/>
      <c r="R81" s="228"/>
      <c r="S81" s="228"/>
      <c r="T81" s="228"/>
      <c r="U81" s="228"/>
      <c r="V81" s="228"/>
    </row>
    <row r="82" outlineLevel="1">
      <c r="A82" s="106"/>
      <c r="B82" s="107"/>
      <c r="C82" s="266" t="s">
        <v>48</v>
      </c>
      <c r="D82" s="266" t="s">
        <v>49</v>
      </c>
      <c r="E82" s="266" t="s">
        <v>50</v>
      </c>
      <c r="F82" s="267" t="s">
        <v>51</v>
      </c>
      <c r="G82" s="227"/>
      <c r="H82" s="227"/>
      <c r="I82" s="227"/>
      <c r="J82" s="228"/>
      <c r="K82" s="228"/>
      <c r="L82" s="228"/>
      <c r="M82" s="228"/>
      <c r="N82" s="228"/>
      <c r="O82" s="228"/>
      <c r="P82" s="228"/>
      <c r="Q82" s="228"/>
      <c r="R82" s="228"/>
      <c r="S82" s="228"/>
      <c r="T82" s="228"/>
      <c r="U82" s="228"/>
      <c r="V82" s="228"/>
    </row>
    <row r="83" outlineLevel="1">
      <c r="A83" s="268" t="s">
        <v>212</v>
      </c>
      <c r="B83" s="269" t="s">
        <v>212</v>
      </c>
      <c r="C83" s="239" t="s">
        <v>213</v>
      </c>
      <c r="D83" s="239" t="s">
        <v>150</v>
      </c>
      <c r="E83" s="239" t="s">
        <v>213</v>
      </c>
      <c r="F83" s="138">
        <v>1.2</v>
      </c>
      <c r="G83" s="227"/>
      <c r="H83" s="227"/>
      <c r="I83" s="227"/>
      <c r="J83" s="228"/>
      <c r="K83" s="228"/>
      <c r="L83" s="228"/>
      <c r="M83" s="228"/>
      <c r="N83" s="228"/>
      <c r="O83" s="228"/>
      <c r="P83" s="228"/>
      <c r="Q83" s="228"/>
      <c r="R83" s="228"/>
      <c r="S83" s="228"/>
      <c r="T83" s="228"/>
      <c r="U83" s="228"/>
      <c r="V83" s="228"/>
    </row>
    <row r="84" outlineLevel="1">
      <c r="A84" s="270" t="s">
        <v>215</v>
      </c>
      <c r="B84" s="269" t="s">
        <v>216</v>
      </c>
      <c r="C84" s="239" t="s">
        <v>319</v>
      </c>
      <c r="D84" s="239" t="s">
        <v>224</v>
      </c>
      <c r="E84" s="271"/>
      <c r="F84" s="272"/>
      <c r="G84" s="272"/>
      <c r="H84" s="227"/>
      <c r="I84" s="227"/>
      <c r="J84" s="228"/>
      <c r="K84" s="228"/>
      <c r="L84" s="228"/>
      <c r="M84" s="228"/>
      <c r="N84" s="228"/>
      <c r="O84" s="228"/>
      <c r="P84" s="228"/>
      <c r="Q84" s="228"/>
      <c r="R84" s="228"/>
      <c r="S84" s="228"/>
      <c r="T84" s="228"/>
      <c r="U84" s="228"/>
      <c r="V84" s="228"/>
    </row>
    <row r="85" outlineLevel="1">
      <c r="A85" s="212"/>
      <c r="B85" s="269" t="s">
        <v>219</v>
      </c>
      <c r="C85" s="239" t="s">
        <v>299</v>
      </c>
      <c r="D85" s="239" t="s">
        <v>393</v>
      </c>
      <c r="E85" s="271"/>
      <c r="F85" s="272"/>
      <c r="G85" s="272"/>
      <c r="H85" s="227"/>
      <c r="I85" s="227"/>
      <c r="J85" s="228"/>
      <c r="K85" s="228"/>
      <c r="L85" s="228"/>
      <c r="M85" s="228"/>
      <c r="N85" s="228"/>
      <c r="O85" s="228"/>
      <c r="P85" s="228"/>
      <c r="Q85" s="228"/>
      <c r="R85" s="228"/>
      <c r="S85" s="228"/>
      <c r="T85" s="228"/>
      <c r="U85" s="228"/>
      <c r="V85" s="228"/>
    </row>
    <row r="86" outlineLevel="1">
      <c r="A86" s="106"/>
      <c r="B86" s="269" t="s">
        <v>222</v>
      </c>
      <c r="C86" s="239" t="s">
        <v>373</v>
      </c>
      <c r="D86" s="239" t="s">
        <v>118</v>
      </c>
      <c r="E86" s="227"/>
      <c r="F86" s="272"/>
      <c r="G86" s="272"/>
      <c r="H86" s="227"/>
      <c r="I86" s="227"/>
      <c r="J86" s="228"/>
      <c r="K86" s="228"/>
      <c r="L86" s="228"/>
      <c r="M86" s="228"/>
      <c r="N86" s="228"/>
      <c r="O86" s="228"/>
      <c r="P86" s="228"/>
      <c r="Q86" s="228"/>
      <c r="R86" s="228"/>
      <c r="S86" s="228"/>
      <c r="T86" s="228"/>
      <c r="U86" s="228"/>
      <c r="V86" s="228"/>
    </row>
    <row r="87" outlineLevel="1">
      <c r="A87" s="273" t="s">
        <v>225</v>
      </c>
      <c r="B87" s="109"/>
      <c r="C87" s="266" t="s">
        <v>48</v>
      </c>
      <c r="D87" s="266" t="s">
        <v>49</v>
      </c>
      <c r="E87" s="266" t="s">
        <v>50</v>
      </c>
      <c r="F87" s="267" t="s">
        <v>51</v>
      </c>
      <c r="G87" s="1168" t="s">
        <v>53</v>
      </c>
      <c r="H87" s="110"/>
      <c r="I87" s="110"/>
      <c r="J87" s="109"/>
      <c r="K87" s="275" t="str">
        <f>'テンプレート'!K97</f>
        <v>ベクトル</v>
      </c>
      <c r="L87" s="275" t="str">
        <f>'テンプレート'!L97</f>
        <v>KBG (R.E.)</v>
      </c>
      <c r="M87" s="275" t="str">
        <f>'テンプレート'!M97</f>
        <v>BKB (R.A.)</v>
      </c>
      <c r="N87" s="275" t="str">
        <f>'テンプレート'!N97</f>
        <v>FKB (R.F.)</v>
      </c>
      <c r="O87" s="276" t="str">
        <f>'テンプレート'!O97</f>
        <v>盾削り値</v>
      </c>
      <c r="P87" s="275" t="str">
        <f>'テンプレート'!P97</f>
        <v>ﾋｯﾄｽﾄｯﾌﾟ</v>
      </c>
      <c r="Q87" s="276" t="str">
        <f>'テンプレート'!Q97</f>
        <v>ずらし</v>
      </c>
      <c r="R87" s="277"/>
      <c r="S87" s="277"/>
      <c r="T87" s="277"/>
      <c r="U87" s="277"/>
      <c r="V87" s="277"/>
    </row>
    <row r="88" outlineLevel="1">
      <c r="A88" s="278" t="s">
        <v>226</v>
      </c>
      <c r="B88" s="269" t="s">
        <v>227</v>
      </c>
      <c r="C88" s="113" t="s">
        <v>2264</v>
      </c>
      <c r="D88" s="279">
        <v>27.0</v>
      </c>
      <c r="E88" s="239" t="s">
        <v>86</v>
      </c>
      <c r="F88" s="138">
        <v>7.199999999999999</v>
      </c>
      <c r="G88" s="368"/>
      <c r="H88" s="164"/>
      <c r="I88" s="164"/>
      <c r="J88" s="104"/>
      <c r="K88" s="282"/>
      <c r="L88" s="282"/>
      <c r="M88" s="363"/>
      <c r="N88" s="363"/>
      <c r="O88" s="145">
        <v>0.0</v>
      </c>
      <c r="P88" s="145">
        <v>1.0</v>
      </c>
      <c r="Q88" s="145">
        <v>1.0</v>
      </c>
      <c r="R88" s="277"/>
      <c r="S88" s="228"/>
      <c r="T88" s="228"/>
      <c r="U88" s="228"/>
      <c r="V88" s="228"/>
    </row>
    <row r="89" outlineLevel="1">
      <c r="A89" s="156"/>
      <c r="B89" s="269" t="s">
        <v>225</v>
      </c>
      <c r="C89" s="113">
        <v>10.0</v>
      </c>
      <c r="D89" s="156"/>
      <c r="E89" s="239" t="s">
        <v>204</v>
      </c>
      <c r="F89" s="138">
        <v>3.5999999999999996</v>
      </c>
      <c r="G89" s="106"/>
      <c r="H89" s="168"/>
      <c r="I89" s="168"/>
      <c r="J89" s="107"/>
      <c r="K89" s="282"/>
      <c r="L89" s="282"/>
      <c r="M89" s="363"/>
      <c r="N89" s="363"/>
      <c r="O89" s="261"/>
      <c r="P89" s="261"/>
      <c r="Q89" s="261"/>
      <c r="R89" s="277"/>
      <c r="S89" s="228"/>
      <c r="T89" s="228"/>
      <c r="U89" s="228"/>
      <c r="V89" s="228"/>
    </row>
    <row r="90" outlineLevel="1">
      <c r="A90" s="278" t="s">
        <v>229</v>
      </c>
      <c r="B90" s="269" t="s">
        <v>227</v>
      </c>
      <c r="C90" s="113" t="s">
        <v>454</v>
      </c>
      <c r="D90" s="279">
        <v>34.0</v>
      </c>
      <c r="E90" s="239" t="s">
        <v>93</v>
      </c>
      <c r="F90" s="138">
        <v>8.4</v>
      </c>
      <c r="G90" s="368"/>
      <c r="H90" s="164"/>
      <c r="I90" s="164"/>
      <c r="J90" s="104"/>
      <c r="K90" s="282"/>
      <c r="L90" s="282"/>
      <c r="M90" s="363"/>
      <c r="N90" s="363"/>
      <c r="O90" s="145">
        <v>0.0</v>
      </c>
      <c r="P90" s="145">
        <v>1.0</v>
      </c>
      <c r="Q90" s="145">
        <v>1.0</v>
      </c>
      <c r="R90" s="277"/>
      <c r="S90" s="228"/>
      <c r="T90" s="228"/>
      <c r="U90" s="228"/>
      <c r="V90" s="228"/>
    </row>
    <row r="91" outlineLevel="1">
      <c r="A91" s="156"/>
      <c r="B91" s="269" t="s">
        <v>225</v>
      </c>
      <c r="C91" s="113">
        <v>18.0</v>
      </c>
      <c r="D91" s="156"/>
      <c r="E91" s="239" t="s">
        <v>204</v>
      </c>
      <c r="F91" s="138">
        <v>3.5999999999999996</v>
      </c>
      <c r="G91" s="106"/>
      <c r="H91" s="168"/>
      <c r="I91" s="168"/>
      <c r="J91" s="107"/>
      <c r="K91" s="282"/>
      <c r="L91" s="282"/>
      <c r="M91" s="363"/>
      <c r="N91" s="363"/>
      <c r="O91" s="261"/>
      <c r="P91" s="261"/>
      <c r="Q91" s="261"/>
      <c r="R91" s="277"/>
      <c r="S91" s="228"/>
      <c r="T91" s="228"/>
      <c r="U91" s="228"/>
      <c r="V91" s="228"/>
    </row>
    <row r="92" outlineLevel="1">
      <c r="A92" s="278" t="s">
        <v>233</v>
      </c>
      <c r="B92" s="269" t="s">
        <v>227</v>
      </c>
      <c r="C92" s="113" t="s">
        <v>2265</v>
      </c>
      <c r="D92" s="279">
        <v>77.0</v>
      </c>
      <c r="E92" s="239" t="s">
        <v>93</v>
      </c>
      <c r="F92" s="138">
        <v>8.4</v>
      </c>
      <c r="G92" s="283" t="s">
        <v>2266</v>
      </c>
      <c r="H92" s="164"/>
      <c r="I92" s="164"/>
      <c r="J92" s="104"/>
      <c r="K92" s="282"/>
      <c r="L92" s="282"/>
      <c r="M92" s="363"/>
      <c r="N92" s="363"/>
      <c r="O92" s="145">
        <v>0.0</v>
      </c>
      <c r="P92" s="145">
        <v>1.0</v>
      </c>
      <c r="Q92" s="145">
        <v>1.0</v>
      </c>
      <c r="R92" s="277"/>
      <c r="S92" s="228"/>
      <c r="T92" s="228"/>
      <c r="U92" s="228"/>
      <c r="V92" s="228"/>
    </row>
    <row r="93" outlineLevel="1">
      <c r="A93" s="156"/>
      <c r="B93" s="269" t="s">
        <v>225</v>
      </c>
      <c r="C93" s="113" t="s">
        <v>374</v>
      </c>
      <c r="D93" s="156"/>
      <c r="E93" s="239" t="s">
        <v>128</v>
      </c>
      <c r="F93" s="138">
        <v>12.0</v>
      </c>
      <c r="G93" s="106"/>
      <c r="H93" s="168"/>
      <c r="I93" s="168"/>
      <c r="J93" s="107"/>
      <c r="K93" s="282"/>
      <c r="L93" s="282"/>
      <c r="M93" s="363"/>
      <c r="N93" s="363"/>
      <c r="O93" s="261"/>
      <c r="P93" s="261"/>
      <c r="Q93" s="261"/>
      <c r="R93" s="277"/>
      <c r="S93" s="117"/>
      <c r="T93" s="117"/>
      <c r="U93" s="117"/>
      <c r="V93" s="117"/>
    </row>
    <row r="94" outlineLevel="1">
      <c r="A94" s="278" t="s">
        <v>234</v>
      </c>
      <c r="B94" s="269" t="s">
        <v>227</v>
      </c>
      <c r="C94" s="113" t="s">
        <v>2267</v>
      </c>
      <c r="D94" s="279">
        <v>87.0</v>
      </c>
      <c r="E94" s="239" t="s">
        <v>1098</v>
      </c>
      <c r="F94" s="138">
        <v>0.6</v>
      </c>
      <c r="G94" s="1491"/>
      <c r="H94" s="164"/>
      <c r="I94" s="164"/>
      <c r="J94" s="104"/>
      <c r="K94" s="282"/>
      <c r="L94" s="282"/>
      <c r="M94" s="363"/>
      <c r="N94" s="363"/>
      <c r="O94" s="145">
        <v>0.0</v>
      </c>
      <c r="P94" s="145">
        <v>1.0</v>
      </c>
      <c r="Q94" s="145">
        <v>0.0</v>
      </c>
      <c r="R94" s="277"/>
      <c r="S94" s="117"/>
      <c r="T94" s="117"/>
      <c r="U94" s="117"/>
      <c r="V94" s="117"/>
    </row>
    <row r="95" outlineLevel="1">
      <c r="A95" s="146"/>
      <c r="B95" s="269" t="s">
        <v>808</v>
      </c>
      <c r="C95" s="113" t="s">
        <v>2268</v>
      </c>
      <c r="D95" s="146"/>
      <c r="E95" s="239" t="s">
        <v>213</v>
      </c>
      <c r="F95" s="138">
        <v>1.2</v>
      </c>
      <c r="G95" s="212"/>
      <c r="J95" s="210"/>
      <c r="K95" s="282"/>
      <c r="L95" s="282"/>
      <c r="M95" s="363"/>
      <c r="N95" s="363"/>
      <c r="O95" s="145">
        <v>0.0</v>
      </c>
      <c r="P95" s="145">
        <v>1.0</v>
      </c>
      <c r="Q95" s="145">
        <v>1.0</v>
      </c>
      <c r="R95" s="277"/>
      <c r="S95" s="117"/>
      <c r="T95" s="117"/>
      <c r="U95" s="117"/>
      <c r="V95" s="117"/>
    </row>
    <row r="96" outlineLevel="1">
      <c r="A96" s="156"/>
      <c r="B96" s="269" t="s">
        <v>225</v>
      </c>
      <c r="C96" s="113" t="s">
        <v>2269</v>
      </c>
      <c r="D96" s="156"/>
      <c r="E96" s="239" t="s">
        <v>176</v>
      </c>
      <c r="F96" s="138">
        <v>2.4</v>
      </c>
      <c r="G96" s="106"/>
      <c r="H96" s="168"/>
      <c r="I96" s="168"/>
      <c r="J96" s="107"/>
      <c r="K96" s="282"/>
      <c r="L96" s="282"/>
      <c r="M96" s="363"/>
      <c r="N96" s="363"/>
      <c r="O96" s="261"/>
      <c r="P96" s="261"/>
      <c r="Q96" s="261"/>
      <c r="R96" s="277"/>
      <c r="S96" s="117"/>
      <c r="T96" s="117"/>
      <c r="U96" s="117"/>
      <c r="V96" s="117"/>
    </row>
    <row r="97">
      <c r="A97" s="223"/>
      <c r="B97" s="224"/>
      <c r="C97" s="225"/>
      <c r="D97" s="225"/>
      <c r="E97" s="227"/>
      <c r="F97" s="177"/>
      <c r="G97" s="177"/>
      <c r="H97" s="227"/>
      <c r="I97" s="227"/>
      <c r="J97" s="228"/>
      <c r="K97" s="228"/>
      <c r="L97" s="111"/>
      <c r="M97" s="111"/>
      <c r="N97" s="111"/>
      <c r="O97" s="117"/>
      <c r="P97" s="117"/>
      <c r="Q97" s="111"/>
      <c r="R97" s="111"/>
      <c r="S97" s="111"/>
      <c r="T97" s="111"/>
      <c r="U97" s="111"/>
      <c r="V97" s="111"/>
    </row>
    <row r="98">
      <c r="A98" s="284" t="s">
        <v>241</v>
      </c>
      <c r="B98" s="104"/>
      <c r="C98" s="265"/>
      <c r="D98" s="111"/>
      <c r="E98" s="111"/>
      <c r="F98" s="111"/>
      <c r="G98" s="111"/>
      <c r="H98" s="111"/>
      <c r="I98" s="111"/>
      <c r="J98" s="118"/>
      <c r="K98" s="111"/>
      <c r="L98" s="111"/>
      <c r="M98" s="111"/>
      <c r="N98" s="111"/>
      <c r="O98" s="111"/>
      <c r="P98" s="111"/>
      <c r="Q98" s="118"/>
      <c r="R98" s="111"/>
      <c r="S98" s="111"/>
      <c r="T98" s="111"/>
      <c r="U98" s="111"/>
      <c r="V98" s="111"/>
    </row>
    <row r="99" outlineLevel="1">
      <c r="A99" s="106"/>
      <c r="B99" s="107"/>
      <c r="C99" s="285" t="s">
        <v>235</v>
      </c>
      <c r="D99" s="285" t="s">
        <v>236</v>
      </c>
      <c r="E99" s="285" t="s">
        <v>49</v>
      </c>
      <c r="F99" s="285" t="s">
        <v>237</v>
      </c>
      <c r="G99" s="286"/>
      <c r="H99" s="227"/>
      <c r="I99" s="227"/>
      <c r="J99" s="228"/>
      <c r="K99" s="228"/>
      <c r="L99" s="111"/>
      <c r="M99" s="111"/>
      <c r="N99" s="111"/>
      <c r="O99" s="111"/>
      <c r="P99" s="111"/>
      <c r="Q99" s="111"/>
      <c r="R99" s="111"/>
      <c r="S99" s="111"/>
      <c r="T99" s="111"/>
      <c r="U99" s="111"/>
      <c r="V99" s="111"/>
    </row>
    <row r="100" outlineLevel="1">
      <c r="A100" s="287" t="s">
        <v>395</v>
      </c>
      <c r="B100" s="288" t="s">
        <v>216</v>
      </c>
      <c r="C100" s="113" t="str">
        <f t="array" ref="C100">INDEX('回避'!$C$3:$U$84, MATCH($A$1,'回避'!$A$3:$A$91,0), MATCH(C99,'回避'!$C$2:$F$2,0))</f>
        <v>3-16</v>
      </c>
      <c r="D100" s="113" t="str">
        <f t="array" ref="D100">INDEX('回避'!$C$3:$U$84, MATCH($A$1,'回避'!$A$3:$A$91,0), MATCH(D99,'回避'!$C$2:$F$2,0))</f>
        <v>6-16</v>
      </c>
      <c r="E100" s="113" t="str">
        <f t="array" ref="E100">INDEX('回避'!$C$3:$U$84, MATCH($A$1,'回避'!$A$3:$A$91,0), MATCH(E99,'回避'!$C$2:$F$2,0))</f>
        <v>24 (19)</v>
      </c>
      <c r="F100" s="113" t="str">
        <f t="array" ref="F100">INDEX('回避'!$C$3:$U$84, MATCH($A$1,'回避'!$A$3:$A$91,0), MATCH(F99,'回避'!$C$2:$F$2,0))</f>
        <v>32 (25)</v>
      </c>
      <c r="G100" s="272"/>
      <c r="H100" s="227"/>
      <c r="I100" s="227"/>
      <c r="J100" s="228"/>
      <c r="K100" s="228"/>
      <c r="L100" s="228"/>
      <c r="M100" s="111"/>
      <c r="N100" s="111"/>
      <c r="O100" s="111"/>
      <c r="P100" s="111"/>
      <c r="Q100" s="111"/>
      <c r="R100" s="111"/>
      <c r="S100" s="111"/>
      <c r="T100" s="111"/>
      <c r="U100" s="111"/>
      <c r="V100" s="111"/>
    </row>
    <row r="101" outlineLevel="1">
      <c r="A101" s="212"/>
      <c r="B101" s="288" t="s">
        <v>245</v>
      </c>
      <c r="C101" s="113" t="str">
        <f t="array" ref="C101">INDEX('回避'!$G$3:$U$84, MATCH($A$1,'回避'!$A$3:$A$91,0), MATCH(C99,'回避'!$G$2:$J$2,0))</f>
        <v>4-14</v>
      </c>
      <c r="D101" s="113" t="str">
        <f t="array" ref="D101">INDEX('回避'!$G$3:$U$84, MATCH($A$1,'回避'!$A$3:$A$91,0), MATCH(D99,'回避'!$G$2:$J$2,0))</f>
        <v>8-14</v>
      </c>
      <c r="E101" s="113" t="str">
        <f t="array" ref="E101">INDEX('回避'!$G$3:$U$84, MATCH($A$1,'回避'!$A$3:$A$91,0), MATCH(E99,'回避'!$G$2:$J$2,0))</f>
        <v>28</v>
      </c>
      <c r="F101" s="113">
        <f t="array" ref="F101">INDEX('回避'!$G$3:$U$84, MATCH($A$1,'回避'!$A$3:$A$91,0), MATCH(F99,'回避'!$G$2:$J$2,0))</f>
        <v>37</v>
      </c>
      <c r="G101" s="289"/>
      <c r="H101" s="227"/>
      <c r="I101" s="227"/>
      <c r="J101" s="228"/>
      <c r="K101" s="228"/>
      <c r="L101" s="228"/>
      <c r="M101" s="228"/>
      <c r="N101" s="228"/>
      <c r="O101" s="111"/>
      <c r="P101" s="111"/>
      <c r="Q101" s="111"/>
      <c r="R101" s="111"/>
      <c r="S101" s="111"/>
      <c r="T101" s="111"/>
      <c r="U101" s="111"/>
      <c r="V101" s="111"/>
    </row>
    <row r="102" outlineLevel="1">
      <c r="A102" s="106"/>
      <c r="B102" s="288" t="s">
        <v>246</v>
      </c>
      <c r="C102" s="113" t="str">
        <f t="array" ref="C102">INDEX('回避'!$K$3:$U$84, MATCH($A$1,'回避'!$A$3:$A$91,0), MATCH(C99,'回避'!$K$2:$N$2,0))</f>
        <v>4-15</v>
      </c>
      <c r="D102" s="113" t="str">
        <f t="array" ref="D102">INDEX('回避'!$K$3:$U$84, MATCH($A$1,'回避'!$A$3:$A$91,0), MATCH(D99,'回避'!$K$2:$N$2,0))</f>
        <v>8-13</v>
      </c>
      <c r="E102" s="113" t="str">
        <f t="array" ref="E102">INDEX('回避'!$K$3:$U$84, MATCH($A$1,'回避'!$A$3:$A$91,0), MATCH(E99,'回避'!$K$2:$N$2,0))</f>
        <v>33</v>
      </c>
      <c r="F102" s="113" t="str">
        <f t="array" ref="F102">INDEX('回避'!$K$3:$U$84, MATCH($A$1,'回避'!$A$3:$A$91,0), MATCH(F99,'回避'!$K$2:$N$2,0))</f>
        <v>50</v>
      </c>
      <c r="G102" s="289"/>
      <c r="H102" s="290"/>
      <c r="I102" s="290"/>
      <c r="J102" s="117"/>
      <c r="K102" s="117"/>
      <c r="L102" s="117"/>
      <c r="M102" s="117"/>
      <c r="N102" s="117"/>
      <c r="O102" s="111"/>
      <c r="P102" s="111"/>
      <c r="Q102" s="111"/>
      <c r="R102" s="111"/>
      <c r="S102" s="111"/>
      <c r="T102" s="111"/>
      <c r="U102" s="111"/>
      <c r="V102" s="111"/>
    </row>
    <row r="103" outlineLevel="1">
      <c r="A103" s="287" t="s">
        <v>396</v>
      </c>
      <c r="B103" s="288" t="s">
        <v>397</v>
      </c>
      <c r="C103" s="113" t="str">
        <f t="array" ref="C103">INDEX('回避'!$O$3:$U$84, MATCH($A$1,'回避'!$A$3:$A$91,0), MATCH(C99,'回避'!$O$2:$R$2,0))</f>
        <v>2-26</v>
      </c>
      <c r="D103" s="113" t="str">
        <f t="array" ref="D103">INDEX('回避'!$O$3:$U$84, MATCH($A$1,'回避'!$A$3:$A$91,0), MATCH(D99,'回避'!$O$2:$R$2,0))</f>
        <v>5-24</v>
      </c>
      <c r="E103" s="113" t="str">
        <f t="array" ref="E103">INDEX('回避'!$O$3:$U$84, MATCH($A$1,'回避'!$A$3:$A$91,0), MATCH(E99,'回避'!$O$2:$R$2,0))</f>
        <v>47</v>
      </c>
      <c r="F103" s="177"/>
      <c r="G103" s="177"/>
      <c r="H103" s="118"/>
      <c r="I103" s="118"/>
      <c r="J103" s="111"/>
      <c r="K103" s="111"/>
      <c r="L103" s="111"/>
      <c r="M103" s="111"/>
      <c r="N103" s="111"/>
      <c r="O103" s="228"/>
      <c r="P103" s="228"/>
      <c r="Q103" s="228"/>
      <c r="R103" s="228"/>
      <c r="S103" s="228"/>
      <c r="T103" s="228"/>
      <c r="U103" s="228"/>
      <c r="V103" s="228"/>
    </row>
    <row r="104" outlineLevel="1">
      <c r="A104" s="106"/>
      <c r="B104" s="288" t="s">
        <v>398</v>
      </c>
      <c r="C104" s="113" t="str">
        <f t="array" ref="C104">INDEX('回避'!$S$3:$U$84, MATCH($A$1,'回避'!$A$3:$A$91,0), MATCH(C99,'回避'!$S$2:$U$2,0))</f>
        <v>2-19</v>
      </c>
      <c r="D104" s="113" t="str">
        <f t="array" ref="D104">INDEX('回避'!$S$3:$U$84, MATCH($A$1,'回避'!$A$3:$A$91,0), MATCH(D99,'回避'!$S$2:$U$2,0))</f>
        <v>5-18</v>
      </c>
      <c r="E104" s="113" t="str">
        <f t="array" ref="E104">INDEX('回避'!$S$3:$U$84, MATCH($A$1,'回避'!$A$3:$A$91,0), MATCH(E99,'回避'!$S$2:$U$2,0))</f>
        <v>真横：80
真上：101
真下：66</v>
      </c>
      <c r="F104" s="289"/>
      <c r="G104" s="289"/>
      <c r="H104" s="118"/>
      <c r="I104" s="118"/>
      <c r="J104" s="117"/>
      <c r="K104" s="117"/>
      <c r="L104" s="117"/>
      <c r="M104" s="117"/>
      <c r="N104" s="111"/>
      <c r="O104" s="118"/>
      <c r="P104" s="118"/>
      <c r="Q104" s="118"/>
      <c r="R104" s="118"/>
      <c r="S104" s="118"/>
      <c r="T104" s="118"/>
      <c r="U104" s="118"/>
      <c r="V104" s="118"/>
    </row>
    <row r="105">
      <c r="A105" s="291"/>
      <c r="B105" s="292"/>
      <c r="C105" s="286"/>
      <c r="D105" s="286"/>
      <c r="E105" s="293"/>
      <c r="F105" s="286"/>
      <c r="G105" s="286"/>
      <c r="H105" s="286"/>
      <c r="I105" s="286"/>
      <c r="J105" s="111"/>
      <c r="K105" s="227"/>
      <c r="L105" s="227"/>
      <c r="M105" s="227"/>
      <c r="N105" s="227"/>
      <c r="O105" s="118"/>
      <c r="P105" s="118"/>
      <c r="Q105" s="118"/>
      <c r="R105" s="118"/>
      <c r="S105" s="118"/>
      <c r="T105" s="118"/>
      <c r="U105" s="118"/>
      <c r="V105" s="118"/>
    </row>
    <row r="106">
      <c r="A106" s="294" t="s">
        <v>238</v>
      </c>
      <c r="B106" s="104"/>
      <c r="C106" s="228"/>
      <c r="D106" s="117"/>
      <c r="E106" s="228"/>
      <c r="F106" s="114"/>
      <c r="G106" s="114"/>
      <c r="H106" s="117"/>
      <c r="I106" s="117"/>
      <c r="J106" s="118"/>
      <c r="K106" s="118"/>
      <c r="L106" s="118"/>
      <c r="M106" s="118"/>
      <c r="N106" s="118"/>
      <c r="O106" s="118"/>
      <c r="P106" s="118"/>
      <c r="Q106" s="118"/>
      <c r="R106" s="118"/>
      <c r="S106" s="118"/>
      <c r="T106" s="118"/>
      <c r="U106" s="118"/>
      <c r="V106" s="118"/>
    </row>
    <row r="107" outlineLevel="1">
      <c r="A107" s="106"/>
      <c r="B107" s="107"/>
      <c r="C107" s="295" t="s">
        <v>235</v>
      </c>
      <c r="D107" s="295" t="s">
        <v>49</v>
      </c>
      <c r="E107" s="295" t="s">
        <v>48</v>
      </c>
      <c r="F107" s="295" t="s">
        <v>50</v>
      </c>
      <c r="G107" s="296" t="s">
        <v>51</v>
      </c>
      <c r="H107" s="228"/>
      <c r="I107" s="228"/>
      <c r="J107" s="117"/>
      <c r="K107" s="297" t="str">
        <f>'テンプレート'!K116</f>
        <v>アイテム取得</v>
      </c>
      <c r="L107" s="109"/>
      <c r="M107" s="298" t="str">
        <f>'テンプレート'!M116</f>
        <v>取得フレーム</v>
      </c>
      <c r="N107" s="298" t="str">
        <f>'テンプレート'!N116</f>
        <v>全体フレーム</v>
      </c>
      <c r="O107" s="118"/>
      <c r="P107" s="118"/>
      <c r="Q107" s="118"/>
      <c r="R107" s="118"/>
      <c r="S107" s="118"/>
      <c r="T107" s="118"/>
      <c r="U107" s="118"/>
      <c r="V107" s="118"/>
    </row>
    <row r="108" outlineLevel="1">
      <c r="A108" s="299" t="s">
        <v>239</v>
      </c>
      <c r="B108" s="300" t="s">
        <v>240</v>
      </c>
      <c r="C108" s="301"/>
      <c r="D108" s="113">
        <f t="array" ref="D108">INDEX('崖行動・受け身'!$C$3:$C111, MATCH($A$1,'崖行動・受け身'!$A$3:$A$115,0), MATCH(D107,'崖行動・受け身'!$C$2,0))</f>
        <v>19</v>
      </c>
      <c r="E108" s="301"/>
      <c r="F108" s="301"/>
      <c r="G108" s="301"/>
      <c r="H108" s="228"/>
      <c r="I108" s="228"/>
      <c r="J108" s="111"/>
      <c r="K108" s="302" t="str">
        <f>'テンプレート'!K117</f>
        <v>小アイテム</v>
      </c>
      <c r="L108" s="303" t="str">
        <f>'テンプレート'!L117</f>
        <v>その場</v>
      </c>
      <c r="M108" s="113" t="s">
        <v>76</v>
      </c>
      <c r="N108" s="113">
        <v>7.0</v>
      </c>
      <c r="O108" s="118"/>
      <c r="P108" s="118"/>
      <c r="Q108" s="118"/>
      <c r="R108" s="118"/>
      <c r="S108" s="118"/>
      <c r="T108" s="118"/>
      <c r="U108" s="118"/>
      <c r="V108" s="118"/>
    </row>
    <row r="109" outlineLevel="1">
      <c r="A109" s="146"/>
      <c r="B109" s="300" t="s">
        <v>216</v>
      </c>
      <c r="C109" s="113" t="str">
        <f t="array" ref="C109">INDEX('崖行動・受け身'!$D$3:$E111, MATCH($A$1,'崖行動・受け身'!$A$3:$A$115,0), MATCH(C107,'崖行動・受け身'!$D$2:$E$2,0))</f>
        <v>1-33</v>
      </c>
      <c r="D109" s="113">
        <f t="array" ref="D109">INDEX('崖行動・受け身'!$D$3:$E111, MATCH($A$1,'崖行動・受け身'!$A$3:$A$115,0), MATCH(D107,'崖行動・受け身'!$D$2:$E$2,0))</f>
        <v>34</v>
      </c>
      <c r="E109" s="301"/>
      <c r="F109" s="301"/>
      <c r="G109" s="301"/>
      <c r="H109" s="228"/>
      <c r="I109" s="228"/>
      <c r="J109" s="117"/>
      <c r="K109" s="156"/>
      <c r="L109" s="303" t="str">
        <f>'テンプレート'!L118</f>
        <v>歩き</v>
      </c>
      <c r="M109" s="113" t="s">
        <v>76</v>
      </c>
      <c r="N109" s="113">
        <v>19.0</v>
      </c>
      <c r="O109" s="118"/>
      <c r="P109" s="118"/>
      <c r="Q109" s="118"/>
      <c r="R109" s="118"/>
      <c r="S109" s="118"/>
      <c r="T109" s="118"/>
      <c r="U109" s="118"/>
      <c r="V109" s="118"/>
    </row>
    <row r="110" outlineLevel="1">
      <c r="A110" s="146"/>
      <c r="B110" s="300" t="s">
        <v>241</v>
      </c>
      <c r="C110" s="113" t="str">
        <f t="array" ref="C110">INDEX('崖行動・受け身'!$F$3:$G$115, MATCH($A$1,'崖行動・受け身'!$A$3:$A$115,0), MATCH(C107,'崖行動・受け身'!$F$2:$G$2,0))</f>
        <v>1-27</v>
      </c>
      <c r="D110" s="113">
        <f t="array" ref="D110">INDEX('崖行動・受け身'!$F$3:$G$115, MATCH($A$1,'崖行動・受け身'!$A$3:$A$115,0), MATCH(D107,'崖行動・受け身'!$F$2:$G$2,0))</f>
        <v>45</v>
      </c>
      <c r="E110" s="301"/>
      <c r="F110" s="301"/>
      <c r="G110" s="301"/>
      <c r="H110" s="228"/>
      <c r="I110" s="228"/>
      <c r="J110" s="111"/>
      <c r="K110" s="304" t="str">
        <f>'テンプレート'!K119</f>
        <v>アイテム投擲</v>
      </c>
      <c r="L110" s="109"/>
      <c r="M110" s="298" t="str">
        <f>'テンプレート'!M119</f>
        <v>投擲フレーム</v>
      </c>
      <c r="N110" s="298" t="str">
        <f>'テンプレート'!N119</f>
        <v>全体フレーム</v>
      </c>
      <c r="O110" s="118"/>
      <c r="P110" s="118"/>
      <c r="Q110" s="118"/>
      <c r="R110" s="118"/>
      <c r="S110" s="118"/>
      <c r="T110" s="118"/>
      <c r="U110" s="118"/>
      <c r="V110" s="118"/>
    </row>
    <row r="111" outlineLevel="1">
      <c r="A111" s="146"/>
      <c r="B111" s="300" t="s">
        <v>242</v>
      </c>
      <c r="C111" s="113" t="str">
        <f t="array" ref="C111">INDEX('崖行動・受け身'!$H$3:$I$115, MATCH($A$1,'崖行動・受け身'!$A$3:$A$115,0), MATCH(C107,'崖行動・受け身'!$H$2:$I$2,0))</f>
        <v>1-12</v>
      </c>
      <c r="D111" s="113">
        <f t="array" ref="D111">INDEX('崖行動・受け身'!$H$3:$I$115, MATCH($A$1,'崖行動・受け身'!$A$3:$A$115,0), MATCH(D107,'崖行動・受け身'!$H$2:$I$2,0))</f>
        <v>14</v>
      </c>
      <c r="E111" s="301"/>
      <c r="F111" s="301"/>
      <c r="G111" s="301"/>
      <c r="H111" s="228"/>
      <c r="I111" s="228"/>
      <c r="J111" s="117"/>
      <c r="K111" s="305" t="str">
        <f>'テンプレート'!K120</f>
        <v>地上投擲</v>
      </c>
      <c r="L111" s="303" t="str">
        <f>'テンプレート'!L120</f>
        <v>前投げ</v>
      </c>
      <c r="M111" s="113" t="s">
        <v>80</v>
      </c>
      <c r="N111" s="113">
        <v>24.0</v>
      </c>
      <c r="O111" s="111"/>
      <c r="P111" s="111"/>
      <c r="Q111" s="111"/>
      <c r="R111" s="111"/>
      <c r="S111" s="111"/>
      <c r="T111" s="111"/>
      <c r="U111" s="111"/>
      <c r="V111" s="111"/>
    </row>
    <row r="112" outlineLevel="1">
      <c r="A112" s="156"/>
      <c r="B112" s="300" t="s">
        <v>243</v>
      </c>
      <c r="C112" s="113" t="str">
        <f t="array" ref="C112">INDEX('崖行動・受け身'!$J$3:$M$115, MATCH($A$1,'崖行動・受け身'!$A$3:$A$115,0), MATCH(C107,'崖行動・受け身'!$J$2:$M$2,0))</f>
        <v>1-27</v>
      </c>
      <c r="D112" s="113">
        <f t="array" ref="D112">INDEX('崖行動・受け身'!$J$3:$M$115, MATCH($A$1,'崖行動・受け身'!$A$3:$A$115,0), MATCH(D107,'崖行動・受け身'!$J$2:$M$2,0))</f>
        <v>55</v>
      </c>
      <c r="E112" s="113" t="str">
        <f t="array" ref="E112">INDEX('崖行動・受け身'!$J$3:$M$115, MATCH($A$1,'崖行動・受け身'!$A$3:$A$115,0), MATCH(E107,'崖行動・受け身'!$J$2:$M$2,0))</f>
        <v>25-27</v>
      </c>
      <c r="F112" s="113">
        <f t="array" ref="F112">INDEX('崖行動・受け身'!$J$3:$M$115, MATCH($A$1,'崖行動・受け身'!$A$3:$A$115,0), MATCH(F107,'崖行動・受け身'!$J$2:$M$2,0))</f>
        <v>9</v>
      </c>
      <c r="G112" s="113">
        <f>F112*1.2</f>
        <v>10.8</v>
      </c>
      <c r="H112" s="228"/>
      <c r="I112" s="228"/>
      <c r="J112" s="111"/>
      <c r="K112" s="146"/>
      <c r="L112" s="303" t="str">
        <f>'テンプレート'!L121</f>
        <v>後投げ</v>
      </c>
      <c r="M112" s="113" t="s">
        <v>232</v>
      </c>
      <c r="N112" s="113">
        <v>24.0</v>
      </c>
      <c r="O112" s="111"/>
      <c r="P112" s="111"/>
      <c r="Q112" s="111"/>
      <c r="R112" s="111"/>
      <c r="S112" s="111"/>
      <c r="T112" s="111"/>
      <c r="U112" s="111"/>
      <c r="V112" s="111"/>
    </row>
    <row r="113" outlineLevel="1">
      <c r="A113" s="299" t="s">
        <v>244</v>
      </c>
      <c r="B113" s="300" t="s">
        <v>216</v>
      </c>
      <c r="C113" s="113" t="str">
        <f t="array" ref="C113">INDEX('崖行動・受け身'!$N$3:$O$115, MATCH($A$1,'崖行動・受け身'!$A$3:$A$115,0), MATCH(C107,'崖行動・受け身'!$N$2:$O$2,0))</f>
        <v>1-20</v>
      </c>
      <c r="D113" s="113">
        <f t="array" ref="D113">INDEX('崖行動・受け身'!$N$3:$O$115, MATCH($A$1,'崖行動・受け身'!$A$3:$A$115,0), MATCH(D107,'崖行動・受け身'!$N$2:$O$2,0))</f>
        <v>26</v>
      </c>
      <c r="E113" s="301"/>
      <c r="F113" s="301"/>
      <c r="G113" s="301"/>
      <c r="H113" s="228"/>
      <c r="I113" s="228"/>
      <c r="J113" s="117"/>
      <c r="K113" s="146"/>
      <c r="L113" s="303" t="str">
        <f>'テンプレート'!L122</f>
        <v>上投げ</v>
      </c>
      <c r="M113" s="113" t="s">
        <v>129</v>
      </c>
      <c r="N113" s="113">
        <v>23.0</v>
      </c>
      <c r="O113" s="228"/>
      <c r="P113" s="228"/>
      <c r="Q113" s="228"/>
      <c r="R113" s="228"/>
      <c r="S113" s="228"/>
      <c r="T113" s="228"/>
      <c r="U113" s="228"/>
      <c r="V113" s="228"/>
    </row>
    <row r="114" outlineLevel="1">
      <c r="A114" s="146"/>
      <c r="B114" s="300" t="s">
        <v>245</v>
      </c>
      <c r="C114" s="113" t="str">
        <f t="array" ref="C114">INDEX('崖行動・受け身'!$P$3:$Q$115, MATCH($A$1,'崖行動・受け身'!$A$3:$A$115,0), MATCH(C107,'崖行動・受け身'!$P$2:$Q$2,0))</f>
        <v>1-20</v>
      </c>
      <c r="D114" s="113">
        <f t="array" ref="D114">INDEX('崖行動・受け身'!$P$3:$Q$115, MATCH($A$1,'崖行動・受け身'!$A$3:$A$115,0), MATCH(D107,'崖行動・受け身'!$P$2:$Q$2,0))</f>
        <v>40</v>
      </c>
      <c r="E114" s="301"/>
      <c r="F114" s="301"/>
      <c r="G114" s="301"/>
      <c r="H114" s="228"/>
      <c r="I114" s="228"/>
      <c r="J114" s="111"/>
      <c r="K114" s="146"/>
      <c r="L114" s="303" t="str">
        <f>'テンプレート'!L123</f>
        <v>下投げ</v>
      </c>
      <c r="M114" s="113" t="s">
        <v>93</v>
      </c>
      <c r="N114" s="113">
        <v>19.0</v>
      </c>
      <c r="O114" s="118"/>
      <c r="P114" s="118"/>
      <c r="Q114" s="118"/>
      <c r="R114" s="118"/>
      <c r="S114" s="118"/>
      <c r="T114" s="118"/>
      <c r="U114" s="118"/>
      <c r="V114" s="118"/>
    </row>
    <row r="115" outlineLevel="1">
      <c r="A115" s="156"/>
      <c r="B115" s="300" t="s">
        <v>246</v>
      </c>
      <c r="C115" s="113" t="str">
        <f t="array" ref="C115">INDEX('崖行動・受け身'!$R$3:$S$115, MATCH($A$1,'崖行動・受け身'!$A$3:$A$115,0), MATCH(C107,'崖行動・受け身'!$R$2:$S$2,0))</f>
        <v>1-20</v>
      </c>
      <c r="D115" s="113">
        <f t="array" ref="D115">INDEX('崖行動・受け身'!$R$3:$S$115, MATCH($A$1,'崖行動・受け身'!$A$3:$A$115,0), MATCH(D107,'崖行動・受け身'!$R$2:$S$2,0))</f>
        <v>40</v>
      </c>
      <c r="E115" s="301"/>
      <c r="F115" s="301"/>
      <c r="G115" s="301"/>
      <c r="H115" s="228"/>
      <c r="I115" s="228"/>
      <c r="J115" s="117"/>
      <c r="K115" s="146"/>
      <c r="L115" s="306" t="str">
        <f>'テンプレート'!L124</f>
        <v>ダッシュ</v>
      </c>
      <c r="M115" s="113" t="s">
        <v>86</v>
      </c>
      <c r="N115" s="113">
        <v>37.0</v>
      </c>
      <c r="O115" s="118"/>
      <c r="P115" s="118"/>
      <c r="Q115" s="118"/>
      <c r="R115" s="118"/>
      <c r="S115" s="118"/>
      <c r="T115" s="118"/>
      <c r="U115" s="118"/>
      <c r="V115" s="118"/>
    </row>
    <row r="116" outlineLevel="1">
      <c r="A116" s="299" t="s">
        <v>247</v>
      </c>
      <c r="B116" s="300" t="s">
        <v>248</v>
      </c>
      <c r="C116" s="301"/>
      <c r="D116" s="113" t="str">
        <f t="array" ref="D116">INDEX('起きあがり'!$C$3:$C111, MATCH($A$1,'起きあがり'!$A$3:$A$115,0), MATCH(D107,'起きあがり'!$C$2:$AD$2,0))</f>
        <v>25</v>
      </c>
      <c r="E116" s="301"/>
      <c r="F116" s="301"/>
      <c r="G116" s="301"/>
      <c r="H116" s="228"/>
      <c r="I116" s="228"/>
      <c r="J116" s="111"/>
      <c r="K116" s="156"/>
      <c r="L116" s="306" t="str">
        <f>'テンプレート'!L125</f>
        <v>その場捨て</v>
      </c>
      <c r="M116" s="113" t="s">
        <v>86</v>
      </c>
      <c r="N116" s="113">
        <v>23.0</v>
      </c>
      <c r="O116" s="118"/>
      <c r="P116" s="118"/>
      <c r="Q116" s="118"/>
      <c r="R116" s="118"/>
      <c r="S116" s="118"/>
      <c r="T116" s="118"/>
      <c r="U116" s="118"/>
      <c r="V116" s="118"/>
    </row>
    <row r="117" outlineLevel="1">
      <c r="A117" s="146"/>
      <c r="B117" s="300" t="s">
        <v>216</v>
      </c>
      <c r="C117" s="307" t="str">
        <f t="array" ref="C117">INDEX('起きあがり'!$D$3:$E111, MATCH($A$1,'起きあがり'!$A$3:$A$115,0), MATCH(C107,'起きあがり'!$D$2:$AD$2,0))</f>
        <v>1-22</v>
      </c>
      <c r="D117" s="308">
        <f t="array" ref="D117">INDEX('起きあがり'!$D$3:$E111, MATCH($A$1,'起きあがり'!$A$3:$A$115,0), MATCH(D107,'起きあがり'!$D$2:$AD$2,0))</f>
        <v>29</v>
      </c>
      <c r="E117" s="301"/>
      <c r="F117" s="301"/>
      <c r="G117" s="301"/>
      <c r="H117" s="228"/>
      <c r="I117" s="228"/>
      <c r="J117" s="117"/>
      <c r="K117" s="305" t="str">
        <f>'テンプレート'!K126</f>
        <v>空中投擲</v>
      </c>
      <c r="L117" s="303" t="str">
        <f>'テンプレート'!L126</f>
        <v>前投げ</v>
      </c>
      <c r="M117" s="113" t="s">
        <v>80</v>
      </c>
      <c r="N117" s="113">
        <v>24.0</v>
      </c>
      <c r="O117" s="118"/>
      <c r="P117" s="118"/>
      <c r="Q117" s="118"/>
      <c r="R117" s="118"/>
      <c r="S117" s="118"/>
      <c r="T117" s="118"/>
      <c r="U117" s="118"/>
      <c r="V117" s="118"/>
    </row>
    <row r="118" outlineLevel="1">
      <c r="A118" s="146"/>
      <c r="B118" s="300" t="s">
        <v>245</v>
      </c>
      <c r="C118" s="307" t="str">
        <f t="array" ref="C118">INDEX('起きあがり'!$F$3:$G$115, MATCH($A$1,'起きあがり'!$A$3:$A$115,0), MATCH(C107,'起きあがり'!$F$2:$AD$2,0))</f>
        <v>1-24</v>
      </c>
      <c r="D118" s="308">
        <f t="array" ref="D118">INDEX('起きあがり'!$F$3:$G$115, MATCH($A$1,'起きあがり'!$A$3:$A$115,0), MATCH(D107,'起きあがり'!$F$2:$AD$2,0))</f>
        <v>35</v>
      </c>
      <c r="E118" s="301"/>
      <c r="F118" s="301"/>
      <c r="G118" s="301"/>
      <c r="H118" s="228"/>
      <c r="I118" s="228"/>
      <c r="J118" s="111"/>
      <c r="K118" s="146"/>
      <c r="L118" s="303" t="str">
        <f>'テンプレート'!L127</f>
        <v>後投げ</v>
      </c>
      <c r="M118" s="113" t="s">
        <v>232</v>
      </c>
      <c r="N118" s="113">
        <v>24.0</v>
      </c>
      <c r="O118" s="118"/>
      <c r="P118" s="118"/>
      <c r="Q118" s="118"/>
      <c r="R118" s="118"/>
      <c r="S118" s="118"/>
      <c r="T118" s="118"/>
      <c r="U118" s="118"/>
      <c r="V118" s="118"/>
    </row>
    <row r="119" outlineLevel="1">
      <c r="A119" s="146"/>
      <c r="B119" s="300" t="s">
        <v>246</v>
      </c>
      <c r="C119" s="113" t="str">
        <f t="array" ref="C119">INDEX('起きあがり'!$H$3:$I$115, MATCH($A$1,'起きあがり'!$A$3:$A$115,0), MATCH(C107,'起きあがり'!$H$2:$AD$2,0))</f>
        <v>1-31</v>
      </c>
      <c r="D119" s="113">
        <f t="array" ref="D119">INDEX('起きあがり'!$H$3:$I$115, MATCH($A$1,'起きあがり'!$A$3:$A$115,0), MATCH(D107,'起きあがり'!$H$2:$AD$2,0))</f>
        <v>35</v>
      </c>
      <c r="E119" s="301"/>
      <c r="F119" s="301"/>
      <c r="G119" s="301"/>
      <c r="H119" s="228"/>
      <c r="I119" s="228"/>
      <c r="J119" s="117"/>
      <c r="K119" s="146"/>
      <c r="L119" s="303" t="str">
        <f>'テンプレート'!L128</f>
        <v>上投げ</v>
      </c>
      <c r="M119" s="113" t="s">
        <v>129</v>
      </c>
      <c r="N119" s="113">
        <v>23.0</v>
      </c>
      <c r="O119" s="118"/>
      <c r="P119" s="118"/>
      <c r="Q119" s="118"/>
      <c r="R119" s="118"/>
      <c r="S119" s="118"/>
      <c r="T119" s="118"/>
      <c r="U119" s="118"/>
      <c r="V119" s="118"/>
    </row>
    <row r="120" outlineLevel="1">
      <c r="A120" s="146"/>
      <c r="B120" s="300" t="s">
        <v>249</v>
      </c>
      <c r="C120" s="309" t="str">
        <f t="array" ref="C120">INDEX('起きあがり'!$J$3:$M$115, MATCH($A$1,'起きあがり'!$A$3:$A$115,0), MATCH(C107,'起きあがり'!$J$2:$AD$2,0))</f>
        <v>1-25</v>
      </c>
      <c r="D120" s="310">
        <f t="array" ref="D120">INDEX('起きあがり'!$J$3:$M$115, MATCH($A$1,'起きあがり'!$A$3:$A$115,0), MATCH(D107,'起きあがり'!$J$2:$AD$2,0))</f>
        <v>45</v>
      </c>
      <c r="E120" s="307" t="str">
        <f t="array" ref="E120">INDEX('起きあがり'!$J$3:$M$115, MATCH($A$1,'起きあがり'!$A$3:$A$115,0), MATCH(E107,'起きあがり'!$J$2:$AD$2,0))</f>
        <v>16-17</v>
      </c>
      <c r="F120" s="308">
        <f t="array" ref="F120">INDEX('起きあがり'!$J$3:$M$115, MATCH($A$1,'起きあがり'!$A$3:$A$115,0), MATCH(F107,'起きあがり'!$J$2:$AD$2,0))</f>
        <v>7</v>
      </c>
      <c r="G120" s="113">
        <f t="shared" ref="G120:G121" si="1">F120*1.2</f>
        <v>8.4</v>
      </c>
      <c r="H120" s="228"/>
      <c r="I120" s="228"/>
      <c r="J120" s="111"/>
      <c r="K120" s="156"/>
      <c r="L120" s="303" t="str">
        <f>'テンプレート'!L129</f>
        <v>下投げ</v>
      </c>
      <c r="M120" s="113" t="s">
        <v>93</v>
      </c>
      <c r="N120" s="113">
        <v>19.0</v>
      </c>
      <c r="O120" s="111"/>
      <c r="P120" s="111"/>
      <c r="Q120" s="111"/>
      <c r="R120" s="111"/>
      <c r="S120" s="111"/>
      <c r="T120" s="111"/>
      <c r="U120" s="111"/>
      <c r="V120" s="111"/>
    </row>
    <row r="121" outlineLevel="1">
      <c r="A121" s="156"/>
      <c r="B121" s="311" t="s">
        <v>250</v>
      </c>
      <c r="C121" s="156"/>
      <c r="D121" s="156"/>
      <c r="E121" s="307" t="str">
        <f t="array" ref="E121">INDEX('起きあがり'!$N$3:$O$115, MATCH($A$1,'起きあがり'!$A$3:$A$115,0), MATCH(E107,'起きあがり'!$N$2:$AD$2,0))</f>
        <v>24-25</v>
      </c>
      <c r="F121" s="308">
        <f t="array" ref="F121">INDEX('起きあがり'!$N$3:$O$115, MATCH($A$1,'起きあがり'!$A$3:$A$115,0), MATCH(F107,'起きあがり'!$N$2:$AD$2,0))</f>
        <v>7</v>
      </c>
      <c r="G121" s="113">
        <f t="shared" si="1"/>
        <v>8.4</v>
      </c>
      <c r="H121" s="228"/>
      <c r="I121" s="228"/>
      <c r="J121" s="111"/>
      <c r="K121" s="312" t="str">
        <f>'テンプレート'!K130</f>
        <v>踏み台ジャンプ</v>
      </c>
      <c r="L121" s="168"/>
      <c r="M121" s="298" t="str">
        <f>'テンプレート'!M130</f>
        <v>全体フレーム</v>
      </c>
      <c r="N121" s="114"/>
      <c r="O121" s="111"/>
      <c r="P121" s="111"/>
      <c r="Q121" s="111"/>
      <c r="R121" s="111"/>
      <c r="S121" s="111"/>
      <c r="T121" s="111"/>
      <c r="U121" s="111"/>
      <c r="V121" s="111"/>
    </row>
    <row r="122" outlineLevel="1">
      <c r="A122" s="299" t="s">
        <v>251</v>
      </c>
      <c r="B122" s="300" t="s">
        <v>248</v>
      </c>
      <c r="C122" s="301"/>
      <c r="D122" s="307" t="str">
        <f t="array" ref="D122">INDEX('起きあがり'!$C$3:$C111, MATCH($A$1,'起きあがり'!$A$3:$A$115,0), MATCH(D107,'起きあがり'!$C$2,0))</f>
        <v>25</v>
      </c>
      <c r="E122" s="301"/>
      <c r="F122" s="301"/>
      <c r="G122" s="301"/>
      <c r="H122" s="228"/>
      <c r="I122" s="228"/>
      <c r="J122" s="117"/>
      <c r="K122" s="313" t="str">
        <f>'テンプレート'!K131</f>
        <v>踏み</v>
      </c>
      <c r="L122" s="314" t="str">
        <f>'テンプレート'!L131</f>
        <v>踏み</v>
      </c>
      <c r="M122" s="113">
        <v>8.0</v>
      </c>
      <c r="N122" s="315"/>
      <c r="O122" s="111"/>
      <c r="P122" s="111"/>
      <c r="Q122" s="111"/>
      <c r="R122" s="111"/>
      <c r="S122" s="111"/>
      <c r="T122" s="111"/>
      <c r="U122" s="111"/>
      <c r="V122" s="111"/>
    </row>
    <row r="123" outlineLevel="1">
      <c r="A123" s="146"/>
      <c r="B123" s="300" t="s">
        <v>216</v>
      </c>
      <c r="C123" s="307" t="str">
        <f t="array" ref="C123">INDEX('起きあがり'!$P$3:$Q$115, MATCH($A$1,'起きあがり'!$A$3:$A$115,0), MATCH(C107,'起きあがり'!$P$2:$AD$2,0))</f>
        <v>1-22</v>
      </c>
      <c r="D123" s="308">
        <f t="array" ref="D123">INDEX('起きあがり'!$P$3:$Q$115, MATCH($A$1,'起きあがり'!$A$3:$A$115,0), MATCH(D107,'起きあがり'!$P$2:$AD$2,0))</f>
        <v>29</v>
      </c>
      <c r="E123" s="301"/>
      <c r="F123" s="301"/>
      <c r="G123" s="301"/>
      <c r="H123" s="228"/>
      <c r="I123" s="228"/>
      <c r="J123" s="111"/>
      <c r="K123" s="305" t="str">
        <f>'テンプレート'!K132</f>
        <v>踏まれ</v>
      </c>
      <c r="L123" s="314" t="str">
        <f>'テンプレート'!L132</f>
        <v>地上踏まれ</v>
      </c>
      <c r="M123" s="113" t="s">
        <v>76</v>
      </c>
      <c r="N123" s="315"/>
      <c r="O123" s="228"/>
      <c r="P123" s="228"/>
      <c r="Q123" s="228"/>
      <c r="R123" s="228"/>
      <c r="S123" s="228"/>
      <c r="T123" s="228"/>
      <c r="U123" s="228"/>
      <c r="V123" s="228"/>
    </row>
    <row r="124" outlineLevel="1">
      <c r="A124" s="146"/>
      <c r="B124" s="300" t="s">
        <v>245</v>
      </c>
      <c r="C124" s="307" t="str">
        <f t="array" ref="C124">INDEX('起きあがり'!$R$3:$S$115, MATCH($A$1,'起きあがり'!$A$3:$A$115,0), MATCH(C107,'起きあがり'!$R$2:$AD$2,0))</f>
        <v>1-19</v>
      </c>
      <c r="D124" s="308">
        <f t="array" ref="D124">INDEX('起きあがり'!$R$3:$S$115, MATCH($A$1,'起きあがり'!$A$3:$A$115,0), MATCH(D107,'起きあがり'!$R$2:$AD$2,0))</f>
        <v>35</v>
      </c>
      <c r="E124" s="301"/>
      <c r="F124" s="301"/>
      <c r="G124" s="301"/>
      <c r="H124" s="228"/>
      <c r="I124" s="228"/>
      <c r="J124" s="117"/>
      <c r="K124" s="146"/>
      <c r="L124" s="314" t="s">
        <v>693</v>
      </c>
      <c r="M124" s="113">
        <v>28.0</v>
      </c>
      <c r="N124" s="102"/>
      <c r="O124" s="118"/>
      <c r="P124" s="118"/>
      <c r="Q124" s="118"/>
      <c r="R124" s="118"/>
      <c r="S124" s="118"/>
      <c r="T124" s="118"/>
      <c r="U124" s="118"/>
      <c r="V124" s="118"/>
    </row>
    <row r="125" outlineLevel="1">
      <c r="A125" s="146"/>
      <c r="B125" s="300" t="s">
        <v>246</v>
      </c>
      <c r="C125" s="307" t="str">
        <f t="array" ref="C125">INDEX('起きあがり'!$T$3:$U$115, MATCH($A$1,'起きあがり'!$A$3:$A$115,0), MATCH(C107,'起きあがり'!$T$2:$AD$2,0))</f>
        <v>1-25</v>
      </c>
      <c r="D125" s="308">
        <f t="array" ref="D125">INDEX('起きあがり'!$T$3:$U$115, MATCH($A$1,'起きあがり'!$A$3:$A$115,0), MATCH(D107,'起きあがり'!$T$2:$AD$2,0))</f>
        <v>35</v>
      </c>
      <c r="E125" s="301"/>
      <c r="F125" s="301"/>
      <c r="G125" s="301"/>
      <c r="H125" s="228"/>
      <c r="I125" s="228"/>
      <c r="J125" s="111"/>
      <c r="K125" s="146"/>
      <c r="L125" s="314" t="str">
        <f>'テンプレート'!L134</f>
        <v>空中踏まれ</v>
      </c>
      <c r="M125" s="113">
        <v>8.0</v>
      </c>
      <c r="N125" s="102"/>
      <c r="O125" s="118"/>
      <c r="P125" s="118"/>
      <c r="Q125" s="118"/>
      <c r="R125" s="118"/>
      <c r="S125" s="118"/>
      <c r="T125" s="118"/>
      <c r="U125" s="118"/>
      <c r="V125" s="118"/>
    </row>
    <row r="126" outlineLevel="1">
      <c r="A126" s="146"/>
      <c r="B126" s="300" t="s">
        <v>249</v>
      </c>
      <c r="C126" s="309" t="str">
        <f t="array" ref="C126">INDEX('起きあがり'!$V$3:$Y$115, MATCH($A$1,'起きあがり'!$A$3:$A$115,0), MATCH(C107,'起きあがり'!$V$2:$AD$2,0))</f>
        <v>1-25</v>
      </c>
      <c r="D126" s="310">
        <f t="array" ref="D126">INDEX('起きあがり'!$V$3:$Y$115, MATCH($A$1,'起きあがり'!$A$3:$A$115,0), MATCH(D107,'起きあがり'!$V$2:$AD$2,0))</f>
        <v>45</v>
      </c>
      <c r="E126" s="307" t="str">
        <f t="array" ref="E126">INDEX('起きあがり'!$V$3:$Y$115, MATCH($A$1,'起きあがり'!$A$3:$A$115,0), MATCH(E107,'起きあがり'!$V$2:$AD$2,0))</f>
        <v>16-17</v>
      </c>
      <c r="F126" s="308">
        <f t="array" ref="F126">INDEX('起きあがり'!$V$3:$Y$115, MATCH($A$1,'起きあがり'!$A$3:$A$115,0), MATCH(F107,'起きあがり'!$V$2:$AD$2,0))</f>
        <v>7</v>
      </c>
      <c r="G126" s="113">
        <f t="shared" ref="G126:G127" si="2">F126*1.2</f>
        <v>8.4</v>
      </c>
      <c r="H126" s="228"/>
      <c r="I126" s="228"/>
      <c r="J126" s="117"/>
      <c r="K126" s="146"/>
      <c r="L126" s="314" t="str">
        <f>'テンプレート'!L135</f>
        <v>空中落下</v>
      </c>
      <c r="M126" s="113">
        <v>35.0</v>
      </c>
      <c r="N126" s="102"/>
      <c r="O126" s="118"/>
      <c r="P126" s="118"/>
      <c r="Q126" s="118"/>
      <c r="R126" s="118"/>
      <c r="S126" s="118"/>
      <c r="T126" s="118"/>
      <c r="U126" s="118"/>
      <c r="V126" s="118"/>
    </row>
    <row r="127" outlineLevel="1">
      <c r="A127" s="156"/>
      <c r="B127" s="311" t="s">
        <v>250</v>
      </c>
      <c r="C127" s="156"/>
      <c r="D127" s="156"/>
      <c r="E127" s="307" t="str">
        <f t="array" ref="E127">INDEX('起きあがり'!$Z$3:$AA$115, MATCH($A$1,'起きあがり'!$A$3:$A$115,0), MATCH(E107,'起きあがり'!$Z$2:$AD$2,0))</f>
        <v>24-25</v>
      </c>
      <c r="F127" s="308">
        <f t="array" ref="F127">INDEX('起きあがり'!$Z$3:$AA$115, MATCH($A$1,'起きあがり'!$A$3:$A$115,0), MATCH(F107,'起きあがり'!$Z$2:$AD$2,0))</f>
        <v>7</v>
      </c>
      <c r="G127" s="113">
        <f t="shared" si="2"/>
        <v>8.4</v>
      </c>
      <c r="H127" s="228"/>
      <c r="I127" s="228"/>
      <c r="J127" s="117"/>
      <c r="K127" s="304" t="str">
        <f>'テンプレート'!K136</f>
        <v>倒れダメージ</v>
      </c>
      <c r="L127" s="110"/>
      <c r="M127" s="298" t="str">
        <f>'テンプレート'!M136</f>
        <v>全体フレーム</v>
      </c>
      <c r="N127" s="102"/>
      <c r="O127" s="118"/>
      <c r="P127" s="118"/>
      <c r="Q127" s="118"/>
      <c r="R127" s="118"/>
      <c r="S127" s="118"/>
      <c r="T127" s="118"/>
      <c r="U127" s="118"/>
      <c r="V127" s="118"/>
    </row>
    <row r="128" outlineLevel="1">
      <c r="A128" s="299" t="s">
        <v>252</v>
      </c>
      <c r="B128" s="300" t="s">
        <v>253</v>
      </c>
      <c r="C128" s="307" t="str">
        <f t="array" ref="C128">INDEX('転倒'!$C$3:$D111, MATCH($A$1,'転倒'!$A$3:$A$115,0), MATCH(C107,'転倒'!$C$2:$AC$2,0))</f>
        <v>1-5</v>
      </c>
      <c r="D128" s="308">
        <f t="array" ref="D128">INDEX('転倒'!$C$3:$D111, MATCH($A$1,'転倒'!$A$3:$A$115,0), MATCH(D107,'転倒'!$C$2:$AC$2,0))</f>
        <v>29</v>
      </c>
      <c r="E128" s="301"/>
      <c r="F128" s="301"/>
      <c r="G128" s="301"/>
      <c r="H128" s="228"/>
      <c r="I128" s="228"/>
      <c r="J128" s="111"/>
      <c r="K128" s="313" t="str">
        <f>'テンプレート'!K137</f>
        <v>あお向け倒れ</v>
      </c>
      <c r="L128" s="306" t="str">
        <f>'テンプレート'!L137</f>
        <v>モーション大</v>
      </c>
      <c r="M128" s="113">
        <v>39.0</v>
      </c>
      <c r="N128" s="315"/>
      <c r="O128" s="118"/>
      <c r="P128" s="118"/>
      <c r="Q128" s="118"/>
      <c r="R128" s="118"/>
      <c r="S128" s="118"/>
      <c r="T128" s="118"/>
      <c r="U128" s="118"/>
      <c r="V128" s="118"/>
    </row>
    <row r="129" outlineLevel="1">
      <c r="A129" s="146"/>
      <c r="B129" s="300" t="s">
        <v>254</v>
      </c>
      <c r="C129" s="307" t="str">
        <f t="array" ref="C129">INDEX('転倒'!$E$3:$F111, MATCH($A$1,'転倒'!$A$3:$A$115,0), MATCH(C107,'転倒'!$E$2:$AC$2,0))</f>
        <v>1-5</v>
      </c>
      <c r="D129" s="308">
        <f t="array" ref="D129">INDEX('転倒'!$E$3:$F111, MATCH($A$1,'転倒'!$A$3:$A$115,0), MATCH(D107,'転倒'!$E$2:$AC$2,0))</f>
        <v>39</v>
      </c>
      <c r="E129" s="301"/>
      <c r="F129" s="301"/>
      <c r="G129" s="301"/>
      <c r="H129" s="228"/>
      <c r="I129" s="228"/>
      <c r="J129" s="117"/>
      <c r="K129" s="313" t="str">
        <f>'テンプレート'!K138</f>
        <v>うつ伏せ倒れ</v>
      </c>
      <c r="L129" s="306" t="str">
        <f>'テンプレート'!L138</f>
        <v>モーション大</v>
      </c>
      <c r="M129" s="113" t="s">
        <v>118</v>
      </c>
      <c r="N129" s="315"/>
      <c r="O129" s="118"/>
      <c r="P129" s="118"/>
      <c r="Q129" s="118"/>
      <c r="R129" s="118"/>
      <c r="S129" s="118"/>
      <c r="T129" s="118"/>
      <c r="U129" s="118"/>
      <c r="V129" s="118"/>
    </row>
    <row r="130" outlineLevel="1">
      <c r="A130" s="146"/>
      <c r="B130" s="300" t="s">
        <v>216</v>
      </c>
      <c r="C130" s="307" t="str">
        <f t="array" ref="C130">INDEX('転倒'!$G$3:$H$115, MATCH($A$1,'転倒'!$A$3:$A$115,0), MATCH(C107,'転倒'!$G$2:$AC$2,0))</f>
        <v>1-16</v>
      </c>
      <c r="D130" s="308">
        <f t="array" ref="D130">INDEX('転倒'!$G$3:$H$115, MATCH($A$1,'転倒'!$A$3:$A$115,0), MATCH(D107,'転倒'!$G$2:$AC$2,0))</f>
        <v>21</v>
      </c>
      <c r="E130" s="301"/>
      <c r="F130" s="301"/>
      <c r="G130" s="301"/>
      <c r="H130" s="228"/>
      <c r="I130" s="228"/>
      <c r="J130" s="111"/>
      <c r="K130" s="304" t="str">
        <f>'テンプレート'!K139</f>
        <v/>
      </c>
      <c r="L130" s="110"/>
      <c r="M130" s="298" t="str">
        <f>'テンプレート'!M139</f>
        <v/>
      </c>
      <c r="N130" s="102"/>
      <c r="O130" s="118"/>
      <c r="P130" s="118"/>
      <c r="Q130" s="118"/>
      <c r="R130" s="118"/>
      <c r="S130" s="118"/>
      <c r="T130" s="118"/>
      <c r="U130" s="118"/>
      <c r="V130" s="118"/>
    </row>
    <row r="131" outlineLevel="1">
      <c r="A131" s="146"/>
      <c r="B131" s="300" t="s">
        <v>245</v>
      </c>
      <c r="C131" s="307" t="str">
        <f t="array" ref="C131">INDEX('転倒'!$I$3:$J$115, MATCH($A$1,'転倒'!$A$3:$A$115,0), MATCH(C107,'転倒'!$I$2:$AC$2,0))</f>
        <v>1-9</v>
      </c>
      <c r="D131" s="308">
        <f t="array" ref="D131">INDEX('転倒'!$I$3:$J$115, MATCH($A$1,'転倒'!$A$3:$A$115,0), MATCH(D107,'転倒'!$I$2:$AC$2,0))</f>
        <v>28</v>
      </c>
      <c r="E131" s="301"/>
      <c r="F131" s="301"/>
      <c r="G131" s="301"/>
      <c r="H131" s="228"/>
      <c r="I131" s="228"/>
      <c r="J131" s="228"/>
      <c r="K131" s="316"/>
      <c r="L131" s="317" t="str">
        <f>'テンプレート'!L140</f>
        <v/>
      </c>
      <c r="M131" s="113" t="s">
        <v>76</v>
      </c>
      <c r="N131" s="102"/>
      <c r="O131" s="118"/>
      <c r="P131" s="118"/>
      <c r="Q131" s="118"/>
      <c r="R131" s="118"/>
      <c r="S131" s="118"/>
      <c r="T131" s="118"/>
      <c r="U131" s="118"/>
      <c r="V131" s="118"/>
    </row>
    <row r="132" outlineLevel="1">
      <c r="A132" s="146"/>
      <c r="B132" s="300" t="s">
        <v>246</v>
      </c>
      <c r="C132" s="307" t="str">
        <f t="array" ref="C132">INDEX('転倒'!$K$3:$L$115, MATCH($A$1,'転倒'!$A$3:$A$115,0), MATCH(C107,'転倒'!$K$2:$AC$2,0))</f>
        <v>1-9</v>
      </c>
      <c r="D132" s="308">
        <f t="array" ref="D132">INDEX('転倒'!$K$3:$L$115, MATCH($A$1,'転倒'!$A$3:$A$115,0), MATCH(D107,'転倒'!$K$2:$AC$2,0))</f>
        <v>28</v>
      </c>
      <c r="E132" s="301"/>
      <c r="F132" s="301"/>
      <c r="G132" s="301"/>
      <c r="H132" s="228"/>
      <c r="I132" s="228"/>
      <c r="J132" s="228"/>
      <c r="K132" s="318"/>
      <c r="L132" s="118"/>
      <c r="M132" s="118"/>
      <c r="N132" s="102"/>
      <c r="O132" s="118"/>
      <c r="P132" s="118"/>
      <c r="Q132" s="118"/>
      <c r="R132" s="118"/>
      <c r="S132" s="118"/>
      <c r="T132" s="118"/>
      <c r="U132" s="118"/>
      <c r="V132" s="118"/>
    </row>
    <row r="133" outlineLevel="1">
      <c r="A133" s="146"/>
      <c r="B133" s="300" t="s">
        <v>249</v>
      </c>
      <c r="C133" s="309" t="str">
        <f t="array" ref="C133">INDEX('転倒'!$M$3:$P$115, MATCH($A$1,'転倒'!$A$3:$A$115,0), MATCH(C107,'転倒'!$M$2:$AC$2,0))</f>
        <v>1-7</v>
      </c>
      <c r="D133" s="310">
        <f t="array" ref="D133">INDEX('転倒'!$M$3:$P$115, MATCH($A$1,'転倒'!$A$3:$A$115,0), MATCH(D107,'転倒'!$M$2:$AC$2,0))</f>
        <v>49</v>
      </c>
      <c r="E133" s="307" t="str">
        <f t="array" ref="E133">INDEX('転倒'!$M$3:$P$115, MATCH($A$1,'転倒'!$A$3:$A$115,0), MATCH(E107,'転倒'!$M$2:$AC$2,0))</f>
        <v>19-20</v>
      </c>
      <c r="F133" s="308">
        <f t="array" ref="F133">INDEX('転倒'!$M$3:$P$115, MATCH($A$1,'転倒'!$A$3:$A$115,0), MATCH(F107,'転倒'!$M$2:$AC$2,0))</f>
        <v>5</v>
      </c>
      <c r="G133" s="113">
        <f t="shared" ref="G133:G134" si="3">F133*1.2</f>
        <v>6</v>
      </c>
      <c r="H133" s="228"/>
      <c r="I133" s="228"/>
      <c r="J133" s="228"/>
      <c r="K133" s="118"/>
      <c r="L133" s="118"/>
      <c r="M133" s="118"/>
      <c r="N133" s="102"/>
      <c r="O133" s="102"/>
      <c r="P133" s="102"/>
      <c r="Q133" s="102"/>
      <c r="R133" s="118"/>
      <c r="S133" s="118"/>
      <c r="T133" s="118"/>
      <c r="U133" s="118"/>
      <c r="V133" s="118"/>
    </row>
    <row r="134" outlineLevel="1">
      <c r="A134" s="156"/>
      <c r="B134" s="311" t="s">
        <v>250</v>
      </c>
      <c r="C134" s="156"/>
      <c r="D134" s="156"/>
      <c r="E134" s="307" t="str">
        <f t="array" ref="E134">INDEX('転倒'!$Q$3:$R$115, MATCH($A$1,'転倒'!$A$3:$A$115,0), MATCH(E107,'転倒'!$Q$2:$AC$2,0))</f>
        <v>25-26</v>
      </c>
      <c r="F134" s="308">
        <f t="array" ref="F134">INDEX('転倒'!$Q$3:$R$115, MATCH($A$1,'転倒'!$A$3:$A$115,0), MATCH(F107,'転倒'!$Q$2:$AC$2,0))</f>
        <v>5</v>
      </c>
      <c r="G134" s="113">
        <f t="shared" si="3"/>
        <v>6</v>
      </c>
      <c r="H134" s="228"/>
      <c r="I134" s="228"/>
      <c r="J134" s="228"/>
      <c r="K134" s="118"/>
      <c r="L134" s="118"/>
      <c r="M134" s="118"/>
      <c r="N134" s="102"/>
      <c r="O134" s="102"/>
      <c r="P134" s="102"/>
      <c r="Q134" s="102"/>
      <c r="R134" s="118"/>
      <c r="S134" s="118"/>
      <c r="T134" s="118"/>
      <c r="U134" s="118"/>
      <c r="V134" s="118"/>
    </row>
    <row r="135" outlineLevel="1">
      <c r="A135" s="319"/>
      <c r="B135" s="320"/>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3" t="s">
        <v>255</v>
      </c>
      <c r="B136" s="109"/>
      <c r="C136" s="321"/>
      <c r="D136" s="321"/>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256</v>
      </c>
      <c r="B137" s="109"/>
      <c r="C137" s="325" t="s">
        <v>257</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258</v>
      </c>
      <c r="B138" s="327" t="s">
        <v>216</v>
      </c>
      <c r="C138" s="328" t="str">
        <f t="array" ref="C138">INDEX('アイテム'!$C$3:$D$114, MATCH($A$1,'アイテム'!$A$3:$A$114,0), MATCH(C137,'アイテム'!$C$2:$AQ$2,0))</f>
        <v>2</v>
      </c>
      <c r="D138" s="328">
        <f t="array" ref="D138">INDEX('アイテム'!$C$3:$D$114, MATCH($A$1,'アイテム'!$A$3:$A$114,0), MATCH(D137,'アイテム'!$C$2:$AQ$2,0))</f>
        <v>7</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219</v>
      </c>
      <c r="C139" s="328" t="str">
        <f t="array" ref="C139">INDEX('アイテム'!$E$3:$F$114, MATCH($A$1,'アイテム'!$A$3:$A$114,0), MATCH(C137,'アイテム'!$C$2:$AQ$2,0))</f>
        <v>2</v>
      </c>
      <c r="D139" s="328">
        <f t="array" ref="D139">INDEX('アイテム'!$E$3:$F$114, MATCH($A$1,'アイテム'!$A$3:$A$114,0), MATCH(D137,'アイテム'!$C$2:$AQ$2,0))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9" t="s">
        <v>259</v>
      </c>
      <c r="B140" s="327" t="s">
        <v>216</v>
      </c>
      <c r="C140" s="328">
        <f t="array" ref="C140">INDEX('アイテム'!$AA$3:$AB$114, MATCH($A$1,'アイテム'!$A$3:$A$114,0), MATCH(C137,'アイテム'!$C$2:$AQ$2,0))</f>
        <v>2</v>
      </c>
      <c r="D140" s="328" t="str">
        <f t="array" ref="D140">INDEX('アイテム'!$AA$3:$AB$114, MATCH($A$1,'アイテム'!$A$3:$A$114,0), MATCH(D137,'アイテム'!$C$2:$AQ$2,0))</f>
        <v>12</v>
      </c>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260</v>
      </c>
      <c r="B141" s="109"/>
      <c r="C141" s="325" t="s">
        <v>261</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262</v>
      </c>
      <c r="B142" s="327" t="s">
        <v>226</v>
      </c>
      <c r="C142" s="328" t="str">
        <f t="array" ref="C142">INDEX('アイテム'!$G$3:$H$114, MATCH($A$1,'アイテム'!$A$3:$A$114,0), MATCH(C137,'アイテム'!$C$2:$AQ$2,0))</f>
        <v>8</v>
      </c>
      <c r="D142" s="328">
        <f t="array" ref="D142">INDEX('アイテム'!$G$3:$H$114, MATCH($A$1,'アイテム'!$A$3:$A$114,0), MATCH(D137,'アイテム'!$C$2:$AQ$2,0))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229</v>
      </c>
      <c r="C143" s="328" t="str">
        <f t="array" ref="C143">INDEX('アイテム'!$I$3:$J$114, MATCH($A$1,'アイテム'!$A$3:$A$114,0), MATCH(C137,'アイテム'!$C$2:$AQ$2,0))</f>
        <v>11</v>
      </c>
      <c r="D143" s="328">
        <f t="array" ref="D143">INDEX('アイテム'!$I$3:$J$114, MATCH($A$1,'アイテム'!$A$3:$A$114,0), MATCH(D137,'アイテム'!$C$2:$AQ$2,0))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233</v>
      </c>
      <c r="C144" s="328" t="str">
        <f t="array" ref="C144">INDEX('アイテム'!$K$3:$L$114, MATCH($A$1,'アイテム'!$A$3:$A$114,0), MATCH(C137,'アイテム'!$C$2:$AQ$2,0))</f>
        <v>12</v>
      </c>
      <c r="D144" s="328">
        <f t="array" ref="D144">INDEX('アイテム'!$K$3:$L$114, MATCH($A$1,'アイテム'!$A$3:$A$114,0), MATCH(D137,'アイテム'!$C$2:$AQ$2,0))</f>
        <v>23</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234</v>
      </c>
      <c r="C145" s="328" t="str">
        <f t="array" ref="C145">INDEX('アイテム'!$M$3:$N$114, MATCH($A$1,'アイテム'!$A$3:$A$114,0), MATCH(C137,'アイテム'!$C$2:$AQ$2,0))</f>
        <v>7</v>
      </c>
      <c r="D145" s="328">
        <f t="array" ref="D145">INDEX('アイテム'!$M$3:$N$114, MATCH($A$1,'アイテム'!$A$3:$A$114,0), MATCH(D137,'アイテム'!$C$2:$AQ$2,0))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219</v>
      </c>
      <c r="C146" s="328" t="str">
        <f t="array" ref="C146">INDEX('アイテム'!$O$3:$P$114, MATCH($A$1,'アイテム'!$A$3:$A$114,0), MATCH(C137,'アイテム'!$C$2:$AQ$2,0))</f>
        <v>6</v>
      </c>
      <c r="D146" s="328">
        <f t="array" ref="D146">INDEX('アイテム'!$O$3:$P$114, MATCH($A$1,'アイテム'!$A$3:$A$114,0), MATCH(D137,'アイテム'!$C$2:$AQ$2,0))</f>
        <v>29</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263</v>
      </c>
      <c r="C147" s="328" t="str">
        <f t="array" ref="C147">INDEX('アイテム'!$Q$3:$R$114, MATCH($A$1,'アイテム'!$A$3:$A$114,0), MATCH(C137,'アイテム'!$C$2:$AQ$2,0))</f>
        <v>6</v>
      </c>
      <c r="D147" s="328">
        <f t="array" ref="D147">INDEX('アイテム'!$Q$3:$R$114, MATCH($A$1,'アイテム'!$A$3:$A$114,0), MATCH(D137,'アイテム'!$C$2:$AQ$2,0))</f>
        <v>23</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264</v>
      </c>
      <c r="B148" s="327" t="s">
        <v>226</v>
      </c>
      <c r="C148" s="328" t="str">
        <f t="array" ref="C148">INDEX('アイテム'!$S$3:$T$114, MATCH($A$1,'アイテム'!$A$3:$A$114,0), MATCH(C137,'アイテム'!$C$2:$AQ$2,0))</f>
        <v>8</v>
      </c>
      <c r="D148" s="328">
        <f t="array" ref="D148">INDEX('アイテム'!$S$3:$T$114, MATCH($A$1,'アイテム'!$A$3:$A$114,0), MATCH(D137,'アイテム'!$C$2:$AQ$2,0))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INDEX('アイテム'!$U$3:$V$114, MATCH($A$1,'アイテム'!$A$3:$A$114,0), MATCH(C137,'アイテム'!$C$2:$AQ$2,0))</f>
        <v>11</v>
      </c>
      <c r="D149" s="328">
        <f t="array" ref="D149">INDEX('アイテム'!$U$3:$V$114, MATCH($A$1,'アイテム'!$A$3:$A$114,0), MATCH(D137,'アイテム'!$C$2:$AQ$2,0))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INDEX('アイテム'!$W$3:$X$114, MATCH($A$1,'アイテム'!$A$3:$A$114,0), MATCH(C137,'アイテム'!$C$2:$AQ$2,0))</f>
        <v>12</v>
      </c>
      <c r="D150" s="328">
        <f t="array" ref="D150">INDEX('アイテム'!$W$3:$X$114, MATCH($A$1,'アイテム'!$A$3:$A$114,0), MATCH(D137,'アイテム'!$C$2:$AQ$2,0))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t="str">
        <f t="array" ref="C151">INDEX('アイテム'!$Y$3:$Z$114, MATCH($A$1,'アイテム'!$A$3:$A$114,0), MATCH(C137,'アイテム'!$C$2:$AQ$2,0))</f>
        <v>7</v>
      </c>
      <c r="D151" s="328">
        <f t="array" ref="D151">INDEX('アイテム'!$Y$3:$Z$114, MATCH($A$1,'アイテム'!$A$3:$A$114,0), MATCH(D137,'アイテム'!$C$2:$AQ$2,0))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265</v>
      </c>
      <c r="B152" s="327" t="s">
        <v>226</v>
      </c>
      <c r="C152" s="328">
        <f t="array" ref="C152">INDEX('アイテム'!$AC$3:$AD$114, MATCH($A$1,'アイテム'!$A$3:$A$114,0), MATCH(C137,'アイテム'!$C$2:$AQ$2,0))</f>
        <v>16</v>
      </c>
      <c r="D152" s="328" t="str">
        <f t="array" ref="D152">INDEX('アイテム'!$AC$3:$AD$114, MATCH($A$1,'アイテム'!$A$3:$A$114,0), MATCH(D137,'アイテム'!$C$2:$AQ$2,0))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f t="array" ref="C153">INDEX('アイテム'!$AE$3:$AF$114, MATCH($A$1,'アイテム'!$A$3:$A$114,0), MATCH(C137,'アイテム'!$C$2:$AQ$2,0))</f>
        <v>17</v>
      </c>
      <c r="D153" s="328" t="str">
        <f t="array" ref="D153">INDEX('アイテム'!$AE$3:$AF$114, MATCH($A$1,'アイテム'!$A$3:$A$114,0), MATCH(D137,'アイテム'!$C$2:$AQ$2,0))</f>
        <v>30</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f t="array" ref="C154">INDEX('アイテム'!$AG$3:$AH$114, MATCH($A$1,'アイテム'!$A$3:$A$114,0), MATCH(C137,'アイテム'!$C$2:$AQ$2,0))</f>
        <v>11</v>
      </c>
      <c r="D154" s="328" t="str">
        <f t="array" ref="D154">INDEX('アイテム'!$AG$3:$AH$114, MATCH($A$1,'アイテム'!$A$3:$A$114,0), MATCH(D137,'アイテム'!$C$2:$AQ$2,0))</f>
        <v>22</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f t="array" ref="C155">INDEX('アイテム'!$AI$3:$AJ$114, MATCH($A$1,'アイテム'!$A$3:$A$114,0), MATCH(C137,'アイテム'!$C$2:$AQ$2,0))</f>
        <v>11</v>
      </c>
      <c r="D155" s="328" t="str">
        <f t="array" ref="D155">INDEX('アイテム'!$AI$3:$AJ$114, MATCH($A$1,'アイテム'!$A$3:$A$114,0), MATCH(D137,'アイテム'!$C$2:$AQ$2,0))</f>
        <v>22</v>
      </c>
      <c r="E155" s="322"/>
      <c r="F155" s="322"/>
      <c r="G155" s="114"/>
      <c r="H155" s="228"/>
      <c r="I155" s="228"/>
      <c r="J155" s="228"/>
      <c r="K155" s="118"/>
      <c r="L155" s="118"/>
      <c r="M155" s="118"/>
      <c r="N155" s="102"/>
      <c r="O155" s="102"/>
      <c r="P155" s="102"/>
      <c r="Q155" s="102"/>
      <c r="R155" s="118"/>
      <c r="S155" s="118"/>
      <c r="T155" s="118"/>
      <c r="U155" s="118"/>
      <c r="V155" s="118"/>
    </row>
  </sheetData>
  <mergeCells count="139">
    <mergeCell ref="H41:J42"/>
    <mergeCell ref="I46:I47"/>
    <mergeCell ref="J46:J47"/>
    <mergeCell ref="H30:J30"/>
    <mergeCell ref="H31:J31"/>
    <mergeCell ref="D33:D35"/>
    <mergeCell ref="H33:J35"/>
    <mergeCell ref="H36:J36"/>
    <mergeCell ref="H37:J37"/>
    <mergeCell ref="H38:J40"/>
    <mergeCell ref="R51:V53"/>
    <mergeCell ref="R54:V54"/>
    <mergeCell ref="R55:V55"/>
    <mergeCell ref="V59:V60"/>
    <mergeCell ref="V62:V64"/>
    <mergeCell ref="V66:V71"/>
    <mergeCell ref="V73:V79"/>
    <mergeCell ref="U30:U32"/>
    <mergeCell ref="U33:U35"/>
    <mergeCell ref="U38:U40"/>
    <mergeCell ref="U41:U42"/>
    <mergeCell ref="R45:V45"/>
    <mergeCell ref="R46:V47"/>
    <mergeCell ref="R48:V50"/>
    <mergeCell ref="A59:A60"/>
    <mergeCell ref="A62:A64"/>
    <mergeCell ref="A66:A69"/>
    <mergeCell ref="A61:B61"/>
    <mergeCell ref="A65:B65"/>
    <mergeCell ref="D66:D71"/>
    <mergeCell ref="A70:A71"/>
    <mergeCell ref="A72:B72"/>
    <mergeCell ref="A48:A50"/>
    <mergeCell ref="A51:A53"/>
    <mergeCell ref="D51:D53"/>
    <mergeCell ref="A57:B57"/>
    <mergeCell ref="A58:B58"/>
    <mergeCell ref="D59:D60"/>
    <mergeCell ref="D62:D64"/>
    <mergeCell ref="A15:B16"/>
    <mergeCell ref="A30:A32"/>
    <mergeCell ref="A33:A35"/>
    <mergeCell ref="A38:A40"/>
    <mergeCell ref="A41:A42"/>
    <mergeCell ref="A44:B45"/>
    <mergeCell ref="A46:A47"/>
    <mergeCell ref="A74:A76"/>
    <mergeCell ref="A77:A79"/>
    <mergeCell ref="A81:B82"/>
    <mergeCell ref="A84:A86"/>
    <mergeCell ref="A87:B87"/>
    <mergeCell ref="A88:A89"/>
    <mergeCell ref="A90:A91"/>
    <mergeCell ref="A92:A93"/>
    <mergeCell ref="A94:A96"/>
    <mergeCell ref="A98:B99"/>
    <mergeCell ref="A100:A102"/>
    <mergeCell ref="A103:A104"/>
    <mergeCell ref="A106:B107"/>
    <mergeCell ref="A108:A112"/>
    <mergeCell ref="A138:A139"/>
    <mergeCell ref="A142:A147"/>
    <mergeCell ref="A148:A151"/>
    <mergeCell ref="A152:A155"/>
    <mergeCell ref="A113:A115"/>
    <mergeCell ref="A116:A121"/>
    <mergeCell ref="A122:A127"/>
    <mergeCell ref="A128:A134"/>
    <mergeCell ref="A136:B136"/>
    <mergeCell ref="A137:B137"/>
    <mergeCell ref="A141:B141"/>
    <mergeCell ref="G87:J87"/>
    <mergeCell ref="G88:J89"/>
    <mergeCell ref="D90:D91"/>
    <mergeCell ref="G90:J91"/>
    <mergeCell ref="D92:D93"/>
    <mergeCell ref="G92:J93"/>
    <mergeCell ref="D94:D96"/>
    <mergeCell ref="K117:K120"/>
    <mergeCell ref="K121:L121"/>
    <mergeCell ref="K123:K126"/>
    <mergeCell ref="K127:L127"/>
    <mergeCell ref="K130:L130"/>
    <mergeCell ref="C126:C127"/>
    <mergeCell ref="D126:D127"/>
    <mergeCell ref="C133:C134"/>
    <mergeCell ref="D133:D134"/>
    <mergeCell ref="G94:J96"/>
    <mergeCell ref="K107:L107"/>
    <mergeCell ref="K108:K109"/>
    <mergeCell ref="K110:L110"/>
    <mergeCell ref="K111:K116"/>
    <mergeCell ref="C120:C121"/>
    <mergeCell ref="D120:D121"/>
    <mergeCell ref="H6:H7"/>
    <mergeCell ref="H10:H11"/>
    <mergeCell ref="H1:J2"/>
    <mergeCell ref="K1:M2"/>
    <mergeCell ref="H4:H5"/>
    <mergeCell ref="I4:I5"/>
    <mergeCell ref="I6:I7"/>
    <mergeCell ref="H8:J9"/>
    <mergeCell ref="I10:I11"/>
    <mergeCell ref="K16:N16"/>
    <mergeCell ref="C1:G12"/>
    <mergeCell ref="A11:B12"/>
    <mergeCell ref="C16:D16"/>
    <mergeCell ref="E16:F16"/>
    <mergeCell ref="G16:H16"/>
    <mergeCell ref="H25:J25"/>
    <mergeCell ref="H26:J26"/>
    <mergeCell ref="A24:B25"/>
    <mergeCell ref="A26:A28"/>
    <mergeCell ref="U26:U28"/>
    <mergeCell ref="H27:J27"/>
    <mergeCell ref="H28:J28"/>
    <mergeCell ref="H29:J29"/>
    <mergeCell ref="H32:J32"/>
    <mergeCell ref="D38:D40"/>
    <mergeCell ref="D41:D42"/>
    <mergeCell ref="D46:D47"/>
    <mergeCell ref="D48:D50"/>
    <mergeCell ref="I48:I50"/>
    <mergeCell ref="J48:J50"/>
    <mergeCell ref="I51:I53"/>
    <mergeCell ref="J51:J53"/>
    <mergeCell ref="H58:J58"/>
    <mergeCell ref="H59:J60"/>
    <mergeCell ref="U59:U60"/>
    <mergeCell ref="H61:J61"/>
    <mergeCell ref="H62:J64"/>
    <mergeCell ref="U62:U64"/>
    <mergeCell ref="H65:J65"/>
    <mergeCell ref="H66:J71"/>
    <mergeCell ref="U66:U71"/>
    <mergeCell ref="H72:J72"/>
    <mergeCell ref="H73:J79"/>
    <mergeCell ref="U73:U79"/>
    <mergeCell ref="D88:D89"/>
  </mergeCells>
  <conditionalFormatting sqref="K1:K15 K17:K72 K74:K131">
    <cfRule type="containsText" dxfId="0" priority="1" operator="containsText" text="361">
      <formula>NOT(ISERROR(SEARCH(("361"),(K1))))</formula>
    </cfRule>
  </conditionalFormatting>
  <conditionalFormatting sqref="K1:K15 K17:K72 K74:K131">
    <cfRule type="containsText" dxfId="1" priority="2" operator="containsText" text="363">
      <formula>NOT(ISERROR(SEARCH(("363"),(K1))))</formula>
    </cfRule>
  </conditionalFormatting>
  <conditionalFormatting sqref="K1:K15 K17:K72 K74:K131">
    <cfRule type="containsText" dxfId="1" priority="3" operator="containsText" text="365">
      <formula>NOT(ISERROR(SEARCH(("365"),(K1))))</formula>
    </cfRule>
  </conditionalFormatting>
  <conditionalFormatting sqref="K1:K15 K17:K72 K74:K131">
    <cfRule type="containsText" dxfId="1" priority="4" operator="containsText" text="366">
      <formula>NOT(ISERROR(SEARCH(("366"),(K1))))</formula>
    </cfRule>
  </conditionalFormatting>
  <conditionalFormatting sqref="K1:K15 K17:K72 K74:K131">
    <cfRule type="containsText" dxfId="1" priority="5" operator="containsText" text="367">
      <formula>NOT(ISERROR(SEARCH(("367"),(K1))))</formula>
    </cfRule>
  </conditionalFormatting>
  <conditionalFormatting sqref="P88:P96">
    <cfRule type="cellIs" dxfId="2" priority="6" operator="equal">
      <formula>"敵のみ"</formula>
    </cfRule>
  </conditionalFormatting>
  <conditionalFormatting sqref="C88:C96">
    <cfRule type="cellIs" dxfId="3" priority="7" operator="equal">
      <formula>"-"</formula>
    </cfRule>
  </conditionalFormatting>
  <conditionalFormatting sqref="O1:O72 C26 E26:G26 O74:O155 P96">
    <cfRule type="cellIs" dxfId="4" priority="8" operator="greaterThan">
      <formula>0</formula>
    </cfRule>
  </conditionalFormatting>
  <conditionalFormatting sqref="P1:Q72 P74:Q155">
    <cfRule type="cellIs" dxfId="5" priority="9" operator="lessThan">
      <formula>1</formula>
    </cfRule>
  </conditionalFormatting>
  <conditionalFormatting sqref="P1:Q72 P74:Q155">
    <cfRule type="cellIs" dxfId="4" priority="10" operator="greaterThan">
      <formula>1</formula>
    </cfRule>
  </conditionalFormatting>
  <conditionalFormatting sqref="N25:N72 N74:N96">
    <cfRule type="cellIs" dxfId="6" priority="11" operator="greaterThan">
      <formula>0</formula>
    </cfRule>
  </conditionalFormatting>
  <conditionalFormatting sqref="N1:N15 N17:N72 N74:N155">
    <cfRule type="containsText" dxfId="6" priority="12" operator="containsText" text="/">
      <formula>NOT(ISERROR(SEARCH(("/"),(N1))))</formula>
    </cfRule>
  </conditionalFormatting>
  <drawing r:id="rId2"/>
  <legacyDrawing r:id="rId3"/>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BEBE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492">
        <v>28.0</v>
      </c>
      <c r="B1" s="1493"/>
      <c r="C1" s="1494" t="str">
        <f>IMAGE(VLOOKUP($A$1,Fighters!A2:AI114,12,FALSE),1)</f>
        <v>#REF!</v>
      </c>
      <c r="D1" s="1495"/>
      <c r="E1" s="1495"/>
      <c r="F1" s="1495"/>
      <c r="G1" s="1496"/>
      <c r="H1" s="1497"/>
      <c r="I1" s="1495"/>
      <c r="J1" s="1496"/>
      <c r="K1" s="1498"/>
      <c r="L1" s="1495"/>
      <c r="M1" s="1496"/>
      <c r="N1" s="1499"/>
      <c r="O1" s="1499"/>
      <c r="P1" s="1499"/>
      <c r="Q1" s="1499"/>
      <c r="R1" s="1500"/>
      <c r="S1" s="1500"/>
      <c r="T1" s="1500"/>
      <c r="U1" s="1500"/>
      <c r="V1" s="1500"/>
    </row>
    <row r="2">
      <c r="A2" s="1501" t="str">
        <f>VLOOKUP($A$1,Fighters!$A$2:$AI$81,6,FALSE)</f>
        <v>#ebebeb</v>
      </c>
      <c r="B2" s="1493"/>
      <c r="C2" s="1502"/>
      <c r="G2" s="1503"/>
      <c r="H2" s="1504"/>
      <c r="I2" s="1505"/>
      <c r="J2" s="1506"/>
      <c r="K2" s="1504"/>
      <c r="L2" s="1505"/>
      <c r="M2" s="1506"/>
      <c r="N2" s="1499"/>
      <c r="O2" s="1499"/>
      <c r="P2" s="1499"/>
      <c r="Q2" s="1499"/>
      <c r="R2" s="1500"/>
      <c r="S2" s="1500"/>
      <c r="T2" s="1500"/>
      <c r="U2" s="1500"/>
      <c r="V2" s="1500"/>
    </row>
    <row r="3">
      <c r="A3" s="1501" t="str">
        <f>VLOOKUP($A$1,Fighters!$A$2:$AI$81,14,FALSE)</f>
        <v>28. ピット</v>
      </c>
      <c r="B3" s="1493"/>
      <c r="C3" s="1502"/>
      <c r="G3" s="1503"/>
      <c r="H3" s="1507"/>
      <c r="I3" s="1507"/>
      <c r="J3" s="1507"/>
      <c r="K3" s="1508"/>
      <c r="L3" s="1508"/>
      <c r="M3" s="1508"/>
      <c r="N3" s="1499"/>
      <c r="O3" s="1499"/>
      <c r="P3" s="1499"/>
      <c r="Q3" s="1499"/>
      <c r="R3" s="1509"/>
      <c r="S3" s="1500"/>
      <c r="T3" s="1500"/>
      <c r="U3" s="1500"/>
      <c r="V3" s="1500"/>
    </row>
    <row r="4">
      <c r="A4" s="1501" t="str">
        <f>VLOOKUP($A$1,Fighters!$A$2:$AI$81,13,FALSE)</f>
        <v>0</v>
      </c>
      <c r="B4" s="1493"/>
      <c r="C4" s="1502"/>
      <c r="G4" s="1503"/>
      <c r="H4" s="1510"/>
      <c r="I4" s="1510"/>
      <c r="J4" s="1507"/>
      <c r="K4" s="1508"/>
      <c r="L4" s="1508"/>
      <c r="M4" s="1508"/>
      <c r="N4" s="1499"/>
      <c r="O4" s="1499"/>
      <c r="P4" s="1499"/>
      <c r="Q4" s="1499"/>
      <c r="R4" s="1509"/>
      <c r="S4" s="1500"/>
      <c r="T4" s="1500"/>
      <c r="U4" s="1500"/>
      <c r="V4" s="1500"/>
    </row>
    <row r="5" ht="16.5" customHeight="1">
      <c r="A5" s="1492"/>
      <c r="B5" s="1493"/>
      <c r="C5" s="1502"/>
      <c r="G5" s="1503"/>
      <c r="H5" s="1511"/>
      <c r="I5" s="1511"/>
      <c r="J5" s="1512"/>
      <c r="K5" s="1513"/>
      <c r="L5" s="1514"/>
      <c r="M5" s="1514"/>
      <c r="N5" s="1499"/>
      <c r="O5" s="1499"/>
      <c r="P5" s="1499"/>
      <c r="Q5" s="1499"/>
      <c r="R5" s="1509"/>
      <c r="S5" s="1500"/>
      <c r="T5" s="1500"/>
      <c r="U5" s="1500"/>
      <c r="V5" s="1500"/>
    </row>
    <row r="6">
      <c r="A6" s="1493"/>
      <c r="B6" s="1493"/>
      <c r="C6" s="1502"/>
      <c r="G6" s="1503"/>
      <c r="H6" s="1510"/>
      <c r="I6" s="1515" t="s">
        <v>39</v>
      </c>
      <c r="J6" s="1513"/>
      <c r="K6" s="1516"/>
      <c r="L6" s="1514"/>
      <c r="M6" s="1514"/>
      <c r="N6" s="1499"/>
      <c r="O6" s="1499"/>
      <c r="P6" s="1499"/>
      <c r="Q6" s="1499"/>
      <c r="R6" s="1509"/>
      <c r="S6" s="1500"/>
      <c r="T6" s="1500"/>
      <c r="U6" s="1500"/>
      <c r="V6" s="1500"/>
    </row>
    <row r="7">
      <c r="A7" s="1493"/>
      <c r="B7" s="1493"/>
      <c r="C7" s="1502"/>
      <c r="G7" s="1503"/>
      <c r="H7" s="1511"/>
      <c r="I7" s="1511"/>
      <c r="J7" s="1513"/>
      <c r="K7" s="1516"/>
      <c r="L7" s="1514"/>
      <c r="M7" s="1514"/>
      <c r="N7" s="1499"/>
      <c r="O7" s="1499"/>
      <c r="P7" s="1499"/>
      <c r="Q7" s="1499"/>
      <c r="R7" s="1509"/>
      <c r="S7" s="1500"/>
      <c r="T7" s="1500"/>
      <c r="U7" s="1500"/>
      <c r="V7" s="1500"/>
    </row>
    <row r="8">
      <c r="A8" s="1493"/>
      <c r="B8" s="1493"/>
      <c r="C8" s="1502"/>
      <c r="G8" s="1503"/>
      <c r="H8" s="1517">
        <v>44379.84413538194</v>
      </c>
      <c r="I8" s="1495"/>
      <c r="J8" s="1496"/>
      <c r="K8" s="1513"/>
      <c r="L8" s="1514"/>
      <c r="M8" s="1514"/>
      <c r="N8" s="1499"/>
      <c r="O8" s="1499"/>
      <c r="P8" s="1499"/>
      <c r="Q8" s="1499"/>
      <c r="R8" s="1509"/>
      <c r="S8" s="1500"/>
      <c r="T8" s="1500"/>
      <c r="U8" s="1500"/>
      <c r="V8" s="1500"/>
    </row>
    <row r="9">
      <c r="A9" s="1493"/>
      <c r="B9" s="1493"/>
      <c r="C9" s="1502"/>
      <c r="G9" s="1503"/>
      <c r="H9" s="1504"/>
      <c r="I9" s="1505"/>
      <c r="J9" s="1506"/>
      <c r="K9" s="1500"/>
      <c r="L9" s="1499"/>
      <c r="M9" s="1499"/>
      <c r="N9" s="1499"/>
      <c r="O9" s="1499"/>
      <c r="P9" s="1499"/>
      <c r="Q9" s="1499"/>
      <c r="R9" s="1509"/>
      <c r="S9" s="1500"/>
      <c r="T9" s="1500"/>
      <c r="U9" s="1500"/>
      <c r="V9" s="1500"/>
    </row>
    <row r="10">
      <c r="A10" s="1493"/>
      <c r="B10" s="1493"/>
      <c r="C10" s="1502"/>
      <c r="G10" s="1503"/>
      <c r="H10" s="1518"/>
      <c r="I10" s="1518"/>
      <c r="J10" s="1500"/>
      <c r="K10" s="1500"/>
      <c r="L10" s="1499"/>
      <c r="M10" s="1499"/>
      <c r="N10" s="1499"/>
      <c r="O10" s="1499"/>
      <c r="P10" s="1499"/>
      <c r="Q10" s="1499"/>
      <c r="R10" s="1509"/>
      <c r="S10" s="1500"/>
      <c r="T10" s="1500"/>
      <c r="U10" s="1500"/>
      <c r="V10" s="1500"/>
    </row>
    <row r="11">
      <c r="A11" s="1519" t="s">
        <v>40</v>
      </c>
      <c r="B11" s="1496"/>
      <c r="C11" s="1502"/>
      <c r="G11" s="1503"/>
      <c r="H11" s="1511"/>
      <c r="I11" s="1511"/>
      <c r="J11" s="1500"/>
      <c r="K11" s="1500"/>
      <c r="L11" s="1499"/>
      <c r="M11" s="1499"/>
      <c r="N11" s="1499"/>
      <c r="O11" s="1499"/>
      <c r="P11" s="1499"/>
      <c r="Q11" s="1499"/>
      <c r="R11" s="1509"/>
      <c r="S11" s="1500"/>
      <c r="T11" s="1500"/>
      <c r="U11" s="1500"/>
      <c r="V11" s="1500"/>
    </row>
    <row r="12">
      <c r="A12" s="1504"/>
      <c r="B12" s="1506"/>
      <c r="C12" s="1504"/>
      <c r="D12" s="1505"/>
      <c r="E12" s="1505"/>
      <c r="F12" s="1505"/>
      <c r="G12" s="1506"/>
      <c r="H12" s="1520"/>
      <c r="I12" s="1520"/>
      <c r="J12" s="1493"/>
      <c r="K12" s="1493"/>
      <c r="L12" s="1499"/>
      <c r="M12" s="1499"/>
      <c r="N12" s="1499"/>
      <c r="O12" s="1499"/>
      <c r="P12" s="1499"/>
      <c r="Q12" s="1499"/>
      <c r="R12" s="1509"/>
      <c r="S12" s="1500"/>
      <c r="T12" s="1500"/>
      <c r="U12" s="1500"/>
      <c r="V12" s="1500"/>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2270</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96 [40th]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2.09 [18th]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1.259 [21st]</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0.16874 [19th]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31 [56th]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1.828 [33rd]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0.135 [2nd]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14.96 [62nd]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0.935 [72nd]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0.075 [43rd]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23.7 [84th]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1.48 [62nd]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2.368 [60th]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0.081 [65th]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56" t="s">
        <v>717</v>
      </c>
      <c r="D26" s="1356" t="s">
        <v>92</v>
      </c>
      <c r="E26" s="616" t="s">
        <v>176</v>
      </c>
      <c r="F26" s="138">
        <v>2.4</v>
      </c>
      <c r="G26" s="139" t="s">
        <v>60</v>
      </c>
      <c r="H26" s="903" t="s">
        <v>2271</v>
      </c>
      <c r="I26" s="110"/>
      <c r="J26" s="109"/>
      <c r="K26" s="138"/>
      <c r="L26" s="282"/>
      <c r="M26" s="363"/>
      <c r="N26" s="363"/>
      <c r="O26" s="145">
        <v>0.0</v>
      </c>
      <c r="P26" s="145">
        <v>1.0</v>
      </c>
      <c r="Q26" s="145">
        <v>1.0</v>
      </c>
      <c r="R26" s="100"/>
      <c r="S26" s="100"/>
      <c r="T26" s="100"/>
      <c r="U26" s="145" t="s">
        <v>62</v>
      </c>
      <c r="V26" s="100"/>
    </row>
    <row r="27" outlineLevel="1">
      <c r="A27" s="146"/>
      <c r="B27" s="147" t="s">
        <v>63</v>
      </c>
      <c r="C27" s="245" t="s">
        <v>267</v>
      </c>
      <c r="D27" s="245" t="s">
        <v>99</v>
      </c>
      <c r="E27" s="214" t="s">
        <v>176</v>
      </c>
      <c r="F27" s="138">
        <v>2.4</v>
      </c>
      <c r="G27" s="139" t="s">
        <v>60</v>
      </c>
      <c r="H27" s="140" t="s">
        <v>2272</v>
      </c>
      <c r="I27" s="110"/>
      <c r="J27" s="109"/>
      <c r="K27" s="282"/>
      <c r="L27" s="282"/>
      <c r="M27" s="363"/>
      <c r="N27" s="363"/>
      <c r="O27" s="145">
        <v>0.0</v>
      </c>
      <c r="P27" s="145">
        <v>1.0</v>
      </c>
      <c r="Q27" s="145">
        <v>1.0</v>
      </c>
      <c r="R27" s="100"/>
      <c r="S27" s="100"/>
      <c r="T27" s="100"/>
      <c r="U27" s="145" t="s">
        <v>69</v>
      </c>
      <c r="V27" s="100"/>
    </row>
    <row r="28" outlineLevel="1">
      <c r="A28" s="146"/>
      <c r="B28" s="147" t="s">
        <v>70</v>
      </c>
      <c r="C28" s="245" t="s">
        <v>204</v>
      </c>
      <c r="D28" s="245" t="s">
        <v>271</v>
      </c>
      <c r="E28" s="214" t="s">
        <v>73</v>
      </c>
      <c r="F28" s="138">
        <v>4.8</v>
      </c>
      <c r="G28" s="139" t="s">
        <v>75</v>
      </c>
      <c r="H28" s="159"/>
      <c r="I28" s="110"/>
      <c r="J28" s="109"/>
      <c r="K28" s="282"/>
      <c r="L28" s="282"/>
      <c r="M28" s="363"/>
      <c r="N28" s="363"/>
      <c r="O28" s="145">
        <v>0.0</v>
      </c>
      <c r="P28" s="145">
        <v>1.0</v>
      </c>
      <c r="Q28" s="145">
        <v>1.0</v>
      </c>
      <c r="R28" s="100"/>
      <c r="S28" s="100"/>
      <c r="T28" s="100"/>
      <c r="U28" s="145" t="s">
        <v>76</v>
      </c>
      <c r="V28" s="100"/>
    </row>
    <row r="29" outlineLevel="1">
      <c r="A29" s="146"/>
      <c r="B29" s="147" t="s">
        <v>703</v>
      </c>
      <c r="C29" s="553"/>
      <c r="D29" s="216" t="s">
        <v>73</v>
      </c>
      <c r="E29" s="553"/>
      <c r="F29" s="553"/>
      <c r="G29" s="553"/>
      <c r="H29" s="159"/>
      <c r="I29" s="110"/>
      <c r="J29" s="109"/>
      <c r="K29" s="216"/>
      <c r="L29" s="216"/>
      <c r="M29" s="216"/>
      <c r="N29" s="216"/>
      <c r="O29" s="145">
        <v>0.0</v>
      </c>
      <c r="P29" s="145">
        <v>1.0</v>
      </c>
      <c r="Q29" s="145">
        <v>1.0</v>
      </c>
      <c r="R29" s="100"/>
      <c r="S29" s="100"/>
      <c r="T29" s="100"/>
      <c r="U29" s="145" t="s">
        <v>76</v>
      </c>
      <c r="V29" s="100"/>
    </row>
    <row r="30" outlineLevel="1">
      <c r="A30" s="146"/>
      <c r="B30" s="147" t="s">
        <v>704</v>
      </c>
      <c r="C30" s="216" t="s">
        <v>1507</v>
      </c>
      <c r="D30" s="216" t="s">
        <v>153</v>
      </c>
      <c r="E30" s="214" t="s">
        <v>1098</v>
      </c>
      <c r="F30" s="138">
        <v>0.6</v>
      </c>
      <c r="G30" s="450" t="s">
        <v>60</v>
      </c>
      <c r="H30" s="140" t="s">
        <v>2273</v>
      </c>
      <c r="I30" s="110"/>
      <c r="J30" s="109"/>
      <c r="K30" s="282"/>
      <c r="L30" s="282"/>
      <c r="M30" s="363"/>
      <c r="N30" s="363"/>
      <c r="O30" s="145">
        <v>0.0</v>
      </c>
      <c r="P30" s="145">
        <v>1.0</v>
      </c>
      <c r="Q30" s="145">
        <v>1.0</v>
      </c>
      <c r="R30" s="100"/>
      <c r="S30" s="100"/>
      <c r="T30" s="100"/>
      <c r="U30" s="145" t="s">
        <v>76</v>
      </c>
      <c r="V30" s="100"/>
    </row>
    <row r="31" outlineLevel="1">
      <c r="A31" s="156"/>
      <c r="B31" s="147" t="s">
        <v>708</v>
      </c>
      <c r="C31" s="216" t="s">
        <v>717</v>
      </c>
      <c r="D31" s="216" t="s">
        <v>111</v>
      </c>
      <c r="E31" s="216" t="s">
        <v>176</v>
      </c>
      <c r="F31" s="138">
        <v>2.4</v>
      </c>
      <c r="G31" s="467" t="s">
        <v>60</v>
      </c>
      <c r="H31" s="140" t="s">
        <v>411</v>
      </c>
      <c r="I31" s="110"/>
      <c r="J31" s="109"/>
      <c r="K31" s="282"/>
      <c r="L31" s="282"/>
      <c r="M31" s="363"/>
      <c r="N31" s="363"/>
      <c r="O31" s="145">
        <v>0.0</v>
      </c>
      <c r="P31" s="145">
        <v>1.0</v>
      </c>
      <c r="Q31" s="145">
        <v>1.0</v>
      </c>
      <c r="R31" s="100"/>
      <c r="S31" s="100"/>
      <c r="T31" s="100"/>
      <c r="U31" s="145" t="s">
        <v>76</v>
      </c>
      <c r="V31" s="100"/>
    </row>
    <row r="32" outlineLevel="1">
      <c r="A32" s="170" t="s">
        <v>77</v>
      </c>
      <c r="B32" s="160"/>
      <c r="C32" s="467" t="s">
        <v>277</v>
      </c>
      <c r="D32" s="467" t="s">
        <v>282</v>
      </c>
      <c r="E32" s="467" t="s">
        <v>232</v>
      </c>
      <c r="F32" s="138">
        <v>13.2</v>
      </c>
      <c r="G32" s="162" t="s">
        <v>82</v>
      </c>
      <c r="H32" s="151" t="s">
        <v>2274</v>
      </c>
      <c r="I32" s="110"/>
      <c r="J32" s="109"/>
      <c r="K32" s="138"/>
      <c r="L32" s="282"/>
      <c r="M32" s="363"/>
      <c r="N32" s="363"/>
      <c r="O32" s="145">
        <v>0.0</v>
      </c>
      <c r="P32" s="145">
        <v>1.0</v>
      </c>
      <c r="Q32" s="145">
        <v>1.0</v>
      </c>
      <c r="R32" s="100"/>
      <c r="S32" s="100"/>
      <c r="T32" s="100"/>
      <c r="U32" s="145" t="s">
        <v>69</v>
      </c>
      <c r="V32" s="100"/>
    </row>
    <row r="33" outlineLevel="1">
      <c r="A33" s="170" t="s">
        <v>89</v>
      </c>
      <c r="B33" s="147"/>
      <c r="C33" s="467" t="s">
        <v>1290</v>
      </c>
      <c r="D33" s="467" t="s">
        <v>118</v>
      </c>
      <c r="E33" s="467" t="s">
        <v>1725</v>
      </c>
      <c r="F33" s="138" t="s">
        <v>1726</v>
      </c>
      <c r="G33" s="139" t="s">
        <v>1727</v>
      </c>
      <c r="H33" s="159"/>
      <c r="I33" s="110"/>
      <c r="J33" s="109"/>
      <c r="K33" s="138"/>
      <c r="L33" s="282"/>
      <c r="M33" s="363"/>
      <c r="N33" s="363"/>
      <c r="O33" s="145">
        <v>0.0</v>
      </c>
      <c r="P33" s="145">
        <v>1.0</v>
      </c>
      <c r="Q33" s="145">
        <v>1.0</v>
      </c>
      <c r="R33" s="100"/>
      <c r="S33" s="100"/>
      <c r="T33" s="100"/>
      <c r="U33" s="145" t="s">
        <v>96</v>
      </c>
      <c r="V33" s="100"/>
    </row>
    <row r="34" outlineLevel="1">
      <c r="A34" s="133" t="s">
        <v>97</v>
      </c>
      <c r="B34" s="147" t="s">
        <v>125</v>
      </c>
      <c r="C34" s="216" t="s">
        <v>549</v>
      </c>
      <c r="D34" s="379" t="s">
        <v>964</v>
      </c>
      <c r="E34" s="216" t="s">
        <v>73</v>
      </c>
      <c r="F34" s="138">
        <v>4.8</v>
      </c>
      <c r="G34" s="139" t="s">
        <v>75</v>
      </c>
      <c r="H34" s="368"/>
      <c r="I34" s="164"/>
      <c r="J34" s="104"/>
      <c r="K34" s="282"/>
      <c r="L34" s="282"/>
      <c r="M34" s="363"/>
      <c r="N34" s="363"/>
      <c r="O34" s="145">
        <v>0.0</v>
      </c>
      <c r="P34" s="145">
        <v>1.0</v>
      </c>
      <c r="Q34" s="145">
        <v>1.0</v>
      </c>
      <c r="R34" s="100"/>
      <c r="S34" s="100"/>
      <c r="T34" s="100"/>
      <c r="U34" s="166" t="s">
        <v>62</v>
      </c>
      <c r="V34" s="100"/>
    </row>
    <row r="35" outlineLevel="1">
      <c r="A35" s="156"/>
      <c r="B35" s="147" t="s">
        <v>131</v>
      </c>
      <c r="C35" s="216" t="s">
        <v>561</v>
      </c>
      <c r="D35" s="107"/>
      <c r="E35" s="216" t="s">
        <v>150</v>
      </c>
      <c r="F35" s="138">
        <v>6.0</v>
      </c>
      <c r="G35" s="139" t="s">
        <v>102</v>
      </c>
      <c r="H35" s="106"/>
      <c r="I35" s="168"/>
      <c r="J35" s="107"/>
      <c r="K35" s="145"/>
      <c r="L35" s="363"/>
      <c r="M35" s="363"/>
      <c r="N35" s="363"/>
      <c r="O35" s="145">
        <v>0.0</v>
      </c>
      <c r="P35" s="145">
        <v>1.0</v>
      </c>
      <c r="Q35" s="145">
        <v>1.0</v>
      </c>
      <c r="R35" s="100"/>
      <c r="S35" s="100"/>
      <c r="T35" s="100"/>
      <c r="U35" s="156"/>
      <c r="V35" s="100"/>
    </row>
    <row r="36" outlineLevel="1">
      <c r="A36" s="170" t="s">
        <v>103</v>
      </c>
      <c r="B36" s="160"/>
      <c r="C36" s="216" t="s">
        <v>217</v>
      </c>
      <c r="D36" s="216" t="s">
        <v>92</v>
      </c>
      <c r="E36" s="216" t="s">
        <v>86</v>
      </c>
      <c r="F36" s="138">
        <v>7.199999999999999</v>
      </c>
      <c r="G36" s="139" t="s">
        <v>102</v>
      </c>
      <c r="H36" s="366"/>
      <c r="I36" s="110"/>
      <c r="J36" s="109"/>
      <c r="K36" s="145"/>
      <c r="L36" s="363"/>
      <c r="M36" s="363"/>
      <c r="N36" s="363"/>
      <c r="O36" s="145">
        <v>0.0</v>
      </c>
      <c r="P36" s="145">
        <v>1.0</v>
      </c>
      <c r="Q36" s="145">
        <v>1.0</v>
      </c>
      <c r="R36" s="100"/>
      <c r="S36" s="100"/>
      <c r="T36" s="100"/>
      <c r="U36" s="145" t="s">
        <v>69</v>
      </c>
      <c r="V36" s="100"/>
    </row>
    <row r="37" outlineLevel="1">
      <c r="A37" s="133" t="s">
        <v>109</v>
      </c>
      <c r="B37" s="147" t="s">
        <v>125</v>
      </c>
      <c r="C37" s="216" t="s">
        <v>128</v>
      </c>
      <c r="D37" s="195" t="s">
        <v>289</v>
      </c>
      <c r="E37" s="216" t="s">
        <v>150</v>
      </c>
      <c r="F37" s="138">
        <v>6.0</v>
      </c>
      <c r="G37" s="139" t="s">
        <v>147</v>
      </c>
      <c r="H37" s="395" t="s">
        <v>553</v>
      </c>
      <c r="I37" s="164"/>
      <c r="J37" s="104"/>
      <c r="K37" s="282"/>
      <c r="L37" s="282"/>
      <c r="M37" s="363"/>
      <c r="N37" s="363"/>
      <c r="O37" s="145">
        <v>0.0</v>
      </c>
      <c r="P37" s="145">
        <v>1.0</v>
      </c>
      <c r="Q37" s="145">
        <v>1.0</v>
      </c>
      <c r="R37" s="100"/>
      <c r="S37" s="100"/>
      <c r="T37" s="100"/>
      <c r="U37" s="166" t="s">
        <v>75</v>
      </c>
      <c r="V37" s="100"/>
    </row>
    <row r="38" outlineLevel="1">
      <c r="A38" s="156"/>
      <c r="B38" s="147" t="s">
        <v>131</v>
      </c>
      <c r="C38" s="216" t="s">
        <v>834</v>
      </c>
      <c r="D38" s="107"/>
      <c r="E38" s="216" t="s">
        <v>128</v>
      </c>
      <c r="F38" s="138">
        <v>12.0</v>
      </c>
      <c r="G38" s="139" t="s">
        <v>95</v>
      </c>
      <c r="H38" s="106"/>
      <c r="I38" s="168"/>
      <c r="J38" s="107"/>
      <c r="K38" s="282"/>
      <c r="L38" s="282"/>
      <c r="M38" s="363"/>
      <c r="N38" s="363"/>
      <c r="O38" s="145">
        <v>0.0</v>
      </c>
      <c r="P38" s="145">
        <v>1.0</v>
      </c>
      <c r="Q38" s="145">
        <v>1.0</v>
      </c>
      <c r="R38" s="100"/>
      <c r="S38" s="100"/>
      <c r="T38" s="100"/>
      <c r="U38" s="156"/>
      <c r="V38" s="100"/>
    </row>
    <row r="39" outlineLevel="1">
      <c r="A39" s="133" t="s">
        <v>116</v>
      </c>
      <c r="B39" s="147" t="s">
        <v>125</v>
      </c>
      <c r="C39" s="216" t="s">
        <v>86</v>
      </c>
      <c r="D39" s="195" t="s">
        <v>455</v>
      </c>
      <c r="E39" s="216" t="s">
        <v>204</v>
      </c>
      <c r="F39" s="138">
        <v>3.5999999999999996</v>
      </c>
      <c r="G39" s="139" t="s">
        <v>60</v>
      </c>
      <c r="H39" s="395" t="s">
        <v>130</v>
      </c>
      <c r="I39" s="164"/>
      <c r="J39" s="104"/>
      <c r="K39" s="363"/>
      <c r="L39" s="363"/>
      <c r="M39" s="363"/>
      <c r="N39" s="363"/>
      <c r="O39" s="145">
        <v>0.0</v>
      </c>
      <c r="P39" s="145">
        <v>1.0</v>
      </c>
      <c r="Q39" s="145">
        <v>1.0</v>
      </c>
      <c r="R39" s="100"/>
      <c r="S39" s="100"/>
      <c r="T39" s="100"/>
      <c r="U39" s="166" t="s">
        <v>62</v>
      </c>
      <c r="V39" s="100"/>
    </row>
    <row r="40" outlineLevel="1">
      <c r="A40" s="146"/>
      <c r="B40" s="147" t="s">
        <v>430</v>
      </c>
      <c r="C40" s="216" t="s">
        <v>93</v>
      </c>
      <c r="D40" s="210"/>
      <c r="E40" s="216" t="s">
        <v>204</v>
      </c>
      <c r="F40" s="138">
        <v>3.5999999999999996</v>
      </c>
      <c r="G40" s="139" t="s">
        <v>60</v>
      </c>
      <c r="H40" s="212"/>
      <c r="J40" s="210"/>
      <c r="K40" s="363"/>
      <c r="L40" s="363"/>
      <c r="M40" s="363"/>
      <c r="N40" s="363"/>
      <c r="O40" s="145">
        <v>0.0</v>
      </c>
      <c r="P40" s="145">
        <v>1.0</v>
      </c>
      <c r="Q40" s="145">
        <v>1.0</v>
      </c>
      <c r="R40" s="100"/>
      <c r="S40" s="100"/>
      <c r="T40" s="100"/>
      <c r="U40" s="146"/>
      <c r="V40" s="100"/>
    </row>
    <row r="41" outlineLevel="1">
      <c r="A41" s="146"/>
      <c r="B41" s="147" t="s">
        <v>131</v>
      </c>
      <c r="C41" s="216" t="s">
        <v>128</v>
      </c>
      <c r="D41" s="210"/>
      <c r="E41" s="216" t="s">
        <v>176</v>
      </c>
      <c r="F41" s="138">
        <v>2.4</v>
      </c>
      <c r="G41" s="139" t="s">
        <v>60</v>
      </c>
      <c r="H41" s="212"/>
      <c r="J41" s="210"/>
      <c r="K41" s="363"/>
      <c r="L41" s="363"/>
      <c r="M41" s="363"/>
      <c r="N41" s="363"/>
      <c r="O41" s="145">
        <v>0.0</v>
      </c>
      <c r="P41" s="145">
        <v>1.0</v>
      </c>
      <c r="Q41" s="145">
        <v>1.0</v>
      </c>
      <c r="R41" s="100"/>
      <c r="S41" s="100"/>
      <c r="T41" s="100"/>
      <c r="U41" s="146"/>
      <c r="V41" s="100"/>
    </row>
    <row r="42" outlineLevel="1">
      <c r="A42" s="156"/>
      <c r="B42" s="147" t="s">
        <v>434</v>
      </c>
      <c r="C42" s="216" t="s">
        <v>466</v>
      </c>
      <c r="D42" s="107"/>
      <c r="E42" s="216" t="s">
        <v>80</v>
      </c>
      <c r="F42" s="138">
        <v>9.6</v>
      </c>
      <c r="G42" s="139" t="s">
        <v>102</v>
      </c>
      <c r="H42" s="106"/>
      <c r="I42" s="168"/>
      <c r="J42" s="107"/>
      <c r="K42" s="363"/>
      <c r="L42" s="363"/>
      <c r="M42" s="363"/>
      <c r="N42" s="363"/>
      <c r="O42" s="145">
        <v>0.0</v>
      </c>
      <c r="P42" s="145">
        <v>1.2</v>
      </c>
      <c r="Q42" s="145">
        <v>0.0</v>
      </c>
      <c r="R42" s="100"/>
      <c r="S42" s="100"/>
      <c r="T42" s="100"/>
      <c r="U42" s="156"/>
      <c r="V42" s="100"/>
    </row>
    <row r="43" outlineLevel="1">
      <c r="A43" s="133" t="s">
        <v>124</v>
      </c>
      <c r="B43" s="147" t="s">
        <v>125</v>
      </c>
      <c r="C43" s="216" t="s">
        <v>267</v>
      </c>
      <c r="D43" s="455" t="s">
        <v>628</v>
      </c>
      <c r="E43" s="467" t="s">
        <v>2275</v>
      </c>
      <c r="F43" s="138" t="s">
        <v>2276</v>
      </c>
      <c r="G43" s="139" t="s">
        <v>716</v>
      </c>
      <c r="H43" s="175" t="s">
        <v>130</v>
      </c>
      <c r="I43" s="164"/>
      <c r="J43" s="104"/>
      <c r="K43" s="282"/>
      <c r="L43" s="282"/>
      <c r="M43" s="363"/>
      <c r="N43" s="363"/>
      <c r="O43" s="145">
        <v>0.0</v>
      </c>
      <c r="P43" s="145">
        <v>1.0</v>
      </c>
      <c r="Q43" s="145">
        <v>1.0</v>
      </c>
      <c r="R43" s="100"/>
      <c r="S43" s="100"/>
      <c r="T43" s="100"/>
      <c r="U43" s="166" t="s">
        <v>69</v>
      </c>
      <c r="V43" s="100"/>
    </row>
    <row r="44" outlineLevel="1">
      <c r="A44" s="156"/>
      <c r="B44" s="147" t="s">
        <v>131</v>
      </c>
      <c r="C44" s="216" t="s">
        <v>312</v>
      </c>
      <c r="D44" s="107"/>
      <c r="E44" s="467" t="s">
        <v>2275</v>
      </c>
      <c r="F44" s="138" t="s">
        <v>2276</v>
      </c>
      <c r="G44" s="139" t="s">
        <v>716</v>
      </c>
      <c r="H44" s="106"/>
      <c r="I44" s="168"/>
      <c r="J44" s="107"/>
      <c r="K44" s="282"/>
      <c r="L44" s="282"/>
      <c r="M44" s="363"/>
      <c r="N44" s="363"/>
      <c r="O44" s="145">
        <v>0.0</v>
      </c>
      <c r="P44" s="145">
        <v>1.0</v>
      </c>
      <c r="Q44" s="145">
        <v>1.0</v>
      </c>
      <c r="R44" s="100"/>
      <c r="S44" s="100"/>
      <c r="T44" s="100"/>
      <c r="U44" s="156"/>
      <c r="V44" s="100"/>
    </row>
    <row r="45">
      <c r="A45" s="118"/>
      <c r="B45" s="176"/>
      <c r="C45" s="118"/>
      <c r="D45" s="118"/>
      <c r="E45" s="118"/>
      <c r="F45" s="177"/>
      <c r="G45" s="177"/>
      <c r="H45" s="118"/>
      <c r="I45" s="118"/>
      <c r="J45" s="118"/>
      <c r="K45" s="118"/>
      <c r="L45" s="118"/>
      <c r="M45" s="118"/>
      <c r="N45" s="118"/>
      <c r="O45" s="118"/>
      <c r="P45" s="118"/>
      <c r="Q45" s="118"/>
      <c r="R45" s="118"/>
      <c r="S45" s="118"/>
      <c r="T45" s="118"/>
      <c r="U45" s="118"/>
      <c r="V45" s="118"/>
    </row>
    <row r="46">
      <c r="A46" s="178" t="s">
        <v>133</v>
      </c>
      <c r="B46" s="104"/>
      <c r="C46" s="179"/>
      <c r="D46" s="179"/>
      <c r="E46" s="179"/>
      <c r="F46" s="180"/>
      <c r="G46" s="179"/>
      <c r="H46" s="180"/>
      <c r="I46" s="180"/>
      <c r="J46" s="181"/>
      <c r="K46" s="180"/>
      <c r="L46" s="180"/>
      <c r="M46" s="180"/>
      <c r="N46" s="180"/>
      <c r="O46" s="180"/>
      <c r="P46" s="180"/>
      <c r="Q46" s="180"/>
      <c r="R46" s="180"/>
      <c r="S46" s="180"/>
      <c r="T46" s="180"/>
      <c r="U46" s="180"/>
      <c r="V46" s="180"/>
    </row>
    <row r="47" outlineLevel="1">
      <c r="A47" s="106"/>
      <c r="B47" s="107"/>
      <c r="C47" s="182" t="s">
        <v>48</v>
      </c>
      <c r="D47" s="183" t="s">
        <v>49</v>
      </c>
      <c r="E47" s="182" t="s">
        <v>50</v>
      </c>
      <c r="F47" s="184" t="s">
        <v>51</v>
      </c>
      <c r="G47" s="184" t="s">
        <v>134</v>
      </c>
      <c r="H47" s="185" t="s">
        <v>52</v>
      </c>
      <c r="I47" s="184" t="str">
        <f>'テンプレート'!I56</f>
        <v>着地隙</v>
      </c>
      <c r="J47" s="184" t="s">
        <v>136</v>
      </c>
      <c r="K47" s="184" t="str">
        <f>'テンプレート'!K56</f>
        <v>ベクトル</v>
      </c>
      <c r="L47" s="184" t="str">
        <f>'テンプレート'!L56</f>
        <v>KBG (R.E.)</v>
      </c>
      <c r="M47" s="184" t="str">
        <f>'テンプレート'!M56</f>
        <v>BKB (R.A.)</v>
      </c>
      <c r="N47" s="184" t="str">
        <f>'テンプレート'!N56</f>
        <v>FKB (R.F.)</v>
      </c>
      <c r="O47" s="186" t="str">
        <f>'テンプレート'!O56</f>
        <v>盾削り値</v>
      </c>
      <c r="P47" s="184" t="str">
        <f>'テンプレート'!P56</f>
        <v>ﾋｯﾄｽﾄｯﾌﾟ</v>
      </c>
      <c r="Q47" s="186" t="str">
        <f>'テンプレート'!Q56</f>
        <v>ずらし</v>
      </c>
      <c r="R47" s="187" t="str">
        <f>'テンプレート'!R56</f>
        <v>備考</v>
      </c>
      <c r="S47" s="110"/>
      <c r="T47" s="110"/>
      <c r="U47" s="110"/>
      <c r="V47" s="110"/>
    </row>
    <row r="48" outlineLevel="1">
      <c r="A48" s="188" t="s">
        <v>144</v>
      </c>
      <c r="B48" s="373" t="s">
        <v>852</v>
      </c>
      <c r="C48" s="239" t="s">
        <v>2277</v>
      </c>
      <c r="D48" s="195" t="s">
        <v>289</v>
      </c>
      <c r="E48" s="401" t="s">
        <v>2278</v>
      </c>
      <c r="F48" s="193">
        <v>0.84</v>
      </c>
      <c r="G48" s="1521">
        <v>0.714</v>
      </c>
      <c r="H48" s="138" t="s">
        <v>170</v>
      </c>
      <c r="I48" s="454" t="str">
        <f t="array" ref="I48">INDEX('空中攻撃'!$O$3:$AA$109, MATCH($A$1,'空中攻撃'!$A$3:$A$109,0), MATCH(A48,'空中攻撃'!$O$2:$S$2,0))</f>
        <v>14</v>
      </c>
      <c r="J48" s="455" t="s">
        <v>1685</v>
      </c>
      <c r="K48" s="376"/>
      <c r="L48" s="377"/>
      <c r="M48" s="825"/>
      <c r="N48" s="825"/>
      <c r="O48" s="199">
        <v>0.0</v>
      </c>
      <c r="P48" s="199">
        <v>1.0</v>
      </c>
      <c r="Q48" s="199">
        <v>0.8</v>
      </c>
      <c r="R48" s="1124"/>
      <c r="S48" s="164"/>
      <c r="T48" s="164"/>
      <c r="U48" s="164"/>
      <c r="V48" s="104"/>
    </row>
    <row r="49" outlineLevel="1">
      <c r="A49" s="156"/>
      <c r="B49" s="373" t="s">
        <v>524</v>
      </c>
      <c r="C49" s="239" t="s">
        <v>92</v>
      </c>
      <c r="D49" s="107"/>
      <c r="E49" s="239" t="s">
        <v>1438</v>
      </c>
      <c r="F49" s="138">
        <v>5.3999999999999995</v>
      </c>
      <c r="G49" s="1522">
        <v>4.59</v>
      </c>
      <c r="H49" s="138" t="s">
        <v>60</v>
      </c>
      <c r="I49" s="156"/>
      <c r="J49" s="107"/>
      <c r="K49" s="376"/>
      <c r="L49" s="377"/>
      <c r="M49" s="825"/>
      <c r="N49" s="825"/>
      <c r="O49" s="199">
        <v>0.0</v>
      </c>
      <c r="P49" s="199">
        <v>1.8</v>
      </c>
      <c r="Q49" s="199">
        <v>1.0</v>
      </c>
      <c r="R49" s="106"/>
      <c r="S49" s="168"/>
      <c r="T49" s="168"/>
      <c r="U49" s="168"/>
      <c r="V49" s="107"/>
    </row>
    <row r="50" outlineLevel="1">
      <c r="A50" s="188" t="s">
        <v>151</v>
      </c>
      <c r="B50" s="373" t="s">
        <v>125</v>
      </c>
      <c r="C50" s="239" t="s">
        <v>299</v>
      </c>
      <c r="D50" s="374">
        <v>46.0</v>
      </c>
      <c r="E50" s="239" t="s">
        <v>535</v>
      </c>
      <c r="F50" s="138">
        <v>3.0</v>
      </c>
      <c r="G50" s="246">
        <v>2.55</v>
      </c>
      <c r="H50" s="138" t="s">
        <v>170</v>
      </c>
      <c r="I50" s="1393" t="str">
        <f t="array" ref="I50">INDEX('空中攻撃'!$O$3:$AA$109, MATCH($A$1,'空中攻撃'!$A$3:$A$109,0), MATCH(A50,'空中攻撃'!$O$2:$S$2,0))</f>
        <v>12</v>
      </c>
      <c r="J50" s="455" t="s">
        <v>2279</v>
      </c>
      <c r="K50" s="376"/>
      <c r="L50" s="377"/>
      <c r="M50" s="825"/>
      <c r="N50" s="825"/>
      <c r="O50" s="199">
        <v>0.0</v>
      </c>
      <c r="P50" s="199">
        <v>1.0</v>
      </c>
      <c r="Q50" s="199">
        <v>1.0</v>
      </c>
      <c r="R50" s="1124"/>
      <c r="S50" s="164"/>
      <c r="T50" s="164"/>
      <c r="U50" s="164"/>
      <c r="V50" s="104"/>
    </row>
    <row r="51" outlineLevel="1">
      <c r="A51" s="146"/>
      <c r="B51" s="373" t="s">
        <v>131</v>
      </c>
      <c r="C51" s="239" t="s">
        <v>295</v>
      </c>
      <c r="D51" s="210"/>
      <c r="E51" s="239" t="s">
        <v>535</v>
      </c>
      <c r="F51" s="138">
        <v>3.0</v>
      </c>
      <c r="G51" s="246">
        <v>2.55</v>
      </c>
      <c r="H51" s="138" t="s">
        <v>170</v>
      </c>
      <c r="I51" s="146"/>
      <c r="J51" s="210"/>
      <c r="K51" s="376"/>
      <c r="L51" s="377"/>
      <c r="M51" s="825"/>
      <c r="N51" s="825"/>
      <c r="O51" s="199"/>
      <c r="P51" s="199"/>
      <c r="Q51" s="199"/>
      <c r="R51" s="212"/>
      <c r="V51" s="210"/>
    </row>
    <row r="52" outlineLevel="1">
      <c r="A52" s="156"/>
      <c r="B52" s="373" t="s">
        <v>434</v>
      </c>
      <c r="C52" s="239" t="s">
        <v>653</v>
      </c>
      <c r="D52" s="107"/>
      <c r="E52" s="239" t="s">
        <v>86</v>
      </c>
      <c r="F52" s="138">
        <v>7.199999999999999</v>
      </c>
      <c r="G52" s="246">
        <v>6.12</v>
      </c>
      <c r="H52" s="138" t="s">
        <v>60</v>
      </c>
      <c r="I52" s="156"/>
      <c r="J52" s="107"/>
      <c r="K52" s="376"/>
      <c r="L52" s="377"/>
      <c r="M52" s="825"/>
      <c r="N52" s="825"/>
      <c r="O52" s="199">
        <v>0.0</v>
      </c>
      <c r="P52" s="199">
        <v>1.0</v>
      </c>
      <c r="Q52" s="199">
        <v>1.0</v>
      </c>
      <c r="R52" s="106"/>
      <c r="S52" s="168"/>
      <c r="T52" s="168"/>
      <c r="U52" s="168"/>
      <c r="V52" s="107"/>
    </row>
    <row r="53" outlineLevel="1">
      <c r="A53" s="188" t="s">
        <v>157</v>
      </c>
      <c r="B53" s="373" t="s">
        <v>152</v>
      </c>
      <c r="C53" s="239" t="s">
        <v>128</v>
      </c>
      <c r="D53" s="374">
        <v>40.0</v>
      </c>
      <c r="E53" s="239" t="s">
        <v>1551</v>
      </c>
      <c r="F53" s="138" t="s">
        <v>1552</v>
      </c>
      <c r="G53" s="246" t="s">
        <v>2280</v>
      </c>
      <c r="H53" s="138" t="s">
        <v>980</v>
      </c>
      <c r="I53" s="1523">
        <f t="array" ref="I53">INDEX('空中攻撃'!$O$3:$AA$109, MATCH($A$1,'空中攻撃'!$A$3:$A$109,0), MATCH(A53,'空中攻撃'!$O$2:$S$2,0))</f>
        <v>8</v>
      </c>
      <c r="J53" s="455" t="s">
        <v>2279</v>
      </c>
      <c r="K53" s="376"/>
      <c r="L53" s="377"/>
      <c r="M53" s="825"/>
      <c r="N53" s="825"/>
      <c r="O53" s="199">
        <v>0.0</v>
      </c>
      <c r="P53" s="199">
        <v>1.0</v>
      </c>
      <c r="Q53" s="199">
        <v>1.0</v>
      </c>
      <c r="R53" s="1124"/>
      <c r="S53" s="164"/>
      <c r="T53" s="164"/>
      <c r="U53" s="164"/>
      <c r="V53" s="104"/>
    </row>
    <row r="54" outlineLevel="1">
      <c r="A54" s="156"/>
      <c r="B54" s="373"/>
      <c r="C54" s="239" t="s">
        <v>299</v>
      </c>
      <c r="D54" s="107"/>
      <c r="E54" s="239" t="s">
        <v>129</v>
      </c>
      <c r="F54" s="138">
        <v>14.4</v>
      </c>
      <c r="G54" s="246">
        <v>12.24</v>
      </c>
      <c r="H54" s="138" t="s">
        <v>75</v>
      </c>
      <c r="I54" s="156"/>
      <c r="J54" s="107"/>
      <c r="K54" s="376"/>
      <c r="L54" s="377"/>
      <c r="M54" s="825"/>
      <c r="N54" s="825"/>
      <c r="O54" s="199"/>
      <c r="P54" s="199"/>
      <c r="Q54" s="199"/>
      <c r="R54" s="106"/>
      <c r="S54" s="168"/>
      <c r="T54" s="168"/>
      <c r="U54" s="168"/>
      <c r="V54" s="107"/>
    </row>
    <row r="55" outlineLevel="1">
      <c r="A55" s="188" t="s">
        <v>162</v>
      </c>
      <c r="B55" s="373" t="s">
        <v>962</v>
      </c>
      <c r="C55" s="365" t="s">
        <v>2281</v>
      </c>
      <c r="D55" s="379" t="s">
        <v>628</v>
      </c>
      <c r="E55" s="239" t="s">
        <v>1024</v>
      </c>
      <c r="F55" s="138">
        <v>1.7999999999999998</v>
      </c>
      <c r="G55" s="246">
        <v>1.53</v>
      </c>
      <c r="H55" s="138" t="s">
        <v>170</v>
      </c>
      <c r="I55" s="1393" t="str">
        <f t="array" ref="I55">INDEX('空中攻撃'!$O$3:$AA$109, MATCH($A$1,'空中攻撃'!$A$3:$A$109,0), MATCH(A55,'空中攻撃'!$O$2:$S$2,0))</f>
        <v>14</v>
      </c>
      <c r="J55" s="379" t="s">
        <v>2282</v>
      </c>
      <c r="K55" s="377"/>
      <c r="L55" s="377"/>
      <c r="M55" s="825"/>
      <c r="N55" s="825"/>
      <c r="O55" s="199">
        <v>0.0</v>
      </c>
      <c r="P55" s="199">
        <v>1.0</v>
      </c>
      <c r="Q55" s="199">
        <v>0.7</v>
      </c>
      <c r="R55" s="1124"/>
      <c r="S55" s="164"/>
      <c r="T55" s="164"/>
      <c r="U55" s="164"/>
      <c r="V55" s="104"/>
    </row>
    <row r="56" outlineLevel="1">
      <c r="A56" s="156"/>
      <c r="B56" s="373" t="s">
        <v>521</v>
      </c>
      <c r="C56" s="365" t="s">
        <v>288</v>
      </c>
      <c r="D56" s="107"/>
      <c r="E56" s="239" t="s">
        <v>150</v>
      </c>
      <c r="F56" s="138">
        <v>6.0</v>
      </c>
      <c r="G56" s="246">
        <v>5.1</v>
      </c>
      <c r="H56" s="138" t="s">
        <v>60</v>
      </c>
      <c r="I56" s="156"/>
      <c r="J56" s="107"/>
      <c r="K56" s="377"/>
      <c r="L56" s="377"/>
      <c r="M56" s="825"/>
      <c r="N56" s="825"/>
      <c r="O56" s="199">
        <v>0.0</v>
      </c>
      <c r="P56" s="199">
        <v>2.0</v>
      </c>
      <c r="Q56" s="199">
        <v>1.0</v>
      </c>
      <c r="R56" s="106"/>
      <c r="S56" s="168"/>
      <c r="T56" s="168"/>
      <c r="U56" s="168"/>
      <c r="V56" s="107"/>
    </row>
    <row r="57" outlineLevel="1">
      <c r="A57" s="188" t="s">
        <v>166</v>
      </c>
      <c r="B57" s="373" t="s">
        <v>155</v>
      </c>
      <c r="C57" s="239" t="s">
        <v>128</v>
      </c>
      <c r="D57" s="194">
        <v>36.0</v>
      </c>
      <c r="E57" s="239" t="s">
        <v>128</v>
      </c>
      <c r="F57" s="138">
        <v>12.0</v>
      </c>
      <c r="G57" s="246">
        <v>10.2</v>
      </c>
      <c r="H57" s="138" t="s">
        <v>147</v>
      </c>
      <c r="I57" s="1393">
        <f t="array" ref="I57">INDEX('空中攻撃'!$O$3:$AA$109, MATCH($A$1,'空中攻撃'!$A$3:$A$109,0), MATCH(A57,'空中攻撃'!$O$2:$S$2,0))</f>
        <v>12</v>
      </c>
      <c r="J57" s="279" t="s">
        <v>2283</v>
      </c>
      <c r="K57" s="377"/>
      <c r="L57" s="377"/>
      <c r="M57" s="825"/>
      <c r="N57" s="825"/>
      <c r="O57" s="199">
        <v>0.0</v>
      </c>
      <c r="P57" s="199">
        <v>1.0</v>
      </c>
      <c r="Q57" s="199">
        <v>1.0</v>
      </c>
      <c r="R57" s="456"/>
      <c r="S57" s="164"/>
      <c r="T57" s="164"/>
      <c r="U57" s="164"/>
      <c r="V57" s="104"/>
    </row>
    <row r="58" outlineLevel="1">
      <c r="A58" s="156"/>
      <c r="B58" s="373" t="s">
        <v>84</v>
      </c>
      <c r="C58" s="239" t="s">
        <v>299</v>
      </c>
      <c r="D58" s="156"/>
      <c r="E58" s="239" t="s">
        <v>128</v>
      </c>
      <c r="F58" s="138">
        <v>12.0</v>
      </c>
      <c r="G58" s="246">
        <v>10.2</v>
      </c>
      <c r="H58" s="138" t="s">
        <v>147</v>
      </c>
      <c r="I58" s="156"/>
      <c r="J58" s="156"/>
      <c r="K58" s="377"/>
      <c r="L58" s="377"/>
      <c r="M58" s="825"/>
      <c r="N58" s="825"/>
      <c r="O58" s="199">
        <v>0.0</v>
      </c>
      <c r="P58" s="199">
        <v>1.0</v>
      </c>
      <c r="Q58" s="199">
        <v>1.0</v>
      </c>
      <c r="R58" s="106"/>
      <c r="S58" s="168"/>
      <c r="T58" s="168"/>
      <c r="U58" s="168"/>
      <c r="V58" s="107"/>
    </row>
    <row r="59">
      <c r="A59" s="223"/>
      <c r="B59" s="224"/>
      <c r="C59" s="225"/>
      <c r="D59" s="225"/>
      <c r="E59" s="226"/>
      <c r="F59" s="226"/>
      <c r="G59" s="226"/>
      <c r="H59" s="227"/>
      <c r="I59" s="227"/>
      <c r="J59" s="228"/>
      <c r="K59" s="228"/>
      <c r="L59" s="228"/>
      <c r="M59" s="228"/>
      <c r="N59" s="228"/>
      <c r="O59" s="228"/>
      <c r="P59" s="228"/>
      <c r="Q59" s="118"/>
      <c r="R59" s="118"/>
      <c r="S59" s="118"/>
      <c r="T59" s="118"/>
      <c r="U59" s="118"/>
      <c r="V59" s="118"/>
    </row>
    <row r="60">
      <c r="A60" s="229" t="s">
        <v>177</v>
      </c>
      <c r="B60" s="109"/>
      <c r="C60" s="225"/>
      <c r="D60" s="225"/>
      <c r="E60" s="226"/>
      <c r="F60" s="226"/>
      <c r="G60" s="226"/>
      <c r="H60" s="227"/>
      <c r="I60" s="227"/>
      <c r="J60" s="228"/>
      <c r="K60" s="228"/>
      <c r="L60" s="228"/>
      <c r="M60" s="228"/>
      <c r="N60" s="228"/>
      <c r="O60" s="228"/>
      <c r="P60" s="228"/>
      <c r="Q60" s="118"/>
      <c r="R60" s="118"/>
      <c r="S60" s="118"/>
      <c r="T60" s="118"/>
      <c r="U60" s="118"/>
      <c r="V60" s="118"/>
    </row>
    <row r="61" outlineLevel="1">
      <c r="A61" s="230" t="s">
        <v>2284</v>
      </c>
      <c r="B61" s="109"/>
      <c r="C61" s="231" t="s">
        <v>48</v>
      </c>
      <c r="D61" s="231" t="s">
        <v>49</v>
      </c>
      <c r="E61" s="232" t="s">
        <v>50</v>
      </c>
      <c r="F61" s="233" t="s">
        <v>51</v>
      </c>
      <c r="G61" s="232" t="s">
        <v>52</v>
      </c>
      <c r="H61" s="382" t="s">
        <v>53</v>
      </c>
      <c r="I61" s="110"/>
      <c r="J61" s="109"/>
      <c r="K61" s="235" t="s">
        <v>137</v>
      </c>
      <c r="L61" s="235" t="s">
        <v>138</v>
      </c>
      <c r="M61" s="235" t="s">
        <v>139</v>
      </c>
      <c r="N61" s="235" t="s">
        <v>140</v>
      </c>
      <c r="O61" s="236" t="s">
        <v>141</v>
      </c>
      <c r="P61" s="235" t="s">
        <v>142</v>
      </c>
      <c r="Q61" s="236" t="s">
        <v>143</v>
      </c>
      <c r="R61" s="235" t="s">
        <v>179</v>
      </c>
      <c r="S61" s="236" t="s">
        <v>180</v>
      </c>
      <c r="T61" s="236" t="s">
        <v>181</v>
      </c>
      <c r="U61" s="236" t="s">
        <v>182</v>
      </c>
      <c r="V61" s="236" t="s">
        <v>183</v>
      </c>
    </row>
    <row r="62" outlineLevel="1">
      <c r="A62" s="237" t="s">
        <v>332</v>
      </c>
      <c r="B62" s="243" t="s">
        <v>2285</v>
      </c>
      <c r="C62" s="244" t="s">
        <v>2286</v>
      </c>
      <c r="D62" s="244" t="s">
        <v>374</v>
      </c>
      <c r="E62" s="369" t="s">
        <v>2287</v>
      </c>
      <c r="F62" s="866" t="s">
        <v>2288</v>
      </c>
      <c r="G62" s="549" t="s">
        <v>2289</v>
      </c>
      <c r="H62" s="283" t="s">
        <v>2290</v>
      </c>
      <c r="I62" s="164"/>
      <c r="J62" s="164"/>
      <c r="K62" s="282"/>
      <c r="L62" s="282"/>
      <c r="M62" s="363"/>
      <c r="N62" s="363"/>
      <c r="O62" s="138">
        <v>0.0</v>
      </c>
      <c r="P62" s="138">
        <v>1.0</v>
      </c>
      <c r="Q62" s="138">
        <v>1.0</v>
      </c>
      <c r="R62" s="145" t="b">
        <v>1</v>
      </c>
      <c r="S62" s="145" t="b">
        <v>0</v>
      </c>
      <c r="T62" s="145" t="b">
        <v>1</v>
      </c>
      <c r="U62" s="166" t="s">
        <v>186</v>
      </c>
      <c r="V62" s="166" t="b">
        <v>1</v>
      </c>
    </row>
    <row r="63" outlineLevel="1">
      <c r="A63" s="146"/>
      <c r="B63" s="663" t="s">
        <v>2291</v>
      </c>
      <c r="C63" s="244" t="s">
        <v>2292</v>
      </c>
      <c r="D63" s="244" t="s">
        <v>127</v>
      </c>
      <c r="E63" s="146"/>
      <c r="F63" s="146"/>
      <c r="G63" s="210"/>
      <c r="H63" s="212"/>
      <c r="K63" s="282"/>
      <c r="L63" s="282"/>
      <c r="M63" s="363"/>
      <c r="N63" s="363"/>
      <c r="O63" s="138">
        <v>0.0</v>
      </c>
      <c r="P63" s="138">
        <v>1.0</v>
      </c>
      <c r="Q63" s="138">
        <v>1.0</v>
      </c>
      <c r="R63" s="145" t="b">
        <v>1</v>
      </c>
      <c r="S63" s="145" t="b">
        <v>0</v>
      </c>
      <c r="T63" s="145" t="b">
        <v>1</v>
      </c>
      <c r="U63" s="146"/>
      <c r="V63" s="146"/>
    </row>
    <row r="64" outlineLevel="1">
      <c r="A64" s="237" t="s">
        <v>344</v>
      </c>
      <c r="B64" s="243" t="s">
        <v>2285</v>
      </c>
      <c r="C64" s="244" t="s">
        <v>2286</v>
      </c>
      <c r="D64" s="214" t="s">
        <v>127</v>
      </c>
      <c r="E64" s="146"/>
      <c r="F64" s="146"/>
      <c r="G64" s="210"/>
      <c r="H64" s="212"/>
      <c r="K64" s="282"/>
      <c r="L64" s="282"/>
      <c r="M64" s="363"/>
      <c r="N64" s="363"/>
      <c r="O64" s="138">
        <v>0.0</v>
      </c>
      <c r="P64" s="138">
        <v>1.0</v>
      </c>
      <c r="Q64" s="138">
        <v>1.0</v>
      </c>
      <c r="R64" s="145" t="b">
        <v>1</v>
      </c>
      <c r="S64" s="145" t="b">
        <v>0</v>
      </c>
      <c r="T64" s="145" t="b">
        <v>1</v>
      </c>
      <c r="U64" s="146"/>
      <c r="V64" s="146"/>
    </row>
    <row r="65" outlineLevel="1">
      <c r="A65" s="146"/>
      <c r="B65" s="663" t="s">
        <v>2291</v>
      </c>
      <c r="C65" s="244" t="s">
        <v>2292</v>
      </c>
      <c r="D65" s="214" t="s">
        <v>384</v>
      </c>
      <c r="E65" s="156"/>
      <c r="F65" s="156"/>
      <c r="G65" s="107"/>
      <c r="H65" s="212"/>
      <c r="K65" s="282"/>
      <c r="L65" s="282"/>
      <c r="M65" s="363"/>
      <c r="N65" s="363"/>
      <c r="O65" s="138">
        <v>0.0</v>
      </c>
      <c r="P65" s="138">
        <v>1.0</v>
      </c>
      <c r="Q65" s="138">
        <v>1.0</v>
      </c>
      <c r="R65" s="145" t="b">
        <v>1</v>
      </c>
      <c r="S65" s="145" t="b">
        <v>0</v>
      </c>
      <c r="T65" s="145" t="b">
        <v>1</v>
      </c>
      <c r="U65" s="156"/>
      <c r="V65" s="156"/>
    </row>
    <row r="66" outlineLevel="1">
      <c r="A66" s="230" t="s">
        <v>2293</v>
      </c>
      <c r="B66" s="109"/>
      <c r="C66" s="231" t="s">
        <v>48</v>
      </c>
      <c r="D66" s="231" t="s">
        <v>49</v>
      </c>
      <c r="E66" s="232" t="s">
        <v>50</v>
      </c>
      <c r="F66" s="233" t="s">
        <v>51</v>
      </c>
      <c r="G66" s="232" t="s">
        <v>52</v>
      </c>
      <c r="H66" s="382"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ht="28.5" customHeight="1" outlineLevel="1">
      <c r="A67" s="237" t="s">
        <v>332</v>
      </c>
      <c r="B67" s="243" t="s">
        <v>2294</v>
      </c>
      <c r="C67" s="244" t="s">
        <v>1992</v>
      </c>
      <c r="D67" s="244" t="s">
        <v>993</v>
      </c>
      <c r="E67" s="244" t="s">
        <v>209</v>
      </c>
      <c r="F67" s="246">
        <v>0.0</v>
      </c>
      <c r="G67" s="553"/>
      <c r="H67" s="1524" t="s">
        <v>2295</v>
      </c>
      <c r="I67" s="164"/>
      <c r="J67" s="104"/>
      <c r="K67" s="282"/>
      <c r="L67" s="282"/>
      <c r="M67" s="363"/>
      <c r="N67" s="363"/>
      <c r="O67" s="138">
        <v>0.0</v>
      </c>
      <c r="P67" s="138">
        <v>1.0</v>
      </c>
      <c r="Q67" s="138">
        <v>1.0</v>
      </c>
      <c r="R67" s="145" t="b">
        <v>0</v>
      </c>
      <c r="S67" s="145" t="b">
        <v>0</v>
      </c>
      <c r="T67" s="145"/>
      <c r="U67" s="166" t="s">
        <v>186</v>
      </c>
      <c r="V67" s="166" t="b">
        <v>1</v>
      </c>
    </row>
    <row r="68" ht="28.5" customHeight="1" outlineLevel="1">
      <c r="A68" s="146"/>
      <c r="B68" s="243" t="s">
        <v>243</v>
      </c>
      <c r="C68" s="244" t="s">
        <v>2296</v>
      </c>
      <c r="D68" s="244" t="s">
        <v>185</v>
      </c>
      <c r="E68" s="244" t="s">
        <v>232</v>
      </c>
      <c r="F68" s="246">
        <v>13.2</v>
      </c>
      <c r="G68" s="139" t="s">
        <v>121</v>
      </c>
      <c r="H68" s="212"/>
      <c r="J68" s="210"/>
      <c r="K68" s="138"/>
      <c r="L68" s="138"/>
      <c r="M68" s="145"/>
      <c r="N68" s="145"/>
      <c r="O68" s="138">
        <v>0.0</v>
      </c>
      <c r="P68" s="138">
        <v>1.0</v>
      </c>
      <c r="Q68" s="138">
        <v>1.0</v>
      </c>
      <c r="R68" s="145" t="b">
        <v>1</v>
      </c>
      <c r="S68" s="145" t="b">
        <v>0</v>
      </c>
      <c r="T68" s="145"/>
      <c r="U68" s="146"/>
      <c r="V68" s="146"/>
    </row>
    <row r="69" ht="28.5" customHeight="1" outlineLevel="1">
      <c r="A69" s="237" t="s">
        <v>344</v>
      </c>
      <c r="B69" s="243" t="s">
        <v>2294</v>
      </c>
      <c r="C69" s="244" t="s">
        <v>1149</v>
      </c>
      <c r="D69" s="244" t="s">
        <v>358</v>
      </c>
      <c r="E69" s="244" t="s">
        <v>209</v>
      </c>
      <c r="F69" s="246">
        <v>0.0</v>
      </c>
      <c r="G69" s="553"/>
      <c r="H69" s="212"/>
      <c r="J69" s="210"/>
      <c r="K69" s="138"/>
      <c r="L69" s="138"/>
      <c r="M69" s="145"/>
      <c r="N69" s="145"/>
      <c r="O69" s="138">
        <v>0.0</v>
      </c>
      <c r="P69" s="138">
        <v>1.0</v>
      </c>
      <c r="Q69" s="138">
        <v>1.0</v>
      </c>
      <c r="R69" s="145" t="b">
        <v>0</v>
      </c>
      <c r="S69" s="145" t="b">
        <v>0</v>
      </c>
      <c r="T69" s="145"/>
      <c r="U69" s="146"/>
      <c r="V69" s="146"/>
    </row>
    <row r="70" ht="28.5" customHeight="1" outlineLevel="1">
      <c r="A70" s="146"/>
      <c r="B70" s="243" t="s">
        <v>243</v>
      </c>
      <c r="C70" s="244" t="s">
        <v>2297</v>
      </c>
      <c r="D70" s="244" t="s">
        <v>455</v>
      </c>
      <c r="E70" s="244" t="s">
        <v>274</v>
      </c>
      <c r="F70" s="246">
        <v>10.799999999999999</v>
      </c>
      <c r="G70" s="139" t="s">
        <v>275</v>
      </c>
      <c r="H70" s="106"/>
      <c r="I70" s="168"/>
      <c r="J70" s="107"/>
      <c r="K70" s="138"/>
      <c r="L70" s="138"/>
      <c r="M70" s="145"/>
      <c r="N70" s="145"/>
      <c r="O70" s="138">
        <v>0.0</v>
      </c>
      <c r="P70" s="138">
        <v>1.0</v>
      </c>
      <c r="Q70" s="138">
        <v>1.0</v>
      </c>
      <c r="R70" s="145" t="b">
        <v>1</v>
      </c>
      <c r="S70" s="145" t="b">
        <v>0</v>
      </c>
      <c r="T70" s="145"/>
      <c r="U70" s="156"/>
      <c r="V70" s="156"/>
    </row>
    <row r="71" outlineLevel="1">
      <c r="A71" s="230" t="s">
        <v>2298</v>
      </c>
      <c r="B71" s="109"/>
      <c r="C71" s="231" t="s">
        <v>48</v>
      </c>
      <c r="D71" s="231" t="s">
        <v>49</v>
      </c>
      <c r="E71" s="232" t="s">
        <v>50</v>
      </c>
      <c r="F71" s="233" t="s">
        <v>51</v>
      </c>
      <c r="G71" s="232" t="s">
        <v>52</v>
      </c>
      <c r="H71" s="382" t="s">
        <v>53</v>
      </c>
      <c r="I71" s="110"/>
      <c r="J71" s="109"/>
      <c r="K71" s="235" t="s">
        <v>137</v>
      </c>
      <c r="L71" s="235" t="s">
        <v>138</v>
      </c>
      <c r="M71" s="235" t="s">
        <v>139</v>
      </c>
      <c r="N71" s="235" t="s">
        <v>140</v>
      </c>
      <c r="O71" s="236" t="s">
        <v>141</v>
      </c>
      <c r="P71" s="235" t="s">
        <v>142</v>
      </c>
      <c r="Q71" s="236" t="s">
        <v>143</v>
      </c>
      <c r="R71" s="235" t="s">
        <v>179</v>
      </c>
      <c r="S71" s="236" t="s">
        <v>180</v>
      </c>
      <c r="T71" s="236" t="s">
        <v>181</v>
      </c>
      <c r="U71" s="236" t="s">
        <v>182</v>
      </c>
      <c r="V71" s="236" t="s">
        <v>183</v>
      </c>
    </row>
    <row r="72" outlineLevel="1">
      <c r="A72" s="1202" t="s">
        <v>184</v>
      </c>
      <c r="B72" s="870"/>
      <c r="C72" s="553"/>
      <c r="D72" s="553"/>
      <c r="E72" s="553"/>
      <c r="F72" s="553"/>
      <c r="G72" s="553"/>
      <c r="H72" s="151" t="s">
        <v>2299</v>
      </c>
      <c r="I72" s="110"/>
      <c r="J72" s="109"/>
      <c r="K72" s="261"/>
      <c r="L72" s="261"/>
      <c r="M72" s="261"/>
      <c r="N72" s="261"/>
      <c r="O72" s="261"/>
      <c r="P72" s="261"/>
      <c r="Q72" s="261"/>
      <c r="R72" s="261"/>
      <c r="S72" s="261"/>
      <c r="T72" s="261"/>
      <c r="U72" s="145" t="s">
        <v>186</v>
      </c>
      <c r="V72" s="145" t="b">
        <v>1</v>
      </c>
    </row>
    <row r="73" outlineLevel="1">
      <c r="A73" s="230" t="s">
        <v>2300</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237" t="s">
        <v>184</v>
      </c>
      <c r="B74" s="624" t="s">
        <v>2301</v>
      </c>
      <c r="C74" s="364" t="s">
        <v>2302</v>
      </c>
      <c r="D74" s="364" t="s">
        <v>118</v>
      </c>
      <c r="E74" s="244" t="s">
        <v>209</v>
      </c>
      <c r="F74" s="246">
        <v>0.0</v>
      </c>
      <c r="G74" s="553"/>
      <c r="H74" s="660" t="s">
        <v>2303</v>
      </c>
      <c r="I74" s="164"/>
      <c r="J74" s="104"/>
      <c r="K74" s="138"/>
      <c r="L74" s="138"/>
      <c r="M74" s="145"/>
      <c r="N74" s="145"/>
      <c r="O74" s="138">
        <v>0.0</v>
      </c>
      <c r="P74" s="138">
        <v>1.0</v>
      </c>
      <c r="Q74" s="138">
        <v>1.0</v>
      </c>
      <c r="R74" s="145" t="b">
        <v>0</v>
      </c>
      <c r="S74" s="145" t="b">
        <v>0</v>
      </c>
      <c r="T74" s="145" t="b">
        <v>0</v>
      </c>
      <c r="U74" s="166" t="s">
        <v>186</v>
      </c>
      <c r="V74" s="166" t="b">
        <v>1</v>
      </c>
    </row>
    <row r="75" ht="24.75" customHeight="1" outlineLevel="1">
      <c r="A75" s="146"/>
      <c r="B75" s="624" t="s">
        <v>677</v>
      </c>
      <c r="C75" s="553"/>
      <c r="D75" s="364" t="s">
        <v>466</v>
      </c>
      <c r="E75" s="553"/>
      <c r="F75" s="553"/>
      <c r="G75" s="553"/>
      <c r="H75" s="212"/>
      <c r="J75" s="210"/>
      <c r="K75" s="290"/>
      <c r="L75" s="290"/>
      <c r="M75" s="117"/>
      <c r="N75" s="117"/>
      <c r="O75" s="290"/>
      <c r="P75" s="290"/>
      <c r="Q75" s="290"/>
      <c r="R75" s="117" t="b">
        <v>0</v>
      </c>
      <c r="S75" s="117" t="b">
        <v>0</v>
      </c>
      <c r="T75" s="117" t="b">
        <v>0</v>
      </c>
      <c r="U75" s="146"/>
      <c r="V75" s="146"/>
    </row>
    <row r="76" ht="24.75" customHeight="1" outlineLevel="1">
      <c r="A76" s="156"/>
      <c r="B76" s="624" t="s">
        <v>2304</v>
      </c>
      <c r="C76" s="553"/>
      <c r="D76" s="244" t="s">
        <v>173</v>
      </c>
      <c r="E76" s="553"/>
      <c r="F76" s="553"/>
      <c r="G76" s="553"/>
      <c r="H76" s="106"/>
      <c r="I76" s="168"/>
      <c r="J76" s="107"/>
      <c r="K76" s="290"/>
      <c r="L76" s="290"/>
      <c r="M76" s="117"/>
      <c r="N76" s="117"/>
      <c r="O76" s="290"/>
      <c r="P76" s="290"/>
      <c r="Q76" s="290"/>
      <c r="R76" s="117" t="b">
        <v>0</v>
      </c>
      <c r="S76" s="117" t="b">
        <v>0</v>
      </c>
      <c r="T76" s="117" t="b">
        <v>0</v>
      </c>
      <c r="U76" s="156"/>
      <c r="V76" s="156"/>
    </row>
    <row r="77">
      <c r="A77" s="223"/>
      <c r="B77" s="224"/>
      <c r="C77" s="225"/>
      <c r="D77" s="225"/>
      <c r="E77" s="226"/>
      <c r="F77" s="226"/>
      <c r="G77" s="226"/>
      <c r="H77" s="227"/>
      <c r="I77" s="227"/>
      <c r="J77" s="228"/>
      <c r="K77" s="228"/>
      <c r="L77" s="228"/>
      <c r="M77" s="228"/>
      <c r="N77" s="228"/>
      <c r="O77" s="228"/>
      <c r="P77" s="228"/>
      <c r="Q77" s="118"/>
      <c r="R77" s="118"/>
      <c r="S77" s="118"/>
      <c r="T77" s="118"/>
      <c r="U77" s="118"/>
      <c r="V77" s="118"/>
    </row>
    <row r="78">
      <c r="A78" s="264" t="s">
        <v>211</v>
      </c>
      <c r="B78" s="104"/>
      <c r="C78" s="227"/>
      <c r="D78" s="227"/>
      <c r="E78" s="228"/>
      <c r="F78" s="265"/>
      <c r="G78" s="265"/>
      <c r="H78" s="228"/>
      <c r="I78" s="228"/>
      <c r="J78" s="228"/>
      <c r="K78" s="228"/>
      <c r="L78" s="228"/>
      <c r="M78" s="228"/>
      <c r="N78" s="118"/>
      <c r="O78" s="118"/>
      <c r="P78" s="118"/>
      <c r="Q78" s="228"/>
      <c r="R78" s="228"/>
      <c r="S78" s="228"/>
      <c r="T78" s="228"/>
      <c r="U78" s="228"/>
      <c r="V78" s="228"/>
    </row>
    <row r="79" outlineLevel="1">
      <c r="A79" s="106"/>
      <c r="B79" s="107"/>
      <c r="C79" s="266" t="s">
        <v>48</v>
      </c>
      <c r="D79" s="266" t="s">
        <v>49</v>
      </c>
      <c r="E79" s="266" t="s">
        <v>50</v>
      </c>
      <c r="F79" s="267" t="s">
        <v>51</v>
      </c>
      <c r="G79" s="227"/>
      <c r="H79" s="227"/>
      <c r="I79" s="227"/>
      <c r="J79" s="228"/>
      <c r="K79" s="228"/>
      <c r="L79" s="228"/>
      <c r="M79" s="228"/>
      <c r="N79" s="228"/>
      <c r="O79" s="228"/>
      <c r="P79" s="228"/>
      <c r="Q79" s="228"/>
      <c r="R79" s="228"/>
      <c r="S79" s="228"/>
      <c r="T79" s="228"/>
      <c r="U79" s="228"/>
      <c r="V79" s="228"/>
    </row>
    <row r="80" outlineLevel="1">
      <c r="A80" s="268" t="s">
        <v>212</v>
      </c>
      <c r="B80" s="269" t="s">
        <v>212</v>
      </c>
      <c r="C80" s="239" t="s">
        <v>213</v>
      </c>
      <c r="D80" s="239" t="s">
        <v>86</v>
      </c>
      <c r="E80" s="239" t="s">
        <v>214</v>
      </c>
      <c r="F80" s="138">
        <v>1.56</v>
      </c>
      <c r="G80" s="227"/>
      <c r="H80" s="227"/>
      <c r="I80" s="227"/>
      <c r="J80" s="228"/>
      <c r="K80" s="228"/>
      <c r="L80" s="228"/>
      <c r="M80" s="228"/>
      <c r="N80" s="228"/>
      <c r="O80" s="228"/>
      <c r="P80" s="228"/>
      <c r="Q80" s="228"/>
      <c r="R80" s="228"/>
      <c r="S80" s="228"/>
      <c r="T80" s="228"/>
      <c r="U80" s="228"/>
      <c r="V80" s="228"/>
    </row>
    <row r="81" outlineLevel="1">
      <c r="A81" s="270" t="s">
        <v>215</v>
      </c>
      <c r="B81" s="269" t="s">
        <v>216</v>
      </c>
      <c r="C81" s="239" t="s">
        <v>217</v>
      </c>
      <c r="D81" s="239" t="s">
        <v>218</v>
      </c>
      <c r="E81" s="271"/>
      <c r="F81" s="272"/>
      <c r="G81" s="272"/>
      <c r="H81" s="227"/>
      <c r="I81" s="227"/>
      <c r="J81" s="228"/>
      <c r="K81" s="228"/>
      <c r="L81" s="228"/>
      <c r="M81" s="228"/>
      <c r="N81" s="228"/>
      <c r="O81" s="228"/>
      <c r="P81" s="228"/>
      <c r="Q81" s="228"/>
      <c r="R81" s="228"/>
      <c r="S81" s="228"/>
      <c r="T81" s="228"/>
      <c r="U81" s="228"/>
      <c r="V81" s="228"/>
    </row>
    <row r="82" outlineLevel="1">
      <c r="A82" s="212"/>
      <c r="B82" s="269" t="s">
        <v>219</v>
      </c>
      <c r="C82" s="239" t="s">
        <v>220</v>
      </c>
      <c r="D82" s="239" t="s">
        <v>221</v>
      </c>
      <c r="E82" s="271"/>
      <c r="F82" s="272"/>
      <c r="G82" s="272"/>
      <c r="H82" s="227"/>
      <c r="I82" s="227"/>
      <c r="J82" s="228"/>
      <c r="K82" s="228"/>
      <c r="L82" s="228"/>
      <c r="M82" s="228"/>
      <c r="N82" s="228"/>
      <c r="O82" s="228"/>
      <c r="P82" s="228"/>
      <c r="Q82" s="228"/>
      <c r="R82" s="228"/>
      <c r="S82" s="228"/>
      <c r="T82" s="228"/>
      <c r="U82" s="228"/>
      <c r="V82" s="228"/>
    </row>
    <row r="83" outlineLevel="1">
      <c r="A83" s="106"/>
      <c r="B83" s="269" t="s">
        <v>222</v>
      </c>
      <c r="C83" s="239" t="s">
        <v>223</v>
      </c>
      <c r="D83" s="239" t="s">
        <v>79</v>
      </c>
      <c r="E83" s="227"/>
      <c r="F83" s="272"/>
      <c r="G83" s="272"/>
      <c r="H83" s="227"/>
      <c r="I83" s="227"/>
      <c r="J83" s="228"/>
      <c r="K83" s="228"/>
      <c r="L83" s="228"/>
      <c r="M83" s="228"/>
      <c r="N83" s="228"/>
      <c r="O83" s="228"/>
      <c r="P83" s="228"/>
      <c r="Q83" s="228"/>
      <c r="R83" s="228"/>
      <c r="S83" s="228"/>
      <c r="T83" s="228"/>
      <c r="U83" s="228"/>
      <c r="V83" s="228"/>
    </row>
    <row r="84" outlineLevel="1">
      <c r="A84" s="273" t="s">
        <v>225</v>
      </c>
      <c r="B84" s="109"/>
      <c r="C84" s="266" t="s">
        <v>48</v>
      </c>
      <c r="D84" s="266" t="s">
        <v>49</v>
      </c>
      <c r="E84" s="266" t="s">
        <v>50</v>
      </c>
      <c r="F84" s="267" t="s">
        <v>51</v>
      </c>
      <c r="G84" s="1168" t="s">
        <v>53</v>
      </c>
      <c r="H84" s="110"/>
      <c r="I84" s="110"/>
      <c r="J84" s="109"/>
      <c r="K84" s="275" t="str">
        <f>'テンプレート'!K97</f>
        <v>ベクトル</v>
      </c>
      <c r="L84" s="275" t="str">
        <f>'テンプレート'!L97</f>
        <v>KBG (R.E.)</v>
      </c>
      <c r="M84" s="275" t="str">
        <f>'テンプレート'!M97</f>
        <v>BKB (R.A.)</v>
      </c>
      <c r="N84" s="275" t="str">
        <f>'テンプレート'!N97</f>
        <v>FKB (R.F.)</v>
      </c>
      <c r="O84" s="276" t="str">
        <f>'テンプレート'!O97</f>
        <v>盾削り値</v>
      </c>
      <c r="P84" s="275" t="str">
        <f>'テンプレート'!P97</f>
        <v>ﾋｯﾄｽﾄｯﾌﾟ</v>
      </c>
      <c r="Q84" s="276" t="str">
        <f>'テンプレート'!Q97</f>
        <v>ずらし</v>
      </c>
      <c r="R84" s="277"/>
      <c r="S84" s="277"/>
      <c r="T84" s="277"/>
      <c r="U84" s="277"/>
      <c r="V84" s="277"/>
    </row>
    <row r="85" outlineLevel="1">
      <c r="A85" s="278" t="s">
        <v>226</v>
      </c>
      <c r="B85" s="269" t="s">
        <v>227</v>
      </c>
      <c r="C85" s="1091" t="s">
        <v>373</v>
      </c>
      <c r="D85" s="1397">
        <v>27.0</v>
      </c>
      <c r="E85" s="244" t="s">
        <v>86</v>
      </c>
      <c r="F85" s="138">
        <v>7.199999999999999</v>
      </c>
      <c r="G85" s="1170"/>
      <c r="H85" s="164"/>
      <c r="I85" s="164"/>
      <c r="J85" s="104"/>
      <c r="K85" s="282"/>
      <c r="L85" s="282"/>
      <c r="M85" s="363"/>
      <c r="N85" s="363"/>
      <c r="O85" s="145">
        <v>0.0</v>
      </c>
      <c r="P85" s="145">
        <v>1.0</v>
      </c>
      <c r="Q85" s="145">
        <v>1.0</v>
      </c>
      <c r="R85" s="277"/>
      <c r="S85" s="228"/>
      <c r="T85" s="228"/>
      <c r="U85" s="228"/>
      <c r="V85" s="228"/>
    </row>
    <row r="86" outlineLevel="1">
      <c r="A86" s="156"/>
      <c r="B86" s="269" t="s">
        <v>225</v>
      </c>
      <c r="C86" s="1091">
        <v>14.0</v>
      </c>
      <c r="D86" s="156"/>
      <c r="E86" s="244" t="s">
        <v>73</v>
      </c>
      <c r="F86" s="138">
        <v>4.8</v>
      </c>
      <c r="G86" s="106"/>
      <c r="H86" s="168"/>
      <c r="I86" s="168"/>
      <c r="J86" s="107"/>
      <c r="K86" s="282"/>
      <c r="L86" s="282"/>
      <c r="M86" s="363"/>
      <c r="N86" s="363"/>
      <c r="O86" s="261"/>
      <c r="P86" s="261"/>
      <c r="Q86" s="261"/>
      <c r="R86" s="277"/>
      <c r="S86" s="228"/>
      <c r="T86" s="228"/>
      <c r="U86" s="228"/>
      <c r="V86" s="228"/>
    </row>
    <row r="87" outlineLevel="1">
      <c r="A87" s="278" t="s">
        <v>229</v>
      </c>
      <c r="B87" s="269" t="s">
        <v>227</v>
      </c>
      <c r="C87" s="822"/>
      <c r="D87" s="1397" t="s">
        <v>282</v>
      </c>
      <c r="E87" s="822"/>
      <c r="F87" s="261"/>
      <c r="G87" s="1170"/>
      <c r="H87" s="164"/>
      <c r="I87" s="164"/>
      <c r="J87" s="104"/>
      <c r="K87" s="261"/>
      <c r="L87" s="261"/>
      <c r="M87" s="261"/>
      <c r="N87" s="261"/>
      <c r="O87" s="261"/>
      <c r="P87" s="261"/>
      <c r="Q87" s="261"/>
      <c r="R87" s="277"/>
      <c r="S87" s="228"/>
      <c r="T87" s="228"/>
      <c r="U87" s="228"/>
      <c r="V87" s="228"/>
    </row>
    <row r="88" outlineLevel="1">
      <c r="A88" s="156"/>
      <c r="B88" s="269" t="s">
        <v>225</v>
      </c>
      <c r="C88" s="1091" t="s">
        <v>99</v>
      </c>
      <c r="D88" s="156"/>
      <c r="E88" s="244" t="s">
        <v>80</v>
      </c>
      <c r="F88" s="138">
        <v>9.6</v>
      </c>
      <c r="G88" s="106"/>
      <c r="H88" s="168"/>
      <c r="I88" s="168"/>
      <c r="J88" s="107"/>
      <c r="K88" s="282"/>
      <c r="L88" s="282"/>
      <c r="M88" s="363"/>
      <c r="N88" s="363"/>
      <c r="O88" s="261"/>
      <c r="P88" s="261"/>
      <c r="Q88" s="261"/>
      <c r="R88" s="277"/>
      <c r="S88" s="228"/>
      <c r="T88" s="228"/>
      <c r="U88" s="228"/>
      <c r="V88" s="228"/>
    </row>
    <row r="89" outlineLevel="1">
      <c r="A89" s="278" t="s">
        <v>233</v>
      </c>
      <c r="B89" s="269" t="s">
        <v>227</v>
      </c>
      <c r="C89" s="1091" t="s">
        <v>305</v>
      </c>
      <c r="D89" s="369" t="s">
        <v>79</v>
      </c>
      <c r="E89" s="244" t="s">
        <v>73</v>
      </c>
      <c r="F89" s="138">
        <v>4.8</v>
      </c>
      <c r="G89" s="1170"/>
      <c r="H89" s="164"/>
      <c r="I89" s="164"/>
      <c r="J89" s="104"/>
      <c r="K89" s="282"/>
      <c r="L89" s="282"/>
      <c r="M89" s="363"/>
      <c r="N89" s="363"/>
      <c r="O89" s="145">
        <v>0.0</v>
      </c>
      <c r="P89" s="145">
        <v>1.0</v>
      </c>
      <c r="Q89" s="145">
        <v>1.0</v>
      </c>
      <c r="R89" s="277"/>
      <c r="S89" s="228"/>
      <c r="T89" s="228"/>
      <c r="U89" s="228"/>
      <c r="V89" s="228"/>
    </row>
    <row r="90" outlineLevel="1">
      <c r="A90" s="156"/>
      <c r="B90" s="269" t="s">
        <v>225</v>
      </c>
      <c r="C90" s="1091">
        <v>15.0</v>
      </c>
      <c r="D90" s="156"/>
      <c r="E90" s="244" t="s">
        <v>93</v>
      </c>
      <c r="F90" s="138">
        <v>8.4</v>
      </c>
      <c r="G90" s="106"/>
      <c r="H90" s="168"/>
      <c r="I90" s="168"/>
      <c r="J90" s="107"/>
      <c r="K90" s="282"/>
      <c r="L90" s="282"/>
      <c r="M90" s="363"/>
      <c r="N90" s="363"/>
      <c r="O90" s="261"/>
      <c r="P90" s="261"/>
      <c r="Q90" s="261"/>
      <c r="R90" s="277"/>
      <c r="S90" s="117"/>
      <c r="T90" s="117"/>
      <c r="U90" s="117"/>
      <c r="V90" s="117"/>
    </row>
    <row r="91" outlineLevel="1">
      <c r="A91" s="278" t="s">
        <v>234</v>
      </c>
      <c r="B91" s="269" t="s">
        <v>227</v>
      </c>
      <c r="C91" s="1091" t="s">
        <v>305</v>
      </c>
      <c r="D91" s="1397">
        <v>31.0</v>
      </c>
      <c r="E91" s="244" t="s">
        <v>176</v>
      </c>
      <c r="F91" s="138">
        <v>2.4</v>
      </c>
      <c r="G91" s="1170"/>
      <c r="H91" s="164"/>
      <c r="I91" s="164"/>
      <c r="J91" s="104"/>
      <c r="K91" s="282"/>
      <c r="L91" s="282"/>
      <c r="M91" s="363"/>
      <c r="N91" s="363"/>
      <c r="O91" s="145">
        <v>0.0</v>
      </c>
      <c r="P91" s="145">
        <v>1.0</v>
      </c>
      <c r="Q91" s="145">
        <v>1.0</v>
      </c>
      <c r="R91" s="277"/>
      <c r="S91" s="117"/>
      <c r="T91" s="117"/>
      <c r="U91" s="117"/>
      <c r="V91" s="117"/>
    </row>
    <row r="92" outlineLevel="1">
      <c r="A92" s="156"/>
      <c r="B92" s="269" t="s">
        <v>225</v>
      </c>
      <c r="C92" s="1091">
        <v>16.0</v>
      </c>
      <c r="D92" s="156"/>
      <c r="E92" s="244" t="s">
        <v>73</v>
      </c>
      <c r="F92" s="138">
        <v>4.8</v>
      </c>
      <c r="G92" s="106"/>
      <c r="H92" s="168"/>
      <c r="I92" s="168"/>
      <c r="J92" s="107"/>
      <c r="K92" s="282"/>
      <c r="L92" s="282"/>
      <c r="M92" s="363"/>
      <c r="N92" s="363"/>
      <c r="O92" s="261"/>
      <c r="P92" s="261"/>
      <c r="Q92" s="261"/>
      <c r="R92" s="277"/>
      <c r="S92" s="117"/>
      <c r="T92" s="117"/>
      <c r="U92" s="117"/>
      <c r="V92" s="117"/>
    </row>
    <row r="93">
      <c r="A93" s="223"/>
      <c r="B93" s="224"/>
      <c r="C93" s="225"/>
      <c r="D93" s="225"/>
      <c r="E93" s="227"/>
      <c r="F93" s="177"/>
      <c r="G93" s="177"/>
      <c r="H93" s="227"/>
      <c r="I93" s="227"/>
      <c r="J93" s="228"/>
      <c r="K93" s="228"/>
      <c r="L93" s="111"/>
      <c r="M93" s="111"/>
      <c r="N93" s="111"/>
      <c r="O93" s="117"/>
      <c r="P93" s="117"/>
      <c r="Q93" s="111"/>
      <c r="R93" s="111"/>
      <c r="S93" s="111"/>
      <c r="T93" s="111"/>
      <c r="U93" s="111"/>
      <c r="V93" s="111"/>
    </row>
    <row r="94">
      <c r="A94" s="284" t="s">
        <v>241</v>
      </c>
      <c r="B94" s="104"/>
      <c r="C94" s="265"/>
      <c r="D94" s="111"/>
      <c r="E94" s="111"/>
      <c r="F94" s="111"/>
      <c r="G94" s="111"/>
      <c r="H94" s="111"/>
      <c r="I94" s="111"/>
      <c r="J94" s="118"/>
      <c r="K94" s="111"/>
      <c r="L94" s="111"/>
      <c r="M94" s="111"/>
      <c r="N94" s="111"/>
      <c r="O94" s="111"/>
      <c r="P94" s="111"/>
      <c r="Q94" s="118"/>
      <c r="R94" s="111"/>
      <c r="S94" s="111"/>
      <c r="T94" s="111"/>
      <c r="U94" s="111"/>
      <c r="V94" s="111"/>
    </row>
    <row r="95" outlineLevel="1">
      <c r="A95" s="106"/>
      <c r="B95" s="107"/>
      <c r="C95" s="285" t="s">
        <v>235</v>
      </c>
      <c r="D95" s="285" t="s">
        <v>236</v>
      </c>
      <c r="E95" s="285" t="s">
        <v>49</v>
      </c>
      <c r="F95" s="285" t="s">
        <v>237</v>
      </c>
      <c r="G95" s="286"/>
      <c r="H95" s="227"/>
      <c r="I95" s="227"/>
      <c r="J95" s="228"/>
      <c r="K95" s="228"/>
      <c r="L95" s="111"/>
      <c r="M95" s="111"/>
      <c r="N95" s="111"/>
      <c r="O95" s="111"/>
      <c r="P95" s="111"/>
      <c r="Q95" s="111"/>
      <c r="R95" s="111"/>
      <c r="S95" s="111"/>
      <c r="T95" s="111"/>
      <c r="U95" s="111"/>
      <c r="V95" s="111"/>
    </row>
    <row r="96" outlineLevel="1">
      <c r="A96" s="287" t="s">
        <v>395</v>
      </c>
      <c r="B96" s="288" t="s">
        <v>216</v>
      </c>
      <c r="C96" s="113" t="str">
        <f t="array" ref="C96">INDEX('回避'!$C$3:$U$84, MATCH($A$1,'回避'!$A$3:$A$91,0), MATCH(C95,'回避'!$C$2:$F$2,0))</f>
        <v>3-17</v>
      </c>
      <c r="D96" s="113" t="str">
        <f t="array" ref="D96">INDEX('回避'!$C$3:$U$84, MATCH($A$1,'回避'!$A$3:$A$91,0), MATCH(D95,'回避'!$C$2:$F$2,0))</f>
        <v>6-17</v>
      </c>
      <c r="E96" s="113" t="str">
        <f t="array" ref="E96">INDEX('回避'!$C$3:$U$84, MATCH($A$1,'回避'!$A$3:$A$91,0), MATCH(E95,'回避'!$C$2:$F$2,0))</f>
        <v>25 (20)</v>
      </c>
      <c r="F96" s="113" t="str">
        <f t="array" ref="F96">INDEX('回避'!$C$3:$U$84, MATCH($A$1,'回避'!$A$3:$A$91,0), MATCH(F95,'回避'!$C$2:$F$2,0))</f>
        <v>33 (27)</v>
      </c>
      <c r="G96" s="272"/>
      <c r="H96" s="227"/>
      <c r="I96" s="227"/>
      <c r="J96" s="228"/>
      <c r="K96" s="228"/>
      <c r="L96" s="228"/>
      <c r="M96" s="111"/>
      <c r="N96" s="111"/>
      <c r="O96" s="111"/>
      <c r="P96" s="111"/>
      <c r="Q96" s="111"/>
      <c r="R96" s="111"/>
      <c r="S96" s="111"/>
      <c r="T96" s="111"/>
      <c r="U96" s="111"/>
      <c r="V96" s="111"/>
    </row>
    <row r="97" outlineLevel="1">
      <c r="A97" s="212"/>
      <c r="B97" s="288" t="s">
        <v>245</v>
      </c>
      <c r="C97" s="113" t="str">
        <f t="array" ref="C97">INDEX('回避'!$G$3:$U$84, MATCH($A$1,'回避'!$A$3:$A$91,0), MATCH(C95,'回避'!$G$2:$J$2,0))</f>
        <v>4-15</v>
      </c>
      <c r="D97" s="113" t="str">
        <f t="array" ref="D97">INDEX('回避'!$G$3:$U$84, MATCH($A$1,'回避'!$A$3:$A$91,0), MATCH(D95,'回避'!$G$2:$J$2,0))</f>
        <v>8-14</v>
      </c>
      <c r="E97" s="113" t="str">
        <f t="array" ref="E97">INDEX('回避'!$G$3:$U$84, MATCH($A$1,'回避'!$A$3:$A$91,0), MATCH(E95,'回避'!$G$2:$J$2,0))</f>
        <v>29</v>
      </c>
      <c r="F97" s="113">
        <f t="array" ref="F97">INDEX('回避'!$G$3:$U$84, MATCH($A$1,'回避'!$A$3:$A$91,0), MATCH(F95,'回避'!$G$2:$J$2,0))</f>
        <v>38</v>
      </c>
      <c r="G97" s="289"/>
      <c r="H97" s="227"/>
      <c r="I97" s="227"/>
      <c r="J97" s="228"/>
      <c r="K97" s="228"/>
      <c r="L97" s="228"/>
      <c r="M97" s="228"/>
      <c r="N97" s="228"/>
      <c r="O97" s="111"/>
      <c r="P97" s="111"/>
      <c r="Q97" s="111"/>
      <c r="R97" s="111"/>
      <c r="S97" s="111"/>
      <c r="T97" s="111"/>
      <c r="U97" s="111"/>
      <c r="V97" s="111"/>
    </row>
    <row r="98" outlineLevel="1">
      <c r="A98" s="106"/>
      <c r="B98" s="288" t="s">
        <v>246</v>
      </c>
      <c r="C98" s="113" t="str">
        <f t="array" ref="C98">INDEX('回避'!$K$3:$U$84, MATCH($A$1,'回避'!$A$3:$A$91,0), MATCH(C95,'回避'!$K$2:$N$2,0))</f>
        <v>5-16</v>
      </c>
      <c r="D98" s="113" t="str">
        <f t="array" ref="D98">INDEX('回避'!$K$3:$U$84, MATCH($A$1,'回避'!$A$3:$A$91,0), MATCH(D95,'回避'!$K$2:$N$2,0))</f>
        <v>9-14</v>
      </c>
      <c r="E98" s="113" t="str">
        <f t="array" ref="E98">INDEX('回避'!$K$3:$U$84, MATCH($A$1,'回避'!$A$3:$A$91,0), MATCH(E95,'回避'!$K$2:$N$2,0))</f>
        <v>34</v>
      </c>
      <c r="F98" s="113" t="str">
        <f t="array" ref="F98">INDEX('回避'!$K$3:$U$84, MATCH($A$1,'回避'!$A$3:$A$91,0), MATCH(F95,'回避'!$K$2:$N$2,0))</f>
        <v>51</v>
      </c>
      <c r="G98" s="289"/>
      <c r="H98" s="290"/>
      <c r="I98" s="290"/>
      <c r="J98" s="117"/>
      <c r="K98" s="117"/>
      <c r="L98" s="117"/>
      <c r="M98" s="117"/>
      <c r="N98" s="117"/>
      <c r="O98" s="111"/>
      <c r="P98" s="111"/>
      <c r="Q98" s="111"/>
      <c r="R98" s="111"/>
      <c r="S98" s="111"/>
      <c r="T98" s="111"/>
      <c r="U98" s="111"/>
      <c r="V98" s="111"/>
    </row>
    <row r="99" outlineLevel="1">
      <c r="A99" s="287" t="s">
        <v>396</v>
      </c>
      <c r="B99" s="288" t="s">
        <v>397</v>
      </c>
      <c r="C99" s="113" t="str">
        <f t="array" ref="C99">INDEX('回避'!$O$3:$U$84, MATCH($A$1,'回避'!$A$3:$A$91,0), MATCH(C95,'回避'!$O$2:$R$2,0))</f>
        <v>3-29</v>
      </c>
      <c r="D99" s="113" t="str">
        <f t="array" ref="D99">INDEX('回避'!$O$3:$U$84, MATCH($A$1,'回避'!$A$3:$A$91,0), MATCH(D95,'回避'!$O$2:$R$2,0))</f>
        <v>6-27</v>
      </c>
      <c r="E99" s="113" t="str">
        <f t="array" ref="E99">INDEX('回避'!$O$3:$U$84, MATCH($A$1,'回避'!$A$3:$A$91,0), MATCH(E95,'回避'!$O$2:$R$2,0))</f>
        <v>52</v>
      </c>
      <c r="F99" s="177"/>
      <c r="G99" s="177"/>
      <c r="H99" s="118"/>
      <c r="I99" s="118"/>
      <c r="J99" s="111"/>
      <c r="K99" s="111"/>
      <c r="L99" s="111"/>
      <c r="M99" s="111"/>
      <c r="N99" s="111"/>
      <c r="O99" s="228"/>
      <c r="P99" s="228"/>
      <c r="Q99" s="228"/>
      <c r="R99" s="228"/>
      <c r="S99" s="228"/>
      <c r="T99" s="228"/>
      <c r="U99" s="228"/>
      <c r="V99" s="228"/>
    </row>
    <row r="100" outlineLevel="1">
      <c r="A100" s="106"/>
      <c r="B100" s="288" t="s">
        <v>398</v>
      </c>
      <c r="C100" s="113" t="str">
        <f t="array" ref="C100">INDEX('回避'!$S$3:$U$84, MATCH($A$1,'回避'!$A$3:$A$91,0), MATCH(C95,'回避'!$S$2:$U$2,0))</f>
        <v>3-21</v>
      </c>
      <c r="D100" s="113" t="str">
        <f t="array" ref="D100">INDEX('回避'!$S$3:$U$84, MATCH($A$1,'回避'!$A$3:$A$91,0), MATCH(D95,'回避'!$S$2:$U$2,0))</f>
        <v>6-20</v>
      </c>
      <c r="E100" s="113" t="str">
        <f t="array" ref="E100">INDEX('回避'!$S$3:$U$84, MATCH($A$1,'回避'!$A$3:$A$91,0), MATCH(E95,'回避'!$S$2:$U$2,0))</f>
        <v>真横：89
真上：119
真下：73</v>
      </c>
      <c r="F100" s="289"/>
      <c r="G100" s="289"/>
      <c r="H100" s="118"/>
      <c r="I100" s="118"/>
      <c r="J100" s="117"/>
      <c r="K100" s="117"/>
      <c r="L100" s="117"/>
      <c r="M100" s="117"/>
      <c r="N100" s="111"/>
      <c r="O100" s="118"/>
      <c r="P100" s="118"/>
      <c r="Q100" s="118"/>
      <c r="R100" s="118"/>
      <c r="S100" s="118"/>
      <c r="T100" s="118"/>
      <c r="U100" s="118"/>
      <c r="V100" s="118"/>
    </row>
    <row r="101">
      <c r="A101" s="291"/>
      <c r="B101" s="292"/>
      <c r="C101" s="286"/>
      <c r="D101" s="286"/>
      <c r="E101" s="293"/>
      <c r="F101" s="286"/>
      <c r="G101" s="286"/>
      <c r="H101" s="286"/>
      <c r="I101" s="286"/>
      <c r="J101" s="111"/>
      <c r="K101" s="227"/>
      <c r="L101" s="227"/>
      <c r="M101" s="227"/>
      <c r="N101" s="227"/>
      <c r="O101" s="118"/>
      <c r="P101" s="118"/>
      <c r="Q101" s="118"/>
      <c r="R101" s="118"/>
      <c r="S101" s="118"/>
      <c r="T101" s="118"/>
      <c r="U101" s="118"/>
      <c r="V101" s="118"/>
    </row>
    <row r="102">
      <c r="A102" s="294" t="s">
        <v>238</v>
      </c>
      <c r="B102" s="104"/>
      <c r="C102" s="228"/>
      <c r="D102" s="117"/>
      <c r="E102" s="228"/>
      <c r="F102" s="114"/>
      <c r="G102" s="114"/>
      <c r="H102" s="117"/>
      <c r="I102" s="117"/>
      <c r="J102" s="118"/>
      <c r="K102" s="118"/>
      <c r="L102" s="118"/>
      <c r="M102" s="118"/>
      <c r="N102" s="118"/>
      <c r="O102" s="118"/>
      <c r="P102" s="118"/>
      <c r="Q102" s="118"/>
      <c r="R102" s="118"/>
      <c r="S102" s="118"/>
      <c r="T102" s="118"/>
      <c r="U102" s="118"/>
      <c r="V102" s="118"/>
    </row>
    <row r="103" outlineLevel="1">
      <c r="A103" s="106"/>
      <c r="B103" s="107"/>
      <c r="C103" s="295" t="s">
        <v>235</v>
      </c>
      <c r="D103" s="295" t="s">
        <v>49</v>
      </c>
      <c r="E103" s="295" t="s">
        <v>48</v>
      </c>
      <c r="F103" s="295" t="s">
        <v>50</v>
      </c>
      <c r="G103" s="296" t="s">
        <v>51</v>
      </c>
      <c r="H103" s="228"/>
      <c r="I103" s="228"/>
      <c r="J103" s="117"/>
      <c r="K103" s="297" t="str">
        <f>'テンプレート'!K116</f>
        <v>アイテム取得</v>
      </c>
      <c r="L103" s="109"/>
      <c r="M103" s="298" t="str">
        <f>'テンプレート'!M116</f>
        <v>取得フレーム</v>
      </c>
      <c r="N103" s="298" t="str">
        <f>'テンプレート'!N116</f>
        <v>全体フレーム</v>
      </c>
      <c r="O103" s="118"/>
      <c r="P103" s="118"/>
      <c r="Q103" s="118"/>
      <c r="R103" s="118"/>
      <c r="S103" s="118"/>
      <c r="T103" s="118"/>
      <c r="U103" s="118"/>
      <c r="V103" s="118"/>
    </row>
    <row r="104" outlineLevel="1">
      <c r="A104" s="299" t="s">
        <v>239</v>
      </c>
      <c r="B104" s="300" t="s">
        <v>240</v>
      </c>
      <c r="C104" s="301"/>
      <c r="D104" s="113">
        <f t="array" ref="D104">INDEX('崖行動・受け身'!$C$3:$C105, MATCH($A$1,'崖行動・受け身'!$A$3:$A$115,0), MATCH(D103,'崖行動・受け身'!$C$2,0))</f>
        <v>19</v>
      </c>
      <c r="E104" s="301"/>
      <c r="F104" s="301"/>
      <c r="G104" s="301"/>
      <c r="H104" s="228"/>
      <c r="I104" s="228"/>
      <c r="J104" s="111"/>
      <c r="K104" s="302" t="str">
        <f>'テンプレート'!K117</f>
        <v>小アイテム</v>
      </c>
      <c r="L104" s="303" t="str">
        <f>'テンプレート'!L117</f>
        <v>その場</v>
      </c>
      <c r="M104" s="113" t="s">
        <v>76</v>
      </c>
      <c r="N104" s="113">
        <v>7.0</v>
      </c>
      <c r="O104" s="118"/>
      <c r="P104" s="118"/>
      <c r="Q104" s="118"/>
      <c r="R104" s="118"/>
      <c r="S104" s="118"/>
      <c r="T104" s="118"/>
      <c r="U104" s="118"/>
      <c r="V104" s="118"/>
    </row>
    <row r="105" outlineLevel="1">
      <c r="A105" s="146"/>
      <c r="B105" s="300" t="s">
        <v>216</v>
      </c>
      <c r="C105" s="113" t="str">
        <f t="array" ref="C105">INDEX('崖行動・受け身'!$D$3:$E105, MATCH($A$1,'崖行動・受け身'!$A$3:$A$115,0), MATCH(C103,'崖行動・受け身'!$D$2:$E$2,0))</f>
        <v>1-33</v>
      </c>
      <c r="D105" s="113">
        <f t="array" ref="D105">INDEX('崖行動・受け身'!$D$3:$E105, MATCH($A$1,'崖行動・受け身'!$A$3:$A$115,0), MATCH(D103,'崖行動・受け身'!$D$2:$E$2,0))</f>
        <v>34</v>
      </c>
      <c r="E105" s="301"/>
      <c r="F105" s="301"/>
      <c r="G105" s="301"/>
      <c r="H105" s="228"/>
      <c r="I105" s="228"/>
      <c r="J105" s="117"/>
      <c r="K105" s="156"/>
      <c r="L105" s="303" t="str">
        <f>'テンプレート'!L118</f>
        <v>歩き</v>
      </c>
      <c r="M105" s="113" t="s">
        <v>76</v>
      </c>
      <c r="N105" s="113">
        <v>19.0</v>
      </c>
      <c r="O105" s="118"/>
      <c r="P105" s="118"/>
      <c r="Q105" s="118"/>
      <c r="R105" s="118"/>
      <c r="S105" s="118"/>
      <c r="T105" s="118"/>
      <c r="U105" s="118"/>
      <c r="V105" s="118"/>
    </row>
    <row r="106" outlineLevel="1">
      <c r="A106" s="146"/>
      <c r="B106" s="300" t="s">
        <v>241</v>
      </c>
      <c r="C106" s="113" t="str">
        <f t="array" ref="C106">INDEX('崖行動・受け身'!$F$3:$G$115, MATCH($A$1,'崖行動・受け身'!$A$3:$A$115,0), MATCH(C103,'崖行動・受け身'!$F$2:$G$2,0))</f>
        <v>1-26</v>
      </c>
      <c r="D106" s="113">
        <f t="array" ref="D106">INDEX('崖行動・受け身'!$F$3:$G$115, MATCH($A$1,'崖行動・受け身'!$A$3:$A$115,0), MATCH(D103,'崖行動・受け身'!$F$2:$G$2,0))</f>
        <v>45</v>
      </c>
      <c r="E106" s="301"/>
      <c r="F106" s="301"/>
      <c r="G106" s="301"/>
      <c r="H106" s="228"/>
      <c r="I106" s="228"/>
      <c r="J106" s="111"/>
      <c r="K106" s="304" t="str">
        <f>'テンプレート'!K119</f>
        <v>アイテム投擲</v>
      </c>
      <c r="L106" s="109"/>
      <c r="M106" s="298" t="str">
        <f>'テンプレート'!M119</f>
        <v>投擲フレーム</v>
      </c>
      <c r="N106" s="298" t="str">
        <f>'テンプレート'!N119</f>
        <v>全体フレーム</v>
      </c>
      <c r="O106" s="118"/>
      <c r="P106" s="118"/>
      <c r="Q106" s="118"/>
      <c r="R106" s="118"/>
      <c r="S106" s="118"/>
      <c r="T106" s="118"/>
      <c r="U106" s="118"/>
      <c r="V106" s="118"/>
    </row>
    <row r="107" outlineLevel="1">
      <c r="A107" s="146"/>
      <c r="B107" s="300" t="s">
        <v>242</v>
      </c>
      <c r="C107" s="113" t="str">
        <f t="array" ref="C107">INDEX('崖行動・受け身'!$H$3:$I$115, MATCH($A$1,'崖行動・受け身'!$A$3:$A$115,0), MATCH(C103,'崖行動・受け身'!$H$2:$I$2,0))</f>
        <v>1-12</v>
      </c>
      <c r="D107" s="113">
        <f t="array" ref="D107">INDEX('崖行動・受け身'!$H$3:$I$115, MATCH($A$1,'崖行動・受け身'!$A$3:$A$115,0), MATCH(D103,'崖行動・受け身'!$H$2:$I$2,0))</f>
        <v>14</v>
      </c>
      <c r="E107" s="301"/>
      <c r="F107" s="301"/>
      <c r="G107" s="301"/>
      <c r="H107" s="228"/>
      <c r="I107" s="228"/>
      <c r="J107" s="117"/>
      <c r="K107" s="305" t="str">
        <f>'テンプレート'!K120</f>
        <v>地上投擲</v>
      </c>
      <c r="L107" s="303" t="str">
        <f>'テンプレート'!L120</f>
        <v>前投げ</v>
      </c>
      <c r="M107" s="113" t="s">
        <v>80</v>
      </c>
      <c r="N107" s="113">
        <v>24.0</v>
      </c>
      <c r="O107" s="111"/>
      <c r="P107" s="111"/>
      <c r="Q107" s="111"/>
      <c r="R107" s="111"/>
      <c r="S107" s="111"/>
      <c r="T107" s="111"/>
      <c r="U107" s="111"/>
      <c r="V107" s="111"/>
    </row>
    <row r="108" outlineLevel="1">
      <c r="A108" s="156"/>
      <c r="B108" s="300" t="s">
        <v>243</v>
      </c>
      <c r="C108" s="113" t="str">
        <f t="array" ref="C108">INDEX('崖行動・受け身'!$J$3:$M$115, MATCH($A$1,'崖行動・受け身'!$A$3:$A$115,0), MATCH(C103,'崖行動・受け身'!$J$2:$M$2,0))</f>
        <v>1-27</v>
      </c>
      <c r="D108" s="113">
        <f t="array" ref="D108">INDEX('崖行動・受け身'!$J$3:$M$115, MATCH($A$1,'崖行動・受け身'!$A$3:$A$115,0), MATCH(D103,'崖行動・受け身'!$J$2:$M$2,0))</f>
        <v>55</v>
      </c>
      <c r="E108" s="113" t="str">
        <f t="array" ref="E108">INDEX('崖行動・受け身'!$J$3:$M$115, MATCH($A$1,'崖行動・受け身'!$A$3:$A$115,0), MATCH(E103,'崖行動・受け身'!$J$2:$M$2,0))</f>
        <v>25-27</v>
      </c>
      <c r="F108" s="113">
        <f t="array" ref="F108">INDEX('崖行動・受け身'!$J$3:$M$115, MATCH($A$1,'崖行動・受け身'!$A$3:$A$115,0), MATCH(F103,'崖行動・受け身'!$J$2:$M$2,0))</f>
        <v>9</v>
      </c>
      <c r="G108" s="113">
        <f>F108*1.2</f>
        <v>10.8</v>
      </c>
      <c r="H108" s="228"/>
      <c r="I108" s="228"/>
      <c r="J108" s="111"/>
      <c r="K108" s="146"/>
      <c r="L108" s="303" t="str">
        <f>'テンプレート'!L121</f>
        <v>後投げ</v>
      </c>
      <c r="M108" s="113" t="s">
        <v>232</v>
      </c>
      <c r="N108" s="113">
        <v>24.0</v>
      </c>
      <c r="O108" s="111"/>
      <c r="P108" s="111"/>
      <c r="Q108" s="111"/>
      <c r="R108" s="111"/>
      <c r="S108" s="111"/>
      <c r="T108" s="111"/>
      <c r="U108" s="111"/>
      <c r="V108" s="111"/>
    </row>
    <row r="109" outlineLevel="1">
      <c r="A109" s="299" t="s">
        <v>244</v>
      </c>
      <c r="B109" s="300" t="s">
        <v>216</v>
      </c>
      <c r="C109" s="113" t="str">
        <f t="array" ref="C109">INDEX('崖行動・受け身'!$N$3:$O$115, MATCH($A$1,'崖行動・受け身'!$A$3:$A$115,0), MATCH(C103,'崖行動・受け身'!$N$2:$O$2,0))</f>
        <v>1-20</v>
      </c>
      <c r="D109" s="113">
        <f t="array" ref="D109">INDEX('崖行動・受け身'!$N$3:$O$115, MATCH($A$1,'崖行動・受け身'!$A$3:$A$115,0), MATCH(D103,'崖行動・受け身'!$N$2:$O$2,0))</f>
        <v>26</v>
      </c>
      <c r="E109" s="301"/>
      <c r="F109" s="301"/>
      <c r="G109" s="301"/>
      <c r="H109" s="228"/>
      <c r="I109" s="228"/>
      <c r="J109" s="117"/>
      <c r="K109" s="146"/>
      <c r="L109" s="303" t="str">
        <f>'テンプレート'!L122</f>
        <v>上投げ</v>
      </c>
      <c r="M109" s="113" t="s">
        <v>129</v>
      </c>
      <c r="N109" s="113">
        <v>23.0</v>
      </c>
      <c r="O109" s="228"/>
      <c r="P109" s="228"/>
      <c r="Q109" s="228"/>
      <c r="R109" s="228"/>
      <c r="S109" s="228"/>
      <c r="T109" s="228"/>
      <c r="U109" s="228"/>
      <c r="V109" s="228"/>
    </row>
    <row r="110" outlineLevel="1">
      <c r="A110" s="146"/>
      <c r="B110" s="300" t="s">
        <v>245</v>
      </c>
      <c r="C110" s="113" t="str">
        <f t="array" ref="C110">INDEX('崖行動・受け身'!$P$3:$Q$115, MATCH($A$1,'崖行動・受け身'!$A$3:$A$115,0), MATCH(C103,'崖行動・受け身'!$P$2:$Q$2,0))</f>
        <v>1-20</v>
      </c>
      <c r="D110" s="113">
        <f t="array" ref="D110">INDEX('崖行動・受け身'!$P$3:$Q$115, MATCH($A$1,'崖行動・受け身'!$A$3:$A$115,0), MATCH(D103,'崖行動・受け身'!$P$2:$Q$2,0))</f>
        <v>40</v>
      </c>
      <c r="E110" s="301"/>
      <c r="F110" s="301"/>
      <c r="G110" s="301"/>
      <c r="H110" s="228"/>
      <c r="I110" s="228"/>
      <c r="J110" s="111"/>
      <c r="K110" s="146"/>
      <c r="L110" s="303" t="str">
        <f>'テンプレート'!L123</f>
        <v>下投げ</v>
      </c>
      <c r="M110" s="113" t="s">
        <v>93</v>
      </c>
      <c r="N110" s="113">
        <v>19.0</v>
      </c>
      <c r="O110" s="118"/>
      <c r="P110" s="118"/>
      <c r="Q110" s="118"/>
      <c r="R110" s="118"/>
      <c r="S110" s="118"/>
      <c r="T110" s="118"/>
      <c r="U110" s="118"/>
      <c r="V110" s="118"/>
    </row>
    <row r="111" outlineLevel="1">
      <c r="A111" s="156"/>
      <c r="B111" s="300" t="s">
        <v>246</v>
      </c>
      <c r="C111" s="113" t="str">
        <f t="array" ref="C111">INDEX('崖行動・受け身'!$R$3:$S$115, MATCH($A$1,'崖行動・受け身'!$A$3:$A$115,0), MATCH(C103,'崖行動・受け身'!$R$2:$S$2,0))</f>
        <v>1-20</v>
      </c>
      <c r="D111" s="113">
        <f t="array" ref="D111">INDEX('崖行動・受け身'!$R$3:$S$115, MATCH($A$1,'崖行動・受け身'!$A$3:$A$115,0), MATCH(D103,'崖行動・受け身'!$R$2:$S$2,0))</f>
        <v>40</v>
      </c>
      <c r="E111" s="301"/>
      <c r="F111" s="301"/>
      <c r="G111" s="301"/>
      <c r="H111" s="228"/>
      <c r="I111" s="228"/>
      <c r="J111" s="117"/>
      <c r="K111" s="146"/>
      <c r="L111" s="306" t="str">
        <f>'テンプレート'!L124</f>
        <v>ダッシュ</v>
      </c>
      <c r="M111" s="113" t="s">
        <v>150</v>
      </c>
      <c r="N111" s="113">
        <v>39.0</v>
      </c>
      <c r="O111" s="118"/>
      <c r="P111" s="118"/>
      <c r="Q111" s="118"/>
      <c r="R111" s="118"/>
      <c r="S111" s="118"/>
      <c r="T111" s="118"/>
      <c r="U111" s="118"/>
      <c r="V111" s="118"/>
    </row>
    <row r="112" outlineLevel="1">
      <c r="A112" s="299" t="s">
        <v>247</v>
      </c>
      <c r="B112" s="300" t="s">
        <v>248</v>
      </c>
      <c r="C112" s="301"/>
      <c r="D112" s="113" t="str">
        <f t="array" ref="D112">INDEX('起きあがり'!$C$3:$C105, MATCH($A$1,'起きあがり'!$A$3:$A$115,0), MATCH(D103,'起きあがり'!$C$2:$AD$2,0))</f>
        <v>25</v>
      </c>
      <c r="E112" s="301"/>
      <c r="F112" s="301"/>
      <c r="G112" s="301"/>
      <c r="H112" s="228"/>
      <c r="I112" s="228"/>
      <c r="J112" s="111"/>
      <c r="K112" s="156"/>
      <c r="L112" s="306" t="str">
        <f>'テンプレート'!L125</f>
        <v>その場捨て</v>
      </c>
      <c r="M112" s="113" t="s">
        <v>86</v>
      </c>
      <c r="N112" s="113">
        <v>23.0</v>
      </c>
      <c r="O112" s="118"/>
      <c r="P112" s="118"/>
      <c r="Q112" s="118"/>
      <c r="R112" s="118"/>
      <c r="S112" s="118"/>
      <c r="T112" s="118"/>
      <c r="U112" s="118"/>
      <c r="V112" s="118"/>
    </row>
    <row r="113" outlineLevel="1">
      <c r="A113" s="146"/>
      <c r="B113" s="300" t="s">
        <v>216</v>
      </c>
      <c r="C113" s="307" t="str">
        <f t="array" ref="C113">INDEX('起きあがり'!$D$3:$E105, MATCH($A$1,'起きあがり'!$A$3:$A$115,0), MATCH(C103,'起きあがり'!$D$2:$AD$2,0))</f>
        <v>1-22</v>
      </c>
      <c r="D113" s="308">
        <f t="array" ref="D113">INDEX('起きあがり'!$D$3:$E105, MATCH($A$1,'起きあがり'!$A$3:$A$115,0), MATCH(D103,'起きあがり'!$D$2:$AD$2,0))</f>
        <v>29</v>
      </c>
      <c r="E113" s="301"/>
      <c r="F113" s="301"/>
      <c r="G113" s="301"/>
      <c r="H113" s="228"/>
      <c r="I113" s="228"/>
      <c r="J113" s="117"/>
      <c r="K113" s="305" t="str">
        <f>'テンプレート'!K126</f>
        <v>空中投擲</v>
      </c>
      <c r="L113" s="303" t="str">
        <f>'テンプレート'!L126</f>
        <v>前投げ</v>
      </c>
      <c r="M113" s="113" t="s">
        <v>80</v>
      </c>
      <c r="N113" s="113">
        <v>24.0</v>
      </c>
      <c r="O113" s="118"/>
      <c r="P113" s="118"/>
      <c r="Q113" s="118"/>
      <c r="R113" s="118"/>
      <c r="S113" s="118"/>
      <c r="T113" s="118"/>
      <c r="U113" s="118"/>
      <c r="V113" s="118"/>
    </row>
    <row r="114" outlineLevel="1">
      <c r="A114" s="146"/>
      <c r="B114" s="300" t="s">
        <v>245</v>
      </c>
      <c r="C114" s="307" t="str">
        <f t="array" ref="C114">INDEX('起きあがり'!$F$3:$G$115, MATCH($A$1,'起きあがり'!$A$3:$A$115,0), MATCH(C103,'起きあがり'!$F$2:$AD$2,0))</f>
        <v>1-24</v>
      </c>
      <c r="D114" s="308">
        <f t="array" ref="D114">INDEX('起きあがり'!$F$3:$G$115, MATCH($A$1,'起きあがり'!$A$3:$A$115,0), MATCH(D103,'起きあがり'!$F$2:$AD$2,0))</f>
        <v>35</v>
      </c>
      <c r="E114" s="301"/>
      <c r="F114" s="301"/>
      <c r="G114" s="301"/>
      <c r="H114" s="228"/>
      <c r="I114" s="228"/>
      <c r="J114" s="111"/>
      <c r="K114" s="146"/>
      <c r="L114" s="303" t="str">
        <f>'テンプレート'!L127</f>
        <v>後投げ</v>
      </c>
      <c r="M114" s="113" t="s">
        <v>232</v>
      </c>
      <c r="N114" s="113">
        <v>24.0</v>
      </c>
      <c r="O114" s="118"/>
      <c r="P114" s="118"/>
      <c r="Q114" s="118"/>
      <c r="R114" s="118"/>
      <c r="S114" s="118"/>
      <c r="T114" s="118"/>
      <c r="U114" s="118"/>
      <c r="V114" s="118"/>
    </row>
    <row r="115" outlineLevel="1">
      <c r="A115" s="146"/>
      <c r="B115" s="300" t="s">
        <v>246</v>
      </c>
      <c r="C115" s="113" t="str">
        <f t="array" ref="C115">INDEX('起きあがり'!$H$3:$I$115, MATCH($A$1,'起きあがり'!$A$3:$A$115,0), MATCH(C103,'起きあがり'!$H$2:$AD$2,0))</f>
        <v>1-31</v>
      </c>
      <c r="D115" s="113">
        <f t="array" ref="D115">INDEX('起きあがり'!$H$3:$I$115, MATCH($A$1,'起きあがり'!$A$3:$A$115,0), MATCH(D103,'起きあがり'!$H$2:$AD$2,0))</f>
        <v>35</v>
      </c>
      <c r="E115" s="301"/>
      <c r="F115" s="301"/>
      <c r="G115" s="301"/>
      <c r="H115" s="228"/>
      <c r="I115" s="228"/>
      <c r="J115" s="117"/>
      <c r="K115" s="146"/>
      <c r="L115" s="303" t="str">
        <f>'テンプレート'!L128</f>
        <v>上投げ</v>
      </c>
      <c r="M115" s="113" t="s">
        <v>129</v>
      </c>
      <c r="N115" s="113">
        <v>23.0</v>
      </c>
      <c r="O115" s="118"/>
      <c r="P115" s="118"/>
      <c r="Q115" s="118"/>
      <c r="R115" s="118"/>
      <c r="S115" s="118"/>
      <c r="T115" s="118"/>
      <c r="U115" s="118"/>
      <c r="V115" s="118"/>
    </row>
    <row r="116" outlineLevel="1">
      <c r="A116" s="146"/>
      <c r="B116" s="300" t="s">
        <v>249</v>
      </c>
      <c r="C116" s="309" t="str">
        <f t="array" ref="C116">INDEX('起きあがり'!$J$3:$M$115, MATCH($A$1,'起きあがり'!$A$3:$A$115,0), MATCH(C103,'起きあがり'!$J$2:$AD$2,0))</f>
        <v>1-25</v>
      </c>
      <c r="D116" s="310">
        <f t="array" ref="D116">INDEX('起きあがり'!$J$3:$M$115, MATCH($A$1,'起きあがり'!$A$3:$A$115,0), MATCH(D103,'起きあがり'!$J$2:$AD$2,0))</f>
        <v>45</v>
      </c>
      <c r="E116" s="307" t="str">
        <f t="array" ref="E116">INDEX('起きあがり'!$J$3:$M$115, MATCH($A$1,'起きあがり'!$A$3:$A$115,0), MATCH(E103,'起きあがり'!$J$2:$AD$2,0))</f>
        <v>14-15</v>
      </c>
      <c r="F116" s="308">
        <f t="array" ref="F116">INDEX('起きあがり'!$J$3:$M$115, MATCH($A$1,'起きあがり'!$A$3:$A$115,0), MATCH(F103,'起きあがり'!$J$2:$AD$2,0))</f>
        <v>7</v>
      </c>
      <c r="G116" s="113">
        <f t="shared" ref="G116:G117" si="1">F116*1.2</f>
        <v>8.4</v>
      </c>
      <c r="H116" s="228"/>
      <c r="I116" s="228"/>
      <c r="J116" s="111"/>
      <c r="K116" s="156"/>
      <c r="L116" s="303" t="str">
        <f>'テンプレート'!L129</f>
        <v>下投げ</v>
      </c>
      <c r="M116" s="113" t="s">
        <v>93</v>
      </c>
      <c r="N116" s="113">
        <v>19.0</v>
      </c>
      <c r="O116" s="111"/>
      <c r="P116" s="111"/>
      <c r="Q116" s="111"/>
      <c r="R116" s="111"/>
      <c r="S116" s="111"/>
      <c r="T116" s="111"/>
      <c r="U116" s="111"/>
      <c r="V116" s="111"/>
    </row>
    <row r="117" outlineLevel="1">
      <c r="A117" s="156"/>
      <c r="B117" s="311" t="s">
        <v>250</v>
      </c>
      <c r="C117" s="156"/>
      <c r="D117" s="156"/>
      <c r="E117" s="307" t="str">
        <f t="array" ref="E117">INDEX('起きあがり'!$N$3:$O$115, MATCH($A$1,'起きあがり'!$A$3:$A$115,0), MATCH(E103,'起きあがり'!$N$2:$AD$2,0))</f>
        <v>24-25</v>
      </c>
      <c r="F117" s="308">
        <f t="array" ref="F117">INDEX('起きあがり'!$N$3:$O$115, MATCH($A$1,'起きあがり'!$A$3:$A$115,0), MATCH(F103,'起きあがり'!$N$2:$AD$2,0))</f>
        <v>7</v>
      </c>
      <c r="G117" s="113">
        <f t="shared" si="1"/>
        <v>8.4</v>
      </c>
      <c r="H117" s="228"/>
      <c r="I117" s="228"/>
      <c r="J117" s="111"/>
      <c r="K117" s="312" t="str">
        <f>'テンプレート'!K130</f>
        <v>踏み台ジャンプ</v>
      </c>
      <c r="L117" s="168"/>
      <c r="M117" s="298" t="str">
        <f>'テンプレート'!M130</f>
        <v>全体フレーム</v>
      </c>
      <c r="N117" s="114"/>
      <c r="O117" s="111"/>
      <c r="P117" s="111"/>
      <c r="Q117" s="111"/>
      <c r="R117" s="111"/>
      <c r="S117" s="111"/>
      <c r="T117" s="111"/>
      <c r="U117" s="111"/>
      <c r="V117" s="111"/>
    </row>
    <row r="118" outlineLevel="1">
      <c r="A118" s="299" t="s">
        <v>251</v>
      </c>
      <c r="B118" s="300" t="s">
        <v>248</v>
      </c>
      <c r="C118" s="301"/>
      <c r="D118" s="307" t="str">
        <f t="array" ref="D118">INDEX('起きあがり'!$C$3:$C105, MATCH($A$1,'起きあがり'!$A$3:$A$115,0), MATCH(D103,'起きあがり'!$C$2,0))</f>
        <v>25</v>
      </c>
      <c r="E118" s="301"/>
      <c r="F118" s="301"/>
      <c r="G118" s="301"/>
      <c r="H118" s="228"/>
      <c r="I118" s="228"/>
      <c r="J118" s="117"/>
      <c r="K118" s="313" t="str">
        <f>'テンプレート'!K131</f>
        <v>踏み</v>
      </c>
      <c r="L118" s="314" t="str">
        <f>'テンプレート'!L131</f>
        <v>踏み</v>
      </c>
      <c r="M118" s="113">
        <v>8.0</v>
      </c>
      <c r="N118" s="315"/>
      <c r="O118" s="111"/>
      <c r="P118" s="111"/>
      <c r="Q118" s="111"/>
      <c r="R118" s="111"/>
      <c r="S118" s="111"/>
      <c r="T118" s="111"/>
      <c r="U118" s="111"/>
      <c r="V118" s="111"/>
    </row>
    <row r="119" outlineLevel="1">
      <c r="A119" s="146"/>
      <c r="B119" s="300" t="s">
        <v>216</v>
      </c>
      <c r="C119" s="307" t="str">
        <f t="array" ref="C119">INDEX('起きあがり'!$P$3:$Q$115, MATCH($A$1,'起きあがり'!$A$3:$A$115,0), MATCH(C103,'起きあがり'!$P$2:$AD$2,0))</f>
        <v>1-22</v>
      </c>
      <c r="D119" s="308">
        <f t="array" ref="D119">INDEX('起きあがり'!$P$3:$Q$115, MATCH($A$1,'起きあがり'!$A$3:$A$115,0), MATCH(D103,'起きあがり'!$P$2:$AD$2,0))</f>
        <v>29</v>
      </c>
      <c r="E119" s="301"/>
      <c r="F119" s="301"/>
      <c r="G119" s="301"/>
      <c r="H119" s="228"/>
      <c r="I119" s="228"/>
      <c r="J119" s="111"/>
      <c r="K119" s="305" t="str">
        <f>'テンプレート'!K132</f>
        <v>踏まれ</v>
      </c>
      <c r="L119" s="314" t="str">
        <f>'テンプレート'!L132</f>
        <v>地上踏まれ</v>
      </c>
      <c r="M119" s="113" t="s">
        <v>76</v>
      </c>
      <c r="N119" s="315"/>
      <c r="O119" s="228"/>
      <c r="P119" s="228"/>
      <c r="Q119" s="228"/>
      <c r="R119" s="228"/>
      <c r="S119" s="228"/>
      <c r="T119" s="228"/>
      <c r="U119" s="228"/>
      <c r="V119" s="228"/>
    </row>
    <row r="120" outlineLevel="1">
      <c r="A120" s="146"/>
      <c r="B120" s="300" t="s">
        <v>245</v>
      </c>
      <c r="C120" s="307" t="str">
        <f t="array" ref="C120">INDEX('起きあがり'!$R$3:$S$115, MATCH($A$1,'起きあがり'!$A$3:$A$115,0), MATCH(C103,'起きあがり'!$R$2:$AD$2,0))</f>
        <v>1-19</v>
      </c>
      <c r="D120" s="308">
        <f t="array" ref="D120">INDEX('起きあがり'!$R$3:$S$115, MATCH($A$1,'起きあがり'!$A$3:$A$115,0), MATCH(D103,'起きあがり'!$R$2:$AD$2,0))</f>
        <v>35</v>
      </c>
      <c r="E120" s="301"/>
      <c r="F120" s="301"/>
      <c r="G120" s="301"/>
      <c r="H120" s="228"/>
      <c r="I120" s="228"/>
      <c r="J120" s="117"/>
      <c r="K120" s="146"/>
      <c r="L120" s="314" t="s">
        <v>693</v>
      </c>
      <c r="M120" s="113">
        <v>27.0</v>
      </c>
      <c r="N120" s="102"/>
      <c r="O120" s="118"/>
      <c r="P120" s="118"/>
      <c r="Q120" s="118"/>
      <c r="R120" s="118"/>
      <c r="S120" s="118"/>
      <c r="T120" s="118"/>
      <c r="U120" s="118"/>
      <c r="V120" s="118"/>
    </row>
    <row r="121" outlineLevel="1">
      <c r="A121" s="146"/>
      <c r="B121" s="300" t="s">
        <v>246</v>
      </c>
      <c r="C121" s="307" t="str">
        <f t="array" ref="C121">INDEX('起きあがり'!$T$3:$U$115, MATCH($A$1,'起きあがり'!$A$3:$A$115,0), MATCH(C103,'起きあがり'!$T$2:$AD$2,0))</f>
        <v>1-25</v>
      </c>
      <c r="D121" s="308">
        <f t="array" ref="D121">INDEX('起きあがり'!$T$3:$U$115, MATCH($A$1,'起きあがり'!$A$3:$A$115,0), MATCH(D103,'起きあがり'!$T$2:$AD$2,0))</f>
        <v>35</v>
      </c>
      <c r="E121" s="301"/>
      <c r="F121" s="301"/>
      <c r="G121" s="301"/>
      <c r="H121" s="228"/>
      <c r="I121" s="228"/>
      <c r="J121" s="111"/>
      <c r="K121" s="146"/>
      <c r="L121" s="314" t="str">
        <f>'テンプレート'!L134</f>
        <v>空中踏まれ</v>
      </c>
      <c r="M121" s="113">
        <v>7.0</v>
      </c>
      <c r="N121" s="102"/>
      <c r="O121" s="118"/>
      <c r="P121" s="118"/>
      <c r="Q121" s="118"/>
      <c r="R121" s="118"/>
      <c r="S121" s="118"/>
      <c r="T121" s="118"/>
      <c r="U121" s="118"/>
      <c r="V121" s="118"/>
    </row>
    <row r="122" outlineLevel="1">
      <c r="A122" s="146"/>
      <c r="B122" s="300" t="s">
        <v>249</v>
      </c>
      <c r="C122" s="309" t="str">
        <f t="array" ref="C122">INDEX('起きあがり'!$V$3:$Y$115, MATCH($A$1,'起きあがり'!$A$3:$A$115,0), MATCH(C103,'起きあがり'!$V$2:$AD$2,0))</f>
        <v>1-25</v>
      </c>
      <c r="D122" s="310">
        <f t="array" ref="D122">INDEX('起きあがり'!$V$3:$Y$115, MATCH($A$1,'起きあがり'!$A$3:$A$115,0), MATCH(D103,'起きあがり'!$V$2:$AD$2,0))</f>
        <v>45</v>
      </c>
      <c r="E122" s="307" t="str">
        <f t="array" ref="E122">INDEX('起きあがり'!$V$3:$Y$115, MATCH($A$1,'起きあがり'!$A$3:$A$115,0), MATCH(E103,'起きあがり'!$V$2:$AD$2,0))</f>
        <v>14-15</v>
      </c>
      <c r="F122" s="308">
        <f t="array" ref="F122">INDEX('起きあがり'!$V$3:$Y$115, MATCH($A$1,'起きあがり'!$A$3:$A$115,0), MATCH(F103,'起きあがり'!$V$2:$AD$2,0))</f>
        <v>7</v>
      </c>
      <c r="G122" s="113">
        <f t="shared" ref="G122:G123" si="2">F122*1.2</f>
        <v>8.4</v>
      </c>
      <c r="H122" s="228"/>
      <c r="I122" s="228"/>
      <c r="J122" s="117"/>
      <c r="K122" s="146"/>
      <c r="L122" s="314" t="str">
        <f>'テンプレート'!L135</f>
        <v>空中落下</v>
      </c>
      <c r="M122" s="113">
        <v>37.0</v>
      </c>
      <c r="N122" s="102"/>
      <c r="O122" s="118"/>
      <c r="P122" s="118"/>
      <c r="Q122" s="118"/>
      <c r="R122" s="118"/>
      <c r="S122" s="118"/>
      <c r="T122" s="118"/>
      <c r="U122" s="118"/>
      <c r="V122" s="118"/>
    </row>
    <row r="123" outlineLevel="1">
      <c r="A123" s="156"/>
      <c r="B123" s="311" t="s">
        <v>250</v>
      </c>
      <c r="C123" s="156"/>
      <c r="D123" s="156"/>
      <c r="E123" s="307" t="str">
        <f t="array" ref="E123">INDEX('起きあがり'!$Z$3:$AA$115, MATCH($A$1,'起きあがり'!$A$3:$A$115,0), MATCH(E103,'起きあがり'!$Z$2:$AD$2,0))</f>
        <v>24-25</v>
      </c>
      <c r="F123" s="308">
        <f t="array" ref="F123">INDEX('起きあがり'!$Z$3:$AA$115, MATCH($A$1,'起きあがり'!$A$3:$A$115,0), MATCH(F103,'起きあがり'!$Z$2:$AD$2,0))</f>
        <v>7</v>
      </c>
      <c r="G123" s="113">
        <f t="shared" si="2"/>
        <v>8.4</v>
      </c>
      <c r="H123" s="228"/>
      <c r="I123" s="228"/>
      <c r="J123" s="117"/>
      <c r="K123" s="304" t="str">
        <f>'テンプレート'!K136</f>
        <v>倒れダメージ</v>
      </c>
      <c r="L123" s="110"/>
      <c r="M123" s="298" t="str">
        <f>'テンプレート'!M136</f>
        <v>全体フレーム</v>
      </c>
      <c r="N123" s="102"/>
      <c r="O123" s="118"/>
      <c r="P123" s="118"/>
      <c r="Q123" s="118"/>
      <c r="R123" s="118"/>
      <c r="S123" s="118"/>
      <c r="T123" s="118"/>
      <c r="U123" s="118"/>
      <c r="V123" s="118"/>
    </row>
    <row r="124" outlineLevel="1">
      <c r="A124" s="299" t="s">
        <v>252</v>
      </c>
      <c r="B124" s="300" t="s">
        <v>253</v>
      </c>
      <c r="C124" s="307" t="str">
        <f t="array" ref="C124">INDEX('転倒'!$C$3:$D105, MATCH($A$1,'転倒'!$A$3:$A$115,0), MATCH(C103,'転倒'!$C$2:$AC$2,0))</f>
        <v>1-5</v>
      </c>
      <c r="D124" s="308">
        <f t="array" ref="D124">INDEX('転倒'!$C$3:$D105, MATCH($A$1,'転倒'!$A$3:$A$115,0), MATCH(D103,'転倒'!$C$2:$AC$2,0))</f>
        <v>29</v>
      </c>
      <c r="E124" s="301"/>
      <c r="F124" s="301"/>
      <c r="G124" s="301"/>
      <c r="H124" s="228"/>
      <c r="I124" s="228"/>
      <c r="J124" s="111"/>
      <c r="K124" s="313" t="str">
        <f>'テンプレート'!K137</f>
        <v>あお向け倒れ</v>
      </c>
      <c r="L124" s="306" t="str">
        <f>'テンプレート'!L137</f>
        <v>モーション大</v>
      </c>
      <c r="M124" s="113">
        <v>39.0</v>
      </c>
      <c r="N124" s="315"/>
      <c r="O124" s="118"/>
      <c r="P124" s="118"/>
      <c r="Q124" s="118"/>
      <c r="R124" s="118"/>
      <c r="S124" s="118"/>
      <c r="T124" s="118"/>
      <c r="U124" s="118"/>
      <c r="V124" s="118"/>
    </row>
    <row r="125" outlineLevel="1">
      <c r="A125" s="146"/>
      <c r="B125" s="300" t="s">
        <v>254</v>
      </c>
      <c r="C125" s="307" t="str">
        <f t="array" ref="C125">INDEX('転倒'!$E$3:$F105, MATCH($A$1,'転倒'!$A$3:$A$115,0), MATCH(C103,'転倒'!$E$2:$AC$2,0))</f>
        <v>1-5</v>
      </c>
      <c r="D125" s="308">
        <f t="array" ref="D125">INDEX('転倒'!$E$3:$F105, MATCH($A$1,'転倒'!$A$3:$A$115,0), MATCH(D103,'転倒'!$E$2:$AC$2,0))</f>
        <v>39</v>
      </c>
      <c r="E125" s="301"/>
      <c r="F125" s="301"/>
      <c r="G125" s="301"/>
      <c r="H125" s="228"/>
      <c r="I125" s="228"/>
      <c r="J125" s="117"/>
      <c r="K125" s="313" t="str">
        <f>'テンプレート'!K138</f>
        <v>うつ伏せ倒れ</v>
      </c>
      <c r="L125" s="306" t="str">
        <f>'テンプレート'!L138</f>
        <v>モーション大</v>
      </c>
      <c r="M125" s="113" t="s">
        <v>118</v>
      </c>
      <c r="N125" s="315"/>
      <c r="O125" s="118"/>
      <c r="P125" s="118"/>
      <c r="Q125" s="118"/>
      <c r="R125" s="118"/>
      <c r="S125" s="118"/>
      <c r="T125" s="118"/>
      <c r="U125" s="118"/>
      <c r="V125" s="118"/>
    </row>
    <row r="126" outlineLevel="1">
      <c r="A126" s="146"/>
      <c r="B126" s="300" t="s">
        <v>216</v>
      </c>
      <c r="C126" s="307" t="str">
        <f t="array" ref="C126">INDEX('転倒'!$G$3:$H$115, MATCH($A$1,'転倒'!$A$3:$A$115,0), MATCH(C103,'転倒'!$G$2:$AC$2,0))</f>
        <v>1-16</v>
      </c>
      <c r="D126" s="308">
        <f t="array" ref="D126">INDEX('転倒'!$G$3:$H$115, MATCH($A$1,'転倒'!$A$3:$A$115,0), MATCH(D103,'転倒'!$G$2:$AC$2,0))</f>
        <v>21</v>
      </c>
      <c r="E126" s="301"/>
      <c r="F126" s="301"/>
      <c r="G126" s="301"/>
      <c r="H126" s="228"/>
      <c r="I126" s="228"/>
      <c r="J126" s="111"/>
      <c r="K126" s="304" t="str">
        <f>'テンプレート'!K139</f>
        <v/>
      </c>
      <c r="L126" s="110"/>
      <c r="M126" s="298" t="str">
        <f>'テンプレート'!M139</f>
        <v/>
      </c>
      <c r="N126" s="102"/>
      <c r="O126" s="118"/>
      <c r="P126" s="118"/>
      <c r="Q126" s="118"/>
      <c r="R126" s="118"/>
      <c r="S126" s="118"/>
      <c r="T126" s="118"/>
      <c r="U126" s="118"/>
      <c r="V126" s="118"/>
    </row>
    <row r="127" outlineLevel="1">
      <c r="A127" s="146"/>
      <c r="B127" s="300" t="s">
        <v>245</v>
      </c>
      <c r="C127" s="307" t="str">
        <f t="array" ref="C127">INDEX('転倒'!$I$3:$J$115, MATCH($A$1,'転倒'!$A$3:$A$115,0), MATCH(C103,'転倒'!$I$2:$AC$2,0))</f>
        <v>1-9</v>
      </c>
      <c r="D127" s="308">
        <f t="array" ref="D127">INDEX('転倒'!$I$3:$J$115, MATCH($A$1,'転倒'!$A$3:$A$115,0), MATCH(D103,'転倒'!$I$2:$AC$2,0))</f>
        <v>28</v>
      </c>
      <c r="E127" s="301"/>
      <c r="F127" s="301"/>
      <c r="G127" s="301"/>
      <c r="H127" s="228"/>
      <c r="I127" s="228"/>
      <c r="J127" s="228"/>
      <c r="K127" s="316"/>
      <c r="L127" s="317" t="str">
        <f>'テンプレート'!L140</f>
        <v/>
      </c>
      <c r="M127" s="113" t="s">
        <v>76</v>
      </c>
      <c r="N127" s="102"/>
      <c r="O127" s="118"/>
      <c r="P127" s="118"/>
      <c r="Q127" s="118"/>
      <c r="R127" s="118"/>
      <c r="S127" s="118"/>
      <c r="T127" s="118"/>
      <c r="U127" s="118"/>
      <c r="V127" s="118"/>
    </row>
    <row r="128" outlineLevel="1">
      <c r="A128" s="146"/>
      <c r="B128" s="300" t="s">
        <v>246</v>
      </c>
      <c r="C128" s="307" t="str">
        <f t="array" ref="C128">INDEX('転倒'!$K$3:$L$115, MATCH($A$1,'転倒'!$A$3:$A$115,0), MATCH(C103,'転倒'!$K$2:$AC$2,0))</f>
        <v>1-9</v>
      </c>
      <c r="D128" s="308">
        <f t="array" ref="D128">INDEX('転倒'!$K$3:$L$115, MATCH($A$1,'転倒'!$A$3:$A$115,0), MATCH(D103,'転倒'!$K$2:$AC$2,0))</f>
        <v>28</v>
      </c>
      <c r="E128" s="301"/>
      <c r="F128" s="301"/>
      <c r="G128" s="301"/>
      <c r="H128" s="228"/>
      <c r="I128" s="228"/>
      <c r="J128" s="228"/>
      <c r="K128" s="318"/>
      <c r="L128" s="118"/>
      <c r="M128" s="118"/>
      <c r="N128" s="102"/>
      <c r="O128" s="118"/>
      <c r="P128" s="118"/>
      <c r="Q128" s="118"/>
      <c r="R128" s="118"/>
      <c r="S128" s="118"/>
      <c r="T128" s="118"/>
      <c r="U128" s="118"/>
      <c r="V128" s="118"/>
    </row>
    <row r="129" outlineLevel="1">
      <c r="A129" s="146"/>
      <c r="B129" s="300" t="s">
        <v>249</v>
      </c>
      <c r="C129" s="309" t="str">
        <f t="array" ref="C129">INDEX('転倒'!$M$3:$P$115, MATCH($A$1,'転倒'!$A$3:$A$115,0), MATCH(C103,'転倒'!$M$2:$AC$2,0))</f>
        <v>1-7</v>
      </c>
      <c r="D129" s="1525">
        <f t="array" ref="D129">INDEX('転倒'!$M$3:$P$115, MATCH($A$1,'転倒'!$A$3:$A$115,0), MATCH(D103,'転倒'!$M$2:$AC$2,0))</f>
        <v>49</v>
      </c>
      <c r="E129" s="307" t="str">
        <f t="array" ref="E129">INDEX('転倒'!$M$3:$P$115, MATCH($A$1,'転倒'!$A$3:$A$115,0), MATCH(E103,'転倒'!$M$2:$AC$2,0))</f>
        <v>14-15</v>
      </c>
      <c r="F129" s="308">
        <f t="array" ref="F129">INDEX('転倒'!$M$3:$P$115, MATCH($A$1,'転倒'!$A$3:$A$115,0), MATCH(F103,'転倒'!$M$2:$AC$2,0))</f>
        <v>5</v>
      </c>
      <c r="G129" s="113">
        <f t="shared" ref="G129:G130" si="3">F129*1.2</f>
        <v>6</v>
      </c>
      <c r="H129" s="228"/>
      <c r="I129" s="228"/>
      <c r="J129" s="228"/>
      <c r="K129" s="118"/>
      <c r="L129" s="118"/>
      <c r="M129" s="118"/>
      <c r="N129" s="102"/>
      <c r="O129" s="102"/>
      <c r="P129" s="102"/>
      <c r="Q129" s="102"/>
      <c r="R129" s="118"/>
      <c r="S129" s="118"/>
      <c r="T129" s="118"/>
      <c r="U129" s="118"/>
      <c r="V129" s="118"/>
    </row>
    <row r="130" outlineLevel="1">
      <c r="A130" s="156"/>
      <c r="B130" s="311" t="s">
        <v>250</v>
      </c>
      <c r="C130" s="156"/>
      <c r="D130" s="156"/>
      <c r="E130" s="307" t="str">
        <f t="array" ref="E130">INDEX('転倒'!$Q$3:$R$115, MATCH($A$1,'転倒'!$A$3:$A$115,0), MATCH(E103,'転倒'!$Q$2:$AC$2,0))</f>
        <v>24-25</v>
      </c>
      <c r="F130" s="308">
        <f t="array" ref="F130">INDEX('転倒'!$Q$3:$R$115, MATCH($A$1,'転倒'!$A$3:$A$115,0), MATCH(F103,'転倒'!$Q$2:$AC$2,0))</f>
        <v>5</v>
      </c>
      <c r="G130" s="113">
        <f t="shared" si="3"/>
        <v>6</v>
      </c>
      <c r="H130" s="228"/>
      <c r="I130" s="228"/>
      <c r="J130" s="228"/>
      <c r="K130" s="118"/>
      <c r="L130" s="118"/>
      <c r="M130" s="118"/>
      <c r="N130" s="102"/>
      <c r="O130" s="102"/>
      <c r="P130" s="102"/>
      <c r="Q130" s="102"/>
      <c r="R130" s="118"/>
      <c r="S130" s="118"/>
      <c r="T130" s="118"/>
      <c r="U130" s="118"/>
      <c r="V130" s="118"/>
    </row>
    <row r="131" outlineLevel="1">
      <c r="A131" s="319"/>
      <c r="B131" s="320"/>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3" t="s">
        <v>255</v>
      </c>
      <c r="B132" s="109"/>
      <c r="C132" s="321"/>
      <c r="D132" s="321"/>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256</v>
      </c>
      <c r="B133" s="109"/>
      <c r="C133" s="325" t="s">
        <v>257</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258</v>
      </c>
      <c r="B134" s="327" t="s">
        <v>216</v>
      </c>
      <c r="C134" s="328" t="str">
        <f t="array" ref="C134">INDEX('アイテム'!$C$3:$D$114, MATCH($A$1,'アイテム'!$A$3:$A$114,0), MATCH(C133,'アイテム'!$C$2:$AQ$2,0))</f>
        <v>2</v>
      </c>
      <c r="D134" s="328">
        <f t="array" ref="D134">INDEX('アイテム'!$C$3:$D$114, MATCH($A$1,'アイテム'!$A$3:$A$114,0), MATCH(D133,'アイテム'!$C$2:$AQ$2,0))</f>
        <v>7</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219</v>
      </c>
      <c r="C135" s="328" t="str">
        <f t="array" ref="C135">INDEX('アイテム'!$E$3:$F$114, MATCH($A$1,'アイテム'!$A$3:$A$114,0), MATCH(C133,'アイテム'!$C$2:$AQ$2,0))</f>
        <v>2</v>
      </c>
      <c r="D135" s="328">
        <f t="array" ref="D135">INDEX('アイテム'!$E$3:$F$114, MATCH($A$1,'アイテム'!$A$3:$A$114,0), MATCH(D133,'アイテム'!$C$2:$AQ$2,0))</f>
        <v>19</v>
      </c>
      <c r="E135" s="322"/>
      <c r="F135" s="322"/>
      <c r="G135" s="114"/>
      <c r="H135" s="228"/>
      <c r="I135" s="228"/>
      <c r="J135" s="228"/>
      <c r="K135" s="118"/>
      <c r="L135" s="118"/>
      <c r="M135" s="118"/>
      <c r="N135" s="102"/>
      <c r="O135" s="102"/>
      <c r="P135" s="102"/>
      <c r="Q135" s="102"/>
      <c r="R135" s="118"/>
      <c r="S135" s="118"/>
      <c r="T135" s="118"/>
      <c r="U135" s="118"/>
      <c r="V135" s="118"/>
    </row>
    <row r="136" outlineLevel="1">
      <c r="A136" s="329" t="s">
        <v>259</v>
      </c>
      <c r="B136" s="327" t="s">
        <v>216</v>
      </c>
      <c r="C136" s="328">
        <f t="array" ref="C136">INDEX('アイテム'!$AA$3:$AB$114, MATCH($A$1,'アイテム'!$A$3:$A$114,0), MATCH(C133,'アイテム'!$C$2:$AQ$2,0))</f>
        <v>2</v>
      </c>
      <c r="D136" s="328" t="str">
        <f t="array" ref="D136">INDEX('アイテム'!$AA$3:$AB$114, MATCH($A$1,'アイテム'!$A$3:$A$114,0), MATCH(D133,'アイテム'!$C$2:$AQ$2,0))</f>
        <v>12</v>
      </c>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260</v>
      </c>
      <c r="B137" s="109"/>
      <c r="C137" s="325" t="s">
        <v>261</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262</v>
      </c>
      <c r="B138" s="327" t="s">
        <v>226</v>
      </c>
      <c r="C138" s="328" t="str">
        <f t="array" ref="C138">INDEX('アイテム'!$G$3:$H$114, MATCH($A$1,'アイテム'!$A$3:$A$114,0), MATCH(C133,'アイテム'!$C$2:$AQ$2,0))</f>
        <v>8</v>
      </c>
      <c r="D138" s="328">
        <f t="array" ref="D138">INDEX('アイテム'!$G$3:$H$114, MATCH($A$1,'アイテム'!$A$3:$A$114,0), MATCH(D133,'アイテム'!$C$2:$AQ$2,0))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t="str">
        <f t="array" ref="C139">INDEX('アイテム'!$I$3:$J$114, MATCH($A$1,'アイテム'!$A$3:$A$114,0), MATCH(C133,'アイテム'!$C$2:$AQ$2,0))</f>
        <v>11</v>
      </c>
      <c r="D139" s="328">
        <f t="array" ref="D139">INDEX('アイテム'!$I$3:$J$114, MATCH($A$1,'アイテム'!$A$3:$A$114,0), MATCH(D133,'アイテム'!$C$2:$AQ$2,0))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t="str">
        <f t="array" ref="C140">INDEX('アイテム'!$K$3:$L$114, MATCH($A$1,'アイテム'!$A$3:$A$114,0), MATCH(C133,'アイテム'!$C$2:$AQ$2,0))</f>
        <v>12</v>
      </c>
      <c r="D140" s="328">
        <f t="array" ref="D140">INDEX('アイテム'!$K$3:$L$114, MATCH($A$1,'アイテム'!$A$3:$A$114,0), MATCH(D133,'アイテム'!$C$2:$AQ$2,0))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234</v>
      </c>
      <c r="C141" s="328" t="str">
        <f t="array" ref="C141">INDEX('アイテム'!$M$3:$N$114, MATCH($A$1,'アイテム'!$A$3:$A$114,0), MATCH(C133,'アイテム'!$C$2:$AQ$2,0))</f>
        <v>7</v>
      </c>
      <c r="D141" s="328">
        <f t="array" ref="D141">INDEX('アイテム'!$M$3:$N$114, MATCH($A$1,'アイテム'!$A$3:$A$114,0), MATCH(D133,'アイテム'!$C$2:$AQ$2,0))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219</v>
      </c>
      <c r="C142" s="328" t="str">
        <f t="array" ref="C142">INDEX('アイテム'!$O$3:$P$114, MATCH($A$1,'アイテム'!$A$3:$A$114,0), MATCH(C133,'アイテム'!$C$2:$AQ$2,0))</f>
        <v>5</v>
      </c>
      <c r="D142" s="328">
        <f t="array" ref="D142">INDEX('アイテム'!$O$3:$P$114, MATCH($A$1,'アイテム'!$A$3:$A$114,0), MATCH(D133,'アイテム'!$C$2:$AQ$2,0))</f>
        <v>29</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263</v>
      </c>
      <c r="C143" s="328" t="str">
        <f t="array" ref="C143">INDEX('アイテム'!$Q$3:$R$114, MATCH($A$1,'アイテム'!$A$3:$A$114,0), MATCH(C133,'アイテム'!$C$2:$AQ$2,0))</f>
        <v>6</v>
      </c>
      <c r="D143" s="328">
        <f t="array" ref="D143">INDEX('アイテム'!$Q$3:$R$114, MATCH($A$1,'アイテム'!$A$3:$A$114,0), MATCH(D133,'アイテム'!$C$2:$AQ$2,0))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264</v>
      </c>
      <c r="B144" s="327" t="s">
        <v>226</v>
      </c>
      <c r="C144" s="328" t="str">
        <f t="array" ref="C144">INDEX('アイテム'!$S$3:$T$114, MATCH($A$1,'アイテム'!$A$3:$A$114,0), MATCH(C133,'アイテム'!$C$2:$AQ$2,0))</f>
        <v>8</v>
      </c>
      <c r="D144" s="328">
        <f t="array" ref="D144">INDEX('アイテム'!$S$3:$T$114, MATCH($A$1,'アイテム'!$A$3:$A$114,0), MATCH(D133,'アイテム'!$C$2:$AQ$2,0))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INDEX('アイテム'!$U$3:$V$114, MATCH($A$1,'アイテム'!$A$3:$A$114,0), MATCH(C133,'アイテム'!$C$2:$AQ$2,0))</f>
        <v>11</v>
      </c>
      <c r="D145" s="328">
        <f t="array" ref="D145">INDEX('アイテム'!$U$3:$V$114, MATCH($A$1,'アイテム'!$A$3:$A$114,0), MATCH(D133,'アイテム'!$C$2:$AQ$2,0))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INDEX('アイテム'!$W$3:$X$114, MATCH($A$1,'アイテム'!$A$3:$A$114,0), MATCH(C133,'アイテム'!$C$2:$AQ$2,0))</f>
        <v>12</v>
      </c>
      <c r="D146" s="328">
        <f t="array" ref="D146">INDEX('アイテム'!$W$3:$X$114, MATCH($A$1,'アイテム'!$A$3:$A$114,0), MATCH(D133,'アイテム'!$C$2:$AQ$2,0))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t="str">
        <f t="array" ref="C147">INDEX('アイテム'!$Y$3:$Z$114, MATCH($A$1,'アイテム'!$A$3:$A$114,0), MATCH(C133,'アイテム'!$C$2:$AQ$2,0))</f>
        <v>7</v>
      </c>
      <c r="D147" s="328">
        <f t="array" ref="D147">INDEX('アイテム'!$Y$3:$Z$114, MATCH($A$1,'アイテム'!$A$3:$A$114,0), MATCH(D133,'アイテム'!$C$2:$AQ$2,0))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265</v>
      </c>
      <c r="B148" s="327" t="s">
        <v>226</v>
      </c>
      <c r="C148" s="328">
        <f t="array" ref="C148">INDEX('アイテム'!$AC$3:$AD$114, MATCH($A$1,'アイテム'!$A$3:$A$114,0), MATCH(C133,'アイテム'!$C$2:$AQ$2,0))</f>
        <v>16</v>
      </c>
      <c r="D148" s="328" t="str">
        <f t="array" ref="D148">INDEX('アイテム'!$AC$3:$AD$114, MATCH($A$1,'アイテム'!$A$3:$A$114,0), MATCH(D133,'アイテム'!$C$2:$AQ$2,0))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f t="array" ref="C149">INDEX('アイテム'!$AE$3:$AF$114, MATCH($A$1,'アイテム'!$A$3:$A$114,0), MATCH(C133,'アイテム'!$C$2:$AQ$2,0))</f>
        <v>16</v>
      </c>
      <c r="D149" s="328" t="str">
        <f t="array" ref="D149">INDEX('アイテム'!$AE$3:$AF$114, MATCH($A$1,'アイテム'!$A$3:$A$114,0), MATCH(D133,'アイテム'!$C$2:$AQ$2,0))</f>
        <v>30</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f t="array" ref="C150">INDEX('アイテム'!$AG$3:$AH$114, MATCH($A$1,'アイテム'!$A$3:$A$114,0), MATCH(C133,'アイテム'!$C$2:$AQ$2,0))</f>
        <v>11</v>
      </c>
      <c r="D150" s="328" t="str">
        <f t="array" ref="D150">INDEX('アイテム'!$AG$3:$AH$114, MATCH($A$1,'アイテム'!$A$3:$A$114,0), MATCH(D133,'アイテム'!$C$2:$AQ$2,0))</f>
        <v>22</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f t="array" ref="C151">INDEX('アイテム'!$AI$3:$AJ$114, MATCH($A$1,'アイテム'!$A$3:$A$114,0), MATCH(C133,'アイテム'!$C$2:$AQ$2,0))</f>
        <v>11</v>
      </c>
      <c r="D151" s="328" t="str">
        <f t="array" ref="D151">INDEX('アイテム'!$AI$3:$AJ$114, MATCH($A$1,'アイテム'!$A$3:$A$114,0), MATCH(D133,'アイテム'!$C$2:$AQ$2,0))</f>
        <v>22</v>
      </c>
      <c r="E151" s="322"/>
      <c r="F151" s="322"/>
      <c r="G151" s="114"/>
      <c r="H151" s="228"/>
      <c r="I151" s="228"/>
      <c r="J151" s="228"/>
      <c r="K151" s="118"/>
      <c r="L151" s="118"/>
      <c r="M151" s="118"/>
      <c r="N151" s="102"/>
      <c r="O151" s="102"/>
      <c r="P151" s="102"/>
      <c r="Q151" s="102"/>
      <c r="R151" s="118"/>
      <c r="S151" s="118"/>
      <c r="T151" s="118"/>
      <c r="U151" s="118"/>
      <c r="V151" s="118"/>
    </row>
  </sheetData>
  <mergeCells count="145">
    <mergeCell ref="H39:J42"/>
    <mergeCell ref="H43:J44"/>
    <mergeCell ref="H26:J26"/>
    <mergeCell ref="H27:J27"/>
    <mergeCell ref="H28:J28"/>
    <mergeCell ref="H29:J29"/>
    <mergeCell ref="H30:J30"/>
    <mergeCell ref="H31:J31"/>
    <mergeCell ref="H32:J32"/>
    <mergeCell ref="H36:J36"/>
    <mergeCell ref="H37:J38"/>
    <mergeCell ref="U37:U38"/>
    <mergeCell ref="U39:U42"/>
    <mergeCell ref="U43:U44"/>
    <mergeCell ref="I48:I49"/>
    <mergeCell ref="J48:J49"/>
    <mergeCell ref="U62:U65"/>
    <mergeCell ref="U67:U70"/>
    <mergeCell ref="V67:V70"/>
    <mergeCell ref="U74:U76"/>
    <mergeCell ref="V74:V76"/>
    <mergeCell ref="R47:V47"/>
    <mergeCell ref="R48:V49"/>
    <mergeCell ref="R50:V52"/>
    <mergeCell ref="R53:V54"/>
    <mergeCell ref="R55:V56"/>
    <mergeCell ref="R57:V58"/>
    <mergeCell ref="V62:V65"/>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3:J33"/>
    <mergeCell ref="H34:J35"/>
    <mergeCell ref="U34:U35"/>
    <mergeCell ref="A39:A42"/>
    <mergeCell ref="A43:A44"/>
    <mergeCell ref="A48:A49"/>
    <mergeCell ref="A50:A52"/>
    <mergeCell ref="A53:A54"/>
    <mergeCell ref="A55:A56"/>
    <mergeCell ref="A24:B25"/>
    <mergeCell ref="A26:A31"/>
    <mergeCell ref="A34:A35"/>
    <mergeCell ref="D34:D35"/>
    <mergeCell ref="A37:A38"/>
    <mergeCell ref="D37:D38"/>
    <mergeCell ref="D39:D42"/>
    <mergeCell ref="I53:I54"/>
    <mergeCell ref="J53:J54"/>
    <mergeCell ref="A84:B84"/>
    <mergeCell ref="A87:A88"/>
    <mergeCell ref="A89:A90"/>
    <mergeCell ref="A91:A92"/>
    <mergeCell ref="A94:B95"/>
    <mergeCell ref="A96:A98"/>
    <mergeCell ref="A102:B103"/>
    <mergeCell ref="A132:B132"/>
    <mergeCell ref="A133:B133"/>
    <mergeCell ref="A134:A135"/>
    <mergeCell ref="A137:B137"/>
    <mergeCell ref="A138:A143"/>
    <mergeCell ref="A144:A147"/>
    <mergeCell ref="A148:A151"/>
    <mergeCell ref="A99:A100"/>
    <mergeCell ref="A104:A108"/>
    <mergeCell ref="A112:A117"/>
    <mergeCell ref="A118:A123"/>
    <mergeCell ref="A124:A130"/>
    <mergeCell ref="C129:C130"/>
    <mergeCell ref="D129:D130"/>
    <mergeCell ref="A74:A76"/>
    <mergeCell ref="A81:A83"/>
    <mergeCell ref="A85:A86"/>
    <mergeCell ref="D85:D86"/>
    <mergeCell ref="D87:D88"/>
    <mergeCell ref="D89:D90"/>
    <mergeCell ref="D91:D92"/>
    <mergeCell ref="A64:A65"/>
    <mergeCell ref="A66:B66"/>
    <mergeCell ref="A67:A68"/>
    <mergeCell ref="A69:A70"/>
    <mergeCell ref="A71:B71"/>
    <mergeCell ref="A73:B73"/>
    <mergeCell ref="A78:B79"/>
    <mergeCell ref="I50:I52"/>
    <mergeCell ref="I55:I56"/>
    <mergeCell ref="I57:I58"/>
    <mergeCell ref="J57:J58"/>
    <mergeCell ref="H61:J61"/>
    <mergeCell ref="D43:D44"/>
    <mergeCell ref="A46:B47"/>
    <mergeCell ref="D48:D49"/>
    <mergeCell ref="D50:D52"/>
    <mergeCell ref="J50:J52"/>
    <mergeCell ref="D53:D54"/>
    <mergeCell ref="J55:J56"/>
    <mergeCell ref="D55:D56"/>
    <mergeCell ref="A57:A58"/>
    <mergeCell ref="D57:D58"/>
    <mergeCell ref="A60:B60"/>
    <mergeCell ref="A61:B61"/>
    <mergeCell ref="A62:A63"/>
    <mergeCell ref="E62:E65"/>
    <mergeCell ref="F62:F65"/>
    <mergeCell ref="G62:G65"/>
    <mergeCell ref="H62:J65"/>
    <mergeCell ref="H66:J66"/>
    <mergeCell ref="H67:J70"/>
    <mergeCell ref="H71:J71"/>
    <mergeCell ref="H72:J72"/>
    <mergeCell ref="H73:J73"/>
    <mergeCell ref="H74:J76"/>
    <mergeCell ref="G84:J84"/>
    <mergeCell ref="G85:J86"/>
    <mergeCell ref="G87:J88"/>
    <mergeCell ref="G89:J90"/>
    <mergeCell ref="G91:J92"/>
    <mergeCell ref="A109:A111"/>
    <mergeCell ref="C116:C117"/>
    <mergeCell ref="D116:D117"/>
    <mergeCell ref="C122:C123"/>
    <mergeCell ref="D122:D123"/>
    <mergeCell ref="K123:L123"/>
    <mergeCell ref="K126:L126"/>
    <mergeCell ref="K103:L103"/>
    <mergeCell ref="K104:K105"/>
    <mergeCell ref="K106:L106"/>
    <mergeCell ref="K107:K112"/>
    <mergeCell ref="K113:K116"/>
    <mergeCell ref="K117:L117"/>
    <mergeCell ref="K119:K122"/>
  </mergeCells>
  <conditionalFormatting sqref="K1:K15 K17:K28 K30:K127">
    <cfRule type="containsText" dxfId="0" priority="1" operator="containsText" text="361">
      <formula>NOT(ISERROR(SEARCH(("361"),(K1))))</formula>
    </cfRule>
  </conditionalFormatting>
  <conditionalFormatting sqref="K1:K15 K17:K28 K30:K127">
    <cfRule type="containsText" dxfId="1" priority="2" operator="containsText" text="363">
      <formula>NOT(ISERROR(SEARCH(("363"),(K1))))</formula>
    </cfRule>
  </conditionalFormatting>
  <conditionalFormatting sqref="K1:K15 K17:K28 K30:K127">
    <cfRule type="containsText" dxfId="1" priority="3" operator="containsText" text="365">
      <formula>NOT(ISERROR(SEARCH(("365"),(K1))))</formula>
    </cfRule>
  </conditionalFormatting>
  <conditionalFormatting sqref="K1:K15 K17:K28 K30:K127">
    <cfRule type="containsText" dxfId="1" priority="4" operator="containsText" text="366">
      <formula>NOT(ISERROR(SEARCH(("366"),(K1))))</formula>
    </cfRule>
  </conditionalFormatting>
  <conditionalFormatting sqref="K1:K15 K17:K28 K30:K127">
    <cfRule type="containsText" dxfId="1" priority="5" operator="containsText" text="367">
      <formula>NOT(ISERROR(SEARCH(("367"),(K1))))</formula>
    </cfRule>
  </conditionalFormatting>
  <conditionalFormatting sqref="P85:P92">
    <cfRule type="cellIs" dxfId="2" priority="6" operator="equal">
      <formula>"敵のみ"</formula>
    </cfRule>
  </conditionalFormatting>
  <conditionalFormatting sqref="C85:C92">
    <cfRule type="cellIs" dxfId="3" priority="7" operator="equal">
      <formula>"-"</formula>
    </cfRule>
  </conditionalFormatting>
  <conditionalFormatting sqref="O1:O151 C29 E29:G29 G67 G69 C72:G72 K72:N72 P72:T72 G74:G76 C75:C76 E75:F76 C87 E87:F87 K87:N87 P87:Q87 P92">
    <cfRule type="cellIs" dxfId="4" priority="8" operator="greaterThan">
      <formula>0</formula>
    </cfRule>
  </conditionalFormatting>
  <conditionalFormatting sqref="P1:Q151">
    <cfRule type="cellIs" dxfId="5" priority="9" operator="lessThan">
      <formula>1</formula>
    </cfRule>
  </conditionalFormatting>
  <conditionalFormatting sqref="P1:Q151">
    <cfRule type="cellIs" dxfId="4" priority="10" operator="greaterThan">
      <formula>1</formula>
    </cfRule>
  </conditionalFormatting>
  <conditionalFormatting sqref="N25:N28 N30:N92">
    <cfRule type="cellIs" dxfId="6" priority="11" operator="greaterThan">
      <formula>0</formula>
    </cfRule>
  </conditionalFormatting>
  <conditionalFormatting sqref="N1:N15 N17:N28 N30:N151">
    <cfRule type="containsText" dxfId="6" priority="12" operator="containsText" text="/">
      <formula>NOT(ISERROR(SEARCH(("/"),(N1))))</formula>
    </cfRule>
  </conditionalFormatting>
  <drawing r:id="rId2"/>
  <legacyDrawing r:id="rId3"/>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5243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526" t="s">
        <v>2305</v>
      </c>
      <c r="B1" s="1527"/>
      <c r="C1" s="1528" t="str">
        <f>IMAGE(VLOOKUP($A$1,Fighters!A2:AI114,12,FALSE),1)</f>
        <v>#REF!</v>
      </c>
      <c r="D1" s="1529"/>
      <c r="E1" s="1529"/>
      <c r="F1" s="1529"/>
      <c r="G1" s="1530"/>
      <c r="H1" s="1531"/>
      <c r="I1" s="1529"/>
      <c r="J1" s="1530"/>
      <c r="K1" s="1532"/>
      <c r="L1" s="1529"/>
      <c r="M1" s="1530"/>
      <c r="N1" s="1533"/>
      <c r="O1" s="1533"/>
      <c r="P1" s="1533"/>
      <c r="Q1" s="1533"/>
      <c r="R1" s="1534"/>
      <c r="S1" s="1534"/>
      <c r="T1" s="1534"/>
      <c r="U1" s="1534"/>
      <c r="V1" s="1534"/>
    </row>
    <row r="2">
      <c r="A2" s="1535" t="str">
        <f>VLOOKUP($A$1,Fighters!$A$2:$AI$81,6,FALSE)</f>
        <v>#252434</v>
      </c>
      <c r="B2" s="1527"/>
      <c r="C2" s="1536"/>
      <c r="G2" s="1537"/>
      <c r="H2" s="1538"/>
      <c r="I2" s="1539"/>
      <c r="J2" s="1540"/>
      <c r="K2" s="1538"/>
      <c r="L2" s="1539"/>
      <c r="M2" s="1540"/>
      <c r="N2" s="1533"/>
      <c r="O2" s="1533"/>
      <c r="P2" s="1533"/>
      <c r="Q2" s="1533"/>
      <c r="R2" s="1534"/>
      <c r="S2" s="1534"/>
      <c r="T2" s="1534"/>
      <c r="U2" s="1534"/>
      <c r="V2" s="1534"/>
    </row>
    <row r="3">
      <c r="A3" s="1535" t="str">
        <f>VLOOKUP($A$1,Fighters!$A$2:$AI$81,14,FALSE)</f>
        <v>28'. ブラックピット</v>
      </c>
      <c r="B3" s="1527"/>
      <c r="C3" s="1536"/>
      <c r="G3" s="1537"/>
      <c r="H3" s="1541"/>
      <c r="I3" s="1541"/>
      <c r="J3" s="1541"/>
      <c r="K3" s="1542"/>
      <c r="L3" s="1542"/>
      <c r="M3" s="1542"/>
      <c r="N3" s="1533"/>
      <c r="O3" s="1533"/>
      <c r="P3" s="1533"/>
      <c r="Q3" s="1533"/>
      <c r="R3" s="1543"/>
      <c r="S3" s="1534"/>
      <c r="T3" s="1534"/>
      <c r="U3" s="1534"/>
      <c r="V3" s="1534"/>
    </row>
    <row r="4">
      <c r="A4" s="1535" t="str">
        <f>VLOOKUP($A$1,Fighters!$A$2:$AI$81,13,FALSE)</f>
        <v>1</v>
      </c>
      <c r="B4" s="1527"/>
      <c r="C4" s="1536"/>
      <c r="G4" s="1537"/>
      <c r="H4" s="1544"/>
      <c r="I4" s="1544"/>
      <c r="J4" s="1541"/>
      <c r="K4" s="1542"/>
      <c r="L4" s="1542"/>
      <c r="M4" s="1542"/>
      <c r="N4" s="1533"/>
      <c r="O4" s="1533"/>
      <c r="P4" s="1533"/>
      <c r="Q4" s="1533"/>
      <c r="R4" s="1543"/>
      <c r="S4" s="1534"/>
      <c r="T4" s="1534"/>
      <c r="U4" s="1534"/>
      <c r="V4" s="1534"/>
    </row>
    <row r="5" ht="16.5" customHeight="1">
      <c r="A5" s="1526"/>
      <c r="B5" s="1527"/>
      <c r="C5" s="1536"/>
      <c r="G5" s="1537"/>
      <c r="H5" s="1545"/>
      <c r="I5" s="1545"/>
      <c r="J5" s="1546"/>
      <c r="K5" s="1547"/>
      <c r="L5" s="1548"/>
      <c r="M5" s="1548"/>
      <c r="N5" s="1533"/>
      <c r="O5" s="1533"/>
      <c r="P5" s="1533"/>
      <c r="Q5" s="1533"/>
      <c r="R5" s="1543"/>
      <c r="S5" s="1534"/>
      <c r="T5" s="1534"/>
      <c r="U5" s="1534"/>
      <c r="V5" s="1534"/>
    </row>
    <row r="6">
      <c r="A6" s="1527"/>
      <c r="B6" s="1527"/>
      <c r="C6" s="1536"/>
      <c r="G6" s="1537"/>
      <c r="H6" s="1544"/>
      <c r="I6" s="1549" t="s">
        <v>39</v>
      </c>
      <c r="J6" s="1547"/>
      <c r="K6" s="1550"/>
      <c r="L6" s="1548"/>
      <c r="M6" s="1548"/>
      <c r="N6" s="1533"/>
      <c r="O6" s="1533"/>
      <c r="P6" s="1533"/>
      <c r="Q6" s="1533"/>
      <c r="R6" s="1543"/>
      <c r="S6" s="1534"/>
      <c r="T6" s="1534"/>
      <c r="U6" s="1534"/>
      <c r="V6" s="1534"/>
    </row>
    <row r="7">
      <c r="A7" s="1527"/>
      <c r="B7" s="1527"/>
      <c r="C7" s="1536"/>
      <c r="G7" s="1537"/>
      <c r="H7" s="1545"/>
      <c r="I7" s="1545"/>
      <c r="J7" s="1547"/>
      <c r="K7" s="1550"/>
      <c r="L7" s="1548"/>
      <c r="M7" s="1548"/>
      <c r="N7" s="1533"/>
      <c r="O7" s="1533"/>
      <c r="P7" s="1533"/>
      <c r="Q7" s="1533"/>
      <c r="R7" s="1543"/>
      <c r="S7" s="1534"/>
      <c r="T7" s="1534"/>
      <c r="U7" s="1534"/>
      <c r="V7" s="1534"/>
    </row>
    <row r="8">
      <c r="A8" s="1527"/>
      <c r="B8" s="1527"/>
      <c r="C8" s="1536"/>
      <c r="G8" s="1537"/>
      <c r="H8" s="1551">
        <v>44379.84415697917</v>
      </c>
      <c r="I8" s="1529"/>
      <c r="J8" s="1530"/>
      <c r="K8" s="1547"/>
      <c r="L8" s="1548"/>
      <c r="M8" s="1548"/>
      <c r="N8" s="1533"/>
      <c r="O8" s="1533"/>
      <c r="P8" s="1533"/>
      <c r="Q8" s="1533"/>
      <c r="R8" s="1543"/>
      <c r="S8" s="1534"/>
      <c r="T8" s="1534"/>
      <c r="U8" s="1534"/>
      <c r="V8" s="1534"/>
    </row>
    <row r="9">
      <c r="A9" s="1527"/>
      <c r="B9" s="1527"/>
      <c r="C9" s="1536"/>
      <c r="G9" s="1537"/>
      <c r="H9" s="1538"/>
      <c r="I9" s="1539"/>
      <c r="J9" s="1540"/>
      <c r="K9" s="1534"/>
      <c r="L9" s="1533"/>
      <c r="M9" s="1533"/>
      <c r="N9" s="1533"/>
      <c r="O9" s="1533"/>
      <c r="P9" s="1533"/>
      <c r="Q9" s="1533"/>
      <c r="R9" s="1543"/>
      <c r="S9" s="1534"/>
      <c r="T9" s="1534"/>
      <c r="U9" s="1534"/>
      <c r="V9" s="1534"/>
    </row>
    <row r="10">
      <c r="A10" s="1527"/>
      <c r="B10" s="1527"/>
      <c r="C10" s="1536"/>
      <c r="G10" s="1537"/>
      <c r="H10" s="1552"/>
      <c r="I10" s="1552"/>
      <c r="J10" s="1534"/>
      <c r="K10" s="1534"/>
      <c r="L10" s="1533"/>
      <c r="M10" s="1533"/>
      <c r="N10" s="1533"/>
      <c r="O10" s="1533"/>
      <c r="P10" s="1533"/>
      <c r="Q10" s="1533"/>
      <c r="R10" s="1543"/>
      <c r="S10" s="1534"/>
      <c r="T10" s="1534"/>
      <c r="U10" s="1534"/>
      <c r="V10" s="1534"/>
    </row>
    <row r="11">
      <c r="A11" s="1553" t="s">
        <v>40</v>
      </c>
      <c r="B11" s="1530"/>
      <c r="C11" s="1536"/>
      <c r="G11" s="1537"/>
      <c r="H11" s="1545"/>
      <c r="I11" s="1545"/>
      <c r="J11" s="1534"/>
      <c r="K11" s="1534"/>
      <c r="L11" s="1533"/>
      <c r="M11" s="1533"/>
      <c r="N11" s="1533"/>
      <c r="O11" s="1533"/>
      <c r="P11" s="1533"/>
      <c r="Q11" s="1533"/>
      <c r="R11" s="1543"/>
      <c r="S11" s="1534"/>
      <c r="T11" s="1534"/>
      <c r="U11" s="1534"/>
      <c r="V11" s="1534"/>
    </row>
    <row r="12">
      <c r="A12" s="1538"/>
      <c r="B12" s="1540"/>
      <c r="C12" s="1538"/>
      <c r="D12" s="1539"/>
      <c r="E12" s="1539"/>
      <c r="F12" s="1539"/>
      <c r="G12" s="1540"/>
      <c r="H12" s="1554"/>
      <c r="I12" s="1554"/>
      <c r="J12" s="1527"/>
      <c r="K12" s="1527"/>
      <c r="L12" s="1533"/>
      <c r="M12" s="1533"/>
      <c r="N12" s="1533"/>
      <c r="O12" s="1533"/>
      <c r="P12" s="1533"/>
      <c r="Q12" s="1533"/>
      <c r="R12" s="1543"/>
      <c r="S12" s="1534"/>
      <c r="T12" s="1534"/>
      <c r="U12" s="1534"/>
      <c r="V12" s="153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2270</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96 [40th]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2.09 [18th]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1.259 [21st]</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0.16874 [19th]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31 [56th]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1.828 [33rd]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0.135 [2nd]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14.96 [62nd]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0.935 [72nd]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0.075 [43rd]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23.7 [84th]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1.48 [62nd]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2.368 [60th]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0.081 [65th]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56" t="s">
        <v>717</v>
      </c>
      <c r="D26" s="1356" t="s">
        <v>92</v>
      </c>
      <c r="E26" s="616" t="s">
        <v>176</v>
      </c>
      <c r="F26" s="138">
        <v>2.4</v>
      </c>
      <c r="G26" s="139" t="s">
        <v>60</v>
      </c>
      <c r="H26" s="903" t="s">
        <v>2271</v>
      </c>
      <c r="I26" s="110"/>
      <c r="J26" s="109"/>
      <c r="K26" s="138"/>
      <c r="L26" s="282"/>
      <c r="M26" s="363"/>
      <c r="N26" s="363"/>
      <c r="O26" s="145">
        <v>0.0</v>
      </c>
      <c r="P26" s="145">
        <v>1.0</v>
      </c>
      <c r="Q26" s="145">
        <v>1.0</v>
      </c>
      <c r="R26" s="100"/>
      <c r="S26" s="100"/>
      <c r="T26" s="100"/>
      <c r="U26" s="145" t="s">
        <v>62</v>
      </c>
      <c r="V26" s="100"/>
    </row>
    <row r="27" outlineLevel="1">
      <c r="A27" s="146"/>
      <c r="B27" s="147" t="s">
        <v>63</v>
      </c>
      <c r="C27" s="245" t="s">
        <v>267</v>
      </c>
      <c r="D27" s="245" t="s">
        <v>99</v>
      </c>
      <c r="E27" s="214" t="s">
        <v>176</v>
      </c>
      <c r="F27" s="138">
        <v>2.4</v>
      </c>
      <c r="G27" s="139" t="s">
        <v>60</v>
      </c>
      <c r="H27" s="140" t="s">
        <v>2272</v>
      </c>
      <c r="I27" s="110"/>
      <c r="J27" s="109"/>
      <c r="K27" s="282"/>
      <c r="L27" s="282"/>
      <c r="M27" s="363"/>
      <c r="N27" s="363"/>
      <c r="O27" s="145">
        <v>0.0</v>
      </c>
      <c r="P27" s="145">
        <v>1.0</v>
      </c>
      <c r="Q27" s="145">
        <v>1.0</v>
      </c>
      <c r="R27" s="100"/>
      <c r="S27" s="100"/>
      <c r="T27" s="100"/>
      <c r="U27" s="145" t="s">
        <v>69</v>
      </c>
      <c r="V27" s="100"/>
    </row>
    <row r="28" outlineLevel="1">
      <c r="A28" s="146"/>
      <c r="B28" s="147" t="s">
        <v>70</v>
      </c>
      <c r="C28" s="245" t="s">
        <v>204</v>
      </c>
      <c r="D28" s="245" t="s">
        <v>271</v>
      </c>
      <c r="E28" s="214" t="s">
        <v>73</v>
      </c>
      <c r="F28" s="138">
        <v>4.8</v>
      </c>
      <c r="G28" s="139" t="s">
        <v>75</v>
      </c>
      <c r="H28" s="159"/>
      <c r="I28" s="110"/>
      <c r="J28" s="109"/>
      <c r="K28" s="282"/>
      <c r="L28" s="282"/>
      <c r="M28" s="363"/>
      <c r="N28" s="363"/>
      <c r="O28" s="145">
        <v>0.0</v>
      </c>
      <c r="P28" s="145">
        <v>1.0</v>
      </c>
      <c r="Q28" s="145">
        <v>1.0</v>
      </c>
      <c r="R28" s="100"/>
      <c r="S28" s="100"/>
      <c r="T28" s="100"/>
      <c r="U28" s="145" t="s">
        <v>76</v>
      </c>
      <c r="V28" s="100"/>
    </row>
    <row r="29" outlineLevel="1">
      <c r="A29" s="146"/>
      <c r="B29" s="147" t="s">
        <v>703</v>
      </c>
      <c r="C29" s="553"/>
      <c r="D29" s="216" t="s">
        <v>73</v>
      </c>
      <c r="E29" s="553"/>
      <c r="F29" s="553"/>
      <c r="G29" s="553"/>
      <c r="H29" s="159"/>
      <c r="I29" s="110"/>
      <c r="J29" s="109"/>
      <c r="K29" s="216"/>
      <c r="L29" s="216"/>
      <c r="M29" s="216"/>
      <c r="N29" s="216"/>
      <c r="O29" s="145">
        <v>0.0</v>
      </c>
      <c r="P29" s="145">
        <v>1.0</v>
      </c>
      <c r="Q29" s="145">
        <v>1.0</v>
      </c>
      <c r="R29" s="100"/>
      <c r="S29" s="100"/>
      <c r="T29" s="100"/>
      <c r="U29" s="145" t="s">
        <v>76</v>
      </c>
      <c r="V29" s="100"/>
    </row>
    <row r="30" outlineLevel="1">
      <c r="A30" s="146"/>
      <c r="B30" s="147" t="s">
        <v>704</v>
      </c>
      <c r="C30" s="216" t="s">
        <v>1507</v>
      </c>
      <c r="D30" s="216" t="s">
        <v>153</v>
      </c>
      <c r="E30" s="214" t="s">
        <v>1098</v>
      </c>
      <c r="F30" s="138">
        <v>0.6</v>
      </c>
      <c r="G30" s="450" t="s">
        <v>60</v>
      </c>
      <c r="H30" s="140" t="s">
        <v>2273</v>
      </c>
      <c r="I30" s="110"/>
      <c r="J30" s="109"/>
      <c r="K30" s="282"/>
      <c r="L30" s="282"/>
      <c r="M30" s="363"/>
      <c r="N30" s="363"/>
      <c r="O30" s="145">
        <v>0.0</v>
      </c>
      <c r="P30" s="145">
        <v>1.0</v>
      </c>
      <c r="Q30" s="145">
        <v>1.0</v>
      </c>
      <c r="R30" s="100"/>
      <c r="S30" s="100"/>
      <c r="T30" s="100"/>
      <c r="U30" s="145" t="s">
        <v>76</v>
      </c>
      <c r="V30" s="100"/>
    </row>
    <row r="31" outlineLevel="1">
      <c r="A31" s="156"/>
      <c r="B31" s="147" t="s">
        <v>708</v>
      </c>
      <c r="C31" s="216" t="s">
        <v>717</v>
      </c>
      <c r="D31" s="216" t="s">
        <v>111</v>
      </c>
      <c r="E31" s="216" t="s">
        <v>176</v>
      </c>
      <c r="F31" s="138">
        <v>2.4</v>
      </c>
      <c r="G31" s="467" t="s">
        <v>60</v>
      </c>
      <c r="H31" s="140" t="s">
        <v>411</v>
      </c>
      <c r="I31" s="110"/>
      <c r="J31" s="109"/>
      <c r="K31" s="282"/>
      <c r="L31" s="282"/>
      <c r="M31" s="363"/>
      <c r="N31" s="363"/>
      <c r="O31" s="145">
        <v>0.0</v>
      </c>
      <c r="P31" s="145">
        <v>1.0</v>
      </c>
      <c r="Q31" s="145">
        <v>1.0</v>
      </c>
      <c r="R31" s="100"/>
      <c r="S31" s="100"/>
      <c r="T31" s="100"/>
      <c r="U31" s="145" t="s">
        <v>76</v>
      </c>
      <c r="V31" s="100"/>
    </row>
    <row r="32" outlineLevel="1">
      <c r="A32" s="170" t="s">
        <v>77</v>
      </c>
      <c r="B32" s="160"/>
      <c r="C32" s="467" t="s">
        <v>277</v>
      </c>
      <c r="D32" s="467" t="s">
        <v>282</v>
      </c>
      <c r="E32" s="467" t="s">
        <v>232</v>
      </c>
      <c r="F32" s="138">
        <v>13.2</v>
      </c>
      <c r="G32" s="162" t="s">
        <v>82</v>
      </c>
      <c r="H32" s="151" t="s">
        <v>2274</v>
      </c>
      <c r="I32" s="110"/>
      <c r="J32" s="109"/>
      <c r="K32" s="138"/>
      <c r="L32" s="282"/>
      <c r="M32" s="363"/>
      <c r="N32" s="363"/>
      <c r="O32" s="145">
        <v>0.0</v>
      </c>
      <c r="P32" s="145">
        <v>1.0</v>
      </c>
      <c r="Q32" s="145">
        <v>1.0</v>
      </c>
      <c r="R32" s="100"/>
      <c r="S32" s="100"/>
      <c r="T32" s="100"/>
      <c r="U32" s="145" t="s">
        <v>69</v>
      </c>
      <c r="V32" s="100"/>
    </row>
    <row r="33" outlineLevel="1">
      <c r="A33" s="170" t="s">
        <v>89</v>
      </c>
      <c r="B33" s="147"/>
      <c r="C33" s="467" t="s">
        <v>1290</v>
      </c>
      <c r="D33" s="467" t="s">
        <v>118</v>
      </c>
      <c r="E33" s="467" t="s">
        <v>1725</v>
      </c>
      <c r="F33" s="138" t="s">
        <v>1726</v>
      </c>
      <c r="G33" s="139" t="s">
        <v>1727</v>
      </c>
      <c r="H33" s="159"/>
      <c r="I33" s="110"/>
      <c r="J33" s="109"/>
      <c r="K33" s="138"/>
      <c r="L33" s="282"/>
      <c r="M33" s="363"/>
      <c r="N33" s="363"/>
      <c r="O33" s="145">
        <v>0.0</v>
      </c>
      <c r="P33" s="145">
        <v>1.0</v>
      </c>
      <c r="Q33" s="145">
        <v>1.0</v>
      </c>
      <c r="R33" s="100"/>
      <c r="S33" s="100"/>
      <c r="T33" s="100"/>
      <c r="U33" s="145" t="s">
        <v>96</v>
      </c>
      <c r="V33" s="100"/>
    </row>
    <row r="34" outlineLevel="1">
      <c r="A34" s="133" t="s">
        <v>97</v>
      </c>
      <c r="B34" s="147" t="s">
        <v>125</v>
      </c>
      <c r="C34" s="216" t="s">
        <v>549</v>
      </c>
      <c r="D34" s="379" t="s">
        <v>964</v>
      </c>
      <c r="E34" s="216" t="s">
        <v>73</v>
      </c>
      <c r="F34" s="138">
        <v>4.8</v>
      </c>
      <c r="G34" s="139" t="s">
        <v>75</v>
      </c>
      <c r="H34" s="368"/>
      <c r="I34" s="164"/>
      <c r="J34" s="104"/>
      <c r="K34" s="282"/>
      <c r="L34" s="282"/>
      <c r="M34" s="363"/>
      <c r="N34" s="363"/>
      <c r="O34" s="145">
        <v>0.0</v>
      </c>
      <c r="P34" s="145">
        <v>1.0</v>
      </c>
      <c r="Q34" s="145">
        <v>1.0</v>
      </c>
      <c r="R34" s="100"/>
      <c r="S34" s="100"/>
      <c r="T34" s="100"/>
      <c r="U34" s="166" t="s">
        <v>62</v>
      </c>
      <c r="V34" s="100"/>
    </row>
    <row r="35" outlineLevel="1">
      <c r="A35" s="156"/>
      <c r="B35" s="147" t="s">
        <v>131</v>
      </c>
      <c r="C35" s="216" t="s">
        <v>561</v>
      </c>
      <c r="D35" s="107"/>
      <c r="E35" s="216" t="s">
        <v>150</v>
      </c>
      <c r="F35" s="138">
        <v>6.0</v>
      </c>
      <c r="G35" s="139" t="s">
        <v>102</v>
      </c>
      <c r="H35" s="106"/>
      <c r="I35" s="168"/>
      <c r="J35" s="107"/>
      <c r="K35" s="145"/>
      <c r="L35" s="363"/>
      <c r="M35" s="363"/>
      <c r="N35" s="363"/>
      <c r="O35" s="145">
        <v>0.0</v>
      </c>
      <c r="P35" s="145">
        <v>1.0</v>
      </c>
      <c r="Q35" s="145">
        <v>1.0</v>
      </c>
      <c r="R35" s="100"/>
      <c r="S35" s="100"/>
      <c r="T35" s="100"/>
      <c r="U35" s="156"/>
      <c r="V35" s="100"/>
    </row>
    <row r="36" outlineLevel="1">
      <c r="A36" s="170" t="s">
        <v>103</v>
      </c>
      <c r="B36" s="160"/>
      <c r="C36" s="216" t="s">
        <v>217</v>
      </c>
      <c r="D36" s="216" t="s">
        <v>92</v>
      </c>
      <c r="E36" s="216" t="s">
        <v>86</v>
      </c>
      <c r="F36" s="138">
        <v>7.199999999999999</v>
      </c>
      <c r="G36" s="139" t="s">
        <v>102</v>
      </c>
      <c r="H36" s="366"/>
      <c r="I36" s="110"/>
      <c r="J36" s="109"/>
      <c r="K36" s="145"/>
      <c r="L36" s="363"/>
      <c r="M36" s="363"/>
      <c r="N36" s="363"/>
      <c r="O36" s="145">
        <v>0.0</v>
      </c>
      <c r="P36" s="145">
        <v>1.0</v>
      </c>
      <c r="Q36" s="145">
        <v>1.0</v>
      </c>
      <c r="R36" s="100"/>
      <c r="S36" s="100"/>
      <c r="T36" s="100"/>
      <c r="U36" s="145" t="s">
        <v>69</v>
      </c>
      <c r="V36" s="100"/>
    </row>
    <row r="37" outlineLevel="1">
      <c r="A37" s="133" t="s">
        <v>109</v>
      </c>
      <c r="B37" s="147" t="s">
        <v>125</v>
      </c>
      <c r="C37" s="216" t="s">
        <v>128</v>
      </c>
      <c r="D37" s="195" t="s">
        <v>289</v>
      </c>
      <c r="E37" s="216" t="s">
        <v>150</v>
      </c>
      <c r="F37" s="138">
        <v>6.0</v>
      </c>
      <c r="G37" s="139" t="s">
        <v>147</v>
      </c>
      <c r="H37" s="395" t="s">
        <v>553</v>
      </c>
      <c r="I37" s="164"/>
      <c r="J37" s="104"/>
      <c r="K37" s="282"/>
      <c r="L37" s="282"/>
      <c r="M37" s="363"/>
      <c r="N37" s="363"/>
      <c r="O37" s="145">
        <v>0.0</v>
      </c>
      <c r="P37" s="145">
        <v>1.0</v>
      </c>
      <c r="Q37" s="145">
        <v>1.0</v>
      </c>
      <c r="R37" s="100"/>
      <c r="S37" s="100"/>
      <c r="T37" s="100"/>
      <c r="U37" s="166" t="s">
        <v>75</v>
      </c>
      <c r="V37" s="100"/>
    </row>
    <row r="38" outlineLevel="1">
      <c r="A38" s="156"/>
      <c r="B38" s="147" t="s">
        <v>131</v>
      </c>
      <c r="C38" s="216" t="s">
        <v>834</v>
      </c>
      <c r="D38" s="107"/>
      <c r="E38" s="216" t="s">
        <v>128</v>
      </c>
      <c r="F38" s="138">
        <v>12.0</v>
      </c>
      <c r="G38" s="139" t="s">
        <v>95</v>
      </c>
      <c r="H38" s="106"/>
      <c r="I38" s="168"/>
      <c r="J38" s="107"/>
      <c r="K38" s="282"/>
      <c r="L38" s="282"/>
      <c r="M38" s="363"/>
      <c r="N38" s="363"/>
      <c r="O38" s="145">
        <v>0.0</v>
      </c>
      <c r="P38" s="145">
        <v>1.0</v>
      </c>
      <c r="Q38" s="145">
        <v>1.0</v>
      </c>
      <c r="R38" s="100"/>
      <c r="S38" s="100"/>
      <c r="T38" s="100"/>
      <c r="U38" s="156"/>
      <c r="V38" s="100"/>
    </row>
    <row r="39" outlineLevel="1">
      <c r="A39" s="133" t="s">
        <v>116</v>
      </c>
      <c r="B39" s="147" t="s">
        <v>125</v>
      </c>
      <c r="C39" s="216" t="s">
        <v>86</v>
      </c>
      <c r="D39" s="195" t="s">
        <v>455</v>
      </c>
      <c r="E39" s="216" t="s">
        <v>204</v>
      </c>
      <c r="F39" s="138">
        <v>3.5999999999999996</v>
      </c>
      <c r="G39" s="139" t="s">
        <v>60</v>
      </c>
      <c r="H39" s="395" t="s">
        <v>130</v>
      </c>
      <c r="I39" s="164"/>
      <c r="J39" s="104"/>
      <c r="K39" s="363"/>
      <c r="L39" s="363"/>
      <c r="M39" s="363"/>
      <c r="N39" s="363"/>
      <c r="O39" s="145">
        <v>0.0</v>
      </c>
      <c r="P39" s="145">
        <v>1.0</v>
      </c>
      <c r="Q39" s="145">
        <v>1.0</v>
      </c>
      <c r="R39" s="100"/>
      <c r="S39" s="100"/>
      <c r="T39" s="100"/>
      <c r="U39" s="166" t="s">
        <v>62</v>
      </c>
      <c r="V39" s="100"/>
    </row>
    <row r="40" outlineLevel="1">
      <c r="A40" s="146"/>
      <c r="B40" s="147" t="s">
        <v>430</v>
      </c>
      <c r="C40" s="216" t="s">
        <v>93</v>
      </c>
      <c r="D40" s="210"/>
      <c r="E40" s="216" t="s">
        <v>204</v>
      </c>
      <c r="F40" s="138">
        <v>3.5999999999999996</v>
      </c>
      <c r="G40" s="139" t="s">
        <v>60</v>
      </c>
      <c r="H40" s="212"/>
      <c r="J40" s="210"/>
      <c r="K40" s="363"/>
      <c r="L40" s="363"/>
      <c r="M40" s="363"/>
      <c r="N40" s="363"/>
      <c r="O40" s="145"/>
      <c r="P40" s="145"/>
      <c r="Q40" s="145"/>
      <c r="R40" s="100"/>
      <c r="S40" s="100"/>
      <c r="T40" s="100"/>
      <c r="U40" s="146"/>
      <c r="V40" s="100"/>
    </row>
    <row r="41" outlineLevel="1">
      <c r="A41" s="146"/>
      <c r="B41" s="147" t="s">
        <v>131</v>
      </c>
      <c r="C41" s="216" t="s">
        <v>128</v>
      </c>
      <c r="D41" s="210"/>
      <c r="E41" s="216" t="s">
        <v>176</v>
      </c>
      <c r="F41" s="138">
        <v>2.4</v>
      </c>
      <c r="G41" s="139" t="s">
        <v>60</v>
      </c>
      <c r="H41" s="212"/>
      <c r="J41" s="210"/>
      <c r="K41" s="363"/>
      <c r="L41" s="363"/>
      <c r="M41" s="363"/>
      <c r="N41" s="363"/>
      <c r="O41" s="145">
        <v>0.0</v>
      </c>
      <c r="P41" s="145">
        <v>1.0</v>
      </c>
      <c r="Q41" s="145">
        <v>1.0</v>
      </c>
      <c r="R41" s="100"/>
      <c r="S41" s="100"/>
      <c r="T41" s="100"/>
      <c r="U41" s="146"/>
      <c r="V41" s="100"/>
    </row>
    <row r="42" outlineLevel="1">
      <c r="A42" s="156"/>
      <c r="B42" s="147" t="s">
        <v>434</v>
      </c>
      <c r="C42" s="216" t="s">
        <v>466</v>
      </c>
      <c r="D42" s="107"/>
      <c r="E42" s="216" t="s">
        <v>80</v>
      </c>
      <c r="F42" s="138">
        <v>9.6</v>
      </c>
      <c r="G42" s="139" t="s">
        <v>102</v>
      </c>
      <c r="H42" s="106"/>
      <c r="I42" s="168"/>
      <c r="J42" s="107"/>
      <c r="K42" s="363"/>
      <c r="L42" s="363"/>
      <c r="M42" s="363"/>
      <c r="N42" s="363"/>
      <c r="O42" s="145">
        <v>0.0</v>
      </c>
      <c r="P42" s="145">
        <v>1.0</v>
      </c>
      <c r="Q42" s="145">
        <v>1.0</v>
      </c>
      <c r="R42" s="100"/>
      <c r="S42" s="100"/>
      <c r="T42" s="100"/>
      <c r="U42" s="156"/>
      <c r="V42" s="100"/>
    </row>
    <row r="43" outlineLevel="1">
      <c r="A43" s="133" t="s">
        <v>124</v>
      </c>
      <c r="B43" s="147" t="s">
        <v>125</v>
      </c>
      <c r="C43" s="216" t="s">
        <v>267</v>
      </c>
      <c r="D43" s="455" t="s">
        <v>628</v>
      </c>
      <c r="E43" s="467" t="s">
        <v>2275</v>
      </c>
      <c r="F43" s="138" t="s">
        <v>2276</v>
      </c>
      <c r="G43" s="139" t="s">
        <v>716</v>
      </c>
      <c r="H43" s="175" t="s">
        <v>130</v>
      </c>
      <c r="I43" s="164"/>
      <c r="J43" s="104"/>
      <c r="K43" s="282"/>
      <c r="L43" s="282"/>
      <c r="M43" s="363"/>
      <c r="N43" s="363"/>
      <c r="O43" s="145">
        <v>0.0</v>
      </c>
      <c r="P43" s="145">
        <v>1.0</v>
      </c>
      <c r="Q43" s="145">
        <v>1.0</v>
      </c>
      <c r="R43" s="100"/>
      <c r="S43" s="100"/>
      <c r="T43" s="100"/>
      <c r="U43" s="166" t="s">
        <v>69</v>
      </c>
      <c r="V43" s="100"/>
    </row>
    <row r="44" outlineLevel="1">
      <c r="A44" s="156"/>
      <c r="B44" s="147" t="s">
        <v>131</v>
      </c>
      <c r="C44" s="216" t="s">
        <v>312</v>
      </c>
      <c r="D44" s="107"/>
      <c r="E44" s="467" t="s">
        <v>2275</v>
      </c>
      <c r="F44" s="138" t="s">
        <v>2276</v>
      </c>
      <c r="G44" s="139" t="s">
        <v>716</v>
      </c>
      <c r="H44" s="106"/>
      <c r="I44" s="168"/>
      <c r="J44" s="107"/>
      <c r="K44" s="282"/>
      <c r="L44" s="282"/>
      <c r="M44" s="363"/>
      <c r="N44" s="363"/>
      <c r="O44" s="145">
        <v>0.0</v>
      </c>
      <c r="P44" s="145">
        <v>1.0</v>
      </c>
      <c r="Q44" s="145">
        <v>1.0</v>
      </c>
      <c r="R44" s="100"/>
      <c r="S44" s="100"/>
      <c r="T44" s="100"/>
      <c r="U44" s="156"/>
      <c r="V44" s="100"/>
    </row>
    <row r="45">
      <c r="A45" s="118"/>
      <c r="B45" s="176"/>
      <c r="C45" s="118"/>
      <c r="D45" s="118"/>
      <c r="E45" s="118"/>
      <c r="F45" s="177"/>
      <c r="G45" s="177"/>
      <c r="H45" s="118"/>
      <c r="I45" s="118"/>
      <c r="J45" s="118"/>
      <c r="K45" s="118"/>
      <c r="L45" s="118"/>
      <c r="M45" s="118"/>
      <c r="N45" s="118"/>
      <c r="O45" s="118"/>
      <c r="P45" s="118"/>
      <c r="Q45" s="118"/>
      <c r="R45" s="118"/>
      <c r="S45" s="118"/>
      <c r="T45" s="118"/>
      <c r="U45" s="118"/>
      <c r="V45" s="118"/>
    </row>
    <row r="46">
      <c r="A46" s="178" t="s">
        <v>133</v>
      </c>
      <c r="B46" s="104"/>
      <c r="C46" s="179"/>
      <c r="D46" s="179"/>
      <c r="E46" s="179"/>
      <c r="F46" s="180"/>
      <c r="G46" s="179"/>
      <c r="H46" s="180"/>
      <c r="I46" s="180"/>
      <c r="J46" s="181"/>
      <c r="K46" s="180"/>
      <c r="L46" s="180"/>
      <c r="M46" s="180"/>
      <c r="N46" s="180"/>
      <c r="O46" s="180"/>
      <c r="P46" s="180"/>
      <c r="Q46" s="180"/>
      <c r="R46" s="180"/>
      <c r="S46" s="180"/>
      <c r="T46" s="180"/>
      <c r="U46" s="180"/>
      <c r="V46" s="180"/>
    </row>
    <row r="47" outlineLevel="1">
      <c r="A47" s="106"/>
      <c r="B47" s="107"/>
      <c r="C47" s="182" t="s">
        <v>48</v>
      </c>
      <c r="D47" s="183" t="s">
        <v>49</v>
      </c>
      <c r="E47" s="182" t="s">
        <v>50</v>
      </c>
      <c r="F47" s="184" t="s">
        <v>51</v>
      </c>
      <c r="G47" s="184" t="s">
        <v>134</v>
      </c>
      <c r="H47" s="185" t="s">
        <v>52</v>
      </c>
      <c r="I47" s="184" t="str">
        <f>'テンプレート'!I56</f>
        <v>着地隙</v>
      </c>
      <c r="J47" s="184" t="s">
        <v>136</v>
      </c>
      <c r="K47" s="184" t="str">
        <f>'テンプレート'!K56</f>
        <v>ベクトル</v>
      </c>
      <c r="L47" s="184" t="str">
        <f>'テンプレート'!L56</f>
        <v>KBG (R.E.)</v>
      </c>
      <c r="M47" s="184" t="str">
        <f>'テンプレート'!M56</f>
        <v>BKB (R.A.)</v>
      </c>
      <c r="N47" s="184" t="str">
        <f>'テンプレート'!N56</f>
        <v>FKB (R.F.)</v>
      </c>
      <c r="O47" s="186" t="str">
        <f>'テンプレート'!O56</f>
        <v>盾削り値</v>
      </c>
      <c r="P47" s="184" t="str">
        <f>'テンプレート'!P56</f>
        <v>ﾋｯﾄｽﾄｯﾌﾟ</v>
      </c>
      <c r="Q47" s="186" t="str">
        <f>'テンプレート'!Q56</f>
        <v>ずらし</v>
      </c>
      <c r="R47" s="187" t="str">
        <f>'テンプレート'!R56</f>
        <v>備考</v>
      </c>
      <c r="S47" s="110"/>
      <c r="T47" s="110"/>
      <c r="U47" s="110"/>
      <c r="V47" s="110"/>
    </row>
    <row r="48" outlineLevel="1">
      <c r="A48" s="188" t="s">
        <v>144</v>
      </c>
      <c r="B48" s="373" t="s">
        <v>852</v>
      </c>
      <c r="C48" s="239" t="s">
        <v>2277</v>
      </c>
      <c r="D48" s="195" t="s">
        <v>289</v>
      </c>
      <c r="E48" s="401" t="s">
        <v>2278</v>
      </c>
      <c r="F48" s="193">
        <v>0.84</v>
      </c>
      <c r="G48" s="1521">
        <v>0.714</v>
      </c>
      <c r="H48" s="138" t="s">
        <v>170</v>
      </c>
      <c r="I48" s="454" t="str">
        <f t="array" ref="I48">INDEX('空中攻撃'!$O$3:$AA$109, MATCH($A$1,'空中攻撃'!$A$3:$A$109,0), MATCH(A48,'空中攻撃'!$O$2:$S$2,0))</f>
        <v>14</v>
      </c>
      <c r="J48" s="455" t="s">
        <v>1685</v>
      </c>
      <c r="K48" s="376"/>
      <c r="L48" s="377"/>
      <c r="M48" s="825"/>
      <c r="N48" s="825"/>
      <c r="O48" s="199">
        <v>0.0</v>
      </c>
      <c r="P48" s="199">
        <v>1.0</v>
      </c>
      <c r="Q48" s="199">
        <v>1.0</v>
      </c>
      <c r="R48" s="1124"/>
      <c r="S48" s="164"/>
      <c r="T48" s="164"/>
      <c r="U48" s="164"/>
      <c r="V48" s="104"/>
    </row>
    <row r="49" outlineLevel="1">
      <c r="A49" s="156"/>
      <c r="B49" s="373" t="s">
        <v>524</v>
      </c>
      <c r="C49" s="239" t="s">
        <v>92</v>
      </c>
      <c r="D49" s="107"/>
      <c r="E49" s="239" t="s">
        <v>1438</v>
      </c>
      <c r="F49" s="138">
        <v>5.3999999999999995</v>
      </c>
      <c r="G49" s="1522">
        <v>4.59</v>
      </c>
      <c r="H49" s="138" t="s">
        <v>60</v>
      </c>
      <c r="I49" s="156"/>
      <c r="J49" s="107"/>
      <c r="K49" s="376"/>
      <c r="L49" s="377"/>
      <c r="M49" s="825"/>
      <c r="N49" s="825"/>
      <c r="O49" s="199">
        <v>0.0</v>
      </c>
      <c r="P49" s="199">
        <v>1.0</v>
      </c>
      <c r="Q49" s="199">
        <v>1.0</v>
      </c>
      <c r="R49" s="106"/>
      <c r="S49" s="168"/>
      <c r="T49" s="168"/>
      <c r="U49" s="168"/>
      <c r="V49" s="107"/>
    </row>
    <row r="50" outlineLevel="1">
      <c r="A50" s="188" t="s">
        <v>151</v>
      </c>
      <c r="B50" s="373" t="s">
        <v>125</v>
      </c>
      <c r="C50" s="239" t="s">
        <v>299</v>
      </c>
      <c r="D50" s="374">
        <v>46.0</v>
      </c>
      <c r="E50" s="239" t="s">
        <v>535</v>
      </c>
      <c r="F50" s="138">
        <v>3.0</v>
      </c>
      <c r="G50" s="246">
        <v>2.55</v>
      </c>
      <c r="H50" s="138" t="s">
        <v>170</v>
      </c>
      <c r="I50" s="454" t="str">
        <f t="array" ref="I50">INDEX('空中攻撃'!$O$3:$AA$109, MATCH($A$1,'空中攻撃'!$A$3:$A$109,0), MATCH(A50,'空中攻撃'!$O$2:$S$2,0))</f>
        <v>12</v>
      </c>
      <c r="J50" s="455" t="s">
        <v>2279</v>
      </c>
      <c r="K50" s="376"/>
      <c r="L50" s="377"/>
      <c r="M50" s="825"/>
      <c r="N50" s="825"/>
      <c r="O50" s="199">
        <v>0.0</v>
      </c>
      <c r="P50" s="199">
        <v>1.0</v>
      </c>
      <c r="Q50" s="199">
        <v>1.0</v>
      </c>
      <c r="R50" s="1124"/>
      <c r="S50" s="164"/>
      <c r="T50" s="164"/>
      <c r="U50" s="164"/>
      <c r="V50" s="104"/>
    </row>
    <row r="51" outlineLevel="1">
      <c r="A51" s="146"/>
      <c r="B51" s="373" t="s">
        <v>131</v>
      </c>
      <c r="C51" s="239" t="s">
        <v>295</v>
      </c>
      <c r="D51" s="210"/>
      <c r="E51" s="239" t="s">
        <v>535</v>
      </c>
      <c r="F51" s="138">
        <v>3.0</v>
      </c>
      <c r="G51" s="246">
        <v>2.55</v>
      </c>
      <c r="H51" s="138" t="s">
        <v>170</v>
      </c>
      <c r="I51" s="146"/>
      <c r="J51" s="210"/>
      <c r="K51" s="376"/>
      <c r="L51" s="377"/>
      <c r="M51" s="825"/>
      <c r="N51" s="825"/>
      <c r="O51" s="199"/>
      <c r="P51" s="199"/>
      <c r="Q51" s="199"/>
      <c r="R51" s="212"/>
      <c r="V51" s="210"/>
    </row>
    <row r="52" outlineLevel="1">
      <c r="A52" s="156"/>
      <c r="B52" s="373" t="s">
        <v>434</v>
      </c>
      <c r="C52" s="239" t="s">
        <v>653</v>
      </c>
      <c r="D52" s="107"/>
      <c r="E52" s="239" t="s">
        <v>86</v>
      </c>
      <c r="F52" s="138">
        <v>7.199999999999999</v>
      </c>
      <c r="G52" s="246">
        <v>6.12</v>
      </c>
      <c r="H52" s="138" t="s">
        <v>60</v>
      </c>
      <c r="I52" s="156"/>
      <c r="J52" s="107"/>
      <c r="K52" s="376"/>
      <c r="L52" s="377"/>
      <c r="M52" s="825"/>
      <c r="N52" s="825"/>
      <c r="O52" s="199">
        <v>0.0</v>
      </c>
      <c r="P52" s="199">
        <v>1.0</v>
      </c>
      <c r="Q52" s="199">
        <v>1.0</v>
      </c>
      <c r="R52" s="106"/>
      <c r="S52" s="168"/>
      <c r="T52" s="168"/>
      <c r="U52" s="168"/>
      <c r="V52" s="107"/>
    </row>
    <row r="53" outlineLevel="1">
      <c r="A53" s="188" t="s">
        <v>157</v>
      </c>
      <c r="B53" s="373" t="s">
        <v>152</v>
      </c>
      <c r="C53" s="239" t="s">
        <v>128</v>
      </c>
      <c r="D53" s="374">
        <v>40.0</v>
      </c>
      <c r="E53" s="239" t="s">
        <v>1551</v>
      </c>
      <c r="F53" s="138" t="s">
        <v>1552</v>
      </c>
      <c r="G53" s="246" t="s">
        <v>2280</v>
      </c>
      <c r="H53" s="138" t="s">
        <v>980</v>
      </c>
      <c r="I53" s="1523">
        <f t="array" ref="I53">INDEX('空中攻撃'!$O$3:$AA$109, MATCH($A$1,'空中攻撃'!$A$3:$A$109,0), MATCH(A53,'空中攻撃'!$O$2:$S$2,0))</f>
        <v>8</v>
      </c>
      <c r="J53" s="455" t="s">
        <v>2279</v>
      </c>
      <c r="K53" s="376"/>
      <c r="L53" s="377"/>
      <c r="M53" s="825"/>
      <c r="N53" s="825"/>
      <c r="O53" s="199">
        <v>0.0</v>
      </c>
      <c r="P53" s="199">
        <v>1.0</v>
      </c>
      <c r="Q53" s="199">
        <v>1.0</v>
      </c>
      <c r="R53" s="1124"/>
      <c r="S53" s="164"/>
      <c r="T53" s="164"/>
      <c r="U53" s="164"/>
      <c r="V53" s="104"/>
    </row>
    <row r="54" outlineLevel="1">
      <c r="A54" s="156"/>
      <c r="B54" s="373"/>
      <c r="C54" s="239" t="s">
        <v>299</v>
      </c>
      <c r="D54" s="107"/>
      <c r="E54" s="239" t="s">
        <v>129</v>
      </c>
      <c r="F54" s="138">
        <v>14.4</v>
      </c>
      <c r="G54" s="246">
        <v>12.24</v>
      </c>
      <c r="H54" s="138" t="s">
        <v>75</v>
      </c>
      <c r="I54" s="156"/>
      <c r="J54" s="107"/>
      <c r="K54" s="376"/>
      <c r="L54" s="377"/>
      <c r="M54" s="825"/>
      <c r="N54" s="825"/>
      <c r="O54" s="199"/>
      <c r="P54" s="199"/>
      <c r="Q54" s="199"/>
      <c r="R54" s="106"/>
      <c r="S54" s="168"/>
      <c r="T54" s="168"/>
      <c r="U54" s="168"/>
      <c r="V54" s="107"/>
    </row>
    <row r="55" outlineLevel="1">
      <c r="A55" s="188" t="s">
        <v>162</v>
      </c>
      <c r="B55" s="373" t="s">
        <v>962</v>
      </c>
      <c r="C55" s="365" t="s">
        <v>2281</v>
      </c>
      <c r="D55" s="379" t="s">
        <v>628</v>
      </c>
      <c r="E55" s="239" t="s">
        <v>1024</v>
      </c>
      <c r="F55" s="138">
        <v>1.7999999999999998</v>
      </c>
      <c r="G55" s="246">
        <v>1.53</v>
      </c>
      <c r="H55" s="138" t="s">
        <v>170</v>
      </c>
      <c r="I55" s="454" t="str">
        <f t="array" ref="I55">INDEX('空中攻撃'!$O$3:$AA$109, MATCH($A$1,'空中攻撃'!$A$3:$A$109,0), MATCH(A55,'空中攻撃'!$O$2:$S$2,0))</f>
        <v>14</v>
      </c>
      <c r="J55" s="379" t="s">
        <v>2282</v>
      </c>
      <c r="K55" s="377"/>
      <c r="L55" s="377"/>
      <c r="M55" s="825"/>
      <c r="N55" s="825"/>
      <c r="O55" s="199">
        <v>0.0</v>
      </c>
      <c r="P55" s="199">
        <v>1.0</v>
      </c>
      <c r="Q55" s="199">
        <v>1.0</v>
      </c>
      <c r="R55" s="1124"/>
      <c r="S55" s="164"/>
      <c r="T55" s="164"/>
      <c r="U55" s="164"/>
      <c r="V55" s="104"/>
    </row>
    <row r="56" outlineLevel="1">
      <c r="A56" s="156"/>
      <c r="B56" s="373" t="s">
        <v>521</v>
      </c>
      <c r="C56" s="365" t="s">
        <v>288</v>
      </c>
      <c r="D56" s="107"/>
      <c r="E56" s="239" t="s">
        <v>150</v>
      </c>
      <c r="F56" s="138">
        <v>6.0</v>
      </c>
      <c r="G56" s="246">
        <v>5.1</v>
      </c>
      <c r="H56" s="138" t="s">
        <v>60</v>
      </c>
      <c r="I56" s="156"/>
      <c r="J56" s="107"/>
      <c r="K56" s="377"/>
      <c r="L56" s="377"/>
      <c r="M56" s="825"/>
      <c r="N56" s="825"/>
      <c r="O56" s="199">
        <v>0.0</v>
      </c>
      <c r="P56" s="199">
        <v>1.0</v>
      </c>
      <c r="Q56" s="199">
        <v>1.0</v>
      </c>
      <c r="R56" s="106"/>
      <c r="S56" s="168"/>
      <c r="T56" s="168"/>
      <c r="U56" s="168"/>
      <c r="V56" s="107"/>
    </row>
    <row r="57" outlineLevel="1">
      <c r="A57" s="188" t="s">
        <v>166</v>
      </c>
      <c r="B57" s="373"/>
      <c r="C57" s="239" t="s">
        <v>128</v>
      </c>
      <c r="D57" s="454">
        <v>36.0</v>
      </c>
      <c r="E57" s="239" t="s">
        <v>128</v>
      </c>
      <c r="F57" s="138">
        <v>12.0</v>
      </c>
      <c r="G57" s="246">
        <v>10.2</v>
      </c>
      <c r="H57" s="138" t="s">
        <v>147</v>
      </c>
      <c r="I57" s="454">
        <f t="array" ref="I57">INDEX('空中攻撃'!$O$3:$AA$109, MATCH($A$1,'空中攻撃'!$A$3:$A$109,0), MATCH(A57,'空中攻撃'!$O$2:$S$2,0))</f>
        <v>12</v>
      </c>
      <c r="J57" s="279" t="s">
        <v>2283</v>
      </c>
      <c r="K57" s="377"/>
      <c r="L57" s="377"/>
      <c r="M57" s="825"/>
      <c r="N57" s="825"/>
      <c r="O57" s="199">
        <v>0.0</v>
      </c>
      <c r="P57" s="199">
        <v>1.0</v>
      </c>
      <c r="Q57" s="199">
        <v>1.0</v>
      </c>
      <c r="R57" s="456"/>
      <c r="S57" s="164"/>
      <c r="T57" s="164"/>
      <c r="U57" s="164"/>
      <c r="V57" s="104"/>
    </row>
    <row r="58" outlineLevel="1">
      <c r="A58" s="156"/>
      <c r="B58" s="373" t="s">
        <v>84</v>
      </c>
      <c r="C58" s="239" t="s">
        <v>299</v>
      </c>
      <c r="D58" s="156"/>
      <c r="E58" s="239" t="s">
        <v>128</v>
      </c>
      <c r="F58" s="138">
        <v>12.0</v>
      </c>
      <c r="G58" s="246">
        <v>10.2</v>
      </c>
      <c r="H58" s="138" t="s">
        <v>147</v>
      </c>
      <c r="I58" s="156"/>
      <c r="J58" s="156"/>
      <c r="K58" s="377"/>
      <c r="L58" s="377"/>
      <c r="M58" s="825"/>
      <c r="N58" s="825"/>
      <c r="O58" s="199">
        <v>0.0</v>
      </c>
      <c r="P58" s="199">
        <v>1.0</v>
      </c>
      <c r="Q58" s="199">
        <v>1.0</v>
      </c>
      <c r="R58" s="106"/>
      <c r="S58" s="168"/>
      <c r="T58" s="168"/>
      <c r="U58" s="168"/>
      <c r="V58" s="107"/>
    </row>
    <row r="59">
      <c r="A59" s="223"/>
      <c r="B59" s="224"/>
      <c r="C59" s="225"/>
      <c r="D59" s="225"/>
      <c r="E59" s="226"/>
      <c r="F59" s="226"/>
      <c r="G59" s="226"/>
      <c r="H59" s="227"/>
      <c r="I59" s="227"/>
      <c r="J59" s="228"/>
      <c r="K59" s="228"/>
      <c r="L59" s="228"/>
      <c r="M59" s="228"/>
      <c r="N59" s="228"/>
      <c r="O59" s="228"/>
      <c r="P59" s="228"/>
      <c r="Q59" s="118"/>
      <c r="R59" s="118"/>
      <c r="S59" s="118"/>
      <c r="T59" s="118"/>
      <c r="U59" s="118"/>
      <c r="V59" s="118"/>
    </row>
    <row r="60">
      <c r="A60" s="229" t="s">
        <v>177</v>
      </c>
      <c r="B60" s="109"/>
      <c r="C60" s="225"/>
      <c r="D60" s="225"/>
      <c r="E60" s="226"/>
      <c r="F60" s="226"/>
      <c r="G60" s="226"/>
      <c r="H60" s="227"/>
      <c r="I60" s="227"/>
      <c r="J60" s="228"/>
      <c r="K60" s="228"/>
      <c r="L60" s="228"/>
      <c r="M60" s="228"/>
      <c r="N60" s="228"/>
      <c r="O60" s="228"/>
      <c r="P60" s="228"/>
      <c r="Q60" s="118"/>
      <c r="R60" s="118"/>
      <c r="S60" s="118"/>
      <c r="T60" s="118"/>
      <c r="U60" s="118"/>
      <c r="V60" s="118"/>
    </row>
    <row r="61" outlineLevel="1">
      <c r="A61" s="230" t="s">
        <v>2306</v>
      </c>
      <c r="B61" s="109"/>
      <c r="C61" s="231" t="s">
        <v>48</v>
      </c>
      <c r="D61" s="231" t="s">
        <v>49</v>
      </c>
      <c r="E61" s="232" t="s">
        <v>50</v>
      </c>
      <c r="F61" s="233" t="s">
        <v>51</v>
      </c>
      <c r="G61" s="232" t="s">
        <v>52</v>
      </c>
      <c r="H61" s="382" t="s">
        <v>53</v>
      </c>
      <c r="I61" s="110"/>
      <c r="J61" s="109"/>
      <c r="K61" s="235" t="s">
        <v>137</v>
      </c>
      <c r="L61" s="235" t="s">
        <v>138</v>
      </c>
      <c r="M61" s="235" t="s">
        <v>139</v>
      </c>
      <c r="N61" s="235" t="s">
        <v>140</v>
      </c>
      <c r="O61" s="236" t="s">
        <v>141</v>
      </c>
      <c r="P61" s="235" t="s">
        <v>142</v>
      </c>
      <c r="Q61" s="236" t="s">
        <v>143</v>
      </c>
      <c r="R61" s="235" t="s">
        <v>179</v>
      </c>
      <c r="S61" s="236" t="s">
        <v>180</v>
      </c>
      <c r="T61" s="236" t="s">
        <v>181</v>
      </c>
      <c r="U61" s="236" t="s">
        <v>182</v>
      </c>
      <c r="V61" s="236" t="s">
        <v>183</v>
      </c>
    </row>
    <row r="62" outlineLevel="1">
      <c r="A62" s="237" t="s">
        <v>332</v>
      </c>
      <c r="B62" s="243" t="s">
        <v>2285</v>
      </c>
      <c r="C62" s="239" t="s">
        <v>2307</v>
      </c>
      <c r="D62" s="239" t="s">
        <v>374</v>
      </c>
      <c r="E62" s="369" t="s">
        <v>2308</v>
      </c>
      <c r="F62" s="866" t="s">
        <v>2309</v>
      </c>
      <c r="G62" s="367" t="s">
        <v>1266</v>
      </c>
      <c r="H62" s="283" t="s">
        <v>2310</v>
      </c>
      <c r="I62" s="164"/>
      <c r="J62" s="164"/>
      <c r="K62" s="282"/>
      <c r="L62" s="282"/>
      <c r="M62" s="363"/>
      <c r="N62" s="363"/>
      <c r="O62" s="138">
        <v>0.0</v>
      </c>
      <c r="P62" s="138">
        <v>1.0</v>
      </c>
      <c r="Q62" s="138">
        <v>1.0</v>
      </c>
      <c r="R62" s="145" t="b">
        <v>1</v>
      </c>
      <c r="S62" s="145" t="b">
        <v>0</v>
      </c>
      <c r="T62" s="145" t="b">
        <v>1</v>
      </c>
      <c r="U62" s="166" t="s">
        <v>186</v>
      </c>
      <c r="V62" s="166" t="b">
        <v>1</v>
      </c>
    </row>
    <row r="63" outlineLevel="1">
      <c r="A63" s="146"/>
      <c r="B63" s="663" t="s">
        <v>2291</v>
      </c>
      <c r="C63" s="239" t="s">
        <v>2311</v>
      </c>
      <c r="D63" s="216" t="s">
        <v>127</v>
      </c>
      <c r="E63" s="146"/>
      <c r="F63" s="146"/>
      <c r="G63" s="146"/>
      <c r="H63" s="212"/>
      <c r="K63" s="282"/>
      <c r="L63" s="282"/>
      <c r="M63" s="363"/>
      <c r="N63" s="363"/>
      <c r="O63" s="138">
        <v>0.0</v>
      </c>
      <c r="P63" s="138">
        <v>1.0</v>
      </c>
      <c r="Q63" s="138">
        <v>1.0</v>
      </c>
      <c r="R63" s="145" t="b">
        <v>1</v>
      </c>
      <c r="S63" s="145" t="b">
        <v>0</v>
      </c>
      <c r="T63" s="145" t="b">
        <v>1</v>
      </c>
      <c r="U63" s="146"/>
      <c r="V63" s="146"/>
    </row>
    <row r="64" outlineLevel="1">
      <c r="A64" s="237" t="s">
        <v>344</v>
      </c>
      <c r="B64" s="243" t="s">
        <v>2285</v>
      </c>
      <c r="C64" s="239" t="s">
        <v>2307</v>
      </c>
      <c r="D64" s="216" t="s">
        <v>127</v>
      </c>
      <c r="E64" s="146"/>
      <c r="F64" s="146"/>
      <c r="G64" s="146"/>
      <c r="H64" s="212"/>
      <c r="K64" s="282"/>
      <c r="L64" s="282"/>
      <c r="M64" s="363"/>
      <c r="N64" s="363"/>
      <c r="O64" s="138">
        <v>0.0</v>
      </c>
      <c r="P64" s="138">
        <v>1.0</v>
      </c>
      <c r="Q64" s="138">
        <v>1.0</v>
      </c>
      <c r="R64" s="145" t="b">
        <v>1</v>
      </c>
      <c r="S64" s="145" t="b">
        <v>0</v>
      </c>
      <c r="T64" s="145" t="b">
        <v>1</v>
      </c>
      <c r="U64" s="146"/>
      <c r="V64" s="146"/>
    </row>
    <row r="65" outlineLevel="1">
      <c r="A65" s="146"/>
      <c r="B65" s="663" t="s">
        <v>2291</v>
      </c>
      <c r="C65" s="239" t="s">
        <v>2311</v>
      </c>
      <c r="D65" s="216" t="s">
        <v>384</v>
      </c>
      <c r="E65" s="156"/>
      <c r="F65" s="156"/>
      <c r="G65" s="156"/>
      <c r="H65" s="212"/>
      <c r="K65" s="282"/>
      <c r="L65" s="282"/>
      <c r="M65" s="363"/>
      <c r="N65" s="363"/>
      <c r="O65" s="138">
        <v>0.0</v>
      </c>
      <c r="P65" s="138">
        <v>1.0</v>
      </c>
      <c r="Q65" s="138">
        <v>1.0</v>
      </c>
      <c r="R65" s="145" t="b">
        <v>1</v>
      </c>
      <c r="S65" s="145" t="b">
        <v>0</v>
      </c>
      <c r="T65" s="145" t="b">
        <v>1</v>
      </c>
      <c r="U65" s="156"/>
      <c r="V65" s="156"/>
    </row>
    <row r="66" outlineLevel="1">
      <c r="A66" s="230" t="s">
        <v>2312</v>
      </c>
      <c r="B66" s="109"/>
      <c r="C66" s="231" t="s">
        <v>48</v>
      </c>
      <c r="D66" s="231" t="s">
        <v>49</v>
      </c>
      <c r="E66" s="232" t="s">
        <v>50</v>
      </c>
      <c r="F66" s="233" t="s">
        <v>2313</v>
      </c>
      <c r="G66" s="232" t="s">
        <v>52</v>
      </c>
      <c r="H66" s="382"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ht="28.5" customHeight="1" outlineLevel="1">
      <c r="A67" s="237" t="s">
        <v>332</v>
      </c>
      <c r="B67" s="243" t="s">
        <v>2294</v>
      </c>
      <c r="C67" s="239" t="s">
        <v>1992</v>
      </c>
      <c r="D67" s="239" t="s">
        <v>993</v>
      </c>
      <c r="E67" s="239" t="s">
        <v>209</v>
      </c>
      <c r="F67" s="138">
        <v>0.0</v>
      </c>
      <c r="G67" s="553"/>
      <c r="H67" s="1524" t="s">
        <v>2314</v>
      </c>
      <c r="I67" s="164"/>
      <c r="J67" s="104"/>
      <c r="K67" s="282"/>
      <c r="L67" s="282"/>
      <c r="M67" s="363"/>
      <c r="N67" s="363"/>
      <c r="O67" s="138">
        <v>0.0</v>
      </c>
      <c r="P67" s="138">
        <v>1.0</v>
      </c>
      <c r="Q67" s="138">
        <v>1.0</v>
      </c>
      <c r="R67" s="145" t="b">
        <v>0</v>
      </c>
      <c r="S67" s="145" t="b">
        <v>0</v>
      </c>
      <c r="T67" s="145"/>
      <c r="U67" s="166" t="s">
        <v>186</v>
      </c>
      <c r="V67" s="166" t="b">
        <v>1</v>
      </c>
    </row>
    <row r="68" ht="28.5" customHeight="1" outlineLevel="1">
      <c r="A68" s="146"/>
      <c r="B68" s="243" t="s">
        <v>243</v>
      </c>
      <c r="C68" s="239" t="s">
        <v>2296</v>
      </c>
      <c r="D68" s="239" t="s">
        <v>185</v>
      </c>
      <c r="E68" s="239" t="s">
        <v>129</v>
      </c>
      <c r="F68" s="138">
        <v>13.2</v>
      </c>
      <c r="G68" s="239" t="s">
        <v>88</v>
      </c>
      <c r="H68" s="212"/>
      <c r="J68" s="210"/>
      <c r="K68" s="138"/>
      <c r="L68" s="138"/>
      <c r="M68" s="145"/>
      <c r="N68" s="145"/>
      <c r="O68" s="138">
        <v>10.0</v>
      </c>
      <c r="P68" s="138">
        <v>1.0</v>
      </c>
      <c r="Q68" s="138">
        <v>1.0</v>
      </c>
      <c r="R68" s="145" t="b">
        <v>1</v>
      </c>
      <c r="S68" s="145" t="b">
        <v>0</v>
      </c>
      <c r="T68" s="145"/>
      <c r="U68" s="146"/>
      <c r="V68" s="146"/>
    </row>
    <row r="69" ht="28.5" customHeight="1" outlineLevel="1">
      <c r="A69" s="237" t="s">
        <v>344</v>
      </c>
      <c r="B69" s="243" t="s">
        <v>2294</v>
      </c>
      <c r="C69" s="239" t="s">
        <v>1149</v>
      </c>
      <c r="D69" s="239" t="s">
        <v>358</v>
      </c>
      <c r="E69" s="239" t="s">
        <v>209</v>
      </c>
      <c r="F69" s="138">
        <v>0.0</v>
      </c>
      <c r="G69" s="261"/>
      <c r="H69" s="212"/>
      <c r="J69" s="210"/>
      <c r="K69" s="138"/>
      <c r="L69" s="138"/>
      <c r="M69" s="145"/>
      <c r="N69" s="145"/>
      <c r="O69" s="138">
        <v>0.0</v>
      </c>
      <c r="P69" s="138">
        <v>1.0</v>
      </c>
      <c r="Q69" s="138">
        <v>1.0</v>
      </c>
      <c r="R69" s="145" t="b">
        <v>0</v>
      </c>
      <c r="S69" s="145" t="b">
        <v>0</v>
      </c>
      <c r="T69" s="145"/>
      <c r="U69" s="146"/>
      <c r="V69" s="146"/>
    </row>
    <row r="70" ht="28.5" customHeight="1" outlineLevel="1">
      <c r="A70" s="146"/>
      <c r="B70" s="243" t="s">
        <v>243</v>
      </c>
      <c r="C70" s="239" t="s">
        <v>2297</v>
      </c>
      <c r="D70" s="365" t="s">
        <v>455</v>
      </c>
      <c r="E70" s="239" t="s">
        <v>1858</v>
      </c>
      <c r="F70" s="138">
        <v>10.799999999999999</v>
      </c>
      <c r="G70" s="239" t="s">
        <v>275</v>
      </c>
      <c r="H70" s="106"/>
      <c r="I70" s="168"/>
      <c r="J70" s="107"/>
      <c r="K70" s="138"/>
      <c r="L70" s="138"/>
      <c r="M70" s="145"/>
      <c r="N70" s="145"/>
      <c r="O70" s="138">
        <v>10.0</v>
      </c>
      <c r="P70" s="138">
        <v>1.0</v>
      </c>
      <c r="Q70" s="138">
        <v>1.0</v>
      </c>
      <c r="R70" s="145" t="b">
        <v>1</v>
      </c>
      <c r="S70" s="145" t="b">
        <v>0</v>
      </c>
      <c r="T70" s="145"/>
      <c r="U70" s="156"/>
      <c r="V70" s="156"/>
    </row>
    <row r="71" outlineLevel="1">
      <c r="A71" s="230" t="s">
        <v>2298</v>
      </c>
      <c r="B71" s="109"/>
      <c r="C71" s="231" t="s">
        <v>48</v>
      </c>
      <c r="D71" s="231" t="s">
        <v>49</v>
      </c>
      <c r="E71" s="232" t="s">
        <v>50</v>
      </c>
      <c r="F71" s="233" t="s">
        <v>2313</v>
      </c>
      <c r="G71" s="232" t="s">
        <v>52</v>
      </c>
      <c r="H71" s="382" t="s">
        <v>53</v>
      </c>
      <c r="I71" s="110"/>
      <c r="J71" s="109"/>
      <c r="K71" s="235" t="s">
        <v>137</v>
      </c>
      <c r="L71" s="235" t="s">
        <v>138</v>
      </c>
      <c r="M71" s="235" t="s">
        <v>139</v>
      </c>
      <c r="N71" s="235" t="s">
        <v>140</v>
      </c>
      <c r="O71" s="236" t="s">
        <v>141</v>
      </c>
      <c r="P71" s="235" t="s">
        <v>142</v>
      </c>
      <c r="Q71" s="236" t="s">
        <v>143</v>
      </c>
      <c r="R71" s="235" t="s">
        <v>179</v>
      </c>
      <c r="S71" s="236" t="s">
        <v>180</v>
      </c>
      <c r="T71" s="236" t="s">
        <v>181</v>
      </c>
      <c r="U71" s="236" t="s">
        <v>182</v>
      </c>
      <c r="V71" s="236" t="s">
        <v>183</v>
      </c>
    </row>
    <row r="72" outlineLevel="1">
      <c r="A72" s="1202" t="s">
        <v>184</v>
      </c>
      <c r="B72" s="870"/>
      <c r="C72" s="553"/>
      <c r="D72" s="553"/>
      <c r="E72" s="553"/>
      <c r="F72" s="553"/>
      <c r="G72" s="553"/>
      <c r="H72" s="151" t="s">
        <v>2299</v>
      </c>
      <c r="I72" s="110"/>
      <c r="J72" s="109"/>
      <c r="K72" s="261"/>
      <c r="L72" s="261"/>
      <c r="M72" s="261"/>
      <c r="N72" s="261"/>
      <c r="O72" s="261"/>
      <c r="P72" s="261"/>
      <c r="Q72" s="261"/>
      <c r="R72" s="261"/>
      <c r="S72" s="261"/>
      <c r="T72" s="261"/>
      <c r="U72" s="145" t="s">
        <v>186</v>
      </c>
      <c r="V72" s="145" t="b">
        <v>1</v>
      </c>
    </row>
    <row r="73" outlineLevel="1">
      <c r="A73" s="230" t="s">
        <v>2300</v>
      </c>
      <c r="B73" s="109"/>
      <c r="C73" s="231" t="s">
        <v>48</v>
      </c>
      <c r="D73" s="231" t="s">
        <v>49</v>
      </c>
      <c r="E73" s="232" t="s">
        <v>50</v>
      </c>
      <c r="F73" s="233" t="s">
        <v>2313</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237" t="s">
        <v>184</v>
      </c>
      <c r="B74" s="624" t="s">
        <v>2301</v>
      </c>
      <c r="C74" s="364" t="s">
        <v>2302</v>
      </c>
      <c r="D74" s="364" t="s">
        <v>118</v>
      </c>
      <c r="E74" s="244" t="s">
        <v>209</v>
      </c>
      <c r="F74" s="246">
        <v>0.0</v>
      </c>
      <c r="G74" s="553"/>
      <c r="H74" s="660" t="s">
        <v>2303</v>
      </c>
      <c r="I74" s="164"/>
      <c r="J74" s="104"/>
      <c r="K74" s="138"/>
      <c r="L74" s="138"/>
      <c r="M74" s="145"/>
      <c r="N74" s="145"/>
      <c r="O74" s="138">
        <v>0.0</v>
      </c>
      <c r="P74" s="138">
        <v>1.0</v>
      </c>
      <c r="Q74" s="138">
        <v>1.0</v>
      </c>
      <c r="R74" s="145" t="b">
        <v>0</v>
      </c>
      <c r="S74" s="145" t="b">
        <v>0</v>
      </c>
      <c r="T74" s="145" t="b">
        <v>0</v>
      </c>
      <c r="U74" s="166" t="s">
        <v>186</v>
      </c>
      <c r="V74" s="166" t="b">
        <v>1</v>
      </c>
    </row>
    <row r="75" ht="24.75" customHeight="1" outlineLevel="1">
      <c r="A75" s="146"/>
      <c r="B75" s="624" t="s">
        <v>677</v>
      </c>
      <c r="C75" s="553"/>
      <c r="D75" s="364" t="s">
        <v>466</v>
      </c>
      <c r="E75" s="553"/>
      <c r="F75" s="553"/>
      <c r="G75" s="553"/>
      <c r="H75" s="212"/>
      <c r="J75" s="210"/>
      <c r="K75" s="290"/>
      <c r="L75" s="290"/>
      <c r="M75" s="117"/>
      <c r="N75" s="117"/>
      <c r="O75" s="290"/>
      <c r="P75" s="290"/>
      <c r="Q75" s="290"/>
      <c r="R75" s="117" t="b">
        <v>0</v>
      </c>
      <c r="S75" s="117" t="b">
        <v>0</v>
      </c>
      <c r="T75" s="117" t="b">
        <v>0</v>
      </c>
      <c r="U75" s="146"/>
      <c r="V75" s="146"/>
    </row>
    <row r="76" ht="24.75" customHeight="1" outlineLevel="1">
      <c r="A76" s="156"/>
      <c r="B76" s="624" t="s">
        <v>2304</v>
      </c>
      <c r="C76" s="553"/>
      <c r="D76" s="244" t="s">
        <v>173</v>
      </c>
      <c r="E76" s="553"/>
      <c r="F76" s="553"/>
      <c r="G76" s="553"/>
      <c r="H76" s="106"/>
      <c r="I76" s="168"/>
      <c r="J76" s="107"/>
      <c r="K76" s="290"/>
      <c r="L76" s="290"/>
      <c r="M76" s="117"/>
      <c r="N76" s="117"/>
      <c r="O76" s="290"/>
      <c r="P76" s="290"/>
      <c r="Q76" s="290"/>
      <c r="R76" s="117" t="b">
        <v>0</v>
      </c>
      <c r="S76" s="117" t="b">
        <v>0</v>
      </c>
      <c r="T76" s="117" t="b">
        <v>0</v>
      </c>
      <c r="U76" s="156"/>
      <c r="V76" s="156"/>
    </row>
    <row r="77">
      <c r="A77" s="223"/>
      <c r="B77" s="224"/>
      <c r="C77" s="225"/>
      <c r="D77" s="225"/>
      <c r="E77" s="226"/>
      <c r="F77" s="226"/>
      <c r="G77" s="226"/>
      <c r="H77" s="227"/>
      <c r="I77" s="227"/>
      <c r="J77" s="228"/>
      <c r="K77" s="228"/>
      <c r="L77" s="228"/>
      <c r="M77" s="228"/>
      <c r="N77" s="228"/>
      <c r="O77" s="228"/>
      <c r="P77" s="228"/>
      <c r="Q77" s="118"/>
      <c r="R77" s="118"/>
      <c r="S77" s="118"/>
      <c r="T77" s="118"/>
      <c r="U77" s="118"/>
      <c r="V77" s="118"/>
    </row>
    <row r="78">
      <c r="A78" s="264" t="s">
        <v>211</v>
      </c>
      <c r="B78" s="104"/>
      <c r="C78" s="227"/>
      <c r="D78" s="227"/>
      <c r="E78" s="228"/>
      <c r="F78" s="265"/>
      <c r="G78" s="265"/>
      <c r="H78" s="228"/>
      <c r="I78" s="228"/>
      <c r="J78" s="228"/>
      <c r="K78" s="228"/>
      <c r="L78" s="228"/>
      <c r="M78" s="228"/>
      <c r="N78" s="118"/>
      <c r="O78" s="118"/>
      <c r="P78" s="118"/>
      <c r="Q78" s="228"/>
      <c r="R78" s="228"/>
      <c r="S78" s="228"/>
      <c r="T78" s="228"/>
      <c r="U78" s="228"/>
      <c r="V78" s="228"/>
    </row>
    <row r="79" outlineLevel="1">
      <c r="A79" s="106"/>
      <c r="B79" s="107"/>
      <c r="C79" s="266" t="s">
        <v>48</v>
      </c>
      <c r="D79" s="266" t="s">
        <v>49</v>
      </c>
      <c r="E79" s="266" t="s">
        <v>50</v>
      </c>
      <c r="F79" s="267" t="s">
        <v>51</v>
      </c>
      <c r="G79" s="227"/>
      <c r="H79" s="227"/>
      <c r="I79" s="227"/>
      <c r="J79" s="228"/>
      <c r="K79" s="228"/>
      <c r="L79" s="228"/>
      <c r="M79" s="228"/>
      <c r="N79" s="228"/>
      <c r="O79" s="228"/>
      <c r="P79" s="228"/>
      <c r="Q79" s="228"/>
      <c r="R79" s="228"/>
      <c r="S79" s="228"/>
      <c r="T79" s="228"/>
      <c r="U79" s="228"/>
      <c r="V79" s="228"/>
    </row>
    <row r="80" outlineLevel="1">
      <c r="A80" s="268" t="s">
        <v>212</v>
      </c>
      <c r="B80" s="269" t="s">
        <v>212</v>
      </c>
      <c r="C80" s="239" t="s">
        <v>213</v>
      </c>
      <c r="D80" s="239" t="s">
        <v>86</v>
      </c>
      <c r="E80" s="239" t="s">
        <v>214</v>
      </c>
      <c r="F80" s="138">
        <v>1.56</v>
      </c>
      <c r="G80" s="227"/>
      <c r="H80" s="227"/>
      <c r="I80" s="227"/>
      <c r="J80" s="228"/>
      <c r="K80" s="228"/>
      <c r="L80" s="228"/>
      <c r="M80" s="228"/>
      <c r="N80" s="228"/>
      <c r="O80" s="228"/>
      <c r="P80" s="228"/>
      <c r="Q80" s="228"/>
      <c r="R80" s="228"/>
      <c r="S80" s="228"/>
      <c r="T80" s="228"/>
      <c r="U80" s="228"/>
      <c r="V80" s="228"/>
    </row>
    <row r="81" outlineLevel="1">
      <c r="A81" s="270" t="s">
        <v>215</v>
      </c>
      <c r="B81" s="269" t="s">
        <v>216</v>
      </c>
      <c r="C81" s="239" t="s">
        <v>217</v>
      </c>
      <c r="D81" s="239" t="s">
        <v>218</v>
      </c>
      <c r="E81" s="271"/>
      <c r="F81" s="272"/>
      <c r="G81" s="272"/>
      <c r="H81" s="227"/>
      <c r="I81" s="227"/>
      <c r="J81" s="228"/>
      <c r="K81" s="228"/>
      <c r="L81" s="228"/>
      <c r="M81" s="228"/>
      <c r="N81" s="228"/>
      <c r="O81" s="228"/>
      <c r="P81" s="228"/>
      <c r="Q81" s="228"/>
      <c r="R81" s="228"/>
      <c r="S81" s="228"/>
      <c r="T81" s="228"/>
      <c r="U81" s="228"/>
      <c r="V81" s="228"/>
    </row>
    <row r="82" outlineLevel="1">
      <c r="A82" s="212"/>
      <c r="B82" s="269" t="s">
        <v>219</v>
      </c>
      <c r="C82" s="239" t="s">
        <v>220</v>
      </c>
      <c r="D82" s="239" t="s">
        <v>221</v>
      </c>
      <c r="E82" s="271"/>
      <c r="F82" s="272"/>
      <c r="G82" s="272"/>
      <c r="H82" s="227"/>
      <c r="I82" s="227"/>
      <c r="J82" s="228"/>
      <c r="K82" s="228"/>
      <c r="L82" s="228"/>
      <c r="M82" s="228"/>
      <c r="N82" s="228"/>
      <c r="O82" s="228"/>
      <c r="P82" s="228"/>
      <c r="Q82" s="228"/>
      <c r="R82" s="228"/>
      <c r="S82" s="228"/>
      <c r="T82" s="228"/>
      <c r="U82" s="228"/>
      <c r="V82" s="228"/>
    </row>
    <row r="83" outlineLevel="1">
      <c r="A83" s="106"/>
      <c r="B83" s="269" t="s">
        <v>222</v>
      </c>
      <c r="C83" s="239" t="s">
        <v>223</v>
      </c>
      <c r="D83" s="239" t="s">
        <v>79</v>
      </c>
      <c r="E83" s="227"/>
      <c r="F83" s="272"/>
      <c r="G83" s="272"/>
      <c r="H83" s="227"/>
      <c r="I83" s="227"/>
      <c r="J83" s="228"/>
      <c r="K83" s="228"/>
      <c r="L83" s="228"/>
      <c r="M83" s="228"/>
      <c r="N83" s="228"/>
      <c r="O83" s="228"/>
      <c r="P83" s="228"/>
      <c r="Q83" s="228"/>
      <c r="R83" s="228"/>
      <c r="S83" s="228"/>
      <c r="T83" s="228"/>
      <c r="U83" s="228"/>
      <c r="V83" s="228"/>
    </row>
    <row r="84" outlineLevel="1">
      <c r="A84" s="273" t="s">
        <v>225</v>
      </c>
      <c r="B84" s="109"/>
      <c r="C84" s="266" t="s">
        <v>48</v>
      </c>
      <c r="D84" s="266" t="s">
        <v>49</v>
      </c>
      <c r="E84" s="266" t="s">
        <v>50</v>
      </c>
      <c r="F84" s="267" t="s">
        <v>51</v>
      </c>
      <c r="G84" s="1168" t="s">
        <v>53</v>
      </c>
      <c r="H84" s="110"/>
      <c r="I84" s="110"/>
      <c r="J84" s="109"/>
      <c r="K84" s="275" t="str">
        <f>'テンプレート'!K97</f>
        <v>ベクトル</v>
      </c>
      <c r="L84" s="275" t="str">
        <f>'テンプレート'!L97</f>
        <v>KBG (R.E.)</v>
      </c>
      <c r="M84" s="275" t="str">
        <f>'テンプレート'!M97</f>
        <v>BKB (R.A.)</v>
      </c>
      <c r="N84" s="275" t="str">
        <f>'テンプレート'!N97</f>
        <v>FKB (R.F.)</v>
      </c>
      <c r="O84" s="276" t="str">
        <f>'テンプレート'!O97</f>
        <v>盾削り値</v>
      </c>
      <c r="P84" s="275" t="str">
        <f>'テンプレート'!P97</f>
        <v>ﾋｯﾄｽﾄｯﾌﾟ</v>
      </c>
      <c r="Q84" s="276" t="str">
        <f>'テンプレート'!Q97</f>
        <v>ずらし</v>
      </c>
      <c r="R84" s="277"/>
      <c r="S84" s="277"/>
      <c r="T84" s="277"/>
      <c r="U84" s="277"/>
      <c r="V84" s="277"/>
    </row>
    <row r="85" outlineLevel="1">
      <c r="A85" s="278" t="s">
        <v>226</v>
      </c>
      <c r="B85" s="269" t="s">
        <v>227</v>
      </c>
      <c r="C85" s="1091" t="s">
        <v>373</v>
      </c>
      <c r="D85" s="1397">
        <v>27.0</v>
      </c>
      <c r="E85" s="244" t="s">
        <v>86</v>
      </c>
      <c r="F85" s="138">
        <v>7.199999999999999</v>
      </c>
      <c r="G85" s="1170"/>
      <c r="H85" s="164"/>
      <c r="I85" s="164"/>
      <c r="J85" s="104"/>
      <c r="K85" s="282"/>
      <c r="L85" s="282"/>
      <c r="M85" s="363"/>
      <c r="N85" s="363"/>
      <c r="O85" s="145">
        <v>0.0</v>
      </c>
      <c r="P85" s="145">
        <v>1.0</v>
      </c>
      <c r="Q85" s="145">
        <v>1.0</v>
      </c>
      <c r="R85" s="277"/>
      <c r="S85" s="228"/>
      <c r="T85" s="228"/>
      <c r="U85" s="228"/>
      <c r="V85" s="228"/>
    </row>
    <row r="86" outlineLevel="1">
      <c r="A86" s="156"/>
      <c r="B86" s="269" t="s">
        <v>225</v>
      </c>
      <c r="C86" s="1091">
        <v>14.0</v>
      </c>
      <c r="D86" s="156"/>
      <c r="E86" s="244" t="s">
        <v>73</v>
      </c>
      <c r="F86" s="138">
        <v>4.8</v>
      </c>
      <c r="G86" s="106"/>
      <c r="H86" s="168"/>
      <c r="I86" s="168"/>
      <c r="J86" s="107"/>
      <c r="K86" s="282"/>
      <c r="L86" s="282"/>
      <c r="M86" s="363"/>
      <c r="N86" s="363"/>
      <c r="O86" s="261"/>
      <c r="P86" s="261"/>
      <c r="Q86" s="261"/>
      <c r="R86" s="277"/>
      <c r="S86" s="228"/>
      <c r="T86" s="228"/>
      <c r="U86" s="228"/>
      <c r="V86" s="228"/>
    </row>
    <row r="87" outlineLevel="1">
      <c r="A87" s="278" t="s">
        <v>229</v>
      </c>
      <c r="B87" s="269" t="s">
        <v>227</v>
      </c>
      <c r="C87" s="822"/>
      <c r="D87" s="1397" t="s">
        <v>282</v>
      </c>
      <c r="E87" s="822"/>
      <c r="F87" s="261"/>
      <c r="G87" s="1170"/>
      <c r="H87" s="164"/>
      <c r="I87" s="164"/>
      <c r="J87" s="104"/>
      <c r="K87" s="261"/>
      <c r="L87" s="261"/>
      <c r="M87" s="261"/>
      <c r="N87" s="261"/>
      <c r="O87" s="261"/>
      <c r="P87" s="261"/>
      <c r="Q87" s="261"/>
      <c r="R87" s="277"/>
      <c r="S87" s="228"/>
      <c r="T87" s="228"/>
      <c r="U87" s="228"/>
      <c r="V87" s="228"/>
    </row>
    <row r="88" outlineLevel="1">
      <c r="A88" s="156"/>
      <c r="B88" s="269" t="s">
        <v>225</v>
      </c>
      <c r="C88" s="1091" t="s">
        <v>99</v>
      </c>
      <c r="D88" s="156"/>
      <c r="E88" s="244" t="s">
        <v>80</v>
      </c>
      <c r="F88" s="138">
        <v>9.6</v>
      </c>
      <c r="G88" s="106"/>
      <c r="H88" s="168"/>
      <c r="I88" s="168"/>
      <c r="J88" s="107"/>
      <c r="K88" s="282"/>
      <c r="L88" s="282"/>
      <c r="M88" s="363"/>
      <c r="N88" s="363"/>
      <c r="O88" s="261"/>
      <c r="P88" s="261"/>
      <c r="Q88" s="261"/>
      <c r="R88" s="277"/>
      <c r="S88" s="228"/>
      <c r="T88" s="228"/>
      <c r="U88" s="228"/>
      <c r="V88" s="228"/>
    </row>
    <row r="89" outlineLevel="1">
      <c r="A89" s="278" t="s">
        <v>233</v>
      </c>
      <c r="B89" s="269" t="s">
        <v>227</v>
      </c>
      <c r="C89" s="1091" t="s">
        <v>305</v>
      </c>
      <c r="D89" s="369" t="s">
        <v>79</v>
      </c>
      <c r="E89" s="244" t="s">
        <v>73</v>
      </c>
      <c r="F89" s="138">
        <v>4.8</v>
      </c>
      <c r="G89" s="1170"/>
      <c r="H89" s="164"/>
      <c r="I89" s="164"/>
      <c r="J89" s="104"/>
      <c r="K89" s="282"/>
      <c r="L89" s="282"/>
      <c r="M89" s="363"/>
      <c r="N89" s="363"/>
      <c r="O89" s="145">
        <v>0.0</v>
      </c>
      <c r="P89" s="145">
        <v>1.0</v>
      </c>
      <c r="Q89" s="145">
        <v>1.0</v>
      </c>
      <c r="R89" s="277"/>
      <c r="S89" s="228"/>
      <c r="T89" s="228"/>
      <c r="U89" s="228"/>
      <c r="V89" s="228"/>
    </row>
    <row r="90" outlineLevel="1">
      <c r="A90" s="156"/>
      <c r="B90" s="269" t="s">
        <v>225</v>
      </c>
      <c r="C90" s="1091">
        <v>15.0</v>
      </c>
      <c r="D90" s="156"/>
      <c r="E90" s="244" t="s">
        <v>93</v>
      </c>
      <c r="F90" s="138">
        <v>8.4</v>
      </c>
      <c r="G90" s="106"/>
      <c r="H90" s="168"/>
      <c r="I90" s="168"/>
      <c r="J90" s="107"/>
      <c r="K90" s="282"/>
      <c r="L90" s="282"/>
      <c r="M90" s="363"/>
      <c r="N90" s="363"/>
      <c r="O90" s="261"/>
      <c r="P90" s="261"/>
      <c r="Q90" s="261"/>
      <c r="R90" s="277"/>
      <c r="S90" s="117"/>
      <c r="T90" s="117"/>
      <c r="U90" s="117"/>
      <c r="V90" s="117"/>
    </row>
    <row r="91" outlineLevel="1">
      <c r="A91" s="278" t="s">
        <v>234</v>
      </c>
      <c r="B91" s="269" t="s">
        <v>227</v>
      </c>
      <c r="C91" s="1091" t="s">
        <v>305</v>
      </c>
      <c r="D91" s="1397">
        <v>31.0</v>
      </c>
      <c r="E91" s="244" t="s">
        <v>176</v>
      </c>
      <c r="F91" s="138">
        <v>2.4</v>
      </c>
      <c r="G91" s="1170"/>
      <c r="H91" s="164"/>
      <c r="I91" s="164"/>
      <c r="J91" s="104"/>
      <c r="K91" s="282"/>
      <c r="L91" s="282"/>
      <c r="M91" s="363"/>
      <c r="N91" s="363"/>
      <c r="O91" s="145">
        <v>0.0</v>
      </c>
      <c r="P91" s="145">
        <v>1.0</v>
      </c>
      <c r="Q91" s="145">
        <v>1.0</v>
      </c>
      <c r="R91" s="277"/>
      <c r="S91" s="117"/>
      <c r="T91" s="117"/>
      <c r="U91" s="117"/>
      <c r="V91" s="117"/>
    </row>
    <row r="92" outlineLevel="1">
      <c r="A92" s="156"/>
      <c r="B92" s="269" t="s">
        <v>225</v>
      </c>
      <c r="C92" s="1091">
        <v>16.0</v>
      </c>
      <c r="D92" s="156"/>
      <c r="E92" s="244" t="s">
        <v>73</v>
      </c>
      <c r="F92" s="138">
        <v>4.8</v>
      </c>
      <c r="G92" s="106"/>
      <c r="H92" s="168"/>
      <c r="I92" s="168"/>
      <c r="J92" s="107"/>
      <c r="K92" s="282"/>
      <c r="L92" s="282"/>
      <c r="M92" s="363"/>
      <c r="N92" s="363"/>
      <c r="O92" s="261"/>
      <c r="P92" s="261"/>
      <c r="Q92" s="261"/>
      <c r="R92" s="277"/>
      <c r="S92" s="117"/>
      <c r="T92" s="117"/>
      <c r="U92" s="117"/>
      <c r="V92" s="117"/>
    </row>
    <row r="93">
      <c r="A93" s="223"/>
      <c r="B93" s="224"/>
      <c r="C93" s="225"/>
      <c r="D93" s="225"/>
      <c r="E93" s="227"/>
      <c r="F93" s="177"/>
      <c r="G93" s="177"/>
      <c r="H93" s="227"/>
      <c r="I93" s="227"/>
      <c r="J93" s="228"/>
      <c r="K93" s="228"/>
      <c r="L93" s="111"/>
      <c r="M93" s="111"/>
      <c r="N93" s="111"/>
      <c r="O93" s="117"/>
      <c r="P93" s="117"/>
      <c r="Q93" s="111"/>
      <c r="R93" s="111"/>
      <c r="S93" s="111"/>
      <c r="T93" s="111"/>
      <c r="U93" s="111"/>
      <c r="V93" s="111"/>
    </row>
    <row r="94">
      <c r="A94" s="284" t="s">
        <v>241</v>
      </c>
      <c r="B94" s="104"/>
      <c r="C94" s="265"/>
      <c r="D94" s="111"/>
      <c r="E94" s="111"/>
      <c r="F94" s="111"/>
      <c r="G94" s="111"/>
      <c r="H94" s="111"/>
      <c r="I94" s="111"/>
      <c r="J94" s="118"/>
      <c r="K94" s="111"/>
      <c r="L94" s="111"/>
      <c r="M94" s="111"/>
      <c r="N94" s="111"/>
      <c r="O94" s="111"/>
      <c r="P94" s="111"/>
      <c r="Q94" s="118"/>
      <c r="R94" s="111"/>
      <c r="S94" s="111"/>
      <c r="T94" s="111"/>
      <c r="U94" s="111"/>
      <c r="V94" s="111"/>
    </row>
    <row r="95" outlineLevel="1">
      <c r="A95" s="106"/>
      <c r="B95" s="107"/>
      <c r="C95" s="285" t="s">
        <v>235</v>
      </c>
      <c r="D95" s="285" t="s">
        <v>236</v>
      </c>
      <c r="E95" s="285" t="s">
        <v>49</v>
      </c>
      <c r="F95" s="285" t="s">
        <v>237</v>
      </c>
      <c r="G95" s="286"/>
      <c r="H95" s="227"/>
      <c r="I95" s="227"/>
      <c r="J95" s="228"/>
      <c r="K95" s="228"/>
      <c r="L95" s="111"/>
      <c r="M95" s="111"/>
      <c r="N95" s="111"/>
      <c r="O95" s="111"/>
      <c r="P95" s="111"/>
      <c r="Q95" s="111"/>
      <c r="R95" s="111"/>
      <c r="S95" s="111"/>
      <c r="T95" s="111"/>
      <c r="U95" s="111"/>
      <c r="V95" s="111"/>
    </row>
    <row r="96" outlineLevel="1">
      <c r="A96" s="287" t="s">
        <v>395</v>
      </c>
      <c r="B96" s="288" t="s">
        <v>216</v>
      </c>
      <c r="C96" s="113" t="str">
        <f t="array" ref="C96">INDEX('回避'!$C$3:$U$84, MATCH($A$1,'回避'!$A$3:$A$91,0), MATCH(C95,'回避'!$C$2:$F$2,0))</f>
        <v>3-17</v>
      </c>
      <c r="D96" s="113" t="str">
        <f t="array" ref="D96">INDEX('回避'!$C$3:$U$84, MATCH($A$1,'回避'!$A$3:$A$91,0), MATCH(D95,'回避'!$C$2:$F$2,0))</f>
        <v>6-17</v>
      </c>
      <c r="E96" s="113" t="str">
        <f t="array" ref="E96">INDEX('回避'!$C$3:$U$84, MATCH($A$1,'回避'!$A$3:$A$91,0), MATCH(E95,'回避'!$C$2:$F$2,0))</f>
        <v>25 (20)</v>
      </c>
      <c r="F96" s="113" t="str">
        <f t="array" ref="F96">INDEX('回避'!$C$3:$U$84, MATCH($A$1,'回避'!$A$3:$A$91,0), MATCH(F95,'回避'!$C$2:$F$2,0))</f>
        <v>33 (27)</v>
      </c>
      <c r="G96" s="272"/>
      <c r="H96" s="227"/>
      <c r="I96" s="227"/>
      <c r="J96" s="228"/>
      <c r="K96" s="228"/>
      <c r="L96" s="228"/>
      <c r="M96" s="111"/>
      <c r="N96" s="111"/>
      <c r="O96" s="111"/>
      <c r="P96" s="111"/>
      <c r="Q96" s="111"/>
      <c r="R96" s="111"/>
      <c r="S96" s="111"/>
      <c r="T96" s="111"/>
      <c r="U96" s="111"/>
      <c r="V96" s="111"/>
    </row>
    <row r="97" outlineLevel="1">
      <c r="A97" s="212"/>
      <c r="B97" s="288" t="s">
        <v>245</v>
      </c>
      <c r="C97" s="113" t="str">
        <f t="array" ref="C97">INDEX('回避'!$G$3:$U$84, MATCH($A$1,'回避'!$A$3:$A$91,0), MATCH(C95,'回避'!$G$2:$J$2,0))</f>
        <v>4-15</v>
      </c>
      <c r="D97" s="113" t="str">
        <f t="array" ref="D97">INDEX('回避'!$G$3:$U$84, MATCH($A$1,'回避'!$A$3:$A$91,0), MATCH(D95,'回避'!$G$2:$J$2,0))</f>
        <v>8-14</v>
      </c>
      <c r="E97" s="113" t="str">
        <f t="array" ref="E97">INDEX('回避'!$G$3:$U$84, MATCH($A$1,'回避'!$A$3:$A$91,0), MATCH(E95,'回避'!$G$2:$J$2,0))</f>
        <v>29</v>
      </c>
      <c r="F97" s="113">
        <f t="array" ref="F97">INDEX('回避'!$G$3:$U$84, MATCH($A$1,'回避'!$A$3:$A$91,0), MATCH(F95,'回避'!$G$2:$J$2,0))</f>
        <v>38</v>
      </c>
      <c r="G97" s="289"/>
      <c r="H97" s="227"/>
      <c r="I97" s="227"/>
      <c r="J97" s="228"/>
      <c r="K97" s="228"/>
      <c r="L97" s="228"/>
      <c r="M97" s="228"/>
      <c r="N97" s="228"/>
      <c r="O97" s="111"/>
      <c r="P97" s="111"/>
      <c r="Q97" s="111"/>
      <c r="R97" s="111"/>
      <c r="S97" s="111"/>
      <c r="T97" s="111"/>
      <c r="U97" s="111"/>
      <c r="V97" s="111"/>
    </row>
    <row r="98" outlineLevel="1">
      <c r="A98" s="106"/>
      <c r="B98" s="288" t="s">
        <v>246</v>
      </c>
      <c r="C98" s="113" t="str">
        <f t="array" ref="C98">INDEX('回避'!$K$3:$U$84, MATCH($A$1,'回避'!$A$3:$A$91,0), MATCH(C95,'回避'!$K$2:$N$2,0))</f>
        <v>5-16</v>
      </c>
      <c r="D98" s="113" t="str">
        <f t="array" ref="D98">INDEX('回避'!$K$3:$U$84, MATCH($A$1,'回避'!$A$3:$A$91,0), MATCH(D95,'回避'!$K$2:$N$2,0))</f>
        <v>9-14</v>
      </c>
      <c r="E98" s="113" t="str">
        <f t="array" ref="E98">INDEX('回避'!$K$3:$U$84, MATCH($A$1,'回避'!$A$3:$A$91,0), MATCH(E95,'回避'!$K$2:$N$2,0))</f>
        <v>34</v>
      </c>
      <c r="F98" s="113" t="str">
        <f t="array" ref="F98">INDEX('回避'!$K$3:$U$84, MATCH($A$1,'回避'!$A$3:$A$91,0), MATCH(F95,'回避'!$K$2:$N$2,0))</f>
        <v>51</v>
      </c>
      <c r="G98" s="289"/>
      <c r="H98" s="290"/>
      <c r="I98" s="290"/>
      <c r="J98" s="117"/>
      <c r="K98" s="117"/>
      <c r="L98" s="117"/>
      <c r="M98" s="117"/>
      <c r="N98" s="117"/>
      <c r="O98" s="111"/>
      <c r="P98" s="111"/>
      <c r="Q98" s="111"/>
      <c r="R98" s="111"/>
      <c r="S98" s="111"/>
      <c r="T98" s="111"/>
      <c r="U98" s="111"/>
      <c r="V98" s="111"/>
    </row>
    <row r="99" outlineLevel="1">
      <c r="A99" s="287" t="s">
        <v>396</v>
      </c>
      <c r="B99" s="288" t="s">
        <v>397</v>
      </c>
      <c r="C99" s="113" t="str">
        <f t="array" ref="C99">INDEX('回避'!$O$3:$U$84, MATCH($A$1,'回避'!$A$3:$A$91,0), MATCH(C95,'回避'!$O$2:$R$2,0))</f>
        <v>3-29</v>
      </c>
      <c r="D99" s="113" t="str">
        <f t="array" ref="D99">INDEX('回避'!$O$3:$U$84, MATCH($A$1,'回避'!$A$3:$A$91,0), MATCH(D95,'回避'!$O$2:$R$2,0))</f>
        <v>6-27</v>
      </c>
      <c r="E99" s="113" t="str">
        <f t="array" ref="E99">INDEX('回避'!$O$3:$U$84, MATCH($A$1,'回避'!$A$3:$A$91,0), MATCH(E95,'回避'!$O$2:$R$2,0))</f>
        <v>52</v>
      </c>
      <c r="F99" s="177"/>
      <c r="G99" s="177"/>
      <c r="H99" s="118"/>
      <c r="I99" s="118"/>
      <c r="J99" s="111"/>
      <c r="K99" s="111"/>
      <c r="L99" s="111"/>
      <c r="M99" s="111"/>
      <c r="N99" s="111"/>
      <c r="O99" s="228"/>
      <c r="P99" s="228"/>
      <c r="Q99" s="228"/>
      <c r="R99" s="228"/>
      <c r="S99" s="228"/>
      <c r="T99" s="228"/>
      <c r="U99" s="228"/>
      <c r="V99" s="228"/>
    </row>
    <row r="100" outlineLevel="1">
      <c r="A100" s="106"/>
      <c r="B100" s="288" t="s">
        <v>398</v>
      </c>
      <c r="C100" s="113" t="str">
        <f t="array" ref="C100">INDEX('回避'!$S$3:$U$84, MATCH($A$1,'回避'!$A$3:$A$91,0), MATCH(C95,'回避'!$S$2:$U$2,0))</f>
        <v>3-21</v>
      </c>
      <c r="D100" s="113" t="str">
        <f t="array" ref="D100">INDEX('回避'!$S$3:$U$84, MATCH($A$1,'回避'!$A$3:$A$91,0), MATCH(D95,'回避'!$S$2:$U$2,0))</f>
        <v>6-20</v>
      </c>
      <c r="E100" s="113" t="str">
        <f t="array" ref="E100">INDEX('回避'!$S$3:$U$84, MATCH($A$1,'回避'!$A$3:$A$91,0), MATCH(E95,'回避'!$S$2:$U$2,0))</f>
        <v>真横：89
真上：119
真下：73</v>
      </c>
      <c r="F100" s="289"/>
      <c r="G100" s="289"/>
      <c r="H100" s="118"/>
      <c r="I100" s="118"/>
      <c r="J100" s="117"/>
      <c r="K100" s="117"/>
      <c r="L100" s="117"/>
      <c r="M100" s="117"/>
      <c r="N100" s="111"/>
      <c r="O100" s="118"/>
      <c r="P100" s="118"/>
      <c r="Q100" s="118"/>
      <c r="R100" s="118"/>
      <c r="S100" s="118"/>
      <c r="T100" s="118"/>
      <c r="U100" s="118"/>
      <c r="V100" s="118"/>
    </row>
    <row r="101">
      <c r="A101" s="291"/>
      <c r="B101" s="292"/>
      <c r="C101" s="286"/>
      <c r="D101" s="286"/>
      <c r="E101" s="293"/>
      <c r="F101" s="286"/>
      <c r="G101" s="286"/>
      <c r="H101" s="286"/>
      <c r="I101" s="286"/>
      <c r="J101" s="111"/>
      <c r="K101" s="227"/>
      <c r="L101" s="227"/>
      <c r="M101" s="227"/>
      <c r="N101" s="227"/>
      <c r="O101" s="118"/>
      <c r="P101" s="118"/>
      <c r="Q101" s="118"/>
      <c r="R101" s="118"/>
      <c r="S101" s="118"/>
      <c r="T101" s="118"/>
      <c r="U101" s="118"/>
      <c r="V101" s="118"/>
    </row>
    <row r="102">
      <c r="A102" s="294" t="s">
        <v>238</v>
      </c>
      <c r="B102" s="104"/>
      <c r="C102" s="228"/>
      <c r="D102" s="117"/>
      <c r="E102" s="228"/>
      <c r="F102" s="114"/>
      <c r="G102" s="114"/>
      <c r="H102" s="117"/>
      <c r="I102" s="117"/>
      <c r="J102" s="118"/>
      <c r="K102" s="118"/>
      <c r="L102" s="118"/>
      <c r="M102" s="118"/>
      <c r="N102" s="118"/>
      <c r="O102" s="118"/>
      <c r="P102" s="118"/>
      <c r="Q102" s="118"/>
      <c r="R102" s="118"/>
      <c r="S102" s="118"/>
      <c r="T102" s="118"/>
      <c r="U102" s="118"/>
      <c r="V102" s="118"/>
    </row>
    <row r="103" outlineLevel="1">
      <c r="A103" s="106"/>
      <c r="B103" s="107"/>
      <c r="C103" s="295" t="s">
        <v>235</v>
      </c>
      <c r="D103" s="295" t="s">
        <v>49</v>
      </c>
      <c r="E103" s="295" t="s">
        <v>48</v>
      </c>
      <c r="F103" s="295" t="s">
        <v>50</v>
      </c>
      <c r="G103" s="296" t="s">
        <v>51</v>
      </c>
      <c r="H103" s="228"/>
      <c r="I103" s="228"/>
      <c r="J103" s="117"/>
      <c r="K103" s="297" t="str">
        <f>'テンプレート'!K116</f>
        <v>アイテム取得</v>
      </c>
      <c r="L103" s="109"/>
      <c r="M103" s="298" t="str">
        <f>'テンプレート'!M116</f>
        <v>取得フレーム</v>
      </c>
      <c r="N103" s="298" t="str">
        <f>'テンプレート'!N116</f>
        <v>全体フレーム</v>
      </c>
      <c r="O103" s="118"/>
      <c r="P103" s="118"/>
      <c r="Q103" s="118"/>
      <c r="R103" s="118"/>
      <c r="S103" s="118"/>
      <c r="T103" s="118"/>
      <c r="U103" s="118"/>
      <c r="V103" s="118"/>
    </row>
    <row r="104" outlineLevel="1">
      <c r="A104" s="299" t="s">
        <v>239</v>
      </c>
      <c r="B104" s="300" t="s">
        <v>240</v>
      </c>
      <c r="C104" s="301"/>
      <c r="D104" s="113">
        <f t="array" ref="D104">INDEX('崖行動・受け身'!$C$3:$C105, MATCH($A$1,'崖行動・受け身'!$A$3:$A$115,0), MATCH(D103,'崖行動・受け身'!$C$2,0))</f>
        <v>19</v>
      </c>
      <c r="E104" s="301"/>
      <c r="F104" s="301"/>
      <c r="G104" s="301"/>
      <c r="H104" s="228"/>
      <c r="I104" s="228"/>
      <c r="J104" s="111"/>
      <c r="K104" s="302" t="str">
        <f>'テンプレート'!K117</f>
        <v>小アイテム</v>
      </c>
      <c r="L104" s="303" t="str">
        <f>'テンプレート'!L117</f>
        <v>その場</v>
      </c>
      <c r="M104" s="113" t="s">
        <v>76</v>
      </c>
      <c r="N104" s="113">
        <v>7.0</v>
      </c>
      <c r="O104" s="118"/>
      <c r="P104" s="118"/>
      <c r="Q104" s="118"/>
      <c r="R104" s="118"/>
      <c r="S104" s="118"/>
      <c r="T104" s="118"/>
      <c r="U104" s="118"/>
      <c r="V104" s="118"/>
    </row>
    <row r="105" outlineLevel="1">
      <c r="A105" s="146"/>
      <c r="B105" s="300" t="s">
        <v>216</v>
      </c>
      <c r="C105" s="113" t="str">
        <f t="array" ref="C105">INDEX('崖行動・受け身'!$D$3:$E105, MATCH($A$1,'崖行動・受け身'!$A$3:$A$115,0), MATCH(C103,'崖行動・受け身'!$D$2:$E$2,0))</f>
        <v>1-33</v>
      </c>
      <c r="D105" s="113">
        <f t="array" ref="D105">INDEX('崖行動・受け身'!$D$3:$E105, MATCH($A$1,'崖行動・受け身'!$A$3:$A$115,0), MATCH(D103,'崖行動・受け身'!$D$2:$E$2,0))</f>
        <v>34</v>
      </c>
      <c r="E105" s="301"/>
      <c r="F105" s="301"/>
      <c r="G105" s="301"/>
      <c r="H105" s="228"/>
      <c r="I105" s="228"/>
      <c r="J105" s="117"/>
      <c r="K105" s="156"/>
      <c r="L105" s="303" t="str">
        <f>'テンプレート'!L118</f>
        <v>歩き</v>
      </c>
      <c r="M105" s="113" t="s">
        <v>76</v>
      </c>
      <c r="N105" s="113">
        <v>19.0</v>
      </c>
      <c r="O105" s="118"/>
      <c r="P105" s="118"/>
      <c r="Q105" s="118"/>
      <c r="R105" s="118"/>
      <c r="S105" s="118"/>
      <c r="T105" s="118"/>
      <c r="U105" s="118"/>
      <c r="V105" s="118"/>
    </row>
    <row r="106" outlineLevel="1">
      <c r="A106" s="146"/>
      <c r="B106" s="300" t="s">
        <v>241</v>
      </c>
      <c r="C106" s="113" t="str">
        <f t="array" ref="C106">INDEX('崖行動・受け身'!$F$3:$G$115, MATCH($A$1,'崖行動・受け身'!$A$3:$A$115,0), MATCH(C103,'崖行動・受け身'!$F$2:$G$2,0))</f>
        <v>1-26</v>
      </c>
      <c r="D106" s="113">
        <f t="array" ref="D106">INDEX('崖行動・受け身'!$F$3:$G$115, MATCH($A$1,'崖行動・受け身'!$A$3:$A$115,0), MATCH(D103,'崖行動・受け身'!$F$2:$G$2,0))</f>
        <v>45</v>
      </c>
      <c r="E106" s="301"/>
      <c r="F106" s="301"/>
      <c r="G106" s="301"/>
      <c r="H106" s="228"/>
      <c r="I106" s="228"/>
      <c r="J106" s="111"/>
      <c r="K106" s="304" t="str">
        <f>'テンプレート'!K119</f>
        <v>アイテム投擲</v>
      </c>
      <c r="L106" s="109"/>
      <c r="M106" s="298" t="str">
        <f>'テンプレート'!M119</f>
        <v>投擲フレーム</v>
      </c>
      <c r="N106" s="298" t="str">
        <f>'テンプレート'!N119</f>
        <v>全体フレーム</v>
      </c>
      <c r="O106" s="118"/>
      <c r="P106" s="118"/>
      <c r="Q106" s="118"/>
      <c r="R106" s="118"/>
      <c r="S106" s="118"/>
      <c r="T106" s="118"/>
      <c r="U106" s="118"/>
      <c r="V106" s="118"/>
    </row>
    <row r="107" outlineLevel="1">
      <c r="A107" s="146"/>
      <c r="B107" s="300" t="s">
        <v>242</v>
      </c>
      <c r="C107" s="113" t="str">
        <f t="array" ref="C107">INDEX('崖行動・受け身'!$H$3:$I$115, MATCH($A$1,'崖行動・受け身'!$A$3:$A$115,0), MATCH(C103,'崖行動・受け身'!$H$2:$I$2,0))</f>
        <v>1-12</v>
      </c>
      <c r="D107" s="113">
        <f t="array" ref="D107">INDEX('崖行動・受け身'!$H$3:$I$115, MATCH($A$1,'崖行動・受け身'!$A$3:$A$115,0), MATCH(D103,'崖行動・受け身'!$H$2:$I$2,0))</f>
        <v>14</v>
      </c>
      <c r="E107" s="301"/>
      <c r="F107" s="301"/>
      <c r="G107" s="301"/>
      <c r="H107" s="228"/>
      <c r="I107" s="228"/>
      <c r="J107" s="117"/>
      <c r="K107" s="305" t="str">
        <f>'テンプレート'!K120</f>
        <v>地上投擲</v>
      </c>
      <c r="L107" s="303" t="str">
        <f>'テンプレート'!L120</f>
        <v>前投げ</v>
      </c>
      <c r="M107" s="113" t="s">
        <v>80</v>
      </c>
      <c r="N107" s="113">
        <v>24.0</v>
      </c>
      <c r="O107" s="111"/>
      <c r="P107" s="111"/>
      <c r="Q107" s="111"/>
      <c r="R107" s="111"/>
      <c r="S107" s="111"/>
      <c r="T107" s="111"/>
      <c r="U107" s="111"/>
      <c r="V107" s="111"/>
    </row>
    <row r="108" outlineLevel="1">
      <c r="A108" s="156"/>
      <c r="B108" s="300" t="s">
        <v>243</v>
      </c>
      <c r="C108" s="113" t="str">
        <f t="array" ref="C108">INDEX('崖行動・受け身'!$J$3:$M$115, MATCH($A$1,'崖行動・受け身'!$A$3:$A$115,0), MATCH(C103,'崖行動・受け身'!$J$2:$M$2,0))</f>
        <v>1-27</v>
      </c>
      <c r="D108" s="113">
        <f t="array" ref="D108">INDEX('崖行動・受け身'!$J$3:$M$115, MATCH($A$1,'崖行動・受け身'!$A$3:$A$115,0), MATCH(D103,'崖行動・受け身'!$J$2:$M$2,0))</f>
        <v>55</v>
      </c>
      <c r="E108" s="113" t="str">
        <f t="array" ref="E108">INDEX('崖行動・受け身'!$J$3:$M$115, MATCH($A$1,'崖行動・受け身'!$A$3:$A$115,0), MATCH(E103,'崖行動・受け身'!$J$2:$M$2,0))</f>
        <v>25-27</v>
      </c>
      <c r="F108" s="113">
        <f t="array" ref="F108">INDEX('崖行動・受け身'!$J$3:$M$115, MATCH($A$1,'崖行動・受け身'!$A$3:$A$115,0), MATCH(F103,'崖行動・受け身'!$J$2:$M$2,0))</f>
        <v>9</v>
      </c>
      <c r="G108" s="113">
        <f>F108*1.2</f>
        <v>10.8</v>
      </c>
      <c r="H108" s="228"/>
      <c r="I108" s="228"/>
      <c r="J108" s="111"/>
      <c r="K108" s="146"/>
      <c r="L108" s="303" t="str">
        <f>'テンプレート'!L121</f>
        <v>後投げ</v>
      </c>
      <c r="M108" s="113" t="s">
        <v>232</v>
      </c>
      <c r="N108" s="113">
        <v>24.0</v>
      </c>
      <c r="O108" s="111"/>
      <c r="P108" s="111"/>
      <c r="Q108" s="111"/>
      <c r="R108" s="111"/>
      <c r="S108" s="111"/>
      <c r="T108" s="111"/>
      <c r="U108" s="111"/>
      <c r="V108" s="111"/>
    </row>
    <row r="109" outlineLevel="1">
      <c r="A109" s="299" t="s">
        <v>244</v>
      </c>
      <c r="B109" s="300" t="s">
        <v>216</v>
      </c>
      <c r="C109" s="113" t="str">
        <f t="array" ref="C109">INDEX('崖行動・受け身'!$N$3:$O$115, MATCH($A$1,'崖行動・受け身'!$A$3:$A$115,0), MATCH(C103,'崖行動・受け身'!$N$2:$O$2,0))</f>
        <v>1-20</v>
      </c>
      <c r="D109" s="113">
        <f t="array" ref="D109">INDEX('崖行動・受け身'!$N$3:$O$115, MATCH($A$1,'崖行動・受け身'!$A$3:$A$115,0), MATCH(D103,'崖行動・受け身'!$N$2:$O$2,0))</f>
        <v>26</v>
      </c>
      <c r="E109" s="301"/>
      <c r="F109" s="301"/>
      <c r="G109" s="301"/>
      <c r="H109" s="228"/>
      <c r="I109" s="228"/>
      <c r="J109" s="117"/>
      <c r="K109" s="146"/>
      <c r="L109" s="303" t="str">
        <f>'テンプレート'!L122</f>
        <v>上投げ</v>
      </c>
      <c r="M109" s="113" t="s">
        <v>129</v>
      </c>
      <c r="N109" s="113">
        <v>23.0</v>
      </c>
      <c r="O109" s="228"/>
      <c r="P109" s="228"/>
      <c r="Q109" s="228"/>
      <c r="R109" s="228"/>
      <c r="S109" s="228"/>
      <c r="T109" s="228"/>
      <c r="U109" s="228"/>
      <c r="V109" s="228"/>
    </row>
    <row r="110" outlineLevel="1">
      <c r="A110" s="146"/>
      <c r="B110" s="300" t="s">
        <v>245</v>
      </c>
      <c r="C110" s="113" t="str">
        <f t="array" ref="C110">INDEX('崖行動・受け身'!$P$3:$Q$115, MATCH($A$1,'崖行動・受け身'!$A$3:$A$115,0), MATCH(C103,'崖行動・受け身'!$P$2:$Q$2,0))</f>
        <v>1-20</v>
      </c>
      <c r="D110" s="113">
        <f t="array" ref="D110">INDEX('崖行動・受け身'!$P$3:$Q$115, MATCH($A$1,'崖行動・受け身'!$A$3:$A$115,0), MATCH(D103,'崖行動・受け身'!$P$2:$Q$2,0))</f>
        <v>40</v>
      </c>
      <c r="E110" s="301"/>
      <c r="F110" s="301"/>
      <c r="G110" s="301"/>
      <c r="H110" s="228"/>
      <c r="I110" s="228"/>
      <c r="J110" s="111"/>
      <c r="K110" s="146"/>
      <c r="L110" s="303" t="str">
        <f>'テンプレート'!L123</f>
        <v>下投げ</v>
      </c>
      <c r="M110" s="113" t="s">
        <v>93</v>
      </c>
      <c r="N110" s="113">
        <v>19.0</v>
      </c>
      <c r="O110" s="118"/>
      <c r="P110" s="118"/>
      <c r="Q110" s="118"/>
      <c r="R110" s="118"/>
      <c r="S110" s="118"/>
      <c r="T110" s="118"/>
      <c r="U110" s="118"/>
      <c r="V110" s="118"/>
    </row>
    <row r="111" outlineLevel="1">
      <c r="A111" s="156"/>
      <c r="B111" s="300" t="s">
        <v>246</v>
      </c>
      <c r="C111" s="113" t="str">
        <f t="array" ref="C111">INDEX('崖行動・受け身'!$R$3:$S$115, MATCH($A$1,'崖行動・受け身'!$A$3:$A$115,0), MATCH(C103,'崖行動・受け身'!$R$2:$S$2,0))</f>
        <v>1-20</v>
      </c>
      <c r="D111" s="113">
        <f t="array" ref="D111">INDEX('崖行動・受け身'!$R$3:$S$115, MATCH($A$1,'崖行動・受け身'!$A$3:$A$115,0), MATCH(D103,'崖行動・受け身'!$R$2:$S$2,0))</f>
        <v>40</v>
      </c>
      <c r="E111" s="301"/>
      <c r="F111" s="301"/>
      <c r="G111" s="301"/>
      <c r="H111" s="228"/>
      <c r="I111" s="228"/>
      <c r="J111" s="117"/>
      <c r="K111" s="146"/>
      <c r="L111" s="306" t="str">
        <f>'テンプレート'!L124</f>
        <v>ダッシュ</v>
      </c>
      <c r="M111" s="113" t="s">
        <v>150</v>
      </c>
      <c r="N111" s="113">
        <v>39.0</v>
      </c>
      <c r="O111" s="118"/>
      <c r="P111" s="118"/>
      <c r="Q111" s="118"/>
      <c r="R111" s="118"/>
      <c r="S111" s="118"/>
      <c r="T111" s="118"/>
      <c r="U111" s="118"/>
      <c r="V111" s="118"/>
    </row>
    <row r="112" outlineLevel="1">
      <c r="A112" s="299" t="s">
        <v>247</v>
      </c>
      <c r="B112" s="300" t="s">
        <v>248</v>
      </c>
      <c r="C112" s="301"/>
      <c r="D112" s="113" t="str">
        <f t="array" ref="D112">INDEX('起きあがり'!$C$3:$C105, MATCH($A$1,'起きあがり'!$A$3:$A$115,0), MATCH(D103,'起きあがり'!$C$2:$AD$2,0))</f>
        <v>25</v>
      </c>
      <c r="E112" s="301"/>
      <c r="F112" s="301"/>
      <c r="G112" s="301"/>
      <c r="H112" s="228"/>
      <c r="I112" s="228"/>
      <c r="J112" s="111"/>
      <c r="K112" s="156"/>
      <c r="L112" s="306" t="str">
        <f>'テンプレート'!L125</f>
        <v>その場捨て</v>
      </c>
      <c r="M112" s="113" t="s">
        <v>86</v>
      </c>
      <c r="N112" s="113">
        <v>23.0</v>
      </c>
      <c r="O112" s="118"/>
      <c r="P112" s="118"/>
      <c r="Q112" s="118"/>
      <c r="R112" s="118"/>
      <c r="S112" s="118"/>
      <c r="T112" s="118"/>
      <c r="U112" s="118"/>
      <c r="V112" s="118"/>
    </row>
    <row r="113" outlineLevel="1">
      <c r="A113" s="146"/>
      <c r="B113" s="300" t="s">
        <v>216</v>
      </c>
      <c r="C113" s="307" t="str">
        <f t="array" ref="C113">INDEX('起きあがり'!$D$3:$E105, MATCH($A$1,'起きあがり'!$A$3:$A$115,0), MATCH(C103,'起きあがり'!$D$2:$AD$2,0))</f>
        <v>1-22</v>
      </c>
      <c r="D113" s="308">
        <f t="array" ref="D113">INDEX('起きあがり'!$D$3:$E105, MATCH($A$1,'起きあがり'!$A$3:$A$115,0), MATCH(D103,'起きあがり'!$D$2:$AD$2,0))</f>
        <v>29</v>
      </c>
      <c r="E113" s="301"/>
      <c r="F113" s="301"/>
      <c r="G113" s="301"/>
      <c r="H113" s="228"/>
      <c r="I113" s="228"/>
      <c r="J113" s="117"/>
      <c r="K113" s="305" t="str">
        <f>'テンプレート'!K126</f>
        <v>空中投擲</v>
      </c>
      <c r="L113" s="303" t="str">
        <f>'テンプレート'!L126</f>
        <v>前投げ</v>
      </c>
      <c r="M113" s="113" t="s">
        <v>80</v>
      </c>
      <c r="N113" s="113">
        <v>24.0</v>
      </c>
      <c r="O113" s="118"/>
      <c r="P113" s="118"/>
      <c r="Q113" s="118"/>
      <c r="R113" s="118"/>
      <c r="S113" s="118"/>
      <c r="T113" s="118"/>
      <c r="U113" s="118"/>
      <c r="V113" s="118"/>
    </row>
    <row r="114" outlineLevel="1">
      <c r="A114" s="146"/>
      <c r="B114" s="300" t="s">
        <v>245</v>
      </c>
      <c r="C114" s="307" t="str">
        <f t="array" ref="C114">INDEX('起きあがり'!$F$3:$G$115, MATCH($A$1,'起きあがり'!$A$3:$A$115,0), MATCH(C103,'起きあがり'!$F$2:$AD$2,0))</f>
        <v>1-24</v>
      </c>
      <c r="D114" s="308">
        <f t="array" ref="D114">INDEX('起きあがり'!$F$3:$G$115, MATCH($A$1,'起きあがり'!$A$3:$A$115,0), MATCH(D103,'起きあがり'!$F$2:$AD$2,0))</f>
        <v>35</v>
      </c>
      <c r="E114" s="301"/>
      <c r="F114" s="301"/>
      <c r="G114" s="301"/>
      <c r="H114" s="228"/>
      <c r="I114" s="228"/>
      <c r="J114" s="111"/>
      <c r="K114" s="146"/>
      <c r="L114" s="303" t="str">
        <f>'テンプレート'!L127</f>
        <v>後投げ</v>
      </c>
      <c r="M114" s="113" t="s">
        <v>232</v>
      </c>
      <c r="N114" s="113">
        <v>24.0</v>
      </c>
      <c r="O114" s="118"/>
      <c r="P114" s="118"/>
      <c r="Q114" s="118"/>
      <c r="R114" s="118"/>
      <c r="S114" s="118"/>
      <c r="T114" s="118"/>
      <c r="U114" s="118"/>
      <c r="V114" s="118"/>
    </row>
    <row r="115" outlineLevel="1">
      <c r="A115" s="146"/>
      <c r="B115" s="300" t="s">
        <v>246</v>
      </c>
      <c r="C115" s="113" t="str">
        <f t="array" ref="C115">INDEX('起きあがり'!$H$3:$I$115, MATCH($A$1,'起きあがり'!$A$3:$A$115,0), MATCH(C103,'起きあがり'!$H$2:$AD$2,0))</f>
        <v>1-31</v>
      </c>
      <c r="D115" s="113">
        <f t="array" ref="D115">INDEX('起きあがり'!$H$3:$I$115, MATCH($A$1,'起きあがり'!$A$3:$A$115,0), MATCH(D103,'起きあがり'!$H$2:$AD$2,0))</f>
        <v>35</v>
      </c>
      <c r="E115" s="301"/>
      <c r="F115" s="301"/>
      <c r="G115" s="301"/>
      <c r="H115" s="228"/>
      <c r="I115" s="228"/>
      <c r="J115" s="117"/>
      <c r="K115" s="146"/>
      <c r="L115" s="303" t="str">
        <f>'テンプレート'!L128</f>
        <v>上投げ</v>
      </c>
      <c r="M115" s="113" t="s">
        <v>129</v>
      </c>
      <c r="N115" s="113">
        <v>23.0</v>
      </c>
      <c r="O115" s="118"/>
      <c r="P115" s="118"/>
      <c r="Q115" s="118"/>
      <c r="R115" s="118"/>
      <c r="S115" s="118"/>
      <c r="T115" s="118"/>
      <c r="U115" s="118"/>
      <c r="V115" s="118"/>
    </row>
    <row r="116" outlineLevel="1">
      <c r="A116" s="146"/>
      <c r="B116" s="300" t="s">
        <v>249</v>
      </c>
      <c r="C116" s="309" t="str">
        <f t="array" ref="C116">INDEX('起きあがり'!$J$3:$M$115, MATCH($A$1,'起きあがり'!$A$3:$A$115,0), MATCH(C103,'起きあがり'!$J$2:$AD$2,0))</f>
        <v>1-25</v>
      </c>
      <c r="D116" s="310">
        <f t="array" ref="D116">INDEX('起きあがり'!$J$3:$M$115, MATCH($A$1,'起きあがり'!$A$3:$A$115,0), MATCH(D103,'起きあがり'!$J$2:$AD$2,0))</f>
        <v>45</v>
      </c>
      <c r="E116" s="307" t="str">
        <f t="array" ref="E116">INDEX('起きあがり'!$J$3:$M$115, MATCH($A$1,'起きあがり'!$A$3:$A$115,0), MATCH(E103,'起きあがり'!$J$2:$AD$2,0))</f>
        <v>14-15</v>
      </c>
      <c r="F116" s="308">
        <f t="array" ref="F116">INDEX('起きあがり'!$J$3:$M$115, MATCH($A$1,'起きあがり'!$A$3:$A$115,0), MATCH(F103,'起きあがり'!$J$2:$AD$2,0))</f>
        <v>7</v>
      </c>
      <c r="G116" s="113">
        <f t="shared" ref="G116:G117" si="1">F116*1.2</f>
        <v>8.4</v>
      </c>
      <c r="H116" s="228"/>
      <c r="I116" s="228"/>
      <c r="J116" s="111"/>
      <c r="K116" s="156"/>
      <c r="L116" s="303" t="str">
        <f>'テンプレート'!L129</f>
        <v>下投げ</v>
      </c>
      <c r="M116" s="113" t="s">
        <v>93</v>
      </c>
      <c r="N116" s="113">
        <v>19.0</v>
      </c>
      <c r="O116" s="111"/>
      <c r="P116" s="111"/>
      <c r="Q116" s="111"/>
      <c r="R116" s="111"/>
      <c r="S116" s="111"/>
      <c r="T116" s="111"/>
      <c r="U116" s="111"/>
      <c r="V116" s="111"/>
    </row>
    <row r="117" outlineLevel="1">
      <c r="A117" s="156"/>
      <c r="B117" s="311" t="s">
        <v>250</v>
      </c>
      <c r="C117" s="156"/>
      <c r="D117" s="156"/>
      <c r="E117" s="307" t="str">
        <f t="array" ref="E117">INDEX('起きあがり'!$N$3:$O$115, MATCH($A$1,'起きあがり'!$A$3:$A$115,0), MATCH(E103,'起きあがり'!$N$2:$AD$2,0))</f>
        <v>24-25</v>
      </c>
      <c r="F117" s="308">
        <f t="array" ref="F117">INDEX('起きあがり'!$N$3:$O$115, MATCH($A$1,'起きあがり'!$A$3:$A$115,0), MATCH(F103,'起きあがり'!$N$2:$AD$2,0))</f>
        <v>7</v>
      </c>
      <c r="G117" s="113">
        <f t="shared" si="1"/>
        <v>8.4</v>
      </c>
      <c r="H117" s="228"/>
      <c r="I117" s="228"/>
      <c r="J117" s="111"/>
      <c r="K117" s="312" t="str">
        <f>'テンプレート'!K130</f>
        <v>踏み台ジャンプ</v>
      </c>
      <c r="L117" s="168"/>
      <c r="M117" s="298" t="str">
        <f>'テンプレート'!M130</f>
        <v>全体フレーム</v>
      </c>
      <c r="N117" s="114"/>
      <c r="O117" s="111"/>
      <c r="P117" s="111"/>
      <c r="Q117" s="111"/>
      <c r="R117" s="111"/>
      <c r="S117" s="111"/>
      <c r="T117" s="111"/>
      <c r="U117" s="111"/>
      <c r="V117" s="111"/>
    </row>
    <row r="118" outlineLevel="1">
      <c r="A118" s="299" t="s">
        <v>251</v>
      </c>
      <c r="B118" s="300" t="s">
        <v>248</v>
      </c>
      <c r="C118" s="301"/>
      <c r="D118" s="307" t="str">
        <f t="array" ref="D118">INDEX('起きあがり'!$C$3:$C105, MATCH($A$1,'起きあがり'!$A$3:$A$115,0), MATCH(D103,'起きあがり'!$C$2,0))</f>
        <v>25</v>
      </c>
      <c r="E118" s="301"/>
      <c r="F118" s="301"/>
      <c r="G118" s="301"/>
      <c r="H118" s="228"/>
      <c r="I118" s="228"/>
      <c r="J118" s="117"/>
      <c r="K118" s="313" t="str">
        <f>'テンプレート'!K131</f>
        <v>踏み</v>
      </c>
      <c r="L118" s="314" t="str">
        <f>'テンプレート'!L131</f>
        <v>踏み</v>
      </c>
      <c r="M118" s="113">
        <v>8.0</v>
      </c>
      <c r="N118" s="315"/>
      <c r="O118" s="111"/>
      <c r="P118" s="111"/>
      <c r="Q118" s="111"/>
      <c r="R118" s="111"/>
      <c r="S118" s="111"/>
      <c r="T118" s="111"/>
      <c r="U118" s="111"/>
      <c r="V118" s="111"/>
    </row>
    <row r="119" outlineLevel="1">
      <c r="A119" s="146"/>
      <c r="B119" s="300" t="s">
        <v>216</v>
      </c>
      <c r="C119" s="307" t="str">
        <f t="array" ref="C119">INDEX('起きあがり'!$P$3:$Q$115, MATCH($A$1,'起きあがり'!$A$3:$A$115,0), MATCH(C103,'起きあがり'!$P$2:$AD$2,0))</f>
        <v>1-22</v>
      </c>
      <c r="D119" s="308">
        <f t="array" ref="D119">INDEX('起きあがり'!$P$3:$Q$115, MATCH($A$1,'起きあがり'!$A$3:$A$115,0), MATCH(D103,'起きあがり'!$P$2:$AD$2,0))</f>
        <v>29</v>
      </c>
      <c r="E119" s="301"/>
      <c r="F119" s="301"/>
      <c r="G119" s="301"/>
      <c r="H119" s="228"/>
      <c r="I119" s="228"/>
      <c r="J119" s="111"/>
      <c r="K119" s="305" t="str">
        <f>'テンプレート'!K132</f>
        <v>踏まれ</v>
      </c>
      <c r="L119" s="314" t="str">
        <f>'テンプレート'!L132</f>
        <v>地上踏まれ</v>
      </c>
      <c r="M119" s="113" t="s">
        <v>76</v>
      </c>
      <c r="N119" s="315"/>
      <c r="O119" s="228"/>
      <c r="P119" s="228"/>
      <c r="Q119" s="228"/>
      <c r="R119" s="228"/>
      <c r="S119" s="228"/>
      <c r="T119" s="228"/>
      <c r="U119" s="228"/>
      <c r="V119" s="228"/>
    </row>
    <row r="120" outlineLevel="1">
      <c r="A120" s="146"/>
      <c r="B120" s="300" t="s">
        <v>245</v>
      </c>
      <c r="C120" s="307" t="str">
        <f t="array" ref="C120">INDEX('起きあがり'!$R$3:$S$115, MATCH($A$1,'起きあがり'!$A$3:$A$115,0), MATCH(C103,'起きあがり'!$R$2:$AD$2,0))</f>
        <v>1-19</v>
      </c>
      <c r="D120" s="308">
        <f t="array" ref="D120">INDEX('起きあがり'!$R$3:$S$115, MATCH($A$1,'起きあがり'!$A$3:$A$115,0), MATCH(D103,'起きあがり'!$R$2:$AD$2,0))</f>
        <v>35</v>
      </c>
      <c r="E120" s="301"/>
      <c r="F120" s="301"/>
      <c r="G120" s="301"/>
      <c r="H120" s="228"/>
      <c r="I120" s="228"/>
      <c r="J120" s="117"/>
      <c r="K120" s="146"/>
      <c r="L120" s="314" t="s">
        <v>693</v>
      </c>
      <c r="M120" s="113">
        <v>27.0</v>
      </c>
      <c r="N120" s="102"/>
      <c r="O120" s="118"/>
      <c r="P120" s="118"/>
      <c r="Q120" s="118"/>
      <c r="R120" s="118"/>
      <c r="S120" s="118"/>
      <c r="T120" s="118"/>
      <c r="U120" s="118"/>
      <c r="V120" s="118"/>
    </row>
    <row r="121" outlineLevel="1">
      <c r="A121" s="146"/>
      <c r="B121" s="300" t="s">
        <v>246</v>
      </c>
      <c r="C121" s="307" t="str">
        <f t="array" ref="C121">INDEX('起きあがり'!$T$3:$U$115, MATCH($A$1,'起きあがり'!$A$3:$A$115,0), MATCH(C103,'起きあがり'!$T$2:$AD$2,0))</f>
        <v>1-25</v>
      </c>
      <c r="D121" s="308">
        <f t="array" ref="D121">INDEX('起きあがり'!$T$3:$U$115, MATCH($A$1,'起きあがり'!$A$3:$A$115,0), MATCH(D103,'起きあがり'!$T$2:$AD$2,0))</f>
        <v>35</v>
      </c>
      <c r="E121" s="301"/>
      <c r="F121" s="301"/>
      <c r="G121" s="301"/>
      <c r="H121" s="228"/>
      <c r="I121" s="228"/>
      <c r="J121" s="111"/>
      <c r="K121" s="146"/>
      <c r="L121" s="314" t="str">
        <f>'テンプレート'!L134</f>
        <v>空中踏まれ</v>
      </c>
      <c r="M121" s="113">
        <v>7.0</v>
      </c>
      <c r="N121" s="102"/>
      <c r="O121" s="118"/>
      <c r="P121" s="118"/>
      <c r="Q121" s="118"/>
      <c r="R121" s="118"/>
      <c r="S121" s="118"/>
      <c r="T121" s="118"/>
      <c r="U121" s="118"/>
      <c r="V121" s="118"/>
    </row>
    <row r="122" outlineLevel="1">
      <c r="A122" s="146"/>
      <c r="B122" s="300" t="s">
        <v>249</v>
      </c>
      <c r="C122" s="309" t="str">
        <f t="array" ref="C122">INDEX('起きあがり'!$V$3:$Y$115, MATCH($A$1,'起きあがり'!$A$3:$A$115,0), MATCH(C103,'起きあがり'!$V$2:$AD$2,0))</f>
        <v>1-25</v>
      </c>
      <c r="D122" s="310">
        <f t="array" ref="D122">INDEX('起きあがり'!$V$3:$Y$115, MATCH($A$1,'起きあがり'!$A$3:$A$115,0), MATCH(D103,'起きあがり'!$V$2:$AD$2,0))</f>
        <v>45</v>
      </c>
      <c r="E122" s="307" t="str">
        <f t="array" ref="E122">INDEX('起きあがり'!$V$3:$Y$115, MATCH($A$1,'起きあがり'!$A$3:$A$115,0), MATCH(E103,'起きあがり'!$V$2:$AD$2,0))</f>
        <v>14-15</v>
      </c>
      <c r="F122" s="308">
        <f t="array" ref="F122">INDEX('起きあがり'!$V$3:$Y$115, MATCH($A$1,'起きあがり'!$A$3:$A$115,0), MATCH(F103,'起きあがり'!$V$2:$AD$2,0))</f>
        <v>7</v>
      </c>
      <c r="G122" s="113">
        <f t="shared" ref="G122:G123" si="2">F122*1.2</f>
        <v>8.4</v>
      </c>
      <c r="H122" s="228"/>
      <c r="I122" s="228"/>
      <c r="J122" s="117"/>
      <c r="K122" s="146"/>
      <c r="L122" s="314" t="str">
        <f>'テンプレート'!L135</f>
        <v>空中落下</v>
      </c>
      <c r="M122" s="113">
        <v>37.0</v>
      </c>
      <c r="N122" s="102"/>
      <c r="O122" s="118"/>
      <c r="P122" s="118"/>
      <c r="Q122" s="118"/>
      <c r="R122" s="118"/>
      <c r="S122" s="118"/>
      <c r="T122" s="118"/>
      <c r="U122" s="118"/>
      <c r="V122" s="118"/>
    </row>
    <row r="123" outlineLevel="1">
      <c r="A123" s="156"/>
      <c r="B123" s="311" t="s">
        <v>250</v>
      </c>
      <c r="C123" s="156"/>
      <c r="D123" s="156"/>
      <c r="E123" s="307" t="str">
        <f t="array" ref="E123">INDEX('起きあがり'!$Z$3:$AA$115, MATCH($A$1,'起きあがり'!$A$3:$A$115,0), MATCH(E103,'起きあがり'!$Z$2:$AD$2,0))</f>
        <v>24-25</v>
      </c>
      <c r="F123" s="308">
        <f t="array" ref="F123">INDEX('起きあがり'!$Z$3:$AA$115, MATCH($A$1,'起きあがり'!$A$3:$A$115,0), MATCH(F103,'起きあがり'!$Z$2:$AD$2,0))</f>
        <v>7</v>
      </c>
      <c r="G123" s="113">
        <f t="shared" si="2"/>
        <v>8.4</v>
      </c>
      <c r="H123" s="228"/>
      <c r="I123" s="228"/>
      <c r="J123" s="117"/>
      <c r="K123" s="304" t="str">
        <f>'テンプレート'!K136</f>
        <v>倒れダメージ</v>
      </c>
      <c r="L123" s="110"/>
      <c r="M123" s="298" t="str">
        <f>'テンプレート'!M136</f>
        <v>全体フレーム</v>
      </c>
      <c r="N123" s="102"/>
      <c r="O123" s="118"/>
      <c r="P123" s="118"/>
      <c r="Q123" s="118"/>
      <c r="R123" s="118"/>
      <c r="S123" s="118"/>
      <c r="T123" s="118"/>
      <c r="U123" s="118"/>
      <c r="V123" s="118"/>
    </row>
    <row r="124" outlineLevel="1">
      <c r="A124" s="299" t="s">
        <v>252</v>
      </c>
      <c r="B124" s="300" t="s">
        <v>253</v>
      </c>
      <c r="C124" s="307" t="str">
        <f t="array" ref="C124">INDEX('転倒'!$C$3:$D105, MATCH($A$1,'転倒'!$A$3:$A$115,0), MATCH(C103,'転倒'!$C$2:$AC$2,0))</f>
        <v>1-5</v>
      </c>
      <c r="D124" s="308">
        <f t="array" ref="D124">INDEX('転倒'!$C$3:$D105, MATCH($A$1,'転倒'!$A$3:$A$115,0), MATCH(D103,'転倒'!$C$2:$AC$2,0))</f>
        <v>29</v>
      </c>
      <c r="E124" s="301"/>
      <c r="F124" s="301"/>
      <c r="G124" s="301"/>
      <c r="H124" s="228"/>
      <c r="I124" s="228"/>
      <c r="J124" s="111"/>
      <c r="K124" s="313" t="str">
        <f>'テンプレート'!K137</f>
        <v>あお向け倒れ</v>
      </c>
      <c r="L124" s="306" t="str">
        <f>'テンプレート'!L137</f>
        <v>モーション大</v>
      </c>
      <c r="M124" s="113">
        <v>39.0</v>
      </c>
      <c r="N124" s="315"/>
      <c r="O124" s="118"/>
      <c r="P124" s="118"/>
      <c r="Q124" s="118"/>
      <c r="R124" s="118"/>
      <c r="S124" s="118"/>
      <c r="T124" s="118"/>
      <c r="U124" s="118"/>
      <c r="V124" s="118"/>
    </row>
    <row r="125" outlineLevel="1">
      <c r="A125" s="146"/>
      <c r="B125" s="300" t="s">
        <v>254</v>
      </c>
      <c r="C125" s="307" t="str">
        <f t="array" ref="C125">INDEX('転倒'!$E$3:$F105, MATCH($A$1,'転倒'!$A$3:$A$115,0), MATCH(C103,'転倒'!$E$2:$AC$2,0))</f>
        <v>1-5</v>
      </c>
      <c r="D125" s="308">
        <f t="array" ref="D125">INDEX('転倒'!$E$3:$F105, MATCH($A$1,'転倒'!$A$3:$A$115,0), MATCH(D103,'転倒'!$E$2:$AC$2,0))</f>
        <v>39</v>
      </c>
      <c r="E125" s="301"/>
      <c r="F125" s="301"/>
      <c r="G125" s="301"/>
      <c r="H125" s="228"/>
      <c r="I125" s="228"/>
      <c r="J125" s="117"/>
      <c r="K125" s="313" t="str">
        <f>'テンプレート'!K138</f>
        <v>うつ伏せ倒れ</v>
      </c>
      <c r="L125" s="306" t="str">
        <f>'テンプレート'!L138</f>
        <v>モーション大</v>
      </c>
      <c r="M125" s="113" t="s">
        <v>118</v>
      </c>
      <c r="N125" s="315"/>
      <c r="O125" s="118"/>
      <c r="P125" s="118"/>
      <c r="Q125" s="118"/>
      <c r="R125" s="118"/>
      <c r="S125" s="118"/>
      <c r="T125" s="118"/>
      <c r="U125" s="118"/>
      <c r="V125" s="118"/>
    </row>
    <row r="126" outlineLevel="1">
      <c r="A126" s="146"/>
      <c r="B126" s="300" t="s">
        <v>216</v>
      </c>
      <c r="C126" s="307" t="str">
        <f t="array" ref="C126">INDEX('転倒'!$G$3:$H$115, MATCH($A$1,'転倒'!$A$3:$A$115,0), MATCH(C103,'転倒'!$G$2:$AC$2,0))</f>
        <v>1-16</v>
      </c>
      <c r="D126" s="308">
        <f t="array" ref="D126">INDEX('転倒'!$G$3:$H$115, MATCH($A$1,'転倒'!$A$3:$A$115,0), MATCH(D103,'転倒'!$G$2:$AC$2,0))</f>
        <v>21</v>
      </c>
      <c r="E126" s="301"/>
      <c r="F126" s="301"/>
      <c r="G126" s="301"/>
      <c r="H126" s="228"/>
      <c r="I126" s="228"/>
      <c r="J126" s="111"/>
      <c r="K126" s="304" t="str">
        <f>'テンプレート'!K139</f>
        <v/>
      </c>
      <c r="L126" s="110"/>
      <c r="M126" s="298" t="str">
        <f>'テンプレート'!M139</f>
        <v/>
      </c>
      <c r="N126" s="102"/>
      <c r="O126" s="118"/>
      <c r="P126" s="118"/>
      <c r="Q126" s="118"/>
      <c r="R126" s="118"/>
      <c r="S126" s="118"/>
      <c r="T126" s="118"/>
      <c r="U126" s="118"/>
      <c r="V126" s="118"/>
    </row>
    <row r="127" outlineLevel="1">
      <c r="A127" s="146"/>
      <c r="B127" s="300" t="s">
        <v>245</v>
      </c>
      <c r="C127" s="307" t="str">
        <f t="array" ref="C127">INDEX('転倒'!$I$3:$J$115, MATCH($A$1,'転倒'!$A$3:$A$115,0), MATCH(C103,'転倒'!$I$2:$AC$2,0))</f>
        <v>1-9</v>
      </c>
      <c r="D127" s="308">
        <f t="array" ref="D127">INDEX('転倒'!$I$3:$J$115, MATCH($A$1,'転倒'!$A$3:$A$115,0), MATCH(D103,'転倒'!$I$2:$AC$2,0))</f>
        <v>28</v>
      </c>
      <c r="E127" s="301"/>
      <c r="F127" s="301"/>
      <c r="G127" s="301"/>
      <c r="H127" s="228"/>
      <c r="I127" s="228"/>
      <c r="J127" s="228"/>
      <c r="K127" s="316"/>
      <c r="L127" s="317" t="str">
        <f>'テンプレート'!L140</f>
        <v/>
      </c>
      <c r="M127" s="113" t="s">
        <v>76</v>
      </c>
      <c r="N127" s="102"/>
      <c r="O127" s="118"/>
      <c r="P127" s="118"/>
      <c r="Q127" s="118"/>
      <c r="R127" s="118"/>
      <c r="S127" s="118"/>
      <c r="T127" s="118"/>
      <c r="U127" s="118"/>
      <c r="V127" s="118"/>
    </row>
    <row r="128" outlineLevel="1">
      <c r="A128" s="146"/>
      <c r="B128" s="300" t="s">
        <v>246</v>
      </c>
      <c r="C128" s="307" t="str">
        <f t="array" ref="C128">INDEX('転倒'!$K$3:$L$115, MATCH($A$1,'転倒'!$A$3:$A$115,0), MATCH(C103,'転倒'!$K$2:$AC$2,0))</f>
        <v>1-9</v>
      </c>
      <c r="D128" s="308">
        <f t="array" ref="D128">INDEX('転倒'!$K$3:$L$115, MATCH($A$1,'転倒'!$A$3:$A$115,0), MATCH(D103,'転倒'!$K$2:$AC$2,0))</f>
        <v>28</v>
      </c>
      <c r="E128" s="301"/>
      <c r="F128" s="301"/>
      <c r="G128" s="301"/>
      <c r="H128" s="228"/>
      <c r="I128" s="228"/>
      <c r="J128" s="228"/>
      <c r="K128" s="318"/>
      <c r="L128" s="118"/>
      <c r="M128" s="118"/>
      <c r="N128" s="102"/>
      <c r="O128" s="118"/>
      <c r="P128" s="118"/>
      <c r="Q128" s="118"/>
      <c r="R128" s="118"/>
      <c r="S128" s="118"/>
      <c r="T128" s="118"/>
      <c r="U128" s="118"/>
      <c r="V128" s="118"/>
    </row>
    <row r="129" outlineLevel="1">
      <c r="A129" s="146"/>
      <c r="B129" s="300" t="s">
        <v>249</v>
      </c>
      <c r="C129" s="309" t="str">
        <f t="array" ref="C129">INDEX('転倒'!$M$3:$P$115, MATCH($A$1,'転倒'!$A$3:$A$115,0), MATCH(C103,'転倒'!$M$2:$AC$2,0))</f>
        <v>1-7</v>
      </c>
      <c r="D129" s="1525">
        <f t="array" ref="D129">INDEX('転倒'!$M$3:$P$115, MATCH($A$1,'転倒'!$A$3:$A$115,0), MATCH(D103,'転倒'!$M$2:$AC$2,0))</f>
        <v>49</v>
      </c>
      <c r="E129" s="307" t="str">
        <f t="array" ref="E129">INDEX('転倒'!$M$3:$P$115, MATCH($A$1,'転倒'!$A$3:$A$115,0), MATCH(E103,'転倒'!$M$2:$AC$2,0))</f>
        <v>14-15</v>
      </c>
      <c r="F129" s="308">
        <f t="array" ref="F129">INDEX('転倒'!$M$3:$P$115, MATCH($A$1,'転倒'!$A$3:$A$115,0), MATCH(F103,'転倒'!$M$2:$AC$2,0))</f>
        <v>5</v>
      </c>
      <c r="G129" s="113">
        <f t="shared" ref="G129:G130" si="3">F129*1.2</f>
        <v>6</v>
      </c>
      <c r="H129" s="228"/>
      <c r="I129" s="228"/>
      <c r="J129" s="228"/>
      <c r="K129" s="118"/>
      <c r="L129" s="118"/>
      <c r="M129" s="118"/>
      <c r="N129" s="102"/>
      <c r="O129" s="102"/>
      <c r="P129" s="102"/>
      <c r="Q129" s="102"/>
      <c r="R129" s="118"/>
      <c r="S129" s="118"/>
      <c r="T129" s="118"/>
      <c r="U129" s="118"/>
      <c r="V129" s="118"/>
    </row>
    <row r="130" outlineLevel="1">
      <c r="A130" s="156"/>
      <c r="B130" s="311" t="s">
        <v>250</v>
      </c>
      <c r="C130" s="156"/>
      <c r="D130" s="156"/>
      <c r="E130" s="307" t="str">
        <f t="array" ref="E130">INDEX('転倒'!$Q$3:$R$115, MATCH($A$1,'転倒'!$A$3:$A$115,0), MATCH(E103,'転倒'!$Q$2:$AC$2,0))</f>
        <v>24-25</v>
      </c>
      <c r="F130" s="308">
        <f t="array" ref="F130">INDEX('転倒'!$Q$3:$R$115, MATCH($A$1,'転倒'!$A$3:$A$115,0), MATCH(F103,'転倒'!$Q$2:$AC$2,0))</f>
        <v>5</v>
      </c>
      <c r="G130" s="113">
        <f t="shared" si="3"/>
        <v>6</v>
      </c>
      <c r="H130" s="228"/>
      <c r="I130" s="228"/>
      <c r="J130" s="228"/>
      <c r="K130" s="118"/>
      <c r="L130" s="118"/>
      <c r="M130" s="118"/>
      <c r="N130" s="102"/>
      <c r="O130" s="102"/>
      <c r="P130" s="102"/>
      <c r="Q130" s="102"/>
      <c r="R130" s="118"/>
      <c r="S130" s="118"/>
      <c r="T130" s="118"/>
      <c r="U130" s="118"/>
      <c r="V130" s="118"/>
    </row>
    <row r="131" outlineLevel="1">
      <c r="A131" s="319"/>
      <c r="B131" s="320"/>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3" t="s">
        <v>255</v>
      </c>
      <c r="B132" s="109"/>
      <c r="C132" s="321"/>
      <c r="D132" s="321"/>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256</v>
      </c>
      <c r="B133" s="109"/>
      <c r="C133" s="325" t="s">
        <v>257</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258</v>
      </c>
      <c r="B134" s="327" t="s">
        <v>216</v>
      </c>
      <c r="C134" s="328" t="str">
        <f t="array" ref="C134">INDEX('アイテム'!$C$3:$D$114, MATCH($A$1,'アイテム'!$A$3:$A$114,0), MATCH(C133,'アイテム'!$C$2:$AQ$2,0))</f>
        <v>2</v>
      </c>
      <c r="D134" s="328">
        <f t="array" ref="D134">INDEX('アイテム'!$C$3:$D$114, MATCH($A$1,'アイテム'!$A$3:$A$114,0), MATCH(D133,'アイテム'!$C$2:$AQ$2,0))</f>
        <v>7</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219</v>
      </c>
      <c r="C135" s="328" t="str">
        <f t="array" ref="C135">INDEX('アイテム'!$E$3:$F$114, MATCH($A$1,'アイテム'!$A$3:$A$114,0), MATCH(C133,'アイテム'!$C$2:$AQ$2,0))</f>
        <v>2</v>
      </c>
      <c r="D135" s="328">
        <f t="array" ref="D135">INDEX('アイテム'!$E$3:$F$114, MATCH($A$1,'アイテム'!$A$3:$A$114,0), MATCH(D133,'アイテム'!$C$2:$AQ$2,0))</f>
        <v>19</v>
      </c>
      <c r="E135" s="322"/>
      <c r="F135" s="322"/>
      <c r="G135" s="114"/>
      <c r="H135" s="228"/>
      <c r="I135" s="228"/>
      <c r="J135" s="228"/>
      <c r="K135" s="118"/>
      <c r="L135" s="118"/>
      <c r="M135" s="118"/>
      <c r="N135" s="102"/>
      <c r="O135" s="102"/>
      <c r="P135" s="102"/>
      <c r="Q135" s="102"/>
      <c r="R135" s="118"/>
      <c r="S135" s="118"/>
      <c r="T135" s="118"/>
      <c r="U135" s="118"/>
      <c r="V135" s="118"/>
    </row>
    <row r="136" outlineLevel="1">
      <c r="A136" s="329" t="s">
        <v>259</v>
      </c>
      <c r="B136" s="327" t="s">
        <v>216</v>
      </c>
      <c r="C136" s="328">
        <f t="array" ref="C136">INDEX('アイテム'!$AA$3:$AB$114, MATCH($A$1,'アイテム'!$A$3:$A$114,0), MATCH(C133,'アイテム'!$C$2:$AQ$2,0))</f>
        <v>2</v>
      </c>
      <c r="D136" s="328" t="str">
        <f t="array" ref="D136">INDEX('アイテム'!$AA$3:$AB$114, MATCH($A$1,'アイテム'!$A$3:$A$114,0), MATCH(D133,'アイテム'!$C$2:$AQ$2,0))</f>
        <v>12</v>
      </c>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260</v>
      </c>
      <c r="B137" s="109"/>
      <c r="C137" s="325" t="s">
        <v>261</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262</v>
      </c>
      <c r="B138" s="327" t="s">
        <v>226</v>
      </c>
      <c r="C138" s="328" t="str">
        <f t="array" ref="C138">INDEX('アイテム'!$G$3:$H$114, MATCH($A$1,'アイテム'!$A$3:$A$114,0), MATCH(C133,'アイテム'!$C$2:$AQ$2,0))</f>
        <v>8</v>
      </c>
      <c r="D138" s="328">
        <f t="array" ref="D138">INDEX('アイテム'!$G$3:$H$114, MATCH($A$1,'アイテム'!$A$3:$A$114,0), MATCH(D133,'アイテム'!$C$2:$AQ$2,0))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t="str">
        <f t="array" ref="C139">INDEX('アイテム'!$I$3:$J$114, MATCH($A$1,'アイテム'!$A$3:$A$114,0), MATCH(C133,'アイテム'!$C$2:$AQ$2,0))</f>
        <v>11</v>
      </c>
      <c r="D139" s="328">
        <f t="array" ref="D139">INDEX('アイテム'!$I$3:$J$114, MATCH($A$1,'アイテム'!$A$3:$A$114,0), MATCH(D133,'アイテム'!$C$2:$AQ$2,0))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t="str">
        <f t="array" ref="C140">INDEX('アイテム'!$K$3:$L$114, MATCH($A$1,'アイテム'!$A$3:$A$114,0), MATCH(C133,'アイテム'!$C$2:$AQ$2,0))</f>
        <v>12</v>
      </c>
      <c r="D140" s="328">
        <f t="array" ref="D140">INDEX('アイテム'!$K$3:$L$114, MATCH($A$1,'アイテム'!$A$3:$A$114,0), MATCH(D133,'アイテム'!$C$2:$AQ$2,0))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234</v>
      </c>
      <c r="C141" s="328" t="str">
        <f t="array" ref="C141">INDEX('アイテム'!$M$3:$N$114, MATCH($A$1,'アイテム'!$A$3:$A$114,0), MATCH(C133,'アイテム'!$C$2:$AQ$2,0))</f>
        <v>7</v>
      </c>
      <c r="D141" s="328">
        <f t="array" ref="D141">INDEX('アイテム'!$M$3:$N$114, MATCH($A$1,'アイテム'!$A$3:$A$114,0), MATCH(D133,'アイテム'!$C$2:$AQ$2,0))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219</v>
      </c>
      <c r="C142" s="328" t="str">
        <f t="array" ref="C142">INDEX('アイテム'!$O$3:$P$114, MATCH($A$1,'アイテム'!$A$3:$A$114,0), MATCH(C133,'アイテム'!$C$2:$AQ$2,0))</f>
        <v>5</v>
      </c>
      <c r="D142" s="328">
        <f t="array" ref="D142">INDEX('アイテム'!$O$3:$P$114, MATCH($A$1,'アイテム'!$A$3:$A$114,0), MATCH(D133,'アイテム'!$C$2:$AQ$2,0))</f>
        <v>29</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263</v>
      </c>
      <c r="C143" s="328" t="str">
        <f t="array" ref="C143">INDEX('アイテム'!$Q$3:$R$114, MATCH($A$1,'アイテム'!$A$3:$A$114,0), MATCH(C133,'アイテム'!$C$2:$AQ$2,0))</f>
        <v>6</v>
      </c>
      <c r="D143" s="328">
        <f t="array" ref="D143">INDEX('アイテム'!$Q$3:$R$114, MATCH($A$1,'アイテム'!$A$3:$A$114,0), MATCH(D133,'アイテム'!$C$2:$AQ$2,0))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264</v>
      </c>
      <c r="B144" s="327" t="s">
        <v>226</v>
      </c>
      <c r="C144" s="328" t="str">
        <f t="array" ref="C144">INDEX('アイテム'!$S$3:$T$114, MATCH($A$1,'アイテム'!$A$3:$A$114,0), MATCH(C133,'アイテム'!$C$2:$AQ$2,0))</f>
        <v>8</v>
      </c>
      <c r="D144" s="328">
        <f t="array" ref="D144">INDEX('アイテム'!$S$3:$T$114, MATCH($A$1,'アイテム'!$A$3:$A$114,0), MATCH(D133,'アイテム'!$C$2:$AQ$2,0))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INDEX('アイテム'!$U$3:$V$114, MATCH($A$1,'アイテム'!$A$3:$A$114,0), MATCH(C133,'アイテム'!$C$2:$AQ$2,0))</f>
        <v>11</v>
      </c>
      <c r="D145" s="328">
        <f t="array" ref="D145">INDEX('アイテム'!$U$3:$V$114, MATCH($A$1,'アイテム'!$A$3:$A$114,0), MATCH(D133,'アイテム'!$C$2:$AQ$2,0))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INDEX('アイテム'!$W$3:$X$114, MATCH($A$1,'アイテム'!$A$3:$A$114,0), MATCH(C133,'アイテム'!$C$2:$AQ$2,0))</f>
        <v>12</v>
      </c>
      <c r="D146" s="328">
        <f t="array" ref="D146">INDEX('アイテム'!$W$3:$X$114, MATCH($A$1,'アイテム'!$A$3:$A$114,0), MATCH(D133,'アイテム'!$C$2:$AQ$2,0))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t="str">
        <f t="array" ref="C147">INDEX('アイテム'!$Y$3:$Z$114, MATCH($A$1,'アイテム'!$A$3:$A$114,0), MATCH(C133,'アイテム'!$C$2:$AQ$2,0))</f>
        <v>7</v>
      </c>
      <c r="D147" s="328">
        <f t="array" ref="D147">INDEX('アイテム'!$Y$3:$Z$114, MATCH($A$1,'アイテム'!$A$3:$A$114,0), MATCH(D133,'アイテム'!$C$2:$AQ$2,0))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265</v>
      </c>
      <c r="B148" s="327" t="s">
        <v>226</v>
      </c>
      <c r="C148" s="328">
        <f t="array" ref="C148">INDEX('アイテム'!$AC$3:$AD$114, MATCH($A$1,'アイテム'!$A$3:$A$114,0), MATCH(C133,'アイテム'!$C$2:$AQ$2,0))</f>
        <v>16</v>
      </c>
      <c r="D148" s="328" t="str">
        <f t="array" ref="D148">INDEX('アイテム'!$AC$3:$AD$114, MATCH($A$1,'アイテム'!$A$3:$A$114,0), MATCH(D133,'アイテム'!$C$2:$AQ$2,0))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f t="array" ref="C149">INDEX('アイテム'!$AE$3:$AF$114, MATCH($A$1,'アイテム'!$A$3:$A$114,0), MATCH(C133,'アイテム'!$C$2:$AQ$2,0))</f>
        <v>16</v>
      </c>
      <c r="D149" s="328" t="str">
        <f t="array" ref="D149">INDEX('アイテム'!$AE$3:$AF$114, MATCH($A$1,'アイテム'!$A$3:$A$114,0), MATCH(D133,'アイテム'!$C$2:$AQ$2,0))</f>
        <v>30</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f t="array" ref="C150">INDEX('アイテム'!$AG$3:$AH$114, MATCH($A$1,'アイテム'!$A$3:$A$114,0), MATCH(C133,'アイテム'!$C$2:$AQ$2,0))</f>
        <v>11</v>
      </c>
      <c r="D150" s="328" t="str">
        <f t="array" ref="D150">INDEX('アイテム'!$AG$3:$AH$114, MATCH($A$1,'アイテム'!$A$3:$A$114,0), MATCH(D133,'アイテム'!$C$2:$AQ$2,0))</f>
        <v>22</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f t="array" ref="C151">INDEX('アイテム'!$AI$3:$AJ$114, MATCH($A$1,'アイテム'!$A$3:$A$114,0), MATCH(C133,'アイテム'!$C$2:$AQ$2,0))</f>
        <v>11</v>
      </c>
      <c r="D151" s="328" t="str">
        <f t="array" ref="D151">INDEX('アイテム'!$AI$3:$AJ$114, MATCH($A$1,'アイテム'!$A$3:$A$114,0), MATCH(D133,'アイテム'!$C$2:$AQ$2,0))</f>
        <v>22</v>
      </c>
      <c r="E151" s="322"/>
      <c r="F151" s="322"/>
      <c r="G151" s="114"/>
      <c r="H151" s="228"/>
      <c r="I151" s="228"/>
      <c r="J151" s="228"/>
      <c r="K151" s="118"/>
      <c r="L151" s="118"/>
      <c r="M151" s="118"/>
      <c r="N151" s="102"/>
      <c r="O151" s="102"/>
      <c r="P151" s="102"/>
      <c r="Q151" s="102"/>
      <c r="R151" s="118"/>
      <c r="S151" s="118"/>
      <c r="T151" s="118"/>
      <c r="U151" s="118"/>
      <c r="V151" s="118"/>
    </row>
  </sheetData>
  <mergeCells count="145">
    <mergeCell ref="H39:J42"/>
    <mergeCell ref="H43:J44"/>
    <mergeCell ref="H26:J26"/>
    <mergeCell ref="H27:J27"/>
    <mergeCell ref="H28:J28"/>
    <mergeCell ref="H29:J29"/>
    <mergeCell ref="H30:J30"/>
    <mergeCell ref="H31:J31"/>
    <mergeCell ref="H32:J32"/>
    <mergeCell ref="H36:J36"/>
    <mergeCell ref="H37:J38"/>
    <mergeCell ref="U37:U38"/>
    <mergeCell ref="U39:U42"/>
    <mergeCell ref="U43:U44"/>
    <mergeCell ref="I48:I49"/>
    <mergeCell ref="J48:J49"/>
    <mergeCell ref="U62:U65"/>
    <mergeCell ref="U67:U70"/>
    <mergeCell ref="V67:V70"/>
    <mergeCell ref="U74:U76"/>
    <mergeCell ref="V74:V76"/>
    <mergeCell ref="R47:V47"/>
    <mergeCell ref="R48:V49"/>
    <mergeCell ref="R50:V52"/>
    <mergeCell ref="R53:V54"/>
    <mergeCell ref="R55:V56"/>
    <mergeCell ref="R57:V58"/>
    <mergeCell ref="V62:V65"/>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3:J33"/>
    <mergeCell ref="H34:J35"/>
    <mergeCell ref="U34:U35"/>
    <mergeCell ref="A39:A42"/>
    <mergeCell ref="A43:A44"/>
    <mergeCell ref="A48:A49"/>
    <mergeCell ref="A50:A52"/>
    <mergeCell ref="A53:A54"/>
    <mergeCell ref="A55:A56"/>
    <mergeCell ref="A24:B25"/>
    <mergeCell ref="A26:A31"/>
    <mergeCell ref="A34:A35"/>
    <mergeCell ref="D34:D35"/>
    <mergeCell ref="A37:A38"/>
    <mergeCell ref="D37:D38"/>
    <mergeCell ref="D39:D42"/>
    <mergeCell ref="I53:I54"/>
    <mergeCell ref="J53:J54"/>
    <mergeCell ref="A84:B84"/>
    <mergeCell ref="A87:A88"/>
    <mergeCell ref="A89:A90"/>
    <mergeCell ref="A91:A92"/>
    <mergeCell ref="A94:B95"/>
    <mergeCell ref="A96:A98"/>
    <mergeCell ref="A102:B103"/>
    <mergeCell ref="A132:B132"/>
    <mergeCell ref="A133:B133"/>
    <mergeCell ref="A134:A135"/>
    <mergeCell ref="A137:B137"/>
    <mergeCell ref="A138:A143"/>
    <mergeCell ref="A144:A147"/>
    <mergeCell ref="A148:A151"/>
    <mergeCell ref="A99:A100"/>
    <mergeCell ref="A104:A108"/>
    <mergeCell ref="A112:A117"/>
    <mergeCell ref="A118:A123"/>
    <mergeCell ref="A124:A130"/>
    <mergeCell ref="C129:C130"/>
    <mergeCell ref="D129:D130"/>
    <mergeCell ref="A74:A76"/>
    <mergeCell ref="A81:A83"/>
    <mergeCell ref="A85:A86"/>
    <mergeCell ref="D85:D86"/>
    <mergeCell ref="D87:D88"/>
    <mergeCell ref="D89:D90"/>
    <mergeCell ref="D91:D92"/>
    <mergeCell ref="A64:A65"/>
    <mergeCell ref="A66:B66"/>
    <mergeCell ref="A67:A68"/>
    <mergeCell ref="A69:A70"/>
    <mergeCell ref="A71:B71"/>
    <mergeCell ref="A73:B73"/>
    <mergeCell ref="A78:B79"/>
    <mergeCell ref="I50:I52"/>
    <mergeCell ref="I55:I56"/>
    <mergeCell ref="I57:I58"/>
    <mergeCell ref="J57:J58"/>
    <mergeCell ref="H61:J61"/>
    <mergeCell ref="D43:D44"/>
    <mergeCell ref="A46:B47"/>
    <mergeCell ref="D48:D49"/>
    <mergeCell ref="D50:D52"/>
    <mergeCell ref="J50:J52"/>
    <mergeCell ref="D53:D54"/>
    <mergeCell ref="J55:J56"/>
    <mergeCell ref="D55:D56"/>
    <mergeCell ref="A57:A58"/>
    <mergeCell ref="D57:D58"/>
    <mergeCell ref="A60:B60"/>
    <mergeCell ref="A61:B61"/>
    <mergeCell ref="A62:A63"/>
    <mergeCell ref="E62:E65"/>
    <mergeCell ref="F62:F65"/>
    <mergeCell ref="G62:G65"/>
    <mergeCell ref="H62:J65"/>
    <mergeCell ref="H66:J66"/>
    <mergeCell ref="H67:J70"/>
    <mergeCell ref="H71:J71"/>
    <mergeCell ref="H72:J72"/>
    <mergeCell ref="H73:J73"/>
    <mergeCell ref="H74:J76"/>
    <mergeCell ref="G84:J84"/>
    <mergeCell ref="G85:J86"/>
    <mergeCell ref="G87:J88"/>
    <mergeCell ref="G89:J90"/>
    <mergeCell ref="G91:J92"/>
    <mergeCell ref="A109:A111"/>
    <mergeCell ref="C116:C117"/>
    <mergeCell ref="D116:D117"/>
    <mergeCell ref="C122:C123"/>
    <mergeCell ref="D122:D123"/>
    <mergeCell ref="K123:L123"/>
    <mergeCell ref="K126:L126"/>
    <mergeCell ref="K103:L103"/>
    <mergeCell ref="K104:K105"/>
    <mergeCell ref="K106:L106"/>
    <mergeCell ref="K107:K112"/>
    <mergeCell ref="K113:K116"/>
    <mergeCell ref="K117:L117"/>
    <mergeCell ref="K119:K122"/>
  </mergeCells>
  <conditionalFormatting sqref="K1:K15 K17:K127">
    <cfRule type="containsText" dxfId="0" priority="1" operator="containsText" text="361">
      <formula>NOT(ISERROR(SEARCH(("361"),(K1))))</formula>
    </cfRule>
  </conditionalFormatting>
  <conditionalFormatting sqref="K1:K15 K17:K127">
    <cfRule type="containsText" dxfId="1" priority="2" operator="containsText" text="363">
      <formula>NOT(ISERROR(SEARCH(("363"),(K1))))</formula>
    </cfRule>
  </conditionalFormatting>
  <conditionalFormatting sqref="K1:K15 K17:K127">
    <cfRule type="containsText" dxfId="1" priority="3" operator="containsText" text="365">
      <formula>NOT(ISERROR(SEARCH(("365"),(K1))))</formula>
    </cfRule>
  </conditionalFormatting>
  <conditionalFormatting sqref="K1:K15 K17:K127">
    <cfRule type="containsText" dxfId="1" priority="4" operator="containsText" text="366">
      <formula>NOT(ISERROR(SEARCH(("366"),(K1))))</formula>
    </cfRule>
  </conditionalFormatting>
  <conditionalFormatting sqref="K1:K15 K17:K127">
    <cfRule type="containsText" dxfId="1" priority="5" operator="containsText" text="367">
      <formula>NOT(ISERROR(SEARCH(("367"),(K1))))</formula>
    </cfRule>
  </conditionalFormatting>
  <conditionalFormatting sqref="P85:P92">
    <cfRule type="cellIs" dxfId="2" priority="6" operator="equal">
      <formula>"敵のみ"</formula>
    </cfRule>
  </conditionalFormatting>
  <conditionalFormatting sqref="C85:C92">
    <cfRule type="cellIs" dxfId="3" priority="7" operator="equal">
      <formula>"-"</formula>
    </cfRule>
  </conditionalFormatting>
  <conditionalFormatting sqref="O1:O151 C29 E29:G29 G67 G69 C72:G72 K72:N72 P72:T72 G74:G76 C75:C76 E75:F76 C87 E87:F87 K87:N87 P87:Q87 P92">
    <cfRule type="cellIs" dxfId="4" priority="8" operator="greaterThan">
      <formula>0</formula>
    </cfRule>
  </conditionalFormatting>
  <conditionalFormatting sqref="P1:Q151">
    <cfRule type="cellIs" dxfId="5" priority="9" operator="lessThan">
      <formula>1</formula>
    </cfRule>
  </conditionalFormatting>
  <conditionalFormatting sqref="P1:Q151">
    <cfRule type="cellIs" dxfId="4" priority="10" operator="greaterThan">
      <formula>1</formula>
    </cfRule>
  </conditionalFormatting>
  <conditionalFormatting sqref="N25:N92">
    <cfRule type="cellIs" dxfId="6" priority="11" operator="greaterThan">
      <formula>0</formula>
    </cfRule>
  </conditionalFormatting>
  <conditionalFormatting sqref="N1:N15 N17:N151">
    <cfRule type="containsText" dxfId="6" priority="12" operator="containsText" text="/">
      <formula>NOT(ISERROR(SEARCH(("/"),(N1))))</formula>
    </cfRule>
  </conditionalFormatting>
  <drawing r:id="rId2"/>
  <legacy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B8C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555">
        <v>29.0</v>
      </c>
      <c r="B1" s="1556"/>
      <c r="C1" s="1557" t="str">
        <f>IMAGE(VLOOKUP($A$1,Fighters!A2:AI114,12,FALSE),1)</f>
        <v>#REF!</v>
      </c>
      <c r="D1" s="1558"/>
      <c r="E1" s="1558"/>
      <c r="F1" s="1558"/>
      <c r="G1" s="1559"/>
      <c r="H1" s="1560"/>
      <c r="I1" s="1558"/>
      <c r="J1" s="1559"/>
      <c r="K1" s="1561"/>
      <c r="L1" s="1558"/>
      <c r="M1" s="1559"/>
      <c r="N1" s="1562"/>
      <c r="O1" s="1562"/>
      <c r="P1" s="1562"/>
      <c r="Q1" s="1562"/>
      <c r="R1" s="1563"/>
      <c r="S1" s="1563"/>
      <c r="T1" s="1563"/>
      <c r="U1" s="1563"/>
      <c r="V1" s="1563"/>
    </row>
    <row r="2">
      <c r="A2" s="1564" t="str">
        <f>VLOOKUP($A$1,Fighters!$A$2:$AI$81,6,FALSE)</f>
        <v>#67b8cf</v>
      </c>
      <c r="B2" s="1556"/>
      <c r="C2" s="1565"/>
      <c r="G2" s="1566"/>
      <c r="H2" s="1567"/>
      <c r="I2" s="1568"/>
      <c r="J2" s="1569"/>
      <c r="K2" s="1567"/>
      <c r="L2" s="1568"/>
      <c r="M2" s="1569"/>
      <c r="N2" s="1562"/>
      <c r="O2" s="1562"/>
      <c r="P2" s="1562"/>
      <c r="Q2" s="1562"/>
      <c r="R2" s="1563"/>
      <c r="S2" s="1563"/>
      <c r="T2" s="1563"/>
      <c r="U2" s="1563"/>
      <c r="V2" s="1563"/>
    </row>
    <row r="3">
      <c r="A3" s="1564" t="str">
        <f>VLOOKUP($A$1,Fighters!$A$2:$AI$81,14,FALSE)</f>
        <v>29. ゼロスーツサムス</v>
      </c>
      <c r="B3" s="1556"/>
      <c r="C3" s="1565"/>
      <c r="G3" s="1566"/>
      <c r="H3" s="1570"/>
      <c r="I3" s="1570"/>
      <c r="J3" s="1570"/>
      <c r="K3" s="1571"/>
      <c r="L3" s="1571"/>
      <c r="M3" s="1571"/>
      <c r="N3" s="1562"/>
      <c r="O3" s="1562"/>
      <c r="P3" s="1562"/>
      <c r="Q3" s="1562"/>
      <c r="R3" s="1572"/>
      <c r="S3" s="1563"/>
      <c r="T3" s="1563"/>
      <c r="U3" s="1563"/>
      <c r="V3" s="1563"/>
    </row>
    <row r="4">
      <c r="A4" s="1564" t="str">
        <f>VLOOKUP($A$1,Fighters!$A$2:$AI$81,13,FALSE)</f>
        <v>1</v>
      </c>
      <c r="B4" s="1556"/>
      <c r="C4" s="1565"/>
      <c r="G4" s="1566"/>
      <c r="H4" s="1573"/>
      <c r="I4" s="1573"/>
      <c r="J4" s="1570"/>
      <c r="K4" s="1571"/>
      <c r="L4" s="1571"/>
      <c r="M4" s="1571"/>
      <c r="N4" s="1562"/>
      <c r="O4" s="1562"/>
      <c r="P4" s="1562"/>
      <c r="Q4" s="1562"/>
      <c r="R4" s="1572"/>
      <c r="S4" s="1563"/>
      <c r="T4" s="1563"/>
      <c r="U4" s="1563"/>
      <c r="V4" s="1563"/>
    </row>
    <row r="5" ht="16.5" customHeight="1">
      <c r="A5" s="1555"/>
      <c r="B5" s="1556"/>
      <c r="C5" s="1565"/>
      <c r="G5" s="1566"/>
      <c r="H5" s="1574"/>
      <c r="I5" s="1574"/>
      <c r="J5" s="1575"/>
      <c r="K5" s="1576"/>
      <c r="L5" s="1577"/>
      <c r="M5" s="1577"/>
      <c r="N5" s="1562"/>
      <c r="O5" s="1562"/>
      <c r="P5" s="1562"/>
      <c r="Q5" s="1562"/>
      <c r="R5" s="1572"/>
      <c r="S5" s="1563"/>
      <c r="T5" s="1563"/>
      <c r="U5" s="1563"/>
      <c r="V5" s="1563"/>
    </row>
    <row r="6">
      <c r="A6" s="1556"/>
      <c r="B6" s="1556"/>
      <c r="C6" s="1565"/>
      <c r="G6" s="1566"/>
      <c r="H6" s="1573"/>
      <c r="I6" s="1578" t="s">
        <v>39</v>
      </c>
      <c r="J6" s="1576"/>
      <c r="K6" s="1579"/>
      <c r="L6" s="1577"/>
      <c r="M6" s="1577"/>
      <c r="N6" s="1562"/>
      <c r="O6" s="1562"/>
      <c r="P6" s="1562"/>
      <c r="Q6" s="1562"/>
      <c r="R6" s="1572"/>
      <c r="S6" s="1563"/>
      <c r="T6" s="1563"/>
      <c r="U6" s="1563"/>
      <c r="V6" s="1563"/>
    </row>
    <row r="7">
      <c r="A7" s="1556"/>
      <c r="B7" s="1556"/>
      <c r="C7" s="1565"/>
      <c r="G7" s="1566"/>
      <c r="H7" s="1574"/>
      <c r="I7" s="1574"/>
      <c r="J7" s="1576"/>
      <c r="K7" s="1579"/>
      <c r="L7" s="1577"/>
      <c r="M7" s="1577"/>
      <c r="N7" s="1562"/>
      <c r="O7" s="1562"/>
      <c r="P7" s="1562"/>
      <c r="Q7" s="1562"/>
      <c r="R7" s="1572"/>
      <c r="S7" s="1563"/>
      <c r="T7" s="1563"/>
      <c r="U7" s="1563"/>
      <c r="V7" s="1563"/>
    </row>
    <row r="8">
      <c r="A8" s="1556"/>
      <c r="B8" s="1556"/>
      <c r="C8" s="1565"/>
      <c r="G8" s="1566"/>
      <c r="H8" s="1580">
        <v>44379.84434079861</v>
      </c>
      <c r="I8" s="1558"/>
      <c r="J8" s="1559"/>
      <c r="K8" s="1576"/>
      <c r="L8" s="1577"/>
      <c r="M8" s="1577"/>
      <c r="N8" s="1562"/>
      <c r="O8" s="1562"/>
      <c r="P8" s="1562"/>
      <c r="Q8" s="1562"/>
      <c r="R8" s="1572"/>
      <c r="S8" s="1563"/>
      <c r="T8" s="1563"/>
      <c r="U8" s="1563"/>
      <c r="V8" s="1563"/>
    </row>
    <row r="9">
      <c r="A9" s="1556"/>
      <c r="B9" s="1556"/>
      <c r="C9" s="1565"/>
      <c r="G9" s="1566"/>
      <c r="H9" s="1567"/>
      <c r="I9" s="1568"/>
      <c r="J9" s="1569"/>
      <c r="K9" s="1563"/>
      <c r="L9" s="1562"/>
      <c r="M9" s="1562"/>
      <c r="N9" s="1562"/>
      <c r="O9" s="1562"/>
      <c r="P9" s="1562"/>
      <c r="Q9" s="1562"/>
      <c r="R9" s="1572"/>
      <c r="S9" s="1563"/>
      <c r="T9" s="1563"/>
      <c r="U9" s="1563"/>
      <c r="V9" s="1563"/>
    </row>
    <row r="10">
      <c r="A10" s="1556"/>
      <c r="B10" s="1556"/>
      <c r="C10" s="1565"/>
      <c r="G10" s="1566"/>
      <c r="H10" s="1581"/>
      <c r="I10" s="1581"/>
      <c r="J10" s="1563"/>
      <c r="K10" s="1563"/>
      <c r="L10" s="1562"/>
      <c r="M10" s="1562"/>
      <c r="N10" s="1562"/>
      <c r="O10" s="1562"/>
      <c r="P10" s="1562"/>
      <c r="Q10" s="1562"/>
      <c r="R10" s="1572"/>
      <c r="S10" s="1563"/>
      <c r="T10" s="1563"/>
      <c r="U10" s="1563"/>
      <c r="V10" s="1563"/>
    </row>
    <row r="11">
      <c r="A11" s="1582" t="s">
        <v>40</v>
      </c>
      <c r="B11" s="1559"/>
      <c r="C11" s="1565"/>
      <c r="G11" s="1566"/>
      <c r="H11" s="1574"/>
      <c r="I11" s="1574"/>
      <c r="J11" s="1563"/>
      <c r="K11" s="1563"/>
      <c r="L11" s="1562"/>
      <c r="M11" s="1562"/>
      <c r="N11" s="1562"/>
      <c r="O11" s="1562"/>
      <c r="P11" s="1562"/>
      <c r="Q11" s="1562"/>
      <c r="R11" s="1572"/>
      <c r="S11" s="1563"/>
      <c r="T11" s="1563"/>
      <c r="U11" s="1563"/>
      <c r="V11" s="1563"/>
    </row>
    <row r="12">
      <c r="A12" s="1567"/>
      <c r="B12" s="1569"/>
      <c r="C12" s="1567"/>
      <c r="D12" s="1568"/>
      <c r="E12" s="1568"/>
      <c r="F12" s="1568"/>
      <c r="G12" s="1569"/>
      <c r="H12" s="1583"/>
      <c r="I12" s="1583"/>
      <c r="J12" s="1556"/>
      <c r="K12" s="1556"/>
      <c r="L12" s="1562"/>
      <c r="M12" s="1562"/>
      <c r="N12" s="1562"/>
      <c r="O12" s="1562"/>
      <c r="P12" s="1562"/>
      <c r="Q12" s="1562"/>
      <c r="R12" s="1572"/>
      <c r="S12" s="1563"/>
      <c r="T12" s="1563"/>
      <c r="U12" s="1563"/>
      <c r="V12" s="156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80 [77th]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2.42 [2nd]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1.47 [5th]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0.14762 [49th]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44.5 [3rd]</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2.31 [7th]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27F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21.35 [2nd]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1.26 [9th]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0.095 [16th]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44.2 [7th]</v>
      </c>
      <c r="O20" s="99"/>
      <c r="P20" s="99"/>
      <c r="Q20" s="99"/>
      <c r="R20" s="99"/>
      <c r="S20" s="100"/>
      <c r="T20" s="100"/>
      <c r="U20" s="100"/>
      <c r="V20" s="100"/>
    </row>
    <row r="21" outlineLevel="1">
      <c r="A21" s="112" t="str">
        <f>'テンプレート'!A21</f>
        <v>空中ワイヤー</v>
      </c>
      <c r="B21" s="115" t="b">
        <v>1</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 [27th]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2.72 [28th]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 [15th]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213</v>
      </c>
      <c r="D26" s="139" t="s">
        <v>2315</v>
      </c>
      <c r="E26" s="139" t="s">
        <v>1024</v>
      </c>
      <c r="F26" s="138">
        <v>1.7999999999999998</v>
      </c>
      <c r="G26" s="139" t="s">
        <v>60</v>
      </c>
      <c r="H26" s="140" t="s">
        <v>2316</v>
      </c>
      <c r="I26" s="110"/>
      <c r="J26" s="109"/>
      <c r="K26" s="138"/>
      <c r="L26" s="282"/>
      <c r="M26" s="363"/>
      <c r="N26" s="363"/>
      <c r="O26" s="145">
        <v>0.0</v>
      </c>
      <c r="P26" s="145">
        <v>1.0</v>
      </c>
      <c r="Q26" s="145">
        <v>1.0</v>
      </c>
      <c r="R26" s="100"/>
      <c r="S26" s="100"/>
      <c r="T26" s="100"/>
      <c r="U26" s="145" t="s">
        <v>69</v>
      </c>
      <c r="V26" s="100"/>
    </row>
    <row r="27" outlineLevel="1">
      <c r="A27" s="146"/>
      <c r="B27" s="147" t="s">
        <v>63</v>
      </c>
      <c r="C27" s="216" t="s">
        <v>176</v>
      </c>
      <c r="D27" s="216" t="s">
        <v>92</v>
      </c>
      <c r="E27" s="216" t="s">
        <v>1024</v>
      </c>
      <c r="F27" s="138">
        <v>1.7999999999999998</v>
      </c>
      <c r="G27" s="139" t="s">
        <v>60</v>
      </c>
      <c r="H27" s="140" t="s">
        <v>1025</v>
      </c>
      <c r="I27" s="110"/>
      <c r="J27" s="109"/>
      <c r="K27" s="282"/>
      <c r="L27" s="282"/>
      <c r="M27" s="363"/>
      <c r="N27" s="363"/>
      <c r="O27" s="145">
        <v>0.0</v>
      </c>
      <c r="P27" s="145">
        <v>1.0</v>
      </c>
      <c r="Q27" s="145">
        <v>1.0</v>
      </c>
      <c r="R27" s="100"/>
      <c r="S27" s="100"/>
      <c r="T27" s="100"/>
      <c r="U27" s="145" t="s">
        <v>76</v>
      </c>
      <c r="V27" s="100"/>
    </row>
    <row r="28" outlineLevel="1">
      <c r="A28" s="156"/>
      <c r="B28" s="147" t="s">
        <v>70</v>
      </c>
      <c r="C28" s="216" t="s">
        <v>71</v>
      </c>
      <c r="D28" s="216" t="s">
        <v>218</v>
      </c>
      <c r="E28" s="216" t="s">
        <v>204</v>
      </c>
      <c r="F28" s="138">
        <v>3.5999999999999996</v>
      </c>
      <c r="G28" s="139" t="s">
        <v>147</v>
      </c>
      <c r="H28" s="366"/>
      <c r="I28" s="110"/>
      <c r="J28" s="109"/>
      <c r="K28" s="282"/>
      <c r="L28" s="282"/>
      <c r="M28" s="363"/>
      <c r="N28" s="363"/>
      <c r="O28" s="145">
        <v>0.0</v>
      </c>
      <c r="P28" s="145">
        <v>1.0</v>
      </c>
      <c r="Q28" s="145">
        <v>1.0</v>
      </c>
      <c r="R28" s="100"/>
      <c r="S28" s="100"/>
      <c r="T28" s="100"/>
      <c r="U28" s="145" t="s">
        <v>76</v>
      </c>
      <c r="V28" s="100"/>
    </row>
    <row r="29" outlineLevel="1">
      <c r="A29" s="133" t="s">
        <v>77</v>
      </c>
      <c r="B29" s="160"/>
      <c r="C29" s="216" t="s">
        <v>277</v>
      </c>
      <c r="D29" s="195" t="s">
        <v>455</v>
      </c>
      <c r="E29" s="216" t="s">
        <v>80</v>
      </c>
      <c r="F29" s="138">
        <v>9.6</v>
      </c>
      <c r="G29" s="139" t="s">
        <v>123</v>
      </c>
      <c r="H29" s="283" t="s">
        <v>411</v>
      </c>
      <c r="I29" s="164"/>
      <c r="J29" s="104"/>
      <c r="K29" s="138"/>
      <c r="L29" s="282"/>
      <c r="M29" s="363"/>
      <c r="N29" s="363"/>
      <c r="O29" s="145">
        <v>0.0</v>
      </c>
      <c r="P29" s="145">
        <v>1.0</v>
      </c>
      <c r="Q29" s="145">
        <v>1.0</v>
      </c>
      <c r="R29" s="100"/>
      <c r="S29" s="100"/>
      <c r="T29" s="100"/>
      <c r="U29" s="166" t="s">
        <v>69</v>
      </c>
      <c r="V29" s="100"/>
    </row>
    <row r="30" outlineLevel="1">
      <c r="A30" s="156"/>
      <c r="B30" s="147" t="s">
        <v>84</v>
      </c>
      <c r="C30" s="216" t="s">
        <v>2157</v>
      </c>
      <c r="D30" s="107"/>
      <c r="E30" s="216" t="s">
        <v>150</v>
      </c>
      <c r="F30" s="138">
        <v>6.0</v>
      </c>
      <c r="G30" s="139" t="s">
        <v>102</v>
      </c>
      <c r="H30" s="106"/>
      <c r="I30" s="168"/>
      <c r="J30" s="107"/>
      <c r="K30" s="282"/>
      <c r="L30" s="282"/>
      <c r="M30" s="363"/>
      <c r="N30" s="363"/>
      <c r="O30" s="145">
        <v>0.0</v>
      </c>
      <c r="P30" s="145">
        <v>1.0</v>
      </c>
      <c r="Q30" s="145">
        <v>1.0</v>
      </c>
      <c r="R30" s="100"/>
      <c r="S30" s="100"/>
      <c r="T30" s="100"/>
      <c r="U30" s="156"/>
      <c r="V30" s="100"/>
    </row>
    <row r="31" outlineLevel="1">
      <c r="A31" s="133" t="s">
        <v>89</v>
      </c>
      <c r="B31" s="147" t="s">
        <v>276</v>
      </c>
      <c r="C31" s="195" t="s">
        <v>549</v>
      </c>
      <c r="D31" s="195" t="s">
        <v>593</v>
      </c>
      <c r="E31" s="216" t="s">
        <v>2317</v>
      </c>
      <c r="F31" s="138" t="s">
        <v>2318</v>
      </c>
      <c r="G31" s="139" t="s">
        <v>716</v>
      </c>
      <c r="H31" s="368"/>
      <c r="I31" s="164"/>
      <c r="J31" s="104"/>
      <c r="K31" s="138"/>
      <c r="L31" s="282"/>
      <c r="M31" s="363"/>
      <c r="N31" s="363"/>
      <c r="O31" s="145">
        <v>0.0</v>
      </c>
      <c r="P31" s="145">
        <v>1.0</v>
      </c>
      <c r="Q31" s="145">
        <v>1.0</v>
      </c>
      <c r="R31" s="100"/>
      <c r="S31" s="100"/>
      <c r="T31" s="100"/>
      <c r="U31" s="166" t="s">
        <v>96</v>
      </c>
      <c r="V31" s="100"/>
    </row>
    <row r="32" outlineLevel="1">
      <c r="A32" s="146"/>
      <c r="B32" s="147" t="s">
        <v>279</v>
      </c>
      <c r="C32" s="210"/>
      <c r="D32" s="210"/>
      <c r="E32" s="216" t="s">
        <v>2223</v>
      </c>
      <c r="F32" s="138" t="s">
        <v>1835</v>
      </c>
      <c r="G32" s="139" t="s">
        <v>517</v>
      </c>
      <c r="H32" s="212"/>
      <c r="J32" s="210"/>
      <c r="K32" s="138"/>
      <c r="L32" s="282"/>
      <c r="M32" s="363"/>
      <c r="N32" s="363"/>
      <c r="O32" s="145">
        <v>0.0</v>
      </c>
      <c r="P32" s="145">
        <v>1.0</v>
      </c>
      <c r="Q32" s="145">
        <v>1.0</v>
      </c>
      <c r="R32" s="100"/>
      <c r="S32" s="100"/>
      <c r="T32" s="100"/>
      <c r="U32" s="146"/>
      <c r="V32" s="100"/>
    </row>
    <row r="33" outlineLevel="1">
      <c r="A33" s="156"/>
      <c r="B33" s="147" t="s">
        <v>280</v>
      </c>
      <c r="C33" s="107"/>
      <c r="D33" s="107"/>
      <c r="E33" s="216" t="s">
        <v>2317</v>
      </c>
      <c r="F33" s="138" t="s">
        <v>2318</v>
      </c>
      <c r="G33" s="139" t="s">
        <v>716</v>
      </c>
      <c r="H33" s="106"/>
      <c r="I33" s="168"/>
      <c r="J33" s="107"/>
      <c r="K33" s="282"/>
      <c r="L33" s="282"/>
      <c r="M33" s="363"/>
      <c r="N33" s="363"/>
      <c r="O33" s="145">
        <v>0.0</v>
      </c>
      <c r="P33" s="145">
        <v>1.0</v>
      </c>
      <c r="Q33" s="145">
        <v>1.0</v>
      </c>
      <c r="R33" s="100"/>
      <c r="S33" s="100"/>
      <c r="T33" s="100"/>
      <c r="U33" s="156"/>
      <c r="V33" s="100"/>
    </row>
    <row r="34" outlineLevel="1">
      <c r="A34" s="133" t="s">
        <v>97</v>
      </c>
      <c r="B34" s="147" t="s">
        <v>125</v>
      </c>
      <c r="C34" s="216" t="s">
        <v>71</v>
      </c>
      <c r="D34" s="195" t="s">
        <v>146</v>
      </c>
      <c r="E34" s="216" t="s">
        <v>150</v>
      </c>
      <c r="F34" s="138">
        <v>6.0</v>
      </c>
      <c r="G34" s="139" t="s">
        <v>147</v>
      </c>
      <c r="H34" s="283"/>
      <c r="I34" s="164"/>
      <c r="J34" s="104"/>
      <c r="K34" s="282"/>
      <c r="L34" s="282"/>
      <c r="M34" s="363"/>
      <c r="N34" s="363"/>
      <c r="O34" s="145">
        <v>0.0</v>
      </c>
      <c r="P34" s="145">
        <v>1.0</v>
      </c>
      <c r="Q34" s="145">
        <v>1.0</v>
      </c>
      <c r="R34" s="100"/>
      <c r="S34" s="100"/>
      <c r="T34" s="100"/>
      <c r="U34" s="166" t="s">
        <v>62</v>
      </c>
      <c r="V34" s="100"/>
    </row>
    <row r="35" outlineLevel="1">
      <c r="A35" s="156"/>
      <c r="B35" s="147" t="s">
        <v>131</v>
      </c>
      <c r="C35" s="216" t="s">
        <v>220</v>
      </c>
      <c r="D35" s="107"/>
      <c r="E35" s="216" t="s">
        <v>93</v>
      </c>
      <c r="F35" s="138">
        <v>8.4</v>
      </c>
      <c r="G35" s="139" t="s">
        <v>95</v>
      </c>
      <c r="H35" s="106"/>
      <c r="I35" s="168"/>
      <c r="J35" s="107"/>
      <c r="K35" s="145"/>
      <c r="L35" s="363"/>
      <c r="M35" s="363"/>
      <c r="N35" s="363"/>
      <c r="O35" s="145">
        <v>0.0</v>
      </c>
      <c r="P35" s="145">
        <v>1.0</v>
      </c>
      <c r="Q35" s="145">
        <v>1.0</v>
      </c>
      <c r="R35" s="100"/>
      <c r="S35" s="100"/>
      <c r="T35" s="100"/>
      <c r="U35" s="156"/>
      <c r="V35" s="100"/>
    </row>
    <row r="36" outlineLevel="1">
      <c r="A36" s="170" t="s">
        <v>103</v>
      </c>
      <c r="B36" s="160"/>
      <c r="C36" s="216" t="s">
        <v>518</v>
      </c>
      <c r="D36" s="216" t="s">
        <v>99</v>
      </c>
      <c r="E36" s="216" t="s">
        <v>1966</v>
      </c>
      <c r="F36" s="138" t="s">
        <v>1967</v>
      </c>
      <c r="G36" s="139" t="s">
        <v>1590</v>
      </c>
      <c r="H36" s="366"/>
      <c r="I36" s="110"/>
      <c r="J36" s="109"/>
      <c r="K36" s="145"/>
      <c r="L36" s="363"/>
      <c r="M36" s="363"/>
      <c r="N36" s="363"/>
      <c r="O36" s="145">
        <v>0.0</v>
      </c>
      <c r="P36" s="145">
        <v>1.0</v>
      </c>
      <c r="Q36" s="145">
        <v>1.0</v>
      </c>
      <c r="R36" s="100"/>
      <c r="S36" s="100"/>
      <c r="T36" s="100"/>
      <c r="U36" s="145" t="s">
        <v>69</v>
      </c>
      <c r="V36" s="100"/>
    </row>
    <row r="37" outlineLevel="1">
      <c r="A37" s="133" t="s">
        <v>109</v>
      </c>
      <c r="B37" s="147" t="s">
        <v>125</v>
      </c>
      <c r="C37" s="216" t="s">
        <v>305</v>
      </c>
      <c r="D37" s="195" t="s">
        <v>1839</v>
      </c>
      <c r="E37" s="216" t="s">
        <v>150</v>
      </c>
      <c r="F37" s="138">
        <v>6.0</v>
      </c>
      <c r="G37" s="139" t="s">
        <v>147</v>
      </c>
      <c r="H37" s="283" t="s">
        <v>2319</v>
      </c>
      <c r="I37" s="164"/>
      <c r="J37" s="104"/>
      <c r="K37" s="282"/>
      <c r="L37" s="282"/>
      <c r="M37" s="363"/>
      <c r="N37" s="363"/>
      <c r="O37" s="145">
        <v>0.0</v>
      </c>
      <c r="P37" s="145">
        <v>1.0</v>
      </c>
      <c r="Q37" s="145">
        <v>1.0</v>
      </c>
      <c r="R37" s="100"/>
      <c r="S37" s="100"/>
      <c r="T37" s="100"/>
      <c r="U37" s="166" t="s">
        <v>88</v>
      </c>
      <c r="V37" s="100"/>
    </row>
    <row r="38" outlineLevel="1">
      <c r="A38" s="156"/>
      <c r="B38" s="147" t="s">
        <v>2320</v>
      </c>
      <c r="C38" s="216" t="s">
        <v>2321</v>
      </c>
      <c r="D38" s="107"/>
      <c r="E38" s="216" t="s">
        <v>232</v>
      </c>
      <c r="F38" s="138">
        <v>13.2</v>
      </c>
      <c r="G38" s="139" t="s">
        <v>123</v>
      </c>
      <c r="H38" s="106"/>
      <c r="I38" s="168"/>
      <c r="J38" s="107"/>
      <c r="K38" s="282"/>
      <c r="L38" s="282"/>
      <c r="M38" s="363"/>
      <c r="N38" s="363"/>
      <c r="O38" s="145">
        <v>0.0</v>
      </c>
      <c r="P38" s="145">
        <v>1.0</v>
      </c>
      <c r="Q38" s="145">
        <v>1.0</v>
      </c>
      <c r="R38" s="100"/>
      <c r="S38" s="100"/>
      <c r="T38" s="100"/>
      <c r="U38" s="156"/>
      <c r="V38" s="100"/>
    </row>
    <row r="39" outlineLevel="1">
      <c r="A39" s="133" t="s">
        <v>116</v>
      </c>
      <c r="B39" s="147" t="s">
        <v>125</v>
      </c>
      <c r="C39" s="467" t="s">
        <v>223</v>
      </c>
      <c r="D39" s="455" t="s">
        <v>541</v>
      </c>
      <c r="E39" s="467" t="s">
        <v>73</v>
      </c>
      <c r="F39" s="138">
        <v>4.8</v>
      </c>
      <c r="G39" s="139" t="s">
        <v>147</v>
      </c>
      <c r="H39" s="163" t="s">
        <v>442</v>
      </c>
      <c r="I39" s="164"/>
      <c r="J39" s="104"/>
      <c r="K39" s="363"/>
      <c r="L39" s="363"/>
      <c r="M39" s="363"/>
      <c r="N39" s="363"/>
      <c r="O39" s="145">
        <v>0.0</v>
      </c>
      <c r="P39" s="145">
        <v>1.0</v>
      </c>
      <c r="Q39" s="145">
        <v>1.0</v>
      </c>
      <c r="R39" s="100"/>
      <c r="S39" s="100"/>
      <c r="T39" s="100"/>
      <c r="U39" s="166" t="s">
        <v>62</v>
      </c>
      <c r="V39" s="100"/>
    </row>
    <row r="40" outlineLevel="1">
      <c r="A40" s="146"/>
      <c r="B40" s="147" t="s">
        <v>360</v>
      </c>
      <c r="C40" s="216" t="s">
        <v>2322</v>
      </c>
      <c r="D40" s="210"/>
      <c r="E40" s="467" t="s">
        <v>1375</v>
      </c>
      <c r="F40" s="138">
        <v>0.96</v>
      </c>
      <c r="G40" s="139" t="s">
        <v>170</v>
      </c>
      <c r="H40" s="212"/>
      <c r="J40" s="210"/>
      <c r="K40" s="363"/>
      <c r="L40" s="363"/>
      <c r="M40" s="363"/>
      <c r="N40" s="363"/>
      <c r="O40" s="145">
        <v>0.0</v>
      </c>
      <c r="P40" s="145">
        <v>1.0</v>
      </c>
      <c r="Q40" s="145">
        <v>1.0</v>
      </c>
      <c r="R40" s="100"/>
      <c r="S40" s="100"/>
      <c r="T40" s="100"/>
      <c r="U40" s="146"/>
      <c r="V40" s="100"/>
    </row>
    <row r="41" outlineLevel="1">
      <c r="A41" s="156"/>
      <c r="B41" s="147" t="s">
        <v>365</v>
      </c>
      <c r="C41" s="216" t="s">
        <v>784</v>
      </c>
      <c r="D41" s="107"/>
      <c r="E41" s="467" t="s">
        <v>204</v>
      </c>
      <c r="F41" s="138">
        <v>3.5999999999999996</v>
      </c>
      <c r="G41" s="139" t="s">
        <v>147</v>
      </c>
      <c r="H41" s="106"/>
      <c r="I41" s="168"/>
      <c r="J41" s="107"/>
      <c r="K41" s="363"/>
      <c r="L41" s="363"/>
      <c r="M41" s="363"/>
      <c r="N41" s="363"/>
      <c r="O41" s="145">
        <v>0.0</v>
      </c>
      <c r="P41" s="145">
        <v>1.0</v>
      </c>
      <c r="Q41" s="145">
        <v>1.0</v>
      </c>
      <c r="R41" s="100"/>
      <c r="S41" s="100"/>
      <c r="T41" s="100"/>
      <c r="U41" s="156"/>
      <c r="V41" s="100"/>
    </row>
    <row r="42" outlineLevel="1">
      <c r="A42" s="133" t="s">
        <v>124</v>
      </c>
      <c r="B42" s="134" t="s">
        <v>350</v>
      </c>
      <c r="C42" s="367" t="s">
        <v>1169</v>
      </c>
      <c r="D42" s="279" t="s">
        <v>384</v>
      </c>
      <c r="E42" s="113" t="s">
        <v>1966</v>
      </c>
      <c r="F42" s="138" t="s">
        <v>1967</v>
      </c>
      <c r="G42" s="139" t="s">
        <v>329</v>
      </c>
      <c r="H42" s="163" t="s">
        <v>2323</v>
      </c>
      <c r="I42" s="164"/>
      <c r="J42" s="104"/>
      <c r="K42" s="282"/>
      <c r="L42" s="282"/>
      <c r="M42" s="363"/>
      <c r="N42" s="363"/>
      <c r="O42" s="145">
        <v>0.0</v>
      </c>
      <c r="P42" s="145">
        <v>1.0</v>
      </c>
      <c r="Q42" s="145">
        <v>1.0</v>
      </c>
      <c r="R42" s="100"/>
      <c r="S42" s="100"/>
      <c r="T42" s="100"/>
      <c r="U42" s="166" t="s">
        <v>69</v>
      </c>
      <c r="V42" s="100"/>
    </row>
    <row r="43" outlineLevel="1">
      <c r="A43" s="156"/>
      <c r="B43" s="134" t="s">
        <v>356</v>
      </c>
      <c r="C43" s="156"/>
      <c r="D43" s="156"/>
      <c r="E43" s="113" t="s">
        <v>80</v>
      </c>
      <c r="F43" s="138">
        <v>9.6</v>
      </c>
      <c r="G43" s="541"/>
      <c r="H43" s="106"/>
      <c r="I43" s="168"/>
      <c r="J43" s="107"/>
      <c r="K43" s="282"/>
      <c r="L43" s="282"/>
      <c r="M43" s="363"/>
      <c r="N43" s="363"/>
      <c r="O43" s="145">
        <v>0.0</v>
      </c>
      <c r="P43" s="145">
        <v>1.0</v>
      </c>
      <c r="Q43" s="145">
        <v>1.0</v>
      </c>
      <c r="R43" s="100"/>
      <c r="S43" s="100"/>
      <c r="T43" s="100"/>
      <c r="U43" s="156"/>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
        <v>133</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
        <v>48</v>
      </c>
      <c r="D46" s="183" t="s">
        <v>49</v>
      </c>
      <c r="E46" s="182" t="s">
        <v>50</v>
      </c>
      <c r="F46" s="184" t="s">
        <v>51</v>
      </c>
      <c r="G46" s="184" t="s">
        <v>134</v>
      </c>
      <c r="H46" s="185" t="s">
        <v>52</v>
      </c>
      <c r="I46" s="184" t="str">
        <f>'テンプレート'!I56</f>
        <v>着地隙</v>
      </c>
      <c r="J46" s="184" t="s">
        <v>136</v>
      </c>
      <c r="K46" s="184" t="str">
        <f>'テンプレート'!K56</f>
        <v>ベクトル</v>
      </c>
      <c r="L46" s="184" t="str">
        <f>'テンプレート'!L56</f>
        <v>KBG (R.E.)</v>
      </c>
      <c r="M46" s="184" t="str">
        <f>'テンプレート'!M56</f>
        <v>BKB (R.A.)</v>
      </c>
      <c r="N46" s="184" t="str">
        <f>'テンプレート'!N56</f>
        <v>FKB (R.F.)</v>
      </c>
      <c r="O46" s="186" t="str">
        <f>'テンプレート'!O56</f>
        <v>盾削り値</v>
      </c>
      <c r="P46" s="184" t="str">
        <f>'テンプレート'!P56</f>
        <v>ﾋｯﾄｽﾄｯﾌﾟ</v>
      </c>
      <c r="Q46" s="186" t="str">
        <f>'テンプレート'!Q56</f>
        <v>ずらし</v>
      </c>
      <c r="R46" s="187" t="str">
        <f>'テンプレート'!R56</f>
        <v>備考</v>
      </c>
      <c r="S46" s="110"/>
      <c r="T46" s="110"/>
      <c r="U46" s="110"/>
      <c r="V46" s="110"/>
    </row>
    <row r="47" outlineLevel="1">
      <c r="A47" s="188" t="s">
        <v>144</v>
      </c>
      <c r="B47" s="373" t="s">
        <v>125</v>
      </c>
      <c r="C47" s="239" t="s">
        <v>223</v>
      </c>
      <c r="D47" s="452" t="s">
        <v>455</v>
      </c>
      <c r="E47" s="401" t="s">
        <v>80</v>
      </c>
      <c r="F47" s="193">
        <v>9.6</v>
      </c>
      <c r="G47" s="193">
        <v>8.16</v>
      </c>
      <c r="H47" s="138" t="s">
        <v>147</v>
      </c>
      <c r="I47" s="901" t="s">
        <v>80</v>
      </c>
      <c r="J47" s="455" t="s">
        <v>2027</v>
      </c>
      <c r="K47" s="376"/>
      <c r="L47" s="377"/>
      <c r="M47" s="825"/>
      <c r="N47" s="825"/>
      <c r="O47" s="199">
        <v>0.0</v>
      </c>
      <c r="P47" s="199">
        <v>1.0</v>
      </c>
      <c r="Q47" s="199">
        <v>1.0</v>
      </c>
      <c r="R47" s="1124"/>
      <c r="S47" s="164"/>
      <c r="T47" s="164"/>
      <c r="U47" s="164"/>
      <c r="V47" s="104"/>
    </row>
    <row r="48" outlineLevel="1">
      <c r="A48" s="156"/>
      <c r="B48" s="373" t="s">
        <v>131</v>
      </c>
      <c r="C48" s="239" t="s">
        <v>561</v>
      </c>
      <c r="D48" s="107"/>
      <c r="E48" s="239" t="s">
        <v>80</v>
      </c>
      <c r="F48" s="138">
        <v>9.6</v>
      </c>
      <c r="G48" s="138">
        <v>8.16</v>
      </c>
      <c r="H48" s="138" t="s">
        <v>147</v>
      </c>
      <c r="I48" s="156"/>
      <c r="J48" s="107"/>
      <c r="K48" s="376"/>
      <c r="L48" s="377"/>
      <c r="M48" s="825"/>
      <c r="N48" s="825"/>
      <c r="O48" s="199">
        <v>0.0</v>
      </c>
      <c r="P48" s="199">
        <v>1.0</v>
      </c>
      <c r="Q48" s="199">
        <v>1.0</v>
      </c>
      <c r="R48" s="106"/>
      <c r="S48" s="168"/>
      <c r="T48" s="168"/>
      <c r="U48" s="168"/>
      <c r="V48" s="107"/>
    </row>
    <row r="49" outlineLevel="1">
      <c r="A49" s="188" t="s">
        <v>151</v>
      </c>
      <c r="B49" s="373" t="s">
        <v>125</v>
      </c>
      <c r="C49" s="239" t="s">
        <v>217</v>
      </c>
      <c r="D49" s="452">
        <v>46.0</v>
      </c>
      <c r="E49" s="239" t="s">
        <v>150</v>
      </c>
      <c r="F49" s="138">
        <v>6.0</v>
      </c>
      <c r="G49" s="138">
        <v>5.1</v>
      </c>
      <c r="H49" s="138" t="s">
        <v>60</v>
      </c>
      <c r="I49" s="454" t="s">
        <v>128</v>
      </c>
      <c r="J49" s="455" t="s">
        <v>909</v>
      </c>
      <c r="K49" s="376"/>
      <c r="L49" s="377"/>
      <c r="M49" s="825"/>
      <c r="N49" s="825"/>
      <c r="O49" s="199">
        <v>0.0</v>
      </c>
      <c r="P49" s="199">
        <v>1.0</v>
      </c>
      <c r="Q49" s="199">
        <v>1.0</v>
      </c>
      <c r="R49" s="1124"/>
      <c r="S49" s="164"/>
      <c r="T49" s="164"/>
      <c r="U49" s="164"/>
      <c r="V49" s="104"/>
    </row>
    <row r="50" outlineLevel="1">
      <c r="A50" s="156"/>
      <c r="B50" s="373" t="s">
        <v>131</v>
      </c>
      <c r="C50" s="239" t="s">
        <v>305</v>
      </c>
      <c r="D50" s="107"/>
      <c r="E50" s="239" t="s">
        <v>93</v>
      </c>
      <c r="F50" s="138">
        <v>8.4</v>
      </c>
      <c r="G50" s="138">
        <v>7.140000000000001</v>
      </c>
      <c r="H50" s="138" t="s">
        <v>60</v>
      </c>
      <c r="I50" s="156"/>
      <c r="J50" s="107"/>
      <c r="K50" s="376"/>
      <c r="L50" s="377"/>
      <c r="M50" s="825"/>
      <c r="N50" s="825"/>
      <c r="O50" s="199">
        <v>0.0</v>
      </c>
      <c r="P50" s="199">
        <v>1.0</v>
      </c>
      <c r="Q50" s="199">
        <v>1.0</v>
      </c>
      <c r="R50" s="106"/>
      <c r="S50" s="168"/>
      <c r="T50" s="168"/>
      <c r="U50" s="168"/>
      <c r="V50" s="107"/>
    </row>
    <row r="51" outlineLevel="1">
      <c r="A51" s="213" t="s">
        <v>157</v>
      </c>
      <c r="B51" s="373"/>
      <c r="C51" s="239" t="s">
        <v>518</v>
      </c>
      <c r="D51" s="380">
        <v>39.0</v>
      </c>
      <c r="E51" s="239" t="s">
        <v>1222</v>
      </c>
      <c r="F51" s="138" t="s">
        <v>1223</v>
      </c>
      <c r="G51" s="138" t="s">
        <v>2324</v>
      </c>
      <c r="H51" s="138" t="s">
        <v>1808</v>
      </c>
      <c r="I51" s="621">
        <v>10.0</v>
      </c>
      <c r="J51" s="467" t="s">
        <v>1322</v>
      </c>
      <c r="K51" s="376"/>
      <c r="L51" s="377"/>
      <c r="M51" s="825"/>
      <c r="N51" s="825"/>
      <c r="O51" s="199">
        <v>0.0</v>
      </c>
      <c r="P51" s="199">
        <v>1.0</v>
      </c>
      <c r="Q51" s="199">
        <v>1.0</v>
      </c>
      <c r="R51" s="1127"/>
      <c r="S51" s="110"/>
      <c r="T51" s="110"/>
      <c r="U51" s="110"/>
      <c r="V51" s="109"/>
    </row>
    <row r="52" outlineLevel="1">
      <c r="A52" s="213" t="s">
        <v>162</v>
      </c>
      <c r="B52" s="373"/>
      <c r="C52" s="239" t="s">
        <v>2325</v>
      </c>
      <c r="D52" s="216" t="s">
        <v>218</v>
      </c>
      <c r="E52" s="239" t="s">
        <v>2134</v>
      </c>
      <c r="F52" s="138">
        <v>7.8</v>
      </c>
      <c r="G52" s="138">
        <v>6.63</v>
      </c>
      <c r="H52" s="138" t="s">
        <v>60</v>
      </c>
      <c r="I52" s="621" t="s">
        <v>150</v>
      </c>
      <c r="J52" s="467" t="s">
        <v>879</v>
      </c>
      <c r="K52" s="377"/>
      <c r="L52" s="377"/>
      <c r="M52" s="825"/>
      <c r="N52" s="825"/>
      <c r="O52" s="199">
        <v>0.0</v>
      </c>
      <c r="P52" s="199">
        <v>1.0</v>
      </c>
      <c r="Q52" s="199">
        <v>1.0</v>
      </c>
      <c r="R52" s="1127"/>
      <c r="S52" s="110"/>
      <c r="T52" s="110"/>
      <c r="U52" s="110"/>
      <c r="V52" s="109"/>
    </row>
    <row r="53" outlineLevel="1">
      <c r="A53" s="188" t="s">
        <v>166</v>
      </c>
      <c r="B53" s="373" t="s">
        <v>350</v>
      </c>
      <c r="C53" s="367" t="s">
        <v>658</v>
      </c>
      <c r="D53" s="374">
        <v>67.0</v>
      </c>
      <c r="E53" s="239" t="s">
        <v>150</v>
      </c>
      <c r="F53" s="138">
        <v>6.0</v>
      </c>
      <c r="G53" s="138">
        <v>5.1</v>
      </c>
      <c r="H53" s="138" t="s">
        <v>60</v>
      </c>
      <c r="I53" s="454">
        <v>24.0</v>
      </c>
      <c r="J53" s="455" t="s">
        <v>2326</v>
      </c>
      <c r="K53" s="377"/>
      <c r="L53" s="377"/>
      <c r="M53" s="825"/>
      <c r="N53" s="825"/>
      <c r="O53" s="199">
        <v>0.0</v>
      </c>
      <c r="P53" s="199">
        <v>1.0</v>
      </c>
      <c r="Q53" s="199">
        <v>1.0</v>
      </c>
      <c r="R53" s="456"/>
      <c r="S53" s="164"/>
      <c r="T53" s="164"/>
      <c r="U53" s="164"/>
      <c r="V53" s="104"/>
    </row>
    <row r="54" outlineLevel="1">
      <c r="A54" s="146"/>
      <c r="B54" s="373" t="s">
        <v>356</v>
      </c>
      <c r="C54" s="156"/>
      <c r="D54" s="210"/>
      <c r="E54" s="239" t="s">
        <v>86</v>
      </c>
      <c r="F54" s="138">
        <v>7.2</v>
      </c>
      <c r="G54" s="138">
        <v>6.12</v>
      </c>
      <c r="H54" s="541"/>
      <c r="I54" s="146"/>
      <c r="J54" s="210"/>
      <c r="K54" s="377"/>
      <c r="L54" s="377"/>
      <c r="M54" s="825"/>
      <c r="N54" s="825"/>
      <c r="O54" s="199">
        <v>0.0</v>
      </c>
      <c r="P54" s="199">
        <v>1.0</v>
      </c>
      <c r="Q54" s="199">
        <v>1.0</v>
      </c>
      <c r="R54" s="212"/>
      <c r="V54" s="210"/>
    </row>
    <row r="55" outlineLevel="1">
      <c r="A55" s="156"/>
      <c r="B55" s="373" t="s">
        <v>174</v>
      </c>
      <c r="C55" s="239" t="s">
        <v>681</v>
      </c>
      <c r="D55" s="107"/>
      <c r="E55" s="239" t="s">
        <v>100</v>
      </c>
      <c r="F55" s="138">
        <v>6.6</v>
      </c>
      <c r="G55" s="138">
        <v>6.6</v>
      </c>
      <c r="H55" s="138" t="s">
        <v>102</v>
      </c>
      <c r="I55" s="156"/>
      <c r="J55" s="107"/>
      <c r="K55" s="377"/>
      <c r="L55" s="377"/>
      <c r="M55" s="825"/>
      <c r="N55" s="825"/>
      <c r="O55" s="199">
        <v>0.0</v>
      </c>
      <c r="P55" s="199">
        <v>1.0</v>
      </c>
      <c r="Q55" s="199">
        <v>1.0</v>
      </c>
      <c r="R55" s="106"/>
      <c r="S55" s="168"/>
      <c r="T55" s="168"/>
      <c r="U55" s="168"/>
      <c r="V55" s="107"/>
    </row>
    <row r="56" outlineLevel="1">
      <c r="A56" s="213" t="s">
        <v>587</v>
      </c>
      <c r="B56" s="373"/>
      <c r="C56" s="239" t="s">
        <v>1227</v>
      </c>
      <c r="D56" s="216" t="s">
        <v>185</v>
      </c>
      <c r="E56" s="239" t="s">
        <v>150</v>
      </c>
      <c r="F56" s="138">
        <v>6.0</v>
      </c>
      <c r="G56" s="138">
        <v>6.0</v>
      </c>
      <c r="H56" s="138" t="s">
        <v>102</v>
      </c>
      <c r="I56" s="145">
        <v>8.0</v>
      </c>
      <c r="J56" s="475"/>
      <c r="K56" s="377"/>
      <c r="L56" s="377"/>
      <c r="M56" s="825"/>
      <c r="N56" s="825"/>
      <c r="O56" s="199">
        <v>0.0</v>
      </c>
      <c r="P56" s="199">
        <v>1.0</v>
      </c>
      <c r="Q56" s="199">
        <v>1.0</v>
      </c>
      <c r="R56" s="1027" t="s">
        <v>589</v>
      </c>
      <c r="S56" s="110"/>
      <c r="T56" s="110"/>
      <c r="U56" s="110"/>
      <c r="V56" s="109"/>
    </row>
    <row r="57">
      <c r="A57" s="223"/>
      <c r="B57" s="224"/>
      <c r="C57" s="225"/>
      <c r="D57" s="225"/>
      <c r="E57" s="226"/>
      <c r="F57" s="226"/>
      <c r="G57" s="226"/>
      <c r="H57" s="227"/>
      <c r="I57" s="227"/>
      <c r="J57" s="228"/>
      <c r="K57" s="228"/>
      <c r="L57" s="228"/>
      <c r="M57" s="228"/>
      <c r="N57" s="228"/>
      <c r="O57" s="228"/>
      <c r="P57" s="228"/>
      <c r="Q57" s="118"/>
      <c r="R57" s="118"/>
      <c r="S57" s="118"/>
      <c r="T57" s="118"/>
      <c r="U57" s="118"/>
      <c r="V57" s="118"/>
    </row>
    <row r="58">
      <c r="A58" s="229" t="s">
        <v>177</v>
      </c>
      <c r="B58" s="109"/>
      <c r="C58" s="225"/>
      <c r="D58" s="225"/>
      <c r="E58" s="226"/>
      <c r="F58" s="226"/>
      <c r="G58" s="226"/>
      <c r="H58" s="227"/>
      <c r="I58" s="227"/>
      <c r="J58" s="228"/>
      <c r="K58" s="228"/>
      <c r="L58" s="228"/>
      <c r="M58" s="228"/>
      <c r="N58" s="228"/>
      <c r="O58" s="228"/>
      <c r="P58" s="228"/>
      <c r="Q58" s="118"/>
      <c r="R58" s="118"/>
      <c r="S58" s="118"/>
      <c r="T58" s="118"/>
      <c r="U58" s="118"/>
      <c r="V58" s="118"/>
    </row>
    <row r="59" outlineLevel="1">
      <c r="A59" s="230" t="s">
        <v>2327</v>
      </c>
      <c r="B59" s="109"/>
      <c r="C59" s="231" t="s">
        <v>48</v>
      </c>
      <c r="D59" s="231" t="s">
        <v>49</v>
      </c>
      <c r="E59" s="232" t="s">
        <v>50</v>
      </c>
      <c r="F59" s="233" t="s">
        <v>51</v>
      </c>
      <c r="G59" s="232" t="s">
        <v>52</v>
      </c>
      <c r="H59" s="382" t="s">
        <v>53</v>
      </c>
      <c r="I59" s="110"/>
      <c r="J59" s="109"/>
      <c r="K59" s="235" t="s">
        <v>137</v>
      </c>
      <c r="L59" s="235" t="s">
        <v>138</v>
      </c>
      <c r="M59" s="235" t="s">
        <v>139</v>
      </c>
      <c r="N59" s="235" t="s">
        <v>140</v>
      </c>
      <c r="O59" s="236" t="s">
        <v>141</v>
      </c>
      <c r="P59" s="235" t="s">
        <v>142</v>
      </c>
      <c r="Q59" s="236" t="s">
        <v>143</v>
      </c>
      <c r="R59" s="235" t="s">
        <v>179</v>
      </c>
      <c r="S59" s="236" t="s">
        <v>180</v>
      </c>
      <c r="T59" s="236" t="s">
        <v>181</v>
      </c>
      <c r="U59" s="236" t="s">
        <v>182</v>
      </c>
      <c r="V59" s="236" t="s">
        <v>183</v>
      </c>
    </row>
    <row r="60" ht="18.0" customHeight="1" outlineLevel="1">
      <c r="A60" s="237" t="s">
        <v>184</v>
      </c>
      <c r="B60" s="243" t="s">
        <v>473</v>
      </c>
      <c r="C60" s="239" t="s">
        <v>2328</v>
      </c>
      <c r="D60" s="239" t="s">
        <v>541</v>
      </c>
      <c r="E60" s="239" t="s">
        <v>73</v>
      </c>
      <c r="F60" s="138">
        <v>4.8</v>
      </c>
      <c r="G60" s="139" t="s">
        <v>170</v>
      </c>
      <c r="H60" s="163" t="s">
        <v>2329</v>
      </c>
      <c r="I60" s="164"/>
      <c r="J60" s="104"/>
      <c r="K60" s="282"/>
      <c r="L60" s="282"/>
      <c r="M60" s="363"/>
      <c r="N60" s="363"/>
      <c r="O60" s="138">
        <v>0.0</v>
      </c>
      <c r="P60" s="138">
        <v>1.0</v>
      </c>
      <c r="Q60" s="138">
        <v>1.0</v>
      </c>
      <c r="R60" s="145" t="b">
        <v>1</v>
      </c>
      <c r="S60" s="145" t="b">
        <v>0</v>
      </c>
      <c r="T60" s="145" t="b">
        <v>1</v>
      </c>
      <c r="U60" s="166" t="s">
        <v>186</v>
      </c>
      <c r="V60" s="166" t="b">
        <v>1</v>
      </c>
    </row>
    <row r="61" ht="18.0" customHeight="1" outlineLevel="1">
      <c r="A61" s="146"/>
      <c r="B61" s="663" t="s">
        <v>340</v>
      </c>
      <c r="C61" s="239" t="s">
        <v>2330</v>
      </c>
      <c r="D61" s="239" t="s">
        <v>1580</v>
      </c>
      <c r="E61" s="239" t="s">
        <v>86</v>
      </c>
      <c r="F61" s="138">
        <v>7.199999999999999</v>
      </c>
      <c r="G61" s="139" t="s">
        <v>60</v>
      </c>
      <c r="H61" s="212"/>
      <c r="J61" s="210"/>
      <c r="K61" s="282"/>
      <c r="L61" s="282"/>
      <c r="M61" s="363"/>
      <c r="N61" s="363"/>
      <c r="O61" s="138"/>
      <c r="P61" s="138"/>
      <c r="Q61" s="138"/>
      <c r="R61" s="145" t="b">
        <v>0</v>
      </c>
      <c r="S61" s="145" t="b">
        <v>0</v>
      </c>
      <c r="T61" s="145" t="b">
        <v>0</v>
      </c>
      <c r="U61" s="146"/>
      <c r="V61" s="146"/>
    </row>
    <row r="62" ht="18.0" customHeight="1" outlineLevel="1">
      <c r="A62" s="146"/>
      <c r="B62" s="663" t="s">
        <v>1578</v>
      </c>
      <c r="C62" s="541"/>
      <c r="D62" s="239" t="s">
        <v>593</v>
      </c>
      <c r="E62" s="541"/>
      <c r="F62" s="541"/>
      <c r="G62" s="541"/>
      <c r="H62" s="106"/>
      <c r="I62" s="168"/>
      <c r="J62" s="107"/>
      <c r="K62" s="282"/>
      <c r="L62" s="282"/>
      <c r="M62" s="363"/>
      <c r="N62" s="363"/>
      <c r="O62" s="138">
        <v>0.0</v>
      </c>
      <c r="P62" s="138">
        <v>1.0</v>
      </c>
      <c r="Q62" s="138">
        <v>1.0</v>
      </c>
      <c r="R62" s="145" t="b">
        <v>1</v>
      </c>
      <c r="S62" s="145" t="b">
        <v>0</v>
      </c>
      <c r="T62" s="145" t="b">
        <v>1</v>
      </c>
      <c r="U62" s="156"/>
      <c r="V62" s="156"/>
    </row>
    <row r="63" outlineLevel="1">
      <c r="A63" s="230" t="s">
        <v>2331</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237" t="s">
        <v>184</v>
      </c>
      <c r="B64" s="243" t="s">
        <v>125</v>
      </c>
      <c r="C64" s="239" t="s">
        <v>288</v>
      </c>
      <c r="D64" s="195" t="s">
        <v>300</v>
      </c>
      <c r="E64" s="239" t="s">
        <v>2332</v>
      </c>
      <c r="F64" s="138" t="s">
        <v>2333</v>
      </c>
      <c r="G64" s="139" t="s">
        <v>2334</v>
      </c>
      <c r="H64" s="163" t="s">
        <v>2335</v>
      </c>
      <c r="I64" s="164"/>
      <c r="J64" s="104"/>
      <c r="K64" s="282"/>
      <c r="L64" s="282"/>
      <c r="M64" s="363"/>
      <c r="N64" s="363"/>
      <c r="O64" s="138">
        <v>0.0</v>
      </c>
      <c r="P64" s="138">
        <v>1.0</v>
      </c>
      <c r="Q64" s="138">
        <v>1.0</v>
      </c>
      <c r="R64" s="145" t="b">
        <v>1</v>
      </c>
      <c r="S64" s="145" t="b">
        <v>1</v>
      </c>
      <c r="T64" s="145"/>
      <c r="U64" s="166" t="s">
        <v>186</v>
      </c>
      <c r="V64" s="166" t="b">
        <v>1</v>
      </c>
    </row>
    <row r="65" outlineLevel="1">
      <c r="A65" s="146"/>
      <c r="B65" s="243" t="s">
        <v>131</v>
      </c>
      <c r="C65" s="239" t="s">
        <v>443</v>
      </c>
      <c r="D65" s="210"/>
      <c r="E65" s="239" t="s">
        <v>2336</v>
      </c>
      <c r="F65" s="138" t="s">
        <v>2333</v>
      </c>
      <c r="G65" s="139" t="s">
        <v>926</v>
      </c>
      <c r="H65" s="212"/>
      <c r="J65" s="210"/>
      <c r="K65" s="138"/>
      <c r="L65" s="138"/>
      <c r="M65" s="145"/>
      <c r="N65" s="145"/>
      <c r="O65" s="138">
        <v>0.0</v>
      </c>
      <c r="P65" s="138">
        <v>1.0</v>
      </c>
      <c r="Q65" s="138">
        <v>1.0</v>
      </c>
      <c r="R65" s="145" t="b">
        <v>1</v>
      </c>
      <c r="S65" s="145" t="b">
        <v>1</v>
      </c>
      <c r="T65" s="145"/>
      <c r="U65" s="146"/>
      <c r="V65" s="146"/>
    </row>
    <row r="66" outlineLevel="1">
      <c r="A66" s="146"/>
      <c r="B66" s="243" t="s">
        <v>2337</v>
      </c>
      <c r="C66" s="239" t="s">
        <v>522</v>
      </c>
      <c r="D66" s="210"/>
      <c r="E66" s="239" t="s">
        <v>1614</v>
      </c>
      <c r="F66" s="138">
        <v>1.44</v>
      </c>
      <c r="G66" s="139" t="s">
        <v>170</v>
      </c>
      <c r="H66" s="212"/>
      <c r="J66" s="210"/>
      <c r="K66" s="138"/>
      <c r="L66" s="138"/>
      <c r="M66" s="145"/>
      <c r="N66" s="145"/>
      <c r="O66" s="138">
        <v>0.0</v>
      </c>
      <c r="P66" s="138">
        <v>1.0</v>
      </c>
      <c r="Q66" s="138">
        <v>1.0</v>
      </c>
      <c r="R66" s="145" t="b">
        <v>1</v>
      </c>
      <c r="S66" s="145" t="b">
        <v>1</v>
      </c>
      <c r="T66" s="145"/>
      <c r="U66" s="146"/>
      <c r="V66" s="146"/>
    </row>
    <row r="67" outlineLevel="1">
      <c r="A67" s="146"/>
      <c r="B67" s="243" t="s">
        <v>520</v>
      </c>
      <c r="C67" s="239" t="s">
        <v>784</v>
      </c>
      <c r="D67" s="210"/>
      <c r="E67" s="239" t="s">
        <v>1614</v>
      </c>
      <c r="F67" s="138">
        <v>1.44</v>
      </c>
      <c r="G67" s="139" t="s">
        <v>170</v>
      </c>
      <c r="H67" s="212"/>
      <c r="J67" s="210"/>
      <c r="K67" s="138"/>
      <c r="L67" s="138"/>
      <c r="M67" s="145"/>
      <c r="N67" s="145"/>
      <c r="O67" s="138"/>
      <c r="P67" s="138"/>
      <c r="Q67" s="138"/>
      <c r="R67" s="145" t="b">
        <v>0</v>
      </c>
      <c r="S67" s="145" t="b">
        <v>0</v>
      </c>
      <c r="T67" s="145" t="b">
        <v>0</v>
      </c>
      <c r="U67" s="146"/>
      <c r="V67" s="146"/>
    </row>
    <row r="68" outlineLevel="1">
      <c r="A68" s="146"/>
      <c r="B68" s="243" t="s">
        <v>521</v>
      </c>
      <c r="C68" s="239" t="s">
        <v>2338</v>
      </c>
      <c r="D68" s="107"/>
      <c r="E68" s="239" t="s">
        <v>80</v>
      </c>
      <c r="F68" s="138">
        <v>9.6</v>
      </c>
      <c r="G68" s="139" t="s">
        <v>123</v>
      </c>
      <c r="H68" s="106"/>
      <c r="I68" s="168"/>
      <c r="J68" s="107"/>
      <c r="K68" s="138"/>
      <c r="L68" s="138"/>
      <c r="M68" s="145"/>
      <c r="N68" s="145"/>
      <c r="O68" s="138">
        <v>0.0</v>
      </c>
      <c r="P68" s="138">
        <v>1.0</v>
      </c>
      <c r="Q68" s="138">
        <v>1.0</v>
      </c>
      <c r="R68" s="145" t="b">
        <v>1</v>
      </c>
      <c r="S68" s="145" t="b">
        <v>1</v>
      </c>
      <c r="T68" s="145"/>
      <c r="U68" s="146"/>
      <c r="V68" s="146"/>
    </row>
    <row r="69" outlineLevel="1">
      <c r="A69" s="146"/>
      <c r="B69" s="243" t="s">
        <v>2339</v>
      </c>
      <c r="C69" s="239" t="s">
        <v>288</v>
      </c>
      <c r="D69" s="195" t="s">
        <v>335</v>
      </c>
      <c r="E69" s="239" t="s">
        <v>2332</v>
      </c>
      <c r="F69" s="138" t="s">
        <v>2333</v>
      </c>
      <c r="G69" s="139" t="s">
        <v>2334</v>
      </c>
      <c r="H69" s="163" t="s">
        <v>2340</v>
      </c>
      <c r="I69" s="164"/>
      <c r="J69" s="104"/>
      <c r="K69" s="138"/>
      <c r="L69" s="138"/>
      <c r="M69" s="145"/>
      <c r="N69" s="145"/>
      <c r="O69" s="138">
        <v>0.0</v>
      </c>
      <c r="P69" s="138">
        <v>1.0</v>
      </c>
      <c r="Q69" s="138">
        <v>1.0</v>
      </c>
      <c r="R69" s="145" t="b">
        <v>1</v>
      </c>
      <c r="S69" s="145" t="b">
        <v>1</v>
      </c>
      <c r="T69" s="145"/>
      <c r="U69" s="146"/>
      <c r="V69" s="146"/>
    </row>
    <row r="70" outlineLevel="1">
      <c r="A70" s="146"/>
      <c r="B70" s="243" t="s">
        <v>2341</v>
      </c>
      <c r="C70" s="239" t="s">
        <v>443</v>
      </c>
      <c r="D70" s="210"/>
      <c r="E70" s="239" t="s">
        <v>2336</v>
      </c>
      <c r="F70" s="138" t="s">
        <v>2333</v>
      </c>
      <c r="G70" s="139" t="s">
        <v>926</v>
      </c>
      <c r="H70" s="212"/>
      <c r="J70" s="210"/>
      <c r="K70" s="138"/>
      <c r="L70" s="138"/>
      <c r="M70" s="145"/>
      <c r="N70" s="145"/>
      <c r="O70" s="138">
        <v>0.0</v>
      </c>
      <c r="P70" s="138">
        <v>1.0</v>
      </c>
      <c r="Q70" s="138">
        <v>1.0</v>
      </c>
      <c r="R70" s="145" t="b">
        <v>1</v>
      </c>
      <c r="S70" s="145" t="b">
        <v>1</v>
      </c>
      <c r="T70" s="145"/>
      <c r="U70" s="146"/>
      <c r="V70" s="146"/>
    </row>
    <row r="71" outlineLevel="1">
      <c r="A71" s="146"/>
      <c r="B71" s="243" t="s">
        <v>2342</v>
      </c>
      <c r="C71" s="239" t="s">
        <v>522</v>
      </c>
      <c r="D71" s="210"/>
      <c r="E71" s="239" t="s">
        <v>1614</v>
      </c>
      <c r="F71" s="138">
        <v>1.44</v>
      </c>
      <c r="G71" s="139" t="s">
        <v>170</v>
      </c>
      <c r="H71" s="212"/>
      <c r="J71" s="210"/>
      <c r="K71" s="138"/>
      <c r="L71" s="138"/>
      <c r="M71" s="145"/>
      <c r="N71" s="145"/>
      <c r="O71" s="138"/>
      <c r="P71" s="138"/>
      <c r="Q71" s="138"/>
      <c r="R71" s="145" t="b">
        <v>0</v>
      </c>
      <c r="S71" s="145" t="b">
        <v>0</v>
      </c>
      <c r="T71" s="145" t="b">
        <v>0</v>
      </c>
      <c r="U71" s="146"/>
      <c r="V71" s="146"/>
    </row>
    <row r="72" outlineLevel="1">
      <c r="A72" s="146"/>
      <c r="B72" s="243" t="s">
        <v>2343</v>
      </c>
      <c r="C72" s="239" t="s">
        <v>784</v>
      </c>
      <c r="D72" s="210"/>
      <c r="E72" s="239" t="s">
        <v>1614</v>
      </c>
      <c r="F72" s="138">
        <v>1.44</v>
      </c>
      <c r="G72" s="139" t="s">
        <v>170</v>
      </c>
      <c r="H72" s="212"/>
      <c r="J72" s="210"/>
      <c r="K72" s="138"/>
      <c r="L72" s="138"/>
      <c r="M72" s="145"/>
      <c r="N72" s="145"/>
      <c r="O72" s="138"/>
      <c r="P72" s="138"/>
      <c r="Q72" s="138"/>
      <c r="R72" s="145" t="b">
        <v>0</v>
      </c>
      <c r="S72" s="145" t="b">
        <v>0</v>
      </c>
      <c r="T72" s="145" t="b">
        <v>0</v>
      </c>
      <c r="U72" s="146"/>
      <c r="V72" s="146"/>
    </row>
    <row r="73" outlineLevel="1">
      <c r="A73" s="146"/>
      <c r="B73" s="243" t="s">
        <v>2344</v>
      </c>
      <c r="C73" s="239" t="s">
        <v>523</v>
      </c>
      <c r="D73" s="210"/>
      <c r="E73" s="139" t="s">
        <v>73</v>
      </c>
      <c r="F73" s="138">
        <v>4.8</v>
      </c>
      <c r="G73" s="139" t="s">
        <v>75</v>
      </c>
      <c r="H73" s="212"/>
      <c r="J73" s="210"/>
      <c r="K73" s="138"/>
      <c r="L73" s="138"/>
      <c r="M73" s="145"/>
      <c r="N73" s="145"/>
      <c r="O73" s="138"/>
      <c r="P73" s="138"/>
      <c r="Q73" s="138"/>
      <c r="R73" s="145" t="b">
        <v>0</v>
      </c>
      <c r="S73" s="145" t="b">
        <v>0</v>
      </c>
      <c r="T73" s="145" t="b">
        <v>0</v>
      </c>
      <c r="U73" s="146"/>
      <c r="V73" s="146"/>
    </row>
    <row r="74" outlineLevel="1">
      <c r="A74" s="146"/>
      <c r="B74" s="243" t="s">
        <v>2345</v>
      </c>
      <c r="C74" s="239" t="s">
        <v>2346</v>
      </c>
      <c r="D74" s="210"/>
      <c r="E74" s="139" t="s">
        <v>73</v>
      </c>
      <c r="F74" s="138">
        <v>4.8</v>
      </c>
      <c r="G74" s="139" t="s">
        <v>75</v>
      </c>
      <c r="H74" s="212"/>
      <c r="J74" s="210"/>
      <c r="K74" s="138"/>
      <c r="L74" s="138"/>
      <c r="M74" s="145"/>
      <c r="N74" s="145"/>
      <c r="O74" s="138"/>
      <c r="P74" s="138"/>
      <c r="Q74" s="138"/>
      <c r="R74" s="145" t="b">
        <v>0</v>
      </c>
      <c r="S74" s="145" t="b">
        <v>0</v>
      </c>
      <c r="T74" s="145" t="b">
        <v>0</v>
      </c>
      <c r="U74" s="146"/>
      <c r="V74" s="146"/>
    </row>
    <row r="75" outlineLevel="1">
      <c r="A75" s="146"/>
      <c r="B75" s="243" t="s">
        <v>2347</v>
      </c>
      <c r="C75" s="239" t="s">
        <v>789</v>
      </c>
      <c r="D75" s="210"/>
      <c r="E75" s="139" t="s">
        <v>73</v>
      </c>
      <c r="F75" s="138">
        <v>4.8</v>
      </c>
      <c r="G75" s="139" t="s">
        <v>75</v>
      </c>
      <c r="H75" s="212"/>
      <c r="J75" s="210"/>
      <c r="K75" s="138"/>
      <c r="L75" s="138"/>
      <c r="M75" s="145"/>
      <c r="N75" s="145"/>
      <c r="O75" s="138"/>
      <c r="P75" s="138"/>
      <c r="Q75" s="138"/>
      <c r="R75" s="145" t="b">
        <v>0</v>
      </c>
      <c r="S75" s="145" t="b">
        <v>0</v>
      </c>
      <c r="T75" s="145" t="b">
        <v>0</v>
      </c>
      <c r="U75" s="146"/>
      <c r="V75" s="146"/>
    </row>
    <row r="76" outlineLevel="1">
      <c r="A76" s="146"/>
      <c r="B76" s="243" t="s">
        <v>2348</v>
      </c>
      <c r="C76" s="239" t="s">
        <v>2349</v>
      </c>
      <c r="D76" s="107"/>
      <c r="E76" s="139" t="s">
        <v>73</v>
      </c>
      <c r="F76" s="138">
        <v>4.8</v>
      </c>
      <c r="G76" s="139" t="s">
        <v>75</v>
      </c>
      <c r="H76" s="106"/>
      <c r="I76" s="168"/>
      <c r="J76" s="107"/>
      <c r="K76" s="138"/>
      <c r="L76" s="138"/>
      <c r="M76" s="145"/>
      <c r="N76" s="145"/>
      <c r="O76" s="138">
        <v>0.0</v>
      </c>
      <c r="P76" s="138">
        <v>1.0</v>
      </c>
      <c r="Q76" s="138">
        <v>1.0</v>
      </c>
      <c r="R76" s="145" t="b">
        <v>1</v>
      </c>
      <c r="S76" s="145" t="b">
        <v>1</v>
      </c>
      <c r="T76" s="145"/>
      <c r="U76" s="156"/>
      <c r="V76" s="156"/>
    </row>
    <row r="77" outlineLevel="1">
      <c r="A77" s="230" t="s">
        <v>2350</v>
      </c>
      <c r="B77" s="109"/>
      <c r="C77" s="231" t="s">
        <v>48</v>
      </c>
      <c r="D77" s="231" t="s">
        <v>49</v>
      </c>
      <c r="E77" s="232" t="s">
        <v>50</v>
      </c>
      <c r="F77" s="233" t="s">
        <v>51</v>
      </c>
      <c r="G77" s="232" t="s">
        <v>52</v>
      </c>
      <c r="H77" s="382" t="s">
        <v>53</v>
      </c>
      <c r="I77" s="110"/>
      <c r="J77" s="109"/>
      <c r="K77" s="235" t="s">
        <v>137</v>
      </c>
      <c r="L77" s="235" t="s">
        <v>138</v>
      </c>
      <c r="M77" s="235" t="s">
        <v>139</v>
      </c>
      <c r="N77" s="235" t="s">
        <v>140</v>
      </c>
      <c r="O77" s="236" t="s">
        <v>141</v>
      </c>
      <c r="P77" s="235" t="s">
        <v>142</v>
      </c>
      <c r="Q77" s="236" t="s">
        <v>143</v>
      </c>
      <c r="R77" s="235" t="s">
        <v>179</v>
      </c>
      <c r="S77" s="236" t="s">
        <v>180</v>
      </c>
      <c r="T77" s="236" t="s">
        <v>181</v>
      </c>
      <c r="U77" s="236" t="s">
        <v>182</v>
      </c>
      <c r="V77" s="236" t="s">
        <v>183</v>
      </c>
    </row>
    <row r="78" outlineLevel="1">
      <c r="A78" s="237" t="s">
        <v>184</v>
      </c>
      <c r="B78" s="402" t="s">
        <v>152</v>
      </c>
      <c r="C78" s="239" t="s">
        <v>73</v>
      </c>
      <c r="D78" s="400"/>
      <c r="E78" s="239" t="s">
        <v>150</v>
      </c>
      <c r="F78" s="138">
        <v>6.0</v>
      </c>
      <c r="G78" s="139" t="s">
        <v>102</v>
      </c>
      <c r="H78" s="163" t="s">
        <v>2351</v>
      </c>
      <c r="I78" s="164"/>
      <c r="J78" s="104"/>
      <c r="K78" s="138"/>
      <c r="L78" s="138"/>
      <c r="M78" s="145"/>
      <c r="N78" s="145"/>
      <c r="O78" s="138">
        <v>0.0</v>
      </c>
      <c r="P78" s="138">
        <v>1.0</v>
      </c>
      <c r="Q78" s="138">
        <v>1.0</v>
      </c>
      <c r="R78" s="145" t="b">
        <v>1</v>
      </c>
      <c r="S78" s="145" t="b">
        <v>1</v>
      </c>
      <c r="T78" s="145"/>
      <c r="U78" s="166" t="s">
        <v>2352</v>
      </c>
      <c r="V78" s="166" t="b">
        <v>0</v>
      </c>
    </row>
    <row r="79" outlineLevel="1">
      <c r="A79" s="146"/>
      <c r="B79" s="402" t="s">
        <v>604</v>
      </c>
      <c r="C79" s="244" t="s">
        <v>2353</v>
      </c>
      <c r="D79" s="146"/>
      <c r="E79" s="239" t="s">
        <v>214</v>
      </c>
      <c r="F79" s="138">
        <v>1.56</v>
      </c>
      <c r="G79" s="139" t="s">
        <v>60</v>
      </c>
      <c r="H79" s="212"/>
      <c r="J79" s="210"/>
      <c r="K79" s="138"/>
      <c r="L79" s="138"/>
      <c r="M79" s="145"/>
      <c r="N79" s="145"/>
      <c r="O79" s="138">
        <v>0.0</v>
      </c>
      <c r="P79" s="138">
        <v>1.0</v>
      </c>
      <c r="Q79" s="138">
        <v>1.0</v>
      </c>
      <c r="R79" s="145" t="b">
        <v>1</v>
      </c>
      <c r="S79" s="145" t="b">
        <v>0</v>
      </c>
      <c r="T79" s="145"/>
      <c r="U79" s="146"/>
      <c r="V79" s="146"/>
    </row>
    <row r="80" outlineLevel="1">
      <c r="A80" s="146"/>
      <c r="B80" s="402" t="s">
        <v>606</v>
      </c>
      <c r="C80" s="244" t="s">
        <v>2354</v>
      </c>
      <c r="D80" s="146"/>
      <c r="E80" s="239" t="s">
        <v>214</v>
      </c>
      <c r="F80" s="138">
        <v>1.56</v>
      </c>
      <c r="G80" s="139" t="s">
        <v>60</v>
      </c>
      <c r="H80" s="212"/>
      <c r="J80" s="210"/>
      <c r="K80" s="138"/>
      <c r="L80" s="138"/>
      <c r="M80" s="145"/>
      <c r="N80" s="145"/>
      <c r="O80" s="138">
        <v>0.0</v>
      </c>
      <c r="P80" s="138">
        <v>1.0</v>
      </c>
      <c r="Q80" s="138">
        <v>1.0</v>
      </c>
      <c r="R80" s="145" t="b">
        <v>1</v>
      </c>
      <c r="S80" s="145" t="b">
        <v>0</v>
      </c>
      <c r="T80" s="145"/>
      <c r="U80" s="146"/>
      <c r="V80" s="146"/>
    </row>
    <row r="81" outlineLevel="1">
      <c r="A81" s="146"/>
      <c r="B81" s="402" t="s">
        <v>2355</v>
      </c>
      <c r="C81" s="244" t="s">
        <v>876</v>
      </c>
      <c r="D81" s="146"/>
      <c r="E81" s="239" t="s">
        <v>214</v>
      </c>
      <c r="F81" s="138">
        <v>1.56</v>
      </c>
      <c r="G81" s="139" t="s">
        <v>60</v>
      </c>
      <c r="H81" s="212"/>
      <c r="J81" s="210"/>
      <c r="K81" s="138"/>
      <c r="L81" s="138"/>
      <c r="M81" s="145"/>
      <c r="N81" s="145"/>
      <c r="O81" s="138">
        <v>0.0</v>
      </c>
      <c r="P81" s="138">
        <v>1.0</v>
      </c>
      <c r="Q81" s="138">
        <v>1.0</v>
      </c>
      <c r="R81" s="145" t="b">
        <v>1</v>
      </c>
      <c r="S81" s="145" t="b">
        <v>0</v>
      </c>
      <c r="T81" s="145"/>
      <c r="U81" s="146"/>
      <c r="V81" s="146"/>
    </row>
    <row r="82" outlineLevel="1">
      <c r="A82" s="146"/>
      <c r="B82" s="402" t="s">
        <v>2356</v>
      </c>
      <c r="C82" s="244" t="s">
        <v>2357</v>
      </c>
      <c r="D82" s="156"/>
      <c r="E82" s="239" t="s">
        <v>73</v>
      </c>
      <c r="F82" s="138">
        <v>4.8</v>
      </c>
      <c r="G82" s="139" t="s">
        <v>75</v>
      </c>
      <c r="H82" s="106"/>
      <c r="I82" s="168"/>
      <c r="J82" s="107"/>
      <c r="K82" s="138"/>
      <c r="L82" s="138"/>
      <c r="M82" s="145"/>
      <c r="N82" s="145"/>
      <c r="O82" s="138">
        <v>0.0</v>
      </c>
      <c r="P82" s="138">
        <v>1.0</v>
      </c>
      <c r="Q82" s="138">
        <v>1.0</v>
      </c>
      <c r="R82" s="145" t="b">
        <v>1</v>
      </c>
      <c r="S82" s="145" t="b">
        <v>0</v>
      </c>
      <c r="T82" s="145"/>
      <c r="U82" s="156"/>
      <c r="V82" s="156"/>
    </row>
    <row r="83" outlineLevel="1">
      <c r="A83" s="230" t="s">
        <v>2358</v>
      </c>
      <c r="B83" s="109"/>
      <c r="C83" s="231" t="s">
        <v>48</v>
      </c>
      <c r="D83" s="231" t="s">
        <v>49</v>
      </c>
      <c r="E83" s="232" t="s">
        <v>50</v>
      </c>
      <c r="F83" s="233" t="s">
        <v>51</v>
      </c>
      <c r="G83" s="232" t="s">
        <v>52</v>
      </c>
      <c r="H83" s="382" t="s">
        <v>53</v>
      </c>
      <c r="I83" s="110"/>
      <c r="J83" s="109"/>
      <c r="K83" s="235" t="s">
        <v>137</v>
      </c>
      <c r="L83" s="235" t="s">
        <v>138</v>
      </c>
      <c r="M83" s="235" t="s">
        <v>139</v>
      </c>
      <c r="N83" s="235" t="s">
        <v>140</v>
      </c>
      <c r="O83" s="236" t="s">
        <v>141</v>
      </c>
      <c r="P83" s="235" t="s">
        <v>142</v>
      </c>
      <c r="Q83" s="236" t="s">
        <v>143</v>
      </c>
      <c r="R83" s="235" t="s">
        <v>179</v>
      </c>
      <c r="S83" s="236" t="s">
        <v>180</v>
      </c>
      <c r="T83" s="236" t="s">
        <v>181</v>
      </c>
      <c r="U83" s="236" t="s">
        <v>182</v>
      </c>
      <c r="V83" s="236" t="s">
        <v>183</v>
      </c>
    </row>
    <row r="84" ht="25.5" customHeight="1" outlineLevel="1">
      <c r="A84" s="237" t="s">
        <v>184</v>
      </c>
      <c r="B84" s="624" t="s">
        <v>398</v>
      </c>
      <c r="C84" s="409"/>
      <c r="D84" s="239" t="s">
        <v>118</v>
      </c>
      <c r="E84" s="409"/>
      <c r="F84" s="409"/>
      <c r="G84" s="409"/>
      <c r="H84" s="283" t="s">
        <v>2359</v>
      </c>
      <c r="I84" s="164"/>
      <c r="J84" s="104"/>
      <c r="K84" s="281"/>
      <c r="L84" s="281"/>
      <c r="M84" s="281"/>
      <c r="N84" s="281"/>
      <c r="O84" s="281"/>
      <c r="P84" s="281"/>
      <c r="Q84" s="281"/>
      <c r="R84" s="281"/>
      <c r="S84" s="281"/>
      <c r="T84" s="281"/>
      <c r="U84" s="166" t="s">
        <v>186</v>
      </c>
      <c r="V84" s="166" t="b">
        <v>1</v>
      </c>
    </row>
    <row r="85" ht="25.5" customHeight="1" outlineLevel="1">
      <c r="A85" s="146"/>
      <c r="B85" s="624" t="s">
        <v>2360</v>
      </c>
      <c r="C85" s="369" t="s">
        <v>272</v>
      </c>
      <c r="D85" s="367" t="s">
        <v>462</v>
      </c>
      <c r="E85" s="367" t="s">
        <v>119</v>
      </c>
      <c r="F85" s="394">
        <v>16.8</v>
      </c>
      <c r="G85" s="549" t="s">
        <v>297</v>
      </c>
      <c r="H85" s="212"/>
      <c r="J85" s="210"/>
      <c r="K85" s="138"/>
      <c r="L85" s="138"/>
      <c r="M85" s="145"/>
      <c r="N85" s="145"/>
      <c r="O85" s="138">
        <v>0.0</v>
      </c>
      <c r="P85" s="138">
        <v>1.0</v>
      </c>
      <c r="Q85" s="138">
        <v>1.0</v>
      </c>
      <c r="R85" s="145" t="b">
        <v>1</v>
      </c>
      <c r="S85" s="145" t="b">
        <v>0</v>
      </c>
      <c r="T85" s="145"/>
      <c r="U85" s="146"/>
      <c r="V85" s="146"/>
    </row>
    <row r="86" ht="25.5" customHeight="1" outlineLevel="1">
      <c r="A86" s="146"/>
      <c r="B86" s="624" t="s">
        <v>2361</v>
      </c>
      <c r="C86" s="156"/>
      <c r="D86" s="156"/>
      <c r="E86" s="156"/>
      <c r="F86" s="156"/>
      <c r="G86" s="107"/>
      <c r="H86" s="212"/>
      <c r="J86" s="210"/>
      <c r="K86" s="138"/>
      <c r="L86" s="138"/>
      <c r="M86" s="145"/>
      <c r="N86" s="145"/>
      <c r="O86" s="138">
        <v>0.0</v>
      </c>
      <c r="P86" s="138">
        <v>1.0</v>
      </c>
      <c r="Q86" s="138">
        <v>1.0</v>
      </c>
      <c r="R86" s="145" t="b">
        <v>1</v>
      </c>
      <c r="S86" s="145" t="b">
        <v>0</v>
      </c>
      <c r="T86" s="145"/>
      <c r="U86" s="146"/>
      <c r="V86" s="146"/>
    </row>
    <row r="87" ht="25.5" customHeight="1" outlineLevel="1">
      <c r="A87" s="156"/>
      <c r="B87" s="624" t="s">
        <v>2362</v>
      </c>
      <c r="C87" s="239" t="s">
        <v>213</v>
      </c>
      <c r="D87" s="239" t="s">
        <v>462</v>
      </c>
      <c r="E87" s="239" t="s">
        <v>80</v>
      </c>
      <c r="F87" s="138">
        <v>9.6</v>
      </c>
      <c r="G87" s="139" t="s">
        <v>123</v>
      </c>
      <c r="H87" s="106"/>
      <c r="I87" s="168"/>
      <c r="J87" s="107"/>
      <c r="K87" s="138"/>
      <c r="L87" s="282"/>
      <c r="M87" s="363"/>
      <c r="N87" s="363"/>
      <c r="O87" s="138">
        <v>0.0</v>
      </c>
      <c r="P87" s="138">
        <v>1.0</v>
      </c>
      <c r="Q87" s="138">
        <v>1.0</v>
      </c>
      <c r="R87" s="145" t="b">
        <v>1</v>
      </c>
      <c r="S87" s="145" t="b">
        <v>0</v>
      </c>
      <c r="T87" s="145"/>
      <c r="U87" s="156"/>
      <c r="V87" s="156"/>
    </row>
    <row r="88">
      <c r="A88" s="223"/>
      <c r="B88" s="224"/>
      <c r="C88" s="225"/>
      <c r="D88" s="225"/>
      <c r="E88" s="226"/>
      <c r="F88" s="226"/>
      <c r="G88" s="226"/>
      <c r="H88" s="227"/>
      <c r="I88" s="227"/>
      <c r="J88" s="228"/>
      <c r="K88" s="228"/>
      <c r="L88" s="228"/>
      <c r="M88" s="228"/>
      <c r="N88" s="228"/>
      <c r="O88" s="228"/>
      <c r="P88" s="228"/>
      <c r="Q88" s="118"/>
      <c r="R88" s="118"/>
      <c r="S88" s="118"/>
      <c r="T88" s="118"/>
      <c r="U88" s="118"/>
      <c r="V88" s="118"/>
    </row>
    <row r="89">
      <c r="A89" s="264" t="s">
        <v>211</v>
      </c>
      <c r="B89" s="104"/>
      <c r="C89" s="227"/>
      <c r="D89" s="227"/>
      <c r="E89" s="228"/>
      <c r="F89" s="265"/>
      <c r="G89" s="265"/>
      <c r="H89" s="228"/>
      <c r="I89" s="228"/>
      <c r="J89" s="228"/>
      <c r="K89" s="228"/>
      <c r="L89" s="228"/>
      <c r="M89" s="228"/>
      <c r="N89" s="118"/>
      <c r="O89" s="118"/>
      <c r="P89" s="118"/>
      <c r="Q89" s="228"/>
      <c r="R89" s="228"/>
      <c r="S89" s="228"/>
      <c r="T89" s="228"/>
      <c r="U89" s="228"/>
      <c r="V89" s="228"/>
    </row>
    <row r="90" outlineLevel="1">
      <c r="A90" s="106"/>
      <c r="B90" s="107"/>
      <c r="C90" s="266" t="s">
        <v>48</v>
      </c>
      <c r="D90" s="266" t="s">
        <v>49</v>
      </c>
      <c r="E90" s="266" t="s">
        <v>50</v>
      </c>
      <c r="F90" s="267" t="s">
        <v>51</v>
      </c>
      <c r="G90" s="227"/>
      <c r="H90" s="227"/>
      <c r="I90" s="227"/>
      <c r="J90" s="228"/>
      <c r="K90" s="228"/>
      <c r="L90" s="228"/>
      <c r="M90" s="228"/>
      <c r="N90" s="228"/>
      <c r="O90" s="228"/>
      <c r="P90" s="228"/>
      <c r="Q90" s="228"/>
      <c r="R90" s="228"/>
      <c r="S90" s="228"/>
      <c r="T90" s="228"/>
      <c r="U90" s="228"/>
      <c r="V90" s="228"/>
    </row>
    <row r="91" outlineLevel="1">
      <c r="A91" s="268" t="s">
        <v>212</v>
      </c>
      <c r="B91" s="269" t="s">
        <v>212</v>
      </c>
      <c r="C91" s="239" t="s">
        <v>213</v>
      </c>
      <c r="D91" s="239" t="s">
        <v>86</v>
      </c>
      <c r="E91" s="239" t="s">
        <v>214</v>
      </c>
      <c r="F91" s="138">
        <v>1.56</v>
      </c>
      <c r="G91" s="227"/>
      <c r="H91" s="227"/>
      <c r="I91" s="227"/>
      <c r="J91" s="228"/>
      <c r="K91" s="228"/>
      <c r="L91" s="228"/>
      <c r="M91" s="228"/>
      <c r="N91" s="228"/>
      <c r="O91" s="228"/>
      <c r="P91" s="228"/>
      <c r="Q91" s="228"/>
      <c r="R91" s="228"/>
      <c r="S91" s="228"/>
      <c r="T91" s="228"/>
      <c r="U91" s="228"/>
      <c r="V91" s="228"/>
    </row>
    <row r="92" outlineLevel="1">
      <c r="A92" s="270" t="s">
        <v>215</v>
      </c>
      <c r="B92" s="269" t="s">
        <v>216</v>
      </c>
      <c r="C92" s="239" t="s">
        <v>2363</v>
      </c>
      <c r="D92" s="239" t="s">
        <v>810</v>
      </c>
      <c r="E92" s="271"/>
      <c r="F92" s="272"/>
      <c r="G92" s="272"/>
      <c r="H92" s="227"/>
      <c r="I92" s="227"/>
      <c r="J92" s="228"/>
      <c r="K92" s="228"/>
      <c r="L92" s="228"/>
      <c r="M92" s="228"/>
      <c r="N92" s="228"/>
      <c r="O92" s="228"/>
      <c r="P92" s="228"/>
      <c r="Q92" s="228"/>
      <c r="R92" s="228"/>
      <c r="S92" s="228"/>
      <c r="T92" s="228"/>
      <c r="U92" s="228"/>
      <c r="V92" s="228"/>
    </row>
    <row r="93" outlineLevel="1">
      <c r="A93" s="212"/>
      <c r="B93" s="269" t="s">
        <v>219</v>
      </c>
      <c r="C93" s="239" t="s">
        <v>2364</v>
      </c>
      <c r="D93" s="239" t="s">
        <v>1577</v>
      </c>
      <c r="E93" s="271"/>
      <c r="F93" s="272"/>
      <c r="G93" s="272"/>
      <c r="H93" s="227"/>
      <c r="I93" s="227"/>
      <c r="J93" s="228"/>
      <c r="K93" s="228"/>
      <c r="L93" s="228"/>
      <c r="M93" s="228"/>
      <c r="N93" s="228"/>
      <c r="O93" s="228"/>
      <c r="P93" s="228"/>
      <c r="Q93" s="228"/>
      <c r="R93" s="228"/>
      <c r="S93" s="228"/>
      <c r="T93" s="228"/>
      <c r="U93" s="228"/>
      <c r="V93" s="228"/>
    </row>
    <row r="94" outlineLevel="1">
      <c r="A94" s="106"/>
      <c r="B94" s="269" t="s">
        <v>222</v>
      </c>
      <c r="C94" s="239" t="s">
        <v>2365</v>
      </c>
      <c r="D94" s="239" t="s">
        <v>601</v>
      </c>
      <c r="E94" s="227"/>
      <c r="F94" s="272"/>
      <c r="G94" s="272"/>
      <c r="H94" s="227"/>
      <c r="I94" s="227"/>
      <c r="J94" s="228"/>
      <c r="K94" s="228"/>
      <c r="L94" s="228"/>
      <c r="M94" s="228"/>
      <c r="N94" s="228"/>
      <c r="O94" s="228"/>
      <c r="P94" s="228"/>
      <c r="Q94" s="228"/>
      <c r="R94" s="228"/>
      <c r="S94" s="228"/>
      <c r="T94" s="228"/>
      <c r="U94" s="228"/>
      <c r="V94" s="228"/>
    </row>
    <row r="95" outlineLevel="1">
      <c r="A95" s="273" t="s">
        <v>225</v>
      </c>
      <c r="B95" s="109"/>
      <c r="C95" s="266" t="s">
        <v>48</v>
      </c>
      <c r="D95" s="266" t="s">
        <v>49</v>
      </c>
      <c r="E95" s="266" t="s">
        <v>50</v>
      </c>
      <c r="F95" s="267" t="s">
        <v>51</v>
      </c>
      <c r="G95" s="1168" t="s">
        <v>53</v>
      </c>
      <c r="H95" s="110"/>
      <c r="I95" s="110"/>
      <c r="J95" s="109"/>
      <c r="K95" s="275" t="str">
        <f>'テンプレート'!K97</f>
        <v>ベクトル</v>
      </c>
      <c r="L95" s="275" t="str">
        <f>'テンプレート'!L97</f>
        <v>KBG (R.E.)</v>
      </c>
      <c r="M95" s="275" t="str">
        <f>'テンプレート'!M97</f>
        <v>BKB (R.A.)</v>
      </c>
      <c r="N95" s="275" t="str">
        <f>'テンプレート'!N97</f>
        <v>FKB (R.F.)</v>
      </c>
      <c r="O95" s="276" t="str">
        <f>'テンプレート'!O97</f>
        <v>盾削り値</v>
      </c>
      <c r="P95" s="275" t="str">
        <f>'テンプレート'!P97</f>
        <v>ﾋｯﾄｽﾄｯﾌﾟ</v>
      </c>
      <c r="Q95" s="276" t="str">
        <f>'テンプレート'!Q97</f>
        <v>ずらし</v>
      </c>
      <c r="R95" s="277"/>
      <c r="S95" s="277"/>
      <c r="T95" s="277"/>
      <c r="U95" s="277"/>
      <c r="V95" s="277"/>
    </row>
    <row r="96" outlineLevel="1">
      <c r="A96" s="278" t="s">
        <v>226</v>
      </c>
      <c r="B96" s="269" t="s">
        <v>227</v>
      </c>
      <c r="C96" s="239" t="s">
        <v>80</v>
      </c>
      <c r="D96" s="279">
        <v>25.0</v>
      </c>
      <c r="E96" s="239" t="s">
        <v>150</v>
      </c>
      <c r="F96" s="138">
        <v>6.0</v>
      </c>
      <c r="G96" s="1170"/>
      <c r="H96" s="164"/>
      <c r="I96" s="164"/>
      <c r="J96" s="104"/>
      <c r="K96" s="282"/>
      <c r="L96" s="282"/>
      <c r="M96" s="363"/>
      <c r="N96" s="363"/>
      <c r="O96" s="145">
        <v>0.0</v>
      </c>
      <c r="P96" s="145">
        <v>1.0</v>
      </c>
      <c r="Q96" s="145">
        <v>1.0</v>
      </c>
      <c r="R96" s="277"/>
      <c r="S96" s="228"/>
      <c r="T96" s="228"/>
      <c r="U96" s="228"/>
      <c r="V96" s="228"/>
    </row>
    <row r="97" outlineLevel="1">
      <c r="A97" s="156"/>
      <c r="B97" s="269" t="s">
        <v>225</v>
      </c>
      <c r="C97" s="113" t="s">
        <v>274</v>
      </c>
      <c r="D97" s="156"/>
      <c r="E97" s="239" t="s">
        <v>73</v>
      </c>
      <c r="F97" s="138">
        <v>4.8</v>
      </c>
      <c r="G97" s="106"/>
      <c r="H97" s="168"/>
      <c r="I97" s="168"/>
      <c r="J97" s="107"/>
      <c r="K97" s="282"/>
      <c r="L97" s="282"/>
      <c r="M97" s="363"/>
      <c r="N97" s="363"/>
      <c r="O97" s="261"/>
      <c r="P97" s="261"/>
      <c r="Q97" s="261"/>
      <c r="R97" s="277"/>
      <c r="S97" s="228"/>
      <c r="T97" s="228"/>
      <c r="U97" s="228"/>
      <c r="V97" s="228"/>
    </row>
    <row r="98" outlineLevel="1">
      <c r="A98" s="278" t="s">
        <v>229</v>
      </c>
      <c r="B98" s="269" t="s">
        <v>227</v>
      </c>
      <c r="C98" s="113" t="s">
        <v>220</v>
      </c>
      <c r="D98" s="279">
        <v>27.0</v>
      </c>
      <c r="E98" s="239" t="s">
        <v>176</v>
      </c>
      <c r="F98" s="138">
        <v>2.4</v>
      </c>
      <c r="G98" s="1170"/>
      <c r="H98" s="164"/>
      <c r="I98" s="164"/>
      <c r="J98" s="104"/>
      <c r="K98" s="282"/>
      <c r="L98" s="282"/>
      <c r="M98" s="363"/>
      <c r="N98" s="363"/>
      <c r="O98" s="145">
        <v>0.0</v>
      </c>
      <c r="P98" s="145">
        <v>1.0</v>
      </c>
      <c r="Q98" s="145">
        <v>1.0</v>
      </c>
      <c r="R98" s="277"/>
      <c r="S98" s="228"/>
      <c r="T98" s="228"/>
      <c r="U98" s="228"/>
      <c r="V98" s="228"/>
    </row>
    <row r="99" outlineLevel="1">
      <c r="A99" s="156"/>
      <c r="B99" s="269" t="s">
        <v>225</v>
      </c>
      <c r="C99" s="113">
        <v>11.0</v>
      </c>
      <c r="D99" s="156"/>
      <c r="E99" s="239" t="s">
        <v>86</v>
      </c>
      <c r="F99" s="138">
        <v>7.199999999999999</v>
      </c>
      <c r="G99" s="106"/>
      <c r="H99" s="168"/>
      <c r="I99" s="168"/>
      <c r="J99" s="107"/>
      <c r="K99" s="282"/>
      <c r="L99" s="282"/>
      <c r="M99" s="363"/>
      <c r="N99" s="363"/>
      <c r="O99" s="261"/>
      <c r="P99" s="261"/>
      <c r="Q99" s="261"/>
      <c r="R99" s="277"/>
      <c r="S99" s="228"/>
      <c r="T99" s="228"/>
      <c r="U99" s="228"/>
      <c r="V99" s="228"/>
    </row>
    <row r="100" outlineLevel="1">
      <c r="A100" s="278" t="s">
        <v>233</v>
      </c>
      <c r="B100" s="269" t="s">
        <v>227</v>
      </c>
      <c r="C100" s="113" t="s">
        <v>71</v>
      </c>
      <c r="D100" s="279">
        <v>40.0</v>
      </c>
      <c r="E100" s="239" t="s">
        <v>176</v>
      </c>
      <c r="F100" s="138">
        <v>2.4</v>
      </c>
      <c r="G100" s="1170"/>
      <c r="H100" s="164"/>
      <c r="I100" s="164"/>
      <c r="J100" s="104"/>
      <c r="K100" s="282"/>
      <c r="L100" s="282"/>
      <c r="M100" s="363"/>
      <c r="N100" s="363"/>
      <c r="O100" s="145">
        <v>0.0</v>
      </c>
      <c r="P100" s="145">
        <v>1.0</v>
      </c>
      <c r="Q100" s="145">
        <v>1.0</v>
      </c>
      <c r="R100" s="277"/>
      <c r="S100" s="228"/>
      <c r="T100" s="228"/>
      <c r="U100" s="228"/>
      <c r="V100" s="228"/>
    </row>
    <row r="101" outlineLevel="1">
      <c r="A101" s="156"/>
      <c r="B101" s="269" t="s">
        <v>225</v>
      </c>
      <c r="C101" s="113">
        <v>5.0</v>
      </c>
      <c r="D101" s="156"/>
      <c r="E101" s="239" t="s">
        <v>80</v>
      </c>
      <c r="F101" s="138">
        <v>9.6</v>
      </c>
      <c r="G101" s="106"/>
      <c r="H101" s="168"/>
      <c r="I101" s="168"/>
      <c r="J101" s="107"/>
      <c r="K101" s="282"/>
      <c r="L101" s="282"/>
      <c r="M101" s="363"/>
      <c r="N101" s="363"/>
      <c r="O101" s="261"/>
      <c r="P101" s="261"/>
      <c r="Q101" s="261"/>
      <c r="R101" s="277"/>
      <c r="S101" s="117"/>
      <c r="T101" s="117"/>
      <c r="U101" s="117"/>
      <c r="V101" s="117"/>
    </row>
    <row r="102" outlineLevel="1">
      <c r="A102" s="278" t="s">
        <v>234</v>
      </c>
      <c r="B102" s="269" t="s">
        <v>227</v>
      </c>
      <c r="C102" s="239" t="s">
        <v>351</v>
      </c>
      <c r="D102" s="367" t="s">
        <v>455</v>
      </c>
      <c r="E102" s="239" t="s">
        <v>73</v>
      </c>
      <c r="F102" s="138">
        <v>4.8</v>
      </c>
      <c r="G102" s="1170"/>
      <c r="H102" s="164"/>
      <c r="I102" s="164"/>
      <c r="J102" s="104"/>
      <c r="K102" s="282"/>
      <c r="L102" s="282"/>
      <c r="M102" s="363"/>
      <c r="N102" s="363"/>
      <c r="O102" s="145">
        <v>0.0</v>
      </c>
      <c r="P102" s="145">
        <v>1.0</v>
      </c>
      <c r="Q102" s="145">
        <v>1.0</v>
      </c>
      <c r="R102" s="277"/>
      <c r="S102" s="117"/>
      <c r="T102" s="117"/>
      <c r="U102" s="117"/>
      <c r="V102" s="117"/>
    </row>
    <row r="103" outlineLevel="1">
      <c r="A103" s="156"/>
      <c r="B103" s="269" t="s">
        <v>225</v>
      </c>
      <c r="C103" s="239" t="s">
        <v>1114</v>
      </c>
      <c r="D103" s="156"/>
      <c r="E103" s="239" t="s">
        <v>73</v>
      </c>
      <c r="F103" s="138">
        <v>4.8</v>
      </c>
      <c r="G103" s="106"/>
      <c r="H103" s="168"/>
      <c r="I103" s="168"/>
      <c r="J103" s="107"/>
      <c r="K103" s="282"/>
      <c r="L103" s="282"/>
      <c r="M103" s="363"/>
      <c r="N103" s="363"/>
      <c r="O103" s="261"/>
      <c r="P103" s="1584" t="s">
        <v>2366</v>
      </c>
      <c r="Q103" s="261"/>
      <c r="R103" s="277"/>
      <c r="S103" s="117"/>
      <c r="T103" s="117"/>
      <c r="U103" s="117"/>
      <c r="V103" s="117"/>
    </row>
    <row r="104">
      <c r="A104" s="223"/>
      <c r="B104" s="224"/>
      <c r="C104" s="225"/>
      <c r="D104" s="225"/>
      <c r="E104" s="227"/>
      <c r="F104" s="177"/>
      <c r="G104" s="177"/>
      <c r="H104" s="227"/>
      <c r="I104" s="227"/>
      <c r="J104" s="228"/>
      <c r="K104" s="228"/>
      <c r="L104" s="111"/>
      <c r="M104" s="111"/>
      <c r="N104" s="111"/>
      <c r="O104" s="117"/>
      <c r="P104" s="117"/>
      <c r="Q104" s="111"/>
      <c r="R104" s="111"/>
      <c r="S104" s="111"/>
      <c r="T104" s="111"/>
      <c r="U104" s="111"/>
      <c r="V104" s="111"/>
    </row>
    <row r="105">
      <c r="A105" s="284" t="s">
        <v>241</v>
      </c>
      <c r="B105" s="104"/>
      <c r="C105" s="265"/>
      <c r="D105" s="111"/>
      <c r="E105" s="111"/>
      <c r="F105" s="111"/>
      <c r="G105" s="111"/>
      <c r="H105" s="111"/>
      <c r="I105" s="111"/>
      <c r="J105" s="118"/>
      <c r="K105" s="111"/>
      <c r="L105" s="111"/>
      <c r="M105" s="111"/>
      <c r="N105" s="111"/>
      <c r="O105" s="111"/>
      <c r="P105" s="111"/>
      <c r="Q105" s="118"/>
      <c r="R105" s="111"/>
      <c r="S105" s="111"/>
      <c r="T105" s="111"/>
      <c r="U105" s="111"/>
      <c r="V105" s="111"/>
    </row>
    <row r="106" outlineLevel="1">
      <c r="A106" s="106"/>
      <c r="B106" s="107"/>
      <c r="C106" s="285" t="s">
        <v>235</v>
      </c>
      <c r="D106" s="285" t="s">
        <v>236</v>
      </c>
      <c r="E106" s="285" t="s">
        <v>49</v>
      </c>
      <c r="F106" s="285" t="s">
        <v>237</v>
      </c>
      <c r="G106" s="286"/>
      <c r="H106" s="227"/>
      <c r="I106" s="227"/>
      <c r="J106" s="228"/>
      <c r="K106" s="228"/>
      <c r="L106" s="111"/>
      <c r="M106" s="111"/>
      <c r="N106" s="111"/>
      <c r="O106" s="111"/>
      <c r="P106" s="111"/>
      <c r="Q106" s="111"/>
      <c r="R106" s="111"/>
      <c r="S106" s="111"/>
      <c r="T106" s="111"/>
      <c r="U106" s="111"/>
      <c r="V106" s="111"/>
    </row>
    <row r="107" outlineLevel="1">
      <c r="A107" s="287" t="s">
        <v>395</v>
      </c>
      <c r="B107" s="288" t="s">
        <v>216</v>
      </c>
      <c r="C107" s="113" t="str">
        <f t="array" ref="C107">INDEX('回避'!$C$3:$U$84, MATCH($A$1,'回避'!$A$3:$A$91,0), MATCH(C106,'回避'!$C$2:$F$2,0))</f>
        <v>3-14</v>
      </c>
      <c r="D107" s="113" t="str">
        <f t="array" ref="D107">INDEX('回避'!$C$3:$U$84, MATCH($A$1,'回避'!$A$3:$A$91,0), MATCH(D106,'回避'!$C$2:$F$2,0))</f>
        <v>6-15</v>
      </c>
      <c r="E107" s="113" t="str">
        <f t="array" ref="E107">INDEX('回避'!$C$3:$U$84, MATCH($A$1,'回避'!$A$3:$A$91,0), MATCH(E106,'回避'!$C$2:$F$2,0))</f>
        <v>23 (18)</v>
      </c>
      <c r="F107" s="113" t="str">
        <f t="array" ref="F107">INDEX('回避'!$C$3:$U$84, MATCH($A$1,'回避'!$A$3:$A$91,0), MATCH(F106,'回避'!$C$2:$F$2,0))</f>
        <v>31 (24)</v>
      </c>
      <c r="G107" s="272"/>
      <c r="H107" s="227"/>
      <c r="I107" s="227"/>
      <c r="J107" s="228"/>
      <c r="K107" s="228"/>
      <c r="L107" s="228"/>
      <c r="M107" s="111"/>
      <c r="N107" s="111"/>
      <c r="O107" s="111"/>
      <c r="P107" s="111"/>
      <c r="Q107" s="111"/>
      <c r="R107" s="111"/>
      <c r="S107" s="111"/>
      <c r="T107" s="111"/>
      <c r="U107" s="111"/>
      <c r="V107" s="111"/>
    </row>
    <row r="108" outlineLevel="1">
      <c r="A108" s="212"/>
      <c r="B108" s="288" t="s">
        <v>245</v>
      </c>
      <c r="C108" s="113" t="str">
        <f t="array" ref="C108">INDEX('回避'!$G$3:$U$84, MATCH($A$1,'回避'!$A$3:$A$91,0), MATCH(C106,'回避'!$G$2:$J$2,0))</f>
        <v>4-12</v>
      </c>
      <c r="D108" s="113" t="str">
        <f t="array" ref="D108">INDEX('回避'!$G$3:$U$84, MATCH($A$1,'回避'!$A$3:$A$91,0), MATCH(D106,'回避'!$G$2:$J$2,0))</f>
        <v>8-12</v>
      </c>
      <c r="E108" s="113" t="str">
        <f t="array" ref="E108">INDEX('回避'!$G$3:$U$84, MATCH($A$1,'回避'!$A$3:$A$91,0), MATCH(E106,'回避'!$G$2:$J$2,0))</f>
        <v>26</v>
      </c>
      <c r="F108" s="113">
        <f t="array" ref="F108">INDEX('回避'!$G$3:$U$84, MATCH($A$1,'回避'!$A$3:$A$91,0), MATCH(F106,'回避'!$G$2:$J$2,0))</f>
        <v>35</v>
      </c>
      <c r="G108" s="289"/>
      <c r="H108" s="227"/>
      <c r="I108" s="227"/>
      <c r="J108" s="228"/>
      <c r="K108" s="228"/>
      <c r="L108" s="228"/>
      <c r="M108" s="228"/>
      <c r="N108" s="228"/>
      <c r="O108" s="111"/>
      <c r="P108" s="111"/>
      <c r="Q108" s="111"/>
      <c r="R108" s="111"/>
      <c r="S108" s="111"/>
      <c r="T108" s="111"/>
      <c r="U108" s="111"/>
      <c r="V108" s="111"/>
    </row>
    <row r="109" outlineLevel="1">
      <c r="A109" s="106"/>
      <c r="B109" s="288" t="s">
        <v>246</v>
      </c>
      <c r="C109" s="113" t="str">
        <f t="array" ref="C109">INDEX('回避'!$K$3:$U$84, MATCH($A$1,'回避'!$A$3:$A$91,0), MATCH(C106,'回避'!$K$2:$N$2,0))</f>
        <v>4-14</v>
      </c>
      <c r="D109" s="113" t="str">
        <f t="array" ref="D109">INDEX('回避'!$K$3:$U$84, MATCH($A$1,'回避'!$A$3:$A$91,0), MATCH(D106,'回避'!$K$2:$N$2,0))</f>
        <v>8-13</v>
      </c>
      <c r="E109" s="113" t="str">
        <f t="array" ref="E109">INDEX('回避'!$K$3:$U$84, MATCH($A$1,'回避'!$A$3:$A$91,0), MATCH(E106,'回避'!$K$2:$N$2,0))</f>
        <v>32</v>
      </c>
      <c r="F109" s="113" t="str">
        <f t="array" ref="F109">INDEX('回避'!$K$3:$U$84, MATCH($A$1,'回避'!$A$3:$A$91,0), MATCH(F106,'回避'!$K$2:$N$2,0))</f>
        <v>48</v>
      </c>
      <c r="G109" s="289"/>
      <c r="H109" s="290"/>
      <c r="I109" s="290"/>
      <c r="J109" s="117"/>
      <c r="K109" s="117"/>
      <c r="L109" s="117"/>
      <c r="M109" s="117"/>
      <c r="N109" s="117"/>
      <c r="O109" s="111"/>
      <c r="P109" s="111"/>
      <c r="Q109" s="111"/>
      <c r="R109" s="111"/>
      <c r="S109" s="111"/>
      <c r="T109" s="111"/>
      <c r="U109" s="111"/>
      <c r="V109" s="111"/>
    </row>
    <row r="110" outlineLevel="1">
      <c r="A110" s="287" t="s">
        <v>396</v>
      </c>
      <c r="B110" s="288" t="s">
        <v>397</v>
      </c>
      <c r="C110" s="113" t="str">
        <f t="array" ref="C110">INDEX('回避'!$O$3:$U$84, MATCH($A$1,'回避'!$A$3:$A$91,0), MATCH(C106,'回避'!$O$2:$R$2,0))</f>
        <v>2-26</v>
      </c>
      <c r="D110" s="113" t="str">
        <f t="array" ref="D110">INDEX('回避'!$O$3:$U$84, MATCH($A$1,'回避'!$A$3:$A$91,0), MATCH(D106,'回避'!$O$2:$R$2,0))</f>
        <v>5-24</v>
      </c>
      <c r="E110" s="113" t="str">
        <f t="array" ref="E110">INDEX('回避'!$O$3:$U$84, MATCH($A$1,'回避'!$A$3:$A$91,0), MATCH(E106,'回避'!$O$2:$R$2,0))</f>
        <v>45</v>
      </c>
      <c r="F110" s="177"/>
      <c r="G110" s="177"/>
      <c r="H110" s="118"/>
      <c r="I110" s="118"/>
      <c r="J110" s="111"/>
      <c r="K110" s="111"/>
      <c r="L110" s="111"/>
      <c r="M110" s="111"/>
      <c r="N110" s="111"/>
      <c r="O110" s="228"/>
      <c r="P110" s="228"/>
      <c r="Q110" s="228"/>
      <c r="R110" s="228"/>
      <c r="S110" s="228"/>
      <c r="T110" s="228"/>
      <c r="U110" s="228"/>
      <c r="V110" s="228"/>
    </row>
    <row r="111" outlineLevel="1">
      <c r="A111" s="106"/>
      <c r="B111" s="288" t="s">
        <v>398</v>
      </c>
      <c r="C111" s="113" t="str">
        <f t="array" ref="C111">INDEX('回避'!$S$3:$U$84, MATCH($A$1,'回避'!$A$3:$A$91,0), MATCH(C106,'回避'!$S$2:$U$2,0))</f>
        <v>2-19</v>
      </c>
      <c r="D111" s="113" t="str">
        <f t="array" ref="D111">INDEX('回避'!$S$3:$U$84, MATCH($A$1,'回避'!$A$3:$A$91,0), MATCH(D106,'回避'!$S$2:$U$2,0))</f>
        <v>5-18</v>
      </c>
      <c r="E111" s="113" t="str">
        <f t="array" ref="E111">INDEX('回避'!$S$3:$U$84, MATCH($A$1,'回避'!$A$3:$A$91,0), MATCH(E106,'回避'!$S$2:$U$2,0))</f>
        <v>真横：77
真上：98
真下：65</v>
      </c>
      <c r="F111" s="289"/>
      <c r="G111" s="289"/>
      <c r="H111" s="118"/>
      <c r="I111" s="118"/>
      <c r="J111" s="117"/>
      <c r="K111" s="117"/>
      <c r="L111" s="117"/>
      <c r="M111" s="117"/>
      <c r="N111" s="111"/>
      <c r="O111" s="118"/>
      <c r="P111" s="118"/>
      <c r="Q111" s="118"/>
      <c r="R111" s="118"/>
      <c r="S111" s="118"/>
      <c r="T111" s="118"/>
      <c r="U111" s="118"/>
      <c r="V111" s="118"/>
    </row>
    <row r="112">
      <c r="A112" s="291"/>
      <c r="B112" s="292"/>
      <c r="C112" s="286"/>
      <c r="D112" s="286"/>
      <c r="E112" s="293"/>
      <c r="F112" s="286"/>
      <c r="G112" s="286"/>
      <c r="H112" s="286"/>
      <c r="I112" s="286"/>
      <c r="J112" s="111"/>
      <c r="K112" s="227"/>
      <c r="L112" s="227"/>
      <c r="M112" s="227"/>
      <c r="N112" s="227"/>
      <c r="O112" s="118"/>
      <c r="P112" s="118"/>
      <c r="Q112" s="118"/>
      <c r="R112" s="118"/>
      <c r="S112" s="118"/>
      <c r="T112" s="118"/>
      <c r="U112" s="118"/>
      <c r="V112" s="118"/>
    </row>
    <row r="113">
      <c r="A113" s="294" t="s">
        <v>238</v>
      </c>
      <c r="B113" s="104"/>
      <c r="C113" s="228"/>
      <c r="D113" s="117"/>
      <c r="E113" s="228"/>
      <c r="F113" s="114"/>
      <c r="G113" s="114"/>
      <c r="H113" s="117"/>
      <c r="I113" s="117"/>
      <c r="J113" s="118"/>
      <c r="K113" s="118"/>
      <c r="L113" s="118"/>
      <c r="M113" s="118"/>
      <c r="N113" s="118"/>
      <c r="O113" s="118"/>
      <c r="P113" s="118"/>
      <c r="Q113" s="118"/>
      <c r="R113" s="118"/>
      <c r="S113" s="118"/>
      <c r="T113" s="118"/>
      <c r="U113" s="118"/>
      <c r="V113" s="118"/>
    </row>
    <row r="114" outlineLevel="1">
      <c r="A114" s="106"/>
      <c r="B114" s="107"/>
      <c r="C114" s="295" t="s">
        <v>235</v>
      </c>
      <c r="D114" s="295" t="s">
        <v>49</v>
      </c>
      <c r="E114" s="295" t="s">
        <v>48</v>
      </c>
      <c r="F114" s="295" t="s">
        <v>50</v>
      </c>
      <c r="G114" s="296" t="s">
        <v>51</v>
      </c>
      <c r="H114" s="228"/>
      <c r="I114" s="228"/>
      <c r="J114" s="117"/>
      <c r="K114" s="297" t="str">
        <f>'テンプレート'!K116</f>
        <v>アイテム取得</v>
      </c>
      <c r="L114" s="109"/>
      <c r="M114" s="298" t="str">
        <f>'テンプレート'!M116</f>
        <v>取得フレーム</v>
      </c>
      <c r="N114" s="298" t="str">
        <f>'テンプレート'!N116</f>
        <v>全体フレーム</v>
      </c>
      <c r="O114" s="118"/>
      <c r="P114" s="118"/>
      <c r="Q114" s="118"/>
      <c r="R114" s="118"/>
      <c r="S114" s="118"/>
      <c r="T114" s="118"/>
      <c r="U114" s="118"/>
      <c r="V114" s="118"/>
    </row>
    <row r="115" outlineLevel="1">
      <c r="A115" s="299" t="s">
        <v>239</v>
      </c>
      <c r="B115" s="300" t="s">
        <v>240</v>
      </c>
      <c r="C115" s="301"/>
      <c r="D115" s="113">
        <f t="array" ref="D115">INDEX('崖行動・受け身'!$C$3:$C113, MATCH($A$1,'崖行動・受け身'!$A$3:$A$115,0), MATCH(D114,'崖行動・受け身'!$C$2,0))</f>
        <v>19</v>
      </c>
      <c r="E115" s="301"/>
      <c r="F115" s="301"/>
      <c r="G115" s="301"/>
      <c r="H115" s="228"/>
      <c r="I115" s="228"/>
      <c r="J115" s="111"/>
      <c r="K115" s="302" t="str">
        <f>'テンプレート'!K117</f>
        <v>小アイテム</v>
      </c>
      <c r="L115" s="303" t="str">
        <f>'テンプレート'!L117</f>
        <v>その場</v>
      </c>
      <c r="M115" s="113" t="s">
        <v>76</v>
      </c>
      <c r="N115" s="113">
        <v>7.0</v>
      </c>
      <c r="O115" s="118"/>
      <c r="P115" s="118"/>
      <c r="Q115" s="118"/>
      <c r="R115" s="118"/>
      <c r="S115" s="118"/>
      <c r="T115" s="118"/>
      <c r="U115" s="118"/>
      <c r="V115" s="118"/>
    </row>
    <row r="116" outlineLevel="1">
      <c r="A116" s="146"/>
      <c r="B116" s="300" t="s">
        <v>216</v>
      </c>
      <c r="C116" s="113" t="str">
        <f t="array" ref="C116">INDEX('崖行動・受け身'!$D$3:$E113, MATCH($A$1,'崖行動・受け身'!$A$3:$A$115,0), MATCH(C114,'崖行動・受け身'!$D$2:$E$2,0))</f>
        <v>1-33</v>
      </c>
      <c r="D116" s="113">
        <f t="array" ref="D116">INDEX('崖行動・受け身'!$D$3:$E113, MATCH($A$1,'崖行動・受け身'!$A$3:$A$115,0), MATCH(D114,'崖行動・受け身'!$D$2:$E$2,0))</f>
        <v>34</v>
      </c>
      <c r="E116" s="301"/>
      <c r="F116" s="301"/>
      <c r="G116" s="301"/>
      <c r="H116" s="228"/>
      <c r="I116" s="228"/>
      <c r="J116" s="117"/>
      <c r="K116" s="156"/>
      <c r="L116" s="303" t="str">
        <f>'テンプレート'!L118</f>
        <v>歩き</v>
      </c>
      <c r="M116" s="113" t="s">
        <v>76</v>
      </c>
      <c r="N116" s="113">
        <v>19.0</v>
      </c>
      <c r="O116" s="118"/>
      <c r="P116" s="118"/>
      <c r="Q116" s="118"/>
      <c r="R116" s="118"/>
      <c r="S116" s="118"/>
      <c r="T116" s="118"/>
      <c r="U116" s="118"/>
      <c r="V116" s="118"/>
    </row>
    <row r="117" outlineLevel="1">
      <c r="A117" s="146"/>
      <c r="B117" s="300" t="s">
        <v>241</v>
      </c>
      <c r="C117" s="113" t="str">
        <f t="array" ref="C117">INDEX('崖行動・受け身'!$F$3:$G$115, MATCH($A$1,'崖行動・受け身'!$A$3:$A$115,0), MATCH(C114,'崖行動・受け身'!$F$2:$G$2,0))</f>
        <v>1-25</v>
      </c>
      <c r="D117" s="113">
        <f t="array" ref="D117">INDEX('崖行動・受け身'!$F$3:$G$115, MATCH($A$1,'崖行動・受け身'!$A$3:$A$115,0), MATCH(D114,'崖行動・受け身'!$F$2:$G$2,0))</f>
        <v>45</v>
      </c>
      <c r="E117" s="301"/>
      <c r="F117" s="301"/>
      <c r="G117" s="301"/>
      <c r="H117" s="228"/>
      <c r="I117" s="228"/>
      <c r="J117" s="111"/>
      <c r="K117" s="304" t="str">
        <f>'テンプレート'!K119</f>
        <v>アイテム投擲</v>
      </c>
      <c r="L117" s="109"/>
      <c r="M117" s="298" t="str">
        <f>'テンプレート'!M119</f>
        <v>投擲フレーム</v>
      </c>
      <c r="N117" s="298" t="str">
        <f>'テンプレート'!N119</f>
        <v>全体フレーム</v>
      </c>
      <c r="O117" s="118"/>
      <c r="P117" s="118"/>
      <c r="Q117" s="118"/>
      <c r="R117" s="118"/>
      <c r="S117" s="118"/>
      <c r="T117" s="118"/>
      <c r="U117" s="118"/>
      <c r="V117" s="118"/>
    </row>
    <row r="118" outlineLevel="1">
      <c r="A118" s="146"/>
      <c r="B118" s="300" t="s">
        <v>242</v>
      </c>
      <c r="C118" s="113" t="str">
        <f t="array" ref="C118">INDEX('崖行動・受け身'!$H$3:$I$115, MATCH($A$1,'崖行動・受け身'!$A$3:$A$115,0), MATCH(C114,'崖行動・受け身'!$H$2:$I$2,0))</f>
        <v>1-12</v>
      </c>
      <c r="D118" s="113">
        <f t="array" ref="D118">INDEX('崖行動・受け身'!$H$3:$I$115, MATCH($A$1,'崖行動・受け身'!$A$3:$A$115,0), MATCH(D114,'崖行動・受け身'!$H$2:$I$2,0))</f>
        <v>14</v>
      </c>
      <c r="E118" s="301"/>
      <c r="F118" s="301"/>
      <c r="G118" s="301"/>
      <c r="H118" s="228"/>
      <c r="I118" s="228"/>
      <c r="J118" s="117"/>
      <c r="K118" s="305" t="str">
        <f>'テンプレート'!K120</f>
        <v>地上投擲</v>
      </c>
      <c r="L118" s="303" t="str">
        <f>'テンプレート'!L120</f>
        <v>前投げ</v>
      </c>
      <c r="M118" s="113" t="s">
        <v>93</v>
      </c>
      <c r="N118" s="113">
        <v>20.0</v>
      </c>
      <c r="O118" s="111"/>
      <c r="P118" s="111"/>
      <c r="Q118" s="111"/>
      <c r="R118" s="111"/>
      <c r="S118" s="111"/>
      <c r="T118" s="111"/>
      <c r="U118" s="111"/>
      <c r="V118" s="111"/>
    </row>
    <row r="119" outlineLevel="1">
      <c r="A119" s="156"/>
      <c r="B119" s="300" t="s">
        <v>243</v>
      </c>
      <c r="C119" s="113" t="str">
        <f t="array" ref="C119">INDEX('崖行動・受け身'!$J$3:$M$115, MATCH($A$1,'崖行動・受け身'!$A$3:$A$115,0), MATCH(C114,'崖行動・受け身'!$J$2:$M$2,0))</f>
        <v>1-19</v>
      </c>
      <c r="D119" s="113">
        <f t="array" ref="D119">INDEX('崖行動・受け身'!$J$3:$M$115, MATCH($A$1,'崖行動・受け身'!$A$3:$A$115,0), MATCH(D114,'崖行動・受け身'!$J$2:$M$2,0))</f>
        <v>55</v>
      </c>
      <c r="E119" s="113" t="str">
        <f t="array" ref="E119">INDEX('崖行動・受け身'!$J$3:$M$115, MATCH($A$1,'崖行動・受け身'!$A$3:$A$115,0), MATCH(E114,'崖行動・受け身'!$J$2:$M$2,0))</f>
        <v>17-19</v>
      </c>
      <c r="F119" s="113">
        <f t="array" ref="F119">INDEX('崖行動・受け身'!$J$3:$M$115, MATCH($A$1,'崖行動・受け身'!$A$3:$A$115,0), MATCH(F114,'崖行動・受け身'!$J$2:$M$2,0))</f>
        <v>9</v>
      </c>
      <c r="G119" s="113">
        <f>F119*1.2</f>
        <v>10.8</v>
      </c>
      <c r="H119" s="228"/>
      <c r="I119" s="228"/>
      <c r="J119" s="111"/>
      <c r="K119" s="146"/>
      <c r="L119" s="303" t="str">
        <f>'テンプレート'!L121</f>
        <v>後投げ</v>
      </c>
      <c r="M119" s="113" t="s">
        <v>274</v>
      </c>
      <c r="N119" s="113">
        <v>20.0</v>
      </c>
      <c r="O119" s="111"/>
      <c r="P119" s="111"/>
      <c r="Q119" s="111"/>
      <c r="R119" s="111"/>
      <c r="S119" s="111"/>
      <c r="T119" s="111"/>
      <c r="U119" s="111"/>
      <c r="V119" s="111"/>
    </row>
    <row r="120" outlineLevel="1">
      <c r="A120" s="299" t="s">
        <v>244</v>
      </c>
      <c r="B120" s="300" t="s">
        <v>216</v>
      </c>
      <c r="C120" s="113" t="str">
        <f t="array" ref="C120">INDEX('崖行動・受け身'!$N$3:$O$115, MATCH($A$1,'崖行動・受け身'!$A$3:$A$115,0), MATCH(C114,'崖行動・受け身'!$N$2:$O$2,0))</f>
        <v>1-20</v>
      </c>
      <c r="D120" s="113">
        <f t="array" ref="D120">INDEX('崖行動・受け身'!$N$3:$O$115, MATCH($A$1,'崖行動・受け身'!$A$3:$A$115,0), MATCH(D114,'崖行動・受け身'!$N$2:$O$2,0))</f>
        <v>26</v>
      </c>
      <c r="E120" s="301"/>
      <c r="F120" s="301"/>
      <c r="G120" s="301"/>
      <c r="H120" s="228"/>
      <c r="I120" s="228"/>
      <c r="J120" s="117"/>
      <c r="K120" s="146"/>
      <c r="L120" s="303" t="str">
        <f>'テンプレート'!L122</f>
        <v>上投げ</v>
      </c>
      <c r="M120" s="113" t="s">
        <v>232</v>
      </c>
      <c r="N120" s="113">
        <v>20.0</v>
      </c>
      <c r="O120" s="228"/>
      <c r="P120" s="228"/>
      <c r="Q120" s="228"/>
      <c r="R120" s="228"/>
      <c r="S120" s="228"/>
      <c r="T120" s="228"/>
      <c r="U120" s="228"/>
      <c r="V120" s="228"/>
    </row>
    <row r="121" outlineLevel="1">
      <c r="A121" s="146"/>
      <c r="B121" s="300" t="s">
        <v>245</v>
      </c>
      <c r="C121" s="113" t="str">
        <f t="array" ref="C121">INDEX('崖行動・受け身'!$P$3:$Q$115, MATCH($A$1,'崖行動・受け身'!$A$3:$A$115,0), MATCH(C114,'崖行動・受け身'!$P$2:$Q$2,0))</f>
        <v>1-20</v>
      </c>
      <c r="D121" s="113">
        <f t="array" ref="D121">INDEX('崖行動・受け身'!$P$3:$Q$115, MATCH($A$1,'崖行動・受け身'!$A$3:$A$115,0), MATCH(D114,'崖行動・受け身'!$P$2:$Q$2,0))</f>
        <v>40</v>
      </c>
      <c r="E121" s="301"/>
      <c r="F121" s="301"/>
      <c r="G121" s="301"/>
      <c r="H121" s="228"/>
      <c r="I121" s="228"/>
      <c r="J121" s="111"/>
      <c r="K121" s="146"/>
      <c r="L121" s="303" t="str">
        <f>'テンプレート'!L123</f>
        <v>下投げ</v>
      </c>
      <c r="M121" s="113" t="s">
        <v>86</v>
      </c>
      <c r="N121" s="113">
        <v>18.0</v>
      </c>
      <c r="O121" s="118"/>
      <c r="P121" s="118"/>
      <c r="Q121" s="118"/>
      <c r="R121" s="118"/>
      <c r="S121" s="118"/>
      <c r="T121" s="118"/>
      <c r="U121" s="118"/>
      <c r="V121" s="118"/>
    </row>
    <row r="122" outlineLevel="1">
      <c r="A122" s="156"/>
      <c r="B122" s="300" t="s">
        <v>246</v>
      </c>
      <c r="C122" s="113" t="str">
        <f t="array" ref="C122">INDEX('崖行動・受け身'!$R$3:$S$115, MATCH($A$1,'崖行動・受け身'!$A$3:$A$115,0), MATCH(C114,'崖行動・受け身'!$R$2:$S$2,0))</f>
        <v>1-20</v>
      </c>
      <c r="D122" s="113">
        <f t="array" ref="D122">INDEX('崖行動・受け身'!$R$3:$S$115, MATCH($A$1,'崖行動・受け身'!$A$3:$A$115,0), MATCH(D114,'崖行動・受け身'!$R$2:$S$2,0))</f>
        <v>40</v>
      </c>
      <c r="E122" s="301"/>
      <c r="F122" s="301"/>
      <c r="G122" s="301"/>
      <c r="H122" s="228"/>
      <c r="I122" s="228"/>
      <c r="J122" s="117"/>
      <c r="K122" s="146"/>
      <c r="L122" s="306" t="str">
        <f>'テンプレート'!L124</f>
        <v>ダッシュ</v>
      </c>
      <c r="M122" s="113" t="s">
        <v>73</v>
      </c>
      <c r="N122" s="113">
        <v>34.0</v>
      </c>
      <c r="O122" s="118"/>
      <c r="P122" s="118"/>
      <c r="Q122" s="118"/>
      <c r="R122" s="118"/>
      <c r="S122" s="118"/>
      <c r="T122" s="118"/>
      <c r="U122" s="118"/>
      <c r="V122" s="118"/>
    </row>
    <row r="123" outlineLevel="1">
      <c r="A123" s="299" t="s">
        <v>247</v>
      </c>
      <c r="B123" s="300" t="s">
        <v>248</v>
      </c>
      <c r="C123" s="301"/>
      <c r="D123" s="113" t="str">
        <f t="array" ref="D123">INDEX('起きあがり'!$C$3:$C113, MATCH($A$1,'起きあがり'!$A$3:$A$115,0), MATCH(D114,'起きあがり'!$C$2:$AD$2,0))</f>
        <v>25</v>
      </c>
      <c r="E123" s="301"/>
      <c r="F123" s="301"/>
      <c r="G123" s="301"/>
      <c r="H123" s="228"/>
      <c r="I123" s="228"/>
      <c r="J123" s="111"/>
      <c r="K123" s="156"/>
      <c r="L123" s="306" t="str">
        <f>'テンプレート'!L125</f>
        <v>その場捨て</v>
      </c>
      <c r="M123" s="113" t="s">
        <v>150</v>
      </c>
      <c r="N123" s="113">
        <v>23.0</v>
      </c>
      <c r="O123" s="118"/>
      <c r="P123" s="118"/>
      <c r="Q123" s="118"/>
      <c r="R123" s="118"/>
      <c r="S123" s="118"/>
      <c r="T123" s="118"/>
      <c r="U123" s="118"/>
      <c r="V123" s="118"/>
    </row>
    <row r="124" outlineLevel="1">
      <c r="A124" s="146"/>
      <c r="B124" s="300" t="s">
        <v>216</v>
      </c>
      <c r="C124" s="307" t="str">
        <f t="array" ref="C124">INDEX('起きあがり'!$D$3:$E113, MATCH($A$1,'起きあがり'!$A$3:$A$115,0), MATCH(C114,'起きあがり'!$D$2:$AD$2,0))</f>
        <v>1-22</v>
      </c>
      <c r="D124" s="308">
        <f t="array" ref="D124">INDEX('起きあがり'!$D$3:$E113, MATCH($A$1,'起きあがり'!$A$3:$A$115,0), MATCH(D114,'起きあがり'!$D$2:$AD$2,0))</f>
        <v>29</v>
      </c>
      <c r="E124" s="301"/>
      <c r="F124" s="301"/>
      <c r="G124" s="301"/>
      <c r="H124" s="228"/>
      <c r="I124" s="228"/>
      <c r="J124" s="117"/>
      <c r="K124" s="305" t="str">
        <f>'テンプレート'!K126</f>
        <v>空中投擲</v>
      </c>
      <c r="L124" s="303" t="str">
        <f>'テンプレート'!L126</f>
        <v>前投げ</v>
      </c>
      <c r="M124" s="113" t="s">
        <v>93</v>
      </c>
      <c r="N124" s="113">
        <v>20.0</v>
      </c>
      <c r="O124" s="118"/>
      <c r="P124" s="118"/>
      <c r="Q124" s="118"/>
      <c r="R124" s="118"/>
      <c r="S124" s="118"/>
      <c r="T124" s="118"/>
      <c r="U124" s="118"/>
      <c r="V124" s="118"/>
    </row>
    <row r="125" outlineLevel="1">
      <c r="A125" s="146"/>
      <c r="B125" s="300" t="s">
        <v>245</v>
      </c>
      <c r="C125" s="307" t="str">
        <f t="array" ref="C125">INDEX('起きあがり'!$F$3:$G$115, MATCH($A$1,'起きあがり'!$A$3:$A$115,0), MATCH(C114,'起きあがり'!$F$2:$AD$2,0))</f>
        <v>1-22</v>
      </c>
      <c r="D125" s="308">
        <f t="array" ref="D125">INDEX('起きあがり'!$F$3:$G$115, MATCH($A$1,'起きあがり'!$A$3:$A$115,0), MATCH(D114,'起きあがり'!$F$2:$AD$2,0))</f>
        <v>35</v>
      </c>
      <c r="E125" s="301"/>
      <c r="F125" s="301"/>
      <c r="G125" s="301"/>
      <c r="H125" s="228"/>
      <c r="I125" s="228"/>
      <c r="J125" s="111"/>
      <c r="K125" s="146"/>
      <c r="L125" s="303" t="str">
        <f>'テンプレート'!L127</f>
        <v>後投げ</v>
      </c>
      <c r="M125" s="113" t="s">
        <v>274</v>
      </c>
      <c r="N125" s="113">
        <v>20.0</v>
      </c>
      <c r="O125" s="118"/>
      <c r="P125" s="118"/>
      <c r="Q125" s="118"/>
      <c r="R125" s="118"/>
      <c r="S125" s="118"/>
      <c r="T125" s="118"/>
      <c r="U125" s="118"/>
      <c r="V125" s="118"/>
    </row>
    <row r="126" outlineLevel="1">
      <c r="A126" s="146"/>
      <c r="B126" s="300" t="s">
        <v>246</v>
      </c>
      <c r="C126" s="113" t="str">
        <f t="array" ref="C126">INDEX('起きあがり'!$H$3:$I$115, MATCH($A$1,'起きあがり'!$A$3:$A$115,0), MATCH(C114,'起きあがり'!$H$2:$AD$2,0))</f>
        <v>1-22</v>
      </c>
      <c r="D126" s="113">
        <f t="array" ref="D126">INDEX('起きあがり'!$H$3:$I$115, MATCH($A$1,'起きあがり'!$A$3:$A$115,0), MATCH(D114,'起きあがり'!$H$2:$AD$2,0))</f>
        <v>35</v>
      </c>
      <c r="E126" s="301"/>
      <c r="F126" s="301"/>
      <c r="G126" s="301"/>
      <c r="H126" s="228"/>
      <c r="I126" s="228"/>
      <c r="J126" s="117"/>
      <c r="K126" s="146"/>
      <c r="L126" s="303" t="str">
        <f>'テンプレート'!L128</f>
        <v>上投げ</v>
      </c>
      <c r="M126" s="113" t="s">
        <v>232</v>
      </c>
      <c r="N126" s="113">
        <v>20.0</v>
      </c>
      <c r="O126" s="118"/>
      <c r="P126" s="118"/>
      <c r="Q126" s="118"/>
      <c r="R126" s="118"/>
      <c r="S126" s="118"/>
      <c r="T126" s="118"/>
      <c r="U126" s="118"/>
      <c r="V126" s="118"/>
    </row>
    <row r="127" outlineLevel="1">
      <c r="A127" s="146"/>
      <c r="B127" s="300" t="s">
        <v>249</v>
      </c>
      <c r="C127" s="309" t="str">
        <f t="array" ref="C127">INDEX('起きあがり'!$J$3:$M$115, MATCH($A$1,'起きあがり'!$A$3:$A$115,0), MATCH(C114,'起きあがり'!$J$2:$AD$2,0))</f>
        <v>1-24</v>
      </c>
      <c r="D127" s="310">
        <f t="array" ref="D127">INDEX('起きあがり'!$J$3:$M$115, MATCH($A$1,'起きあがり'!$A$3:$A$115,0), MATCH(D114,'起きあがり'!$J$2:$AD$2,0))</f>
        <v>45</v>
      </c>
      <c r="E127" s="307" t="str">
        <f t="array" ref="E127">INDEX('起きあがり'!$J$3:$M$115, MATCH($A$1,'起きあがり'!$A$3:$A$115,0), MATCH(E114,'起きあがり'!$J$2:$AD$2,0))</f>
        <v>14-15</v>
      </c>
      <c r="F127" s="308">
        <f t="array" ref="F127">INDEX('起きあがり'!$J$3:$M$115, MATCH($A$1,'起きあがり'!$A$3:$A$115,0), MATCH(F114,'起きあがり'!$J$2:$AD$2,0))</f>
        <v>7</v>
      </c>
      <c r="G127" s="113">
        <f t="shared" ref="G127:G128" si="1">F127*1.2</f>
        <v>8.4</v>
      </c>
      <c r="H127" s="228"/>
      <c r="I127" s="228"/>
      <c r="J127" s="111"/>
      <c r="K127" s="156"/>
      <c r="L127" s="303" t="str">
        <f>'テンプレート'!L129</f>
        <v>下投げ</v>
      </c>
      <c r="M127" s="113" t="s">
        <v>86</v>
      </c>
      <c r="N127" s="113">
        <v>18.0</v>
      </c>
      <c r="O127" s="111"/>
      <c r="P127" s="111"/>
      <c r="Q127" s="111"/>
      <c r="R127" s="111"/>
      <c r="S127" s="111"/>
      <c r="T127" s="111"/>
      <c r="U127" s="111"/>
      <c r="V127" s="111"/>
    </row>
    <row r="128" outlineLevel="1">
      <c r="A128" s="156"/>
      <c r="B128" s="311" t="s">
        <v>250</v>
      </c>
      <c r="C128" s="156"/>
      <c r="D128" s="156"/>
      <c r="E128" s="307" t="str">
        <f t="array" ref="E128">INDEX('起きあがり'!$N$3:$O$115, MATCH($A$1,'起きあがり'!$A$3:$A$115,0), MATCH(E114,'起きあがり'!$N$2:$AD$2,0))</f>
        <v>23-24</v>
      </c>
      <c r="F128" s="308">
        <f t="array" ref="F128">INDEX('起きあがり'!$N$3:$O$115, MATCH($A$1,'起きあがり'!$A$3:$A$115,0), MATCH(F114,'起きあがり'!$N$2:$AD$2,0))</f>
        <v>7</v>
      </c>
      <c r="G128" s="113">
        <f t="shared" si="1"/>
        <v>8.4</v>
      </c>
      <c r="H128" s="228"/>
      <c r="I128" s="228"/>
      <c r="J128" s="111"/>
      <c r="K128" s="312" t="str">
        <f>'テンプレート'!K130</f>
        <v>踏み台ジャンプ</v>
      </c>
      <c r="L128" s="168"/>
      <c r="M128" s="298" t="str">
        <f>'テンプレート'!M130</f>
        <v>全体フレーム</v>
      </c>
      <c r="N128" s="114"/>
      <c r="O128" s="111"/>
      <c r="P128" s="111"/>
      <c r="Q128" s="111"/>
      <c r="R128" s="111"/>
      <c r="S128" s="111"/>
      <c r="T128" s="111"/>
      <c r="U128" s="111"/>
      <c r="V128" s="111"/>
    </row>
    <row r="129" outlineLevel="1">
      <c r="A129" s="299" t="s">
        <v>251</v>
      </c>
      <c r="B129" s="300" t="s">
        <v>248</v>
      </c>
      <c r="C129" s="301"/>
      <c r="D129" s="307" t="str">
        <f t="array" ref="D129">INDEX('起きあがり'!$C$3:$C113, MATCH($A$1,'起きあがり'!$A$3:$A$115,0), MATCH(D114,'起きあがり'!$C$2,0))</f>
        <v>25</v>
      </c>
      <c r="E129" s="301"/>
      <c r="F129" s="301"/>
      <c r="G129" s="301"/>
      <c r="H129" s="228"/>
      <c r="I129" s="228"/>
      <c r="J129" s="117"/>
      <c r="K129" s="313" t="str">
        <f>'テンプレート'!K131</f>
        <v>踏み</v>
      </c>
      <c r="L129" s="314" t="str">
        <f>'テンプレート'!L131</f>
        <v>踏み</v>
      </c>
      <c r="M129" s="113">
        <v>8.0</v>
      </c>
      <c r="N129" s="315"/>
      <c r="O129" s="111"/>
      <c r="P129" s="111"/>
      <c r="Q129" s="111"/>
      <c r="R129" s="111"/>
      <c r="S129" s="111"/>
      <c r="T129" s="111"/>
      <c r="U129" s="111"/>
      <c r="V129" s="111"/>
    </row>
    <row r="130" outlineLevel="1">
      <c r="A130" s="146"/>
      <c r="B130" s="300" t="s">
        <v>216</v>
      </c>
      <c r="C130" s="307" t="str">
        <f t="array" ref="C130">INDEX('起きあがり'!$P$3:$Q$115, MATCH($A$1,'起きあがり'!$A$3:$A$115,0), MATCH(C114,'起きあがり'!$P$2:$AD$2,0))</f>
        <v>1-22</v>
      </c>
      <c r="D130" s="308">
        <f t="array" ref="D130">INDEX('起きあがり'!$P$3:$Q$115, MATCH($A$1,'起きあがり'!$A$3:$A$115,0), MATCH(D114,'起きあがり'!$P$2:$AD$2,0))</f>
        <v>29</v>
      </c>
      <c r="E130" s="301"/>
      <c r="F130" s="301"/>
      <c r="G130" s="301"/>
      <c r="H130" s="228"/>
      <c r="I130" s="228"/>
      <c r="J130" s="111"/>
      <c r="K130" s="305" t="str">
        <f>'テンプレート'!K132</f>
        <v>踏まれ</v>
      </c>
      <c r="L130" s="314" t="str">
        <f>'テンプレート'!L132</f>
        <v>地上踏まれ</v>
      </c>
      <c r="M130" s="113" t="s">
        <v>76</v>
      </c>
      <c r="N130" s="315"/>
      <c r="O130" s="228"/>
      <c r="P130" s="228"/>
      <c r="Q130" s="228"/>
      <c r="R130" s="228"/>
      <c r="S130" s="228"/>
      <c r="T130" s="228"/>
      <c r="U130" s="228"/>
      <c r="V130" s="228"/>
    </row>
    <row r="131" outlineLevel="1">
      <c r="A131" s="146"/>
      <c r="B131" s="300" t="s">
        <v>245</v>
      </c>
      <c r="C131" s="307" t="str">
        <f t="array" ref="C131">INDEX('起きあがり'!$R$3:$S$115, MATCH($A$1,'起きあがり'!$A$3:$A$115,0), MATCH(C114,'起きあがり'!$R$2:$AD$2,0))</f>
        <v>1-22</v>
      </c>
      <c r="D131" s="308">
        <f t="array" ref="D131">INDEX('起きあがり'!$R$3:$S$115, MATCH($A$1,'起きあがり'!$A$3:$A$115,0), MATCH(D114,'起きあがり'!$R$2:$AD$2,0))</f>
        <v>35</v>
      </c>
      <c r="E131" s="301"/>
      <c r="F131" s="301"/>
      <c r="G131" s="301"/>
      <c r="H131" s="228"/>
      <c r="I131" s="228"/>
      <c r="J131" s="117"/>
      <c r="K131" s="146"/>
      <c r="L131" s="314" t="s">
        <v>693</v>
      </c>
      <c r="M131" s="113">
        <v>28.0</v>
      </c>
      <c r="N131" s="102"/>
      <c r="O131" s="118"/>
      <c r="P131" s="118"/>
      <c r="Q131" s="118"/>
      <c r="R131" s="118"/>
      <c r="S131" s="118"/>
      <c r="T131" s="118"/>
      <c r="U131" s="118"/>
      <c r="V131" s="118"/>
    </row>
    <row r="132" outlineLevel="1">
      <c r="A132" s="146"/>
      <c r="B132" s="300" t="s">
        <v>246</v>
      </c>
      <c r="C132" s="307" t="str">
        <f t="array" ref="C132">INDEX('起きあがり'!$T$3:$U$115, MATCH($A$1,'起きあがり'!$A$3:$A$115,0), MATCH(C114,'起きあがり'!$T$2:$AD$2,0))</f>
        <v>1-22</v>
      </c>
      <c r="D132" s="308">
        <f t="array" ref="D132">INDEX('起きあがり'!$T$3:$U$115, MATCH($A$1,'起きあがり'!$A$3:$A$115,0), MATCH(D114,'起きあがり'!$T$2:$AD$2,0))</f>
        <v>35</v>
      </c>
      <c r="E132" s="301"/>
      <c r="F132" s="301"/>
      <c r="G132" s="301"/>
      <c r="H132" s="228"/>
      <c r="I132" s="228"/>
      <c r="J132" s="111"/>
      <c r="K132" s="146"/>
      <c r="L132" s="314" t="str">
        <f>'テンプレート'!L134</f>
        <v>空中踏まれ</v>
      </c>
      <c r="M132" s="113">
        <v>8.0</v>
      </c>
      <c r="N132" s="102"/>
      <c r="O132" s="118"/>
      <c r="P132" s="118"/>
      <c r="Q132" s="118"/>
      <c r="R132" s="118"/>
      <c r="S132" s="118"/>
      <c r="T132" s="118"/>
      <c r="U132" s="118"/>
      <c r="V132" s="118"/>
    </row>
    <row r="133" outlineLevel="1">
      <c r="A133" s="146"/>
      <c r="B133" s="300" t="s">
        <v>249</v>
      </c>
      <c r="C133" s="309" t="str">
        <f t="array" ref="C133">INDEX('起きあがり'!$V$3:$Y$115, MATCH($A$1,'起きあがり'!$A$3:$A$115,0), MATCH(C114,'起きあがり'!$V$2:$AD$2,0))</f>
        <v>1-22</v>
      </c>
      <c r="D133" s="310">
        <f t="array" ref="D133">INDEX('起きあがり'!$V$3:$Y$115, MATCH($A$1,'起きあがり'!$A$3:$A$115,0), MATCH(D114,'起きあがり'!$V$2:$AD$2,0))</f>
        <v>45</v>
      </c>
      <c r="E133" s="307" t="str">
        <f t="array" ref="E133">INDEX('起きあがり'!$V$3:$Y$115, MATCH($A$1,'起きあがり'!$A$3:$A$115,0), MATCH(E114,'起きあがり'!$V$2:$AD$2,0))</f>
        <v>16-17</v>
      </c>
      <c r="F133" s="308">
        <f t="array" ref="F133">INDEX('起きあがり'!$V$3:$Y$115, MATCH($A$1,'起きあがり'!$A$3:$A$115,0), MATCH(F114,'起きあがり'!$V$2:$AD$2,0))</f>
        <v>7</v>
      </c>
      <c r="G133" s="113">
        <f t="shared" ref="G133:G134" si="2">F133*1.2</f>
        <v>8.4</v>
      </c>
      <c r="H133" s="228"/>
      <c r="I133" s="228"/>
      <c r="J133" s="117"/>
      <c r="K133" s="146"/>
      <c r="L133" s="314" t="str">
        <f>'テンプレート'!L135</f>
        <v>空中落下</v>
      </c>
      <c r="M133" s="113">
        <v>34.0</v>
      </c>
      <c r="N133" s="102"/>
      <c r="O133" s="118"/>
      <c r="P133" s="118"/>
      <c r="Q133" s="118"/>
      <c r="R133" s="118"/>
      <c r="S133" s="118"/>
      <c r="T133" s="118"/>
      <c r="U133" s="118"/>
      <c r="V133" s="118"/>
    </row>
    <row r="134" outlineLevel="1">
      <c r="A134" s="156"/>
      <c r="B134" s="311" t="s">
        <v>250</v>
      </c>
      <c r="C134" s="156"/>
      <c r="D134" s="156"/>
      <c r="E134" s="307" t="str">
        <f t="array" ref="E134">INDEX('起きあがり'!$Z$3:$AA$115, MATCH($A$1,'起きあがり'!$A$3:$A$115,0), MATCH(E114,'起きあがり'!$Z$2:$AD$2,0))</f>
        <v>21-22</v>
      </c>
      <c r="F134" s="308">
        <f t="array" ref="F134">INDEX('起きあがり'!$Z$3:$AA$115, MATCH($A$1,'起きあがり'!$A$3:$A$115,0), MATCH(F114,'起きあがり'!$Z$2:$AD$2,0))</f>
        <v>7</v>
      </c>
      <c r="G134" s="113">
        <f t="shared" si="2"/>
        <v>8.4</v>
      </c>
      <c r="H134" s="228"/>
      <c r="I134" s="228"/>
      <c r="J134" s="117"/>
      <c r="K134" s="304" t="str">
        <f>'テンプレート'!K136</f>
        <v>倒れダメージ</v>
      </c>
      <c r="L134" s="110"/>
      <c r="M134" s="298" t="str">
        <f>'テンプレート'!M136</f>
        <v>全体フレーム</v>
      </c>
      <c r="N134" s="102"/>
      <c r="O134" s="118"/>
      <c r="P134" s="118"/>
      <c r="Q134" s="118"/>
      <c r="R134" s="118"/>
      <c r="S134" s="118"/>
      <c r="T134" s="118"/>
      <c r="U134" s="118"/>
      <c r="V134" s="118"/>
    </row>
    <row r="135" outlineLevel="1">
      <c r="A135" s="299" t="s">
        <v>252</v>
      </c>
      <c r="B135" s="300" t="s">
        <v>253</v>
      </c>
      <c r="C135" s="307" t="str">
        <f t="array" ref="C135">INDEX('転倒'!$C$3:$D113, MATCH($A$1,'転倒'!$A$3:$A$115,0), MATCH(C114,'転倒'!$C$2:$AC$2,0))</f>
        <v>1-5</v>
      </c>
      <c r="D135" s="308">
        <f t="array" ref="D135">INDEX('転倒'!$C$3:$D113, MATCH($A$1,'転倒'!$A$3:$A$115,0), MATCH(D114,'転倒'!$C$2:$AC$2,0))</f>
        <v>29</v>
      </c>
      <c r="E135" s="301"/>
      <c r="F135" s="301"/>
      <c r="G135" s="301"/>
      <c r="H135" s="228"/>
      <c r="I135" s="228"/>
      <c r="J135" s="111"/>
      <c r="K135" s="313" t="str">
        <f>'テンプレート'!K137</f>
        <v>あお向け倒れ</v>
      </c>
      <c r="L135" s="306" t="str">
        <f>'テンプレート'!L137</f>
        <v>モーション大</v>
      </c>
      <c r="M135" s="113">
        <v>39.0</v>
      </c>
      <c r="N135" s="315"/>
      <c r="O135" s="118"/>
      <c r="P135" s="118"/>
      <c r="Q135" s="118"/>
      <c r="R135" s="118"/>
      <c r="S135" s="118"/>
      <c r="T135" s="118"/>
      <c r="U135" s="118"/>
      <c r="V135" s="118"/>
    </row>
    <row r="136" outlineLevel="1">
      <c r="A136" s="146"/>
      <c r="B136" s="300" t="s">
        <v>254</v>
      </c>
      <c r="C136" s="307" t="str">
        <f t="array" ref="C136">INDEX('転倒'!$E$3:$F113, MATCH($A$1,'転倒'!$A$3:$A$115,0), MATCH(C114,'転倒'!$E$2:$AC$2,0))</f>
        <v>1-5</v>
      </c>
      <c r="D136" s="308">
        <f t="array" ref="D136">INDEX('転倒'!$E$3:$F113, MATCH($A$1,'転倒'!$A$3:$A$115,0), MATCH(D114,'転倒'!$E$2:$AC$2,0))</f>
        <v>39</v>
      </c>
      <c r="E136" s="301"/>
      <c r="F136" s="301"/>
      <c r="G136" s="301"/>
      <c r="H136" s="228"/>
      <c r="I136" s="228"/>
      <c r="J136" s="117"/>
      <c r="K136" s="313" t="str">
        <f>'テンプレート'!K138</f>
        <v>うつ伏せ倒れ</v>
      </c>
      <c r="L136" s="306" t="str">
        <f>'テンプレート'!L138</f>
        <v>モーション大</v>
      </c>
      <c r="M136" s="113" t="s">
        <v>118</v>
      </c>
      <c r="N136" s="315"/>
      <c r="O136" s="118"/>
      <c r="P136" s="118"/>
      <c r="Q136" s="118"/>
      <c r="R136" s="118"/>
      <c r="S136" s="118"/>
      <c r="T136" s="118"/>
      <c r="U136" s="118"/>
      <c r="V136" s="118"/>
    </row>
    <row r="137" outlineLevel="1">
      <c r="A137" s="146"/>
      <c r="B137" s="300" t="s">
        <v>216</v>
      </c>
      <c r="C137" s="307" t="str">
        <f t="array" ref="C137">INDEX('転倒'!$G$3:$H$115, MATCH($A$1,'転倒'!$A$3:$A$115,0), MATCH(C114,'転倒'!$G$2:$AC$2,0))</f>
        <v>1-16</v>
      </c>
      <c r="D137" s="308">
        <f t="array" ref="D137">INDEX('転倒'!$G$3:$H$115, MATCH($A$1,'転倒'!$A$3:$A$115,0), MATCH(D114,'転倒'!$G$2:$AC$2,0))</f>
        <v>21</v>
      </c>
      <c r="E137" s="301"/>
      <c r="F137" s="301"/>
      <c r="G137" s="301"/>
      <c r="H137" s="228"/>
      <c r="I137" s="228"/>
      <c r="J137" s="111"/>
      <c r="K137" s="304" t="str">
        <f>'テンプレート'!K139</f>
        <v/>
      </c>
      <c r="L137" s="110"/>
      <c r="M137" s="298" t="str">
        <f>'テンプレート'!M139</f>
        <v/>
      </c>
      <c r="N137" s="102"/>
      <c r="O137" s="118"/>
      <c r="P137" s="118"/>
      <c r="Q137" s="118"/>
      <c r="R137" s="118"/>
      <c r="S137" s="118"/>
      <c r="T137" s="118"/>
      <c r="U137" s="118"/>
      <c r="V137" s="118"/>
    </row>
    <row r="138" outlineLevel="1">
      <c r="A138" s="146"/>
      <c r="B138" s="300" t="s">
        <v>245</v>
      </c>
      <c r="C138" s="307" t="str">
        <f t="array" ref="C138">INDEX('転倒'!$I$3:$J$115, MATCH($A$1,'転倒'!$A$3:$A$115,0), MATCH(C114,'転倒'!$I$2:$AC$2,0))</f>
        <v>1-9</v>
      </c>
      <c r="D138" s="308">
        <f t="array" ref="D138">INDEX('転倒'!$I$3:$J$115, MATCH($A$1,'転倒'!$A$3:$A$115,0), MATCH(D114,'転倒'!$I$2:$AC$2,0))</f>
        <v>28</v>
      </c>
      <c r="E138" s="301"/>
      <c r="F138" s="301"/>
      <c r="G138" s="301"/>
      <c r="H138" s="228"/>
      <c r="I138" s="228"/>
      <c r="J138" s="228"/>
      <c r="K138" s="316"/>
      <c r="L138" s="317" t="str">
        <f>'テンプレート'!L140</f>
        <v/>
      </c>
      <c r="M138" s="113" t="s">
        <v>76</v>
      </c>
      <c r="N138" s="102"/>
      <c r="O138" s="118"/>
      <c r="P138" s="118"/>
      <c r="Q138" s="118"/>
      <c r="R138" s="118"/>
      <c r="S138" s="118"/>
      <c r="T138" s="118"/>
      <c r="U138" s="118"/>
      <c r="V138" s="118"/>
    </row>
    <row r="139" outlineLevel="1">
      <c r="A139" s="146"/>
      <c r="B139" s="300" t="s">
        <v>246</v>
      </c>
      <c r="C139" s="307" t="str">
        <f t="array" ref="C139">INDEX('転倒'!$K$3:$L$115, MATCH($A$1,'転倒'!$A$3:$A$115,0), MATCH(C114,'転倒'!$K$2:$AC$2,0))</f>
        <v>1-9</v>
      </c>
      <c r="D139" s="308">
        <f t="array" ref="D139">INDEX('転倒'!$K$3:$L$115, MATCH($A$1,'転倒'!$A$3:$A$115,0), MATCH(D114,'転倒'!$K$2:$AC$2,0))</f>
        <v>28</v>
      </c>
      <c r="E139" s="301"/>
      <c r="F139" s="301"/>
      <c r="G139" s="301"/>
      <c r="H139" s="228"/>
      <c r="I139" s="228"/>
      <c r="J139" s="228"/>
      <c r="K139" s="318"/>
      <c r="L139" s="118"/>
      <c r="M139" s="118"/>
      <c r="N139" s="102"/>
      <c r="O139" s="118"/>
      <c r="P139" s="118"/>
      <c r="Q139" s="118"/>
      <c r="R139" s="118"/>
      <c r="S139" s="118"/>
      <c r="T139" s="118"/>
      <c r="U139" s="118"/>
      <c r="V139" s="118"/>
    </row>
    <row r="140" outlineLevel="1">
      <c r="A140" s="146"/>
      <c r="B140" s="300" t="s">
        <v>249</v>
      </c>
      <c r="C140" s="309" t="str">
        <f t="array" ref="C140">INDEX('転倒'!$M$3:$P$115, MATCH($A$1,'転倒'!$A$3:$A$115,0), MATCH(C114,'転倒'!$M$2:$AC$2,0))</f>
        <v>1-7</v>
      </c>
      <c r="D140" s="310">
        <f t="array" ref="D140">INDEX('転倒'!$M$3:$P$115, MATCH($A$1,'転倒'!$A$3:$A$115,0), MATCH(D114,'転倒'!$M$2:$AC$2,0))</f>
        <v>49</v>
      </c>
      <c r="E140" s="307" t="str">
        <f t="array" ref="E140">INDEX('転倒'!$M$3:$P$115, MATCH($A$1,'転倒'!$A$3:$A$115,0), MATCH(E114,'転倒'!$M$2:$AC$2,0))</f>
        <v>19-20</v>
      </c>
      <c r="F140" s="308">
        <f t="array" ref="F140">INDEX('転倒'!$M$3:$P$115, MATCH($A$1,'転倒'!$A$3:$A$115,0), MATCH(F114,'転倒'!$M$2:$AC$2,0))</f>
        <v>5</v>
      </c>
      <c r="G140" s="113">
        <f t="shared" ref="G140:G141" si="3">F140*1.2</f>
        <v>6</v>
      </c>
      <c r="H140" s="228"/>
      <c r="I140" s="228"/>
      <c r="J140" s="228"/>
      <c r="K140" s="118"/>
      <c r="L140" s="118"/>
      <c r="M140" s="118"/>
      <c r="N140" s="102"/>
      <c r="O140" s="102"/>
      <c r="P140" s="102"/>
      <c r="Q140" s="102"/>
      <c r="R140" s="118"/>
      <c r="S140" s="118"/>
      <c r="T140" s="118"/>
      <c r="U140" s="118"/>
      <c r="V140" s="118"/>
    </row>
    <row r="141" outlineLevel="1">
      <c r="A141" s="156"/>
      <c r="B141" s="311" t="s">
        <v>250</v>
      </c>
      <c r="C141" s="156"/>
      <c r="D141" s="156"/>
      <c r="E141" s="307" t="str">
        <f t="array" ref="E141">INDEX('転倒'!$Q$3:$R$115, MATCH($A$1,'転倒'!$A$3:$A$115,0), MATCH(E114,'転倒'!$Q$2:$AC$2,0))</f>
        <v>27-28</v>
      </c>
      <c r="F141" s="308">
        <f t="array" ref="F141">INDEX('転倒'!$Q$3:$R$115, MATCH($A$1,'転倒'!$A$3:$A$115,0), MATCH(F114,'転倒'!$Q$2:$AC$2,0))</f>
        <v>5</v>
      </c>
      <c r="G141" s="113">
        <f t="shared" si="3"/>
        <v>6</v>
      </c>
      <c r="H141" s="228"/>
      <c r="I141" s="228"/>
      <c r="J141" s="228"/>
      <c r="K141" s="118"/>
      <c r="L141" s="118"/>
      <c r="M141" s="118"/>
      <c r="N141" s="102"/>
      <c r="O141" s="102"/>
      <c r="P141" s="102"/>
      <c r="Q141" s="102"/>
      <c r="R141" s="118"/>
      <c r="S141" s="118"/>
      <c r="T141" s="118"/>
      <c r="U141" s="118"/>
      <c r="V141" s="118"/>
    </row>
    <row r="142" outlineLevel="1">
      <c r="A142" s="319"/>
      <c r="B142" s="320"/>
      <c r="C142" s="321"/>
      <c r="D142" s="321"/>
      <c r="E142" s="322"/>
      <c r="F142" s="322"/>
      <c r="G142" s="114"/>
      <c r="H142" s="228"/>
      <c r="I142" s="228"/>
      <c r="J142" s="228"/>
      <c r="K142" s="118"/>
      <c r="L142" s="118"/>
      <c r="M142" s="118"/>
      <c r="N142" s="102"/>
      <c r="O142" s="102"/>
      <c r="P142" s="102"/>
      <c r="Q142" s="102"/>
      <c r="R142" s="118"/>
      <c r="S142" s="118"/>
      <c r="T142" s="118"/>
      <c r="U142" s="118"/>
      <c r="V142" s="118"/>
    </row>
    <row r="143" outlineLevel="1">
      <c r="A143" s="323" t="s">
        <v>255</v>
      </c>
      <c r="B143" s="109"/>
      <c r="C143" s="321"/>
      <c r="D143" s="321"/>
      <c r="E143" s="322"/>
      <c r="F143" s="322"/>
      <c r="G143" s="114"/>
      <c r="H143" s="228"/>
      <c r="I143" s="228"/>
      <c r="J143" s="228"/>
      <c r="K143" s="118"/>
      <c r="L143" s="118"/>
      <c r="M143" s="118"/>
      <c r="N143" s="102"/>
      <c r="O143" s="102"/>
      <c r="P143" s="102"/>
      <c r="Q143" s="102"/>
      <c r="R143" s="118"/>
      <c r="S143" s="118"/>
      <c r="T143" s="118"/>
      <c r="U143" s="118"/>
      <c r="V143" s="118"/>
    </row>
    <row r="144" outlineLevel="1">
      <c r="A144" s="324" t="s">
        <v>256</v>
      </c>
      <c r="B144" s="109"/>
      <c r="C144" s="325" t="s">
        <v>257</v>
      </c>
      <c r="D144" s="325" t="s">
        <v>49</v>
      </c>
      <c r="E144" s="322"/>
      <c r="F144" s="322"/>
      <c r="G144" s="114"/>
      <c r="H144" s="228"/>
      <c r="I144" s="228"/>
      <c r="J144" s="228"/>
      <c r="K144" s="118"/>
      <c r="L144" s="118"/>
      <c r="M144" s="118"/>
      <c r="N144" s="102"/>
      <c r="O144" s="102"/>
      <c r="P144" s="102"/>
      <c r="Q144" s="102"/>
      <c r="R144" s="118"/>
      <c r="S144" s="118"/>
      <c r="T144" s="118"/>
      <c r="U144" s="118"/>
      <c r="V144" s="118"/>
    </row>
    <row r="145" outlineLevel="1">
      <c r="A145" s="326" t="s">
        <v>258</v>
      </c>
      <c r="B145" s="327" t="s">
        <v>216</v>
      </c>
      <c r="C145" s="328" t="str">
        <f t="array" ref="C145">INDEX('アイテム'!$C$3:$D$114, MATCH($A$1,'アイテム'!$A$3:$A$114,0), MATCH(C144,'アイテム'!$C$2:$AQ$2,0))</f>
        <v>2</v>
      </c>
      <c r="D145" s="328">
        <f t="array" ref="D145">INDEX('アイテム'!$C$3:$D$114, MATCH($A$1,'アイテム'!$A$3:$A$114,0), MATCH(D144,'アイテム'!$C$2:$AQ$2,0))</f>
        <v>7</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219</v>
      </c>
      <c r="C146" s="328" t="str">
        <f t="array" ref="C146">INDEX('アイテム'!$E$3:$F$114, MATCH($A$1,'アイテム'!$A$3:$A$114,0), MATCH(C144,'アイテム'!$C$2:$AQ$2,0))</f>
        <v>2</v>
      </c>
      <c r="D146" s="328">
        <f t="array" ref="D146">INDEX('アイテム'!$E$3:$F$114, MATCH($A$1,'アイテム'!$A$3:$A$114,0), MATCH(D144,'アイテム'!$C$2:$AQ$2,0))</f>
        <v>19</v>
      </c>
      <c r="E146" s="322"/>
      <c r="F146" s="322"/>
      <c r="G146" s="114"/>
      <c r="H146" s="228"/>
      <c r="I146" s="228"/>
      <c r="J146" s="228"/>
      <c r="K146" s="118"/>
      <c r="L146" s="118"/>
      <c r="M146" s="118"/>
      <c r="N146" s="102"/>
      <c r="O146" s="102"/>
      <c r="P146" s="102"/>
      <c r="Q146" s="102"/>
      <c r="R146" s="118"/>
      <c r="S146" s="118"/>
      <c r="T146" s="118"/>
      <c r="U146" s="118"/>
      <c r="V146" s="118"/>
    </row>
    <row r="147" outlineLevel="1">
      <c r="A147" s="329" t="s">
        <v>259</v>
      </c>
      <c r="B147" s="327" t="s">
        <v>216</v>
      </c>
      <c r="C147" s="328">
        <f t="array" ref="C147">INDEX('アイテム'!$AA$3:$AB$114, MATCH($A$1,'アイテム'!$A$3:$A$114,0), MATCH(C144,'アイテム'!$C$2:$AQ$2,0))</f>
        <v>2</v>
      </c>
      <c r="D147" s="328" t="str">
        <f t="array" ref="D147">INDEX('アイテム'!$AA$3:$AB$114, MATCH($A$1,'アイテム'!$A$3:$A$114,0), MATCH(D144,'アイテム'!$C$2:$AQ$2,0))</f>
        <v>12</v>
      </c>
      <c r="E147" s="322"/>
      <c r="F147" s="322"/>
      <c r="G147" s="114"/>
      <c r="H147" s="228"/>
      <c r="I147" s="228"/>
      <c r="J147" s="228"/>
      <c r="K147" s="118"/>
      <c r="L147" s="118"/>
      <c r="M147" s="118"/>
      <c r="N147" s="102"/>
      <c r="O147" s="102"/>
      <c r="P147" s="102"/>
      <c r="Q147" s="102"/>
      <c r="R147" s="118"/>
      <c r="S147" s="118"/>
      <c r="T147" s="118"/>
      <c r="U147" s="118"/>
      <c r="V147" s="118"/>
    </row>
    <row r="148" outlineLevel="1">
      <c r="A148" s="324" t="s">
        <v>260</v>
      </c>
      <c r="B148" s="109"/>
      <c r="C148" s="325" t="s">
        <v>261</v>
      </c>
      <c r="D148" s="325" t="s">
        <v>49</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262</v>
      </c>
      <c r="B149" s="327" t="s">
        <v>226</v>
      </c>
      <c r="C149" s="328" t="str">
        <f t="array" ref="C149">INDEX('アイテム'!$G$3:$H$114, MATCH($A$1,'アイテム'!$A$3:$A$114,0), MATCH(C144,'アイテム'!$C$2:$AQ$2,0))</f>
        <v>7</v>
      </c>
      <c r="D149" s="328">
        <f t="array" ref="D149">INDEX('アイテム'!$G$3:$H$114, MATCH($A$1,'アイテム'!$A$3:$A$114,0), MATCH(D144,'アイテム'!$C$2:$AQ$2,0))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229</v>
      </c>
      <c r="C150" s="328" t="str">
        <f t="array" ref="C150">INDEX('アイテム'!$I$3:$J$114, MATCH($A$1,'アイテム'!$A$3:$A$114,0), MATCH(C144,'アイテム'!$C$2:$AQ$2,0))</f>
        <v>9</v>
      </c>
      <c r="D150" s="328">
        <f t="array" ref="D150">INDEX('アイテム'!$I$3:$J$114, MATCH($A$1,'アイテム'!$A$3:$A$114,0), MATCH(D144,'アイテム'!$C$2:$AQ$2,0))</f>
        <v>24</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233</v>
      </c>
      <c r="C151" s="328" t="str">
        <f t="array" ref="C151">INDEX('アイテム'!$K$3:$L$114, MATCH($A$1,'アイテム'!$A$3:$A$114,0), MATCH(C144,'アイテム'!$C$2:$AQ$2,0))</f>
        <v>11</v>
      </c>
      <c r="D151" s="328">
        <f t="array" ref="D151">INDEX('アイテム'!$K$3:$L$114, MATCH($A$1,'アイテム'!$A$3:$A$114,0), MATCH(D144,'アイテム'!$C$2:$AQ$2,0))</f>
        <v>23</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234</v>
      </c>
      <c r="C152" s="328" t="str">
        <f t="array" ref="C152">INDEX('アイテム'!$M$3:$N$114, MATCH($A$1,'アイテム'!$A$3:$A$114,0), MATCH(C144,'アイテム'!$C$2:$AQ$2,0))</f>
        <v>6</v>
      </c>
      <c r="D152" s="328">
        <f t="array" ref="D152">INDEX('アイテム'!$M$3:$N$114, MATCH($A$1,'アイテム'!$A$3:$A$114,0), MATCH(D144,'アイテム'!$C$2:$AQ$2,0))</f>
        <v>19</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219</v>
      </c>
      <c r="C153" s="328" t="str">
        <f t="array" ref="C153">INDEX('アイテム'!$O$3:$P$114, MATCH($A$1,'アイテム'!$A$3:$A$114,0), MATCH(C144,'アイテム'!$C$2:$AQ$2,0))</f>
        <v>4</v>
      </c>
      <c r="D153" s="328">
        <f t="array" ref="D153">INDEX('アイテム'!$O$3:$P$114, MATCH($A$1,'アイテム'!$A$3:$A$114,0), MATCH(D144,'アイテム'!$C$2:$AQ$2,0))</f>
        <v>29</v>
      </c>
      <c r="E153" s="322"/>
      <c r="F153" s="322"/>
      <c r="G153" s="114"/>
      <c r="H153" s="228"/>
      <c r="I153" s="228"/>
      <c r="J153" s="228"/>
      <c r="K153" s="118"/>
      <c r="L153" s="118"/>
      <c r="M153" s="118"/>
      <c r="N153" s="102"/>
      <c r="O153" s="102"/>
      <c r="P153" s="102"/>
      <c r="Q153" s="102"/>
      <c r="R153" s="118"/>
      <c r="S153" s="118"/>
      <c r="T153" s="118"/>
      <c r="U153" s="118"/>
      <c r="V153" s="118"/>
    </row>
    <row r="154" outlineLevel="1">
      <c r="A154" s="156"/>
      <c r="B154" s="327" t="s">
        <v>263</v>
      </c>
      <c r="C154" s="328" t="str">
        <f t="array" ref="C154">INDEX('アイテム'!$Q$3:$R$114, MATCH($A$1,'アイテム'!$A$3:$A$114,0), MATCH(C144,'アイテム'!$C$2:$AQ$2,0))</f>
        <v>5</v>
      </c>
      <c r="D154" s="328">
        <f t="array" ref="D154">INDEX('アイテム'!$Q$3:$R$114, MATCH($A$1,'アイテム'!$A$3:$A$114,0), MATCH(D144,'アイテム'!$C$2:$AQ$2,0))</f>
        <v>23</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264</v>
      </c>
      <c r="B155" s="327" t="s">
        <v>226</v>
      </c>
      <c r="C155" s="328" t="str">
        <f t="array" ref="C155">INDEX('アイテム'!$S$3:$T$114, MATCH($A$1,'アイテム'!$A$3:$A$114,0), MATCH(C144,'アイテム'!$C$2:$AQ$2,0))</f>
        <v>7</v>
      </c>
      <c r="D155" s="328">
        <f t="array" ref="D155">INDEX('アイテム'!$S$3:$T$114, MATCH($A$1,'アイテム'!$A$3:$A$114,0), MATCH(D144,'アイテム'!$C$2:$AQ$2,0))</f>
        <v>24</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229</v>
      </c>
      <c r="C156" s="328" t="str">
        <f t="array" ref="C156">INDEX('アイテム'!$U$3:$V$114, MATCH($A$1,'アイテム'!$A$3:$A$114,0), MATCH(C144,'アイテム'!$C$2:$AQ$2,0))</f>
        <v>9</v>
      </c>
      <c r="D156" s="328">
        <f t="array" ref="D156">INDEX('アイテム'!$U$3:$V$114, MATCH($A$1,'アイテム'!$A$3:$A$114,0), MATCH(D144,'アイテム'!$C$2:$AQ$2,0))</f>
        <v>24</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233</v>
      </c>
      <c r="C157" s="328" t="str">
        <f t="array" ref="C157">INDEX('アイテム'!$W$3:$X$114, MATCH($A$1,'アイテム'!$A$3:$A$114,0), MATCH(C144,'アイテム'!$C$2:$AQ$2,0))</f>
        <v>11</v>
      </c>
      <c r="D157" s="328">
        <f t="array" ref="D157">INDEX('アイテム'!$W$3:$X$114, MATCH($A$1,'アイテム'!$A$3:$A$114,0), MATCH(D144,'アイテム'!$C$2:$AQ$2,0))</f>
        <v>23</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234</v>
      </c>
      <c r="C158" s="328" t="str">
        <f t="array" ref="C158">INDEX('アイテム'!$Y$3:$Z$114, MATCH($A$1,'アイテム'!$A$3:$A$114,0), MATCH(C144,'アイテム'!$C$2:$AQ$2,0))</f>
        <v>6</v>
      </c>
      <c r="D158" s="328">
        <f t="array" ref="D158">INDEX('アイテム'!$Y$3:$Z$114, MATCH($A$1,'アイテム'!$A$3:$A$114,0), MATCH(D144,'アイテム'!$C$2:$AQ$2,0))</f>
        <v>19</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265</v>
      </c>
      <c r="B159" s="327" t="s">
        <v>226</v>
      </c>
      <c r="C159" s="328">
        <f t="array" ref="C159">INDEX('アイテム'!$AC$3:$AD$114, MATCH($A$1,'アイテム'!$A$3:$A$114,0), MATCH(C144,'アイテム'!$C$2:$AQ$2,0))</f>
        <v>16</v>
      </c>
      <c r="D159" s="328" t="str">
        <f t="array" ref="D159">INDEX('アイテム'!$AC$3:$AD$114, MATCH($A$1,'アイテム'!$A$3:$A$114,0), MATCH(D144,'アイテム'!$C$2:$AQ$2,0))</f>
        <v>30</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f t="array" ref="C160">INDEX('アイテム'!$AE$3:$AF$114, MATCH($A$1,'アイテム'!$A$3:$A$114,0), MATCH(C144,'アイテム'!$C$2:$AQ$2,0))</f>
        <v>16</v>
      </c>
      <c r="D160" s="328" t="str">
        <f t="array" ref="D160">INDEX('アイテム'!$AE$3:$AF$114, MATCH($A$1,'アイテム'!$A$3:$A$114,0), MATCH(D144,'アイテム'!$C$2:$AQ$2,0))</f>
        <v>30</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f t="array" ref="C161">INDEX('アイテム'!$AG$3:$AH$114, MATCH($A$1,'アイテム'!$A$3:$A$114,0), MATCH(C144,'アイテム'!$C$2:$AQ$2,0))</f>
        <v>11</v>
      </c>
      <c r="D161" s="328" t="str">
        <f t="array" ref="D161">INDEX('アイテム'!$AG$3:$AH$114, MATCH($A$1,'アイテム'!$A$3:$A$114,0), MATCH(D144,'アイテム'!$C$2:$AQ$2,0))</f>
        <v>22</v>
      </c>
      <c r="E161" s="322"/>
      <c r="F161" s="322"/>
      <c r="G161" s="114"/>
      <c r="H161" s="228"/>
      <c r="I161" s="228"/>
      <c r="J161" s="228"/>
      <c r="K161" s="118"/>
      <c r="L161" s="118"/>
      <c r="M161" s="118"/>
      <c r="N161" s="102"/>
      <c r="O161" s="102"/>
      <c r="P161" s="102"/>
      <c r="Q161" s="102"/>
      <c r="R161" s="118"/>
      <c r="S161" s="118"/>
      <c r="T161" s="118"/>
      <c r="U161" s="118"/>
      <c r="V161" s="118"/>
    </row>
    <row r="162" outlineLevel="1">
      <c r="A162" s="156"/>
      <c r="B162" s="327" t="s">
        <v>234</v>
      </c>
      <c r="C162" s="328">
        <f t="array" ref="C162">INDEX('アイテム'!$AI$3:$AJ$114, MATCH($A$1,'アイテム'!$A$3:$A$114,0), MATCH(C144,'アイテム'!$C$2:$AQ$2,0))</f>
        <v>11</v>
      </c>
      <c r="D162" s="328" t="str">
        <f t="array" ref="D162">INDEX('アイテム'!$AI$3:$AJ$114, MATCH($A$1,'アイテム'!$A$3:$A$114,0), MATCH(D144,'アイテム'!$C$2:$AQ$2,0))</f>
        <v>22</v>
      </c>
      <c r="E162" s="322"/>
      <c r="F162" s="322"/>
      <c r="G162" s="114"/>
      <c r="H162" s="228"/>
      <c r="I162" s="228"/>
      <c r="J162" s="228"/>
      <c r="K162" s="118"/>
      <c r="L162" s="118"/>
      <c r="M162" s="118"/>
      <c r="N162" s="102"/>
      <c r="O162" s="102"/>
      <c r="P162" s="102"/>
      <c r="Q162" s="102"/>
      <c r="R162" s="118"/>
      <c r="S162" s="118"/>
      <c r="T162" s="118"/>
      <c r="U162" s="118"/>
      <c r="V162" s="118"/>
    </row>
  </sheetData>
  <mergeCells count="151">
    <mergeCell ref="A37:A38"/>
    <mergeCell ref="D37:D38"/>
    <mergeCell ref="H37:J38"/>
    <mergeCell ref="A39:A41"/>
    <mergeCell ref="D39:D41"/>
    <mergeCell ref="H39:J41"/>
    <mergeCell ref="H42:J43"/>
    <mergeCell ref="I47:I48"/>
    <mergeCell ref="J47:J48"/>
    <mergeCell ref="J49:J50"/>
    <mergeCell ref="I49:I50"/>
    <mergeCell ref="I53:I55"/>
    <mergeCell ref="J53:J55"/>
    <mergeCell ref="H59:J59"/>
    <mergeCell ref="H60:J62"/>
    <mergeCell ref="H63:J63"/>
    <mergeCell ref="H64:J68"/>
    <mergeCell ref="H69:J76"/>
    <mergeCell ref="H77:J77"/>
    <mergeCell ref="H78:J82"/>
    <mergeCell ref="H83:J83"/>
    <mergeCell ref="H84:J87"/>
    <mergeCell ref="G95:J95"/>
    <mergeCell ref="G96:J97"/>
    <mergeCell ref="K124:K127"/>
    <mergeCell ref="K128:L128"/>
    <mergeCell ref="K130:K133"/>
    <mergeCell ref="K134:L134"/>
    <mergeCell ref="K137:L137"/>
    <mergeCell ref="G98:J99"/>
    <mergeCell ref="G100:J101"/>
    <mergeCell ref="G102:J103"/>
    <mergeCell ref="K114:L114"/>
    <mergeCell ref="K115:K116"/>
    <mergeCell ref="K117:L117"/>
    <mergeCell ref="K118:K123"/>
    <mergeCell ref="H6:H7"/>
    <mergeCell ref="H10:H11"/>
    <mergeCell ref="E85:E86"/>
    <mergeCell ref="F85:F86"/>
    <mergeCell ref="G85:G86"/>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30"/>
    <mergeCell ref="U29:U30"/>
    <mergeCell ref="H31:J33"/>
    <mergeCell ref="H34:J35"/>
    <mergeCell ref="H36:J36"/>
    <mergeCell ref="U31:U33"/>
    <mergeCell ref="U34:U35"/>
    <mergeCell ref="U37:U38"/>
    <mergeCell ref="U39:U41"/>
    <mergeCell ref="U42:U43"/>
    <mergeCell ref="R46:V46"/>
    <mergeCell ref="R47:V48"/>
    <mergeCell ref="U64:U76"/>
    <mergeCell ref="V64:V76"/>
    <mergeCell ref="U78:U82"/>
    <mergeCell ref="V78:V82"/>
    <mergeCell ref="U84:U87"/>
    <mergeCell ref="V84:V87"/>
    <mergeCell ref="R49:V50"/>
    <mergeCell ref="R51:V51"/>
    <mergeCell ref="R52:V52"/>
    <mergeCell ref="R53:V55"/>
    <mergeCell ref="R56:V56"/>
    <mergeCell ref="U60:U62"/>
    <mergeCell ref="V60:V62"/>
    <mergeCell ref="A100:A101"/>
    <mergeCell ref="A102:A103"/>
    <mergeCell ref="A105:B106"/>
    <mergeCell ref="A107:A109"/>
    <mergeCell ref="A110:A111"/>
    <mergeCell ref="A113:B114"/>
    <mergeCell ref="A115:A119"/>
    <mergeCell ref="C133:C134"/>
    <mergeCell ref="C140:C141"/>
    <mergeCell ref="A135:A141"/>
    <mergeCell ref="A143:B143"/>
    <mergeCell ref="A144:B144"/>
    <mergeCell ref="A145:A146"/>
    <mergeCell ref="A148:B148"/>
    <mergeCell ref="A149:A154"/>
    <mergeCell ref="A155:A158"/>
    <mergeCell ref="A159:A162"/>
    <mergeCell ref="A120:A122"/>
    <mergeCell ref="A123:A128"/>
    <mergeCell ref="C127:C128"/>
    <mergeCell ref="D127:D128"/>
    <mergeCell ref="A129:A134"/>
    <mergeCell ref="D133:D134"/>
    <mergeCell ref="D140:D141"/>
    <mergeCell ref="D31:D33"/>
    <mergeCell ref="D34:D35"/>
    <mergeCell ref="A24:B25"/>
    <mergeCell ref="A26:A28"/>
    <mergeCell ref="A29:A30"/>
    <mergeCell ref="D29:D30"/>
    <mergeCell ref="A31:A33"/>
    <mergeCell ref="C31:C33"/>
    <mergeCell ref="A34:A35"/>
    <mergeCell ref="A42:A43"/>
    <mergeCell ref="C42:C43"/>
    <mergeCell ref="D42:D43"/>
    <mergeCell ref="A45:B46"/>
    <mergeCell ref="A47:A48"/>
    <mergeCell ref="D47:D48"/>
    <mergeCell ref="D49:D50"/>
    <mergeCell ref="D64:D68"/>
    <mergeCell ref="D69:D76"/>
    <mergeCell ref="D78:D82"/>
    <mergeCell ref="C85:C86"/>
    <mergeCell ref="D85:D86"/>
    <mergeCell ref="A49:A50"/>
    <mergeCell ref="A53:A55"/>
    <mergeCell ref="C53:C54"/>
    <mergeCell ref="D53:D55"/>
    <mergeCell ref="A58:B58"/>
    <mergeCell ref="A59:B59"/>
    <mergeCell ref="A63:B63"/>
    <mergeCell ref="A60:A62"/>
    <mergeCell ref="A64:A76"/>
    <mergeCell ref="A77:B77"/>
    <mergeCell ref="A78:A82"/>
    <mergeCell ref="A83:B83"/>
    <mergeCell ref="A84:A87"/>
    <mergeCell ref="A89:B90"/>
    <mergeCell ref="A92:A94"/>
    <mergeCell ref="A95:B95"/>
    <mergeCell ref="A96:A97"/>
    <mergeCell ref="D96:D97"/>
    <mergeCell ref="A98:A99"/>
    <mergeCell ref="D98:D99"/>
    <mergeCell ref="D100:D101"/>
    <mergeCell ref="D102:D103"/>
  </mergeCells>
  <conditionalFormatting sqref="K1:K15 K17:K83 K85:K138">
    <cfRule type="containsText" dxfId="0" priority="1" operator="containsText" text="361">
      <formula>NOT(ISERROR(SEARCH(("361"),(K1))))</formula>
    </cfRule>
  </conditionalFormatting>
  <conditionalFormatting sqref="K1:K15 K17:K83 K85:K138">
    <cfRule type="containsText" dxfId="1" priority="2" operator="containsText" text="363">
      <formula>NOT(ISERROR(SEARCH(("363"),(K1))))</formula>
    </cfRule>
  </conditionalFormatting>
  <conditionalFormatting sqref="K1:K15 K17:K83 K85:K138">
    <cfRule type="containsText" dxfId="1" priority="3" operator="containsText" text="365">
      <formula>NOT(ISERROR(SEARCH(("365"),(K1))))</formula>
    </cfRule>
  </conditionalFormatting>
  <conditionalFormatting sqref="K1:K15 K17:K83 K85:K138">
    <cfRule type="containsText" dxfId="1" priority="4" operator="containsText" text="366">
      <formula>NOT(ISERROR(SEARCH(("366"),(K1))))</formula>
    </cfRule>
  </conditionalFormatting>
  <conditionalFormatting sqref="K1:K15 K17:K83 K85:K138">
    <cfRule type="containsText" dxfId="1" priority="5" operator="containsText" text="367">
      <formula>NOT(ISERROR(SEARCH(("367"),(K1))))</formula>
    </cfRule>
  </conditionalFormatting>
  <conditionalFormatting sqref="P96:P103">
    <cfRule type="cellIs" dxfId="2" priority="6" operator="equal">
      <formula>"敵のみ"</formula>
    </cfRule>
  </conditionalFormatting>
  <conditionalFormatting sqref="C96:C103">
    <cfRule type="cellIs" dxfId="3" priority="7" operator="equal">
      <formula>"-"</formula>
    </cfRule>
  </conditionalFormatting>
  <conditionalFormatting sqref="O1:O83 O85:O162">
    <cfRule type="cellIs" dxfId="4" priority="8" operator="greaterThan">
      <formula>0</formula>
    </cfRule>
  </conditionalFormatting>
  <conditionalFormatting sqref="P1:Q83 P85:Q162">
    <cfRule type="cellIs" dxfId="5" priority="9" operator="lessThan">
      <formula>1</formula>
    </cfRule>
  </conditionalFormatting>
  <conditionalFormatting sqref="P1:Q83 P85:Q162">
    <cfRule type="cellIs" dxfId="4" priority="10" operator="greaterThan">
      <formula>1</formula>
    </cfRule>
  </conditionalFormatting>
  <conditionalFormatting sqref="N25:N83 N85:N103">
    <cfRule type="cellIs" dxfId="6" priority="11" operator="greaterThan">
      <formula>0</formula>
    </cfRule>
  </conditionalFormatting>
  <conditionalFormatting sqref="N1:N15 N17:N83 N85:N162">
    <cfRule type="containsText" dxfId="6" priority="12" operator="containsText" text="/">
      <formula>NOT(ISERROR(SEARCH(("/"),(N1))))</formula>
    </cfRule>
  </conditionalFormatting>
  <drawing r:id="rId2"/>
  <legacyDrawing r:id="rId3"/>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DE51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585">
        <v>30.0</v>
      </c>
      <c r="B1" s="1586"/>
      <c r="C1" s="1587" t="str">
        <f>IMAGE(VLOOKUP($A$1,Fighters!A2:AI114,12,FALSE),1)</f>
        <v>#REF!</v>
      </c>
      <c r="D1" s="1588"/>
      <c r="E1" s="1588"/>
      <c r="F1" s="1588"/>
      <c r="G1" s="1589"/>
      <c r="H1" s="1590"/>
      <c r="I1" s="1588"/>
      <c r="J1" s="1589"/>
      <c r="K1" s="1591"/>
      <c r="L1" s="1588"/>
      <c r="M1" s="1589"/>
      <c r="N1" s="1592"/>
      <c r="O1" s="1592"/>
      <c r="P1" s="1592"/>
      <c r="Q1" s="1592"/>
      <c r="R1" s="1593"/>
      <c r="S1" s="1593"/>
      <c r="T1" s="1593"/>
      <c r="U1" s="1593"/>
      <c r="V1" s="1593"/>
    </row>
    <row r="2">
      <c r="A2" s="1594" t="str">
        <f>VLOOKUP($A$1,Fighters!$A$2:$AI$81,6,FALSE)</f>
        <v>#fde51b</v>
      </c>
      <c r="B2" s="1586"/>
      <c r="C2" s="1595"/>
      <c r="G2" s="1596"/>
      <c r="H2" s="1597"/>
      <c r="I2" s="1598"/>
      <c r="J2" s="1599"/>
      <c r="K2" s="1597"/>
      <c r="L2" s="1598"/>
      <c r="M2" s="1599"/>
      <c r="N2" s="1592"/>
      <c r="O2" s="1592"/>
      <c r="P2" s="1592"/>
      <c r="Q2" s="1592"/>
      <c r="R2" s="1593"/>
      <c r="S2" s="1593"/>
      <c r="T2" s="1593"/>
      <c r="U2" s="1593"/>
      <c r="V2" s="1593"/>
    </row>
    <row r="3">
      <c r="A3" s="1594" t="str">
        <f>VLOOKUP($A$1,Fighters!$A$2:$AI$81,14,FALSE)</f>
        <v>30. ワリオ</v>
      </c>
      <c r="B3" s="1586"/>
      <c r="C3" s="1595"/>
      <c r="G3" s="1596"/>
      <c r="H3" s="1600"/>
      <c r="I3" s="1600"/>
      <c r="J3" s="1600"/>
      <c r="K3" s="1601"/>
      <c r="L3" s="1601"/>
      <c r="M3" s="1601"/>
      <c r="N3" s="1592"/>
      <c r="O3" s="1592"/>
      <c r="P3" s="1592"/>
      <c r="Q3" s="1592"/>
      <c r="R3" s="1602"/>
      <c r="S3" s="1593"/>
      <c r="T3" s="1593"/>
      <c r="U3" s="1593"/>
      <c r="V3" s="1593"/>
    </row>
    <row r="4">
      <c r="A4" s="1594" t="str">
        <f>VLOOKUP($A$1,Fighters!$A$2:$AI$81,13,FALSE)</f>
        <v>0</v>
      </c>
      <c r="B4" s="1586"/>
      <c r="C4" s="1595"/>
      <c r="G4" s="1596"/>
      <c r="H4" s="1603"/>
      <c r="I4" s="1603"/>
      <c r="J4" s="1600"/>
      <c r="K4" s="1601"/>
      <c r="L4" s="1601"/>
      <c r="M4" s="1601"/>
      <c r="N4" s="1592"/>
      <c r="O4" s="1592"/>
      <c r="P4" s="1592"/>
      <c r="Q4" s="1592"/>
      <c r="R4" s="1602"/>
      <c r="S4" s="1593"/>
      <c r="T4" s="1593"/>
      <c r="U4" s="1593"/>
      <c r="V4" s="1593"/>
    </row>
    <row r="5" ht="16.5" customHeight="1">
      <c r="A5" s="1585"/>
      <c r="B5" s="1586"/>
      <c r="C5" s="1595"/>
      <c r="G5" s="1596"/>
      <c r="H5" s="1604"/>
      <c r="I5" s="1604"/>
      <c r="J5" s="1605"/>
      <c r="K5" s="1606"/>
      <c r="L5" s="1607"/>
      <c r="M5" s="1607"/>
      <c r="N5" s="1592"/>
      <c r="O5" s="1592"/>
      <c r="P5" s="1592"/>
      <c r="Q5" s="1592"/>
      <c r="R5" s="1602"/>
      <c r="S5" s="1593"/>
      <c r="T5" s="1593"/>
      <c r="U5" s="1593"/>
      <c r="V5" s="1593"/>
    </row>
    <row r="6">
      <c r="A6" s="1586"/>
      <c r="B6" s="1586"/>
      <c r="C6" s="1595"/>
      <c r="G6" s="1596"/>
      <c r="H6" s="1603"/>
      <c r="I6" s="1608" t="s">
        <v>39</v>
      </c>
      <c r="J6" s="1606"/>
      <c r="K6" s="1609"/>
      <c r="L6" s="1607"/>
      <c r="M6" s="1607"/>
      <c r="N6" s="1592"/>
      <c r="O6" s="1592"/>
      <c r="P6" s="1592"/>
      <c r="Q6" s="1592"/>
      <c r="R6" s="1602"/>
      <c r="S6" s="1593"/>
      <c r="T6" s="1593"/>
      <c r="U6" s="1593"/>
      <c r="V6" s="1593"/>
    </row>
    <row r="7">
      <c r="A7" s="1586"/>
      <c r="B7" s="1586"/>
      <c r="C7" s="1595"/>
      <c r="G7" s="1596"/>
      <c r="H7" s="1604"/>
      <c r="I7" s="1604"/>
      <c r="J7" s="1606"/>
      <c r="K7" s="1609"/>
      <c r="L7" s="1607"/>
      <c r="M7" s="1607"/>
      <c r="N7" s="1592"/>
      <c r="O7" s="1592"/>
      <c r="P7" s="1592"/>
      <c r="Q7" s="1592"/>
      <c r="R7" s="1602"/>
      <c r="S7" s="1593"/>
      <c r="T7" s="1593"/>
      <c r="U7" s="1593"/>
      <c r="V7" s="1593"/>
    </row>
    <row r="8">
      <c r="A8" s="1586"/>
      <c r="B8" s="1586"/>
      <c r="C8" s="1595"/>
      <c r="G8" s="1596"/>
      <c r="H8" s="1610">
        <v>44533.41531841435</v>
      </c>
      <c r="I8" s="1588"/>
      <c r="J8" s="1589"/>
      <c r="K8" s="1606"/>
      <c r="L8" s="1607"/>
      <c r="M8" s="1607"/>
      <c r="N8" s="1592"/>
      <c r="O8" s="1592"/>
      <c r="P8" s="1592"/>
      <c r="Q8" s="1592"/>
      <c r="R8" s="1602"/>
      <c r="S8" s="1593"/>
      <c r="T8" s="1593"/>
      <c r="U8" s="1593"/>
      <c r="V8" s="1593"/>
    </row>
    <row r="9">
      <c r="A9" s="1586"/>
      <c r="B9" s="1586"/>
      <c r="C9" s="1595"/>
      <c r="G9" s="1596"/>
      <c r="H9" s="1597"/>
      <c r="I9" s="1598"/>
      <c r="J9" s="1599"/>
      <c r="K9" s="1593"/>
      <c r="L9" s="1592"/>
      <c r="M9" s="1592"/>
      <c r="N9" s="1592"/>
      <c r="O9" s="1592"/>
      <c r="P9" s="1592"/>
      <c r="Q9" s="1592"/>
      <c r="R9" s="1602"/>
      <c r="S9" s="1593"/>
      <c r="T9" s="1593"/>
      <c r="U9" s="1593"/>
      <c r="V9" s="1593"/>
    </row>
    <row r="10">
      <c r="A10" s="1586"/>
      <c r="B10" s="1586"/>
      <c r="C10" s="1595"/>
      <c r="G10" s="1596"/>
      <c r="H10" s="1611"/>
      <c r="I10" s="1611"/>
      <c r="J10" s="1593"/>
      <c r="K10" s="1593"/>
      <c r="L10" s="1592"/>
      <c r="M10" s="1592"/>
      <c r="N10" s="1592"/>
      <c r="O10" s="1592"/>
      <c r="P10" s="1592"/>
      <c r="Q10" s="1592"/>
      <c r="R10" s="1602"/>
      <c r="S10" s="1593"/>
      <c r="T10" s="1593"/>
      <c r="U10" s="1593"/>
      <c r="V10" s="1593"/>
    </row>
    <row r="11">
      <c r="A11" s="1612" t="s">
        <v>40</v>
      </c>
      <c r="B11" s="1589"/>
      <c r="C11" s="1595"/>
      <c r="G11" s="1596"/>
      <c r="H11" s="1604"/>
      <c r="I11" s="1604"/>
      <c r="J11" s="1593"/>
      <c r="K11" s="1593"/>
      <c r="L11" s="1592"/>
      <c r="M11" s="1592"/>
      <c r="N11" s="1592"/>
      <c r="O11" s="1592"/>
      <c r="P11" s="1592"/>
      <c r="Q11" s="1592"/>
      <c r="R11" s="1602"/>
      <c r="S11" s="1593"/>
      <c r="T11" s="1593"/>
      <c r="U11" s="1593"/>
      <c r="V11" s="1593"/>
    </row>
    <row r="12">
      <c r="A12" s="1597"/>
      <c r="B12" s="1599"/>
      <c r="C12" s="1597"/>
      <c r="D12" s="1598"/>
      <c r="E12" s="1598"/>
      <c r="F12" s="1598"/>
      <c r="G12" s="1599"/>
      <c r="H12" s="1613"/>
      <c r="I12" s="1613"/>
      <c r="J12" s="1586"/>
      <c r="K12" s="1586"/>
      <c r="L12" s="1592"/>
      <c r="M12" s="1592"/>
      <c r="N12" s="1592"/>
      <c r="O12" s="1592"/>
      <c r="P12" s="1592"/>
      <c r="Q12" s="1592"/>
      <c r="R12" s="1602"/>
      <c r="S12" s="1593"/>
      <c r="T12" s="1593"/>
      <c r="U12" s="1593"/>
      <c r="V12" s="159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107 [14th]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33F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1.837 [57th]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0.889 [75th]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0.14894 [46th]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30.5 [64th]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1.65 [52nd]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0.106 [50th]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14.7 [64th]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1.271 [8th]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32F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0.12 [2nd]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30.5 [62nd]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1.61 [42nd]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0.04 [2nd]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2.576 [42nd]</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0.107 [30th]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518</v>
      </c>
      <c r="D26" s="162" t="s">
        <v>105</v>
      </c>
      <c r="E26" s="162" t="s">
        <v>150</v>
      </c>
      <c r="F26" s="138">
        <v>6.0</v>
      </c>
      <c r="G26" s="139" t="s">
        <v>102</v>
      </c>
      <c r="H26" s="140" t="s">
        <v>2367</v>
      </c>
      <c r="I26" s="110"/>
      <c r="J26" s="109"/>
      <c r="K26" s="138"/>
      <c r="L26" s="282"/>
      <c r="M26" s="363"/>
      <c r="N26" s="363"/>
      <c r="O26" s="145">
        <v>0.0</v>
      </c>
      <c r="P26" s="145">
        <v>1.0</v>
      </c>
      <c r="Q26" s="145">
        <v>1.0</v>
      </c>
      <c r="R26" s="100"/>
      <c r="S26" s="100"/>
      <c r="T26" s="100"/>
      <c r="U26" s="145" t="s">
        <v>69</v>
      </c>
      <c r="V26" s="100"/>
    </row>
    <row r="27" outlineLevel="1">
      <c r="A27" s="156"/>
      <c r="B27" s="147" t="s">
        <v>63</v>
      </c>
      <c r="C27" s="216" t="s">
        <v>717</v>
      </c>
      <c r="D27" s="450" t="s">
        <v>99</v>
      </c>
      <c r="E27" s="450" t="s">
        <v>93</v>
      </c>
      <c r="F27" s="138">
        <v>6.0</v>
      </c>
      <c r="G27" s="139" t="s">
        <v>95</v>
      </c>
      <c r="H27" s="366"/>
      <c r="I27" s="110"/>
      <c r="J27" s="109"/>
      <c r="K27" s="282"/>
      <c r="L27" s="282"/>
      <c r="M27" s="363"/>
      <c r="N27" s="363"/>
      <c r="O27" s="145">
        <v>0.0</v>
      </c>
      <c r="P27" s="145">
        <v>1.0</v>
      </c>
      <c r="Q27" s="145">
        <v>1.0</v>
      </c>
      <c r="R27" s="100"/>
      <c r="S27" s="100"/>
      <c r="T27" s="100"/>
      <c r="U27" s="145" t="s">
        <v>76</v>
      </c>
      <c r="V27" s="100"/>
    </row>
    <row r="28" outlineLevel="1">
      <c r="A28" s="133" t="s">
        <v>77</v>
      </c>
      <c r="B28" s="160"/>
      <c r="C28" s="216" t="s">
        <v>713</v>
      </c>
      <c r="D28" s="195" t="s">
        <v>541</v>
      </c>
      <c r="E28" s="216" t="s">
        <v>2368</v>
      </c>
      <c r="F28" s="138" t="s">
        <v>2369</v>
      </c>
      <c r="G28" s="139" t="s">
        <v>2370</v>
      </c>
      <c r="H28" s="368"/>
      <c r="I28" s="164"/>
      <c r="J28" s="104"/>
      <c r="K28" s="138"/>
      <c r="L28" s="282"/>
      <c r="M28" s="363"/>
      <c r="N28" s="363"/>
      <c r="O28" s="145">
        <v>0.0</v>
      </c>
      <c r="P28" s="145">
        <v>1.0</v>
      </c>
      <c r="Q28" s="145">
        <v>1.0</v>
      </c>
      <c r="R28" s="100"/>
      <c r="S28" s="100"/>
      <c r="T28" s="100"/>
      <c r="U28" s="166" t="s">
        <v>69</v>
      </c>
      <c r="V28" s="100"/>
    </row>
    <row r="29" outlineLevel="1">
      <c r="A29" s="156"/>
      <c r="B29" s="147" t="s">
        <v>84</v>
      </c>
      <c r="C29" s="216" t="s">
        <v>1007</v>
      </c>
      <c r="D29" s="107"/>
      <c r="E29" s="216" t="s">
        <v>150</v>
      </c>
      <c r="F29" s="138">
        <v>6.0</v>
      </c>
      <c r="G29" s="139" t="s">
        <v>102</v>
      </c>
      <c r="H29" s="106"/>
      <c r="I29" s="168"/>
      <c r="J29" s="107"/>
      <c r="K29" s="282"/>
      <c r="L29" s="282"/>
      <c r="M29" s="363"/>
      <c r="N29" s="363"/>
      <c r="O29" s="145">
        <v>0.0</v>
      </c>
      <c r="P29" s="145">
        <v>1.0</v>
      </c>
      <c r="Q29" s="145">
        <v>1.0</v>
      </c>
      <c r="R29" s="100"/>
      <c r="S29" s="100"/>
      <c r="T29" s="100"/>
      <c r="U29" s="156"/>
      <c r="V29" s="100"/>
    </row>
    <row r="30" outlineLevel="1">
      <c r="A30" s="170" t="s">
        <v>89</v>
      </c>
      <c r="B30" s="147" t="s">
        <v>90</v>
      </c>
      <c r="C30" s="216" t="s">
        <v>1128</v>
      </c>
      <c r="D30" s="216" t="s">
        <v>118</v>
      </c>
      <c r="E30" s="216" t="s">
        <v>2371</v>
      </c>
      <c r="F30" s="138" t="s">
        <v>2372</v>
      </c>
      <c r="G30" s="139" t="s">
        <v>2373</v>
      </c>
      <c r="H30" s="366"/>
      <c r="I30" s="110"/>
      <c r="J30" s="109"/>
      <c r="K30" s="138"/>
      <c r="L30" s="282"/>
      <c r="M30" s="363"/>
      <c r="N30" s="363"/>
      <c r="O30" s="145">
        <v>0.0</v>
      </c>
      <c r="P30" s="145">
        <v>1.0</v>
      </c>
      <c r="Q30" s="145">
        <v>1.0</v>
      </c>
      <c r="R30" s="100"/>
      <c r="S30" s="100"/>
      <c r="T30" s="100"/>
      <c r="U30" s="145" t="s">
        <v>96</v>
      </c>
      <c r="V30" s="100"/>
    </row>
    <row r="31" outlineLevel="1">
      <c r="A31" s="133" t="s">
        <v>97</v>
      </c>
      <c r="B31" s="160"/>
      <c r="C31" s="216" t="s">
        <v>161</v>
      </c>
      <c r="D31" s="195" t="s">
        <v>105</v>
      </c>
      <c r="E31" s="216" t="s">
        <v>86</v>
      </c>
      <c r="F31" s="138">
        <v>7.199999999999999</v>
      </c>
      <c r="G31" s="139" t="s">
        <v>102</v>
      </c>
      <c r="H31" s="283"/>
      <c r="I31" s="164"/>
      <c r="J31" s="104"/>
      <c r="K31" s="282"/>
      <c r="L31" s="282"/>
      <c r="M31" s="363"/>
      <c r="N31" s="363"/>
      <c r="O31" s="145">
        <v>0.0</v>
      </c>
      <c r="P31" s="145">
        <v>1.0</v>
      </c>
      <c r="Q31" s="145">
        <v>1.0</v>
      </c>
      <c r="R31" s="100"/>
      <c r="S31" s="100"/>
      <c r="T31" s="100"/>
      <c r="U31" s="166" t="s">
        <v>62</v>
      </c>
      <c r="V31" s="100"/>
    </row>
    <row r="32" outlineLevel="1">
      <c r="A32" s="156"/>
      <c r="B32" s="147" t="s">
        <v>84</v>
      </c>
      <c r="C32" s="450" t="s">
        <v>2374</v>
      </c>
      <c r="D32" s="107"/>
      <c r="E32" s="216" t="s">
        <v>150</v>
      </c>
      <c r="F32" s="138">
        <v>6.0</v>
      </c>
      <c r="G32" s="139" t="s">
        <v>102</v>
      </c>
      <c r="H32" s="106"/>
      <c r="I32" s="168"/>
      <c r="J32" s="107"/>
      <c r="K32" s="145"/>
      <c r="L32" s="363"/>
      <c r="M32" s="363"/>
      <c r="N32" s="363"/>
      <c r="O32" s="145">
        <v>0.0</v>
      </c>
      <c r="P32" s="145">
        <v>1.0</v>
      </c>
      <c r="Q32" s="145">
        <v>1.0</v>
      </c>
      <c r="R32" s="100"/>
      <c r="S32" s="100"/>
      <c r="T32" s="100"/>
      <c r="U32" s="156"/>
      <c r="V32" s="100"/>
    </row>
    <row r="33" outlineLevel="1">
      <c r="A33" s="170" t="s">
        <v>103</v>
      </c>
      <c r="B33" s="160"/>
      <c r="C33" s="216" t="s">
        <v>150</v>
      </c>
      <c r="D33" s="216" t="s">
        <v>394</v>
      </c>
      <c r="E33" s="216" t="s">
        <v>73</v>
      </c>
      <c r="F33" s="138">
        <v>4.8</v>
      </c>
      <c r="G33" s="139" t="s">
        <v>75</v>
      </c>
      <c r="H33" s="366"/>
      <c r="I33" s="110"/>
      <c r="J33" s="109"/>
      <c r="K33" s="145"/>
      <c r="L33" s="363"/>
      <c r="M33" s="363"/>
      <c r="N33" s="363"/>
      <c r="O33" s="145">
        <v>0.0</v>
      </c>
      <c r="P33" s="145">
        <v>1.0</v>
      </c>
      <c r="Q33" s="145">
        <v>1.0</v>
      </c>
      <c r="R33" s="100"/>
      <c r="S33" s="100"/>
      <c r="T33" s="100"/>
      <c r="U33" s="145" t="s">
        <v>62</v>
      </c>
      <c r="V33" s="100"/>
    </row>
    <row r="34" outlineLevel="1">
      <c r="A34" s="170" t="s">
        <v>109</v>
      </c>
      <c r="B34" s="147"/>
      <c r="C34" s="216" t="s">
        <v>653</v>
      </c>
      <c r="D34" s="216" t="s">
        <v>901</v>
      </c>
      <c r="E34" s="216" t="s">
        <v>718</v>
      </c>
      <c r="F34" s="138">
        <v>24.0</v>
      </c>
      <c r="G34" s="139" t="s">
        <v>297</v>
      </c>
      <c r="H34" s="140" t="s">
        <v>442</v>
      </c>
      <c r="I34" s="110"/>
      <c r="J34" s="109"/>
      <c r="K34" s="282"/>
      <c r="L34" s="282"/>
      <c r="M34" s="363"/>
      <c r="N34" s="363"/>
      <c r="O34" s="145">
        <v>0.0</v>
      </c>
      <c r="P34" s="145">
        <v>1.0</v>
      </c>
      <c r="Q34" s="145">
        <v>1.0</v>
      </c>
      <c r="R34" s="100"/>
      <c r="S34" s="100"/>
      <c r="T34" s="100"/>
      <c r="U34" s="145" t="s">
        <v>102</v>
      </c>
      <c r="V34" s="100"/>
    </row>
    <row r="35" outlineLevel="1">
      <c r="A35" s="133" t="s">
        <v>116</v>
      </c>
      <c r="B35" s="160"/>
      <c r="C35" s="216" t="s">
        <v>299</v>
      </c>
      <c r="D35" s="195" t="s">
        <v>600</v>
      </c>
      <c r="E35" s="216" t="s">
        <v>394</v>
      </c>
      <c r="F35" s="138">
        <v>20.4</v>
      </c>
      <c r="G35" s="139" t="s">
        <v>88</v>
      </c>
      <c r="H35" s="283" t="s">
        <v>2375</v>
      </c>
      <c r="I35" s="164"/>
      <c r="J35" s="104"/>
      <c r="K35" s="363"/>
      <c r="L35" s="363"/>
      <c r="M35" s="363"/>
      <c r="N35" s="363"/>
      <c r="O35" s="145">
        <v>0.0</v>
      </c>
      <c r="P35" s="145">
        <v>1.0</v>
      </c>
      <c r="Q35" s="145">
        <v>1.0</v>
      </c>
      <c r="R35" s="100"/>
      <c r="S35" s="100"/>
      <c r="T35" s="100"/>
      <c r="U35" s="166" t="s">
        <v>102</v>
      </c>
      <c r="V35" s="100"/>
    </row>
    <row r="36" outlineLevel="1">
      <c r="A36" s="156"/>
      <c r="B36" s="147" t="s">
        <v>84</v>
      </c>
      <c r="C36" s="216" t="s">
        <v>228</v>
      </c>
      <c r="D36" s="107"/>
      <c r="E36" s="216" t="s">
        <v>228</v>
      </c>
      <c r="F36" s="138">
        <v>15.6</v>
      </c>
      <c r="G36" s="139" t="s">
        <v>275</v>
      </c>
      <c r="H36" s="106"/>
      <c r="I36" s="168"/>
      <c r="J36" s="107"/>
      <c r="K36" s="363"/>
      <c r="L36" s="363"/>
      <c r="M36" s="363"/>
      <c r="N36" s="363"/>
      <c r="O36" s="145">
        <v>0.0</v>
      </c>
      <c r="P36" s="145">
        <v>1.0</v>
      </c>
      <c r="Q36" s="145">
        <v>1.0</v>
      </c>
      <c r="R36" s="100"/>
      <c r="S36" s="100"/>
      <c r="T36" s="100"/>
      <c r="U36" s="156"/>
      <c r="V36" s="100"/>
    </row>
    <row r="37" outlineLevel="1">
      <c r="A37" s="133" t="s">
        <v>124</v>
      </c>
      <c r="B37" s="147"/>
      <c r="C37" s="216" t="s">
        <v>2376</v>
      </c>
      <c r="D37" s="195" t="s">
        <v>601</v>
      </c>
      <c r="E37" s="216" t="s">
        <v>228</v>
      </c>
      <c r="F37" s="138">
        <v>15.6</v>
      </c>
      <c r="G37" s="139" t="s">
        <v>275</v>
      </c>
      <c r="H37" s="283" t="s">
        <v>130</v>
      </c>
      <c r="I37" s="164"/>
      <c r="J37" s="104"/>
      <c r="K37" s="282"/>
      <c r="L37" s="282"/>
      <c r="M37" s="363"/>
      <c r="N37" s="363"/>
      <c r="O37" s="145">
        <v>0.0</v>
      </c>
      <c r="P37" s="145">
        <v>1.0</v>
      </c>
      <c r="Q37" s="145">
        <v>1.0</v>
      </c>
      <c r="R37" s="100"/>
      <c r="S37" s="100"/>
      <c r="T37" s="100"/>
      <c r="U37" s="166" t="s">
        <v>62</v>
      </c>
      <c r="V37" s="100"/>
    </row>
    <row r="38" outlineLevel="1">
      <c r="A38" s="146"/>
      <c r="B38" s="147" t="s">
        <v>187</v>
      </c>
      <c r="C38" s="216" t="s">
        <v>1695</v>
      </c>
      <c r="D38" s="210"/>
      <c r="E38" s="216" t="s">
        <v>128</v>
      </c>
      <c r="F38" s="138">
        <v>12.0</v>
      </c>
      <c r="G38" s="139" t="s">
        <v>95</v>
      </c>
      <c r="H38" s="212"/>
      <c r="J38" s="210"/>
      <c r="K38" s="282"/>
      <c r="L38" s="282"/>
      <c r="M38" s="363"/>
      <c r="N38" s="363"/>
      <c r="O38" s="145">
        <v>0.0</v>
      </c>
      <c r="P38" s="145">
        <v>1.0</v>
      </c>
      <c r="Q38" s="145">
        <v>1.0</v>
      </c>
      <c r="R38" s="100"/>
      <c r="S38" s="100"/>
      <c r="T38" s="100"/>
      <c r="U38" s="146"/>
      <c r="V38" s="100"/>
    </row>
    <row r="39" outlineLevel="1">
      <c r="A39" s="156"/>
      <c r="B39" s="147" t="s">
        <v>189</v>
      </c>
      <c r="C39" s="216" t="s">
        <v>2377</v>
      </c>
      <c r="D39" s="107"/>
      <c r="E39" s="216" t="s">
        <v>150</v>
      </c>
      <c r="F39" s="138">
        <v>6.0</v>
      </c>
      <c r="G39" s="139" t="s">
        <v>147</v>
      </c>
      <c r="H39" s="106"/>
      <c r="I39" s="168"/>
      <c r="J39" s="107"/>
      <c r="K39" s="282"/>
      <c r="L39" s="282"/>
      <c r="M39" s="363"/>
      <c r="N39" s="363"/>
      <c r="O39" s="145">
        <v>0.0</v>
      </c>
      <c r="P39" s="145">
        <v>1.0</v>
      </c>
      <c r="Q39" s="145">
        <v>1.0</v>
      </c>
      <c r="R39" s="100"/>
      <c r="S39" s="100"/>
      <c r="T39" s="100"/>
      <c r="U39" s="156"/>
      <c r="V39" s="100"/>
    </row>
    <row r="40">
      <c r="A40" s="118"/>
      <c r="B40" s="176"/>
      <c r="C40" s="118"/>
      <c r="D40" s="118"/>
      <c r="E40" s="118"/>
      <c r="F40" s="177"/>
      <c r="G40" s="177"/>
      <c r="H40" s="118"/>
      <c r="I40" s="118"/>
      <c r="J40" s="118"/>
      <c r="K40" s="118"/>
      <c r="L40" s="118"/>
      <c r="M40" s="118"/>
      <c r="N40" s="118"/>
      <c r="O40" s="118"/>
      <c r="P40" s="118"/>
      <c r="Q40" s="118"/>
      <c r="R40" s="118"/>
      <c r="S40" s="118"/>
      <c r="T40" s="118"/>
      <c r="U40" s="118"/>
      <c r="V40" s="118"/>
    </row>
    <row r="41">
      <c r="A41" s="178" t="s">
        <v>133</v>
      </c>
      <c r="B41" s="104"/>
      <c r="C41" s="179"/>
      <c r="D41" s="179"/>
      <c r="E41" s="179"/>
      <c r="F41" s="180"/>
      <c r="G41" s="179"/>
      <c r="H41" s="180"/>
      <c r="I41" s="180"/>
      <c r="J41" s="181"/>
      <c r="K41" s="180"/>
      <c r="L41" s="180"/>
      <c r="M41" s="180"/>
      <c r="N41" s="180"/>
      <c r="O41" s="180"/>
      <c r="P41" s="180"/>
      <c r="Q41" s="180"/>
      <c r="R41" s="180"/>
      <c r="S41" s="180"/>
      <c r="T41" s="180"/>
      <c r="U41" s="180"/>
      <c r="V41" s="180"/>
    </row>
    <row r="42" outlineLevel="1">
      <c r="A42" s="106"/>
      <c r="B42" s="107"/>
      <c r="C42" s="182" t="s">
        <v>48</v>
      </c>
      <c r="D42" s="183" t="s">
        <v>49</v>
      </c>
      <c r="E42" s="182" t="s">
        <v>50</v>
      </c>
      <c r="F42" s="184" t="s">
        <v>51</v>
      </c>
      <c r="G42" s="184" t="s">
        <v>134</v>
      </c>
      <c r="H42" s="185" t="s">
        <v>52</v>
      </c>
      <c r="I42" s="184" t="str">
        <f>'テンプレート'!I56</f>
        <v>着地隙</v>
      </c>
      <c r="J42" s="184" t="s">
        <v>136</v>
      </c>
      <c r="K42" s="184" t="str">
        <f>'テンプレート'!K56</f>
        <v>ベクトル</v>
      </c>
      <c r="L42" s="184" t="str">
        <f>'テンプレート'!L56</f>
        <v>KBG (R.E.)</v>
      </c>
      <c r="M42" s="184" t="str">
        <f>'テンプレート'!M56</f>
        <v>BKB (R.A.)</v>
      </c>
      <c r="N42" s="184" t="str">
        <f>'テンプレート'!N56</f>
        <v>FKB (R.F.)</v>
      </c>
      <c r="O42" s="186" t="str">
        <f>'テンプレート'!O56</f>
        <v>盾削り値</v>
      </c>
      <c r="P42" s="184" t="str">
        <f>'テンプレート'!P56</f>
        <v>ﾋｯﾄｽﾄｯﾌﾟ</v>
      </c>
      <c r="Q42" s="186" t="str">
        <f>'テンプレート'!Q56</f>
        <v>ずらし</v>
      </c>
      <c r="R42" s="187" t="str">
        <f>'テンプレート'!R56</f>
        <v>備考</v>
      </c>
      <c r="S42" s="110"/>
      <c r="T42" s="110"/>
      <c r="U42" s="110"/>
      <c r="V42" s="110"/>
    </row>
    <row r="43" outlineLevel="1">
      <c r="A43" s="188" t="s">
        <v>144</v>
      </c>
      <c r="B43" s="373" t="s">
        <v>125</v>
      </c>
      <c r="C43" s="239" t="s">
        <v>2378</v>
      </c>
      <c r="D43" s="195" t="s">
        <v>146</v>
      </c>
      <c r="E43" s="401" t="s">
        <v>86</v>
      </c>
      <c r="F43" s="193">
        <v>7.199999999999999</v>
      </c>
      <c r="G43" s="193">
        <v>6.12</v>
      </c>
      <c r="H43" s="138" t="s">
        <v>60</v>
      </c>
      <c r="I43" s="454" t="str">
        <f t="array" ref="I43">INDEX('空中攻撃'!$O$3:$AA$109, MATCH($A$1,'空中攻撃'!$A$3:$A$109,0), MATCH(A43,'空中攻撃'!$O$2:$S$2,0))</f>
        <v>7</v>
      </c>
      <c r="J43" s="195" t="s">
        <v>2379</v>
      </c>
      <c r="K43" s="376"/>
      <c r="L43" s="377"/>
      <c r="M43" s="825"/>
      <c r="N43" s="825"/>
      <c r="O43" s="199">
        <v>0.0</v>
      </c>
      <c r="P43" s="199">
        <v>1.0</v>
      </c>
      <c r="Q43" s="199">
        <v>1.0</v>
      </c>
      <c r="R43" s="1124"/>
      <c r="S43" s="164"/>
      <c r="T43" s="164"/>
      <c r="U43" s="164"/>
      <c r="V43" s="104"/>
    </row>
    <row r="44" outlineLevel="1">
      <c r="A44" s="146"/>
      <c r="B44" s="373" t="s">
        <v>430</v>
      </c>
      <c r="C44" s="239" t="s">
        <v>1734</v>
      </c>
      <c r="D44" s="210"/>
      <c r="E44" s="401" t="s">
        <v>2380</v>
      </c>
      <c r="F44" s="193" t="s">
        <v>2381</v>
      </c>
      <c r="G44" s="193" t="s">
        <v>2382</v>
      </c>
      <c r="H44" s="138" t="s">
        <v>1747</v>
      </c>
      <c r="I44" s="146"/>
      <c r="J44" s="210"/>
      <c r="K44" s="376"/>
      <c r="L44" s="377"/>
      <c r="M44" s="825"/>
      <c r="N44" s="825"/>
      <c r="O44" s="199"/>
      <c r="P44" s="199"/>
      <c r="Q44" s="199"/>
      <c r="R44" s="212"/>
      <c r="V44" s="210"/>
    </row>
    <row r="45" outlineLevel="1">
      <c r="A45" s="146"/>
      <c r="B45" s="373" t="s">
        <v>131</v>
      </c>
      <c r="C45" s="239" t="s">
        <v>2256</v>
      </c>
      <c r="D45" s="210"/>
      <c r="E45" s="401" t="s">
        <v>73</v>
      </c>
      <c r="F45" s="138">
        <v>4.8</v>
      </c>
      <c r="G45" s="138">
        <v>4.08</v>
      </c>
      <c r="H45" s="138" t="s">
        <v>60</v>
      </c>
      <c r="I45" s="146"/>
      <c r="J45" s="210"/>
      <c r="K45" s="376"/>
      <c r="L45" s="377"/>
      <c r="M45" s="825"/>
      <c r="N45" s="825"/>
      <c r="O45" s="199"/>
      <c r="P45" s="199"/>
      <c r="Q45" s="199"/>
      <c r="R45" s="212"/>
      <c r="V45" s="210"/>
    </row>
    <row r="46" outlineLevel="1">
      <c r="A46" s="156"/>
      <c r="B46" s="373" t="s">
        <v>432</v>
      </c>
      <c r="C46" s="239" t="s">
        <v>2383</v>
      </c>
      <c r="D46" s="107"/>
      <c r="E46" s="239" t="s">
        <v>150</v>
      </c>
      <c r="F46" s="138">
        <v>6.0</v>
      </c>
      <c r="G46" s="138">
        <v>5.1</v>
      </c>
      <c r="H46" s="138" t="s">
        <v>60</v>
      </c>
      <c r="I46" s="156"/>
      <c r="J46" s="107"/>
      <c r="K46" s="376"/>
      <c r="L46" s="377"/>
      <c r="M46" s="825"/>
      <c r="N46" s="825"/>
      <c r="O46" s="199">
        <v>0.0</v>
      </c>
      <c r="P46" s="199">
        <v>1.0</v>
      </c>
      <c r="Q46" s="199">
        <v>1.0</v>
      </c>
      <c r="R46" s="106"/>
      <c r="S46" s="168"/>
      <c r="T46" s="168"/>
      <c r="U46" s="168"/>
      <c r="V46" s="107"/>
    </row>
    <row r="47" outlineLevel="1">
      <c r="A47" s="188" t="s">
        <v>151</v>
      </c>
      <c r="B47" s="373"/>
      <c r="C47" s="239" t="s">
        <v>267</v>
      </c>
      <c r="D47" s="452">
        <v>37.0</v>
      </c>
      <c r="E47" s="239" t="s">
        <v>93</v>
      </c>
      <c r="F47" s="138">
        <v>8.4</v>
      </c>
      <c r="G47" s="138">
        <v>7.140000000000001</v>
      </c>
      <c r="H47" s="138" t="s">
        <v>60</v>
      </c>
      <c r="I47" s="454" t="str">
        <f t="array" ref="I47">INDEX('空中攻撃'!$O$3:$AA$109, MATCH($A$1,'空中攻撃'!$A$3:$A$109,0), MATCH(A47,'空中攻撃'!$O$2:$S$2,0))</f>
        <v>10</v>
      </c>
      <c r="J47" s="455" t="s">
        <v>2384</v>
      </c>
      <c r="K47" s="376"/>
      <c r="L47" s="377"/>
      <c r="M47" s="825"/>
      <c r="N47" s="825"/>
      <c r="O47" s="199">
        <v>0.0</v>
      </c>
      <c r="P47" s="199">
        <v>1.0</v>
      </c>
      <c r="Q47" s="199">
        <v>1.0</v>
      </c>
      <c r="R47" s="1124"/>
      <c r="S47" s="164"/>
      <c r="T47" s="164"/>
      <c r="U47" s="164"/>
      <c r="V47" s="104"/>
    </row>
    <row r="48" outlineLevel="1">
      <c r="A48" s="156"/>
      <c r="B48" s="373" t="s">
        <v>84</v>
      </c>
      <c r="C48" s="239" t="s">
        <v>836</v>
      </c>
      <c r="D48" s="107"/>
      <c r="E48" s="239" t="s">
        <v>1438</v>
      </c>
      <c r="F48" s="138">
        <v>5.3999999999999995</v>
      </c>
      <c r="G48" s="138">
        <v>4.59</v>
      </c>
      <c r="H48" s="138" t="s">
        <v>60</v>
      </c>
      <c r="I48" s="156"/>
      <c r="J48" s="107"/>
      <c r="K48" s="376"/>
      <c r="L48" s="377"/>
      <c r="M48" s="825"/>
      <c r="N48" s="825"/>
      <c r="O48" s="199">
        <v>0.0</v>
      </c>
      <c r="P48" s="199">
        <v>1.0</v>
      </c>
      <c r="Q48" s="199">
        <v>1.0</v>
      </c>
      <c r="R48" s="106"/>
      <c r="S48" s="168"/>
      <c r="T48" s="168"/>
      <c r="U48" s="168"/>
      <c r="V48" s="107"/>
    </row>
    <row r="49" outlineLevel="1">
      <c r="A49" s="213" t="s">
        <v>157</v>
      </c>
      <c r="B49" s="373"/>
      <c r="C49" s="239" t="s">
        <v>835</v>
      </c>
      <c r="D49" s="774">
        <v>49.0</v>
      </c>
      <c r="E49" s="239" t="s">
        <v>129</v>
      </c>
      <c r="F49" s="138">
        <v>14.399999999999999</v>
      </c>
      <c r="G49" s="138">
        <v>12.24</v>
      </c>
      <c r="H49" s="138" t="s">
        <v>75</v>
      </c>
      <c r="I49" s="621">
        <f t="array" ref="I49">INDEX('空中攻撃'!$O$3:$AA$109, MATCH($A$1,'空中攻撃'!$A$3:$A$109,0), MATCH(A49,'空中攻撃'!$O$2:$S$2,0))</f>
        <v>16</v>
      </c>
      <c r="J49" s="467" t="s">
        <v>2385</v>
      </c>
      <c r="K49" s="376"/>
      <c r="L49" s="377"/>
      <c r="M49" s="825"/>
      <c r="N49" s="825"/>
      <c r="O49" s="199">
        <v>0.0</v>
      </c>
      <c r="P49" s="199">
        <v>1.0</v>
      </c>
      <c r="Q49" s="199">
        <v>1.0</v>
      </c>
      <c r="R49" s="1127"/>
      <c r="S49" s="110"/>
      <c r="T49" s="110"/>
      <c r="U49" s="110"/>
      <c r="V49" s="109"/>
    </row>
    <row r="50" outlineLevel="1">
      <c r="A50" s="213" t="s">
        <v>162</v>
      </c>
      <c r="B50" s="373"/>
      <c r="C50" s="239" t="s">
        <v>518</v>
      </c>
      <c r="D50" s="774" t="s">
        <v>374</v>
      </c>
      <c r="E50" s="239" t="s">
        <v>228</v>
      </c>
      <c r="F50" s="138">
        <v>15.6</v>
      </c>
      <c r="G50" s="138">
        <v>13.26</v>
      </c>
      <c r="H50" s="138" t="s">
        <v>75</v>
      </c>
      <c r="I50" s="621" t="str">
        <f t="array" ref="I50">INDEX('空中攻撃'!$O$3:$AA$109, MATCH($A$1,'空中攻撃'!$A$3:$A$109,0), MATCH(A50,'空中攻撃'!$O$2:$S$2,0))</f>
        <v>7</v>
      </c>
      <c r="J50" s="467" t="s">
        <v>1949</v>
      </c>
      <c r="K50" s="377"/>
      <c r="L50" s="377"/>
      <c r="M50" s="825"/>
      <c r="N50" s="825"/>
      <c r="O50" s="199">
        <v>0.0</v>
      </c>
      <c r="P50" s="199">
        <v>1.0</v>
      </c>
      <c r="Q50" s="199">
        <v>1.0</v>
      </c>
      <c r="R50" s="1127"/>
      <c r="S50" s="110"/>
      <c r="T50" s="110"/>
      <c r="U50" s="110"/>
      <c r="V50" s="109"/>
    </row>
    <row r="51" outlineLevel="1">
      <c r="A51" s="188" t="s">
        <v>166</v>
      </c>
      <c r="B51" s="373" t="s">
        <v>655</v>
      </c>
      <c r="C51" s="239" t="s">
        <v>2386</v>
      </c>
      <c r="D51" s="452">
        <v>47.0</v>
      </c>
      <c r="E51" s="239" t="s">
        <v>214</v>
      </c>
      <c r="F51" s="138">
        <v>1.56</v>
      </c>
      <c r="G51" s="138">
        <v>1.326</v>
      </c>
      <c r="H51" s="138" t="s">
        <v>170</v>
      </c>
      <c r="I51" s="454">
        <f t="array" ref="I51">INDEX('空中攻撃'!$O$3:$AA$109, MATCH($A$1,'空中攻撃'!$A$3:$A$109,0), MATCH(A51,'空中攻撃'!$O$2:$S$2,0))</f>
        <v>18</v>
      </c>
      <c r="J51" s="455" t="s">
        <v>2387</v>
      </c>
      <c r="K51" s="377"/>
      <c r="L51" s="377"/>
      <c r="M51" s="825"/>
      <c r="N51" s="825"/>
      <c r="O51" s="199">
        <v>0.0</v>
      </c>
      <c r="P51" s="199">
        <v>1.0</v>
      </c>
      <c r="Q51" s="199">
        <v>1.0</v>
      </c>
      <c r="R51" s="163" t="s">
        <v>2388</v>
      </c>
      <c r="S51" s="164"/>
      <c r="T51" s="164"/>
      <c r="U51" s="164"/>
      <c r="V51" s="104"/>
    </row>
    <row r="52" outlineLevel="1">
      <c r="A52" s="156"/>
      <c r="B52" s="373" t="s">
        <v>365</v>
      </c>
      <c r="C52" s="239" t="s">
        <v>65</v>
      </c>
      <c r="D52" s="107"/>
      <c r="E52" s="239" t="s">
        <v>73</v>
      </c>
      <c r="F52" s="138">
        <v>4.8</v>
      </c>
      <c r="G52" s="138">
        <v>4.08</v>
      </c>
      <c r="H52" s="138" t="s">
        <v>60</v>
      </c>
      <c r="I52" s="156"/>
      <c r="J52" s="107"/>
      <c r="K52" s="377"/>
      <c r="L52" s="377"/>
      <c r="M52" s="825"/>
      <c r="N52" s="825"/>
      <c r="O52" s="199">
        <v>0.0</v>
      </c>
      <c r="P52" s="199">
        <v>1.0</v>
      </c>
      <c r="Q52" s="199">
        <v>1.0</v>
      </c>
      <c r="R52" s="106"/>
      <c r="S52" s="168"/>
      <c r="T52" s="168"/>
      <c r="U52" s="168"/>
      <c r="V52" s="107"/>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tr">
        <f>'テンプレート'!A71</f>
        <v>必殺ワザ</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tr">
        <f>"NB ("&amp;VLOOKUP($A$1,Fighters!$A$2:$AI$81,15,FALSE)&amp;")"</f>
        <v>NB (ワリオかみつき)</v>
      </c>
      <c r="B55" s="109"/>
      <c r="C55" s="231" t="str">
        <f>'テンプレート'!C72</f>
        <v>判定持続</v>
      </c>
      <c r="D55" s="231" t="str">
        <f>'テンプレート'!D72</f>
        <v>全体フレーム</v>
      </c>
      <c r="E55" s="232" t="str">
        <f>'テンプレート'!E72</f>
        <v>基礎ダメージ</v>
      </c>
      <c r="F55" s="233" t="str">
        <f>'テンプレート'!F72</f>
        <v>ダメージ (1v1)</v>
      </c>
      <c r="G55" s="232" t="str">
        <f>'テンプレート'!G72</f>
        <v>ガード硬直</v>
      </c>
      <c r="H55" s="382" t="str">
        <f>'テンプレート'!H72</f>
        <v>備考</v>
      </c>
      <c r="I55" s="110"/>
      <c r="J55" s="109"/>
      <c r="K55" s="235" t="str">
        <f>'テンプレート'!K72</f>
        <v>ベクトル</v>
      </c>
      <c r="L55" s="235" t="str">
        <f>'テンプレート'!L72</f>
        <v>KBG (R.E.)</v>
      </c>
      <c r="M55" s="235" t="str">
        <f>'テンプレート'!M72</f>
        <v>BKB (R.A.)</v>
      </c>
      <c r="N55" s="235" t="str">
        <f>'テンプレート'!N72</f>
        <v>FKB (R.F.)</v>
      </c>
      <c r="O55" s="236" t="str">
        <f>'テンプレート'!O72</f>
        <v>盾削り値</v>
      </c>
      <c r="P55" s="235" t="str">
        <f>'テンプレート'!P72</f>
        <v>ﾋｯﾄｽﾄｯﾌﾟ</v>
      </c>
      <c r="Q55" s="236" t="str">
        <f>'テンプレート'!Q72</f>
        <v>ずらし</v>
      </c>
      <c r="R55" s="235" t="str">
        <f>'テンプレート'!R72</f>
        <v>相殺</v>
      </c>
      <c r="S55" s="236" t="str">
        <f>'テンプレート'!S72</f>
        <v>相殺ﾓｰｼｮﾝ</v>
      </c>
      <c r="T55" s="236" t="str">
        <f>'テンプレート'!T72</f>
        <v>飛び道具</v>
      </c>
      <c r="U55" s="236" t="str">
        <f>'テンプレート'!U72</f>
        <v>慣性反転</v>
      </c>
      <c r="V55" s="236" t="str">
        <f>'テンプレート'!V72</f>
        <v>向き反転</v>
      </c>
    </row>
    <row r="56" ht="17.25" customHeight="1" outlineLevel="1">
      <c r="A56" s="237" t="s">
        <v>332</v>
      </c>
      <c r="B56" s="243" t="s">
        <v>860</v>
      </c>
      <c r="C56" s="244" t="s">
        <v>2389</v>
      </c>
      <c r="D56" s="239" t="s">
        <v>384</v>
      </c>
      <c r="E56" s="553"/>
      <c r="F56" s="553"/>
      <c r="G56" s="553"/>
      <c r="H56" s="163" t="s">
        <v>2390</v>
      </c>
      <c r="I56" s="164"/>
      <c r="J56" s="104"/>
      <c r="K56" s="261"/>
      <c r="L56" s="261"/>
      <c r="M56" s="261"/>
      <c r="N56" s="261"/>
      <c r="O56" s="261"/>
      <c r="P56" s="261"/>
      <c r="Q56" s="261"/>
      <c r="R56" s="261"/>
      <c r="S56" s="261"/>
      <c r="T56" s="261"/>
      <c r="U56" s="166" t="s">
        <v>186</v>
      </c>
      <c r="V56" s="166" t="b">
        <v>1</v>
      </c>
    </row>
    <row r="57" ht="17.25" customHeight="1" outlineLevel="1">
      <c r="A57" s="146"/>
      <c r="B57" s="663" t="s">
        <v>2391</v>
      </c>
      <c r="C57" s="244" t="s">
        <v>2392</v>
      </c>
      <c r="D57" s="239" t="s">
        <v>1573</v>
      </c>
      <c r="E57" s="553"/>
      <c r="F57" s="553"/>
      <c r="G57" s="553"/>
      <c r="H57" s="212"/>
      <c r="J57" s="210"/>
      <c r="K57" s="261"/>
      <c r="L57" s="261"/>
      <c r="M57" s="261"/>
      <c r="N57" s="261"/>
      <c r="O57" s="261"/>
      <c r="P57" s="261"/>
      <c r="Q57" s="261"/>
      <c r="R57" s="261"/>
      <c r="S57" s="261"/>
      <c r="T57" s="261"/>
      <c r="U57" s="146"/>
      <c r="V57" s="146"/>
    </row>
    <row r="58" ht="17.25" customHeight="1" outlineLevel="1">
      <c r="A58" s="156"/>
      <c r="B58" s="663" t="s">
        <v>2393</v>
      </c>
      <c r="C58" s="553"/>
      <c r="D58" s="239" t="s">
        <v>92</v>
      </c>
      <c r="E58" s="553"/>
      <c r="F58" s="553"/>
      <c r="G58" s="553"/>
      <c r="H58" s="212"/>
      <c r="J58" s="210"/>
      <c r="K58" s="282"/>
      <c r="L58" s="282"/>
      <c r="M58" s="363"/>
      <c r="N58" s="363"/>
      <c r="O58" s="138"/>
      <c r="P58" s="138"/>
      <c r="Q58" s="138"/>
      <c r="R58" s="145" t="b">
        <v>0</v>
      </c>
      <c r="S58" s="145" t="b">
        <v>0</v>
      </c>
      <c r="T58" s="145" t="b">
        <v>0</v>
      </c>
      <c r="U58" s="146"/>
      <c r="V58" s="146"/>
    </row>
    <row r="59" ht="17.25" customHeight="1" outlineLevel="1">
      <c r="A59" s="237" t="s">
        <v>344</v>
      </c>
      <c r="B59" s="243" t="s">
        <v>860</v>
      </c>
      <c r="C59" s="244" t="s">
        <v>2389</v>
      </c>
      <c r="D59" s="239" t="s">
        <v>224</v>
      </c>
      <c r="E59" s="553"/>
      <c r="F59" s="553"/>
      <c r="G59" s="553"/>
      <c r="H59" s="212"/>
      <c r="J59" s="210"/>
      <c r="K59" s="282"/>
      <c r="L59" s="282"/>
      <c r="M59" s="363"/>
      <c r="N59" s="363"/>
      <c r="O59" s="138"/>
      <c r="P59" s="138"/>
      <c r="Q59" s="138"/>
      <c r="R59" s="145" t="b">
        <v>0</v>
      </c>
      <c r="S59" s="145" t="b">
        <v>0</v>
      </c>
      <c r="T59" s="145" t="b">
        <v>0</v>
      </c>
      <c r="U59" s="146"/>
      <c r="V59" s="146"/>
    </row>
    <row r="60" ht="17.25" customHeight="1" outlineLevel="1">
      <c r="A60" s="146"/>
      <c r="B60" s="663" t="s">
        <v>2391</v>
      </c>
      <c r="C60" s="244" t="s">
        <v>2392</v>
      </c>
      <c r="D60" s="239" t="s">
        <v>1419</v>
      </c>
      <c r="E60" s="553"/>
      <c r="F60" s="553"/>
      <c r="G60" s="553"/>
      <c r="H60" s="212"/>
      <c r="J60" s="210"/>
      <c r="K60" s="282"/>
      <c r="L60" s="282"/>
      <c r="M60" s="363"/>
      <c r="N60" s="363"/>
      <c r="O60" s="138"/>
      <c r="P60" s="138"/>
      <c r="Q60" s="138"/>
      <c r="R60" s="145" t="b">
        <v>0</v>
      </c>
      <c r="S60" s="145" t="b">
        <v>0</v>
      </c>
      <c r="T60" s="145" t="b">
        <v>0</v>
      </c>
      <c r="U60" s="146"/>
      <c r="V60" s="146"/>
    </row>
    <row r="61" ht="17.25" customHeight="1" outlineLevel="1">
      <c r="A61" s="156"/>
      <c r="B61" s="663" t="s">
        <v>2394</v>
      </c>
      <c r="C61" s="553"/>
      <c r="D61" s="239" t="s">
        <v>718</v>
      </c>
      <c r="E61" s="553"/>
      <c r="F61" s="553"/>
      <c r="G61" s="553"/>
      <c r="H61" s="212"/>
      <c r="J61" s="210"/>
      <c r="K61" s="282"/>
      <c r="L61" s="282"/>
      <c r="M61" s="363"/>
      <c r="N61" s="363"/>
      <c r="O61" s="138"/>
      <c r="P61" s="138"/>
      <c r="Q61" s="138"/>
      <c r="R61" s="145" t="b">
        <v>0</v>
      </c>
      <c r="S61" s="145" t="b">
        <v>0</v>
      </c>
      <c r="T61" s="145" t="b">
        <v>0</v>
      </c>
      <c r="U61" s="146"/>
      <c r="V61" s="146"/>
    </row>
    <row r="62" ht="17.25" customHeight="1" outlineLevel="1">
      <c r="A62" s="237" t="s">
        <v>184</v>
      </c>
      <c r="B62" s="663" t="s">
        <v>2395</v>
      </c>
      <c r="C62" s="244" t="s">
        <v>86</v>
      </c>
      <c r="D62" s="239" t="s">
        <v>1573</v>
      </c>
      <c r="E62" s="239" t="s">
        <v>176</v>
      </c>
      <c r="F62" s="138">
        <v>2.4</v>
      </c>
      <c r="G62" s="553"/>
      <c r="H62" s="212"/>
      <c r="J62" s="210"/>
      <c r="K62" s="282"/>
      <c r="L62" s="282"/>
      <c r="M62" s="363"/>
      <c r="N62" s="363"/>
      <c r="O62" s="138">
        <v>0.0</v>
      </c>
      <c r="P62" s="138">
        <v>1.0</v>
      </c>
      <c r="Q62" s="138">
        <v>1.0</v>
      </c>
      <c r="R62" s="145"/>
      <c r="S62" s="145" t="b">
        <v>0</v>
      </c>
      <c r="T62" s="145"/>
      <c r="U62" s="146"/>
      <c r="V62" s="146"/>
    </row>
    <row r="63" ht="17.25" customHeight="1" outlineLevel="1">
      <c r="A63" s="146"/>
      <c r="B63" s="663" t="s">
        <v>1157</v>
      </c>
      <c r="C63" s="244" t="s">
        <v>232</v>
      </c>
      <c r="D63" s="244" t="s">
        <v>296</v>
      </c>
      <c r="E63" s="239" t="s">
        <v>150</v>
      </c>
      <c r="F63" s="138">
        <v>6.0</v>
      </c>
      <c r="G63" s="553"/>
      <c r="H63" s="212"/>
      <c r="J63" s="210"/>
      <c r="K63" s="282"/>
      <c r="L63" s="282"/>
      <c r="M63" s="363"/>
      <c r="N63" s="363"/>
      <c r="O63" s="261"/>
      <c r="P63" s="261"/>
      <c r="Q63" s="261"/>
      <c r="R63" s="261"/>
      <c r="S63" s="261"/>
      <c r="T63" s="261"/>
      <c r="U63" s="146"/>
      <c r="V63" s="146"/>
    </row>
    <row r="64" ht="17.25" customHeight="1" outlineLevel="1">
      <c r="A64" s="146"/>
      <c r="B64" s="663" t="s">
        <v>2396</v>
      </c>
      <c r="C64" s="244" t="s">
        <v>2397</v>
      </c>
      <c r="D64" s="239" t="s">
        <v>876</v>
      </c>
      <c r="E64" s="553"/>
      <c r="F64" s="553"/>
      <c r="G64" s="553"/>
      <c r="H64" s="212"/>
      <c r="J64" s="210"/>
      <c r="K64" s="261"/>
      <c r="L64" s="261"/>
      <c r="M64" s="261"/>
      <c r="N64" s="261"/>
      <c r="O64" s="261"/>
      <c r="P64" s="261"/>
      <c r="Q64" s="261"/>
      <c r="R64" s="261"/>
      <c r="S64" s="261"/>
      <c r="T64" s="261"/>
      <c r="U64" s="146"/>
      <c r="V64" s="146"/>
    </row>
    <row r="65" ht="17.25" customHeight="1" outlineLevel="1">
      <c r="A65" s="146"/>
      <c r="B65" s="663" t="s">
        <v>2398</v>
      </c>
      <c r="C65" s="244" t="s">
        <v>2399</v>
      </c>
      <c r="D65" s="239" t="s">
        <v>300</v>
      </c>
      <c r="E65" s="553"/>
      <c r="F65" s="553"/>
      <c r="G65" s="553"/>
      <c r="H65" s="212"/>
      <c r="J65" s="210"/>
      <c r="K65" s="261"/>
      <c r="L65" s="261"/>
      <c r="M65" s="261"/>
      <c r="N65" s="261"/>
      <c r="O65" s="261"/>
      <c r="P65" s="261"/>
      <c r="Q65" s="261"/>
      <c r="R65" s="261"/>
      <c r="S65" s="261"/>
      <c r="T65" s="261"/>
      <c r="U65" s="146"/>
      <c r="V65" s="146"/>
    </row>
    <row r="66" ht="17.25" customHeight="1" outlineLevel="1">
      <c r="A66" s="146"/>
      <c r="B66" s="663" t="s">
        <v>2400</v>
      </c>
      <c r="C66" s="244" t="s">
        <v>2397</v>
      </c>
      <c r="D66" s="365" t="s">
        <v>224</v>
      </c>
      <c r="E66" s="553"/>
      <c r="F66" s="553"/>
      <c r="G66" s="553"/>
      <c r="H66" s="212"/>
      <c r="J66" s="210"/>
      <c r="K66" s="261"/>
      <c r="L66" s="261"/>
      <c r="M66" s="261"/>
      <c r="N66" s="261"/>
      <c r="O66" s="261"/>
      <c r="P66" s="261"/>
      <c r="Q66" s="261"/>
      <c r="R66" s="261"/>
      <c r="S66" s="261"/>
      <c r="T66" s="261"/>
      <c r="U66" s="146"/>
      <c r="V66" s="146"/>
    </row>
    <row r="67" ht="17.25" customHeight="1" outlineLevel="1">
      <c r="A67" s="146"/>
      <c r="B67" s="663" t="s">
        <v>2401</v>
      </c>
      <c r="C67" s="239" t="s">
        <v>394</v>
      </c>
      <c r="D67" s="239" t="s">
        <v>765</v>
      </c>
      <c r="E67" s="239" t="s">
        <v>228</v>
      </c>
      <c r="F67" s="138">
        <v>15.6</v>
      </c>
      <c r="G67" s="239" t="s">
        <v>407</v>
      </c>
      <c r="H67" s="106"/>
      <c r="I67" s="168"/>
      <c r="J67" s="107"/>
      <c r="K67" s="282"/>
      <c r="L67" s="282"/>
      <c r="M67" s="363"/>
      <c r="N67" s="363"/>
      <c r="O67" s="138">
        <v>0.0</v>
      </c>
      <c r="P67" s="138">
        <v>1.0</v>
      </c>
      <c r="Q67" s="138">
        <v>1.0</v>
      </c>
      <c r="R67" s="145"/>
      <c r="S67" s="145"/>
      <c r="T67" s="145"/>
      <c r="U67" s="156"/>
      <c r="V67" s="156"/>
    </row>
    <row r="68" outlineLevel="1">
      <c r="A68" s="230" t="str">
        <f>"横B ("&amp;VLOOKUP($A$1,Fighters!$A$2:$AI$81,16,FALSE)&amp;")"</f>
        <v>横B (ワリオバイク)</v>
      </c>
      <c r="B68" s="109"/>
      <c r="C68" s="231" t="str">
        <f>'テンプレート'!C75</f>
        <v>判定持続</v>
      </c>
      <c r="D68" s="231" t="str">
        <f>'テンプレート'!D75</f>
        <v>全体フレーム</v>
      </c>
      <c r="E68" s="232" t="str">
        <f>'テンプレート'!E75</f>
        <v>基礎ダメージ</v>
      </c>
      <c r="F68" s="233" t="str">
        <f>'テンプレート'!F75</f>
        <v>ダメージ (1v1)</v>
      </c>
      <c r="G68" s="232" t="str">
        <f>'テンプレート'!G75</f>
        <v>ガード硬直</v>
      </c>
      <c r="H68" s="382" t="str">
        <f>'テンプレート'!H75</f>
        <v>備考</v>
      </c>
      <c r="I68" s="110"/>
      <c r="J68" s="109"/>
      <c r="K68" s="235" t="str">
        <f>'テンプレート'!K75</f>
        <v>ベクトル</v>
      </c>
      <c r="L68" s="235" t="str">
        <f>'テンプレート'!L75</f>
        <v>KBG (R.E.)</v>
      </c>
      <c r="M68" s="235" t="str">
        <f>'テンプレート'!M75</f>
        <v>BKB (R.A.)</v>
      </c>
      <c r="N68" s="235" t="str">
        <f>'テンプレート'!N75</f>
        <v>FKB (R.F.)</v>
      </c>
      <c r="O68" s="236" t="str">
        <f>'テンプレート'!O75</f>
        <v>盾削り値</v>
      </c>
      <c r="P68" s="235" t="str">
        <f>'テンプレート'!P75</f>
        <v>ﾋｯﾄｽﾄｯﾌﾟ</v>
      </c>
      <c r="Q68" s="236" t="str">
        <f>'テンプレート'!Q75</f>
        <v>ずらし</v>
      </c>
      <c r="R68" s="235" t="str">
        <f>'テンプレート'!R75</f>
        <v>相殺</v>
      </c>
      <c r="S68" s="236" t="str">
        <f>'テンプレート'!S75</f>
        <v>相殺ﾓｰｼｮﾝ</v>
      </c>
      <c r="T68" s="236" t="str">
        <f>'テンプレート'!T75</f>
        <v>飛び道具</v>
      </c>
      <c r="U68" s="236" t="str">
        <f>'テンプレート'!U75</f>
        <v>慣性反転</v>
      </c>
      <c r="V68" s="236" t="str">
        <f>'テンプレート'!V75</f>
        <v>向き反転</v>
      </c>
    </row>
    <row r="69" outlineLevel="1">
      <c r="A69" s="237" t="s">
        <v>332</v>
      </c>
      <c r="B69" s="243" t="s">
        <v>2402</v>
      </c>
      <c r="C69" s="244" t="s">
        <v>2403</v>
      </c>
      <c r="D69" s="553"/>
      <c r="E69" s="239" t="s">
        <v>1925</v>
      </c>
      <c r="F69" s="138" t="s">
        <v>1926</v>
      </c>
      <c r="G69" s="239" t="s">
        <v>1483</v>
      </c>
      <c r="H69" s="163" t="s">
        <v>2404</v>
      </c>
      <c r="I69" s="164"/>
      <c r="J69" s="104"/>
      <c r="K69" s="282"/>
      <c r="L69" s="282"/>
      <c r="M69" s="363"/>
      <c r="N69" s="363"/>
      <c r="O69" s="138">
        <v>0.0</v>
      </c>
      <c r="P69" s="138">
        <v>1.0</v>
      </c>
      <c r="Q69" s="138">
        <v>1.0</v>
      </c>
      <c r="R69" s="145" t="b">
        <v>0</v>
      </c>
      <c r="S69" s="145" t="b">
        <v>0</v>
      </c>
      <c r="T69" s="145" t="b">
        <v>1</v>
      </c>
      <c r="U69" s="166" t="s">
        <v>186</v>
      </c>
      <c r="V69" s="166" t="b">
        <v>1</v>
      </c>
    </row>
    <row r="70" outlineLevel="1">
      <c r="A70" s="146"/>
      <c r="B70" s="243" t="s">
        <v>2405</v>
      </c>
      <c r="C70" s="244" t="s">
        <v>2378</v>
      </c>
      <c r="D70" s="553"/>
      <c r="E70" s="239" t="s">
        <v>2406</v>
      </c>
      <c r="F70" s="138">
        <v>9.96</v>
      </c>
      <c r="G70" s="239" t="s">
        <v>60</v>
      </c>
      <c r="H70" s="212"/>
      <c r="J70" s="210"/>
      <c r="K70" s="138"/>
      <c r="L70" s="138"/>
      <c r="M70" s="145"/>
      <c r="N70" s="145"/>
      <c r="O70" s="138"/>
      <c r="P70" s="138"/>
      <c r="Q70" s="138"/>
      <c r="R70" s="145" t="b">
        <v>0</v>
      </c>
      <c r="S70" s="145" t="b">
        <v>0</v>
      </c>
      <c r="T70" s="145" t="b">
        <v>0</v>
      </c>
      <c r="U70" s="146"/>
      <c r="V70" s="146"/>
    </row>
    <row r="71" outlineLevel="1">
      <c r="A71" s="146"/>
      <c r="B71" s="243" t="s">
        <v>2407</v>
      </c>
      <c r="C71" s="244" t="s">
        <v>2408</v>
      </c>
      <c r="D71" s="553"/>
      <c r="E71" s="239" t="s">
        <v>150</v>
      </c>
      <c r="F71" s="138">
        <v>6.0</v>
      </c>
      <c r="G71" s="239" t="s">
        <v>60</v>
      </c>
      <c r="H71" s="212"/>
      <c r="J71" s="210"/>
      <c r="K71" s="138"/>
      <c r="L71" s="138"/>
      <c r="M71" s="145"/>
      <c r="N71" s="145"/>
      <c r="O71" s="138"/>
      <c r="P71" s="138"/>
      <c r="Q71" s="138"/>
      <c r="R71" s="145" t="b">
        <v>0</v>
      </c>
      <c r="S71" s="145" t="b">
        <v>0</v>
      </c>
      <c r="T71" s="145" t="b">
        <v>0</v>
      </c>
      <c r="U71" s="146"/>
      <c r="V71" s="146"/>
    </row>
    <row r="72" outlineLevel="1">
      <c r="A72" s="146"/>
      <c r="B72" s="243" t="s">
        <v>2409</v>
      </c>
      <c r="C72" s="244" t="s">
        <v>627</v>
      </c>
      <c r="D72" s="244" t="s">
        <v>65</v>
      </c>
      <c r="E72" s="239" t="s">
        <v>228</v>
      </c>
      <c r="F72" s="138">
        <v>15.6</v>
      </c>
      <c r="G72" s="239" t="s">
        <v>75</v>
      </c>
      <c r="H72" s="212"/>
      <c r="J72" s="210"/>
      <c r="K72" s="138"/>
      <c r="L72" s="138"/>
      <c r="M72" s="145"/>
      <c r="N72" s="145"/>
      <c r="O72" s="138"/>
      <c r="P72" s="138"/>
      <c r="Q72" s="138"/>
      <c r="R72" s="145" t="b">
        <v>0</v>
      </c>
      <c r="S72" s="145" t="b">
        <v>0</v>
      </c>
      <c r="T72" s="145" t="b">
        <v>0</v>
      </c>
      <c r="U72" s="146"/>
      <c r="V72" s="146"/>
    </row>
    <row r="73" outlineLevel="1">
      <c r="A73" s="146"/>
      <c r="B73" s="243" t="s">
        <v>2410</v>
      </c>
      <c r="C73" s="244" t="s">
        <v>2411</v>
      </c>
      <c r="D73" s="553"/>
      <c r="E73" s="239" t="s">
        <v>93</v>
      </c>
      <c r="F73" s="138">
        <v>8.4</v>
      </c>
      <c r="G73" s="239" t="s">
        <v>60</v>
      </c>
      <c r="H73" s="212"/>
      <c r="J73" s="210"/>
      <c r="K73" s="138"/>
      <c r="L73" s="138"/>
      <c r="M73" s="145"/>
      <c r="N73" s="145"/>
      <c r="O73" s="138"/>
      <c r="P73" s="138"/>
      <c r="Q73" s="138"/>
      <c r="R73" s="145" t="b">
        <v>0</v>
      </c>
      <c r="S73" s="145" t="b">
        <v>0</v>
      </c>
      <c r="T73" s="145" t="b">
        <v>0</v>
      </c>
      <c r="U73" s="146"/>
      <c r="V73" s="146"/>
    </row>
    <row r="74" outlineLevel="1">
      <c r="A74" s="146"/>
      <c r="B74" s="243" t="s">
        <v>2412</v>
      </c>
      <c r="C74" s="239" t="s">
        <v>2413</v>
      </c>
      <c r="D74" s="553"/>
      <c r="E74" s="239" t="s">
        <v>204</v>
      </c>
      <c r="F74" s="138">
        <v>3.5999999999999996</v>
      </c>
      <c r="G74" s="239" t="s">
        <v>147</v>
      </c>
      <c r="H74" s="212"/>
      <c r="J74" s="210"/>
      <c r="K74" s="138"/>
      <c r="L74" s="138"/>
      <c r="M74" s="145"/>
      <c r="N74" s="145"/>
      <c r="O74" s="138"/>
      <c r="P74" s="138"/>
      <c r="Q74" s="138"/>
      <c r="R74" s="145" t="b">
        <v>0</v>
      </c>
      <c r="S74" s="145" t="b">
        <v>0</v>
      </c>
      <c r="T74" s="145" t="b">
        <v>0</v>
      </c>
      <c r="U74" s="146"/>
      <c r="V74" s="146"/>
    </row>
    <row r="75" outlineLevel="1">
      <c r="A75" s="146"/>
      <c r="B75" s="243" t="s">
        <v>2414</v>
      </c>
      <c r="C75" s="244" t="s">
        <v>2415</v>
      </c>
      <c r="D75" s="244" t="s">
        <v>593</v>
      </c>
      <c r="E75" s="239" t="s">
        <v>2416</v>
      </c>
      <c r="F75" s="138" t="s">
        <v>2417</v>
      </c>
      <c r="G75" s="239" t="s">
        <v>931</v>
      </c>
      <c r="H75" s="212"/>
      <c r="J75" s="210"/>
      <c r="K75" s="138"/>
      <c r="L75" s="138"/>
      <c r="M75" s="145"/>
      <c r="N75" s="145"/>
      <c r="O75" s="138"/>
      <c r="P75" s="138"/>
      <c r="Q75" s="138"/>
      <c r="R75" s="145" t="b">
        <v>0</v>
      </c>
      <c r="S75" s="145" t="b">
        <v>0</v>
      </c>
      <c r="T75" s="145" t="b">
        <v>0</v>
      </c>
      <c r="U75" s="146"/>
      <c r="V75" s="146"/>
    </row>
    <row r="76" outlineLevel="1">
      <c r="A76" s="146"/>
      <c r="B76" s="243" t="s">
        <v>1482</v>
      </c>
      <c r="C76" s="553"/>
      <c r="D76" s="244" t="s">
        <v>118</v>
      </c>
      <c r="E76" s="553"/>
      <c r="F76" s="553"/>
      <c r="G76" s="553"/>
      <c r="H76" s="212"/>
      <c r="J76" s="210"/>
      <c r="K76" s="138"/>
      <c r="L76" s="138"/>
      <c r="M76" s="145"/>
      <c r="N76" s="145"/>
      <c r="O76" s="138"/>
      <c r="P76" s="138"/>
      <c r="Q76" s="138"/>
      <c r="R76" s="145" t="b">
        <v>0</v>
      </c>
      <c r="S76" s="145" t="b">
        <v>0</v>
      </c>
      <c r="T76" s="145" t="b">
        <v>0</v>
      </c>
      <c r="U76" s="146"/>
      <c r="V76" s="146"/>
    </row>
    <row r="77" outlineLevel="1">
      <c r="A77" s="156"/>
      <c r="B77" s="243" t="s">
        <v>2418</v>
      </c>
      <c r="C77" s="553"/>
      <c r="D77" s="244" t="s">
        <v>92</v>
      </c>
      <c r="E77" s="553"/>
      <c r="F77" s="553"/>
      <c r="G77" s="553"/>
      <c r="H77" s="212"/>
      <c r="J77" s="210"/>
      <c r="K77" s="138"/>
      <c r="L77" s="138"/>
      <c r="M77" s="145"/>
      <c r="N77" s="145"/>
      <c r="O77" s="138"/>
      <c r="P77" s="138"/>
      <c r="Q77" s="138"/>
      <c r="R77" s="145" t="b">
        <v>0</v>
      </c>
      <c r="S77" s="145" t="b">
        <v>0</v>
      </c>
      <c r="T77" s="145" t="b">
        <v>0</v>
      </c>
      <c r="U77" s="146"/>
      <c r="V77" s="146"/>
    </row>
    <row r="78" outlineLevel="1">
      <c r="A78" s="237" t="s">
        <v>344</v>
      </c>
      <c r="B78" s="243" t="s">
        <v>2402</v>
      </c>
      <c r="C78" s="244" t="s">
        <v>2403</v>
      </c>
      <c r="D78" s="553"/>
      <c r="E78" s="239" t="s">
        <v>1925</v>
      </c>
      <c r="F78" s="138" t="s">
        <v>1926</v>
      </c>
      <c r="G78" s="239" t="s">
        <v>1483</v>
      </c>
      <c r="H78" s="212"/>
      <c r="J78" s="210"/>
      <c r="K78" s="138"/>
      <c r="L78" s="138"/>
      <c r="M78" s="145"/>
      <c r="N78" s="145"/>
      <c r="O78" s="138"/>
      <c r="P78" s="138"/>
      <c r="Q78" s="138"/>
      <c r="R78" s="145" t="b">
        <v>0</v>
      </c>
      <c r="S78" s="145" t="b">
        <v>0</v>
      </c>
      <c r="T78" s="145" t="b">
        <v>0</v>
      </c>
      <c r="U78" s="146"/>
      <c r="V78" s="146"/>
    </row>
    <row r="79" outlineLevel="1">
      <c r="A79" s="146"/>
      <c r="B79" s="243" t="s">
        <v>2419</v>
      </c>
      <c r="C79" s="553"/>
      <c r="D79" s="244" t="s">
        <v>593</v>
      </c>
      <c r="E79" s="553"/>
      <c r="F79" s="553"/>
      <c r="G79" s="553"/>
      <c r="H79" s="212"/>
      <c r="J79" s="210"/>
      <c r="K79" s="138"/>
      <c r="L79" s="138"/>
      <c r="M79" s="145"/>
      <c r="N79" s="145"/>
      <c r="O79" s="138">
        <v>0.0</v>
      </c>
      <c r="P79" s="138">
        <v>1.0</v>
      </c>
      <c r="Q79" s="138">
        <v>1.0</v>
      </c>
      <c r="R79" s="145" t="b">
        <v>1</v>
      </c>
      <c r="S79" s="145" t="b">
        <v>0</v>
      </c>
      <c r="T79" s="145" t="b">
        <v>1</v>
      </c>
      <c r="U79" s="146"/>
      <c r="V79" s="146"/>
    </row>
    <row r="80" outlineLevel="1">
      <c r="A80" s="156"/>
      <c r="B80" s="243" t="s">
        <v>1482</v>
      </c>
      <c r="C80" s="553"/>
      <c r="D80" s="244" t="s">
        <v>92</v>
      </c>
      <c r="E80" s="553"/>
      <c r="F80" s="553"/>
      <c r="G80" s="553"/>
      <c r="H80" s="212"/>
      <c r="J80" s="210"/>
      <c r="K80" s="261"/>
      <c r="L80" s="261"/>
      <c r="M80" s="261"/>
      <c r="N80" s="261"/>
      <c r="O80" s="261"/>
      <c r="P80" s="261"/>
      <c r="Q80" s="261"/>
      <c r="R80" s="261"/>
      <c r="S80" s="261"/>
      <c r="T80" s="261"/>
      <c r="U80" s="146"/>
      <c r="V80" s="146"/>
    </row>
    <row r="81" outlineLevel="1">
      <c r="A81" s="237" t="s">
        <v>184</v>
      </c>
      <c r="B81" s="243" t="s">
        <v>2420</v>
      </c>
      <c r="C81" s="553"/>
      <c r="D81" s="244" t="s">
        <v>718</v>
      </c>
      <c r="E81" s="553"/>
      <c r="F81" s="553"/>
      <c r="G81" s="553"/>
      <c r="H81" s="212"/>
      <c r="J81" s="210"/>
      <c r="K81" s="261"/>
      <c r="L81" s="261"/>
      <c r="M81" s="261"/>
      <c r="N81" s="261"/>
      <c r="O81" s="261"/>
      <c r="P81" s="261"/>
      <c r="Q81" s="261"/>
      <c r="R81" s="261"/>
      <c r="S81" s="261"/>
      <c r="T81" s="261"/>
      <c r="U81" s="146"/>
      <c r="V81" s="146"/>
    </row>
    <row r="82" outlineLevel="1">
      <c r="A82" s="156"/>
      <c r="B82" s="243" t="s">
        <v>2421</v>
      </c>
      <c r="C82" s="553"/>
      <c r="D82" s="244" t="s">
        <v>993</v>
      </c>
      <c r="E82" s="553"/>
      <c r="F82" s="553"/>
      <c r="G82" s="553"/>
      <c r="H82" s="212"/>
      <c r="J82" s="210"/>
      <c r="K82" s="261"/>
      <c r="L82" s="261"/>
      <c r="M82" s="261"/>
      <c r="N82" s="261"/>
      <c r="O82" s="261"/>
      <c r="P82" s="261"/>
      <c r="Q82" s="261"/>
      <c r="R82" s="261"/>
      <c r="S82" s="261"/>
      <c r="T82" s="261"/>
      <c r="U82" s="146"/>
      <c r="V82" s="146"/>
    </row>
    <row r="83" outlineLevel="1">
      <c r="A83" s="259" t="s">
        <v>483</v>
      </c>
      <c r="B83" s="243" t="s">
        <v>484</v>
      </c>
      <c r="C83" s="553"/>
      <c r="D83" s="553"/>
      <c r="E83" s="239" t="s">
        <v>1841</v>
      </c>
      <c r="F83" s="138" t="s">
        <v>1842</v>
      </c>
      <c r="G83" s="239"/>
      <c r="H83" s="106"/>
      <c r="I83" s="168"/>
      <c r="J83" s="107"/>
      <c r="K83" s="261"/>
      <c r="L83" s="261"/>
      <c r="M83" s="261"/>
      <c r="N83" s="261"/>
      <c r="O83" s="261"/>
      <c r="P83" s="261"/>
      <c r="Q83" s="261"/>
      <c r="R83" s="261"/>
      <c r="S83" s="261"/>
      <c r="T83" s="261"/>
      <c r="U83" s="156"/>
      <c r="V83" s="156"/>
    </row>
    <row r="84" outlineLevel="1">
      <c r="A84" s="230" t="s">
        <v>2422</v>
      </c>
      <c r="B84" s="109"/>
      <c r="C84" s="231" t="s">
        <v>48</v>
      </c>
      <c r="D84" s="231" t="s">
        <v>49</v>
      </c>
      <c r="E84" s="232" t="s">
        <v>50</v>
      </c>
      <c r="F84" s="233" t="s">
        <v>51</v>
      </c>
      <c r="G84" s="232" t="s">
        <v>52</v>
      </c>
      <c r="H84" s="382" t="s">
        <v>53</v>
      </c>
      <c r="I84" s="110"/>
      <c r="J84" s="109"/>
      <c r="K84" s="235" t="str">
        <f>'テンプレート'!K80</f>
        <v>ベクトル</v>
      </c>
      <c r="L84" s="235" t="str">
        <f>'テンプレート'!L80</f>
        <v>KBG (R.E.)</v>
      </c>
      <c r="M84" s="235" t="str">
        <f>'テンプレート'!M80</f>
        <v>BKB (R.A.)</v>
      </c>
      <c r="N84" s="235" t="str">
        <f>'テンプレート'!N80</f>
        <v>FKB (R.F.)</v>
      </c>
      <c r="O84" s="236" t="str">
        <f>'テンプレート'!O80</f>
        <v>盾削り値</v>
      </c>
      <c r="P84" s="235" t="str">
        <f>'テンプレート'!P80</f>
        <v>ﾋｯﾄｽﾄｯﾌﾟ</v>
      </c>
      <c r="Q84" s="236" t="str">
        <f>'テンプレート'!Q80</f>
        <v>ずらし</v>
      </c>
      <c r="R84" s="235" t="str">
        <f>'テンプレート'!R80</f>
        <v>相殺</v>
      </c>
      <c r="S84" s="236" t="str">
        <f>'テンプレート'!S80</f>
        <v>相殺ﾓｰｼｮﾝ</v>
      </c>
      <c r="T84" s="236" t="str">
        <f>'テンプレート'!T80</f>
        <v>飛び道具</v>
      </c>
      <c r="U84" s="236" t="str">
        <f>'テンプレート'!U80</f>
        <v>慣性反転</v>
      </c>
      <c r="V84" s="236" t="str">
        <f>'テンプレート'!V80</f>
        <v>向き反転</v>
      </c>
    </row>
    <row r="85" outlineLevel="1">
      <c r="A85" s="546" t="s">
        <v>184</v>
      </c>
      <c r="B85" s="402" t="s">
        <v>125</v>
      </c>
      <c r="C85" s="239" t="s">
        <v>217</v>
      </c>
      <c r="D85" s="400"/>
      <c r="E85" s="239" t="s">
        <v>150</v>
      </c>
      <c r="F85" s="138">
        <v>6.0</v>
      </c>
      <c r="G85" s="239" t="s">
        <v>102</v>
      </c>
      <c r="H85" s="163" t="s">
        <v>2423</v>
      </c>
      <c r="I85" s="164"/>
      <c r="J85" s="104"/>
      <c r="K85" s="138"/>
      <c r="L85" s="138"/>
      <c r="M85" s="145"/>
      <c r="N85" s="145"/>
      <c r="O85" s="138">
        <v>0.0</v>
      </c>
      <c r="P85" s="138">
        <v>1.0</v>
      </c>
      <c r="Q85" s="138">
        <v>1.0</v>
      </c>
      <c r="R85" s="145" t="b">
        <v>1</v>
      </c>
      <c r="S85" s="145" t="b">
        <v>1</v>
      </c>
      <c r="T85" s="145"/>
      <c r="U85" s="166" t="s">
        <v>2424</v>
      </c>
      <c r="V85" s="166" t="b">
        <v>0</v>
      </c>
    </row>
    <row r="86" outlineLevel="1">
      <c r="A86" s="146"/>
      <c r="B86" s="402" t="s">
        <v>2425</v>
      </c>
      <c r="C86" s="239" t="s">
        <v>2426</v>
      </c>
      <c r="D86" s="146"/>
      <c r="E86" s="365" t="s">
        <v>2427</v>
      </c>
      <c r="F86" s="138" t="s">
        <v>2428</v>
      </c>
      <c r="G86" s="239" t="s">
        <v>2429</v>
      </c>
      <c r="H86" s="212"/>
      <c r="J86" s="210"/>
      <c r="K86" s="138"/>
      <c r="L86" s="138"/>
      <c r="M86" s="145"/>
      <c r="N86" s="145"/>
      <c r="O86" s="138">
        <v>0.0</v>
      </c>
      <c r="P86" s="138">
        <v>1.0</v>
      </c>
      <c r="Q86" s="138">
        <v>1.0</v>
      </c>
      <c r="R86" s="145" t="b">
        <v>1</v>
      </c>
      <c r="S86" s="145" t="b">
        <v>0</v>
      </c>
      <c r="T86" s="145"/>
      <c r="U86" s="146"/>
      <c r="V86" s="146"/>
    </row>
    <row r="87" outlineLevel="1">
      <c r="A87" s="156"/>
      <c r="B87" s="402" t="s">
        <v>172</v>
      </c>
      <c r="C87" s="239" t="s">
        <v>433</v>
      </c>
      <c r="D87" s="156"/>
      <c r="E87" s="239" t="s">
        <v>73</v>
      </c>
      <c r="F87" s="138">
        <v>4.8</v>
      </c>
      <c r="G87" s="239" t="s">
        <v>75</v>
      </c>
      <c r="H87" s="106"/>
      <c r="I87" s="168"/>
      <c r="J87" s="107"/>
      <c r="K87" s="138"/>
      <c r="L87" s="138"/>
      <c r="M87" s="145"/>
      <c r="N87" s="145"/>
      <c r="O87" s="138">
        <v>0.0</v>
      </c>
      <c r="P87" s="138">
        <v>1.0</v>
      </c>
      <c r="Q87" s="138">
        <v>1.0</v>
      </c>
      <c r="R87" s="145" t="b">
        <v>1</v>
      </c>
      <c r="S87" s="145" t="b">
        <v>0</v>
      </c>
      <c r="T87" s="145"/>
      <c r="U87" s="156"/>
      <c r="V87" s="156"/>
    </row>
    <row r="88" outlineLevel="1">
      <c r="A88" s="230" t="s">
        <v>2430</v>
      </c>
      <c r="B88" s="109"/>
      <c r="C88" s="231" t="s">
        <v>48</v>
      </c>
      <c r="D88" s="231" t="s">
        <v>49</v>
      </c>
      <c r="E88" s="232" t="s">
        <v>50</v>
      </c>
      <c r="F88" s="233" t="s">
        <v>51</v>
      </c>
      <c r="G88" s="232" t="s">
        <v>52</v>
      </c>
      <c r="H88" s="382" t="s">
        <v>53</v>
      </c>
      <c r="I88" s="110"/>
      <c r="J88" s="109"/>
      <c r="K88" s="235" t="str">
        <f>'テンプレート'!K85</f>
        <v>ベクトル</v>
      </c>
      <c r="L88" s="235" t="str">
        <f>'テンプレート'!L85</f>
        <v>KBG (R.E.)</v>
      </c>
      <c r="M88" s="235" t="str">
        <f>'テンプレート'!M85</f>
        <v>BKB (R.A.)</v>
      </c>
      <c r="N88" s="235" t="str">
        <f>'テンプレート'!N85</f>
        <v>FKB (R.F.)</v>
      </c>
      <c r="O88" s="236" t="str">
        <f>'テンプレート'!O85</f>
        <v>盾削り値</v>
      </c>
      <c r="P88" s="235" t="str">
        <f>'テンプレート'!P85</f>
        <v>ﾋｯﾄｽﾄｯﾌﾟ</v>
      </c>
      <c r="Q88" s="236" t="str">
        <f>'テンプレート'!Q85</f>
        <v>ずらし</v>
      </c>
      <c r="R88" s="235" t="str">
        <f>'テンプレート'!R85</f>
        <v>相殺</v>
      </c>
      <c r="S88" s="236" t="str">
        <f>'テンプレート'!S85</f>
        <v>相殺ﾓｰｼｮﾝ</v>
      </c>
      <c r="T88" s="236" t="str">
        <f>'テンプレート'!T85</f>
        <v>飛び道具</v>
      </c>
      <c r="U88" s="236" t="str">
        <f>'テンプレート'!U85</f>
        <v>慣性反転</v>
      </c>
      <c r="V88" s="236" t="str">
        <f>'テンプレート'!V85</f>
        <v>向き反転</v>
      </c>
    </row>
    <row r="89" ht="23.25" customHeight="1" outlineLevel="1">
      <c r="A89" s="546" t="s">
        <v>184</v>
      </c>
      <c r="B89" s="402" t="s">
        <v>473</v>
      </c>
      <c r="C89" s="239" t="s">
        <v>1137</v>
      </c>
      <c r="D89" s="239" t="s">
        <v>993</v>
      </c>
      <c r="E89" s="239" t="s">
        <v>209</v>
      </c>
      <c r="F89" s="138">
        <v>0.0</v>
      </c>
      <c r="G89" s="553"/>
      <c r="H89" s="386" t="s">
        <v>2431</v>
      </c>
      <c r="I89" s="164"/>
      <c r="J89" s="104"/>
      <c r="K89" s="138"/>
      <c r="L89" s="138"/>
      <c r="M89" s="145"/>
      <c r="N89" s="145"/>
      <c r="O89" s="138">
        <v>0.0</v>
      </c>
      <c r="P89" s="138">
        <v>1.0</v>
      </c>
      <c r="Q89" s="138">
        <v>1.0</v>
      </c>
      <c r="R89" s="145" t="b">
        <v>0</v>
      </c>
      <c r="S89" s="145" t="b">
        <v>0</v>
      </c>
      <c r="T89" s="145"/>
      <c r="U89" s="166" t="b">
        <v>0</v>
      </c>
      <c r="V89" s="166" t="b">
        <v>0</v>
      </c>
    </row>
    <row r="90" ht="23.25" customHeight="1" outlineLevel="1">
      <c r="A90" s="146"/>
      <c r="B90" s="402" t="s">
        <v>1554</v>
      </c>
      <c r="C90" s="239" t="s">
        <v>223</v>
      </c>
      <c r="D90" s="239" t="s">
        <v>1839</v>
      </c>
      <c r="E90" s="239" t="s">
        <v>2432</v>
      </c>
      <c r="F90" s="138" t="s">
        <v>2433</v>
      </c>
      <c r="G90" s="239" t="s">
        <v>2434</v>
      </c>
      <c r="H90" s="212"/>
      <c r="J90" s="210"/>
      <c r="K90" s="138"/>
      <c r="L90" s="138"/>
      <c r="M90" s="145"/>
      <c r="N90" s="145"/>
      <c r="O90" s="138">
        <v>0.0</v>
      </c>
      <c r="P90" s="138">
        <v>1.0</v>
      </c>
      <c r="Q90" s="138">
        <v>1.0</v>
      </c>
      <c r="R90" s="145" t="b">
        <v>0</v>
      </c>
      <c r="S90" s="145" t="b">
        <v>0</v>
      </c>
      <c r="T90" s="145"/>
      <c r="U90" s="146"/>
      <c r="V90" s="146"/>
    </row>
    <row r="91" ht="23.25" customHeight="1" outlineLevel="1">
      <c r="A91" s="146"/>
      <c r="B91" s="402" t="s">
        <v>1557</v>
      </c>
      <c r="C91" s="365" t="s">
        <v>563</v>
      </c>
      <c r="D91" s="365" t="s">
        <v>289</v>
      </c>
      <c r="E91" s="239" t="s">
        <v>2435</v>
      </c>
      <c r="F91" s="138" t="s">
        <v>1275</v>
      </c>
      <c r="G91" s="239" t="s">
        <v>2436</v>
      </c>
      <c r="H91" s="212"/>
      <c r="J91" s="210"/>
      <c r="K91" s="138"/>
      <c r="L91" s="138"/>
      <c r="M91" s="145"/>
      <c r="N91" s="145"/>
      <c r="O91" s="138">
        <v>0.0</v>
      </c>
      <c r="P91" s="138">
        <v>1.0</v>
      </c>
      <c r="Q91" s="138">
        <v>1.0</v>
      </c>
      <c r="R91" s="145" t="b">
        <v>0</v>
      </c>
      <c r="S91" s="145" t="b">
        <v>0</v>
      </c>
      <c r="T91" s="145"/>
      <c r="U91" s="146"/>
      <c r="V91" s="146"/>
    </row>
    <row r="92" ht="23.25" customHeight="1" outlineLevel="1">
      <c r="A92" s="146"/>
      <c r="B92" s="402" t="s">
        <v>2437</v>
      </c>
      <c r="C92" s="365" t="s">
        <v>373</v>
      </c>
      <c r="D92" s="901" t="s">
        <v>335</v>
      </c>
      <c r="E92" s="239" t="s">
        <v>105</v>
      </c>
      <c r="F92" s="138">
        <v>32.4</v>
      </c>
      <c r="G92" s="239" t="s">
        <v>2438</v>
      </c>
      <c r="H92" s="212"/>
      <c r="J92" s="210"/>
      <c r="K92" s="138"/>
      <c r="L92" s="138"/>
      <c r="M92" s="145"/>
      <c r="N92" s="145"/>
      <c r="O92" s="138">
        <v>0.0</v>
      </c>
      <c r="P92" s="138">
        <v>1.0</v>
      </c>
      <c r="Q92" s="138">
        <v>1.0</v>
      </c>
      <c r="R92" s="145" t="b">
        <v>0</v>
      </c>
      <c r="S92" s="145" t="b">
        <v>0</v>
      </c>
      <c r="T92" s="145"/>
      <c r="U92" s="146"/>
      <c r="V92" s="146"/>
    </row>
    <row r="93" ht="23.25" customHeight="1" outlineLevel="1">
      <c r="A93" s="156"/>
      <c r="B93" s="402" t="s">
        <v>2439</v>
      </c>
      <c r="C93" s="365" t="s">
        <v>2440</v>
      </c>
      <c r="D93" s="156"/>
      <c r="E93" s="239" t="s">
        <v>718</v>
      </c>
      <c r="F93" s="138">
        <v>24.0</v>
      </c>
      <c r="G93" s="239" t="s">
        <v>1008</v>
      </c>
      <c r="H93" s="106"/>
      <c r="I93" s="168"/>
      <c r="J93" s="107"/>
      <c r="K93" s="138"/>
      <c r="L93" s="138"/>
      <c r="M93" s="145"/>
      <c r="N93" s="145"/>
      <c r="O93" s="138">
        <v>0.0</v>
      </c>
      <c r="P93" s="138">
        <v>1.0</v>
      </c>
      <c r="Q93" s="138">
        <v>1.0</v>
      </c>
      <c r="R93" s="145" t="b">
        <v>0</v>
      </c>
      <c r="S93" s="145" t="b">
        <v>0</v>
      </c>
      <c r="T93" s="145"/>
      <c r="U93" s="156"/>
      <c r="V93" s="156"/>
    </row>
    <row r="94">
      <c r="A94" s="223"/>
      <c r="B94" s="224"/>
      <c r="C94" s="225"/>
      <c r="D94" s="225"/>
      <c r="E94" s="226"/>
      <c r="F94" s="226"/>
      <c r="G94" s="226"/>
      <c r="H94" s="227"/>
      <c r="I94" s="227"/>
      <c r="J94" s="228"/>
      <c r="K94" s="228"/>
      <c r="L94" s="228"/>
      <c r="M94" s="228"/>
      <c r="N94" s="228"/>
      <c r="O94" s="228"/>
      <c r="P94" s="228"/>
      <c r="Q94" s="118"/>
      <c r="R94" s="118"/>
      <c r="S94" s="118"/>
      <c r="T94" s="118"/>
      <c r="U94" s="118"/>
      <c r="V94" s="118"/>
    </row>
    <row r="95">
      <c r="A95" s="264" t="s">
        <v>211</v>
      </c>
      <c r="B95" s="104"/>
      <c r="C95" s="227"/>
      <c r="D95" s="227"/>
      <c r="E95" s="228"/>
      <c r="F95" s="265"/>
      <c r="G95" s="265"/>
      <c r="H95" s="228"/>
      <c r="I95" s="228"/>
      <c r="J95" s="228"/>
      <c r="K95" s="228"/>
      <c r="L95" s="228"/>
      <c r="M95" s="228"/>
      <c r="N95" s="118"/>
      <c r="O95" s="118"/>
      <c r="P95" s="118"/>
      <c r="Q95" s="228"/>
      <c r="R95" s="228"/>
      <c r="S95" s="228"/>
      <c r="T95" s="228"/>
      <c r="U95" s="228"/>
      <c r="V95" s="228"/>
    </row>
    <row r="96" outlineLevel="1">
      <c r="A96" s="106"/>
      <c r="B96" s="107"/>
      <c r="C96" s="266" t="s">
        <v>48</v>
      </c>
      <c r="D96" s="266" t="s">
        <v>49</v>
      </c>
      <c r="E96" s="266" t="s">
        <v>50</v>
      </c>
      <c r="F96" s="267" t="s">
        <v>51</v>
      </c>
      <c r="G96" s="227"/>
      <c r="H96" s="227"/>
      <c r="I96" s="227"/>
      <c r="J96" s="228"/>
      <c r="K96" s="228"/>
      <c r="L96" s="228"/>
      <c r="M96" s="228"/>
      <c r="N96" s="228"/>
      <c r="O96" s="228"/>
      <c r="P96" s="228"/>
      <c r="Q96" s="228"/>
      <c r="R96" s="228"/>
      <c r="S96" s="228"/>
      <c r="T96" s="228"/>
      <c r="U96" s="228"/>
      <c r="V96" s="228"/>
    </row>
    <row r="97" outlineLevel="1">
      <c r="A97" s="268" t="s">
        <v>212</v>
      </c>
      <c r="B97" s="269" t="s">
        <v>212</v>
      </c>
      <c r="C97" s="239" t="s">
        <v>176</v>
      </c>
      <c r="D97" s="239" t="s">
        <v>93</v>
      </c>
      <c r="E97" s="239" t="s">
        <v>381</v>
      </c>
      <c r="F97" s="138">
        <v>1.92</v>
      </c>
      <c r="G97" s="227"/>
      <c r="H97" s="227"/>
      <c r="I97" s="227"/>
      <c r="J97" s="228"/>
      <c r="K97" s="228"/>
      <c r="L97" s="228"/>
      <c r="M97" s="228"/>
      <c r="N97" s="228"/>
      <c r="O97" s="228"/>
      <c r="P97" s="228"/>
      <c r="Q97" s="228"/>
      <c r="R97" s="228"/>
      <c r="S97" s="228"/>
      <c r="T97" s="228"/>
      <c r="U97" s="228"/>
      <c r="V97" s="228"/>
    </row>
    <row r="98" outlineLevel="1">
      <c r="A98" s="270" t="s">
        <v>215</v>
      </c>
      <c r="B98" s="269" t="s">
        <v>216</v>
      </c>
      <c r="C98" s="239" t="s">
        <v>161</v>
      </c>
      <c r="D98" s="239" t="s">
        <v>193</v>
      </c>
      <c r="E98" s="271"/>
      <c r="F98" s="272"/>
      <c r="G98" s="272"/>
      <c r="H98" s="227"/>
      <c r="I98" s="227"/>
      <c r="J98" s="228"/>
      <c r="K98" s="228"/>
      <c r="L98" s="228"/>
      <c r="M98" s="228"/>
      <c r="N98" s="228"/>
      <c r="O98" s="228"/>
      <c r="P98" s="228"/>
      <c r="Q98" s="228"/>
      <c r="R98" s="228"/>
      <c r="S98" s="228"/>
      <c r="T98" s="228"/>
      <c r="U98" s="228"/>
      <c r="V98" s="228"/>
    </row>
    <row r="99" outlineLevel="1">
      <c r="A99" s="212"/>
      <c r="B99" s="269" t="s">
        <v>219</v>
      </c>
      <c r="C99" s="239" t="s">
        <v>382</v>
      </c>
      <c r="D99" s="239" t="s">
        <v>127</v>
      </c>
      <c r="E99" s="271"/>
      <c r="F99" s="272"/>
      <c r="G99" s="272"/>
      <c r="H99" s="227"/>
      <c r="I99" s="227"/>
      <c r="J99" s="228"/>
      <c r="K99" s="228"/>
      <c r="L99" s="228"/>
      <c r="M99" s="228"/>
      <c r="N99" s="228"/>
      <c r="O99" s="228"/>
      <c r="P99" s="228"/>
      <c r="Q99" s="228"/>
      <c r="R99" s="228"/>
      <c r="S99" s="228"/>
      <c r="T99" s="228"/>
      <c r="U99" s="228"/>
      <c r="V99" s="228"/>
    </row>
    <row r="100" outlineLevel="1">
      <c r="A100" s="106"/>
      <c r="B100" s="269" t="s">
        <v>222</v>
      </c>
      <c r="C100" s="239" t="s">
        <v>383</v>
      </c>
      <c r="D100" s="239" t="s">
        <v>282</v>
      </c>
      <c r="E100" s="227"/>
      <c r="F100" s="272"/>
      <c r="G100" s="272"/>
      <c r="H100" s="227"/>
      <c r="I100" s="227"/>
      <c r="J100" s="228"/>
      <c r="K100" s="228"/>
      <c r="L100" s="228"/>
      <c r="M100" s="228"/>
      <c r="N100" s="228"/>
      <c r="O100" s="228"/>
      <c r="P100" s="228"/>
      <c r="Q100" s="228"/>
      <c r="R100" s="228"/>
      <c r="S100" s="228"/>
      <c r="T100" s="228"/>
      <c r="U100" s="228"/>
      <c r="V100" s="228"/>
    </row>
    <row r="101" outlineLevel="1">
      <c r="A101" s="273" t="s">
        <v>225</v>
      </c>
      <c r="B101" s="109"/>
      <c r="C101" s="266" t="s">
        <v>48</v>
      </c>
      <c r="D101" s="266" t="s">
        <v>49</v>
      </c>
      <c r="E101" s="266" t="s">
        <v>50</v>
      </c>
      <c r="F101" s="267" t="s">
        <v>51</v>
      </c>
      <c r="G101" s="1168" t="s">
        <v>53</v>
      </c>
      <c r="H101" s="110"/>
      <c r="I101" s="110"/>
      <c r="J101" s="109"/>
      <c r="K101" s="275" t="str">
        <f>'テンプレート'!K97</f>
        <v>ベクトル</v>
      </c>
      <c r="L101" s="275" t="str">
        <f>'テンプレート'!L97</f>
        <v>KBG (R.E.)</v>
      </c>
      <c r="M101" s="275" t="str">
        <f>'テンプレート'!M97</f>
        <v>BKB (R.A.)</v>
      </c>
      <c r="N101" s="275" t="str">
        <f>'テンプレート'!N97</f>
        <v>FKB (R.F.)</v>
      </c>
      <c r="O101" s="276" t="str">
        <f>'テンプレート'!O97</f>
        <v>盾削り値</v>
      </c>
      <c r="P101" s="275" t="str">
        <f>'テンプレート'!P97</f>
        <v>ﾋｯﾄｽﾄｯﾌﾟ</v>
      </c>
      <c r="Q101" s="276" t="str">
        <f>'テンプレート'!Q97</f>
        <v>ずらし</v>
      </c>
      <c r="R101" s="277"/>
      <c r="S101" s="277"/>
      <c r="T101" s="277"/>
      <c r="U101" s="277"/>
      <c r="V101" s="277"/>
    </row>
    <row r="102" outlineLevel="1">
      <c r="A102" s="278" t="s">
        <v>226</v>
      </c>
      <c r="B102" s="269" t="s">
        <v>227</v>
      </c>
      <c r="C102" s="239" t="s">
        <v>718</v>
      </c>
      <c r="D102" s="279">
        <v>54.0</v>
      </c>
      <c r="E102" s="239" t="s">
        <v>73</v>
      </c>
      <c r="F102" s="138">
        <v>4.8</v>
      </c>
      <c r="G102" s="283" t="s">
        <v>2441</v>
      </c>
      <c r="H102" s="164"/>
      <c r="I102" s="164"/>
      <c r="J102" s="104"/>
      <c r="K102" s="282"/>
      <c r="L102" s="282"/>
      <c r="M102" s="282"/>
      <c r="N102" s="282"/>
      <c r="O102" s="138">
        <v>0.0</v>
      </c>
      <c r="P102" s="138">
        <v>1.0</v>
      </c>
      <c r="Q102" s="138">
        <v>1.0</v>
      </c>
      <c r="R102" s="277"/>
      <c r="S102" s="228"/>
      <c r="T102" s="228"/>
      <c r="U102" s="228"/>
      <c r="V102" s="228"/>
    </row>
    <row r="103" outlineLevel="1">
      <c r="A103" s="156"/>
      <c r="B103" s="269" t="s">
        <v>225</v>
      </c>
      <c r="C103" s="113">
        <v>21.0</v>
      </c>
      <c r="D103" s="156"/>
      <c r="E103" s="239" t="s">
        <v>80</v>
      </c>
      <c r="F103" s="138">
        <v>9.6</v>
      </c>
      <c r="G103" s="106"/>
      <c r="H103" s="168"/>
      <c r="I103" s="168"/>
      <c r="J103" s="107"/>
      <c r="K103" s="282"/>
      <c r="L103" s="282"/>
      <c r="M103" s="363"/>
      <c r="N103" s="363"/>
      <c r="O103" s="261"/>
      <c r="P103" s="261"/>
      <c r="Q103" s="261"/>
      <c r="R103" s="277"/>
      <c r="S103" s="228"/>
      <c r="T103" s="228"/>
      <c r="U103" s="228"/>
      <c r="V103" s="228"/>
    </row>
    <row r="104" outlineLevel="1">
      <c r="A104" s="278" t="s">
        <v>229</v>
      </c>
      <c r="B104" s="269" t="s">
        <v>227</v>
      </c>
      <c r="C104" s="113" t="s">
        <v>2442</v>
      </c>
      <c r="D104" s="279">
        <v>69.0</v>
      </c>
      <c r="E104" s="239" t="s">
        <v>80</v>
      </c>
      <c r="F104" s="138">
        <v>9.6</v>
      </c>
      <c r="G104" s="283" t="s">
        <v>231</v>
      </c>
      <c r="H104" s="164"/>
      <c r="I104" s="164"/>
      <c r="J104" s="104"/>
      <c r="K104" s="261"/>
      <c r="L104" s="261"/>
      <c r="M104" s="261"/>
      <c r="N104" s="261"/>
      <c r="O104" s="261"/>
      <c r="P104" s="261"/>
      <c r="Q104" s="261"/>
      <c r="R104" s="277"/>
      <c r="S104" s="228"/>
      <c r="T104" s="228"/>
      <c r="U104" s="228"/>
      <c r="V104" s="228"/>
    </row>
    <row r="105" outlineLevel="1">
      <c r="A105" s="156"/>
      <c r="B105" s="269" t="s">
        <v>225</v>
      </c>
      <c r="C105" s="113">
        <v>48.0</v>
      </c>
      <c r="D105" s="156"/>
      <c r="E105" s="239" t="s">
        <v>93</v>
      </c>
      <c r="F105" s="138">
        <v>8.4</v>
      </c>
      <c r="G105" s="106"/>
      <c r="H105" s="168"/>
      <c r="I105" s="168"/>
      <c r="J105" s="107"/>
      <c r="K105" s="282"/>
      <c r="L105" s="282"/>
      <c r="M105" s="363"/>
      <c r="N105" s="363"/>
      <c r="O105" s="261"/>
      <c r="P105" s="261"/>
      <c r="Q105" s="261"/>
      <c r="R105" s="277"/>
      <c r="S105" s="228"/>
      <c r="T105" s="228"/>
      <c r="U105" s="228"/>
      <c r="V105" s="228"/>
    </row>
    <row r="106" outlineLevel="1">
      <c r="A106" s="278" t="s">
        <v>233</v>
      </c>
      <c r="B106" s="269" t="s">
        <v>227</v>
      </c>
      <c r="C106" s="113" t="s">
        <v>443</v>
      </c>
      <c r="D106" s="279">
        <v>44.0</v>
      </c>
      <c r="E106" s="239" t="s">
        <v>73</v>
      </c>
      <c r="F106" s="138">
        <v>4.8</v>
      </c>
      <c r="G106" s="1170"/>
      <c r="H106" s="164"/>
      <c r="I106" s="164"/>
      <c r="J106" s="104"/>
      <c r="K106" s="282"/>
      <c r="L106" s="282"/>
      <c r="M106" s="363"/>
      <c r="N106" s="363"/>
      <c r="O106" s="145">
        <v>0.0</v>
      </c>
      <c r="P106" s="145">
        <v>1.0</v>
      </c>
      <c r="Q106" s="145">
        <v>1.0</v>
      </c>
      <c r="R106" s="277"/>
      <c r="S106" s="228"/>
      <c r="T106" s="228"/>
      <c r="U106" s="228"/>
      <c r="V106" s="228"/>
    </row>
    <row r="107" outlineLevel="1">
      <c r="A107" s="156"/>
      <c r="B107" s="269" t="s">
        <v>225</v>
      </c>
      <c r="C107" s="239" t="s">
        <v>876</v>
      </c>
      <c r="D107" s="156"/>
      <c r="E107" s="239" t="s">
        <v>73</v>
      </c>
      <c r="F107" s="138">
        <v>4.8</v>
      </c>
      <c r="G107" s="106"/>
      <c r="H107" s="168"/>
      <c r="I107" s="168"/>
      <c r="J107" s="107"/>
      <c r="K107" s="282"/>
      <c r="L107" s="282"/>
      <c r="M107" s="363"/>
      <c r="N107" s="363"/>
      <c r="O107" s="261"/>
      <c r="P107" s="261"/>
      <c r="Q107" s="261"/>
      <c r="R107" s="277"/>
      <c r="S107" s="117"/>
      <c r="T107" s="117"/>
      <c r="U107" s="117"/>
      <c r="V107" s="117"/>
    </row>
    <row r="108" outlineLevel="1">
      <c r="A108" s="278" t="s">
        <v>234</v>
      </c>
      <c r="B108" s="269" t="s">
        <v>227</v>
      </c>
      <c r="C108" s="113" t="s">
        <v>2443</v>
      </c>
      <c r="D108" s="279">
        <v>54.0</v>
      </c>
      <c r="E108" s="239" t="s">
        <v>73</v>
      </c>
      <c r="F108" s="138">
        <v>4.8</v>
      </c>
      <c r="G108" s="1170"/>
      <c r="H108" s="164"/>
      <c r="I108" s="164"/>
      <c r="J108" s="104"/>
      <c r="K108" s="282"/>
      <c r="L108" s="282"/>
      <c r="M108" s="363"/>
      <c r="N108" s="363"/>
      <c r="O108" s="145">
        <v>0.0</v>
      </c>
      <c r="P108" s="145">
        <v>1.0</v>
      </c>
      <c r="Q108" s="145">
        <v>1.0</v>
      </c>
      <c r="R108" s="277"/>
      <c r="S108" s="117"/>
      <c r="T108" s="117"/>
      <c r="U108" s="117"/>
      <c r="V108" s="117"/>
    </row>
    <row r="109" outlineLevel="1">
      <c r="A109" s="156"/>
      <c r="B109" s="269" t="s">
        <v>225</v>
      </c>
      <c r="C109" s="113">
        <v>30.0</v>
      </c>
      <c r="D109" s="156"/>
      <c r="E109" s="239" t="s">
        <v>93</v>
      </c>
      <c r="F109" s="138">
        <v>8.4</v>
      </c>
      <c r="G109" s="106"/>
      <c r="H109" s="168"/>
      <c r="I109" s="168"/>
      <c r="J109" s="107"/>
      <c r="K109" s="282"/>
      <c r="L109" s="282"/>
      <c r="M109" s="363"/>
      <c r="N109" s="363"/>
      <c r="O109" s="261"/>
      <c r="P109" s="261"/>
      <c r="Q109" s="261"/>
      <c r="R109" s="277"/>
      <c r="S109" s="117"/>
      <c r="T109" s="117"/>
      <c r="U109" s="117"/>
      <c r="V109" s="117"/>
    </row>
    <row r="110">
      <c r="A110" s="223"/>
      <c r="B110" s="224"/>
      <c r="C110" s="225"/>
      <c r="D110" s="225"/>
      <c r="E110" s="227"/>
      <c r="F110" s="177"/>
      <c r="G110" s="177"/>
      <c r="H110" s="227"/>
      <c r="I110" s="227"/>
      <c r="J110" s="228"/>
      <c r="K110" s="228"/>
      <c r="L110" s="111"/>
      <c r="M110" s="111"/>
      <c r="N110" s="111"/>
      <c r="O110" s="117"/>
      <c r="P110" s="117"/>
      <c r="Q110" s="111"/>
      <c r="R110" s="111"/>
      <c r="S110" s="111"/>
      <c r="T110" s="111"/>
      <c r="U110" s="111"/>
      <c r="V110" s="111"/>
    </row>
    <row r="111">
      <c r="A111" s="284" t="s">
        <v>241</v>
      </c>
      <c r="B111" s="104"/>
      <c r="C111" s="265"/>
      <c r="D111" s="111"/>
      <c r="E111" s="111"/>
      <c r="F111" s="111"/>
      <c r="G111" s="111"/>
      <c r="H111" s="111"/>
      <c r="I111" s="111"/>
      <c r="J111" s="118"/>
      <c r="K111" s="111"/>
      <c r="L111" s="111"/>
      <c r="M111" s="111"/>
      <c r="N111" s="111"/>
      <c r="O111" s="111"/>
      <c r="P111" s="111"/>
      <c r="Q111" s="118"/>
      <c r="R111" s="111"/>
      <c r="S111" s="111"/>
      <c r="T111" s="111"/>
      <c r="U111" s="111"/>
      <c r="V111" s="111"/>
    </row>
    <row r="112" outlineLevel="1">
      <c r="A112" s="106"/>
      <c r="B112" s="107"/>
      <c r="C112" s="285" t="s">
        <v>235</v>
      </c>
      <c r="D112" s="285" t="s">
        <v>236</v>
      </c>
      <c r="E112" s="285" t="s">
        <v>49</v>
      </c>
      <c r="F112" s="285" t="s">
        <v>237</v>
      </c>
      <c r="G112" s="286"/>
      <c r="H112" s="227"/>
      <c r="I112" s="227"/>
      <c r="J112" s="228"/>
      <c r="K112" s="228"/>
      <c r="L112" s="111"/>
      <c r="M112" s="111"/>
      <c r="N112" s="111"/>
      <c r="O112" s="111"/>
      <c r="P112" s="111"/>
      <c r="Q112" s="111"/>
      <c r="R112" s="111"/>
      <c r="S112" s="111"/>
      <c r="T112" s="111"/>
      <c r="U112" s="111"/>
      <c r="V112" s="111"/>
    </row>
    <row r="113" outlineLevel="1">
      <c r="A113" s="287" t="s">
        <v>395</v>
      </c>
      <c r="B113" s="288" t="s">
        <v>216</v>
      </c>
      <c r="C113" s="113" t="str">
        <f t="array" ref="C113">INDEX('回避'!$C$3:$U$84, MATCH($A$1,'回避'!$A$3:$A$91,0), MATCH(C112,'回避'!$C$2:$F$2,0))</f>
        <v>3-17</v>
      </c>
      <c r="D113" s="113" t="str">
        <f t="array" ref="D113">INDEX('回避'!$C$3:$U$84, MATCH($A$1,'回避'!$A$3:$A$91,0), MATCH(D112,'回避'!$C$2:$F$2,0))</f>
        <v>6-17</v>
      </c>
      <c r="E113" s="113" t="str">
        <f t="array" ref="E113">INDEX('回避'!$C$3:$U$84, MATCH($A$1,'回避'!$A$3:$A$91,0), MATCH(E112,'回避'!$C$2:$F$2,0))</f>
        <v>26 (21)</v>
      </c>
      <c r="F113" s="113" t="str">
        <f t="array" ref="F113">INDEX('回避'!$C$3:$U$84, MATCH($A$1,'回避'!$A$3:$A$91,0), MATCH(F112,'回避'!$C$2:$F$2,0))</f>
        <v>35 (28)</v>
      </c>
      <c r="G113" s="272"/>
      <c r="H113" s="227"/>
      <c r="I113" s="227"/>
      <c r="J113" s="228"/>
      <c r="K113" s="228"/>
      <c r="L113" s="228"/>
      <c r="M113" s="111"/>
      <c r="N113" s="111"/>
      <c r="O113" s="111"/>
      <c r="P113" s="111"/>
      <c r="Q113" s="111"/>
      <c r="R113" s="111"/>
      <c r="S113" s="111"/>
      <c r="T113" s="111"/>
      <c r="U113" s="111"/>
      <c r="V113" s="111"/>
    </row>
    <row r="114" outlineLevel="1">
      <c r="A114" s="212"/>
      <c r="B114" s="288" t="s">
        <v>245</v>
      </c>
      <c r="C114" s="113" t="str">
        <f t="array" ref="C114">INDEX('回避'!$G$3:$U$84, MATCH($A$1,'回避'!$A$3:$A$91,0), MATCH(C112,'回避'!$G$2:$J$2,0))</f>
        <v>4-15</v>
      </c>
      <c r="D114" s="113" t="str">
        <f t="array" ref="D114">INDEX('回避'!$G$3:$U$84, MATCH($A$1,'回避'!$A$3:$A$91,0), MATCH(D112,'回避'!$G$2:$J$2,0))</f>
        <v>8-14</v>
      </c>
      <c r="E114" s="113" t="str">
        <f t="array" ref="E114">INDEX('回避'!$G$3:$U$84, MATCH($A$1,'回避'!$A$3:$A$91,0), MATCH(E112,'回避'!$G$2:$J$2,0))</f>
        <v>30</v>
      </c>
      <c r="F114" s="113">
        <f t="array" ref="F114">INDEX('回避'!$G$3:$U$84, MATCH($A$1,'回避'!$A$3:$A$91,0), MATCH(F112,'回避'!$G$2:$J$2,0))</f>
        <v>40</v>
      </c>
      <c r="G114" s="289"/>
      <c r="H114" s="227"/>
      <c r="I114" s="227"/>
      <c r="J114" s="228"/>
      <c r="K114" s="228"/>
      <c r="L114" s="228"/>
      <c r="M114" s="228"/>
      <c r="N114" s="228"/>
      <c r="O114" s="111"/>
      <c r="P114" s="111"/>
      <c r="Q114" s="111"/>
      <c r="R114" s="111"/>
      <c r="S114" s="111"/>
      <c r="T114" s="111"/>
      <c r="U114" s="111"/>
      <c r="V114" s="111"/>
    </row>
    <row r="115" outlineLevel="1">
      <c r="A115" s="106"/>
      <c r="B115" s="288" t="s">
        <v>246</v>
      </c>
      <c r="C115" s="113" t="str">
        <f t="array" ref="C115">INDEX('回避'!$K$3:$U$84, MATCH($A$1,'回避'!$A$3:$A$91,0), MATCH(C112,'回避'!$K$2:$N$2,0))</f>
        <v>5-16</v>
      </c>
      <c r="D115" s="113" t="str">
        <f t="array" ref="D115">INDEX('回避'!$K$3:$U$84, MATCH($A$1,'回避'!$A$3:$A$91,0), MATCH(D112,'回避'!$K$2:$N$2,0))</f>
        <v>9-14</v>
      </c>
      <c r="E115" s="113" t="str">
        <f t="array" ref="E115">INDEX('回避'!$K$3:$U$84, MATCH($A$1,'回避'!$A$3:$A$91,0), MATCH(E112,'回避'!$K$2:$N$2,0))</f>
        <v>35</v>
      </c>
      <c r="F115" s="113" t="str">
        <f t="array" ref="F115">INDEX('回避'!$K$3:$U$84, MATCH($A$1,'回避'!$A$3:$A$91,0), MATCH(F112,'回避'!$K$2:$N$2,0))</f>
        <v>53</v>
      </c>
      <c r="G115" s="289"/>
      <c r="H115" s="290"/>
      <c r="I115" s="290"/>
      <c r="J115" s="117"/>
      <c r="K115" s="117"/>
      <c r="L115" s="117"/>
      <c r="M115" s="117"/>
      <c r="N115" s="117"/>
      <c r="O115" s="111"/>
      <c r="P115" s="111"/>
      <c r="Q115" s="111"/>
      <c r="R115" s="111"/>
      <c r="S115" s="111"/>
      <c r="T115" s="111"/>
      <c r="U115" s="111"/>
      <c r="V115" s="111"/>
    </row>
    <row r="116" outlineLevel="1">
      <c r="A116" s="287" t="s">
        <v>396</v>
      </c>
      <c r="B116" s="288" t="s">
        <v>397</v>
      </c>
      <c r="C116" s="113" t="str">
        <f t="array" ref="C116">INDEX('回避'!$O$3:$U$84, MATCH($A$1,'回避'!$A$3:$A$91,0), MATCH(C112,'回避'!$O$2:$R$2,0))</f>
        <v>3-29</v>
      </c>
      <c r="D116" s="113" t="str">
        <f t="array" ref="D116">INDEX('回避'!$O$3:$U$84, MATCH($A$1,'回避'!$A$3:$A$91,0), MATCH(D112,'回避'!$O$2:$R$2,0))</f>
        <v>6-27</v>
      </c>
      <c r="E116" s="113" t="str">
        <f t="array" ref="E116">INDEX('回避'!$O$3:$U$84, MATCH($A$1,'回避'!$A$3:$A$91,0), MATCH(E112,'回避'!$O$2:$R$2,0))</f>
        <v>50</v>
      </c>
      <c r="F116" s="177"/>
      <c r="G116" s="177"/>
      <c r="H116" s="118"/>
      <c r="I116" s="118"/>
      <c r="J116" s="111"/>
      <c r="K116" s="111"/>
      <c r="L116" s="111"/>
      <c r="M116" s="111"/>
      <c r="N116" s="111"/>
      <c r="O116" s="228"/>
      <c r="P116" s="228"/>
      <c r="Q116" s="228"/>
      <c r="R116" s="228"/>
      <c r="S116" s="228"/>
      <c r="T116" s="228"/>
      <c r="U116" s="228"/>
      <c r="V116" s="228"/>
    </row>
    <row r="117" outlineLevel="1">
      <c r="A117" s="106"/>
      <c r="B117" s="288" t="s">
        <v>398</v>
      </c>
      <c r="C117" s="113" t="str">
        <f t="array" ref="C117">INDEX('回避'!$S$3:$U$84, MATCH($A$1,'回避'!$A$3:$A$91,0), MATCH(C112,'回避'!$S$2:$U$2,0))</f>
        <v>3-21</v>
      </c>
      <c r="D117" s="113" t="str">
        <f t="array" ref="D117">INDEX('回避'!$S$3:$U$84, MATCH($A$1,'回避'!$A$3:$A$91,0), MATCH(D112,'回避'!$S$2:$U$2,0))</f>
        <v>6-20</v>
      </c>
      <c r="E117" s="113" t="str">
        <f t="array" ref="E117">INDEX('回避'!$S$3:$U$84, MATCH($A$1,'回避'!$A$3:$A$91,0), MATCH(E112,'回避'!$S$2:$U$2,0))</f>
        <v>真横：82
真上：104
真下：66</v>
      </c>
      <c r="F117" s="289"/>
      <c r="G117" s="289"/>
      <c r="H117" s="118"/>
      <c r="I117" s="118"/>
      <c r="J117" s="117"/>
      <c r="K117" s="117"/>
      <c r="L117" s="117"/>
      <c r="M117" s="117"/>
      <c r="N117" s="111"/>
      <c r="O117" s="118"/>
      <c r="P117" s="118"/>
      <c r="Q117" s="118"/>
      <c r="R117" s="118"/>
      <c r="S117" s="118"/>
      <c r="T117" s="118"/>
      <c r="U117" s="118"/>
      <c r="V117" s="118"/>
    </row>
    <row r="118">
      <c r="A118" s="291"/>
      <c r="B118" s="292"/>
      <c r="C118" s="286"/>
      <c r="D118" s="286"/>
      <c r="E118" s="293"/>
      <c r="F118" s="286"/>
      <c r="G118" s="286"/>
      <c r="H118" s="286"/>
      <c r="I118" s="286"/>
      <c r="J118" s="111"/>
      <c r="K118" s="227"/>
      <c r="L118" s="227"/>
      <c r="M118" s="227"/>
      <c r="N118" s="227"/>
      <c r="O118" s="118"/>
      <c r="P118" s="118"/>
      <c r="Q118" s="118"/>
      <c r="R118" s="118"/>
      <c r="S118" s="118"/>
      <c r="T118" s="118"/>
      <c r="U118" s="118"/>
      <c r="V118" s="118"/>
    </row>
    <row r="119">
      <c r="A119" s="294" t="s">
        <v>238</v>
      </c>
      <c r="B119" s="104"/>
      <c r="C119" s="228"/>
      <c r="D119" s="117"/>
      <c r="E119" s="228"/>
      <c r="F119" s="114"/>
      <c r="G119" s="114"/>
      <c r="H119" s="117"/>
      <c r="I119" s="117"/>
      <c r="J119" s="118"/>
      <c r="K119" s="118"/>
      <c r="L119" s="118"/>
      <c r="M119" s="118"/>
      <c r="N119" s="118"/>
      <c r="O119" s="118"/>
      <c r="P119" s="118"/>
      <c r="Q119" s="118"/>
      <c r="R119" s="118"/>
      <c r="S119" s="118"/>
      <c r="T119" s="118"/>
      <c r="U119" s="118"/>
      <c r="V119" s="118"/>
    </row>
    <row r="120" outlineLevel="1">
      <c r="A120" s="106"/>
      <c r="B120" s="107"/>
      <c r="C120" s="295" t="s">
        <v>235</v>
      </c>
      <c r="D120" s="295" t="s">
        <v>49</v>
      </c>
      <c r="E120" s="295" t="s">
        <v>48</v>
      </c>
      <c r="F120" s="295" t="s">
        <v>50</v>
      </c>
      <c r="G120" s="296" t="s">
        <v>51</v>
      </c>
      <c r="H120" s="228"/>
      <c r="I120" s="228"/>
      <c r="J120" s="117"/>
      <c r="K120" s="297" t="str">
        <f>'テンプレート'!K116</f>
        <v>アイテム取得</v>
      </c>
      <c r="L120" s="109"/>
      <c r="M120" s="298" t="str">
        <f>'テンプレート'!M116</f>
        <v>取得フレーム</v>
      </c>
      <c r="N120" s="298" t="str">
        <f>'テンプレート'!N116</f>
        <v>全体フレーム</v>
      </c>
      <c r="O120" s="118"/>
      <c r="P120" s="118"/>
      <c r="Q120" s="118"/>
      <c r="R120" s="118"/>
      <c r="S120" s="118"/>
      <c r="T120" s="118"/>
      <c r="U120" s="118"/>
      <c r="V120" s="118"/>
    </row>
    <row r="121" outlineLevel="1">
      <c r="A121" s="299" t="s">
        <v>239</v>
      </c>
      <c r="B121" s="300" t="s">
        <v>240</v>
      </c>
      <c r="C121" s="301"/>
      <c r="D121" s="113">
        <f t="array" ref="D121">INDEX('崖行動・受け身'!$C$3:$C117, MATCH($A$1,'崖行動・受け身'!$A$3:$A$115,0), MATCH(D120,'崖行動・受け身'!$C$2,0))</f>
        <v>19</v>
      </c>
      <c r="E121" s="301"/>
      <c r="F121" s="301"/>
      <c r="G121" s="301"/>
      <c r="H121" s="228"/>
      <c r="I121" s="228"/>
      <c r="J121" s="111"/>
      <c r="K121" s="302" t="str">
        <f>'テンプレート'!K117</f>
        <v>小アイテム</v>
      </c>
      <c r="L121" s="303" t="str">
        <f>'テンプレート'!L117</f>
        <v>その場</v>
      </c>
      <c r="M121" s="113" t="s">
        <v>76</v>
      </c>
      <c r="N121" s="113">
        <v>7.0</v>
      </c>
      <c r="O121" s="118"/>
      <c r="P121" s="118"/>
      <c r="Q121" s="118"/>
      <c r="R121" s="118"/>
      <c r="S121" s="118"/>
      <c r="T121" s="118"/>
      <c r="U121" s="118"/>
      <c r="V121" s="118"/>
    </row>
    <row r="122" outlineLevel="1">
      <c r="A122" s="146"/>
      <c r="B122" s="300" t="s">
        <v>216</v>
      </c>
      <c r="C122" s="113" t="str">
        <f t="array" ref="C122">INDEX('崖行動・受け身'!$D$3:$E117, MATCH($A$1,'崖行動・受け身'!$A$3:$A$115,0), MATCH(C120,'崖行動・受け身'!$D$2:$E$2,0))</f>
        <v>1-33</v>
      </c>
      <c r="D122" s="113">
        <f t="array" ref="D122">INDEX('崖行動・受け身'!$D$3:$E117, MATCH($A$1,'崖行動・受け身'!$A$3:$A$115,0), MATCH(D120,'崖行動・受け身'!$D$2:$E$2,0))</f>
        <v>34</v>
      </c>
      <c r="E122" s="301"/>
      <c r="F122" s="301"/>
      <c r="G122" s="301"/>
      <c r="H122" s="228"/>
      <c r="I122" s="228"/>
      <c r="J122" s="117"/>
      <c r="K122" s="156"/>
      <c r="L122" s="303" t="str">
        <f>'テンプレート'!L118</f>
        <v>歩き</v>
      </c>
      <c r="M122" s="113" t="s">
        <v>76</v>
      </c>
      <c r="N122" s="113">
        <v>19.0</v>
      </c>
      <c r="O122" s="118"/>
      <c r="P122" s="118"/>
      <c r="Q122" s="118"/>
      <c r="R122" s="118"/>
      <c r="S122" s="118"/>
      <c r="T122" s="118"/>
      <c r="U122" s="118"/>
      <c r="V122" s="118"/>
    </row>
    <row r="123" outlineLevel="1">
      <c r="A123" s="146"/>
      <c r="B123" s="300" t="s">
        <v>241</v>
      </c>
      <c r="C123" s="113" t="str">
        <f t="array" ref="C123">INDEX('崖行動・受け身'!$F$3:$G$115, MATCH($A$1,'崖行動・受け身'!$A$3:$A$115,0), MATCH(C120,'崖行動・受け身'!$F$2:$G$2,0))</f>
        <v>1-26</v>
      </c>
      <c r="D123" s="113">
        <f t="array" ref="D123">INDEX('崖行動・受け身'!$F$3:$G$115, MATCH($A$1,'崖行動・受け身'!$A$3:$A$115,0), MATCH(D120,'崖行動・受け身'!$F$2:$G$2,0))</f>
        <v>45</v>
      </c>
      <c r="E123" s="301"/>
      <c r="F123" s="301"/>
      <c r="G123" s="301"/>
      <c r="H123" s="228"/>
      <c r="I123" s="228"/>
      <c r="J123" s="111"/>
      <c r="K123" s="304" t="str">
        <f>'テンプレート'!K119</f>
        <v>アイテム投擲</v>
      </c>
      <c r="L123" s="109"/>
      <c r="M123" s="298" t="str">
        <f>'テンプレート'!M119</f>
        <v>投擲フレーム</v>
      </c>
      <c r="N123" s="298" t="str">
        <f>'テンプレート'!N119</f>
        <v>全体フレーム</v>
      </c>
      <c r="O123" s="118"/>
      <c r="P123" s="118"/>
      <c r="Q123" s="118"/>
      <c r="R123" s="118"/>
      <c r="S123" s="118"/>
      <c r="T123" s="118"/>
      <c r="U123" s="118"/>
      <c r="V123" s="118"/>
    </row>
    <row r="124" outlineLevel="1">
      <c r="A124" s="146"/>
      <c r="B124" s="300" t="s">
        <v>242</v>
      </c>
      <c r="C124" s="113" t="str">
        <f t="array" ref="C124">INDEX('崖行動・受け身'!$H$3:$I$115, MATCH($A$1,'崖行動・受け身'!$A$3:$A$115,0), MATCH(C120,'崖行動・受け身'!$H$2:$I$2,0))</f>
        <v>1-12</v>
      </c>
      <c r="D124" s="113">
        <f t="array" ref="D124">INDEX('崖行動・受け身'!$H$3:$I$115, MATCH($A$1,'崖行動・受け身'!$A$3:$A$115,0), MATCH(D120,'崖行動・受け身'!$H$2:$I$2,0))</f>
        <v>14</v>
      </c>
      <c r="E124" s="301"/>
      <c r="F124" s="301"/>
      <c r="G124" s="301"/>
      <c r="H124" s="228"/>
      <c r="I124" s="228"/>
      <c r="J124" s="117"/>
      <c r="K124" s="305" t="str">
        <f>'テンプレート'!K120</f>
        <v>地上投擲</v>
      </c>
      <c r="L124" s="303" t="str">
        <f>'テンプレート'!L120</f>
        <v>前投げ</v>
      </c>
      <c r="M124" s="113" t="s">
        <v>128</v>
      </c>
      <c r="N124" s="113">
        <v>29.0</v>
      </c>
      <c r="O124" s="111"/>
      <c r="P124" s="111"/>
      <c r="Q124" s="111"/>
      <c r="R124" s="111"/>
      <c r="S124" s="111"/>
      <c r="T124" s="111"/>
      <c r="U124" s="111"/>
      <c r="V124" s="111"/>
    </row>
    <row r="125" outlineLevel="1">
      <c r="A125" s="156"/>
      <c r="B125" s="300" t="s">
        <v>243</v>
      </c>
      <c r="C125" s="113" t="str">
        <f t="array" ref="C125">INDEX('崖行動・受け身'!$J$3:$M$115, MATCH($A$1,'崖行動・受け身'!$A$3:$A$115,0), MATCH(C120,'崖行動・受け身'!$J$2:$M$2,0))</f>
        <v>1-20</v>
      </c>
      <c r="D125" s="113">
        <f t="array" ref="D125">INDEX('崖行動・受け身'!$J$3:$M$115, MATCH($A$1,'崖行動・受け身'!$A$3:$A$115,0), MATCH(D120,'崖行動・受け身'!$J$2:$M$2,0))</f>
        <v>55</v>
      </c>
      <c r="E125" s="113" t="str">
        <f t="array" ref="E125">INDEX('崖行動・受け身'!$J$3:$M$115, MATCH($A$1,'崖行動・受け身'!$A$3:$A$115,0), MATCH(E120,'崖行動・受け身'!$J$2:$M$2,0))</f>
        <v>18-20</v>
      </c>
      <c r="F125" s="113">
        <f t="array" ref="F125">INDEX('崖行動・受け身'!$J$3:$M$115, MATCH($A$1,'崖行動・受け身'!$A$3:$A$115,0), MATCH(F120,'崖行動・受け身'!$J$2:$M$2,0))</f>
        <v>10</v>
      </c>
      <c r="G125" s="113">
        <f>F125*1.2</f>
        <v>12</v>
      </c>
      <c r="H125" s="228"/>
      <c r="I125" s="228"/>
      <c r="J125" s="111"/>
      <c r="K125" s="146"/>
      <c r="L125" s="303" t="str">
        <f>'テンプレート'!L121</f>
        <v>後投げ</v>
      </c>
      <c r="M125" s="113" t="s">
        <v>119</v>
      </c>
      <c r="N125" s="113">
        <v>29.0</v>
      </c>
      <c r="O125" s="111"/>
      <c r="P125" s="111"/>
      <c r="Q125" s="111"/>
      <c r="R125" s="111"/>
      <c r="S125" s="111"/>
      <c r="T125" s="111"/>
      <c r="U125" s="111"/>
      <c r="V125" s="111"/>
    </row>
    <row r="126" outlineLevel="1">
      <c r="A126" s="299" t="s">
        <v>244</v>
      </c>
      <c r="B126" s="300" t="s">
        <v>216</v>
      </c>
      <c r="C126" s="113" t="str">
        <f t="array" ref="C126">INDEX('崖行動・受け身'!$N$3:$O$115, MATCH($A$1,'崖行動・受け身'!$A$3:$A$115,0), MATCH(C120,'崖行動・受け身'!$N$2:$O$2,0))</f>
        <v>1-20</v>
      </c>
      <c r="D126" s="113">
        <f t="array" ref="D126">INDEX('崖行動・受け身'!$N$3:$O$115, MATCH($A$1,'崖行動・受け身'!$A$3:$A$115,0), MATCH(D120,'崖行動・受け身'!$N$2:$O$2,0))</f>
        <v>26</v>
      </c>
      <c r="E126" s="301"/>
      <c r="F126" s="301"/>
      <c r="G126" s="301"/>
      <c r="H126" s="228"/>
      <c r="I126" s="228"/>
      <c r="J126" s="117"/>
      <c r="K126" s="146"/>
      <c r="L126" s="303" t="str">
        <f>'テンプレート'!L122</f>
        <v>上投げ</v>
      </c>
      <c r="M126" s="113" t="s">
        <v>386</v>
      </c>
      <c r="N126" s="113">
        <v>29.0</v>
      </c>
      <c r="O126" s="228"/>
      <c r="P126" s="228"/>
      <c r="Q126" s="228"/>
      <c r="R126" s="228"/>
      <c r="S126" s="228"/>
      <c r="T126" s="228"/>
      <c r="U126" s="228"/>
      <c r="V126" s="228"/>
    </row>
    <row r="127" outlineLevel="1">
      <c r="A127" s="146"/>
      <c r="B127" s="300" t="s">
        <v>245</v>
      </c>
      <c r="C127" s="113" t="str">
        <f t="array" ref="C127">INDEX('崖行動・受け身'!$P$3:$Q$115, MATCH($A$1,'崖行動・受け身'!$A$3:$A$115,0), MATCH(C120,'崖行動・受け身'!$P$2:$Q$2,0))</f>
        <v>1-20</v>
      </c>
      <c r="D127" s="113">
        <f t="array" ref="D127">INDEX('崖行動・受け身'!$P$3:$Q$115, MATCH($A$1,'崖行動・受け身'!$A$3:$A$115,0), MATCH(D120,'崖行動・受け身'!$P$2:$Q$2,0))</f>
        <v>40</v>
      </c>
      <c r="E127" s="301"/>
      <c r="F127" s="301"/>
      <c r="G127" s="301"/>
      <c r="H127" s="228"/>
      <c r="I127" s="228"/>
      <c r="J127" s="111"/>
      <c r="K127" s="146"/>
      <c r="L127" s="303" t="str">
        <f>'テンプレート'!L123</f>
        <v>下投げ</v>
      </c>
      <c r="M127" s="113" t="s">
        <v>80</v>
      </c>
      <c r="N127" s="113">
        <v>21.0</v>
      </c>
      <c r="O127" s="118"/>
      <c r="P127" s="118"/>
      <c r="Q127" s="118"/>
      <c r="R127" s="118"/>
      <c r="S127" s="118"/>
      <c r="T127" s="118"/>
      <c r="U127" s="118"/>
      <c r="V127" s="118"/>
    </row>
    <row r="128" outlineLevel="1">
      <c r="A128" s="156"/>
      <c r="B128" s="300" t="s">
        <v>246</v>
      </c>
      <c r="C128" s="113" t="str">
        <f t="array" ref="C128">INDEX('崖行動・受け身'!$R$3:$S$115, MATCH($A$1,'崖行動・受け身'!$A$3:$A$115,0), MATCH(C120,'崖行動・受け身'!$R$2:$S$2,0))</f>
        <v>1-20</v>
      </c>
      <c r="D128" s="113">
        <f t="array" ref="D128">INDEX('崖行動・受け身'!$R$3:$S$115, MATCH($A$1,'崖行動・受け身'!$A$3:$A$115,0), MATCH(D120,'崖行動・受け身'!$R$2:$S$2,0))</f>
        <v>40</v>
      </c>
      <c r="E128" s="301"/>
      <c r="F128" s="301"/>
      <c r="G128" s="301"/>
      <c r="H128" s="228"/>
      <c r="I128" s="228"/>
      <c r="J128" s="117"/>
      <c r="K128" s="146"/>
      <c r="L128" s="306" t="str">
        <f>'テンプレート'!L124</f>
        <v>ダッシュ</v>
      </c>
      <c r="M128" s="113" t="s">
        <v>86</v>
      </c>
      <c r="N128" s="113">
        <v>39.0</v>
      </c>
      <c r="O128" s="118"/>
      <c r="P128" s="118"/>
      <c r="Q128" s="118"/>
      <c r="R128" s="118"/>
      <c r="S128" s="118"/>
      <c r="T128" s="118"/>
      <c r="U128" s="118"/>
      <c r="V128" s="118"/>
    </row>
    <row r="129" outlineLevel="1">
      <c r="A129" s="299" t="s">
        <v>247</v>
      </c>
      <c r="B129" s="300" t="s">
        <v>248</v>
      </c>
      <c r="C129" s="301"/>
      <c r="D129" s="113" t="str">
        <f t="array" ref="D129">INDEX('起きあがり'!$C$3:$C117, MATCH($A$1,'起きあがり'!$A$3:$A$115,0), MATCH(D120,'起きあがり'!$C$2:$AD$2,0))</f>
        <v>25</v>
      </c>
      <c r="E129" s="301"/>
      <c r="F129" s="301"/>
      <c r="G129" s="301"/>
      <c r="H129" s="228"/>
      <c r="I129" s="228"/>
      <c r="J129" s="111"/>
      <c r="K129" s="156"/>
      <c r="L129" s="306" t="str">
        <f>'テンプレート'!L125</f>
        <v>その場捨て</v>
      </c>
      <c r="M129" s="113" t="s">
        <v>93</v>
      </c>
      <c r="N129" s="113">
        <v>23.0</v>
      </c>
      <c r="O129" s="118"/>
      <c r="P129" s="118"/>
      <c r="Q129" s="118"/>
      <c r="R129" s="118"/>
      <c r="S129" s="118"/>
      <c r="T129" s="118"/>
      <c r="U129" s="118"/>
      <c r="V129" s="118"/>
    </row>
    <row r="130" outlineLevel="1">
      <c r="A130" s="146"/>
      <c r="B130" s="300" t="s">
        <v>216</v>
      </c>
      <c r="C130" s="307" t="str">
        <f t="array" ref="C130">INDEX('起きあがり'!$D$3:$E117, MATCH($A$1,'起きあがり'!$A$3:$A$115,0), MATCH(C120,'起きあがり'!$D$2:$AD$2,0))</f>
        <v>1-22</v>
      </c>
      <c r="D130" s="308">
        <f t="array" ref="D130">INDEX('起きあがり'!$D$3:$E117, MATCH($A$1,'起きあがり'!$A$3:$A$115,0), MATCH(D120,'起きあがり'!$D$2:$AD$2,0))</f>
        <v>29</v>
      </c>
      <c r="E130" s="301"/>
      <c r="F130" s="301"/>
      <c r="G130" s="301"/>
      <c r="H130" s="228"/>
      <c r="I130" s="228"/>
      <c r="J130" s="117"/>
      <c r="K130" s="305" t="str">
        <f>'テンプレート'!K126</f>
        <v>空中投擲</v>
      </c>
      <c r="L130" s="303" t="str">
        <f>'テンプレート'!L126</f>
        <v>前投げ</v>
      </c>
      <c r="M130" s="113" t="s">
        <v>128</v>
      </c>
      <c r="N130" s="113">
        <v>29.0</v>
      </c>
      <c r="O130" s="118"/>
      <c r="P130" s="118"/>
      <c r="Q130" s="118"/>
      <c r="R130" s="118"/>
      <c r="S130" s="118"/>
      <c r="T130" s="118"/>
      <c r="U130" s="118"/>
      <c r="V130" s="118"/>
    </row>
    <row r="131" outlineLevel="1">
      <c r="A131" s="146"/>
      <c r="B131" s="300" t="s">
        <v>245</v>
      </c>
      <c r="C131" s="307" t="str">
        <f t="array" ref="C131">INDEX('起きあがり'!$F$3:$G$115, MATCH($A$1,'起きあがり'!$A$3:$A$115,0), MATCH(C120,'起きあがり'!$F$2:$AD$2,0))</f>
        <v>1-21</v>
      </c>
      <c r="D131" s="308">
        <f t="array" ref="D131">INDEX('起きあがり'!$F$3:$G$115, MATCH($A$1,'起きあがり'!$A$3:$A$115,0), MATCH(D120,'起きあがり'!$F$2:$AD$2,0))</f>
        <v>35</v>
      </c>
      <c r="E131" s="301"/>
      <c r="F131" s="301"/>
      <c r="G131" s="301"/>
      <c r="H131" s="228"/>
      <c r="I131" s="228"/>
      <c r="J131" s="111"/>
      <c r="K131" s="146"/>
      <c r="L131" s="303" t="str">
        <f>'テンプレート'!L127</f>
        <v>後投げ</v>
      </c>
      <c r="M131" s="113" t="s">
        <v>119</v>
      </c>
      <c r="N131" s="113">
        <v>29.0</v>
      </c>
      <c r="O131" s="118"/>
      <c r="P131" s="118"/>
      <c r="Q131" s="118"/>
      <c r="R131" s="118"/>
      <c r="S131" s="118"/>
      <c r="T131" s="118"/>
      <c r="U131" s="118"/>
      <c r="V131" s="118"/>
    </row>
    <row r="132" outlineLevel="1">
      <c r="A132" s="146"/>
      <c r="B132" s="300" t="s">
        <v>246</v>
      </c>
      <c r="C132" s="113" t="str">
        <f t="array" ref="C132">INDEX('起きあがり'!$H$3:$I$115, MATCH($A$1,'起きあがり'!$A$3:$A$115,0), MATCH(C120,'起きあがり'!$H$2:$AD$2,0))</f>
        <v>1-21</v>
      </c>
      <c r="D132" s="113">
        <f t="array" ref="D132">INDEX('起きあがり'!$H$3:$I$115, MATCH($A$1,'起きあがり'!$A$3:$A$115,0), MATCH(D120,'起きあがり'!$H$2:$AD$2,0))</f>
        <v>35</v>
      </c>
      <c r="E132" s="301"/>
      <c r="F132" s="301"/>
      <c r="G132" s="301"/>
      <c r="H132" s="228"/>
      <c r="I132" s="228"/>
      <c r="J132" s="117"/>
      <c r="K132" s="146"/>
      <c r="L132" s="303" t="str">
        <f>'テンプレート'!L128</f>
        <v>上投げ</v>
      </c>
      <c r="M132" s="113" t="s">
        <v>386</v>
      </c>
      <c r="N132" s="113">
        <v>29.0</v>
      </c>
      <c r="O132" s="118"/>
      <c r="P132" s="118"/>
      <c r="Q132" s="118"/>
      <c r="R132" s="118"/>
      <c r="S132" s="118"/>
      <c r="T132" s="118"/>
      <c r="U132" s="118"/>
      <c r="V132" s="118"/>
    </row>
    <row r="133" outlineLevel="1">
      <c r="A133" s="146"/>
      <c r="B133" s="300" t="s">
        <v>249</v>
      </c>
      <c r="C133" s="309" t="str">
        <f t="array" ref="C133">INDEX('起きあがり'!$J$3:$M$115, MATCH($A$1,'起きあがり'!$A$3:$A$115,0), MATCH(C120,'起きあがり'!$J$2:$AD$2,0))</f>
        <v>1-22</v>
      </c>
      <c r="D133" s="310">
        <f t="array" ref="D133">INDEX('起きあがり'!$J$3:$M$115, MATCH($A$1,'起きあがり'!$A$3:$A$115,0), MATCH(D120,'起きあがり'!$J$2:$AD$2,0))</f>
        <v>45</v>
      </c>
      <c r="E133" s="307" t="str">
        <f t="array" ref="E133">INDEX('起きあがり'!$J$3:$M$115, MATCH($A$1,'起きあがり'!$A$3:$A$115,0), MATCH(E120,'起きあがり'!$J$2:$AD$2,0))</f>
        <v>17-18</v>
      </c>
      <c r="F133" s="308">
        <f t="array" ref="F133">INDEX('起きあがり'!$J$3:$M$115, MATCH($A$1,'起きあがり'!$A$3:$A$115,0), MATCH(F120,'起きあがり'!$J$2:$AD$2,0))</f>
        <v>7</v>
      </c>
      <c r="G133" s="113">
        <f t="shared" ref="G133:G134" si="1">F133*1.2</f>
        <v>8.4</v>
      </c>
      <c r="H133" s="228"/>
      <c r="I133" s="228"/>
      <c r="J133" s="111"/>
      <c r="K133" s="156"/>
      <c r="L133" s="303" t="str">
        <f>'テンプレート'!L129</f>
        <v>下投げ</v>
      </c>
      <c r="M133" s="113" t="s">
        <v>80</v>
      </c>
      <c r="N133" s="113">
        <v>21.0</v>
      </c>
      <c r="O133" s="111"/>
      <c r="P133" s="111"/>
      <c r="Q133" s="111"/>
      <c r="R133" s="111"/>
      <c r="S133" s="111"/>
      <c r="T133" s="111"/>
      <c r="U133" s="111"/>
      <c r="V133" s="111"/>
    </row>
    <row r="134" outlineLevel="1">
      <c r="A134" s="156"/>
      <c r="B134" s="311" t="s">
        <v>250</v>
      </c>
      <c r="C134" s="156"/>
      <c r="D134" s="156"/>
      <c r="E134" s="307" t="str">
        <f t="array" ref="E134">INDEX('起きあがり'!$N$3:$O$115, MATCH($A$1,'起きあがり'!$A$3:$A$115,0), MATCH(E120,'起きあがり'!$N$2:$AD$2,0))</f>
        <v>21-22</v>
      </c>
      <c r="F134" s="308">
        <f t="array" ref="F134">INDEX('起きあがり'!$N$3:$O$115, MATCH($A$1,'起きあがり'!$A$3:$A$115,0), MATCH(F120,'起きあがり'!$N$2:$AD$2,0))</f>
        <v>7</v>
      </c>
      <c r="G134" s="113">
        <f t="shared" si="1"/>
        <v>8.4</v>
      </c>
      <c r="H134" s="228"/>
      <c r="I134" s="228"/>
      <c r="J134" s="111"/>
      <c r="K134" s="312" t="str">
        <f>'テンプレート'!K130</f>
        <v>踏み台ジャンプ</v>
      </c>
      <c r="L134" s="168"/>
      <c r="M134" s="298" t="str">
        <f>'テンプレート'!M130</f>
        <v>全体フレーム</v>
      </c>
      <c r="N134" s="114"/>
      <c r="O134" s="111"/>
      <c r="P134" s="111"/>
      <c r="Q134" s="111"/>
      <c r="R134" s="111"/>
      <c r="S134" s="111"/>
      <c r="T134" s="111"/>
      <c r="U134" s="111"/>
      <c r="V134" s="111"/>
    </row>
    <row r="135" outlineLevel="1">
      <c r="A135" s="299" t="s">
        <v>251</v>
      </c>
      <c r="B135" s="300" t="s">
        <v>248</v>
      </c>
      <c r="C135" s="301"/>
      <c r="D135" s="307" t="str">
        <f t="array" ref="D135">INDEX('起きあがり'!$C$3:$C117, MATCH($A$1,'起きあがり'!$A$3:$A$115,0), MATCH(D120,'起きあがり'!$C$2,0))</f>
        <v>25</v>
      </c>
      <c r="E135" s="301"/>
      <c r="F135" s="301"/>
      <c r="G135" s="301"/>
      <c r="H135" s="228"/>
      <c r="I135" s="228"/>
      <c r="J135" s="117"/>
      <c r="K135" s="313" t="str">
        <f>'テンプレート'!K131</f>
        <v>踏み</v>
      </c>
      <c r="L135" s="314" t="str">
        <f>'テンプレート'!L131</f>
        <v>踏み</v>
      </c>
      <c r="M135" s="113">
        <v>8.0</v>
      </c>
      <c r="N135" s="315"/>
      <c r="O135" s="111"/>
      <c r="P135" s="111"/>
      <c r="Q135" s="111"/>
      <c r="R135" s="111"/>
      <c r="S135" s="111"/>
      <c r="T135" s="111"/>
      <c r="U135" s="111"/>
      <c r="V135" s="111"/>
    </row>
    <row r="136" outlineLevel="1">
      <c r="A136" s="146"/>
      <c r="B136" s="300" t="s">
        <v>216</v>
      </c>
      <c r="C136" s="307" t="str">
        <f t="array" ref="C136">INDEX('起きあがり'!$P$3:$Q$115, MATCH($A$1,'起きあがり'!$A$3:$A$115,0), MATCH(C120,'起きあがり'!$P$2:$AD$2,0))</f>
        <v>1-22</v>
      </c>
      <c r="D136" s="308">
        <f t="array" ref="D136">INDEX('起きあがり'!$P$3:$Q$115, MATCH($A$1,'起きあがり'!$A$3:$A$115,0), MATCH(D120,'起きあがり'!$P$2:$AD$2,0))</f>
        <v>29</v>
      </c>
      <c r="E136" s="301"/>
      <c r="F136" s="301"/>
      <c r="G136" s="301"/>
      <c r="H136" s="228"/>
      <c r="I136" s="228"/>
      <c r="J136" s="111"/>
      <c r="K136" s="305" t="str">
        <f>'テンプレート'!K132</f>
        <v>踏まれ</v>
      </c>
      <c r="L136" s="314" t="str">
        <f>'テンプレート'!L132</f>
        <v>地上踏まれ</v>
      </c>
      <c r="M136" s="113" t="s">
        <v>76</v>
      </c>
      <c r="N136" s="315"/>
      <c r="O136" s="228"/>
      <c r="P136" s="228"/>
      <c r="Q136" s="228"/>
      <c r="R136" s="228"/>
      <c r="S136" s="228"/>
      <c r="T136" s="228"/>
      <c r="U136" s="228"/>
      <c r="V136" s="228"/>
    </row>
    <row r="137" outlineLevel="1">
      <c r="A137" s="146"/>
      <c r="B137" s="300" t="s">
        <v>245</v>
      </c>
      <c r="C137" s="307" t="str">
        <f t="array" ref="C137">INDEX('起きあがり'!$R$3:$S$115, MATCH($A$1,'起きあがり'!$A$3:$A$115,0), MATCH(C120,'起きあがり'!$R$2:$AD$2,0))</f>
        <v>1-21</v>
      </c>
      <c r="D137" s="308">
        <f t="array" ref="D137">INDEX('起きあがり'!$R$3:$S$115, MATCH($A$1,'起きあがり'!$A$3:$A$115,0), MATCH(D120,'起きあがり'!$R$2:$AD$2,0))</f>
        <v>35</v>
      </c>
      <c r="E137" s="301"/>
      <c r="F137" s="301"/>
      <c r="G137" s="301"/>
      <c r="H137" s="228"/>
      <c r="I137" s="228"/>
      <c r="J137" s="117"/>
      <c r="K137" s="146"/>
      <c r="L137" s="314" t="s">
        <v>693</v>
      </c>
      <c r="M137" s="113">
        <v>28.0</v>
      </c>
      <c r="N137" s="102"/>
      <c r="O137" s="118"/>
      <c r="P137" s="118"/>
      <c r="Q137" s="118"/>
      <c r="R137" s="118"/>
      <c r="S137" s="118"/>
      <c r="T137" s="118"/>
      <c r="U137" s="118"/>
      <c r="V137" s="118"/>
    </row>
    <row r="138" outlineLevel="1">
      <c r="A138" s="146"/>
      <c r="B138" s="300" t="s">
        <v>246</v>
      </c>
      <c r="C138" s="307" t="str">
        <f t="array" ref="C138">INDEX('起きあがり'!$T$3:$U$115, MATCH($A$1,'起きあがり'!$A$3:$A$115,0), MATCH(C120,'起きあがり'!$T$2:$AD$2,0))</f>
        <v>1-21</v>
      </c>
      <c r="D138" s="308">
        <f t="array" ref="D138">INDEX('起きあがり'!$T$3:$U$115, MATCH($A$1,'起きあがり'!$A$3:$A$115,0), MATCH(D120,'起きあがり'!$T$2:$AD$2,0))</f>
        <v>35</v>
      </c>
      <c r="E138" s="301"/>
      <c r="F138" s="301"/>
      <c r="G138" s="301"/>
      <c r="H138" s="228"/>
      <c r="I138" s="228"/>
      <c r="J138" s="111"/>
      <c r="K138" s="146"/>
      <c r="L138" s="314" t="str">
        <f>'テンプレート'!L134</f>
        <v>空中踏まれ</v>
      </c>
      <c r="M138" s="113">
        <v>8.0</v>
      </c>
      <c r="N138" s="102"/>
      <c r="O138" s="118"/>
      <c r="P138" s="118"/>
      <c r="Q138" s="118"/>
      <c r="R138" s="118"/>
      <c r="S138" s="118"/>
      <c r="T138" s="118"/>
      <c r="U138" s="118"/>
      <c r="V138" s="118"/>
    </row>
    <row r="139" outlineLevel="1">
      <c r="A139" s="146"/>
      <c r="B139" s="300" t="s">
        <v>249</v>
      </c>
      <c r="C139" s="309" t="str">
        <f t="array" ref="C139">INDEX('起きあがり'!$V$3:$Y$115, MATCH($A$1,'起きあがり'!$A$3:$A$115,0), MATCH(C120,'起きあがり'!$V$2:$AD$2,0))</f>
        <v>1-22</v>
      </c>
      <c r="D139" s="310">
        <f t="array" ref="D139">INDEX('起きあがり'!$V$3:$Y$115, MATCH($A$1,'起きあがり'!$A$3:$A$115,0), MATCH(D120,'起きあがり'!$V$2:$AD$2,0))</f>
        <v>45</v>
      </c>
      <c r="E139" s="307" t="str">
        <f t="array" ref="E139">INDEX('起きあがり'!$V$3:$Y$115, MATCH($A$1,'起きあがり'!$A$3:$A$115,0), MATCH(E120,'起きあがり'!$V$2:$AD$2,0))</f>
        <v>17-18</v>
      </c>
      <c r="F139" s="308">
        <f t="array" ref="F139">INDEX('起きあがり'!$V$3:$Y$115, MATCH($A$1,'起きあがり'!$A$3:$A$115,0), MATCH(F120,'起きあがり'!$V$2:$AD$2,0))</f>
        <v>7</v>
      </c>
      <c r="G139" s="113">
        <f t="shared" ref="G139:G140" si="2">F139*1.2</f>
        <v>8.4</v>
      </c>
      <c r="H139" s="228"/>
      <c r="I139" s="228"/>
      <c r="J139" s="117"/>
      <c r="K139" s="146"/>
      <c r="L139" s="314" t="str">
        <f>'テンプレート'!L135</f>
        <v>空中落下</v>
      </c>
      <c r="M139" s="113">
        <v>35.0</v>
      </c>
      <c r="N139" s="102"/>
      <c r="O139" s="118"/>
      <c r="P139" s="118"/>
      <c r="Q139" s="118"/>
      <c r="R139" s="118"/>
      <c r="S139" s="118"/>
      <c r="T139" s="118"/>
      <c r="U139" s="118"/>
      <c r="V139" s="118"/>
    </row>
    <row r="140" outlineLevel="1">
      <c r="A140" s="156"/>
      <c r="B140" s="311" t="s">
        <v>250</v>
      </c>
      <c r="C140" s="156"/>
      <c r="D140" s="156"/>
      <c r="E140" s="307" t="str">
        <f t="array" ref="E140">INDEX('起きあがり'!$Z$3:$AA$115, MATCH($A$1,'起きあがり'!$A$3:$A$115,0), MATCH(E120,'起きあがり'!$Z$2:$AD$2,0))</f>
        <v>21-22</v>
      </c>
      <c r="F140" s="308">
        <f t="array" ref="F140">INDEX('起きあがり'!$Z$3:$AA$115, MATCH($A$1,'起きあがり'!$A$3:$A$115,0), MATCH(F120,'起きあがり'!$Z$2:$AD$2,0))</f>
        <v>7</v>
      </c>
      <c r="G140" s="113">
        <f t="shared" si="2"/>
        <v>8.4</v>
      </c>
      <c r="H140" s="228"/>
      <c r="I140" s="228"/>
      <c r="J140" s="117"/>
      <c r="K140" s="304" t="str">
        <f>'テンプレート'!K136</f>
        <v>倒れダメージ</v>
      </c>
      <c r="L140" s="110"/>
      <c r="M140" s="298" t="str">
        <f>'テンプレート'!M136</f>
        <v>全体フレーム</v>
      </c>
      <c r="N140" s="102"/>
      <c r="O140" s="118"/>
      <c r="P140" s="118"/>
      <c r="Q140" s="118"/>
      <c r="R140" s="118"/>
      <c r="S140" s="118"/>
      <c r="T140" s="118"/>
      <c r="U140" s="118"/>
      <c r="V140" s="118"/>
    </row>
    <row r="141" outlineLevel="1">
      <c r="A141" s="299" t="s">
        <v>252</v>
      </c>
      <c r="B141" s="300" t="s">
        <v>253</v>
      </c>
      <c r="C141" s="307" t="str">
        <f t="array" ref="C141">INDEX('転倒'!$C$3:$D117, MATCH($A$1,'転倒'!$A$3:$A$115,0), MATCH(C120,'転倒'!$C$2:$AC$2,0))</f>
        <v>1-5</v>
      </c>
      <c r="D141" s="308">
        <f t="array" ref="D141">INDEX('転倒'!$C$3:$D117, MATCH($A$1,'転倒'!$A$3:$A$115,0), MATCH(D120,'転倒'!$C$2:$AC$2,0))</f>
        <v>29</v>
      </c>
      <c r="E141" s="301"/>
      <c r="F141" s="301"/>
      <c r="G141" s="301"/>
      <c r="H141" s="228"/>
      <c r="I141" s="228"/>
      <c r="J141" s="111"/>
      <c r="K141" s="313" t="str">
        <f>'テンプレート'!K137</f>
        <v>あお向け倒れ</v>
      </c>
      <c r="L141" s="306" t="str">
        <f>'テンプレート'!L137</f>
        <v>モーション大</v>
      </c>
      <c r="M141" s="113">
        <v>39.0</v>
      </c>
      <c r="N141" s="315"/>
      <c r="O141" s="118"/>
      <c r="P141" s="118"/>
      <c r="Q141" s="118"/>
      <c r="R141" s="118"/>
      <c r="S141" s="118"/>
      <c r="T141" s="118"/>
      <c r="U141" s="118"/>
      <c r="V141" s="118"/>
    </row>
    <row r="142" outlineLevel="1">
      <c r="A142" s="146"/>
      <c r="B142" s="300" t="s">
        <v>254</v>
      </c>
      <c r="C142" s="307" t="str">
        <f t="array" ref="C142">INDEX('転倒'!$E$3:$F117, MATCH($A$1,'転倒'!$A$3:$A$115,0), MATCH(C120,'転倒'!$E$2:$AC$2,0))</f>
        <v>1-5</v>
      </c>
      <c r="D142" s="308">
        <f t="array" ref="D142">INDEX('転倒'!$E$3:$F117, MATCH($A$1,'転倒'!$A$3:$A$115,0), MATCH(D120,'転倒'!$E$2:$AC$2,0))</f>
        <v>39</v>
      </c>
      <c r="E142" s="301"/>
      <c r="F142" s="301"/>
      <c r="G142" s="301"/>
      <c r="H142" s="228"/>
      <c r="I142" s="228"/>
      <c r="J142" s="117"/>
      <c r="K142" s="313" t="str">
        <f>'テンプレート'!K138</f>
        <v>うつ伏せ倒れ</v>
      </c>
      <c r="L142" s="306" t="str">
        <f>'テンプレート'!L138</f>
        <v>モーション大</v>
      </c>
      <c r="M142" s="113" t="s">
        <v>118</v>
      </c>
      <c r="N142" s="315"/>
      <c r="O142" s="118"/>
      <c r="P142" s="118"/>
      <c r="Q142" s="118"/>
      <c r="R142" s="118"/>
      <c r="S142" s="118"/>
      <c r="T142" s="118"/>
      <c r="U142" s="118"/>
      <c r="V142" s="118"/>
    </row>
    <row r="143" outlineLevel="1">
      <c r="A143" s="146"/>
      <c r="B143" s="300" t="s">
        <v>216</v>
      </c>
      <c r="C143" s="307" t="str">
        <f t="array" ref="C143">INDEX('転倒'!$G$3:$H$115, MATCH($A$1,'転倒'!$A$3:$A$115,0), MATCH(C120,'転倒'!$G$2:$AC$2,0))</f>
        <v>1-16</v>
      </c>
      <c r="D143" s="308">
        <f t="array" ref="D143">INDEX('転倒'!$G$3:$H$115, MATCH($A$1,'転倒'!$A$3:$A$115,0), MATCH(D120,'転倒'!$G$2:$AC$2,0))</f>
        <v>21</v>
      </c>
      <c r="E143" s="301"/>
      <c r="F143" s="301"/>
      <c r="G143" s="301"/>
      <c r="H143" s="228"/>
      <c r="I143" s="228"/>
      <c r="J143" s="111"/>
      <c r="K143" s="304" t="str">
        <f>'テンプレート'!K139</f>
        <v/>
      </c>
      <c r="L143" s="110"/>
      <c r="M143" s="298" t="str">
        <f>'テンプレート'!M139</f>
        <v/>
      </c>
      <c r="N143" s="102"/>
      <c r="O143" s="118"/>
      <c r="P143" s="118"/>
      <c r="Q143" s="118"/>
      <c r="R143" s="118"/>
      <c r="S143" s="118"/>
      <c r="T143" s="118"/>
      <c r="U143" s="118"/>
      <c r="V143" s="118"/>
    </row>
    <row r="144" outlineLevel="1">
      <c r="A144" s="146"/>
      <c r="B144" s="300" t="s">
        <v>245</v>
      </c>
      <c r="C144" s="307" t="str">
        <f t="array" ref="C144">INDEX('転倒'!$I$3:$J$115, MATCH($A$1,'転倒'!$A$3:$A$115,0), MATCH(C120,'転倒'!$I$2:$AC$2,0))</f>
        <v>1-9</v>
      </c>
      <c r="D144" s="308">
        <f t="array" ref="D144">INDEX('転倒'!$I$3:$J$115, MATCH($A$1,'転倒'!$A$3:$A$115,0), MATCH(D120,'転倒'!$I$2:$AC$2,0))</f>
        <v>28</v>
      </c>
      <c r="E144" s="301"/>
      <c r="F144" s="301"/>
      <c r="G144" s="301"/>
      <c r="H144" s="228"/>
      <c r="I144" s="228"/>
      <c r="J144" s="228"/>
      <c r="K144" s="316"/>
      <c r="L144" s="317" t="str">
        <f>'テンプレート'!L140</f>
        <v/>
      </c>
      <c r="M144" s="113" t="s">
        <v>76</v>
      </c>
      <c r="N144" s="102"/>
      <c r="O144" s="118"/>
      <c r="P144" s="118"/>
      <c r="Q144" s="118"/>
      <c r="R144" s="118"/>
      <c r="S144" s="118"/>
      <c r="T144" s="118"/>
      <c r="U144" s="118"/>
      <c r="V144" s="118"/>
    </row>
    <row r="145" outlineLevel="1">
      <c r="A145" s="146"/>
      <c r="B145" s="300" t="s">
        <v>246</v>
      </c>
      <c r="C145" s="307" t="str">
        <f t="array" ref="C145">INDEX('転倒'!$K$3:$L$115, MATCH($A$1,'転倒'!$A$3:$A$115,0), MATCH(C120,'転倒'!$K$2:$AC$2,0))</f>
        <v>1-9</v>
      </c>
      <c r="D145" s="308">
        <f t="array" ref="D145">INDEX('転倒'!$K$3:$L$115, MATCH($A$1,'転倒'!$A$3:$A$115,0), MATCH(D120,'転倒'!$K$2:$AC$2,0))</f>
        <v>28</v>
      </c>
      <c r="E145" s="301"/>
      <c r="F145" s="301"/>
      <c r="G145" s="301"/>
      <c r="H145" s="228"/>
      <c r="I145" s="228"/>
      <c r="J145" s="228"/>
      <c r="K145" s="318"/>
      <c r="L145" s="118"/>
      <c r="M145" s="118"/>
      <c r="N145" s="102"/>
      <c r="O145" s="118"/>
      <c r="P145" s="118"/>
      <c r="Q145" s="118"/>
      <c r="R145" s="118"/>
      <c r="S145" s="118"/>
      <c r="T145" s="118"/>
      <c r="U145" s="118"/>
      <c r="V145" s="118"/>
    </row>
    <row r="146" outlineLevel="1">
      <c r="A146" s="146"/>
      <c r="B146" s="300" t="s">
        <v>249</v>
      </c>
      <c r="C146" s="309" t="str">
        <f t="array" ref="C146">INDEX('転倒'!$M$3:$P$115, MATCH($A$1,'転倒'!$A$3:$A$115,0), MATCH(C120,'転倒'!$M$2:$AC$2,0))</f>
        <v>1-7</v>
      </c>
      <c r="D146" s="310">
        <f t="array" ref="D146">INDEX('転倒'!$M$3:$P$115, MATCH($A$1,'転倒'!$A$3:$A$115,0), MATCH(D120,'転倒'!$M$2:$AC$2,0))</f>
        <v>49</v>
      </c>
      <c r="E146" s="307" t="str">
        <f t="array" ref="E146">INDEX('転倒'!$M$3:$P$115, MATCH($A$1,'転倒'!$A$3:$A$115,0), MATCH(E120,'転倒'!$M$2:$AC$2,0))</f>
        <v>19-20</v>
      </c>
      <c r="F146" s="308">
        <f t="array" ref="F146">INDEX('転倒'!$M$3:$P$115, MATCH($A$1,'転倒'!$A$3:$A$115,0), MATCH(F120,'転倒'!$M$2:$AC$2,0))</f>
        <v>5</v>
      </c>
      <c r="G146" s="113">
        <f t="shared" ref="G146:G147" si="3">F146*1.2</f>
        <v>6</v>
      </c>
      <c r="H146" s="228"/>
      <c r="I146" s="228"/>
      <c r="J146" s="228"/>
      <c r="K146" s="118"/>
      <c r="L146" s="118"/>
      <c r="M146" s="118"/>
      <c r="N146" s="102"/>
      <c r="O146" s="102"/>
      <c r="P146" s="102"/>
      <c r="Q146" s="102"/>
      <c r="R146" s="118"/>
      <c r="S146" s="118"/>
      <c r="T146" s="118"/>
      <c r="U146" s="118"/>
      <c r="V146" s="118"/>
    </row>
    <row r="147" outlineLevel="1">
      <c r="A147" s="156"/>
      <c r="B147" s="311" t="s">
        <v>250</v>
      </c>
      <c r="C147" s="156"/>
      <c r="D147" s="156"/>
      <c r="E147" s="307" t="str">
        <f t="array" ref="E147">INDEX('転倒'!$Q$3:$R$115, MATCH($A$1,'転倒'!$A$3:$A$115,0), MATCH(E120,'転倒'!$Q$2:$AC$2,0))</f>
        <v>30-31</v>
      </c>
      <c r="F147" s="308">
        <f t="array" ref="F147">INDEX('転倒'!$Q$3:$R$115, MATCH($A$1,'転倒'!$A$3:$A$115,0), MATCH(F120,'転倒'!$Q$2:$AC$2,0))</f>
        <v>5</v>
      </c>
      <c r="G147" s="113">
        <f t="shared" si="3"/>
        <v>6</v>
      </c>
      <c r="H147" s="228"/>
      <c r="I147" s="228"/>
      <c r="J147" s="228"/>
      <c r="K147" s="118"/>
      <c r="L147" s="118"/>
      <c r="M147" s="118"/>
      <c r="N147" s="102"/>
      <c r="O147" s="102"/>
      <c r="P147" s="102"/>
      <c r="Q147" s="102"/>
      <c r="R147" s="118"/>
      <c r="S147" s="118"/>
      <c r="T147" s="118"/>
      <c r="U147" s="118"/>
      <c r="V147" s="118"/>
    </row>
    <row r="148" outlineLevel="1">
      <c r="A148" s="319"/>
      <c r="B148" s="320"/>
      <c r="C148" s="321"/>
      <c r="D148" s="321"/>
      <c r="E148" s="322"/>
      <c r="F148" s="322"/>
      <c r="G148" s="114"/>
      <c r="H148" s="228"/>
      <c r="I148" s="228"/>
      <c r="J148" s="228"/>
      <c r="K148" s="118"/>
      <c r="L148" s="118"/>
      <c r="M148" s="118"/>
      <c r="N148" s="102"/>
      <c r="O148" s="102"/>
      <c r="P148" s="102"/>
      <c r="Q148" s="102"/>
      <c r="R148" s="118"/>
      <c r="S148" s="118"/>
      <c r="T148" s="118"/>
      <c r="U148" s="118"/>
      <c r="V148" s="118"/>
    </row>
    <row r="149" outlineLevel="1">
      <c r="A149" s="323" t="s">
        <v>255</v>
      </c>
      <c r="B149" s="109"/>
      <c r="C149" s="321"/>
      <c r="D149" s="321"/>
      <c r="E149" s="322"/>
      <c r="F149" s="322"/>
      <c r="G149" s="114"/>
      <c r="H149" s="228"/>
      <c r="I149" s="228"/>
      <c r="J149" s="228"/>
      <c r="K149" s="118"/>
      <c r="L149" s="118"/>
      <c r="M149" s="118"/>
      <c r="N149" s="102"/>
      <c r="O149" s="102"/>
      <c r="P149" s="102"/>
      <c r="Q149" s="102"/>
      <c r="R149" s="118"/>
      <c r="S149" s="118"/>
      <c r="T149" s="118"/>
      <c r="U149" s="118"/>
      <c r="V149" s="118"/>
    </row>
    <row r="150" outlineLevel="1">
      <c r="A150" s="324" t="s">
        <v>256</v>
      </c>
      <c r="B150" s="109"/>
      <c r="C150" s="325" t="s">
        <v>257</v>
      </c>
      <c r="D150" s="325" t="s">
        <v>49</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258</v>
      </c>
      <c r="B151" s="327" t="s">
        <v>216</v>
      </c>
      <c r="C151" s="328" t="str">
        <f t="array" ref="C151">INDEX('アイテム'!$C$3:$D$114, MATCH($A$1,'アイテム'!$A$3:$A$114,0), MATCH(C150,'アイテム'!$C$2:$AQ$2,0))</f>
        <v>2</v>
      </c>
      <c r="D151" s="328">
        <f t="array" ref="D151">INDEX('アイテム'!$C$3:$D$114, MATCH($A$1,'アイテム'!$A$3:$A$114,0), MATCH(D150,'アイテム'!$C$2:$AQ$2,0))</f>
        <v>7</v>
      </c>
      <c r="E151" s="322"/>
      <c r="F151" s="322"/>
      <c r="G151" s="114"/>
      <c r="H151" s="228"/>
      <c r="I151" s="228"/>
      <c r="J151" s="228"/>
      <c r="K151" s="118"/>
      <c r="L151" s="118"/>
      <c r="M151" s="118"/>
      <c r="N151" s="102"/>
      <c r="O151" s="102"/>
      <c r="P151" s="102"/>
      <c r="Q151" s="102"/>
      <c r="R151" s="118"/>
      <c r="S151" s="118"/>
      <c r="T151" s="118"/>
      <c r="U151" s="118"/>
      <c r="V151" s="118"/>
    </row>
    <row r="152" outlineLevel="1">
      <c r="A152" s="156"/>
      <c r="B152" s="327" t="s">
        <v>219</v>
      </c>
      <c r="C152" s="328" t="str">
        <f t="array" ref="C152">INDEX('アイテム'!$E$3:$F$114, MATCH($A$1,'アイテム'!$A$3:$A$114,0), MATCH(C150,'アイテム'!$C$2:$AQ$2,0))</f>
        <v>2</v>
      </c>
      <c r="D152" s="328">
        <f t="array" ref="D152">INDEX('アイテム'!$E$3:$F$114, MATCH($A$1,'アイテム'!$A$3:$A$114,0), MATCH(D150,'アイテム'!$C$2:$AQ$2,0))</f>
        <v>19</v>
      </c>
      <c r="E152" s="322"/>
      <c r="F152" s="322"/>
      <c r="G152" s="114"/>
      <c r="H152" s="228"/>
      <c r="I152" s="228"/>
      <c r="J152" s="228"/>
      <c r="K152" s="118"/>
      <c r="L152" s="118"/>
      <c r="M152" s="118"/>
      <c r="N152" s="102"/>
      <c r="O152" s="102"/>
      <c r="P152" s="102"/>
      <c r="Q152" s="102"/>
      <c r="R152" s="118"/>
      <c r="S152" s="118"/>
      <c r="T152" s="118"/>
      <c r="U152" s="118"/>
      <c r="V152" s="118"/>
    </row>
    <row r="153" outlineLevel="1">
      <c r="A153" s="329" t="s">
        <v>259</v>
      </c>
      <c r="B153" s="327" t="s">
        <v>216</v>
      </c>
      <c r="C153" s="328">
        <f t="array" ref="C153">INDEX('アイテム'!$AA$3:$AB$114, MATCH($A$1,'アイテム'!$A$3:$A$114,0), MATCH(C150,'アイテム'!$C$2:$AQ$2,0))</f>
        <v>2</v>
      </c>
      <c r="D153" s="328" t="str">
        <f t="array" ref="D153">INDEX('アイテム'!$AA$3:$AB$114, MATCH($A$1,'アイテム'!$A$3:$A$114,0), MATCH(D150,'アイテム'!$C$2:$AQ$2,0))</f>
        <v>12</v>
      </c>
      <c r="E153" s="322"/>
      <c r="F153" s="322"/>
      <c r="G153" s="114"/>
      <c r="H153" s="228"/>
      <c r="I153" s="228"/>
      <c r="J153" s="228"/>
      <c r="K153" s="118"/>
      <c r="L153" s="118"/>
      <c r="M153" s="118"/>
      <c r="N153" s="102"/>
      <c r="O153" s="102"/>
      <c r="P153" s="102"/>
      <c r="Q153" s="102"/>
      <c r="R153" s="118"/>
      <c r="S153" s="118"/>
      <c r="T153" s="118"/>
      <c r="U153" s="118"/>
      <c r="V153" s="118"/>
    </row>
    <row r="154" outlineLevel="1">
      <c r="A154" s="324" t="s">
        <v>260</v>
      </c>
      <c r="B154" s="109"/>
      <c r="C154" s="325" t="s">
        <v>261</v>
      </c>
      <c r="D154" s="325" t="s">
        <v>49</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262</v>
      </c>
      <c r="B155" s="327" t="s">
        <v>226</v>
      </c>
      <c r="C155" s="328" t="str">
        <f t="array" ref="C155">INDEX('アイテム'!$G$3:$H$114, MATCH($A$1,'アイテム'!$A$3:$A$114,0), MATCH(C150,'アイテム'!$C$2:$AQ$2,0))</f>
        <v>10</v>
      </c>
      <c r="D155" s="328">
        <f t="array" ref="D155">INDEX('アイテム'!$G$3:$H$114, MATCH($A$1,'アイテム'!$A$3:$A$114,0), MATCH(D150,'アイテム'!$C$2:$AQ$2,0))</f>
        <v>24</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229</v>
      </c>
      <c r="C156" s="328" t="str">
        <f t="array" ref="C156">INDEX('アイテム'!$I$3:$J$114, MATCH($A$1,'アイテム'!$A$3:$A$114,0), MATCH(C150,'アイテム'!$C$2:$AQ$2,0))</f>
        <v>14</v>
      </c>
      <c r="D156" s="328">
        <f t="array" ref="D156">INDEX('アイテム'!$I$3:$J$114, MATCH($A$1,'アイテム'!$A$3:$A$114,0), MATCH(D150,'アイテム'!$C$2:$AQ$2,0))</f>
        <v>24</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233</v>
      </c>
      <c r="C157" s="328" t="str">
        <f t="array" ref="C157">INDEX('アイテム'!$K$3:$L$114, MATCH($A$1,'アイテム'!$A$3:$A$114,0), MATCH(C150,'アイテム'!$C$2:$AQ$2,0))</f>
        <v>15</v>
      </c>
      <c r="D157" s="328">
        <f t="array" ref="D157">INDEX('アイテム'!$K$3:$L$114, MATCH($A$1,'アイテム'!$A$3:$A$114,0), MATCH(D150,'アイテム'!$C$2:$AQ$2,0))</f>
        <v>23</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234</v>
      </c>
      <c r="C158" s="328" t="str">
        <f t="array" ref="C158">INDEX('アイテム'!$M$3:$N$114, MATCH($A$1,'アイテム'!$A$3:$A$114,0), MATCH(C150,'アイテム'!$C$2:$AQ$2,0))</f>
        <v>8</v>
      </c>
      <c r="D158" s="328">
        <f t="array" ref="D158">INDEX('アイテム'!$M$3:$N$114, MATCH($A$1,'アイテム'!$A$3:$A$114,0), MATCH(D150,'アイテム'!$C$2:$AQ$2,0))</f>
        <v>19</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219</v>
      </c>
      <c r="C159" s="328" t="str">
        <f t="array" ref="C159">INDEX('アイテム'!$O$3:$P$114, MATCH($A$1,'アイテム'!$A$3:$A$114,0), MATCH(C150,'アイテム'!$C$2:$AQ$2,0))</f>
        <v>6</v>
      </c>
      <c r="D159" s="328">
        <f t="array" ref="D159">INDEX('アイテム'!$O$3:$P$114, MATCH($A$1,'アイテム'!$A$3:$A$114,0), MATCH(D150,'アイテム'!$C$2:$AQ$2,0))</f>
        <v>29</v>
      </c>
      <c r="E159" s="322"/>
      <c r="F159" s="322"/>
      <c r="G159" s="114"/>
      <c r="H159" s="228"/>
      <c r="I159" s="228"/>
      <c r="J159" s="228"/>
      <c r="K159" s="118"/>
      <c r="L159" s="118"/>
      <c r="M159" s="118"/>
      <c r="N159" s="102"/>
      <c r="O159" s="102"/>
      <c r="P159" s="102"/>
      <c r="Q159" s="102"/>
      <c r="R159" s="118"/>
      <c r="S159" s="118"/>
      <c r="T159" s="118"/>
      <c r="U159" s="118"/>
      <c r="V159" s="118"/>
    </row>
    <row r="160" outlineLevel="1">
      <c r="A160" s="156"/>
      <c r="B160" s="327" t="s">
        <v>263</v>
      </c>
      <c r="C160" s="328" t="str">
        <f t="array" ref="C160">INDEX('アイテム'!$Q$3:$R$114, MATCH($A$1,'アイテム'!$A$3:$A$114,0), MATCH(C150,'アイテム'!$C$2:$AQ$2,0))</f>
        <v>7</v>
      </c>
      <c r="D160" s="328">
        <f t="array" ref="D160">INDEX('アイテム'!$Q$3:$R$114, MATCH($A$1,'アイテム'!$A$3:$A$114,0), MATCH(D150,'アイテム'!$C$2:$AQ$2,0))</f>
        <v>23</v>
      </c>
      <c r="E160" s="322"/>
      <c r="F160" s="322"/>
      <c r="G160" s="114"/>
      <c r="H160" s="228"/>
      <c r="I160" s="228"/>
      <c r="J160" s="228"/>
      <c r="K160" s="118"/>
      <c r="L160" s="118"/>
      <c r="M160" s="118"/>
      <c r="N160" s="102"/>
      <c r="O160" s="102"/>
      <c r="P160" s="102"/>
      <c r="Q160" s="102"/>
      <c r="R160" s="118"/>
      <c r="S160" s="118"/>
      <c r="T160" s="118"/>
      <c r="U160" s="118"/>
      <c r="V160" s="118"/>
    </row>
    <row r="161" outlineLevel="1">
      <c r="A161" s="326" t="s">
        <v>264</v>
      </c>
      <c r="B161" s="327" t="s">
        <v>226</v>
      </c>
      <c r="C161" s="328" t="str">
        <f t="array" ref="C161">INDEX('アイテム'!$S$3:$T$114, MATCH($A$1,'アイテム'!$A$3:$A$114,0), MATCH(C150,'アイテム'!$C$2:$AQ$2,0))</f>
        <v>10</v>
      </c>
      <c r="D161" s="328">
        <f t="array" ref="D161">INDEX('アイテム'!$S$3:$T$114, MATCH($A$1,'アイテム'!$A$3:$A$114,0), MATCH(D150,'アイテム'!$C$2:$AQ$2,0))</f>
        <v>24</v>
      </c>
      <c r="E161" s="322"/>
      <c r="F161" s="322"/>
      <c r="G161" s="114"/>
      <c r="H161" s="228"/>
      <c r="I161" s="228"/>
      <c r="J161" s="228"/>
      <c r="K161" s="118"/>
      <c r="L161" s="118"/>
      <c r="M161" s="118"/>
      <c r="N161" s="102"/>
      <c r="O161" s="102"/>
      <c r="P161" s="102"/>
      <c r="Q161" s="102"/>
      <c r="R161" s="118"/>
      <c r="S161" s="118"/>
      <c r="T161" s="118"/>
      <c r="U161" s="118"/>
      <c r="V161" s="118"/>
    </row>
    <row r="162" outlineLevel="1">
      <c r="A162" s="146"/>
      <c r="B162" s="327" t="s">
        <v>229</v>
      </c>
      <c r="C162" s="328" t="str">
        <f t="array" ref="C162">INDEX('アイテム'!$U$3:$V$114, MATCH($A$1,'アイテム'!$A$3:$A$114,0), MATCH(C150,'アイテム'!$C$2:$AQ$2,0))</f>
        <v>14</v>
      </c>
      <c r="D162" s="328">
        <f t="array" ref="D162">INDEX('アイテム'!$U$3:$V$114, MATCH($A$1,'アイテム'!$A$3:$A$114,0), MATCH(D150,'アイテム'!$C$2:$AQ$2,0))</f>
        <v>24</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233</v>
      </c>
      <c r="C163" s="328" t="str">
        <f t="array" ref="C163">INDEX('アイテム'!$W$3:$X$114, MATCH($A$1,'アイテム'!$A$3:$A$114,0), MATCH(C150,'アイテム'!$C$2:$AQ$2,0))</f>
        <v>15</v>
      </c>
      <c r="D163" s="328">
        <f t="array" ref="D163">INDEX('アイテム'!$W$3:$X$114, MATCH($A$1,'アイテム'!$A$3:$A$114,0), MATCH(D150,'アイテム'!$C$2:$AQ$2,0))</f>
        <v>23</v>
      </c>
      <c r="E163" s="322"/>
      <c r="F163" s="322"/>
      <c r="G163" s="114"/>
      <c r="H163" s="228"/>
      <c r="I163" s="228"/>
      <c r="J163" s="228"/>
      <c r="K163" s="118"/>
      <c r="L163" s="118"/>
      <c r="M163" s="118"/>
      <c r="N163" s="102"/>
      <c r="O163" s="102"/>
      <c r="P163" s="102"/>
      <c r="Q163" s="102"/>
      <c r="R163" s="118"/>
      <c r="S163" s="118"/>
      <c r="T163" s="118"/>
      <c r="U163" s="118"/>
      <c r="V163" s="118"/>
    </row>
    <row r="164" outlineLevel="1">
      <c r="A164" s="156"/>
      <c r="B164" s="327" t="s">
        <v>234</v>
      </c>
      <c r="C164" s="328" t="str">
        <f t="array" ref="C164">INDEX('アイテム'!$Y$3:$Z$114, MATCH($A$1,'アイテム'!$A$3:$A$114,0), MATCH(C150,'アイテム'!$C$2:$AQ$2,0))</f>
        <v>8</v>
      </c>
      <c r="D164" s="328">
        <f t="array" ref="D164">INDEX('アイテム'!$Y$3:$Z$114, MATCH($A$1,'アイテム'!$A$3:$A$114,0), MATCH(D150,'アイテム'!$C$2:$AQ$2,0))</f>
        <v>19</v>
      </c>
      <c r="E164" s="322"/>
      <c r="F164" s="322"/>
      <c r="G164" s="114"/>
      <c r="H164" s="228"/>
      <c r="I164" s="228"/>
      <c r="J164" s="228"/>
      <c r="K164" s="118"/>
      <c r="L164" s="118"/>
      <c r="M164" s="118"/>
      <c r="N164" s="102"/>
      <c r="O164" s="102"/>
      <c r="P164" s="102"/>
      <c r="Q164" s="102"/>
      <c r="R164" s="118"/>
      <c r="S164" s="118"/>
      <c r="T164" s="118"/>
      <c r="U164" s="118"/>
      <c r="V164" s="118"/>
    </row>
    <row r="165" outlineLevel="1">
      <c r="A165" s="326" t="s">
        <v>265</v>
      </c>
      <c r="B165" s="327" t="s">
        <v>226</v>
      </c>
      <c r="C165" s="328">
        <f t="array" ref="C165">INDEX('アイテム'!$AC$3:$AD$114, MATCH($A$1,'アイテム'!$A$3:$A$114,0), MATCH(C150,'アイテム'!$C$2:$AQ$2,0))</f>
        <v>16</v>
      </c>
      <c r="D165" s="328" t="str">
        <f t="array" ref="D165">INDEX('アイテム'!$AC$3:$AD$114, MATCH($A$1,'アイテム'!$A$3:$A$114,0), MATCH(D150,'アイテム'!$C$2:$AQ$2,0))</f>
        <v>30</v>
      </c>
      <c r="E165" s="322"/>
      <c r="F165" s="322"/>
      <c r="G165" s="114"/>
      <c r="H165" s="228"/>
      <c r="I165" s="228"/>
      <c r="J165" s="228"/>
      <c r="K165" s="118"/>
      <c r="L165" s="118"/>
      <c r="M165" s="118"/>
      <c r="N165" s="102"/>
      <c r="O165" s="102"/>
      <c r="P165" s="102"/>
      <c r="Q165" s="102"/>
      <c r="R165" s="118"/>
      <c r="S165" s="118"/>
      <c r="T165" s="118"/>
      <c r="U165" s="118"/>
      <c r="V165" s="118"/>
    </row>
    <row r="166" outlineLevel="1">
      <c r="A166" s="146"/>
      <c r="B166" s="327" t="s">
        <v>229</v>
      </c>
      <c r="C166" s="328">
        <f t="array" ref="C166">INDEX('アイテム'!$AE$3:$AF$114, MATCH($A$1,'アイテム'!$A$3:$A$114,0), MATCH(C150,'アイテム'!$C$2:$AQ$2,0))</f>
        <v>16</v>
      </c>
      <c r="D166" s="328" t="str">
        <f t="array" ref="D166">INDEX('アイテム'!$AE$3:$AF$114, MATCH($A$1,'アイテム'!$A$3:$A$114,0), MATCH(D150,'アイテム'!$C$2:$AQ$2,0))</f>
        <v>30</v>
      </c>
      <c r="E166" s="322"/>
      <c r="F166" s="322"/>
      <c r="G166" s="114"/>
      <c r="H166" s="228"/>
      <c r="I166" s="228"/>
      <c r="J166" s="228"/>
      <c r="K166" s="118"/>
      <c r="L166" s="118"/>
      <c r="M166" s="118"/>
      <c r="N166" s="102"/>
      <c r="O166" s="102"/>
      <c r="P166" s="102"/>
      <c r="Q166" s="102"/>
      <c r="R166" s="118"/>
      <c r="S166" s="118"/>
      <c r="T166" s="118"/>
      <c r="U166" s="118"/>
      <c r="V166" s="118"/>
    </row>
    <row r="167" outlineLevel="1">
      <c r="A167" s="146"/>
      <c r="B167" s="327" t="s">
        <v>233</v>
      </c>
      <c r="C167" s="328">
        <f t="array" ref="C167">INDEX('アイテム'!$AG$3:$AH$114, MATCH($A$1,'アイテム'!$A$3:$A$114,0), MATCH(C150,'アイテム'!$C$2:$AQ$2,0))</f>
        <v>11</v>
      </c>
      <c r="D167" s="328" t="str">
        <f t="array" ref="D167">INDEX('アイテム'!$AG$3:$AH$114, MATCH($A$1,'アイテム'!$A$3:$A$114,0), MATCH(D150,'アイテム'!$C$2:$AQ$2,0))</f>
        <v>22</v>
      </c>
      <c r="E167" s="322"/>
      <c r="F167" s="322"/>
      <c r="G167" s="114"/>
      <c r="H167" s="228"/>
      <c r="I167" s="228"/>
      <c r="J167" s="228"/>
      <c r="K167" s="118"/>
      <c r="L167" s="118"/>
      <c r="M167" s="118"/>
      <c r="N167" s="102"/>
      <c r="O167" s="102"/>
      <c r="P167" s="102"/>
      <c r="Q167" s="102"/>
      <c r="R167" s="118"/>
      <c r="S167" s="118"/>
      <c r="T167" s="118"/>
      <c r="U167" s="118"/>
      <c r="V167" s="118"/>
    </row>
    <row r="168" outlineLevel="1">
      <c r="A168" s="156"/>
      <c r="B168" s="327" t="s">
        <v>234</v>
      </c>
      <c r="C168" s="328">
        <f t="array" ref="C168">INDEX('アイテム'!$AI$3:$AJ$114, MATCH($A$1,'アイテム'!$A$3:$A$114,0), MATCH(C150,'アイテム'!$C$2:$AQ$2,0))</f>
        <v>11</v>
      </c>
      <c r="D168" s="328" t="str">
        <f t="array" ref="D168">INDEX('アイテム'!$AI$3:$AJ$114, MATCH($A$1,'アイテム'!$A$3:$A$114,0), MATCH(D150,'アイテム'!$C$2:$AQ$2,0))</f>
        <v>22</v>
      </c>
      <c r="E168" s="322"/>
      <c r="F168" s="322"/>
      <c r="G168" s="114"/>
      <c r="H168" s="228"/>
      <c r="I168" s="228"/>
      <c r="J168" s="228"/>
      <c r="K168" s="118"/>
      <c r="L168" s="118"/>
      <c r="M168" s="118"/>
      <c r="N168" s="102"/>
      <c r="O168" s="102"/>
      <c r="P168" s="102"/>
      <c r="Q168" s="102"/>
      <c r="R168" s="118"/>
      <c r="S168" s="118"/>
      <c r="T168" s="118"/>
      <c r="U168" s="118"/>
      <c r="V168" s="118"/>
    </row>
  </sheetData>
  <mergeCells count="137">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3:J33"/>
    <mergeCell ref="H34:J34"/>
    <mergeCell ref="H35:J36"/>
    <mergeCell ref="U35:U36"/>
    <mergeCell ref="H37:J39"/>
    <mergeCell ref="U37:U39"/>
    <mergeCell ref="R42:V42"/>
    <mergeCell ref="R43:V46"/>
    <mergeCell ref="H26:J26"/>
    <mergeCell ref="H27:J27"/>
    <mergeCell ref="H28:J29"/>
    <mergeCell ref="U28:U29"/>
    <mergeCell ref="H30:J30"/>
    <mergeCell ref="H31:J32"/>
    <mergeCell ref="U31:U32"/>
    <mergeCell ref="A24:B25"/>
    <mergeCell ref="A26:A27"/>
    <mergeCell ref="A28:A29"/>
    <mergeCell ref="D28:D29"/>
    <mergeCell ref="A31:A32"/>
    <mergeCell ref="D31:D32"/>
    <mergeCell ref="D35:D36"/>
    <mergeCell ref="D37:D39"/>
    <mergeCell ref="U56:U67"/>
    <mergeCell ref="U69:U83"/>
    <mergeCell ref="V69:V83"/>
    <mergeCell ref="U85:U87"/>
    <mergeCell ref="V85:V87"/>
    <mergeCell ref="U89:U93"/>
    <mergeCell ref="V89:V93"/>
    <mergeCell ref="I47:I48"/>
    <mergeCell ref="J47:J48"/>
    <mergeCell ref="R47:V48"/>
    <mergeCell ref="R49:V49"/>
    <mergeCell ref="R50:V50"/>
    <mergeCell ref="R51:V52"/>
    <mergeCell ref="V56:V67"/>
    <mergeCell ref="A85:A87"/>
    <mergeCell ref="D85:D87"/>
    <mergeCell ref="A88:B88"/>
    <mergeCell ref="D92:D93"/>
    <mergeCell ref="A89:A93"/>
    <mergeCell ref="A95:B96"/>
    <mergeCell ref="A98:A100"/>
    <mergeCell ref="A101:B101"/>
    <mergeCell ref="A102:A103"/>
    <mergeCell ref="D102:D103"/>
    <mergeCell ref="D104:D105"/>
    <mergeCell ref="C139:C140"/>
    <mergeCell ref="D139:D140"/>
    <mergeCell ref="C146:C147"/>
    <mergeCell ref="D146:D147"/>
    <mergeCell ref="A111:B112"/>
    <mergeCell ref="A113:A115"/>
    <mergeCell ref="A116:A117"/>
    <mergeCell ref="A119:B120"/>
    <mergeCell ref="A121:A125"/>
    <mergeCell ref="C133:C134"/>
    <mergeCell ref="D133:D134"/>
    <mergeCell ref="A155:A160"/>
    <mergeCell ref="A161:A164"/>
    <mergeCell ref="A165:A168"/>
    <mergeCell ref="A129:A134"/>
    <mergeCell ref="A135:A140"/>
    <mergeCell ref="A141:A147"/>
    <mergeCell ref="A149:B149"/>
    <mergeCell ref="A150:B150"/>
    <mergeCell ref="A151:A152"/>
    <mergeCell ref="A154:B154"/>
    <mergeCell ref="K136:K139"/>
    <mergeCell ref="K140:L140"/>
    <mergeCell ref="K143:L143"/>
    <mergeCell ref="G108:J109"/>
    <mergeCell ref="K120:L120"/>
    <mergeCell ref="K121:K122"/>
    <mergeCell ref="K123:L123"/>
    <mergeCell ref="K124:K129"/>
    <mergeCell ref="K130:K133"/>
    <mergeCell ref="K134:L134"/>
    <mergeCell ref="A35:A36"/>
    <mergeCell ref="A37:A39"/>
    <mergeCell ref="A41:B42"/>
    <mergeCell ref="A43:A46"/>
    <mergeCell ref="I43:I46"/>
    <mergeCell ref="J43:J46"/>
    <mergeCell ref="A47:A48"/>
    <mergeCell ref="D43:D46"/>
    <mergeCell ref="D47:D48"/>
    <mergeCell ref="A51:A52"/>
    <mergeCell ref="D51:D52"/>
    <mergeCell ref="A54:B54"/>
    <mergeCell ref="A55:B55"/>
    <mergeCell ref="A56:A58"/>
    <mergeCell ref="I51:I52"/>
    <mergeCell ref="J51:J52"/>
    <mergeCell ref="H55:J55"/>
    <mergeCell ref="H56:J67"/>
    <mergeCell ref="H68:J68"/>
    <mergeCell ref="H69:J83"/>
    <mergeCell ref="H84:J84"/>
    <mergeCell ref="A59:A61"/>
    <mergeCell ref="A62:A67"/>
    <mergeCell ref="A68:B68"/>
    <mergeCell ref="A69:A77"/>
    <mergeCell ref="A78:A80"/>
    <mergeCell ref="A81:A82"/>
    <mergeCell ref="A84:B84"/>
    <mergeCell ref="A104:A105"/>
    <mergeCell ref="A106:A107"/>
    <mergeCell ref="A108:A109"/>
    <mergeCell ref="A126:A128"/>
    <mergeCell ref="D106:D107"/>
    <mergeCell ref="D108:D109"/>
    <mergeCell ref="H85:J87"/>
    <mergeCell ref="H88:J88"/>
    <mergeCell ref="H89:J93"/>
    <mergeCell ref="G101:J101"/>
    <mergeCell ref="G102:J103"/>
    <mergeCell ref="G104:J105"/>
    <mergeCell ref="G106:J107"/>
  </mergeCells>
  <conditionalFormatting sqref="K1:K15 K17:K144 E56:F61 G56:G66 L56:T57 C58:D59 C61:D61 O63:T66 E64:F66 L64:N66 D69:D78 C76:C77 E76:G77 C79:C83 E79:G82 L80:T83 D83 G89 C102 L102:Q102 C104 P109">
    <cfRule type="containsText" dxfId="0" priority="1" operator="containsText" text="361">
      <formula>NOT(ISERROR(SEARCH(("361"),(K1))))</formula>
    </cfRule>
  </conditionalFormatting>
  <conditionalFormatting sqref="K1:K15 K17:K144 E56:F61 G56:G66 L56:T57 C58:D59 C61:D61 O63:T66 E64:F66 L64:N66 D69:D78 C76:C77 E76:G77 C79:C83 E79:G82 L80:T83 D83 G89 C102 L102:Q102 C104 P109">
    <cfRule type="containsText" dxfId="1" priority="2" operator="containsText" text="363">
      <formula>NOT(ISERROR(SEARCH(("363"),(K1))))</formula>
    </cfRule>
  </conditionalFormatting>
  <conditionalFormatting sqref="K1:K15 K17:K144 E56:F61 G56:G66 L56:T57 C58:D59 C61:D61 O63:T66 E64:F66 L64:N66 D69:D78 C76:C77 E76:G77 C79:C83 E79:G82 L80:T83 D83 G89 C102 L102:Q102 C104 P109">
    <cfRule type="containsText" dxfId="1" priority="3" operator="containsText" text="365">
      <formula>NOT(ISERROR(SEARCH(("365"),(K1))))</formula>
    </cfRule>
  </conditionalFormatting>
  <conditionalFormatting sqref="K1:K15 K17:K144 E56:F61 G56:G66 L56:T57 C58:D59 C61:D61 O63:T66 E64:F66 L64:N66 D69:D78 C76:C77 E76:G77 C79:C83 E79:G82 L80:T83 D83 G89 C102 L102:Q102 C104 P109">
    <cfRule type="containsText" dxfId="1" priority="4" operator="containsText" text="366">
      <formula>NOT(ISERROR(SEARCH(("366"),(K1))))</formula>
    </cfRule>
  </conditionalFormatting>
  <conditionalFormatting sqref="K1:K15 K17:K144 E56:F61 G56:G66 L56:T57 C58:D59 C61:D61 O63:T66 E64:F66 L64:N66 D69:D78 C76:C77 E76:G77 C79:C83 E79:G82 L80:T83 D83 G89 C102 L102:Q102 C104 P109">
    <cfRule type="containsText" dxfId="1" priority="5" operator="containsText" text="367">
      <formula>NOT(ISERROR(SEARCH(("367"),(K1))))</formula>
    </cfRule>
  </conditionalFormatting>
  <conditionalFormatting sqref="P102:P109">
    <cfRule type="cellIs" dxfId="2" priority="6" operator="equal">
      <formula>"敵のみ"</formula>
    </cfRule>
  </conditionalFormatting>
  <conditionalFormatting sqref="E56:F61 G56:G66 K56:T57 C58:D59 C61:D61 O63:T66 E64:F66 K64:N66 D69:D78 C76:C77 E76:G77 C79:C83 E79:G82 K80:T83 D83 G89 C102:C109">
    <cfRule type="cellIs" dxfId="3" priority="7" operator="equal">
      <formula>"-"</formula>
    </cfRule>
  </conditionalFormatting>
  <conditionalFormatting sqref="O1:O168 E56:F61 G56:G66 K56:N57 P56:T57 C58:D59 C61:D61 P63:T66 E64:F66 K64:N66 D69:D78 C76:C77 E76:G77 C79:C83 E79:G82 K80:N83 P80:T83 D83 G89 C102 K102:N102 P102:Q102 C104 K104:N104 P104:Q104 P109">
    <cfRule type="cellIs" dxfId="4" priority="8" operator="greaterThan">
      <formula>0</formula>
    </cfRule>
  </conditionalFormatting>
  <conditionalFormatting sqref="P1:Q168">
    <cfRule type="cellIs" dxfId="5" priority="9" operator="lessThan">
      <formula>1</formula>
    </cfRule>
  </conditionalFormatting>
  <conditionalFormatting sqref="P1:Q168">
    <cfRule type="cellIs" dxfId="4" priority="10" operator="greaterThan">
      <formula>1</formula>
    </cfRule>
  </conditionalFormatting>
  <conditionalFormatting sqref="N25:N109">
    <cfRule type="cellIs" dxfId="6" priority="11" operator="greaterThan">
      <formula>0</formula>
    </cfRule>
  </conditionalFormatting>
  <conditionalFormatting sqref="N1:N15 N17:N168">
    <cfRule type="containsText" dxfId="6" priority="12" operator="containsText" text="/">
      <formula>NOT(ISERROR(SEARCH(("/"),(N1))))</formula>
    </cfRule>
  </conditionalFormatting>
  <drawing r:id="rId2"/>
  <legacyDrawing r:id="rId3"/>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5819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614">
        <v>31.0</v>
      </c>
      <c r="B1" s="1615"/>
      <c r="C1" s="1616" t="str">
        <f>IMAGE(VLOOKUP($A$1,Fighters!A2:AI114,12,FALSE),1)</f>
        <v>#REF!</v>
      </c>
      <c r="D1" s="1617"/>
      <c r="E1" s="1617"/>
      <c r="F1" s="1617"/>
      <c r="G1" s="1618"/>
      <c r="H1" s="1619"/>
      <c r="I1" s="1617"/>
      <c r="J1" s="1618"/>
      <c r="K1" s="1620"/>
      <c r="L1" s="1617"/>
      <c r="M1" s="1618"/>
      <c r="N1" s="1621"/>
      <c r="O1" s="1621"/>
      <c r="P1" s="1621"/>
      <c r="Q1" s="1621"/>
      <c r="R1" s="1622"/>
      <c r="S1" s="1622"/>
      <c r="T1" s="1622"/>
      <c r="U1" s="1622"/>
      <c r="V1" s="1622"/>
    </row>
    <row r="2">
      <c r="A2" s="1623" t="str">
        <f>VLOOKUP($A$1,Fighters!$A$2:$AI$81,6,FALSE)</f>
        <v>#658198</v>
      </c>
      <c r="B2" s="1615"/>
      <c r="C2" s="1624"/>
      <c r="G2" s="1625"/>
      <c r="H2" s="1626"/>
      <c r="I2" s="1627"/>
      <c r="J2" s="1628"/>
      <c r="K2" s="1626"/>
      <c r="L2" s="1627"/>
      <c r="M2" s="1628"/>
      <c r="N2" s="1621"/>
      <c r="O2" s="1621"/>
      <c r="P2" s="1621"/>
      <c r="Q2" s="1621"/>
      <c r="R2" s="1622"/>
      <c r="S2" s="1622"/>
      <c r="T2" s="1622"/>
      <c r="U2" s="1622"/>
      <c r="V2" s="1622"/>
    </row>
    <row r="3">
      <c r="A3" s="1623" t="str">
        <f>VLOOKUP($A$1,Fighters!$A$2:$AI$81,14,FALSE)</f>
        <v>31. スネーク</v>
      </c>
      <c r="B3" s="1615"/>
      <c r="C3" s="1624"/>
      <c r="G3" s="1625"/>
      <c r="H3" s="1629"/>
      <c r="I3" s="1629"/>
      <c r="J3" s="1629"/>
      <c r="K3" s="1630"/>
      <c r="L3" s="1630"/>
      <c r="M3" s="1630"/>
      <c r="N3" s="1621"/>
      <c r="O3" s="1621"/>
      <c r="P3" s="1621"/>
      <c r="Q3" s="1621"/>
      <c r="R3" s="1631"/>
      <c r="S3" s="1622"/>
      <c r="T3" s="1622"/>
      <c r="U3" s="1622"/>
      <c r="V3" s="1622"/>
    </row>
    <row r="4">
      <c r="A4" s="1623" t="str">
        <f>VLOOKUP($A$1,Fighters!$A$2:$AI$81,13,FALSE)</f>
        <v>1</v>
      </c>
      <c r="B4" s="1615"/>
      <c r="C4" s="1624"/>
      <c r="G4" s="1625"/>
      <c r="H4" s="1632"/>
      <c r="I4" s="1632"/>
      <c r="J4" s="1629"/>
      <c r="K4" s="1630"/>
      <c r="L4" s="1630"/>
      <c r="M4" s="1630"/>
      <c r="N4" s="1621"/>
      <c r="O4" s="1621"/>
      <c r="P4" s="1621"/>
      <c r="Q4" s="1621"/>
      <c r="R4" s="1631"/>
      <c r="S4" s="1622"/>
      <c r="T4" s="1622"/>
      <c r="U4" s="1622"/>
      <c r="V4" s="1622"/>
    </row>
    <row r="5" ht="16.5" customHeight="1">
      <c r="A5" s="1614"/>
      <c r="B5" s="1615"/>
      <c r="C5" s="1624"/>
      <c r="G5" s="1625"/>
      <c r="H5" s="1633"/>
      <c r="I5" s="1633"/>
      <c r="J5" s="1634"/>
      <c r="K5" s="1635"/>
      <c r="L5" s="1636"/>
      <c r="M5" s="1636"/>
      <c r="N5" s="1621"/>
      <c r="O5" s="1621"/>
      <c r="P5" s="1621"/>
      <c r="Q5" s="1621"/>
      <c r="R5" s="1631"/>
      <c r="S5" s="1622"/>
      <c r="T5" s="1622"/>
      <c r="U5" s="1622"/>
      <c r="V5" s="1622"/>
    </row>
    <row r="6">
      <c r="A6" s="1615"/>
      <c r="B6" s="1615"/>
      <c r="C6" s="1624"/>
      <c r="G6" s="1625"/>
      <c r="H6" s="1632"/>
      <c r="I6" s="1637" t="s">
        <v>39</v>
      </c>
      <c r="J6" s="1635"/>
      <c r="K6" s="1638"/>
      <c r="L6" s="1636"/>
      <c r="M6" s="1636"/>
      <c r="N6" s="1621"/>
      <c r="O6" s="1621"/>
      <c r="P6" s="1621"/>
      <c r="Q6" s="1621"/>
      <c r="R6" s="1631"/>
      <c r="S6" s="1622"/>
      <c r="T6" s="1622"/>
      <c r="U6" s="1622"/>
      <c r="V6" s="1622"/>
    </row>
    <row r="7">
      <c r="A7" s="1615"/>
      <c r="B7" s="1615"/>
      <c r="C7" s="1624"/>
      <c r="G7" s="1625"/>
      <c r="H7" s="1633"/>
      <c r="I7" s="1633"/>
      <c r="J7" s="1635"/>
      <c r="K7" s="1638"/>
      <c r="L7" s="1636"/>
      <c r="M7" s="1636"/>
      <c r="N7" s="1621"/>
      <c r="O7" s="1621"/>
      <c r="P7" s="1621"/>
      <c r="Q7" s="1621"/>
      <c r="R7" s="1631"/>
      <c r="S7" s="1622"/>
      <c r="T7" s="1622"/>
      <c r="U7" s="1622"/>
      <c r="V7" s="1622"/>
    </row>
    <row r="8">
      <c r="A8" s="1615"/>
      <c r="B8" s="1615"/>
      <c r="C8" s="1624"/>
      <c r="G8" s="1625"/>
      <c r="H8" s="1639">
        <v>44379.8443459375</v>
      </c>
      <c r="I8" s="1617"/>
      <c r="J8" s="1618"/>
      <c r="K8" s="1635"/>
      <c r="L8" s="1636"/>
      <c r="M8" s="1636"/>
      <c r="N8" s="1621"/>
      <c r="O8" s="1621"/>
      <c r="P8" s="1621"/>
      <c r="Q8" s="1621"/>
      <c r="R8" s="1631"/>
      <c r="S8" s="1622"/>
      <c r="T8" s="1622"/>
      <c r="U8" s="1622"/>
      <c r="V8" s="1622"/>
    </row>
    <row r="9">
      <c r="A9" s="1615"/>
      <c r="B9" s="1615"/>
      <c r="C9" s="1624"/>
      <c r="G9" s="1625"/>
      <c r="H9" s="1626"/>
      <c r="I9" s="1627"/>
      <c r="J9" s="1628"/>
      <c r="K9" s="1622"/>
      <c r="L9" s="1621"/>
      <c r="M9" s="1621"/>
      <c r="N9" s="1621"/>
      <c r="O9" s="1621"/>
      <c r="P9" s="1621"/>
      <c r="Q9" s="1621"/>
      <c r="R9" s="1631"/>
      <c r="S9" s="1622"/>
      <c r="T9" s="1622"/>
      <c r="U9" s="1622"/>
      <c r="V9" s="1622"/>
    </row>
    <row r="10">
      <c r="A10" s="1615"/>
      <c r="B10" s="1615"/>
      <c r="C10" s="1624"/>
      <c r="G10" s="1625"/>
      <c r="H10" s="1640"/>
      <c r="I10" s="1640"/>
      <c r="J10" s="1622"/>
      <c r="K10" s="1622"/>
      <c r="L10" s="1621"/>
      <c r="M10" s="1621"/>
      <c r="N10" s="1621"/>
      <c r="O10" s="1621"/>
      <c r="P10" s="1621"/>
      <c r="Q10" s="1621"/>
      <c r="R10" s="1631"/>
      <c r="S10" s="1622"/>
      <c r="T10" s="1622"/>
      <c r="U10" s="1622"/>
      <c r="V10" s="1622"/>
    </row>
    <row r="11">
      <c r="A11" s="1641" t="s">
        <v>40</v>
      </c>
      <c r="B11" s="1618"/>
      <c r="C11" s="1624"/>
      <c r="G11" s="1625"/>
      <c r="H11" s="1633"/>
      <c r="I11" s="1633"/>
      <c r="J11" s="1622"/>
      <c r="K11" s="1622"/>
      <c r="L11" s="1621"/>
      <c r="M11" s="1621"/>
      <c r="N11" s="1621"/>
      <c r="O11" s="1621"/>
      <c r="P11" s="1621"/>
      <c r="Q11" s="1621"/>
      <c r="R11" s="1631"/>
      <c r="S11" s="1622"/>
      <c r="T11" s="1622"/>
      <c r="U11" s="1622"/>
      <c r="V11" s="1622"/>
    </row>
    <row r="12">
      <c r="A12" s="1626"/>
      <c r="B12" s="1628"/>
      <c r="C12" s="1626"/>
      <c r="D12" s="1627"/>
      <c r="E12" s="1627"/>
      <c r="F12" s="1627"/>
      <c r="G12" s="1628"/>
      <c r="H12" s="1642"/>
      <c r="I12" s="1642"/>
      <c r="J12" s="1615"/>
      <c r="K12" s="1615"/>
      <c r="L12" s="1621"/>
      <c r="M12" s="1621"/>
      <c r="N12" s="1621"/>
      <c r="O12" s="1621"/>
      <c r="P12" s="1621"/>
      <c r="Q12" s="1621"/>
      <c r="R12" s="1631"/>
      <c r="S12" s="1622"/>
      <c r="T12" s="1622"/>
      <c r="U12" s="1622"/>
      <c r="V12" s="1622"/>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106 [19th]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37F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1.76 [72nd]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0.882 [76th]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0.17094 [18th]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21.62 [86th]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1.595 [60th]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13.69 [74th]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0.987 [61st]</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28F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0.03 [87th]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34.07 [35th]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1.73 [26th]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0.005 [79th]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2.768 [26th]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 [68th]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71</v>
      </c>
      <c r="D26" s="701" t="s">
        <v>2444</v>
      </c>
      <c r="E26" s="139" t="s">
        <v>535</v>
      </c>
      <c r="F26" s="138">
        <v>3.0</v>
      </c>
      <c r="G26" s="139" t="s">
        <v>147</v>
      </c>
      <c r="H26" s="151" t="s">
        <v>2445</v>
      </c>
      <c r="I26" s="110"/>
      <c r="J26" s="109"/>
      <c r="K26" s="138"/>
      <c r="L26" s="282"/>
      <c r="M26" s="363"/>
      <c r="N26" s="363"/>
      <c r="O26" s="145">
        <v>0.0</v>
      </c>
      <c r="P26" s="145">
        <v>1.0</v>
      </c>
      <c r="Q26" s="145">
        <v>1.0</v>
      </c>
      <c r="R26" s="100"/>
      <c r="S26" s="100"/>
      <c r="T26" s="100"/>
      <c r="U26" s="145" t="s">
        <v>62</v>
      </c>
      <c r="V26" s="100"/>
    </row>
    <row r="27" outlineLevel="1">
      <c r="A27" s="146"/>
      <c r="B27" s="147" t="s">
        <v>63</v>
      </c>
      <c r="C27" s="467" t="s">
        <v>717</v>
      </c>
      <c r="D27" s="467" t="s">
        <v>268</v>
      </c>
      <c r="E27" s="216" t="s">
        <v>535</v>
      </c>
      <c r="F27" s="138">
        <v>3.0</v>
      </c>
      <c r="G27" s="139" t="s">
        <v>147</v>
      </c>
      <c r="H27" s="151" t="s">
        <v>2446</v>
      </c>
      <c r="I27" s="110"/>
      <c r="J27" s="109"/>
      <c r="K27" s="282"/>
      <c r="L27" s="282"/>
      <c r="M27" s="363"/>
      <c r="N27" s="363"/>
      <c r="O27" s="145">
        <v>0.0</v>
      </c>
      <c r="P27" s="145">
        <v>1.0</v>
      </c>
      <c r="Q27" s="145">
        <v>1.0</v>
      </c>
      <c r="R27" s="100"/>
      <c r="S27" s="100"/>
      <c r="T27" s="100"/>
      <c r="U27" s="145" t="s">
        <v>69</v>
      </c>
      <c r="V27" s="100"/>
    </row>
    <row r="28" outlineLevel="1">
      <c r="A28" s="156"/>
      <c r="B28" s="147" t="s">
        <v>70</v>
      </c>
      <c r="C28" s="467" t="s">
        <v>518</v>
      </c>
      <c r="D28" s="467" t="s">
        <v>374</v>
      </c>
      <c r="E28" s="216" t="s">
        <v>86</v>
      </c>
      <c r="F28" s="138">
        <v>7.199999999999999</v>
      </c>
      <c r="G28" s="139" t="s">
        <v>102</v>
      </c>
      <c r="H28" s="151"/>
      <c r="I28" s="110"/>
      <c r="J28" s="109"/>
      <c r="K28" s="282"/>
      <c r="L28" s="282"/>
      <c r="M28" s="363"/>
      <c r="N28" s="363"/>
      <c r="O28" s="145">
        <v>0.0</v>
      </c>
      <c r="P28" s="145">
        <v>1.0</v>
      </c>
      <c r="Q28" s="145">
        <v>1.0</v>
      </c>
      <c r="R28" s="100"/>
      <c r="S28" s="100"/>
      <c r="T28" s="100"/>
      <c r="U28" s="145" t="s">
        <v>76</v>
      </c>
      <c r="V28" s="100"/>
    </row>
    <row r="29" outlineLevel="1">
      <c r="A29" s="133" t="s">
        <v>77</v>
      </c>
      <c r="B29" s="160"/>
      <c r="C29" s="467" t="s">
        <v>713</v>
      </c>
      <c r="D29" s="455" t="s">
        <v>384</v>
      </c>
      <c r="E29" s="467" t="s">
        <v>2447</v>
      </c>
      <c r="F29" s="138" t="s">
        <v>2448</v>
      </c>
      <c r="G29" s="139" t="s">
        <v>2449</v>
      </c>
      <c r="H29" s="163" t="s">
        <v>2450</v>
      </c>
      <c r="I29" s="164"/>
      <c r="J29" s="104"/>
      <c r="K29" s="138"/>
      <c r="L29" s="282"/>
      <c r="M29" s="363"/>
      <c r="N29" s="363"/>
      <c r="O29" s="145">
        <v>0.0</v>
      </c>
      <c r="P29" s="145">
        <v>1.0</v>
      </c>
      <c r="Q29" s="145">
        <v>1.0</v>
      </c>
      <c r="R29" s="100"/>
      <c r="S29" s="100"/>
      <c r="T29" s="100"/>
      <c r="U29" s="166" t="s">
        <v>69</v>
      </c>
      <c r="V29" s="100"/>
    </row>
    <row r="30" outlineLevel="1">
      <c r="A30" s="156"/>
      <c r="B30" s="147" t="s">
        <v>84</v>
      </c>
      <c r="C30" s="467" t="s">
        <v>272</v>
      </c>
      <c r="D30" s="107"/>
      <c r="E30" s="467" t="s">
        <v>1966</v>
      </c>
      <c r="F30" s="138" t="s">
        <v>1967</v>
      </c>
      <c r="G30" s="139" t="s">
        <v>1590</v>
      </c>
      <c r="H30" s="106"/>
      <c r="I30" s="168"/>
      <c r="J30" s="107"/>
      <c r="K30" s="282"/>
      <c r="L30" s="282"/>
      <c r="M30" s="363"/>
      <c r="N30" s="363"/>
      <c r="O30" s="145">
        <v>0.0</v>
      </c>
      <c r="P30" s="145">
        <v>1.0</v>
      </c>
      <c r="Q30" s="145">
        <v>1.0</v>
      </c>
      <c r="R30" s="100"/>
      <c r="S30" s="100"/>
      <c r="T30" s="100"/>
      <c r="U30" s="156"/>
      <c r="V30" s="100"/>
    </row>
    <row r="31" outlineLevel="1">
      <c r="A31" s="133" t="s">
        <v>89</v>
      </c>
      <c r="B31" s="147" t="s">
        <v>2224</v>
      </c>
      <c r="C31" s="467" t="s">
        <v>717</v>
      </c>
      <c r="D31" s="467" t="s">
        <v>271</v>
      </c>
      <c r="E31" s="467" t="s">
        <v>73</v>
      </c>
      <c r="F31" s="138">
        <v>4.8</v>
      </c>
      <c r="G31" s="139" t="s">
        <v>75</v>
      </c>
      <c r="H31" s="151" t="s">
        <v>2451</v>
      </c>
      <c r="I31" s="110"/>
      <c r="J31" s="109"/>
      <c r="K31" s="138"/>
      <c r="L31" s="282"/>
      <c r="M31" s="363"/>
      <c r="N31" s="363"/>
      <c r="O31" s="145">
        <v>0.0</v>
      </c>
      <c r="P31" s="145">
        <v>1.0</v>
      </c>
      <c r="Q31" s="145">
        <v>1.0</v>
      </c>
      <c r="R31" s="100"/>
      <c r="S31" s="100"/>
      <c r="T31" s="100"/>
      <c r="U31" s="166" t="s">
        <v>96</v>
      </c>
      <c r="V31" s="100"/>
    </row>
    <row r="32" outlineLevel="1">
      <c r="A32" s="156"/>
      <c r="B32" s="147" t="s">
        <v>2226</v>
      </c>
      <c r="C32" s="467" t="s">
        <v>80</v>
      </c>
      <c r="D32" s="467" t="s">
        <v>118</v>
      </c>
      <c r="E32" s="467" t="s">
        <v>2452</v>
      </c>
      <c r="F32" s="138" t="s">
        <v>2453</v>
      </c>
      <c r="G32" s="139" t="s">
        <v>547</v>
      </c>
      <c r="H32" s="151"/>
      <c r="I32" s="110"/>
      <c r="J32" s="109"/>
      <c r="K32" s="138"/>
      <c r="L32" s="282"/>
      <c r="M32" s="363"/>
      <c r="N32" s="363"/>
      <c r="O32" s="145">
        <v>0.0</v>
      </c>
      <c r="P32" s="145">
        <v>1.0</v>
      </c>
      <c r="Q32" s="145">
        <v>1.0</v>
      </c>
      <c r="R32" s="100"/>
      <c r="S32" s="100"/>
      <c r="T32" s="100"/>
      <c r="U32" s="156"/>
      <c r="V32" s="100"/>
    </row>
    <row r="33" outlineLevel="1">
      <c r="A33" s="133" t="s">
        <v>97</v>
      </c>
      <c r="B33" s="160"/>
      <c r="C33" s="450" t="s">
        <v>549</v>
      </c>
      <c r="D33" s="455" t="s">
        <v>79</v>
      </c>
      <c r="E33" s="467" t="s">
        <v>2454</v>
      </c>
      <c r="F33" s="138">
        <v>17.4</v>
      </c>
      <c r="G33" s="139" t="s">
        <v>297</v>
      </c>
      <c r="H33" s="163"/>
      <c r="I33" s="164"/>
      <c r="J33" s="104"/>
      <c r="K33" s="282"/>
      <c r="L33" s="282"/>
      <c r="M33" s="363"/>
      <c r="N33" s="363"/>
      <c r="O33" s="145">
        <v>0.0</v>
      </c>
      <c r="P33" s="145">
        <v>1.0</v>
      </c>
      <c r="Q33" s="145">
        <v>1.0</v>
      </c>
      <c r="R33" s="100"/>
      <c r="S33" s="100"/>
      <c r="T33" s="100"/>
      <c r="U33" s="166" t="s">
        <v>69</v>
      </c>
      <c r="V33" s="100"/>
    </row>
    <row r="34" outlineLevel="1">
      <c r="A34" s="156"/>
      <c r="B34" s="147" t="s">
        <v>84</v>
      </c>
      <c r="C34" s="450" t="s">
        <v>505</v>
      </c>
      <c r="D34" s="107"/>
      <c r="E34" s="467" t="s">
        <v>1217</v>
      </c>
      <c r="F34" s="138">
        <v>16.2</v>
      </c>
      <c r="G34" s="139" t="s">
        <v>407</v>
      </c>
      <c r="H34" s="106"/>
      <c r="I34" s="168"/>
      <c r="J34" s="107"/>
      <c r="K34" s="145"/>
      <c r="L34" s="363"/>
      <c r="M34" s="363"/>
      <c r="N34" s="363"/>
      <c r="O34" s="145">
        <v>0.0</v>
      </c>
      <c r="P34" s="145">
        <v>1.0</v>
      </c>
      <c r="Q34" s="145">
        <v>1.0</v>
      </c>
      <c r="R34" s="100"/>
      <c r="S34" s="100"/>
      <c r="T34" s="100"/>
      <c r="U34" s="156"/>
      <c r="V34" s="100"/>
    </row>
    <row r="35" outlineLevel="1">
      <c r="A35" s="170" t="s">
        <v>103</v>
      </c>
      <c r="B35" s="160"/>
      <c r="C35" s="467" t="s">
        <v>217</v>
      </c>
      <c r="D35" s="467" t="s">
        <v>164</v>
      </c>
      <c r="E35" s="467" t="s">
        <v>129</v>
      </c>
      <c r="F35" s="138">
        <v>14.399999999999999</v>
      </c>
      <c r="G35" s="139" t="s">
        <v>88</v>
      </c>
      <c r="H35" s="151"/>
      <c r="I35" s="110"/>
      <c r="J35" s="109"/>
      <c r="K35" s="145"/>
      <c r="L35" s="363"/>
      <c r="M35" s="363"/>
      <c r="N35" s="363"/>
      <c r="O35" s="145">
        <v>0.0</v>
      </c>
      <c r="P35" s="145">
        <v>1.0</v>
      </c>
      <c r="Q35" s="145">
        <v>1.0</v>
      </c>
      <c r="R35" s="100"/>
      <c r="S35" s="100"/>
      <c r="T35" s="100"/>
      <c r="U35" s="145" t="s">
        <v>69</v>
      </c>
      <c r="V35" s="100"/>
    </row>
    <row r="36" outlineLevel="1">
      <c r="A36" s="170" t="s">
        <v>109</v>
      </c>
      <c r="B36" s="147"/>
      <c r="C36" s="467" t="s">
        <v>2455</v>
      </c>
      <c r="D36" s="467" t="s">
        <v>2456</v>
      </c>
      <c r="E36" s="467" t="s">
        <v>1114</v>
      </c>
      <c r="F36" s="138">
        <v>26.4</v>
      </c>
      <c r="G36" s="139" t="s">
        <v>82</v>
      </c>
      <c r="H36" s="151" t="s">
        <v>2457</v>
      </c>
      <c r="I36" s="110"/>
      <c r="J36" s="109"/>
      <c r="K36" s="282"/>
      <c r="L36" s="282"/>
      <c r="M36" s="363"/>
      <c r="N36" s="363"/>
      <c r="O36" s="145">
        <v>0.0</v>
      </c>
      <c r="P36" s="145">
        <v>1.0</v>
      </c>
      <c r="Q36" s="145">
        <v>1.0</v>
      </c>
      <c r="R36" s="100"/>
      <c r="S36" s="100"/>
      <c r="T36" s="100"/>
      <c r="U36" s="145" t="s">
        <v>62</v>
      </c>
      <c r="V36" s="100"/>
    </row>
    <row r="37" ht="49.5" customHeight="1" outlineLevel="1">
      <c r="A37" s="133" t="s">
        <v>116</v>
      </c>
      <c r="B37" s="147" t="s">
        <v>2458</v>
      </c>
      <c r="C37" s="467" t="s">
        <v>299</v>
      </c>
      <c r="D37" s="379" t="s">
        <v>289</v>
      </c>
      <c r="E37" s="467" t="s">
        <v>73</v>
      </c>
      <c r="F37" s="138">
        <v>4.8</v>
      </c>
      <c r="G37" s="139" t="s">
        <v>147</v>
      </c>
      <c r="H37" s="163" t="s">
        <v>2459</v>
      </c>
      <c r="I37" s="164"/>
      <c r="J37" s="104"/>
      <c r="K37" s="363"/>
      <c r="L37" s="363"/>
      <c r="M37" s="363"/>
      <c r="N37" s="363"/>
      <c r="O37" s="145">
        <v>0.0</v>
      </c>
      <c r="P37" s="145">
        <v>1.0</v>
      </c>
      <c r="Q37" s="145">
        <v>1.0</v>
      </c>
      <c r="R37" s="100"/>
      <c r="S37" s="100"/>
      <c r="T37" s="100"/>
      <c r="U37" s="166" t="s">
        <v>62</v>
      </c>
      <c r="V37" s="100"/>
    </row>
    <row r="38" ht="49.5" customHeight="1" outlineLevel="1">
      <c r="A38" s="156"/>
      <c r="B38" s="147" t="s">
        <v>1485</v>
      </c>
      <c r="C38" s="216" t="s">
        <v>2460</v>
      </c>
      <c r="D38" s="107"/>
      <c r="E38" s="467" t="s">
        <v>119</v>
      </c>
      <c r="F38" s="138">
        <v>16.8</v>
      </c>
      <c r="G38" s="162" t="s">
        <v>121</v>
      </c>
      <c r="H38" s="106"/>
      <c r="I38" s="168"/>
      <c r="J38" s="107"/>
      <c r="K38" s="363"/>
      <c r="L38" s="363"/>
      <c r="M38" s="363"/>
      <c r="N38" s="363"/>
      <c r="O38" s="145">
        <v>0.0</v>
      </c>
      <c r="P38" s="145">
        <v>1.0</v>
      </c>
      <c r="Q38" s="145">
        <v>1.0</v>
      </c>
      <c r="R38" s="100"/>
      <c r="S38" s="100"/>
      <c r="T38" s="100"/>
      <c r="U38" s="156"/>
      <c r="V38" s="100"/>
    </row>
    <row r="39" outlineLevel="1">
      <c r="A39" s="133" t="s">
        <v>124</v>
      </c>
      <c r="B39" s="134" t="s">
        <v>125</v>
      </c>
      <c r="C39" s="239" t="s">
        <v>161</v>
      </c>
      <c r="D39" s="279" t="s">
        <v>393</v>
      </c>
      <c r="E39" s="113" t="s">
        <v>129</v>
      </c>
      <c r="F39" s="138">
        <v>14.399999999999999</v>
      </c>
      <c r="G39" s="139" t="s">
        <v>123</v>
      </c>
      <c r="H39" s="163" t="s">
        <v>1214</v>
      </c>
      <c r="I39" s="164"/>
      <c r="J39" s="104"/>
      <c r="K39" s="282"/>
      <c r="L39" s="282"/>
      <c r="M39" s="363"/>
      <c r="N39" s="363"/>
      <c r="O39" s="145">
        <v>0.0</v>
      </c>
      <c r="P39" s="145">
        <v>1.0</v>
      </c>
      <c r="Q39" s="145">
        <v>1.0</v>
      </c>
      <c r="R39" s="100"/>
      <c r="S39" s="100"/>
      <c r="T39" s="100"/>
      <c r="U39" s="166" t="s">
        <v>62</v>
      </c>
      <c r="V39" s="100"/>
    </row>
    <row r="40" outlineLevel="1">
      <c r="A40" s="156"/>
      <c r="B40" s="134" t="s">
        <v>131</v>
      </c>
      <c r="C40" s="239" t="s">
        <v>2159</v>
      </c>
      <c r="D40" s="156"/>
      <c r="E40" s="113" t="s">
        <v>119</v>
      </c>
      <c r="F40" s="138">
        <v>16.8</v>
      </c>
      <c r="G40" s="139" t="s">
        <v>121</v>
      </c>
      <c r="H40" s="106"/>
      <c r="I40" s="168"/>
      <c r="J40" s="107"/>
      <c r="K40" s="282"/>
      <c r="L40" s="282"/>
      <c r="M40" s="363"/>
      <c r="N40" s="363"/>
      <c r="O40" s="145">
        <v>0.0</v>
      </c>
      <c r="P40" s="145">
        <v>1.0</v>
      </c>
      <c r="Q40" s="145">
        <v>1.0</v>
      </c>
      <c r="R40" s="100"/>
      <c r="S40" s="100"/>
      <c r="T40" s="100"/>
      <c r="U40" s="156"/>
      <c r="V40" s="100"/>
    </row>
    <row r="41" outlineLevel="1">
      <c r="A41" s="771" t="s">
        <v>16</v>
      </c>
      <c r="B41" s="109"/>
      <c r="C41" s="127" t="s">
        <v>48</v>
      </c>
      <c r="D41" s="128" t="s">
        <v>49</v>
      </c>
      <c r="E41" s="128" t="s">
        <v>50</v>
      </c>
      <c r="F41" s="129" t="s">
        <v>51</v>
      </c>
      <c r="G41" s="128" t="s">
        <v>52</v>
      </c>
      <c r="H41" s="361" t="s">
        <v>53</v>
      </c>
      <c r="I41" s="110"/>
      <c r="J41" s="109"/>
      <c r="K41" s="131" t="s">
        <v>137</v>
      </c>
      <c r="L41" s="131" t="s">
        <v>138</v>
      </c>
      <c r="M41" s="131" t="s">
        <v>139</v>
      </c>
      <c r="N41" s="131" t="s">
        <v>140</v>
      </c>
      <c r="O41" s="132" t="s">
        <v>141</v>
      </c>
      <c r="P41" s="131" t="s">
        <v>142</v>
      </c>
      <c r="Q41" s="132" t="s">
        <v>143</v>
      </c>
      <c r="R41" s="100"/>
      <c r="S41" s="100"/>
      <c r="T41" s="100"/>
      <c r="U41" s="127" t="s">
        <v>54</v>
      </c>
      <c r="V41" s="100"/>
    </row>
    <row r="42" ht="19.5" customHeight="1" outlineLevel="1">
      <c r="A42" s="133" t="s">
        <v>2421</v>
      </c>
      <c r="B42" s="134" t="s">
        <v>1089</v>
      </c>
      <c r="C42" s="239"/>
      <c r="D42" s="113"/>
      <c r="E42" s="279" t="s">
        <v>1925</v>
      </c>
      <c r="F42" s="394" t="s">
        <v>1926</v>
      </c>
      <c r="G42" s="454"/>
      <c r="H42" s="163" t="s">
        <v>2461</v>
      </c>
      <c r="I42" s="164"/>
      <c r="J42" s="104"/>
      <c r="K42" s="282"/>
      <c r="L42" s="282"/>
      <c r="M42" s="363"/>
      <c r="N42" s="363"/>
      <c r="O42" s="145"/>
      <c r="P42" s="145"/>
      <c r="Q42" s="145"/>
      <c r="R42" s="100"/>
      <c r="S42" s="100"/>
      <c r="T42" s="100"/>
      <c r="U42" s="166" t="s">
        <v>62</v>
      </c>
      <c r="V42" s="100"/>
    </row>
    <row r="43" ht="19.5" customHeight="1" outlineLevel="1">
      <c r="A43" s="156"/>
      <c r="B43" s="134" t="s">
        <v>1499</v>
      </c>
      <c r="C43" s="239"/>
      <c r="D43" s="113"/>
      <c r="E43" s="156"/>
      <c r="F43" s="156"/>
      <c r="G43" s="156"/>
      <c r="H43" s="106"/>
      <c r="I43" s="168"/>
      <c r="J43" s="107"/>
      <c r="K43" s="282"/>
      <c r="L43" s="282"/>
      <c r="M43" s="363"/>
      <c r="N43" s="363"/>
      <c r="O43" s="145">
        <v>0.0</v>
      </c>
      <c r="P43" s="145">
        <v>1.0</v>
      </c>
      <c r="Q43" s="145">
        <v>1.0</v>
      </c>
      <c r="R43" s="100"/>
      <c r="S43" s="100"/>
      <c r="T43" s="100"/>
      <c r="U43" s="156"/>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
        <v>133</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
        <v>48</v>
      </c>
      <c r="D46" s="183" t="s">
        <v>49</v>
      </c>
      <c r="E46" s="182" t="s">
        <v>50</v>
      </c>
      <c r="F46" s="184" t="s">
        <v>51</v>
      </c>
      <c r="G46" s="184" t="s">
        <v>134</v>
      </c>
      <c r="H46" s="185" t="s">
        <v>52</v>
      </c>
      <c r="I46" s="184" t="str">
        <f>'テンプレート'!I56</f>
        <v>着地隙</v>
      </c>
      <c r="J46" s="184" t="s">
        <v>136</v>
      </c>
      <c r="K46" s="184" t="str">
        <f>'テンプレート'!K56</f>
        <v>ベクトル</v>
      </c>
      <c r="L46" s="184" t="str">
        <f>'テンプレート'!L56</f>
        <v>KBG (R.E.)</v>
      </c>
      <c r="M46" s="184" t="str">
        <f>'テンプレート'!M56</f>
        <v>BKB (R.A.)</v>
      </c>
      <c r="N46" s="184" t="str">
        <f>'テンプレート'!N56</f>
        <v>FKB (R.F.)</v>
      </c>
      <c r="O46" s="186" t="str">
        <f>'テンプレート'!O56</f>
        <v>盾削り値</v>
      </c>
      <c r="P46" s="184" t="str">
        <f>'テンプレート'!P56</f>
        <v>ﾋｯﾄｽﾄｯﾌﾟ</v>
      </c>
      <c r="Q46" s="186" t="str">
        <f>'テンプレート'!Q56</f>
        <v>ずらし</v>
      </c>
      <c r="R46" s="187" t="str">
        <f>'テンプレート'!R56</f>
        <v>備考</v>
      </c>
      <c r="S46" s="110"/>
      <c r="T46" s="110"/>
      <c r="U46" s="110"/>
      <c r="V46" s="110"/>
    </row>
    <row r="47" outlineLevel="1">
      <c r="A47" s="188" t="s">
        <v>144</v>
      </c>
      <c r="B47" s="373" t="s">
        <v>125</v>
      </c>
      <c r="C47" s="239" t="s">
        <v>223</v>
      </c>
      <c r="D47" s="455" t="s">
        <v>462</v>
      </c>
      <c r="E47" s="401" t="s">
        <v>204</v>
      </c>
      <c r="F47" s="193">
        <v>3.5999999999999996</v>
      </c>
      <c r="G47" s="193">
        <v>3.06</v>
      </c>
      <c r="H47" s="138" t="s">
        <v>170</v>
      </c>
      <c r="I47" s="454" t="str">
        <f t="array" ref="I47">INDEX('空中攻撃'!$O$3:$AA$109, MATCH($A$1,'空中攻撃'!$A$3:$A$109,0), MATCH(A47,'空中攻撃'!$O$2:$S$2,0))</f>
        <v>16</v>
      </c>
      <c r="J47" s="455" t="s">
        <v>2326</v>
      </c>
      <c r="K47" s="138"/>
      <c r="L47" s="282"/>
      <c r="M47" s="363"/>
      <c r="N47" s="363"/>
      <c r="O47" s="145">
        <v>0.0</v>
      </c>
      <c r="P47" s="145">
        <v>1.0</v>
      </c>
      <c r="Q47" s="145">
        <v>1.0</v>
      </c>
      <c r="R47" s="619"/>
      <c r="S47" s="164"/>
      <c r="T47" s="164"/>
      <c r="U47" s="164"/>
      <c r="V47" s="104"/>
    </row>
    <row r="48" outlineLevel="1">
      <c r="A48" s="146"/>
      <c r="B48" s="373" t="s">
        <v>131</v>
      </c>
      <c r="C48" s="239" t="s">
        <v>653</v>
      </c>
      <c r="D48" s="210"/>
      <c r="E48" s="401" t="s">
        <v>204</v>
      </c>
      <c r="F48" s="193">
        <v>3.5999999999999996</v>
      </c>
      <c r="G48" s="193">
        <v>3.06</v>
      </c>
      <c r="H48" s="138" t="s">
        <v>170</v>
      </c>
      <c r="I48" s="146"/>
      <c r="J48" s="210"/>
      <c r="K48" s="138"/>
      <c r="L48" s="282"/>
      <c r="M48" s="363"/>
      <c r="N48" s="363"/>
      <c r="O48" s="145"/>
      <c r="P48" s="145"/>
      <c r="Q48" s="145"/>
      <c r="R48" s="212"/>
      <c r="V48" s="210"/>
    </row>
    <row r="49" outlineLevel="1">
      <c r="A49" s="146"/>
      <c r="B49" s="373" t="s">
        <v>434</v>
      </c>
      <c r="C49" s="239" t="s">
        <v>522</v>
      </c>
      <c r="D49" s="210"/>
      <c r="E49" s="401" t="s">
        <v>204</v>
      </c>
      <c r="F49" s="193">
        <v>3.5999999999999996</v>
      </c>
      <c r="G49" s="193">
        <v>3.06</v>
      </c>
      <c r="H49" s="138" t="s">
        <v>170</v>
      </c>
      <c r="I49" s="146"/>
      <c r="J49" s="210"/>
      <c r="K49" s="138"/>
      <c r="L49" s="282"/>
      <c r="M49" s="363"/>
      <c r="N49" s="363"/>
      <c r="O49" s="145"/>
      <c r="P49" s="145"/>
      <c r="Q49" s="145"/>
      <c r="R49" s="212"/>
      <c r="V49" s="210"/>
    </row>
    <row r="50" outlineLevel="1">
      <c r="A50" s="156"/>
      <c r="B50" s="373" t="s">
        <v>520</v>
      </c>
      <c r="C50" s="239" t="s">
        <v>1486</v>
      </c>
      <c r="D50" s="107"/>
      <c r="E50" s="239" t="s">
        <v>129</v>
      </c>
      <c r="F50" s="193">
        <v>14.399999999999999</v>
      </c>
      <c r="G50" s="193">
        <v>12.24</v>
      </c>
      <c r="H50" s="138" t="s">
        <v>75</v>
      </c>
      <c r="I50" s="156"/>
      <c r="J50" s="107"/>
      <c r="K50" s="138"/>
      <c r="L50" s="282"/>
      <c r="M50" s="363"/>
      <c r="N50" s="363"/>
      <c r="O50" s="145">
        <v>0.0</v>
      </c>
      <c r="P50" s="145">
        <v>1.0</v>
      </c>
      <c r="Q50" s="145">
        <v>1.0</v>
      </c>
      <c r="R50" s="106"/>
      <c r="S50" s="168"/>
      <c r="T50" s="168"/>
      <c r="U50" s="168"/>
      <c r="V50" s="107"/>
    </row>
    <row r="51" outlineLevel="1">
      <c r="A51" s="213" t="s">
        <v>151</v>
      </c>
      <c r="B51" s="373"/>
      <c r="C51" s="239" t="s">
        <v>792</v>
      </c>
      <c r="D51" s="467" t="s">
        <v>777</v>
      </c>
      <c r="E51" s="239" t="s">
        <v>2462</v>
      </c>
      <c r="F51" s="193" t="s">
        <v>2463</v>
      </c>
      <c r="G51" s="193" t="s">
        <v>2464</v>
      </c>
      <c r="H51" s="138" t="s">
        <v>1766</v>
      </c>
      <c r="I51" s="621" t="str">
        <f t="array" ref="I51">INDEX('空中攻撃'!$O$3:$AA$109, MATCH($A$1,'空中攻撃'!$A$3:$A$109,0), MATCH(A51,'空中攻撃'!$O$2:$S$2,0))</f>
        <v>19</v>
      </c>
      <c r="J51" s="467" t="s">
        <v>2465</v>
      </c>
      <c r="K51" s="138"/>
      <c r="L51" s="282"/>
      <c r="M51" s="363"/>
      <c r="N51" s="363"/>
      <c r="O51" s="145">
        <v>0.0</v>
      </c>
      <c r="P51" s="145">
        <v>1.0</v>
      </c>
      <c r="Q51" s="145">
        <v>1.0</v>
      </c>
      <c r="R51" s="622"/>
      <c r="S51" s="110"/>
      <c r="T51" s="110"/>
      <c r="U51" s="110"/>
      <c r="V51" s="109"/>
    </row>
    <row r="52" outlineLevel="1">
      <c r="A52" s="188" t="s">
        <v>157</v>
      </c>
      <c r="B52" s="373"/>
      <c r="C52" s="239" t="s">
        <v>277</v>
      </c>
      <c r="D52" s="455" t="s">
        <v>221</v>
      </c>
      <c r="E52" s="239" t="s">
        <v>1994</v>
      </c>
      <c r="F52" s="193" t="s">
        <v>1995</v>
      </c>
      <c r="G52" s="193" t="s">
        <v>2466</v>
      </c>
      <c r="H52" s="138" t="s">
        <v>2467</v>
      </c>
      <c r="I52" s="454">
        <f t="array" ref="I52">INDEX('空中攻撃'!$O$3:$AA$109, MATCH($A$1,'空中攻撃'!$A$3:$A$109,0), MATCH(A52,'空中攻撃'!$O$2:$S$2,0))</f>
        <v>19</v>
      </c>
      <c r="J52" s="455" t="s">
        <v>2468</v>
      </c>
      <c r="K52" s="138"/>
      <c r="L52" s="282"/>
      <c r="M52" s="363"/>
      <c r="N52" s="363"/>
      <c r="O52" s="145">
        <v>0.0</v>
      </c>
      <c r="P52" s="145">
        <v>1.0</v>
      </c>
      <c r="Q52" s="145">
        <v>1.0</v>
      </c>
      <c r="R52" s="619"/>
      <c r="S52" s="164"/>
      <c r="T52" s="164"/>
      <c r="U52" s="164"/>
      <c r="V52" s="104"/>
    </row>
    <row r="53" outlineLevel="1">
      <c r="A53" s="156"/>
      <c r="B53" s="373" t="s">
        <v>84</v>
      </c>
      <c r="C53" s="239" t="s">
        <v>310</v>
      </c>
      <c r="D53" s="107"/>
      <c r="E53" s="239" t="s">
        <v>2469</v>
      </c>
      <c r="F53" s="193" t="s">
        <v>2470</v>
      </c>
      <c r="G53" s="193" t="s">
        <v>2471</v>
      </c>
      <c r="H53" s="138" t="s">
        <v>1132</v>
      </c>
      <c r="I53" s="156"/>
      <c r="J53" s="107"/>
      <c r="K53" s="138"/>
      <c r="L53" s="282"/>
      <c r="M53" s="363"/>
      <c r="N53" s="363"/>
      <c r="O53" s="145">
        <v>0.0</v>
      </c>
      <c r="P53" s="145">
        <v>1.0</v>
      </c>
      <c r="Q53" s="145">
        <v>1.0</v>
      </c>
      <c r="R53" s="106"/>
      <c r="S53" s="168"/>
      <c r="T53" s="168"/>
      <c r="U53" s="168"/>
      <c r="V53" s="107"/>
    </row>
    <row r="54" outlineLevel="1">
      <c r="A54" s="188" t="s">
        <v>162</v>
      </c>
      <c r="B54" s="373"/>
      <c r="C54" s="239" t="s">
        <v>627</v>
      </c>
      <c r="D54" s="455" t="s">
        <v>111</v>
      </c>
      <c r="E54" s="239" t="s">
        <v>119</v>
      </c>
      <c r="F54" s="193">
        <v>16.8</v>
      </c>
      <c r="G54" s="193">
        <v>14.280000000000001</v>
      </c>
      <c r="H54" s="138" t="s">
        <v>75</v>
      </c>
      <c r="I54" s="454" t="str">
        <f t="array" ref="I54">INDEX('空中攻撃'!$O$3:$AA$109, MATCH($A$1,'空中攻撃'!$A$3:$A$109,0), MATCH(A54,'空中攻撃'!$O$2:$S$2,0))</f>
        <v>15</v>
      </c>
      <c r="J54" s="455" t="s">
        <v>1226</v>
      </c>
      <c r="K54" s="282"/>
      <c r="L54" s="282"/>
      <c r="M54" s="363"/>
      <c r="N54" s="363"/>
      <c r="O54" s="145">
        <v>0.0</v>
      </c>
      <c r="P54" s="145">
        <v>1.0</v>
      </c>
      <c r="Q54" s="145">
        <v>1.0</v>
      </c>
      <c r="R54" s="619"/>
      <c r="S54" s="164"/>
      <c r="T54" s="164"/>
      <c r="U54" s="164"/>
      <c r="V54" s="104"/>
    </row>
    <row r="55" outlineLevel="1">
      <c r="A55" s="156"/>
      <c r="B55" s="373" t="s">
        <v>84</v>
      </c>
      <c r="C55" s="239" t="s">
        <v>2472</v>
      </c>
      <c r="D55" s="107"/>
      <c r="E55" s="239" t="s">
        <v>128</v>
      </c>
      <c r="F55" s="193">
        <v>12.0</v>
      </c>
      <c r="G55" s="193">
        <v>10.2</v>
      </c>
      <c r="H55" s="138" t="s">
        <v>147</v>
      </c>
      <c r="I55" s="156"/>
      <c r="J55" s="107"/>
      <c r="K55" s="282"/>
      <c r="L55" s="282"/>
      <c r="M55" s="363"/>
      <c r="N55" s="363"/>
      <c r="O55" s="145">
        <v>0.0</v>
      </c>
      <c r="P55" s="145">
        <v>1.0</v>
      </c>
      <c r="Q55" s="145">
        <v>1.0</v>
      </c>
      <c r="R55" s="106"/>
      <c r="S55" s="168"/>
      <c r="T55" s="168"/>
      <c r="U55" s="168"/>
      <c r="V55" s="107"/>
    </row>
    <row r="56" outlineLevel="1">
      <c r="A56" s="188" t="s">
        <v>166</v>
      </c>
      <c r="B56" s="373" t="s">
        <v>125</v>
      </c>
      <c r="C56" s="239" t="s">
        <v>71</v>
      </c>
      <c r="D56" s="455" t="s">
        <v>462</v>
      </c>
      <c r="E56" s="239" t="s">
        <v>73</v>
      </c>
      <c r="F56" s="193">
        <v>4.8</v>
      </c>
      <c r="G56" s="193">
        <v>4.08</v>
      </c>
      <c r="H56" s="138" t="s">
        <v>60</v>
      </c>
      <c r="I56" s="452">
        <f t="array" ref="I56">INDEX('空中攻撃'!$O$3:$AB$109, MATCH($A$1,'空中攻撃'!$A$3:$A$109,0), MATCH(A56,'空中攻撃'!$O$2:$S$2,0))</f>
        <v>20</v>
      </c>
      <c r="J56" s="455" t="s">
        <v>2473</v>
      </c>
      <c r="K56" s="282"/>
      <c r="L56" s="282"/>
      <c r="M56" s="363"/>
      <c r="N56" s="363"/>
      <c r="O56" s="145">
        <v>0.0</v>
      </c>
      <c r="P56" s="145">
        <v>1.0</v>
      </c>
      <c r="Q56" s="145">
        <v>1.0</v>
      </c>
      <c r="R56" s="163"/>
      <c r="S56" s="164"/>
      <c r="T56" s="164"/>
      <c r="U56" s="164"/>
      <c r="V56" s="104"/>
    </row>
    <row r="57" outlineLevel="1">
      <c r="A57" s="146"/>
      <c r="B57" s="373" t="s">
        <v>131</v>
      </c>
      <c r="C57" s="239" t="s">
        <v>223</v>
      </c>
      <c r="D57" s="210"/>
      <c r="E57" s="239" t="s">
        <v>204</v>
      </c>
      <c r="F57" s="193">
        <v>3.5999999999999996</v>
      </c>
      <c r="G57" s="193">
        <v>3.06</v>
      </c>
      <c r="H57" s="138" t="s">
        <v>170</v>
      </c>
      <c r="I57" s="210"/>
      <c r="J57" s="210"/>
      <c r="K57" s="282"/>
      <c r="L57" s="282"/>
      <c r="M57" s="363"/>
      <c r="N57" s="363"/>
      <c r="O57" s="145"/>
      <c r="P57" s="145"/>
      <c r="Q57" s="145"/>
      <c r="R57" s="212"/>
      <c r="V57" s="210"/>
    </row>
    <row r="58" outlineLevel="1">
      <c r="A58" s="146"/>
      <c r="B58" s="373" t="s">
        <v>434</v>
      </c>
      <c r="C58" s="239" t="s">
        <v>203</v>
      </c>
      <c r="D58" s="210"/>
      <c r="E58" s="239" t="s">
        <v>204</v>
      </c>
      <c r="F58" s="193">
        <v>3.5999999999999996</v>
      </c>
      <c r="G58" s="193">
        <v>3.06</v>
      </c>
      <c r="H58" s="138" t="s">
        <v>170</v>
      </c>
      <c r="I58" s="210"/>
      <c r="J58" s="210"/>
      <c r="K58" s="282"/>
      <c r="L58" s="282"/>
      <c r="M58" s="363"/>
      <c r="N58" s="363"/>
      <c r="O58" s="145"/>
      <c r="P58" s="145"/>
      <c r="Q58" s="145"/>
      <c r="R58" s="212"/>
      <c r="V58" s="210"/>
    </row>
    <row r="59" outlineLevel="1">
      <c r="A59" s="156"/>
      <c r="B59" s="373" t="s">
        <v>520</v>
      </c>
      <c r="C59" s="239" t="s">
        <v>610</v>
      </c>
      <c r="D59" s="107"/>
      <c r="E59" s="239" t="s">
        <v>128</v>
      </c>
      <c r="F59" s="193">
        <v>12.0</v>
      </c>
      <c r="G59" s="193">
        <v>10.2</v>
      </c>
      <c r="H59" s="138" t="s">
        <v>147</v>
      </c>
      <c r="I59" s="107"/>
      <c r="J59" s="107"/>
      <c r="K59" s="282"/>
      <c r="L59" s="282"/>
      <c r="M59" s="363"/>
      <c r="N59" s="363"/>
      <c r="O59" s="145">
        <v>0.0</v>
      </c>
      <c r="P59" s="145">
        <v>1.0</v>
      </c>
      <c r="Q59" s="145">
        <v>1.0</v>
      </c>
      <c r="R59" s="106"/>
      <c r="S59" s="168"/>
      <c r="T59" s="168"/>
      <c r="U59" s="168"/>
      <c r="V59" s="107"/>
    </row>
    <row r="60">
      <c r="A60" s="223"/>
      <c r="B60" s="224"/>
      <c r="C60" s="225"/>
      <c r="D60" s="225"/>
      <c r="E60" s="226"/>
      <c r="F60" s="226"/>
      <c r="G60" s="226"/>
      <c r="H60" s="227"/>
      <c r="I60" s="227"/>
      <c r="J60" s="228"/>
      <c r="K60" s="228"/>
      <c r="L60" s="228"/>
      <c r="M60" s="228"/>
      <c r="N60" s="228"/>
      <c r="O60" s="228"/>
      <c r="P60" s="228"/>
      <c r="Q60" s="118"/>
      <c r="R60" s="118"/>
      <c r="S60" s="118"/>
      <c r="T60" s="118"/>
      <c r="U60" s="118"/>
      <c r="V60" s="118"/>
    </row>
    <row r="61">
      <c r="A61" s="229" t="s">
        <v>177</v>
      </c>
      <c r="B61" s="109"/>
      <c r="C61" s="225"/>
      <c r="D61" s="225"/>
      <c r="E61" s="226"/>
      <c r="F61" s="226"/>
      <c r="G61" s="226"/>
      <c r="H61" s="227"/>
      <c r="I61" s="227"/>
      <c r="J61" s="228"/>
      <c r="K61" s="228"/>
      <c r="L61" s="228"/>
      <c r="M61" s="228"/>
      <c r="N61" s="228"/>
      <c r="O61" s="228"/>
      <c r="P61" s="228"/>
      <c r="Q61" s="118"/>
      <c r="R61" s="118"/>
      <c r="S61" s="118"/>
      <c r="T61" s="118"/>
      <c r="U61" s="118"/>
      <c r="V61" s="118"/>
    </row>
    <row r="62" outlineLevel="1">
      <c r="A62" s="230" t="s">
        <v>2474</v>
      </c>
      <c r="B62" s="109"/>
      <c r="C62" s="231" t="s">
        <v>48</v>
      </c>
      <c r="D62" s="231" t="s">
        <v>49</v>
      </c>
      <c r="E62" s="232" t="s">
        <v>50</v>
      </c>
      <c r="F62" s="233" t="s">
        <v>51</v>
      </c>
      <c r="G62" s="232" t="s">
        <v>52</v>
      </c>
      <c r="H62" s="382"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236" t="s">
        <v>183</v>
      </c>
    </row>
    <row r="63" outlineLevel="1">
      <c r="A63" s="237" t="s">
        <v>184</v>
      </c>
      <c r="B63" s="243" t="s">
        <v>2475</v>
      </c>
      <c r="C63" s="239" t="s">
        <v>1262</v>
      </c>
      <c r="D63" s="239" t="s">
        <v>2476</v>
      </c>
      <c r="E63" s="281"/>
      <c r="F63" s="281"/>
      <c r="G63" s="281"/>
      <c r="H63" s="163" t="s">
        <v>2477</v>
      </c>
      <c r="I63" s="164"/>
      <c r="J63" s="104"/>
      <c r="K63" s="281"/>
      <c r="L63" s="281"/>
      <c r="M63" s="281"/>
      <c r="N63" s="281"/>
      <c r="O63" s="281"/>
      <c r="P63" s="281"/>
      <c r="Q63" s="281"/>
      <c r="R63" s="281"/>
      <c r="S63" s="281"/>
      <c r="T63" s="281"/>
      <c r="U63" s="166" t="s">
        <v>186</v>
      </c>
      <c r="V63" s="166" t="b">
        <v>1</v>
      </c>
    </row>
    <row r="64" outlineLevel="1">
      <c r="A64" s="146"/>
      <c r="B64" s="663" t="s">
        <v>1482</v>
      </c>
      <c r="C64" s="281"/>
      <c r="D64" s="239" t="s">
        <v>105</v>
      </c>
      <c r="E64" s="281"/>
      <c r="F64" s="281"/>
      <c r="G64" s="281"/>
      <c r="H64" s="212"/>
      <c r="J64" s="210"/>
      <c r="K64" s="281"/>
      <c r="L64" s="281"/>
      <c r="M64" s="281"/>
      <c r="N64" s="281"/>
      <c r="O64" s="281"/>
      <c r="P64" s="281"/>
      <c r="Q64" s="281"/>
      <c r="R64" s="281"/>
      <c r="S64" s="281"/>
      <c r="T64" s="281"/>
      <c r="U64" s="146"/>
      <c r="V64" s="146"/>
    </row>
    <row r="65" outlineLevel="1">
      <c r="A65" s="146"/>
      <c r="B65" s="663" t="s">
        <v>2478</v>
      </c>
      <c r="C65" s="239" t="s">
        <v>2479</v>
      </c>
      <c r="D65" s="239" t="s">
        <v>105</v>
      </c>
      <c r="E65" s="281"/>
      <c r="F65" s="281"/>
      <c r="G65" s="281"/>
      <c r="H65" s="212"/>
      <c r="J65" s="210"/>
      <c r="K65" s="281"/>
      <c r="L65" s="281"/>
      <c r="M65" s="281"/>
      <c r="N65" s="281"/>
      <c r="O65" s="281"/>
      <c r="P65" s="281"/>
      <c r="Q65" s="281"/>
      <c r="R65" s="281"/>
      <c r="S65" s="281"/>
      <c r="T65" s="281"/>
      <c r="U65" s="146"/>
      <c r="V65" s="146"/>
    </row>
    <row r="66" outlineLevel="1">
      <c r="A66" s="146"/>
      <c r="B66" s="663" t="s">
        <v>2480</v>
      </c>
      <c r="C66" s="239" t="s">
        <v>2481</v>
      </c>
      <c r="D66" s="239" t="s">
        <v>92</v>
      </c>
      <c r="E66" s="281"/>
      <c r="F66" s="281"/>
      <c r="G66" s="281"/>
      <c r="H66" s="212"/>
      <c r="J66" s="210"/>
      <c r="K66" s="281"/>
      <c r="L66" s="281"/>
      <c r="M66" s="281"/>
      <c r="N66" s="281"/>
      <c r="O66" s="281"/>
      <c r="P66" s="281"/>
      <c r="Q66" s="281"/>
      <c r="R66" s="281"/>
      <c r="S66" s="281"/>
      <c r="T66" s="281"/>
      <c r="U66" s="146"/>
      <c r="V66" s="146"/>
    </row>
    <row r="67" outlineLevel="1">
      <c r="A67" s="146"/>
      <c r="B67" s="663" t="s">
        <v>2482</v>
      </c>
      <c r="C67" s="239" t="s">
        <v>2483</v>
      </c>
      <c r="D67" s="239" t="s">
        <v>271</v>
      </c>
      <c r="E67" s="281"/>
      <c r="F67" s="281"/>
      <c r="G67" s="281"/>
      <c r="H67" s="212"/>
      <c r="J67" s="210"/>
      <c r="K67" s="281"/>
      <c r="L67" s="281"/>
      <c r="M67" s="281"/>
      <c r="N67" s="281"/>
      <c r="O67" s="281"/>
      <c r="P67" s="281"/>
      <c r="Q67" s="281"/>
      <c r="R67" s="281"/>
      <c r="S67" s="281"/>
      <c r="T67" s="281"/>
      <c r="U67" s="146"/>
      <c r="V67" s="146"/>
    </row>
    <row r="68" outlineLevel="1">
      <c r="A68" s="146"/>
      <c r="B68" s="663" t="s">
        <v>2484</v>
      </c>
      <c r="C68" s="239" t="s">
        <v>2485</v>
      </c>
      <c r="D68" s="281"/>
      <c r="E68" s="239" t="s">
        <v>2486</v>
      </c>
      <c r="F68" s="138" t="s">
        <v>2487</v>
      </c>
      <c r="G68" s="139" t="s">
        <v>1483</v>
      </c>
      <c r="H68" s="212"/>
      <c r="J68" s="210"/>
      <c r="K68" s="282"/>
      <c r="L68" s="282"/>
      <c r="M68" s="363"/>
      <c r="N68" s="363"/>
      <c r="O68" s="138"/>
      <c r="P68" s="138"/>
      <c r="Q68" s="138"/>
      <c r="R68" s="145" t="b">
        <v>0</v>
      </c>
      <c r="S68" s="145" t="b">
        <v>0</v>
      </c>
      <c r="T68" s="145" t="b">
        <v>1</v>
      </c>
      <c r="U68" s="146"/>
      <c r="V68" s="146"/>
    </row>
    <row r="69" outlineLevel="1">
      <c r="A69" s="146"/>
      <c r="B69" s="663" t="s">
        <v>2488</v>
      </c>
      <c r="C69" s="239" t="s">
        <v>175</v>
      </c>
      <c r="D69" s="281"/>
      <c r="E69" s="239" t="s">
        <v>2489</v>
      </c>
      <c r="F69" s="138" t="s">
        <v>2490</v>
      </c>
      <c r="G69" s="139" t="s">
        <v>759</v>
      </c>
      <c r="H69" s="106"/>
      <c r="I69" s="168"/>
      <c r="J69" s="107"/>
      <c r="K69" s="282"/>
      <c r="L69" s="282"/>
      <c r="M69" s="363"/>
      <c r="N69" s="363"/>
      <c r="O69" s="138">
        <v>0.0</v>
      </c>
      <c r="P69" s="138">
        <v>1.0</v>
      </c>
      <c r="Q69" s="138">
        <v>1.0</v>
      </c>
      <c r="R69" s="145" t="b">
        <v>0</v>
      </c>
      <c r="S69" s="145" t="b">
        <v>0</v>
      </c>
      <c r="T69" s="145" t="b">
        <v>1</v>
      </c>
      <c r="U69" s="156"/>
      <c r="V69" s="156"/>
    </row>
    <row r="70" outlineLevel="1">
      <c r="A70" s="230" t="s">
        <v>2491</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236" t="s">
        <v>183</v>
      </c>
    </row>
    <row r="71" ht="24.75" customHeight="1" outlineLevel="1">
      <c r="A71" s="237" t="s">
        <v>184</v>
      </c>
      <c r="B71" s="243" t="s">
        <v>2492</v>
      </c>
      <c r="C71" s="239" t="s">
        <v>2493</v>
      </c>
      <c r="D71" s="281"/>
      <c r="E71" s="239" t="s">
        <v>93</v>
      </c>
      <c r="F71" s="138">
        <v>8.4</v>
      </c>
      <c r="G71" s="139" t="s">
        <v>60</v>
      </c>
      <c r="H71" s="163" t="s">
        <v>2494</v>
      </c>
      <c r="I71" s="164"/>
      <c r="J71" s="104"/>
      <c r="K71" s="282"/>
      <c r="L71" s="282"/>
      <c r="M71" s="363"/>
      <c r="N71" s="363"/>
      <c r="O71" s="138">
        <v>0.0</v>
      </c>
      <c r="P71" s="138">
        <v>1.0</v>
      </c>
      <c r="Q71" s="138">
        <v>1.0</v>
      </c>
      <c r="R71" s="145" t="b">
        <v>1</v>
      </c>
      <c r="S71" s="145" t="b">
        <v>0</v>
      </c>
      <c r="T71" s="145" t="b">
        <v>1</v>
      </c>
      <c r="U71" s="166" t="s">
        <v>186</v>
      </c>
      <c r="V71" s="166" t="b">
        <v>1</v>
      </c>
    </row>
    <row r="72" ht="24.75" customHeight="1" outlineLevel="1">
      <c r="A72" s="146"/>
      <c r="B72" s="243" t="s">
        <v>2495</v>
      </c>
      <c r="C72" s="239" t="s">
        <v>2496</v>
      </c>
      <c r="D72" s="281"/>
      <c r="E72" s="239" t="s">
        <v>119</v>
      </c>
      <c r="F72" s="138">
        <v>16.8</v>
      </c>
      <c r="G72" s="139" t="s">
        <v>75</v>
      </c>
      <c r="H72" s="212"/>
      <c r="J72" s="210"/>
      <c r="K72" s="138"/>
      <c r="L72" s="138"/>
      <c r="M72" s="145"/>
      <c r="N72" s="145"/>
      <c r="O72" s="138"/>
      <c r="P72" s="138"/>
      <c r="Q72" s="138"/>
      <c r="R72" s="145" t="b">
        <v>1</v>
      </c>
      <c r="S72" s="145" t="b">
        <v>0</v>
      </c>
      <c r="T72" s="145" t="b">
        <v>1</v>
      </c>
      <c r="U72" s="146"/>
      <c r="V72" s="146"/>
    </row>
    <row r="73" ht="24.75" customHeight="1" outlineLevel="1">
      <c r="A73" s="146"/>
      <c r="B73" s="243" t="s">
        <v>2497</v>
      </c>
      <c r="C73" s="281"/>
      <c r="D73" s="281"/>
      <c r="E73" s="239" t="s">
        <v>93</v>
      </c>
      <c r="F73" s="138">
        <v>8.4</v>
      </c>
      <c r="G73" s="139" t="s">
        <v>60</v>
      </c>
      <c r="H73" s="212"/>
      <c r="J73" s="210"/>
      <c r="K73" s="138"/>
      <c r="L73" s="138"/>
      <c r="M73" s="145"/>
      <c r="N73" s="145"/>
      <c r="O73" s="138"/>
      <c r="P73" s="138"/>
      <c r="Q73" s="138"/>
      <c r="R73" s="145" t="b">
        <v>1</v>
      </c>
      <c r="S73" s="145" t="b">
        <v>0</v>
      </c>
      <c r="T73" s="145" t="b">
        <v>1</v>
      </c>
      <c r="U73" s="146"/>
      <c r="V73" s="146"/>
    </row>
    <row r="74" ht="24.75" customHeight="1" outlineLevel="1">
      <c r="A74" s="146"/>
      <c r="B74" s="243" t="s">
        <v>2498</v>
      </c>
      <c r="C74" s="281"/>
      <c r="D74" s="239" t="s">
        <v>105</v>
      </c>
      <c r="E74" s="281"/>
      <c r="F74" s="281"/>
      <c r="G74" s="281"/>
      <c r="H74" s="106"/>
      <c r="I74" s="168"/>
      <c r="J74" s="107"/>
      <c r="K74" s="281"/>
      <c r="L74" s="281"/>
      <c r="M74" s="281"/>
      <c r="N74" s="281"/>
      <c r="O74" s="281"/>
      <c r="P74" s="281"/>
      <c r="Q74" s="281"/>
      <c r="R74" s="281"/>
      <c r="S74" s="281"/>
      <c r="T74" s="281"/>
      <c r="U74" s="156"/>
      <c r="V74" s="156"/>
    </row>
    <row r="75" outlineLevel="1">
      <c r="A75" s="230" t="s">
        <v>2499</v>
      </c>
      <c r="B75" s="109"/>
      <c r="C75" s="231" t="s">
        <v>48</v>
      </c>
      <c r="D75" s="231" t="s">
        <v>49</v>
      </c>
      <c r="E75" s="232" t="s">
        <v>50</v>
      </c>
      <c r="F75" s="233" t="s">
        <v>51</v>
      </c>
      <c r="G75" s="232" t="s">
        <v>52</v>
      </c>
      <c r="H75" s="382" t="s">
        <v>53</v>
      </c>
      <c r="I75" s="110"/>
      <c r="J75" s="109"/>
      <c r="K75" s="235" t="s">
        <v>137</v>
      </c>
      <c r="L75" s="235" t="s">
        <v>138</v>
      </c>
      <c r="M75" s="235" t="s">
        <v>139</v>
      </c>
      <c r="N75" s="235" t="s">
        <v>140</v>
      </c>
      <c r="O75" s="236" t="s">
        <v>141</v>
      </c>
      <c r="P75" s="235" t="s">
        <v>142</v>
      </c>
      <c r="Q75" s="236" t="s">
        <v>143</v>
      </c>
      <c r="R75" s="235" t="s">
        <v>179</v>
      </c>
      <c r="S75" s="236" t="s">
        <v>180</v>
      </c>
      <c r="T75" s="236" t="s">
        <v>181</v>
      </c>
      <c r="U75" s="236" t="s">
        <v>182</v>
      </c>
      <c r="V75" s="236" t="s">
        <v>183</v>
      </c>
    </row>
    <row r="76" outlineLevel="1">
      <c r="A76" s="1202" t="s">
        <v>184</v>
      </c>
      <c r="B76" s="402" t="s">
        <v>2500</v>
      </c>
      <c r="C76" s="239" t="s">
        <v>2501</v>
      </c>
      <c r="D76" s="281"/>
      <c r="E76" s="239" t="s">
        <v>86</v>
      </c>
      <c r="F76" s="138">
        <v>7.199999999999999</v>
      </c>
      <c r="G76" s="139" t="s">
        <v>60</v>
      </c>
      <c r="H76" s="151" t="s">
        <v>2502</v>
      </c>
      <c r="I76" s="110"/>
      <c r="J76" s="109"/>
      <c r="K76" s="138"/>
      <c r="L76" s="138"/>
      <c r="M76" s="145"/>
      <c r="N76" s="145"/>
      <c r="O76" s="138">
        <v>0.0</v>
      </c>
      <c r="P76" s="138">
        <v>1.0</v>
      </c>
      <c r="Q76" s="138">
        <v>1.0</v>
      </c>
      <c r="R76" s="145" t="b">
        <v>1</v>
      </c>
      <c r="S76" s="145" t="b">
        <v>0</v>
      </c>
      <c r="T76" s="145" t="b">
        <v>1</v>
      </c>
      <c r="U76" s="145" t="b">
        <v>0</v>
      </c>
      <c r="V76" s="145" t="b">
        <v>0</v>
      </c>
    </row>
    <row r="77" outlineLevel="1">
      <c r="A77" s="230" t="s">
        <v>2503</v>
      </c>
      <c r="B77" s="109"/>
      <c r="C77" s="231" t="s">
        <v>48</v>
      </c>
      <c r="D77" s="231" t="s">
        <v>49</v>
      </c>
      <c r="E77" s="232" t="s">
        <v>50</v>
      </c>
      <c r="F77" s="233" t="s">
        <v>51</v>
      </c>
      <c r="G77" s="232" t="s">
        <v>52</v>
      </c>
      <c r="H77" s="382" t="s">
        <v>53</v>
      </c>
      <c r="I77" s="110"/>
      <c r="J77" s="109"/>
      <c r="K77" s="235" t="s">
        <v>137</v>
      </c>
      <c r="L77" s="235" t="s">
        <v>138</v>
      </c>
      <c r="M77" s="235" t="s">
        <v>139</v>
      </c>
      <c r="N77" s="235" t="s">
        <v>140</v>
      </c>
      <c r="O77" s="236" t="s">
        <v>141</v>
      </c>
      <c r="P77" s="235" t="s">
        <v>142</v>
      </c>
      <c r="Q77" s="236" t="s">
        <v>143</v>
      </c>
      <c r="R77" s="235" t="s">
        <v>179</v>
      </c>
      <c r="S77" s="236" t="s">
        <v>180</v>
      </c>
      <c r="T77" s="236" t="s">
        <v>181</v>
      </c>
      <c r="U77" s="236" t="s">
        <v>182</v>
      </c>
      <c r="V77" s="236" t="s">
        <v>183</v>
      </c>
    </row>
    <row r="78" outlineLevel="1">
      <c r="A78" s="396" t="s">
        <v>332</v>
      </c>
      <c r="B78" s="402" t="s">
        <v>2504</v>
      </c>
      <c r="C78" s="239" t="s">
        <v>2505</v>
      </c>
      <c r="D78" s="239" t="s">
        <v>127</v>
      </c>
      <c r="E78" s="281"/>
      <c r="F78" s="281"/>
      <c r="G78" s="281"/>
      <c r="H78" s="163" t="s">
        <v>2506</v>
      </c>
      <c r="I78" s="164"/>
      <c r="J78" s="104"/>
      <c r="K78" s="281"/>
      <c r="L78" s="281"/>
      <c r="M78" s="281"/>
      <c r="N78" s="281"/>
      <c r="O78" s="281"/>
      <c r="P78" s="281"/>
      <c r="Q78" s="281"/>
      <c r="R78" s="281"/>
      <c r="S78" s="281"/>
      <c r="T78" s="281"/>
      <c r="U78" s="166"/>
      <c r="V78" s="166" t="b">
        <v>1</v>
      </c>
    </row>
    <row r="79" outlineLevel="1">
      <c r="A79" s="146"/>
      <c r="B79" s="402" t="s">
        <v>2507</v>
      </c>
      <c r="C79" s="239" t="s">
        <v>2508</v>
      </c>
      <c r="D79" s="239" t="s">
        <v>72</v>
      </c>
      <c r="E79" s="281"/>
      <c r="F79" s="281"/>
      <c r="G79" s="281"/>
      <c r="H79" s="212"/>
      <c r="J79" s="210"/>
      <c r="K79" s="281"/>
      <c r="L79" s="281"/>
      <c r="M79" s="281"/>
      <c r="N79" s="281"/>
      <c r="O79" s="281"/>
      <c r="P79" s="281"/>
      <c r="Q79" s="281"/>
      <c r="R79" s="281"/>
      <c r="S79" s="281"/>
      <c r="T79" s="281"/>
      <c r="U79" s="146"/>
      <c r="V79" s="146"/>
    </row>
    <row r="80" outlineLevel="1">
      <c r="A80" s="146"/>
      <c r="B80" s="402" t="s">
        <v>2509</v>
      </c>
      <c r="C80" s="239" t="s">
        <v>2510</v>
      </c>
      <c r="D80" s="239" t="s">
        <v>268</v>
      </c>
      <c r="E80" s="281"/>
      <c r="F80" s="281"/>
      <c r="G80" s="281"/>
      <c r="H80" s="212"/>
      <c r="J80" s="210"/>
      <c r="K80" s="281"/>
      <c r="L80" s="281"/>
      <c r="M80" s="281"/>
      <c r="N80" s="281"/>
      <c r="O80" s="281"/>
      <c r="P80" s="281"/>
      <c r="Q80" s="281"/>
      <c r="R80" s="281"/>
      <c r="S80" s="281"/>
      <c r="T80" s="281"/>
      <c r="U80" s="146"/>
      <c r="V80" s="146"/>
    </row>
    <row r="81" outlineLevel="1">
      <c r="A81" s="146"/>
      <c r="B81" s="402" t="s">
        <v>2511</v>
      </c>
      <c r="C81" s="239" t="s">
        <v>2510</v>
      </c>
      <c r="D81" s="239" t="s">
        <v>268</v>
      </c>
      <c r="E81" s="281"/>
      <c r="F81" s="281"/>
      <c r="G81" s="281"/>
      <c r="H81" s="212"/>
      <c r="J81" s="210"/>
      <c r="K81" s="138"/>
      <c r="L81" s="138"/>
      <c r="M81" s="145"/>
      <c r="N81" s="145"/>
      <c r="O81" s="138"/>
      <c r="P81" s="138"/>
      <c r="Q81" s="138"/>
      <c r="R81" s="145" t="b">
        <v>0</v>
      </c>
      <c r="S81" s="145" t="b">
        <v>0</v>
      </c>
      <c r="T81" s="145" t="b">
        <v>0</v>
      </c>
      <c r="U81" s="156"/>
      <c r="V81" s="156"/>
    </row>
    <row r="82" outlineLevel="1">
      <c r="A82" s="146"/>
      <c r="B82" s="402" t="s">
        <v>533</v>
      </c>
      <c r="C82" s="281"/>
      <c r="D82" s="239" t="s">
        <v>964</v>
      </c>
      <c r="E82" s="281"/>
      <c r="F82" s="281"/>
      <c r="G82" s="281"/>
      <c r="H82" s="212"/>
      <c r="J82" s="210"/>
      <c r="K82" s="138"/>
      <c r="L82" s="138"/>
      <c r="M82" s="145"/>
      <c r="N82" s="145"/>
      <c r="O82" s="138"/>
      <c r="P82" s="138"/>
      <c r="Q82" s="138"/>
      <c r="R82" s="145" t="b">
        <v>0</v>
      </c>
      <c r="S82" s="145" t="b">
        <v>0</v>
      </c>
      <c r="T82" s="145" t="b">
        <v>1</v>
      </c>
      <c r="U82" s="166"/>
      <c r="V82" s="166"/>
    </row>
    <row r="83" outlineLevel="1">
      <c r="A83" s="156"/>
      <c r="B83" s="402" t="s">
        <v>2512</v>
      </c>
      <c r="C83" s="281"/>
      <c r="D83" s="239" t="s">
        <v>193</v>
      </c>
      <c r="E83" s="281"/>
      <c r="F83" s="281"/>
      <c r="G83" s="281"/>
      <c r="H83" s="212"/>
      <c r="J83" s="210"/>
      <c r="K83" s="138"/>
      <c r="L83" s="138"/>
      <c r="M83" s="145"/>
      <c r="N83" s="145"/>
      <c r="O83" s="138">
        <v>0.0</v>
      </c>
      <c r="P83" s="138">
        <v>1.0</v>
      </c>
      <c r="Q83" s="138">
        <v>1.0</v>
      </c>
      <c r="R83" s="145" t="b">
        <v>0</v>
      </c>
      <c r="S83" s="145" t="b">
        <v>0</v>
      </c>
      <c r="T83" s="145" t="b">
        <v>1</v>
      </c>
      <c r="U83" s="156"/>
      <c r="V83" s="156"/>
    </row>
    <row r="84" outlineLevel="1">
      <c r="A84" s="474" t="s">
        <v>344</v>
      </c>
      <c r="B84" s="624" t="s">
        <v>2504</v>
      </c>
      <c r="C84" s="239" t="s">
        <v>2508</v>
      </c>
      <c r="D84" s="239" t="s">
        <v>964</v>
      </c>
      <c r="E84" s="281"/>
      <c r="F84" s="281"/>
      <c r="G84" s="281"/>
      <c r="H84" s="212"/>
      <c r="J84" s="210"/>
      <c r="K84" s="281"/>
      <c r="L84" s="281"/>
      <c r="M84" s="281"/>
      <c r="N84" s="281"/>
      <c r="O84" s="281"/>
      <c r="P84" s="281"/>
      <c r="Q84" s="281"/>
      <c r="R84" s="281"/>
      <c r="S84" s="281"/>
      <c r="T84" s="281"/>
      <c r="U84" s="166" t="s">
        <v>186</v>
      </c>
      <c r="V84" s="166" t="b">
        <v>1</v>
      </c>
    </row>
    <row r="85" outlineLevel="1">
      <c r="A85" s="146"/>
      <c r="B85" s="624" t="s">
        <v>2509</v>
      </c>
      <c r="C85" s="239" t="s">
        <v>2510</v>
      </c>
      <c r="D85" s="239" t="s">
        <v>964</v>
      </c>
      <c r="E85" s="281"/>
      <c r="F85" s="281"/>
      <c r="G85" s="281"/>
      <c r="H85" s="212"/>
      <c r="J85" s="210"/>
      <c r="K85" s="281"/>
      <c r="L85" s="281"/>
      <c r="M85" s="281"/>
      <c r="N85" s="281"/>
      <c r="O85" s="281"/>
      <c r="P85" s="281"/>
      <c r="Q85" s="281"/>
      <c r="R85" s="281"/>
      <c r="S85" s="281"/>
      <c r="T85" s="281"/>
      <c r="U85" s="146"/>
      <c r="V85" s="146"/>
    </row>
    <row r="86" outlineLevel="1">
      <c r="A86" s="146"/>
      <c r="B86" s="624" t="s">
        <v>2511</v>
      </c>
      <c r="C86" s="239" t="s">
        <v>2510</v>
      </c>
      <c r="D86" s="239" t="s">
        <v>268</v>
      </c>
      <c r="E86" s="281"/>
      <c r="F86" s="281"/>
      <c r="G86" s="281"/>
      <c r="H86" s="212"/>
      <c r="J86" s="210"/>
      <c r="K86" s="138"/>
      <c r="L86" s="282"/>
      <c r="M86" s="363"/>
      <c r="N86" s="363"/>
      <c r="O86" s="138"/>
      <c r="P86" s="138"/>
      <c r="Q86" s="138"/>
      <c r="R86" s="145" t="b">
        <v>0</v>
      </c>
      <c r="S86" s="145" t="b">
        <v>0</v>
      </c>
      <c r="T86" s="145" t="b">
        <v>0</v>
      </c>
      <c r="U86" s="156"/>
      <c r="V86" s="156"/>
    </row>
    <row r="87" outlineLevel="1">
      <c r="A87" s="156"/>
      <c r="B87" s="624" t="s">
        <v>533</v>
      </c>
      <c r="C87" s="281"/>
      <c r="D87" s="239" t="s">
        <v>964</v>
      </c>
      <c r="E87" s="281"/>
      <c r="F87" s="281"/>
      <c r="G87" s="281"/>
      <c r="H87" s="212"/>
      <c r="J87" s="210"/>
      <c r="K87" s="138"/>
      <c r="L87" s="282"/>
      <c r="M87" s="363"/>
      <c r="N87" s="363"/>
      <c r="O87" s="138"/>
      <c r="P87" s="138"/>
      <c r="Q87" s="138"/>
      <c r="R87" s="145" t="b">
        <v>0</v>
      </c>
      <c r="S87" s="145" t="b">
        <v>0</v>
      </c>
      <c r="T87" s="145" t="b">
        <v>0</v>
      </c>
      <c r="U87" s="145" t="b">
        <v>0</v>
      </c>
      <c r="V87" s="145" t="b">
        <v>0</v>
      </c>
    </row>
    <row r="88" outlineLevel="1">
      <c r="A88" s="237" t="s">
        <v>2513</v>
      </c>
      <c r="B88" s="624" t="s">
        <v>332</v>
      </c>
      <c r="C88" s="239" t="s">
        <v>739</v>
      </c>
      <c r="D88" s="250"/>
      <c r="E88" s="367" t="s">
        <v>394</v>
      </c>
      <c r="F88" s="394">
        <v>20.4</v>
      </c>
      <c r="G88" s="901" t="s">
        <v>1187</v>
      </c>
      <c r="H88" s="212"/>
      <c r="J88" s="210"/>
      <c r="K88" s="138"/>
      <c r="L88" s="282"/>
      <c r="M88" s="363"/>
      <c r="N88" s="363"/>
      <c r="O88" s="138"/>
      <c r="P88" s="138"/>
      <c r="Q88" s="138"/>
      <c r="R88" s="145" t="b">
        <v>0</v>
      </c>
      <c r="S88" s="145" t="b">
        <v>0</v>
      </c>
      <c r="T88" s="145" t="b">
        <v>0</v>
      </c>
      <c r="U88" s="250"/>
      <c r="V88" s="250"/>
    </row>
    <row r="89" outlineLevel="1">
      <c r="A89" s="146"/>
      <c r="B89" s="624" t="s">
        <v>344</v>
      </c>
      <c r="C89" s="365" t="s">
        <v>610</v>
      </c>
      <c r="D89" s="146"/>
      <c r="E89" s="146"/>
      <c r="F89" s="146"/>
      <c r="G89" s="146"/>
      <c r="H89" s="212"/>
      <c r="J89" s="210"/>
      <c r="K89" s="138"/>
      <c r="L89" s="282"/>
      <c r="M89" s="363"/>
      <c r="N89" s="363"/>
      <c r="O89" s="138"/>
      <c r="P89" s="138"/>
      <c r="Q89" s="138"/>
      <c r="R89" s="145" t="b">
        <v>0</v>
      </c>
      <c r="S89" s="145" t="b">
        <v>0</v>
      </c>
      <c r="T89" s="145" t="b">
        <v>0</v>
      </c>
      <c r="U89" s="146"/>
      <c r="V89" s="146"/>
    </row>
    <row r="90" outlineLevel="1">
      <c r="A90" s="156"/>
      <c r="B90" s="624" t="s">
        <v>2514</v>
      </c>
      <c r="C90" s="365" t="s">
        <v>610</v>
      </c>
      <c r="D90" s="156"/>
      <c r="E90" s="156"/>
      <c r="F90" s="156"/>
      <c r="G90" s="156"/>
      <c r="H90" s="106"/>
      <c r="I90" s="168"/>
      <c r="J90" s="107"/>
      <c r="K90" s="138"/>
      <c r="L90" s="282"/>
      <c r="M90" s="363"/>
      <c r="N90" s="363"/>
      <c r="O90" s="138">
        <v>0.0</v>
      </c>
      <c r="P90" s="138">
        <v>1.0</v>
      </c>
      <c r="Q90" s="138">
        <v>1.0</v>
      </c>
      <c r="R90" s="145" t="b">
        <v>0</v>
      </c>
      <c r="S90" s="145" t="b">
        <v>0</v>
      </c>
      <c r="T90" s="145" t="b">
        <v>1</v>
      </c>
      <c r="U90" s="156"/>
      <c r="V90" s="156"/>
    </row>
    <row r="91">
      <c r="A91" s="223"/>
      <c r="B91" s="224"/>
      <c r="C91" s="225"/>
      <c r="D91" s="225"/>
      <c r="E91" s="226"/>
      <c r="F91" s="226"/>
      <c r="G91" s="226"/>
      <c r="H91" s="227"/>
      <c r="I91" s="227"/>
      <c r="J91" s="228"/>
      <c r="K91" s="228"/>
      <c r="L91" s="228"/>
      <c r="M91" s="228"/>
      <c r="N91" s="228"/>
      <c r="O91" s="228"/>
      <c r="P91" s="228"/>
      <c r="Q91" s="118"/>
      <c r="R91" s="118"/>
      <c r="S91" s="118"/>
      <c r="T91" s="118"/>
      <c r="U91" s="118"/>
      <c r="V91" s="118"/>
    </row>
    <row r="92">
      <c r="A92" s="264" t="s">
        <v>211</v>
      </c>
      <c r="B92" s="104"/>
      <c r="C92" s="227"/>
      <c r="D92" s="227"/>
      <c r="E92" s="228"/>
      <c r="F92" s="265"/>
      <c r="G92" s="265"/>
      <c r="H92" s="228"/>
      <c r="I92" s="228"/>
      <c r="J92" s="228"/>
      <c r="K92" s="228"/>
      <c r="L92" s="228"/>
      <c r="M92" s="228"/>
      <c r="N92" s="118"/>
      <c r="O92" s="118"/>
      <c r="P92" s="118"/>
      <c r="Q92" s="228"/>
      <c r="R92" s="228"/>
      <c r="S92" s="228"/>
      <c r="T92" s="228"/>
      <c r="U92" s="228"/>
      <c r="V92" s="228"/>
    </row>
    <row r="93" outlineLevel="1">
      <c r="A93" s="106"/>
      <c r="B93" s="107"/>
      <c r="C93" s="266" t="s">
        <v>48</v>
      </c>
      <c r="D93" s="266" t="s">
        <v>49</v>
      </c>
      <c r="E93" s="266" t="s">
        <v>50</v>
      </c>
      <c r="F93" s="267" t="s">
        <v>51</v>
      </c>
      <c r="G93" s="227"/>
      <c r="H93" s="227"/>
      <c r="I93" s="227"/>
      <c r="J93" s="228"/>
      <c r="K93" s="228"/>
      <c r="L93" s="228"/>
      <c r="M93" s="228"/>
      <c r="N93" s="228"/>
      <c r="O93" s="228"/>
      <c r="P93" s="228"/>
      <c r="Q93" s="228"/>
      <c r="R93" s="228"/>
      <c r="S93" s="228"/>
      <c r="T93" s="228"/>
      <c r="U93" s="228"/>
      <c r="V93" s="228"/>
    </row>
    <row r="94" outlineLevel="1">
      <c r="A94" s="268" t="s">
        <v>212</v>
      </c>
      <c r="B94" s="269" t="s">
        <v>212</v>
      </c>
      <c r="C94" s="113" t="s">
        <v>213</v>
      </c>
      <c r="D94" s="113" t="s">
        <v>86</v>
      </c>
      <c r="E94" s="113" t="s">
        <v>214</v>
      </c>
      <c r="F94" s="138">
        <v>1.56</v>
      </c>
      <c r="G94" s="227"/>
      <c r="H94" s="227"/>
      <c r="I94" s="227"/>
      <c r="J94" s="228"/>
      <c r="K94" s="228"/>
      <c r="L94" s="228"/>
      <c r="M94" s="228"/>
      <c r="N94" s="228"/>
      <c r="O94" s="228"/>
      <c r="P94" s="228"/>
      <c r="Q94" s="228"/>
      <c r="R94" s="228"/>
      <c r="S94" s="228"/>
      <c r="T94" s="228"/>
      <c r="U94" s="228"/>
      <c r="V94" s="228"/>
    </row>
    <row r="95" outlineLevel="1">
      <c r="A95" s="270" t="s">
        <v>215</v>
      </c>
      <c r="B95" s="269" t="s">
        <v>216</v>
      </c>
      <c r="C95" s="113" t="s">
        <v>518</v>
      </c>
      <c r="D95" s="113" t="s">
        <v>218</v>
      </c>
      <c r="E95" s="271"/>
      <c r="F95" s="272"/>
      <c r="G95" s="272"/>
      <c r="H95" s="227"/>
      <c r="I95" s="227"/>
      <c r="J95" s="228"/>
      <c r="K95" s="228"/>
      <c r="L95" s="228"/>
      <c r="M95" s="228"/>
      <c r="N95" s="228"/>
      <c r="O95" s="228"/>
      <c r="P95" s="228"/>
      <c r="Q95" s="228"/>
      <c r="R95" s="228"/>
      <c r="S95" s="228"/>
      <c r="T95" s="228"/>
      <c r="U95" s="228"/>
      <c r="V95" s="228"/>
    </row>
    <row r="96" outlineLevel="1">
      <c r="A96" s="212"/>
      <c r="B96" s="269" t="s">
        <v>219</v>
      </c>
      <c r="C96" s="113" t="s">
        <v>299</v>
      </c>
      <c r="D96" s="113" t="s">
        <v>221</v>
      </c>
      <c r="E96" s="271"/>
      <c r="F96" s="272"/>
      <c r="G96" s="272"/>
      <c r="H96" s="227"/>
      <c r="I96" s="227"/>
      <c r="J96" s="228"/>
      <c r="K96" s="228"/>
      <c r="L96" s="228"/>
      <c r="M96" s="228"/>
      <c r="N96" s="228"/>
      <c r="O96" s="228"/>
      <c r="P96" s="228"/>
      <c r="Q96" s="228"/>
      <c r="R96" s="228"/>
      <c r="S96" s="228"/>
      <c r="T96" s="228"/>
      <c r="U96" s="228"/>
      <c r="V96" s="228"/>
    </row>
    <row r="97" outlineLevel="1">
      <c r="A97" s="106"/>
      <c r="B97" s="269" t="s">
        <v>222</v>
      </c>
      <c r="C97" s="113" t="s">
        <v>220</v>
      </c>
      <c r="D97" s="113" t="s">
        <v>79</v>
      </c>
      <c r="E97" s="227"/>
      <c r="F97" s="272"/>
      <c r="G97" s="272"/>
      <c r="H97" s="227"/>
      <c r="I97" s="227"/>
      <c r="J97" s="228"/>
      <c r="K97" s="228"/>
      <c r="L97" s="228"/>
      <c r="M97" s="228"/>
      <c r="N97" s="228"/>
      <c r="O97" s="228"/>
      <c r="P97" s="228"/>
      <c r="Q97" s="228"/>
      <c r="R97" s="228"/>
      <c r="S97" s="228"/>
      <c r="T97" s="228"/>
      <c r="U97" s="228"/>
      <c r="V97" s="228"/>
    </row>
    <row r="98" outlineLevel="1">
      <c r="A98" s="273" t="s">
        <v>225</v>
      </c>
      <c r="B98" s="109"/>
      <c r="C98" s="266" t="s">
        <v>48</v>
      </c>
      <c r="D98" s="266" t="s">
        <v>49</v>
      </c>
      <c r="E98" s="266" t="s">
        <v>50</v>
      </c>
      <c r="F98" s="267" t="s">
        <v>51</v>
      </c>
      <c r="G98" s="1168" t="s">
        <v>53</v>
      </c>
      <c r="H98" s="110"/>
      <c r="I98" s="110"/>
      <c r="J98" s="109"/>
      <c r="K98" s="275" t="str">
        <f>'テンプレート'!K97</f>
        <v>ベクトル</v>
      </c>
      <c r="L98" s="275" t="str">
        <f>'テンプレート'!L97</f>
        <v>KBG (R.E.)</v>
      </c>
      <c r="M98" s="275" t="str">
        <f>'テンプレート'!M97</f>
        <v>BKB (R.A.)</v>
      </c>
      <c r="N98" s="275" t="str">
        <f>'テンプレート'!N97</f>
        <v>FKB (R.F.)</v>
      </c>
      <c r="O98" s="276" t="str">
        <f>'テンプレート'!O97</f>
        <v>盾削り値</v>
      </c>
      <c r="P98" s="275" t="str">
        <f>'テンプレート'!P97</f>
        <v>ﾋｯﾄｽﾄｯﾌﾟ</v>
      </c>
      <c r="Q98" s="276" t="str">
        <f>'テンプレート'!Q97</f>
        <v>ずらし</v>
      </c>
      <c r="R98" s="277"/>
      <c r="S98" s="277"/>
      <c r="T98" s="277"/>
      <c r="U98" s="277"/>
      <c r="V98" s="277"/>
    </row>
    <row r="99" outlineLevel="1">
      <c r="A99" s="278" t="s">
        <v>226</v>
      </c>
      <c r="B99" s="269" t="s">
        <v>227</v>
      </c>
      <c r="C99" s="281"/>
      <c r="D99" s="279" t="s">
        <v>118</v>
      </c>
      <c r="E99" s="281"/>
      <c r="F99" s="281"/>
      <c r="G99" s="1170"/>
      <c r="H99" s="164"/>
      <c r="I99" s="164"/>
      <c r="J99" s="104"/>
      <c r="K99" s="281"/>
      <c r="L99" s="281"/>
      <c r="M99" s="281"/>
      <c r="N99" s="281"/>
      <c r="O99" s="281"/>
      <c r="P99" s="281"/>
      <c r="Q99" s="281"/>
      <c r="R99" s="277"/>
      <c r="S99" s="228"/>
      <c r="T99" s="228"/>
      <c r="U99" s="228"/>
      <c r="V99" s="228"/>
    </row>
    <row r="100" outlineLevel="1">
      <c r="A100" s="156"/>
      <c r="B100" s="269" t="s">
        <v>225</v>
      </c>
      <c r="C100" s="113" t="s">
        <v>65</v>
      </c>
      <c r="D100" s="156"/>
      <c r="E100" s="239" t="s">
        <v>274</v>
      </c>
      <c r="F100" s="138">
        <v>10.799999999999999</v>
      </c>
      <c r="G100" s="106"/>
      <c r="H100" s="168"/>
      <c r="I100" s="168"/>
      <c r="J100" s="107"/>
      <c r="K100" s="282"/>
      <c r="L100" s="282"/>
      <c r="M100" s="363"/>
      <c r="N100" s="363"/>
      <c r="O100" s="261"/>
      <c r="P100" s="261"/>
      <c r="Q100" s="261"/>
      <c r="R100" s="277"/>
      <c r="S100" s="228"/>
      <c r="T100" s="228"/>
      <c r="U100" s="228"/>
      <c r="V100" s="228"/>
    </row>
    <row r="101" outlineLevel="1">
      <c r="A101" s="278" t="s">
        <v>229</v>
      </c>
      <c r="B101" s="269" t="s">
        <v>227</v>
      </c>
      <c r="C101" s="281"/>
      <c r="D101" s="279" t="s">
        <v>164</v>
      </c>
      <c r="E101" s="281"/>
      <c r="F101" s="281"/>
      <c r="G101" s="1170"/>
      <c r="H101" s="164"/>
      <c r="I101" s="164"/>
      <c r="J101" s="104"/>
      <c r="K101" s="281"/>
      <c r="L101" s="281"/>
      <c r="M101" s="281"/>
      <c r="N101" s="281"/>
      <c r="O101" s="281"/>
      <c r="P101" s="281"/>
      <c r="Q101" s="281"/>
      <c r="R101" s="277"/>
      <c r="S101" s="228"/>
      <c r="T101" s="228"/>
      <c r="U101" s="228"/>
      <c r="V101" s="228"/>
    </row>
    <row r="102" outlineLevel="1">
      <c r="A102" s="156"/>
      <c r="B102" s="269" t="s">
        <v>225</v>
      </c>
      <c r="C102" s="113" t="s">
        <v>718</v>
      </c>
      <c r="D102" s="156"/>
      <c r="E102" s="239" t="s">
        <v>274</v>
      </c>
      <c r="F102" s="138">
        <v>10.799999999999999</v>
      </c>
      <c r="G102" s="106"/>
      <c r="H102" s="168"/>
      <c r="I102" s="168"/>
      <c r="J102" s="107"/>
      <c r="K102" s="282"/>
      <c r="L102" s="282"/>
      <c r="M102" s="363"/>
      <c r="N102" s="363"/>
      <c r="O102" s="261"/>
      <c r="P102" s="261"/>
      <c r="Q102" s="261"/>
      <c r="R102" s="277"/>
      <c r="S102" s="228"/>
      <c r="T102" s="228"/>
      <c r="U102" s="228"/>
      <c r="V102" s="228"/>
    </row>
    <row r="103" outlineLevel="1">
      <c r="A103" s="278" t="s">
        <v>233</v>
      </c>
      <c r="B103" s="269" t="s">
        <v>227</v>
      </c>
      <c r="C103" s="113" t="s">
        <v>1114</v>
      </c>
      <c r="D103" s="279" t="s">
        <v>111</v>
      </c>
      <c r="E103" s="239" t="s">
        <v>93</v>
      </c>
      <c r="F103" s="138">
        <v>8.4</v>
      </c>
      <c r="G103" s="1170"/>
      <c r="H103" s="164"/>
      <c r="I103" s="164"/>
      <c r="J103" s="104"/>
      <c r="K103" s="282"/>
      <c r="L103" s="282"/>
      <c r="M103" s="363"/>
      <c r="N103" s="363"/>
      <c r="O103" s="145">
        <v>0.0</v>
      </c>
      <c r="P103" s="145">
        <v>1.0</v>
      </c>
      <c r="Q103" s="145">
        <v>1.0</v>
      </c>
      <c r="R103" s="277"/>
      <c r="S103" s="228"/>
      <c r="T103" s="228"/>
      <c r="U103" s="228"/>
      <c r="V103" s="228"/>
    </row>
    <row r="104" outlineLevel="1">
      <c r="A104" s="156"/>
      <c r="B104" s="269" t="s">
        <v>225</v>
      </c>
      <c r="C104" s="113" t="s">
        <v>173</v>
      </c>
      <c r="D104" s="156"/>
      <c r="E104" s="239" t="s">
        <v>73</v>
      </c>
      <c r="F104" s="138">
        <v>4.8</v>
      </c>
      <c r="G104" s="106"/>
      <c r="H104" s="168"/>
      <c r="I104" s="168"/>
      <c r="J104" s="107"/>
      <c r="K104" s="282"/>
      <c r="L104" s="282"/>
      <c r="M104" s="363"/>
      <c r="N104" s="363"/>
      <c r="O104" s="261"/>
      <c r="P104" s="261"/>
      <c r="Q104" s="261"/>
      <c r="R104" s="277"/>
      <c r="S104" s="117"/>
      <c r="T104" s="117"/>
      <c r="U104" s="117"/>
      <c r="V104" s="117"/>
    </row>
    <row r="105" outlineLevel="1">
      <c r="A105" s="278" t="s">
        <v>234</v>
      </c>
      <c r="B105" s="269" t="s">
        <v>227</v>
      </c>
      <c r="C105" s="281"/>
      <c r="D105" s="279" t="s">
        <v>384</v>
      </c>
      <c r="E105" s="281"/>
      <c r="F105" s="281"/>
      <c r="G105" s="283" t="s">
        <v>2515</v>
      </c>
      <c r="H105" s="164"/>
      <c r="I105" s="164"/>
      <c r="J105" s="104"/>
      <c r="K105" s="281"/>
      <c r="L105" s="281"/>
      <c r="M105" s="281"/>
      <c r="N105" s="281"/>
      <c r="O105" s="281"/>
      <c r="P105" s="281"/>
      <c r="Q105" s="281"/>
      <c r="R105" s="277"/>
      <c r="S105" s="117"/>
      <c r="T105" s="117"/>
      <c r="U105" s="117"/>
      <c r="V105" s="117"/>
    </row>
    <row r="106" outlineLevel="1">
      <c r="A106" s="156"/>
      <c r="B106" s="269" t="s">
        <v>225</v>
      </c>
      <c r="C106" s="113" t="s">
        <v>193</v>
      </c>
      <c r="D106" s="156"/>
      <c r="E106" s="239" t="s">
        <v>274</v>
      </c>
      <c r="F106" s="138">
        <v>10.799999999999999</v>
      </c>
      <c r="G106" s="106"/>
      <c r="H106" s="168"/>
      <c r="I106" s="168"/>
      <c r="J106" s="107"/>
      <c r="K106" s="282"/>
      <c r="L106" s="282"/>
      <c r="M106" s="363"/>
      <c r="N106" s="363"/>
      <c r="O106" s="261"/>
      <c r="P106" s="261"/>
      <c r="Q106" s="261"/>
      <c r="R106" s="277"/>
      <c r="S106" s="117"/>
      <c r="T106" s="117"/>
      <c r="U106" s="117"/>
      <c r="V106" s="117"/>
    </row>
    <row r="107">
      <c r="A107" s="223"/>
      <c r="B107" s="224"/>
      <c r="C107" s="225"/>
      <c r="D107" s="225"/>
      <c r="E107" s="227"/>
      <c r="F107" s="177"/>
      <c r="G107" s="177"/>
      <c r="H107" s="227"/>
      <c r="I107" s="227"/>
      <c r="J107" s="228"/>
      <c r="K107" s="228"/>
      <c r="L107" s="111"/>
      <c r="M107" s="111"/>
      <c r="N107" s="111"/>
      <c r="O107" s="117"/>
      <c r="P107" s="117"/>
      <c r="Q107" s="111"/>
      <c r="R107" s="111"/>
      <c r="S107" s="111"/>
      <c r="T107" s="111"/>
      <c r="U107" s="111"/>
      <c r="V107" s="111"/>
    </row>
    <row r="108">
      <c r="A108" s="284" t="s">
        <v>241</v>
      </c>
      <c r="B108" s="104"/>
      <c r="C108" s="265"/>
      <c r="D108" s="111"/>
      <c r="E108" s="111"/>
      <c r="F108" s="111"/>
      <c r="G108" s="111"/>
      <c r="H108" s="111"/>
      <c r="I108" s="111"/>
      <c r="J108" s="118"/>
      <c r="K108" s="111"/>
      <c r="L108" s="111"/>
      <c r="M108" s="111"/>
      <c r="N108" s="111"/>
      <c r="O108" s="111"/>
      <c r="P108" s="111"/>
      <c r="Q108" s="118"/>
      <c r="R108" s="111"/>
      <c r="S108" s="111"/>
      <c r="T108" s="111"/>
      <c r="U108" s="111"/>
      <c r="V108" s="111"/>
    </row>
    <row r="109" outlineLevel="1">
      <c r="A109" s="106"/>
      <c r="B109" s="107"/>
      <c r="C109" s="285" t="s">
        <v>235</v>
      </c>
      <c r="D109" s="285" t="s">
        <v>236</v>
      </c>
      <c r="E109" s="285" t="s">
        <v>49</v>
      </c>
      <c r="F109" s="285" t="s">
        <v>237</v>
      </c>
      <c r="G109" s="286"/>
      <c r="H109" s="227"/>
      <c r="I109" s="227"/>
      <c r="J109" s="228"/>
      <c r="K109" s="228"/>
      <c r="L109" s="111"/>
      <c r="M109" s="111"/>
      <c r="N109" s="111"/>
      <c r="O109" s="111"/>
      <c r="P109" s="111"/>
      <c r="Q109" s="111"/>
      <c r="R109" s="111"/>
      <c r="S109" s="111"/>
      <c r="T109" s="111"/>
      <c r="U109" s="111"/>
      <c r="V109" s="111"/>
    </row>
    <row r="110" outlineLevel="1">
      <c r="A110" s="287" t="s">
        <v>395</v>
      </c>
      <c r="B110" s="288" t="s">
        <v>216</v>
      </c>
      <c r="C110" s="113" t="str">
        <f t="array" ref="C110">INDEX('回避'!$C$3:$U$84, MATCH($A$1,'回避'!$A$3:$A$91,0), MATCH(C109,'回避'!$C$2:$F$2,0))</f>
        <v>3-17</v>
      </c>
      <c r="D110" s="113" t="str">
        <f t="array" ref="D110">INDEX('回避'!$C$3:$U$84, MATCH($A$1,'回避'!$A$3:$A$91,0), MATCH(D109,'回避'!$C$2:$F$2,0))</f>
        <v>6-17</v>
      </c>
      <c r="E110" s="113" t="str">
        <f t="array" ref="E110">INDEX('回避'!$C$3:$U$84, MATCH($A$1,'回避'!$A$3:$A$91,0), MATCH(E109,'回避'!$C$2:$F$2,0))</f>
        <v>26 (21)</v>
      </c>
      <c r="F110" s="113" t="str">
        <f t="array" ref="F110">INDEX('回避'!$C$3:$U$84, MATCH($A$1,'回避'!$A$3:$A$91,0), MATCH(F109,'回避'!$C$2:$F$2,0))</f>
        <v>35 (28)</v>
      </c>
      <c r="G110" s="272"/>
      <c r="H110" s="227"/>
      <c r="I110" s="227"/>
      <c r="J110" s="228"/>
      <c r="K110" s="228"/>
      <c r="L110" s="228"/>
      <c r="M110" s="111"/>
      <c r="N110" s="111"/>
      <c r="O110" s="111"/>
      <c r="P110" s="111"/>
      <c r="Q110" s="111"/>
      <c r="R110" s="111"/>
      <c r="S110" s="111"/>
      <c r="T110" s="111"/>
      <c r="U110" s="111"/>
      <c r="V110" s="111"/>
    </row>
    <row r="111" outlineLevel="1">
      <c r="A111" s="212"/>
      <c r="B111" s="288" t="s">
        <v>245</v>
      </c>
      <c r="C111" s="113" t="str">
        <f t="array" ref="C111">INDEX('回避'!$G$3:$U$84, MATCH($A$1,'回避'!$A$3:$A$91,0), MATCH(C109,'回避'!$G$2:$J$2,0))</f>
        <v>4-15</v>
      </c>
      <c r="D111" s="113" t="str">
        <f t="array" ref="D111">INDEX('回避'!$G$3:$U$84, MATCH($A$1,'回避'!$A$3:$A$91,0), MATCH(D109,'回避'!$G$2:$J$2,0))</f>
        <v>8-14</v>
      </c>
      <c r="E111" s="113" t="str">
        <f t="array" ref="E111">INDEX('回避'!$G$3:$U$84, MATCH($A$1,'回避'!$A$3:$A$91,0), MATCH(E109,'回避'!$G$2:$J$2,0))</f>
        <v>30</v>
      </c>
      <c r="F111" s="113">
        <f t="array" ref="F111">INDEX('回避'!$G$3:$U$84, MATCH($A$1,'回避'!$A$3:$A$91,0), MATCH(F109,'回避'!$G$2:$J$2,0))</f>
        <v>40</v>
      </c>
      <c r="G111" s="289"/>
      <c r="H111" s="227"/>
      <c r="I111" s="227"/>
      <c r="J111" s="228"/>
      <c r="K111" s="228"/>
      <c r="L111" s="228"/>
      <c r="M111" s="228"/>
      <c r="N111" s="228"/>
      <c r="O111" s="111"/>
      <c r="P111" s="111"/>
      <c r="Q111" s="111"/>
      <c r="R111" s="111"/>
      <c r="S111" s="111"/>
      <c r="T111" s="111"/>
      <c r="U111" s="111"/>
      <c r="V111" s="111"/>
    </row>
    <row r="112" outlineLevel="1">
      <c r="A112" s="106"/>
      <c r="B112" s="288" t="s">
        <v>246</v>
      </c>
      <c r="C112" s="113" t="str">
        <f t="array" ref="C112">INDEX('回避'!$K$3:$U$84, MATCH($A$1,'回避'!$A$3:$A$91,0), MATCH(C109,'回避'!$K$2:$N$2,0))</f>
        <v>5-16</v>
      </c>
      <c r="D112" s="113" t="str">
        <f t="array" ref="D112">INDEX('回避'!$K$3:$U$84, MATCH($A$1,'回避'!$A$3:$A$91,0), MATCH(D109,'回避'!$K$2:$N$2,0))</f>
        <v>9-14</v>
      </c>
      <c r="E112" s="113" t="str">
        <f t="array" ref="E112">INDEX('回避'!$K$3:$U$84, MATCH($A$1,'回避'!$A$3:$A$91,0), MATCH(E109,'回避'!$K$2:$N$2,0))</f>
        <v>35</v>
      </c>
      <c r="F112" s="113" t="str">
        <f t="array" ref="F112">INDEX('回避'!$K$3:$U$84, MATCH($A$1,'回避'!$A$3:$A$91,0), MATCH(F109,'回避'!$K$2:$N$2,0))</f>
        <v>53</v>
      </c>
      <c r="G112" s="289"/>
      <c r="H112" s="290"/>
      <c r="I112" s="290"/>
      <c r="J112" s="117"/>
      <c r="K112" s="117"/>
      <c r="L112" s="117"/>
      <c r="M112" s="117"/>
      <c r="N112" s="117"/>
      <c r="O112" s="111"/>
      <c r="P112" s="111"/>
      <c r="Q112" s="111"/>
      <c r="R112" s="111"/>
      <c r="S112" s="111"/>
      <c r="T112" s="111"/>
      <c r="U112" s="111"/>
      <c r="V112" s="111"/>
    </row>
    <row r="113" outlineLevel="1">
      <c r="A113" s="287" t="s">
        <v>396</v>
      </c>
      <c r="B113" s="288" t="s">
        <v>397</v>
      </c>
      <c r="C113" s="113" t="str">
        <f t="array" ref="C113">INDEX('回避'!$O$3:$U$84, MATCH($A$1,'回避'!$A$3:$A$91,0), MATCH(C109,'回避'!$O$2:$R$2,0))</f>
        <v>4-28</v>
      </c>
      <c r="D113" s="113" t="str">
        <f t="array" ref="D113">INDEX('回避'!$O$3:$U$84, MATCH($A$1,'回避'!$A$3:$A$91,0), MATCH(D109,'回避'!$O$2:$R$2,0))</f>
        <v>7-26</v>
      </c>
      <c r="E113" s="113" t="str">
        <f t="array" ref="E113">INDEX('回避'!$O$3:$U$84, MATCH($A$1,'回避'!$A$3:$A$91,0), MATCH(E109,'回避'!$O$2:$R$2,0))</f>
        <v>47</v>
      </c>
      <c r="F113" s="177"/>
      <c r="G113" s="177"/>
      <c r="H113" s="118"/>
      <c r="I113" s="118"/>
      <c r="J113" s="111"/>
      <c r="K113" s="111"/>
      <c r="L113" s="111"/>
      <c r="M113" s="111"/>
      <c r="N113" s="111"/>
      <c r="O113" s="228"/>
      <c r="P113" s="228"/>
      <c r="Q113" s="228"/>
      <c r="R113" s="228"/>
      <c r="S113" s="228"/>
      <c r="T113" s="228"/>
      <c r="U113" s="228"/>
      <c r="V113" s="228"/>
    </row>
    <row r="114" outlineLevel="1">
      <c r="A114" s="106"/>
      <c r="B114" s="288" t="s">
        <v>398</v>
      </c>
      <c r="C114" s="113" t="str">
        <f t="array" ref="C114">INDEX('回避'!$S$3:$U$84, MATCH($A$1,'回避'!$A$3:$A$91,0), MATCH(C109,'回避'!$S$2:$U$2,0))</f>
        <v>4-22</v>
      </c>
      <c r="D114" s="113" t="str">
        <f t="array" ref="D114">INDEX('回避'!$S$3:$U$84, MATCH($A$1,'回避'!$A$3:$A$91,0), MATCH(D109,'回避'!$S$2:$U$2,0))</f>
        <v>7-21</v>
      </c>
      <c r="E114" s="113" t="str">
        <f t="array" ref="E114">INDEX('回避'!$S$3:$U$84, MATCH($A$1,'回避'!$A$3:$A$91,0), MATCH(E109,'回避'!$S$2:$U$2,0))</f>
        <v>真横：81
真上：108
真下：64</v>
      </c>
      <c r="F114" s="289"/>
      <c r="G114" s="289"/>
      <c r="H114" s="118"/>
      <c r="I114" s="118"/>
      <c r="J114" s="117"/>
      <c r="K114" s="117"/>
      <c r="L114" s="117"/>
      <c r="M114" s="117"/>
      <c r="N114" s="111"/>
      <c r="O114" s="118"/>
      <c r="P114" s="118"/>
      <c r="Q114" s="118"/>
      <c r="R114" s="118"/>
      <c r="S114" s="118"/>
      <c r="T114" s="118"/>
      <c r="U114" s="118"/>
      <c r="V114" s="118"/>
    </row>
    <row r="115">
      <c r="A115" s="291"/>
      <c r="B115" s="292"/>
      <c r="C115" s="286"/>
      <c r="D115" s="286"/>
      <c r="E115" s="293"/>
      <c r="F115" s="286"/>
      <c r="G115" s="286"/>
      <c r="H115" s="286"/>
      <c r="I115" s="286"/>
      <c r="J115" s="111"/>
      <c r="K115" s="227"/>
      <c r="L115" s="227"/>
      <c r="M115" s="227"/>
      <c r="N115" s="227"/>
      <c r="O115" s="118"/>
      <c r="P115" s="118"/>
      <c r="Q115" s="118"/>
      <c r="R115" s="118"/>
      <c r="S115" s="118"/>
      <c r="T115" s="118"/>
      <c r="U115" s="118"/>
      <c r="V115" s="118"/>
    </row>
    <row r="116">
      <c r="A116" s="294" t="s">
        <v>238</v>
      </c>
      <c r="B116" s="104"/>
      <c r="C116" s="228"/>
      <c r="D116" s="117"/>
      <c r="E116" s="228"/>
      <c r="F116" s="114"/>
      <c r="G116" s="114"/>
      <c r="H116" s="117"/>
      <c r="I116" s="117"/>
      <c r="J116" s="118"/>
      <c r="K116" s="118"/>
      <c r="L116" s="118"/>
      <c r="M116" s="118"/>
      <c r="N116" s="118"/>
      <c r="O116" s="118"/>
      <c r="P116" s="118"/>
      <c r="Q116" s="118"/>
      <c r="R116" s="118"/>
      <c r="S116" s="118"/>
      <c r="T116" s="118"/>
      <c r="U116" s="118"/>
      <c r="V116" s="118"/>
    </row>
    <row r="117" outlineLevel="1">
      <c r="A117" s="106"/>
      <c r="B117" s="107"/>
      <c r="C117" s="295" t="s">
        <v>235</v>
      </c>
      <c r="D117" s="295" t="s">
        <v>49</v>
      </c>
      <c r="E117" s="295" t="s">
        <v>48</v>
      </c>
      <c r="F117" s="295" t="s">
        <v>50</v>
      </c>
      <c r="G117" s="296" t="s">
        <v>51</v>
      </c>
      <c r="H117" s="228"/>
      <c r="I117" s="228"/>
      <c r="J117" s="117"/>
      <c r="K117" s="297" t="str">
        <f>'テンプレート'!K116</f>
        <v>アイテム取得</v>
      </c>
      <c r="L117" s="109"/>
      <c r="M117" s="298" t="str">
        <f>'テンプレート'!M116</f>
        <v>取得フレーム</v>
      </c>
      <c r="N117" s="298" t="str">
        <f>'テンプレート'!N116</f>
        <v>全体フレーム</v>
      </c>
      <c r="O117" s="118"/>
      <c r="P117" s="118"/>
      <c r="Q117" s="118"/>
      <c r="R117" s="118"/>
      <c r="S117" s="118"/>
      <c r="T117" s="118"/>
      <c r="U117" s="118"/>
      <c r="V117" s="118"/>
    </row>
    <row r="118" outlineLevel="1">
      <c r="A118" s="299" t="s">
        <v>239</v>
      </c>
      <c r="B118" s="300" t="s">
        <v>240</v>
      </c>
      <c r="C118" s="301"/>
      <c r="D118" s="113">
        <f t="array" ref="D118">INDEX('崖行動・受け身'!$C$3:$C117, MATCH($A$1,'崖行動・受け身'!$A$3:$A$115,0), MATCH(D117,'崖行動・受け身'!$C$2,0))</f>
        <v>19</v>
      </c>
      <c r="E118" s="301"/>
      <c r="F118" s="301"/>
      <c r="G118" s="301"/>
      <c r="H118" s="228"/>
      <c r="I118" s="228"/>
      <c r="J118" s="111"/>
      <c r="K118" s="302" t="str">
        <f>'テンプレート'!K117</f>
        <v>小アイテム</v>
      </c>
      <c r="L118" s="303" t="str">
        <f>'テンプレート'!L117</f>
        <v>その場</v>
      </c>
      <c r="M118" s="113" t="str">
        <f t="array" ref="M118">INDEX('アイテム'!$C$3:$D$115, MATCH($A$1,'アイテム'!$A$3:$A$115,0), MATCH(M$117,'アイテム'!$C$2:$AK$2,0))</f>
        <v>2</v>
      </c>
      <c r="N118" s="113">
        <f t="array" ref="N118">INDEX('アイテム'!$C$3:$D$115, MATCH($A$1,'アイテム'!$A$3:$A$115,0), MATCH(N$117,'アイテム'!$C$2:$AK$2,0))</f>
        <v>7</v>
      </c>
      <c r="O118" s="118"/>
      <c r="P118" s="118"/>
      <c r="Q118" s="118"/>
      <c r="R118" s="118"/>
      <c r="S118" s="118"/>
      <c r="T118" s="118"/>
      <c r="U118" s="118"/>
      <c r="V118" s="118"/>
    </row>
    <row r="119" outlineLevel="1">
      <c r="A119" s="146"/>
      <c r="B119" s="300" t="s">
        <v>216</v>
      </c>
      <c r="C119" s="113" t="str">
        <f t="array" ref="C119">INDEX('崖行動・受け身'!$D$3:$E117, MATCH($A$1,'崖行動・受け身'!$A$3:$A$115,0), MATCH(C117,'崖行動・受け身'!$D$2:$E$2,0))</f>
        <v>1-33</v>
      </c>
      <c r="D119" s="113">
        <f t="array" ref="D119">INDEX('崖行動・受け身'!$D$3:$E117, MATCH($A$1,'崖行動・受け身'!$A$3:$A$115,0), MATCH(D117,'崖行動・受け身'!$D$2:$E$2,0))</f>
        <v>34</v>
      </c>
      <c r="E119" s="301"/>
      <c r="F119" s="301"/>
      <c r="G119" s="301"/>
      <c r="H119" s="228"/>
      <c r="I119" s="228"/>
      <c r="J119" s="117"/>
      <c r="K119" s="156"/>
      <c r="L119" s="303" t="str">
        <f>'テンプレート'!L118</f>
        <v>歩き</v>
      </c>
      <c r="M119" s="113" t="str">
        <f t="array" ref="M119">INDEX('アイテム'!$E$3:$F$115, MATCH($A$1,'アイテム'!$A$3:$A$115,0), MATCH(M$117,'アイテム'!$E$2:$AK$2,0))</f>
        <v>2</v>
      </c>
      <c r="N119" s="113">
        <f t="array" ref="N119">INDEX('アイテム'!$E$3:$F$115, MATCH($A$1,'アイテム'!$A$3:$A$115,0), MATCH(N$117,'アイテム'!$E$2:$AK$2,0))</f>
        <v>19</v>
      </c>
      <c r="O119" s="118"/>
      <c r="P119" s="118"/>
      <c r="Q119" s="118"/>
      <c r="R119" s="118"/>
      <c r="S119" s="118"/>
      <c r="T119" s="118"/>
      <c r="U119" s="118"/>
      <c r="V119" s="118"/>
    </row>
    <row r="120" outlineLevel="1">
      <c r="A120" s="146"/>
      <c r="B120" s="300" t="s">
        <v>241</v>
      </c>
      <c r="C120" s="113" t="str">
        <f t="array" ref="C120">INDEX('崖行動・受け身'!$F$3:$G$115, MATCH($A$1,'崖行動・受け身'!$A$3:$A$115,0), MATCH(C117,'崖行動・受け身'!$F$2:$G$2,0))</f>
        <v>1-25</v>
      </c>
      <c r="D120" s="113">
        <f t="array" ref="D120">INDEX('崖行動・受け身'!$F$3:$G$115, MATCH($A$1,'崖行動・受け身'!$A$3:$A$115,0), MATCH(D117,'崖行動・受け身'!$F$2:$G$2,0))</f>
        <v>45</v>
      </c>
      <c r="E120" s="301"/>
      <c r="F120" s="301"/>
      <c r="G120" s="301"/>
      <c r="H120" s="228"/>
      <c r="I120" s="228"/>
      <c r="J120" s="111"/>
      <c r="K120" s="304" t="str">
        <f>'テンプレート'!K119</f>
        <v>アイテム投擲</v>
      </c>
      <c r="L120" s="109"/>
      <c r="M120" s="298" t="str">
        <f>'テンプレート'!M119</f>
        <v>投擲フレーム</v>
      </c>
      <c r="N120" s="298" t="str">
        <f>'テンプレート'!N119</f>
        <v>全体フレーム</v>
      </c>
      <c r="O120" s="118"/>
      <c r="P120" s="118"/>
      <c r="Q120" s="118"/>
      <c r="R120" s="118"/>
      <c r="S120" s="118"/>
      <c r="T120" s="118"/>
      <c r="U120" s="118"/>
      <c r="V120" s="118"/>
    </row>
    <row r="121" outlineLevel="1">
      <c r="A121" s="146"/>
      <c r="B121" s="300" t="s">
        <v>242</v>
      </c>
      <c r="C121" s="113" t="str">
        <f t="array" ref="C121">INDEX('崖行動・受け身'!$H$3:$I$115, MATCH($A$1,'崖行動・受け身'!$A$3:$A$115,0), MATCH(C117,'崖行動・受け身'!$H$2:$I$2,0))</f>
        <v>1-12</v>
      </c>
      <c r="D121" s="113">
        <f t="array" ref="D121">INDEX('崖行動・受け身'!$H$3:$I$115, MATCH($A$1,'崖行動・受け身'!$A$3:$A$115,0), MATCH(D117,'崖行動・受け身'!$H$2:$I$2,0))</f>
        <v>14</v>
      </c>
      <c r="E121" s="301"/>
      <c r="F121" s="301"/>
      <c r="G121" s="301"/>
      <c r="H121" s="228"/>
      <c r="I121" s="228"/>
      <c r="J121" s="117"/>
      <c r="K121" s="1030" t="str">
        <f>'テンプレート'!K120</f>
        <v>地上投擲</v>
      </c>
      <c r="L121" s="303" t="str">
        <f>'テンプレート'!L120</f>
        <v>前投げ</v>
      </c>
      <c r="M121" s="113" t="str">
        <f t="array" ref="M121">INDEX('アイテム'!$G$3:$H$115, MATCH($A$1,'アイテム'!$A$3:$A$115,0), MATCH(M$120,'アイテム'!$G$2:$AK$2,0))</f>
        <v>8</v>
      </c>
      <c r="N121" s="113">
        <f t="array" ref="N121">INDEX('アイテム'!$G$3:$H$115, MATCH($A$1,'アイテム'!$A$3:$A$115,0), MATCH(N$120,'アイテム'!$G$2:$AK$2,0))</f>
        <v>24</v>
      </c>
      <c r="O121" s="111"/>
      <c r="P121" s="111"/>
      <c r="Q121" s="111"/>
      <c r="R121" s="111"/>
      <c r="S121" s="111"/>
      <c r="T121" s="111"/>
      <c r="U121" s="111"/>
      <c r="V121" s="111"/>
    </row>
    <row r="122" outlineLevel="1">
      <c r="A122" s="156"/>
      <c r="B122" s="300" t="s">
        <v>243</v>
      </c>
      <c r="C122" s="113" t="str">
        <f t="array" ref="C122">INDEX('崖行動・受け身'!$J$3:$M$115, MATCH($A$1,'崖行動・受け身'!$A$3:$A$115,0), MATCH(C117,'崖行動・受け身'!$J$2:$M$2,0))</f>
        <v>1-27</v>
      </c>
      <c r="D122" s="113">
        <f t="array" ref="D122">INDEX('崖行動・受け身'!$J$3:$M$115, MATCH($A$1,'崖行動・受け身'!$A$3:$A$115,0), MATCH(D117,'崖行動・受け身'!$J$2:$M$2,0))</f>
        <v>55</v>
      </c>
      <c r="E122" s="113" t="str">
        <f t="array" ref="E122">INDEX('崖行動・受け身'!$J$3:$M$115, MATCH($A$1,'崖行動・受け身'!$A$3:$A$115,0), MATCH(E117,'崖行動・受け身'!$J$2:$M$2,0))</f>
        <v>25-27</v>
      </c>
      <c r="F122" s="113">
        <f t="array" ref="F122">INDEX('崖行動・受け身'!$J$3:$M$115, MATCH($A$1,'崖行動・受け身'!$A$3:$A$115,0), MATCH(F117,'崖行動・受け身'!$J$2:$M$2,0))</f>
        <v>10</v>
      </c>
      <c r="G122" s="113">
        <f>F122*1.2</f>
        <v>12</v>
      </c>
      <c r="H122" s="228"/>
      <c r="I122" s="228"/>
      <c r="J122" s="111"/>
      <c r="K122" s="146"/>
      <c r="L122" s="303" t="str">
        <f>'テンプレート'!L121</f>
        <v>後投げ</v>
      </c>
      <c r="M122" s="113" t="str">
        <f t="array" ref="M122">INDEX('アイテム'!$I$3:$J$115, MATCH($A$1,'アイテム'!$A$3:$A$115,0), MATCH(M$120,'アイテム'!$I$2:$AK$2,0))</f>
        <v>11</v>
      </c>
      <c r="N122" s="113">
        <f t="array" ref="N122">INDEX('アイテム'!$I$3:$J$115, MATCH($A$1,'アイテム'!$A$3:$A$115,0), MATCH(N$120,'アイテム'!$I$2:$AK$2,0))</f>
        <v>24</v>
      </c>
      <c r="O122" s="111"/>
      <c r="P122" s="111"/>
      <c r="Q122" s="111"/>
      <c r="R122" s="111"/>
      <c r="S122" s="111"/>
      <c r="T122" s="111"/>
      <c r="U122" s="111"/>
      <c r="V122" s="111"/>
    </row>
    <row r="123" outlineLevel="1">
      <c r="A123" s="299" t="s">
        <v>244</v>
      </c>
      <c r="B123" s="300" t="s">
        <v>216</v>
      </c>
      <c r="C123" s="113" t="str">
        <f t="array" ref="C123">INDEX('崖行動・受け身'!$N$3:$O$115, MATCH($A$1,'崖行動・受け身'!$A$3:$A$115,0), MATCH(C117,'崖行動・受け身'!$N$2:$O$2,0))</f>
        <v>1-20</v>
      </c>
      <c r="D123" s="113">
        <f t="array" ref="D123">INDEX('崖行動・受け身'!$N$3:$O$115, MATCH($A$1,'崖行動・受け身'!$A$3:$A$115,0), MATCH(D117,'崖行動・受け身'!$N$2:$O$2,0))</f>
        <v>26</v>
      </c>
      <c r="E123" s="301"/>
      <c r="F123" s="301"/>
      <c r="G123" s="301"/>
      <c r="H123" s="228"/>
      <c r="I123" s="228"/>
      <c r="J123" s="117"/>
      <c r="K123" s="146"/>
      <c r="L123" s="303" t="str">
        <f>'テンプレート'!L122</f>
        <v>上投げ</v>
      </c>
      <c r="M123" s="113" t="str">
        <f t="array" ref="M123">INDEX('アイテム'!$K$3:$L$115, MATCH($A$1,'アイテム'!$A$3:$A$115,0), MATCH(M$120,'アイテム'!$K$2:$AK$2,0))</f>
        <v>12</v>
      </c>
      <c r="N123" s="113">
        <f t="array" ref="N123">INDEX('アイテム'!$K$3:$L$115, MATCH($A$1,'アイテム'!$A$3:$A$115,0), MATCH(N$120,'アイテム'!$K$2:$AK$2,0))</f>
        <v>23</v>
      </c>
      <c r="O123" s="228"/>
      <c r="P123" s="228"/>
      <c r="Q123" s="228"/>
      <c r="R123" s="228"/>
      <c r="S123" s="228"/>
      <c r="T123" s="228"/>
      <c r="U123" s="228"/>
      <c r="V123" s="228"/>
    </row>
    <row r="124" outlineLevel="1">
      <c r="A124" s="146"/>
      <c r="B124" s="300" t="s">
        <v>245</v>
      </c>
      <c r="C124" s="113" t="str">
        <f t="array" ref="C124">INDEX('崖行動・受け身'!$P$3:$Q$115, MATCH($A$1,'崖行動・受け身'!$A$3:$A$115,0), MATCH(C117,'崖行動・受け身'!$P$2:$Q$2,0))</f>
        <v>1-20</v>
      </c>
      <c r="D124" s="113">
        <f t="array" ref="D124">INDEX('崖行動・受け身'!$P$3:$Q$115, MATCH($A$1,'崖行動・受け身'!$A$3:$A$115,0), MATCH(D117,'崖行動・受け身'!$P$2:$Q$2,0))</f>
        <v>40</v>
      </c>
      <c r="E124" s="301"/>
      <c r="F124" s="301"/>
      <c r="G124" s="301"/>
      <c r="H124" s="228"/>
      <c r="I124" s="228"/>
      <c r="J124" s="111"/>
      <c r="K124" s="146"/>
      <c r="L124" s="303" t="str">
        <f>'テンプレート'!L123</f>
        <v>下投げ</v>
      </c>
      <c r="M124" s="113" t="str">
        <f t="array" ref="M124">INDEX('アイテム'!$M$3:$N$115, MATCH($A$1,'アイテム'!$A$3:$A$115,0), MATCH(M$120,'アイテム'!$M$2:$AK$2,0))</f>
        <v>7</v>
      </c>
      <c r="N124" s="113">
        <f t="array" ref="N124">INDEX('アイテム'!$M$3:$N$115, MATCH($A$1,'アイテム'!$A$3:$A$115,0), MATCH(N$120,'アイテム'!$M$2:$AK$2,0))</f>
        <v>19</v>
      </c>
      <c r="O124" s="118"/>
      <c r="P124" s="118"/>
      <c r="Q124" s="118"/>
      <c r="R124" s="118"/>
      <c r="S124" s="118"/>
      <c r="T124" s="118"/>
      <c r="U124" s="118"/>
      <c r="V124" s="118"/>
    </row>
    <row r="125" outlineLevel="1">
      <c r="A125" s="156"/>
      <c r="B125" s="300" t="s">
        <v>246</v>
      </c>
      <c r="C125" s="113" t="str">
        <f t="array" ref="C125">INDEX('崖行動・受け身'!$R$3:$S$115, MATCH($A$1,'崖行動・受け身'!$A$3:$A$115,0), MATCH(C117,'崖行動・受け身'!$R$2:$S$2,0))</f>
        <v>1-20</v>
      </c>
      <c r="D125" s="113">
        <f t="array" ref="D125">INDEX('崖行動・受け身'!$R$3:$S$115, MATCH($A$1,'崖行動・受け身'!$A$3:$A$115,0), MATCH(D117,'崖行動・受け身'!$R$2:$S$2,0))</f>
        <v>40</v>
      </c>
      <c r="E125" s="301"/>
      <c r="F125" s="301"/>
      <c r="G125" s="301"/>
      <c r="H125" s="228"/>
      <c r="I125" s="228"/>
      <c r="J125" s="117"/>
      <c r="K125" s="146"/>
      <c r="L125" s="306" t="str">
        <f>'テンプレート'!L124</f>
        <v>ダッシュ</v>
      </c>
      <c r="M125" s="113" t="str">
        <f t="array" ref="M125">INDEX('アイテム'!$O$3:$P$115, MATCH($A$1,'アイテム'!$A$3:$A$115,0), MATCH(M$120,'アイテム'!$O$2:$AK$2,0))</f>
        <v>5</v>
      </c>
      <c r="N125" s="113">
        <f t="array" ref="N125">INDEX('アイテム'!$O$3:$P$115, MATCH($A$1,'アイテム'!$A$3:$A$115,0), MATCH(N$120,'アイテム'!$O$2:$AK$2,0))</f>
        <v>29</v>
      </c>
      <c r="O125" s="118"/>
      <c r="P125" s="118"/>
      <c r="Q125" s="118"/>
      <c r="R125" s="118"/>
      <c r="S125" s="118"/>
      <c r="T125" s="118"/>
      <c r="U125" s="118"/>
      <c r="V125" s="118"/>
    </row>
    <row r="126" outlineLevel="1">
      <c r="A126" s="299" t="s">
        <v>247</v>
      </c>
      <c r="B126" s="300" t="s">
        <v>248</v>
      </c>
      <c r="C126" s="301"/>
      <c r="D126" s="113" t="str">
        <f t="array" ref="D126">INDEX('起きあがり'!$C$3:$C117, MATCH($A$1,'起きあがり'!$A$3:$A$115,0), MATCH(D117,'起きあがり'!$C$2:$AD$2,0))</f>
        <v>25</v>
      </c>
      <c r="E126" s="301"/>
      <c r="F126" s="301"/>
      <c r="G126" s="301"/>
      <c r="H126" s="228"/>
      <c r="I126" s="228"/>
      <c r="J126" s="111"/>
      <c r="K126" s="156"/>
      <c r="L126" s="306" t="str">
        <f>'テンプレート'!L125</f>
        <v>その場捨て</v>
      </c>
      <c r="M126" s="113" t="str">
        <f t="array" ref="M126">INDEX('アイテム'!$Q$3:$R$115, MATCH($A$1,'アイテム'!$A$3:$A$115,0), MATCH(M$120,'アイテム'!$Q$2:$AK$2,0))</f>
        <v>6</v>
      </c>
      <c r="N126" s="113">
        <f t="array" ref="N126">INDEX('アイテム'!$Q$3:$R$115, MATCH($A$1,'アイテム'!$A$3:$A$115,0), MATCH(N$120,'アイテム'!$Q$2:$AK$2,0))</f>
        <v>23</v>
      </c>
      <c r="O126" s="118"/>
      <c r="P126" s="118"/>
      <c r="Q126" s="118"/>
      <c r="R126" s="118"/>
      <c r="S126" s="118"/>
      <c r="T126" s="118"/>
      <c r="U126" s="118"/>
      <c r="V126" s="118"/>
    </row>
    <row r="127" outlineLevel="1">
      <c r="A127" s="146"/>
      <c r="B127" s="300" t="s">
        <v>216</v>
      </c>
      <c r="C127" s="307" t="str">
        <f t="array" ref="C127">INDEX('起きあがり'!$D$3:$E117, MATCH($A$1,'起きあがり'!$A$3:$A$115,0), MATCH(C117,'起きあがり'!$D$2:$AD$2,0))</f>
        <v>1-22</v>
      </c>
      <c r="D127" s="308">
        <f t="array" ref="D127">INDEX('起きあがり'!$D$3:$E117, MATCH($A$1,'起きあがり'!$A$3:$A$115,0), MATCH(D117,'起きあがり'!$D$2:$AD$2,0))</f>
        <v>29</v>
      </c>
      <c r="E127" s="301"/>
      <c r="F127" s="301"/>
      <c r="G127" s="301"/>
      <c r="H127" s="228"/>
      <c r="I127" s="228"/>
      <c r="J127" s="117"/>
      <c r="K127" s="1030" t="str">
        <f>'テンプレート'!K126</f>
        <v>空中投擲</v>
      </c>
      <c r="L127" s="303" t="str">
        <f>'テンプレート'!L126</f>
        <v>前投げ</v>
      </c>
      <c r="M127" s="113" t="str">
        <f t="array" ref="M127">INDEX('アイテム'!$S$3:$T$115, MATCH($A$1,'アイテム'!$A$3:$A$115,0), MATCH(M$120,'アイテム'!$S$2:$AK$2,0))</f>
        <v>8</v>
      </c>
      <c r="N127" s="113">
        <f t="array" ref="N127">INDEX('アイテム'!$S$3:$T$115, MATCH($A$1,'アイテム'!$A$3:$A$115,0), MATCH(N$120,'アイテム'!$S$2:$AK$2,0))</f>
        <v>24</v>
      </c>
      <c r="O127" s="118"/>
      <c r="P127" s="118"/>
      <c r="Q127" s="118"/>
      <c r="R127" s="118"/>
      <c r="S127" s="118"/>
      <c r="T127" s="118"/>
      <c r="U127" s="118"/>
      <c r="V127" s="118"/>
    </row>
    <row r="128" outlineLevel="1">
      <c r="A128" s="146"/>
      <c r="B128" s="300" t="s">
        <v>245</v>
      </c>
      <c r="C128" s="307" t="str">
        <f t="array" ref="C128">INDEX('起きあがり'!$F$3:$G$115, MATCH($A$1,'起きあがり'!$A$3:$A$115,0), MATCH(C117,'起きあがり'!$F$2:$AD$2,0))</f>
        <v>1-21</v>
      </c>
      <c r="D128" s="308">
        <f t="array" ref="D128">INDEX('起きあがり'!$F$3:$G$115, MATCH($A$1,'起きあがり'!$A$3:$A$115,0), MATCH(D117,'起きあがり'!$F$2:$AD$2,0))</f>
        <v>35</v>
      </c>
      <c r="E128" s="301"/>
      <c r="F128" s="301"/>
      <c r="G128" s="301"/>
      <c r="H128" s="228"/>
      <c r="I128" s="228"/>
      <c r="J128" s="111"/>
      <c r="K128" s="146"/>
      <c r="L128" s="303" t="str">
        <f>'テンプレート'!L127</f>
        <v>後投げ</v>
      </c>
      <c r="M128" s="113" t="str">
        <f t="array" ref="M128">INDEX('アイテム'!$U$3:$V$115, MATCH($A$1,'アイテム'!$A$3:$A$115,0), MATCH(M$120,'アイテム'!$U$2:$AK$2,0))</f>
        <v>11</v>
      </c>
      <c r="N128" s="113">
        <f t="array" ref="N128">INDEX('アイテム'!$U$3:$V$115, MATCH($A$1,'アイテム'!$A$3:$A$115,0), MATCH(N$120,'アイテム'!$U$2:$AK$2,0))</f>
        <v>24</v>
      </c>
      <c r="O128" s="118"/>
      <c r="P128" s="118"/>
      <c r="Q128" s="118"/>
      <c r="R128" s="118"/>
      <c r="S128" s="118"/>
      <c r="T128" s="118"/>
      <c r="U128" s="118"/>
      <c r="V128" s="118"/>
    </row>
    <row r="129" outlineLevel="1">
      <c r="A129" s="146"/>
      <c r="B129" s="300" t="s">
        <v>246</v>
      </c>
      <c r="C129" s="113" t="str">
        <f t="array" ref="C129">INDEX('起きあがり'!$H$3:$I$115, MATCH($A$1,'起きあがり'!$A$3:$A$115,0), MATCH(C117,'起きあがり'!$H$2:$AD$2,0))</f>
        <v>1-22</v>
      </c>
      <c r="D129" s="113">
        <f t="array" ref="D129">INDEX('起きあがり'!$H$3:$I$115, MATCH($A$1,'起きあがり'!$A$3:$A$115,0), MATCH(D117,'起きあがり'!$H$2:$AD$2,0))</f>
        <v>35</v>
      </c>
      <c r="E129" s="301"/>
      <c r="F129" s="301"/>
      <c r="G129" s="301"/>
      <c r="H129" s="228"/>
      <c r="I129" s="228"/>
      <c r="J129" s="117"/>
      <c r="K129" s="146"/>
      <c r="L129" s="303" t="str">
        <f>'テンプレート'!L128</f>
        <v>上投げ</v>
      </c>
      <c r="M129" s="113" t="str">
        <f t="array" ref="M129">INDEX('アイテム'!$W$3:$X$115, MATCH($A$1,'アイテム'!$A$3:$A$115,0), MATCH(M$120,'アイテム'!$W$2:$AK$2,0))</f>
        <v>12</v>
      </c>
      <c r="N129" s="113">
        <f t="array" ref="N129">INDEX('アイテム'!$W$3:$X$115, MATCH($A$1,'アイテム'!$A$3:$A$115,0), MATCH(N$120,'アイテム'!$W$2:$AK$2,0))</f>
        <v>23</v>
      </c>
      <c r="O129" s="118"/>
      <c r="P129" s="118"/>
      <c r="Q129" s="118"/>
      <c r="R129" s="118"/>
      <c r="S129" s="118"/>
      <c r="T129" s="118"/>
      <c r="U129" s="118"/>
      <c r="V129" s="118"/>
    </row>
    <row r="130" outlineLevel="1">
      <c r="A130" s="146"/>
      <c r="B130" s="300" t="s">
        <v>249</v>
      </c>
      <c r="C130" s="309" t="str">
        <f t="array" ref="C130">INDEX('起きあがり'!$J$3:$M$115, MATCH($A$1,'起きあがり'!$A$3:$A$115,0), MATCH(C117,'起きあがり'!$J$2:$AD$2,0))</f>
        <v>1-20</v>
      </c>
      <c r="D130" s="310">
        <f t="array" ref="D130">INDEX('起きあがり'!$J$3:$M$115, MATCH($A$1,'起きあがり'!$A$3:$A$115,0), MATCH(D117,'起きあがり'!$J$2:$AD$2,0))</f>
        <v>45</v>
      </c>
      <c r="E130" s="307" t="str">
        <f t="array" ref="E130">INDEX('起きあがり'!$J$3:$M$115, MATCH($A$1,'起きあがり'!$A$3:$A$115,0), MATCH(E117,'起きあがり'!$J$2:$AD$2,0))</f>
        <v>15-16</v>
      </c>
      <c r="F130" s="308">
        <f t="array" ref="F130">INDEX('起きあがり'!$J$3:$M$115, MATCH($A$1,'起きあがり'!$A$3:$A$115,0), MATCH(F117,'起きあがり'!$J$2:$AD$2,0))</f>
        <v>7</v>
      </c>
      <c r="G130" s="113">
        <f t="shared" ref="G130:G131" si="1">F130*1.2</f>
        <v>8.4</v>
      </c>
      <c r="H130" s="228"/>
      <c r="I130" s="228"/>
      <c r="J130" s="111"/>
      <c r="K130" s="156"/>
      <c r="L130" s="303" t="str">
        <f>'テンプレート'!L129</f>
        <v>下投げ</v>
      </c>
      <c r="M130" s="113" t="str">
        <f t="array" ref="M130">INDEX('アイテム'!$Y$3:$Z$115, MATCH($A$1,'アイテム'!$A$3:$A$115,0), MATCH(M$120,'アイテム'!$Y$2:$AK$2,0))</f>
        <v>7</v>
      </c>
      <c r="N130" s="113">
        <f t="array" ref="N130">INDEX('アイテム'!$Y$3:$Z$115, MATCH($A$1,'アイテム'!$A$3:$A$115,0), MATCH(N$120,'アイテム'!$Y$2:$AK$2,0))</f>
        <v>19</v>
      </c>
      <c r="O130" s="111"/>
      <c r="P130" s="111"/>
      <c r="Q130" s="111"/>
      <c r="R130" s="111"/>
      <c r="S130" s="111"/>
      <c r="T130" s="111"/>
      <c r="U130" s="111"/>
      <c r="V130" s="111"/>
    </row>
    <row r="131" outlineLevel="1">
      <c r="A131" s="156"/>
      <c r="B131" s="311" t="s">
        <v>250</v>
      </c>
      <c r="C131" s="156"/>
      <c r="D131" s="156"/>
      <c r="E131" s="307" t="str">
        <f t="array" ref="E131">INDEX('起きあがり'!$N$3:$O$115, MATCH($A$1,'起きあがり'!$A$3:$A$115,0), MATCH(E117,'起きあがり'!$N$2:$AD$2,0))</f>
        <v>19-20</v>
      </c>
      <c r="F131" s="308">
        <f t="array" ref="F131">INDEX('起きあがり'!$N$3:$O$115, MATCH($A$1,'起きあがり'!$A$3:$A$115,0), MATCH(F117,'起きあがり'!$N$2:$AD$2,0))</f>
        <v>7</v>
      </c>
      <c r="G131" s="113">
        <f t="shared" si="1"/>
        <v>8.4</v>
      </c>
      <c r="H131" s="228"/>
      <c r="I131" s="228"/>
      <c r="J131" s="111"/>
      <c r="K131" s="312" t="str">
        <f>'テンプレート'!K130</f>
        <v>踏み台ジャンプ</v>
      </c>
      <c r="L131" s="168"/>
      <c r="M131" s="298" t="str">
        <f>'テンプレート'!M130</f>
        <v>全体フレーム</v>
      </c>
      <c r="N131" s="114"/>
      <c r="O131" s="111"/>
      <c r="P131" s="111"/>
      <c r="Q131" s="111"/>
      <c r="R131" s="111"/>
      <c r="S131" s="111"/>
      <c r="T131" s="111"/>
      <c r="U131" s="111"/>
      <c r="V131" s="111"/>
    </row>
    <row r="132" outlineLevel="1">
      <c r="A132" s="299" t="s">
        <v>251</v>
      </c>
      <c r="B132" s="300" t="s">
        <v>248</v>
      </c>
      <c r="C132" s="301"/>
      <c r="D132" s="307" t="str">
        <f t="array" ref="D132">INDEX('起きあがり'!$C$3:$C117, MATCH($A$1,'起きあがり'!$A$3:$A$115,0), MATCH(D117,'起きあがり'!$C$2,0))</f>
        <v>25</v>
      </c>
      <c r="E132" s="301"/>
      <c r="F132" s="301"/>
      <c r="G132" s="301"/>
      <c r="H132" s="228"/>
      <c r="I132" s="228"/>
      <c r="J132" s="117"/>
      <c r="K132" s="313" t="str">
        <f>'テンプレート'!K131</f>
        <v>踏み</v>
      </c>
      <c r="L132" s="314" t="str">
        <f>'テンプレート'!L131</f>
        <v>踏み</v>
      </c>
      <c r="M132" s="113" t="str">
        <f t="array" ref="M132">INDEX('共通動作その他'!$C$3:$C$102, MATCH($A$1,'共通動作その他'!$A$3:$A$102,0), MATCH(M$131,'共通動作その他'!$C$2:$AA$2,0))</f>
        <v>-</v>
      </c>
      <c r="N132" s="315"/>
      <c r="O132" s="111"/>
      <c r="P132" s="111"/>
      <c r="Q132" s="111"/>
      <c r="R132" s="111"/>
      <c r="S132" s="111"/>
      <c r="T132" s="111"/>
      <c r="U132" s="111"/>
      <c r="V132" s="111"/>
    </row>
    <row r="133" outlineLevel="1">
      <c r="A133" s="146"/>
      <c r="B133" s="300" t="s">
        <v>216</v>
      </c>
      <c r="C133" s="307" t="str">
        <f t="array" ref="C133">INDEX('起きあがり'!$P$3:$Q$115, MATCH($A$1,'起きあがり'!$A$3:$A$115,0), MATCH(C117,'起きあがり'!$P$2:$AD$2,0))</f>
        <v>1-22</v>
      </c>
      <c r="D133" s="308">
        <f t="array" ref="D133">INDEX('起きあがり'!$P$3:$Q$115, MATCH($A$1,'起きあがり'!$A$3:$A$115,0), MATCH(D117,'起きあがり'!$P$2:$AD$2,0))</f>
        <v>29</v>
      </c>
      <c r="E133" s="301"/>
      <c r="F133" s="301"/>
      <c r="G133" s="301"/>
      <c r="H133" s="228"/>
      <c r="I133" s="228"/>
      <c r="J133" s="111"/>
      <c r="K133" s="305" t="str">
        <f>'テンプレート'!K132</f>
        <v>踏まれ</v>
      </c>
      <c r="L133" s="314" t="str">
        <f>'テンプレート'!L132</f>
        <v>地上踏まれ</v>
      </c>
      <c r="M133" s="113" t="str">
        <f t="array" ref="M133">INDEX('共通動作その他'!$D$3:$D$102, MATCH($A$1,'共通動作その他'!$A$3:$A$102,0), MATCH(M$131,'共通動作その他'!$D$2:$AA$2,0))</f>
        <v>-</v>
      </c>
      <c r="N133" s="315"/>
      <c r="O133" s="228"/>
      <c r="P133" s="228"/>
      <c r="Q133" s="228"/>
      <c r="R133" s="228"/>
      <c r="S133" s="228"/>
      <c r="T133" s="228"/>
      <c r="U133" s="228"/>
      <c r="V133" s="228"/>
    </row>
    <row r="134" outlineLevel="1">
      <c r="A134" s="146"/>
      <c r="B134" s="300" t="s">
        <v>245</v>
      </c>
      <c r="C134" s="307" t="str">
        <f t="array" ref="C134">INDEX('起きあがり'!$R$3:$S$115, MATCH($A$1,'起きあがり'!$A$3:$A$115,0), MATCH(C117,'起きあがり'!$R$2:$AD$2,0))</f>
        <v>1-19</v>
      </c>
      <c r="D134" s="308">
        <f t="array" ref="D134">INDEX('起きあがり'!$R$3:$S$115, MATCH($A$1,'起きあがり'!$A$3:$A$115,0), MATCH(D117,'起きあがり'!$R$2:$AD$2,0))</f>
        <v>35</v>
      </c>
      <c r="E134" s="301"/>
      <c r="F134" s="301"/>
      <c r="G134" s="301"/>
      <c r="H134" s="228"/>
      <c r="I134" s="228"/>
      <c r="J134" s="117"/>
      <c r="K134" s="146"/>
      <c r="L134" s="314" t="str">
        <f>'テンプレート'!L133</f>
        <v>地上硬直</v>
      </c>
      <c r="M134" s="113" t="str">
        <f t="array" ref="M134">INDEX('共通動作その他'!$E$3:$E$102, MATCH($A$1,'共通動作その他'!$A$3:$A$102,0), MATCH(M$131,'共通動作その他'!$E$2:$AA$2,0))</f>
        <v>-</v>
      </c>
      <c r="N134" s="102"/>
      <c r="O134" s="118"/>
      <c r="P134" s="118"/>
      <c r="Q134" s="118"/>
      <c r="R134" s="118"/>
      <c r="S134" s="118"/>
      <c r="T134" s="118"/>
      <c r="U134" s="118"/>
      <c r="V134" s="118"/>
    </row>
    <row r="135" outlineLevel="1">
      <c r="A135" s="146"/>
      <c r="B135" s="300" t="s">
        <v>246</v>
      </c>
      <c r="C135" s="307" t="str">
        <f t="array" ref="C135">INDEX('起きあがり'!$T$3:$U$115, MATCH($A$1,'起きあがり'!$A$3:$A$115,0), MATCH(C117,'起きあがり'!$T$2:$AD$2,0))</f>
        <v>1-24</v>
      </c>
      <c r="D135" s="308">
        <f t="array" ref="D135">INDEX('起きあがり'!$T$3:$U$115, MATCH($A$1,'起きあがり'!$A$3:$A$115,0), MATCH(D117,'起きあがり'!$T$2:$AD$2,0))</f>
        <v>35</v>
      </c>
      <c r="E135" s="301"/>
      <c r="F135" s="301"/>
      <c r="G135" s="301"/>
      <c r="H135" s="228"/>
      <c r="I135" s="228"/>
      <c r="J135" s="111"/>
      <c r="K135" s="146"/>
      <c r="L135" s="314" t="str">
        <f>'テンプレート'!L134</f>
        <v>空中踏まれ</v>
      </c>
      <c r="M135" s="113" t="str">
        <f t="array" ref="M135">INDEX('共通動作その他'!$F$3:$F$102, MATCH($A$1,'共通動作その他'!$A$3:$A$102,0), MATCH(M$131,'共通動作その他'!$F$2:$AA$2,0))</f>
        <v>-</v>
      </c>
      <c r="N135" s="102"/>
      <c r="O135" s="118"/>
      <c r="P135" s="118"/>
      <c r="Q135" s="118"/>
      <c r="R135" s="118"/>
      <c r="S135" s="118"/>
      <c r="T135" s="118"/>
      <c r="U135" s="118"/>
      <c r="V135" s="118"/>
    </row>
    <row r="136" outlineLevel="1">
      <c r="A136" s="146"/>
      <c r="B136" s="300" t="s">
        <v>249</v>
      </c>
      <c r="C136" s="309" t="str">
        <f t="array" ref="C136">INDEX('起きあがり'!$V$3:$Y$115, MATCH($A$1,'起きあがり'!$A$3:$A$115,0), MATCH(C117,'起きあがり'!$V$2:$AD$2,0))</f>
        <v>1-27</v>
      </c>
      <c r="D136" s="310">
        <f t="array" ref="D136">INDEX('起きあがり'!$V$3:$Y$115, MATCH($A$1,'起きあがり'!$A$3:$A$115,0), MATCH(D117,'起きあがり'!$V$2:$AD$2,0))</f>
        <v>45</v>
      </c>
      <c r="E136" s="307" t="str">
        <f t="array" ref="E136">INDEX('起きあがり'!$V$3:$Y$115, MATCH($A$1,'起きあがり'!$A$3:$A$115,0), MATCH(E117,'起きあがり'!$V$2:$AD$2,0))</f>
        <v>16-17</v>
      </c>
      <c r="F136" s="308">
        <f t="array" ref="F136">INDEX('起きあがり'!$V$3:$Y$115, MATCH($A$1,'起きあがり'!$A$3:$A$115,0), MATCH(F117,'起きあがり'!$V$2:$AD$2,0))</f>
        <v>7</v>
      </c>
      <c r="G136" s="113">
        <f t="shared" ref="G136:G137" si="2">F136*1.2</f>
        <v>8.4</v>
      </c>
      <c r="H136" s="228"/>
      <c r="I136" s="228"/>
      <c r="J136" s="117"/>
      <c r="K136" s="146"/>
      <c r="L136" s="314" t="str">
        <f>'テンプレート'!L135</f>
        <v>空中落下</v>
      </c>
      <c r="M136" s="113" t="str">
        <f t="array" ref="M136">INDEX('共通動作その他'!$G$3:$G$102, MATCH($A$1,'共通動作その他'!$A$3:$A$102,0), MATCH(M$131,'共通動作その他'!$G$2:$AA$2,0))</f>
        <v>-</v>
      </c>
      <c r="N136" s="102"/>
      <c r="O136" s="118"/>
      <c r="P136" s="118"/>
      <c r="Q136" s="118"/>
      <c r="R136" s="118"/>
      <c r="S136" s="118"/>
      <c r="T136" s="118"/>
      <c r="U136" s="118"/>
      <c r="V136" s="118"/>
    </row>
    <row r="137" outlineLevel="1">
      <c r="A137" s="156"/>
      <c r="B137" s="311" t="s">
        <v>250</v>
      </c>
      <c r="C137" s="156"/>
      <c r="D137" s="156"/>
      <c r="E137" s="307" t="str">
        <f t="array" ref="E137">INDEX('起きあがり'!$Z$3:$AA$115, MATCH($A$1,'起きあがり'!$A$3:$A$115,0), MATCH(E117,'起きあがり'!$Z$2:$AD$2,0))</f>
        <v>26-27</v>
      </c>
      <c r="F137" s="308">
        <f t="array" ref="F137">INDEX('起きあがり'!$Z$3:$AA$115, MATCH($A$1,'起きあがり'!$A$3:$A$115,0), MATCH(F117,'起きあがり'!$Z$2:$AD$2,0))</f>
        <v>7</v>
      </c>
      <c r="G137" s="113">
        <f t="shared" si="2"/>
        <v>8.4</v>
      </c>
      <c r="H137" s="228"/>
      <c r="I137" s="228"/>
      <c r="J137" s="117"/>
      <c r="K137" s="304" t="str">
        <f>'テンプレート'!K136</f>
        <v>倒れダメージ</v>
      </c>
      <c r="L137" s="110"/>
      <c r="M137" s="298" t="str">
        <f>'テンプレート'!M136</f>
        <v>全体フレーム</v>
      </c>
      <c r="N137" s="102"/>
      <c r="O137" s="118"/>
      <c r="P137" s="118"/>
      <c r="Q137" s="118"/>
      <c r="R137" s="118"/>
      <c r="S137" s="118"/>
      <c r="T137" s="118"/>
      <c r="U137" s="118"/>
      <c r="V137" s="118"/>
    </row>
    <row r="138" outlineLevel="1">
      <c r="A138" s="299" t="s">
        <v>252</v>
      </c>
      <c r="B138" s="300" t="s">
        <v>253</v>
      </c>
      <c r="C138" s="307" t="str">
        <f t="array" ref="C138">INDEX('転倒'!$C$3:$D117, MATCH($A$1,'転倒'!$A$3:$A$115,0), MATCH(C117,'転倒'!$C$2:$AC$2,0))</f>
        <v>1-5</v>
      </c>
      <c r="D138" s="308">
        <f t="array" ref="D138">INDEX('転倒'!$C$3:$D117, MATCH($A$1,'転倒'!$A$3:$A$115,0), MATCH(D117,'転倒'!$C$2:$AC$2,0))</f>
        <v>29</v>
      </c>
      <c r="E138" s="301"/>
      <c r="F138" s="301"/>
      <c r="G138" s="301"/>
      <c r="H138" s="228"/>
      <c r="I138" s="228"/>
      <c r="J138" s="111"/>
      <c r="K138" s="313" t="str">
        <f>'テンプレート'!K137</f>
        <v>あお向け倒れ</v>
      </c>
      <c r="L138" s="306" t="str">
        <f>'テンプレート'!L137</f>
        <v>モーション大</v>
      </c>
      <c r="M138" s="113" t="str">
        <f t="array" ref="M138">INDEX('共通動作その他'!$H$3:$H$102, MATCH($A$1,'共通動作その他'!$A$3:$A$102,0), MATCH(M$137,'共通動作その他'!$H$2:$AA$2,0))</f>
        <v>-</v>
      </c>
      <c r="N138" s="315"/>
      <c r="O138" s="118"/>
      <c r="P138" s="118"/>
      <c r="Q138" s="118"/>
      <c r="R138" s="118"/>
      <c r="S138" s="118"/>
      <c r="T138" s="118"/>
      <c r="U138" s="118"/>
      <c r="V138" s="118"/>
    </row>
    <row r="139" outlineLevel="1">
      <c r="A139" s="146"/>
      <c r="B139" s="300" t="s">
        <v>254</v>
      </c>
      <c r="C139" s="307" t="str">
        <f t="array" ref="C139">INDEX('転倒'!$E$3:$F117, MATCH($A$1,'転倒'!$A$3:$A$115,0), MATCH(C117,'転倒'!$E$2:$AC$2,0))</f>
        <v>1-5</v>
      </c>
      <c r="D139" s="308">
        <f t="array" ref="D139">INDEX('転倒'!$E$3:$F117, MATCH($A$1,'転倒'!$A$3:$A$115,0), MATCH(D117,'転倒'!$E$2:$AC$2,0))</f>
        <v>39</v>
      </c>
      <c r="E139" s="301"/>
      <c r="F139" s="301"/>
      <c r="G139" s="301"/>
      <c r="H139" s="228"/>
      <c r="I139" s="228"/>
      <c r="J139" s="117"/>
      <c r="K139" s="313" t="str">
        <f>'テンプレート'!K138</f>
        <v>うつ伏せ倒れ</v>
      </c>
      <c r="L139" s="306" t="str">
        <f>'テンプレート'!L138</f>
        <v>モーション大</v>
      </c>
      <c r="M139" s="113" t="str">
        <f t="array" ref="M139">INDEX('共通動作その他'!$I$3:$I$102, MATCH($A$1,'共通動作その他'!$A$3:$A$102,0), MATCH(M$137,'共通動作その他'!$I$2:$AA$2,0))</f>
        <v>-</v>
      </c>
      <c r="N139" s="315"/>
      <c r="O139" s="118"/>
      <c r="P139" s="118"/>
      <c r="Q139" s="118"/>
      <c r="R139" s="118"/>
      <c r="S139" s="118"/>
      <c r="T139" s="118"/>
      <c r="U139" s="118"/>
      <c r="V139" s="118"/>
    </row>
    <row r="140" outlineLevel="1">
      <c r="A140" s="146"/>
      <c r="B140" s="300" t="s">
        <v>216</v>
      </c>
      <c r="C140" s="307" t="str">
        <f t="array" ref="C140">INDEX('転倒'!$G$3:$H$115, MATCH($A$1,'転倒'!$A$3:$A$115,0), MATCH(C117,'転倒'!$G$2:$AC$2,0))</f>
        <v>1-16</v>
      </c>
      <c r="D140" s="308">
        <f t="array" ref="D140">INDEX('転倒'!$G$3:$H$115, MATCH($A$1,'転倒'!$A$3:$A$115,0), MATCH(D117,'転倒'!$G$2:$AC$2,0))</f>
        <v>21</v>
      </c>
      <c r="E140" s="301"/>
      <c r="F140" s="301"/>
      <c r="G140" s="301"/>
      <c r="H140" s="228"/>
      <c r="I140" s="228"/>
      <c r="J140" s="111"/>
      <c r="K140" s="304" t="str">
        <f>'テンプレート'!K139</f>
        <v/>
      </c>
      <c r="L140" s="110"/>
      <c r="M140" s="298" t="str">
        <f>'テンプレート'!M139</f>
        <v/>
      </c>
      <c r="N140" s="102"/>
      <c r="O140" s="118"/>
      <c r="P140" s="118"/>
      <c r="Q140" s="118"/>
      <c r="R140" s="118"/>
      <c r="S140" s="118"/>
      <c r="T140" s="118"/>
      <c r="U140" s="118"/>
      <c r="V140" s="118"/>
    </row>
    <row r="141" outlineLevel="1">
      <c r="A141" s="146"/>
      <c r="B141" s="300" t="s">
        <v>245</v>
      </c>
      <c r="C141" s="307" t="str">
        <f t="array" ref="C141">INDEX('転倒'!$I$3:$J$115, MATCH($A$1,'転倒'!$A$3:$A$115,0), MATCH(C117,'転倒'!$I$2:$AC$2,0))</f>
        <v>1-9</v>
      </c>
      <c r="D141" s="308">
        <f t="array" ref="D141">INDEX('転倒'!$I$3:$J$115, MATCH($A$1,'転倒'!$A$3:$A$115,0), MATCH(D117,'転倒'!$I$2:$AC$2,0))</f>
        <v>28</v>
      </c>
      <c r="E141" s="301"/>
      <c r="F141" s="301"/>
      <c r="G141" s="301"/>
      <c r="H141" s="228"/>
      <c r="I141" s="228"/>
      <c r="J141" s="228"/>
      <c r="K141" s="316" t="str">
        <f>'テンプレート'!K140</f>
        <v/>
      </c>
      <c r="L141" s="317" t="str">
        <f>'テンプレート'!L140</f>
        <v/>
      </c>
      <c r="M141" s="113" t="str">
        <f t="array" ref="M141">INDEX('共通動作その他'!$J$3:$J$102, MATCH($A$1,'共通動作その他'!$A$3:$A$102,0), MATCH(M$140,'共通動作その他'!$J$2:$AA$2,0))</f>
        <v>#N/A</v>
      </c>
      <c r="N141" s="102"/>
      <c r="O141" s="118"/>
      <c r="P141" s="118"/>
      <c r="Q141" s="118"/>
      <c r="R141" s="118"/>
      <c r="S141" s="118"/>
      <c r="T141" s="118"/>
      <c r="U141" s="118"/>
      <c r="V141" s="118"/>
    </row>
    <row r="142" outlineLevel="1">
      <c r="A142" s="146"/>
      <c r="B142" s="300" t="s">
        <v>246</v>
      </c>
      <c r="C142" s="307" t="str">
        <f t="array" ref="C142">INDEX('転倒'!$K$3:$L$115, MATCH($A$1,'転倒'!$A$3:$A$115,0), MATCH(C117,'転倒'!$K$2:$AC$2,0))</f>
        <v>1-9</v>
      </c>
      <c r="D142" s="308">
        <f t="array" ref="D142">INDEX('転倒'!$K$3:$L$115, MATCH($A$1,'転倒'!$A$3:$A$115,0), MATCH(D117,'転倒'!$K$2:$AC$2,0))</f>
        <v>28</v>
      </c>
      <c r="E142" s="301"/>
      <c r="F142" s="301"/>
      <c r="G142" s="301"/>
      <c r="H142" s="228"/>
      <c r="I142" s="228"/>
      <c r="J142" s="228"/>
      <c r="K142" s="102"/>
      <c r="L142" s="118"/>
      <c r="M142" s="118"/>
      <c r="N142" s="102"/>
      <c r="O142" s="118"/>
      <c r="P142" s="118"/>
      <c r="Q142" s="118"/>
      <c r="R142" s="118"/>
      <c r="S142" s="118"/>
      <c r="T142" s="118"/>
      <c r="U142" s="118"/>
      <c r="V142" s="118"/>
    </row>
    <row r="143" outlineLevel="1">
      <c r="A143" s="146"/>
      <c r="B143" s="300" t="s">
        <v>249</v>
      </c>
      <c r="C143" s="309" t="str">
        <f t="array" ref="C143">INDEX('転倒'!$M$3:$P$115, MATCH($A$1,'転倒'!$A$3:$A$115,0), MATCH(C117,'転倒'!$M$2:$AC$2,0))</f>
        <v>1-7</v>
      </c>
      <c r="D143" s="310">
        <f t="array" ref="D143">INDEX('転倒'!$M$3:$P$115, MATCH($A$1,'転倒'!$A$3:$A$115,0), MATCH(D117,'転倒'!$M$2:$AC$2,0))</f>
        <v>49</v>
      </c>
      <c r="E143" s="307" t="str">
        <f t="array" ref="E143">INDEX('転倒'!$M$3:$P$115, MATCH($A$1,'転倒'!$A$3:$A$115,0), MATCH(E117,'転倒'!$M$2:$AC$2,0))</f>
        <v>19-20</v>
      </c>
      <c r="F143" s="308">
        <f t="array" ref="F143">INDEX('転倒'!$M$3:$P$115, MATCH($A$1,'転倒'!$A$3:$A$115,0), MATCH(F117,'転倒'!$M$2:$AC$2,0))</f>
        <v>5</v>
      </c>
      <c r="G143" s="113">
        <f t="shared" ref="G143:G144" si="3">F143*1.2</f>
        <v>6</v>
      </c>
      <c r="H143" s="228"/>
      <c r="I143" s="228"/>
      <c r="J143" s="228"/>
      <c r="K143" s="118"/>
      <c r="L143" s="118"/>
      <c r="M143" s="118"/>
      <c r="N143" s="102"/>
      <c r="O143" s="102"/>
      <c r="P143" s="102"/>
      <c r="Q143" s="102"/>
      <c r="R143" s="118"/>
      <c r="S143" s="118"/>
      <c r="T143" s="118"/>
      <c r="U143" s="118"/>
      <c r="V143" s="118"/>
    </row>
    <row r="144" outlineLevel="1">
      <c r="A144" s="156"/>
      <c r="B144" s="311" t="s">
        <v>250</v>
      </c>
      <c r="C144" s="156"/>
      <c r="D144" s="156"/>
      <c r="E144" s="307" t="str">
        <f t="array" ref="E144">INDEX('転倒'!$Q$3:$R$115, MATCH($A$1,'転倒'!$A$3:$A$115,0), MATCH(E117,'転倒'!$Q$2:$AC$2,0))</f>
        <v>31-32</v>
      </c>
      <c r="F144" s="308">
        <f t="array" ref="F144">INDEX('転倒'!$Q$3:$R$115, MATCH($A$1,'転倒'!$A$3:$A$115,0), MATCH(F117,'転倒'!$Q$2:$AC$2,0))</f>
        <v>5</v>
      </c>
      <c r="G144" s="113">
        <f t="shared" si="3"/>
        <v>6</v>
      </c>
      <c r="H144" s="228"/>
      <c r="I144" s="228"/>
      <c r="J144" s="228"/>
      <c r="K144" s="118"/>
      <c r="L144" s="118"/>
      <c r="M144" s="118"/>
      <c r="N144" s="102"/>
      <c r="O144" s="102"/>
      <c r="P144" s="102"/>
      <c r="Q144" s="102"/>
      <c r="R144" s="118"/>
      <c r="S144" s="118"/>
      <c r="T144" s="118"/>
      <c r="U144" s="118"/>
      <c r="V144" s="118"/>
    </row>
    <row r="145" outlineLevel="1">
      <c r="A145" s="319"/>
      <c r="B145" s="320"/>
      <c r="C145" s="321"/>
      <c r="D145" s="321"/>
      <c r="E145" s="322"/>
      <c r="F145" s="322"/>
      <c r="G145" s="114"/>
      <c r="H145" s="228"/>
      <c r="I145" s="228"/>
      <c r="J145" s="228"/>
      <c r="K145" s="118"/>
      <c r="L145" s="118"/>
      <c r="M145" s="118"/>
      <c r="N145" s="102"/>
      <c r="O145" s="102"/>
      <c r="P145" s="102"/>
      <c r="Q145" s="102"/>
      <c r="R145" s="118"/>
      <c r="S145" s="118"/>
      <c r="T145" s="118"/>
      <c r="U145" s="118"/>
      <c r="V145" s="118"/>
    </row>
    <row r="146" outlineLevel="1">
      <c r="A146" s="323" t="s">
        <v>255</v>
      </c>
      <c r="B146" s="109"/>
      <c r="C146" s="321"/>
      <c r="D146" s="321"/>
      <c r="E146" s="322"/>
      <c r="F146" s="322"/>
      <c r="G146" s="114"/>
      <c r="H146" s="228"/>
      <c r="I146" s="228"/>
      <c r="J146" s="228"/>
      <c r="K146" s="118"/>
      <c r="L146" s="118"/>
      <c r="M146" s="118"/>
      <c r="N146" s="102"/>
      <c r="O146" s="102"/>
      <c r="P146" s="102"/>
      <c r="Q146" s="102"/>
      <c r="R146" s="118"/>
      <c r="S146" s="118"/>
      <c r="T146" s="118"/>
      <c r="U146" s="118"/>
      <c r="V146" s="118"/>
    </row>
    <row r="147" outlineLevel="1">
      <c r="A147" s="324" t="s">
        <v>256</v>
      </c>
      <c r="B147" s="109"/>
      <c r="C147" s="325" t="s">
        <v>257</v>
      </c>
      <c r="D147" s="325" t="s">
        <v>49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258</v>
      </c>
      <c r="B148" s="327" t="s">
        <v>216</v>
      </c>
      <c r="C148" s="328" t="str">
        <f t="array" ref="C148">INDEX('アイテム'!$C$3:$D$114, MATCH($A$1,'アイテム'!$A$3:$A$114,0), MATCH(C147,'アイテム'!$C$2:$AQ$2,0))</f>
        <v>2</v>
      </c>
      <c r="D148" s="328">
        <f t="array" ref="D148">INDEX('アイテム'!$C$3:$D$114, MATCH($A$1,'アイテム'!$A$3:$A$114,0), MATCH(D147,'アイテム'!$C$2:$AQ$2,0))</f>
        <v>7</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219</v>
      </c>
      <c r="C149" s="328" t="str">
        <f t="array" ref="C149">INDEX('アイテム'!$E$3:$F$114, MATCH($A$1,'アイテム'!$A$3:$A$114,0), MATCH(C147,'アイテム'!$C$2:$AQ$2,0))</f>
        <v>2</v>
      </c>
      <c r="D149" s="328">
        <f t="array" ref="D149">INDEX('アイテム'!$E$3:$F$114, MATCH($A$1,'アイテム'!$A$3:$A$114,0), MATCH(D147,'アイテム'!$C$2:$AQ$2,0))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329" t="s">
        <v>259</v>
      </c>
      <c r="B150" s="327" t="s">
        <v>216</v>
      </c>
      <c r="C150" s="328">
        <f t="array" ref="C150">INDEX('アイテム'!$AA$3:$AB$114, MATCH($A$1,'アイテム'!$A$3:$A$114,0), MATCH(C147,'アイテム'!$C$2:$AQ$2,0))</f>
        <v>3</v>
      </c>
      <c r="D150" s="328" t="str">
        <f t="array" ref="D150">INDEX('アイテム'!$AA$3:$AB$114, MATCH($A$1,'アイテム'!$A$3:$A$114,0), MATCH(D147,'アイテム'!$C$2:$AQ$2,0))</f>
        <v>12</v>
      </c>
      <c r="E150" s="322"/>
      <c r="F150" s="322"/>
      <c r="G150" s="114"/>
      <c r="H150" s="228"/>
      <c r="I150" s="228"/>
      <c r="J150" s="228"/>
      <c r="K150" s="118"/>
      <c r="L150" s="118"/>
      <c r="M150" s="118"/>
      <c r="N150" s="102"/>
      <c r="O150" s="102"/>
      <c r="P150" s="102"/>
      <c r="Q150" s="102"/>
      <c r="R150" s="118"/>
      <c r="S150" s="118"/>
      <c r="T150" s="118"/>
      <c r="U150" s="118"/>
      <c r="V150" s="118"/>
    </row>
    <row r="151" outlineLevel="1">
      <c r="A151" s="324" t="s">
        <v>260</v>
      </c>
      <c r="B151" s="109"/>
      <c r="C151" s="325" t="s">
        <v>261</v>
      </c>
      <c r="D151" s="325" t="s">
        <v>49</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262</v>
      </c>
      <c r="B152" s="327" t="s">
        <v>226</v>
      </c>
      <c r="C152" s="328" t="str">
        <f t="array" ref="C152">INDEX('アイテム'!$G$3:$H$114, MATCH($A$1,'アイテム'!$A$3:$A$114,0), MATCH(C147,'アイテム'!$C$2:$AQ$2,0))</f>
        <v>8</v>
      </c>
      <c r="D152" s="328">
        <f t="array" ref="D152">INDEX('アイテム'!$G$3:$H$114, MATCH($A$1,'アイテム'!$A$3:$A$114,0), MATCH(D147,'アイテム'!$C$2:$AQ$2,0))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t="str">
        <f t="array" ref="C153">INDEX('アイテム'!$I$3:$J$114, MATCH($A$1,'アイテム'!$A$3:$A$114,0), MATCH(C147,'アイテム'!$C$2:$AQ$2,0))</f>
        <v>11</v>
      </c>
      <c r="D153" s="328">
        <f t="array" ref="D153">INDEX('アイテム'!$I$3:$J$114, MATCH($A$1,'アイテム'!$A$3:$A$114,0), MATCH(D147,'アイテム'!$C$2:$AQ$2,0))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t="str">
        <f t="array" ref="C154">INDEX('アイテム'!$K$3:$L$114, MATCH($A$1,'アイテム'!$A$3:$A$114,0), MATCH(C147,'アイテム'!$C$2:$AQ$2,0))</f>
        <v>12</v>
      </c>
      <c r="D154" s="328">
        <f t="array" ref="D154">INDEX('アイテム'!$K$3:$L$114, MATCH($A$1,'アイテム'!$A$3:$A$114,0), MATCH(D147,'アイテム'!$C$2:$AQ$2,0))</f>
        <v>23</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234</v>
      </c>
      <c r="C155" s="328" t="str">
        <f t="array" ref="C155">INDEX('アイテム'!$M$3:$N$114, MATCH($A$1,'アイテム'!$A$3:$A$114,0), MATCH(C147,'アイテム'!$C$2:$AQ$2,0))</f>
        <v>7</v>
      </c>
      <c r="D155" s="328">
        <f t="array" ref="D155">INDEX('アイテム'!$M$3:$N$114, MATCH($A$1,'アイテム'!$A$3:$A$114,0), MATCH(D147,'アイテム'!$C$2:$AQ$2,0))</f>
        <v>19</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219</v>
      </c>
      <c r="C156" s="328" t="str">
        <f t="array" ref="C156">INDEX('アイテム'!$O$3:$P$114, MATCH($A$1,'アイテム'!$A$3:$A$114,0), MATCH(C147,'アイテム'!$C$2:$AQ$2,0))</f>
        <v>5</v>
      </c>
      <c r="D156" s="328">
        <f t="array" ref="D156">INDEX('アイテム'!$O$3:$P$114, MATCH($A$1,'アイテム'!$A$3:$A$114,0), MATCH(D147,'アイテム'!$C$2:$AQ$2,0))</f>
        <v>29</v>
      </c>
      <c r="E156" s="322"/>
      <c r="F156" s="322"/>
      <c r="G156" s="114"/>
      <c r="H156" s="228"/>
      <c r="I156" s="228"/>
      <c r="J156" s="228"/>
      <c r="K156" s="118"/>
      <c r="L156" s="118"/>
      <c r="M156" s="118"/>
      <c r="N156" s="102"/>
      <c r="O156" s="102"/>
      <c r="P156" s="102"/>
      <c r="Q156" s="102"/>
      <c r="R156" s="118"/>
      <c r="S156" s="118"/>
      <c r="T156" s="118"/>
      <c r="U156" s="118"/>
      <c r="V156" s="118"/>
    </row>
    <row r="157" outlineLevel="1">
      <c r="A157" s="156"/>
      <c r="B157" s="327" t="s">
        <v>263</v>
      </c>
      <c r="C157" s="328" t="str">
        <f t="array" ref="C157">INDEX('アイテム'!$Q$3:$R$114, MATCH($A$1,'アイテム'!$A$3:$A$114,0), MATCH(C147,'アイテム'!$C$2:$AQ$2,0))</f>
        <v>6</v>
      </c>
      <c r="D157" s="328">
        <f t="array" ref="D157">INDEX('アイテム'!$Q$3:$R$114, MATCH($A$1,'アイテム'!$A$3:$A$114,0), MATCH(D147,'アイテム'!$C$2:$AQ$2,0))</f>
        <v>23</v>
      </c>
      <c r="E157" s="322"/>
      <c r="F157" s="322"/>
      <c r="G157" s="114"/>
      <c r="H157" s="228"/>
      <c r="I157" s="228"/>
      <c r="J157" s="228"/>
      <c r="K157" s="118"/>
      <c r="L157" s="118"/>
      <c r="M157" s="118"/>
      <c r="N157" s="102"/>
      <c r="O157" s="102"/>
      <c r="P157" s="102"/>
      <c r="Q157" s="102"/>
      <c r="R157" s="118"/>
      <c r="S157" s="118"/>
      <c r="T157" s="118"/>
      <c r="U157" s="118"/>
      <c r="V157" s="118"/>
    </row>
    <row r="158" outlineLevel="1">
      <c r="A158" s="326" t="s">
        <v>264</v>
      </c>
      <c r="B158" s="327" t="s">
        <v>226</v>
      </c>
      <c r="C158" s="328" t="str">
        <f t="array" ref="C158">INDEX('アイテム'!$S$3:$T$114, MATCH($A$1,'アイテム'!$A$3:$A$114,0), MATCH(C147,'アイテム'!$C$2:$AQ$2,0))</f>
        <v>8</v>
      </c>
      <c r="D158" s="328">
        <f t="array" ref="D158">INDEX('アイテム'!$S$3:$T$114, MATCH($A$1,'アイテム'!$A$3:$A$114,0), MATCH(D147,'アイテム'!$C$2:$AQ$2,0))</f>
        <v>24</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229</v>
      </c>
      <c r="C159" s="328" t="str">
        <f t="array" ref="C159">INDEX('アイテム'!$U$3:$V$114, MATCH($A$1,'アイテム'!$A$3:$A$114,0), MATCH(C147,'アイテム'!$C$2:$AQ$2,0))</f>
        <v>11</v>
      </c>
      <c r="D159" s="328">
        <f t="array" ref="D159">INDEX('アイテム'!$U$3:$V$114, MATCH($A$1,'アイテム'!$A$3:$A$114,0), MATCH(D147,'アイテム'!$C$2:$AQ$2,0))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233</v>
      </c>
      <c r="C160" s="328" t="str">
        <f t="array" ref="C160">INDEX('アイテム'!$W$3:$X$114, MATCH($A$1,'アイテム'!$A$3:$A$114,0), MATCH(C147,'アイテム'!$C$2:$AQ$2,0))</f>
        <v>12</v>
      </c>
      <c r="D160" s="328">
        <f t="array" ref="D160">INDEX('アイテム'!$W$3:$X$114, MATCH($A$1,'アイテム'!$A$3:$A$114,0), MATCH(D147,'アイテム'!$C$2:$AQ$2,0))</f>
        <v>23</v>
      </c>
      <c r="E160" s="322"/>
      <c r="F160" s="322"/>
      <c r="G160" s="114"/>
      <c r="H160" s="228"/>
      <c r="I160" s="228"/>
      <c r="J160" s="228"/>
      <c r="K160" s="118"/>
      <c r="L160" s="118"/>
      <c r="M160" s="118"/>
      <c r="N160" s="102"/>
      <c r="O160" s="102"/>
      <c r="P160" s="102"/>
      <c r="Q160" s="102"/>
      <c r="R160" s="118"/>
      <c r="S160" s="118"/>
      <c r="T160" s="118"/>
      <c r="U160" s="118"/>
      <c r="V160" s="118"/>
    </row>
    <row r="161" outlineLevel="1">
      <c r="A161" s="156"/>
      <c r="B161" s="327" t="s">
        <v>234</v>
      </c>
      <c r="C161" s="328" t="str">
        <f t="array" ref="C161">INDEX('アイテム'!$Y$3:$Z$114, MATCH($A$1,'アイテム'!$A$3:$A$114,0), MATCH(C147,'アイテム'!$C$2:$AQ$2,0))</f>
        <v>7</v>
      </c>
      <c r="D161" s="328">
        <f t="array" ref="D161">INDEX('アイテム'!$Y$3:$Z$114, MATCH($A$1,'アイテム'!$A$3:$A$114,0), MATCH(D147,'アイテム'!$C$2:$AQ$2,0))</f>
        <v>19</v>
      </c>
      <c r="E161" s="322"/>
      <c r="F161" s="322"/>
      <c r="G161" s="114"/>
      <c r="H161" s="228"/>
      <c r="I161" s="228"/>
      <c r="J161" s="228"/>
      <c r="K161" s="118"/>
      <c r="L161" s="118"/>
      <c r="M161" s="118"/>
      <c r="N161" s="102"/>
      <c r="O161" s="102"/>
      <c r="P161" s="102"/>
      <c r="Q161" s="102"/>
      <c r="R161" s="118"/>
      <c r="S161" s="118"/>
      <c r="T161" s="118"/>
      <c r="U161" s="118"/>
      <c r="V161" s="118"/>
    </row>
    <row r="162" outlineLevel="1">
      <c r="A162" s="326" t="s">
        <v>265</v>
      </c>
      <c r="B162" s="327" t="s">
        <v>226</v>
      </c>
      <c r="C162" s="328">
        <f t="array" ref="C162">INDEX('アイテム'!$AC$3:$AD$114, MATCH($A$1,'アイテム'!$A$3:$A$114,0), MATCH(C147,'アイテム'!$C$2:$AQ$2,0))</f>
        <v>14</v>
      </c>
      <c r="D162" s="328" t="str">
        <f t="array" ref="D162">INDEX('アイテム'!$AC$3:$AD$114, MATCH($A$1,'アイテム'!$A$3:$A$114,0), MATCH(D147,'アイテム'!$C$2:$AQ$2,0))</f>
        <v>30</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229</v>
      </c>
      <c r="C163" s="328">
        <f t="array" ref="C163">INDEX('アイテム'!$AE$3:$AF$114, MATCH($A$1,'アイテム'!$A$3:$A$114,0), MATCH(C147,'アイテム'!$C$2:$AQ$2,0))</f>
        <v>15</v>
      </c>
      <c r="D163" s="328" t="str">
        <f t="array" ref="D163">INDEX('アイテム'!$AE$3:$AF$114, MATCH($A$1,'アイテム'!$A$3:$A$114,0), MATCH(D147,'アイテム'!$C$2:$AQ$2,0))</f>
        <v>30</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233</v>
      </c>
      <c r="C164" s="328">
        <f t="array" ref="C164">INDEX('アイテム'!$AG$3:$AH$114, MATCH($A$1,'アイテム'!$A$3:$A$114,0), MATCH(C147,'アイテム'!$C$2:$AQ$2,0))</f>
        <v>11</v>
      </c>
      <c r="D164" s="328" t="str">
        <f t="array" ref="D164">INDEX('アイテム'!$AG$3:$AH$114, MATCH($A$1,'アイテム'!$A$3:$A$114,0), MATCH(D147,'アイテム'!$C$2:$AQ$2,0))</f>
        <v>22</v>
      </c>
      <c r="E164" s="322"/>
      <c r="F164" s="322"/>
      <c r="G164" s="114"/>
      <c r="H164" s="228"/>
      <c r="I164" s="228"/>
      <c r="J164" s="228"/>
      <c r="K164" s="118"/>
      <c r="L164" s="118"/>
      <c r="M164" s="118"/>
      <c r="N164" s="102"/>
      <c r="O164" s="102"/>
      <c r="P164" s="102"/>
      <c r="Q164" s="102"/>
      <c r="R164" s="118"/>
      <c r="S164" s="118"/>
      <c r="T164" s="118"/>
      <c r="U164" s="118"/>
      <c r="V164" s="118"/>
    </row>
    <row r="165" outlineLevel="1">
      <c r="A165" s="156"/>
      <c r="B165" s="327" t="s">
        <v>234</v>
      </c>
      <c r="C165" s="328">
        <f t="array" ref="C165">INDEX('アイテム'!$AI$3:$AJ$114, MATCH($A$1,'アイテム'!$A$3:$A$114,0), MATCH(C147,'アイテム'!$C$2:$AQ$2,0))</f>
        <v>9</v>
      </c>
      <c r="D165" s="328" t="str">
        <f t="array" ref="D165">INDEX('アイテム'!$AI$3:$AJ$114, MATCH($A$1,'アイテム'!$A$3:$A$114,0), MATCH(D147,'アイテム'!$C$2:$AQ$2,0))</f>
        <v>22</v>
      </c>
      <c r="E165" s="322"/>
      <c r="F165" s="322"/>
      <c r="G165" s="114"/>
      <c r="H165" s="228"/>
      <c r="I165" s="228"/>
      <c r="J165" s="228"/>
      <c r="K165" s="118"/>
      <c r="L165" s="118"/>
      <c r="M165" s="118"/>
      <c r="N165" s="102"/>
      <c r="O165" s="102"/>
      <c r="P165" s="102"/>
      <c r="Q165" s="102"/>
      <c r="R165" s="118"/>
      <c r="S165" s="118"/>
      <c r="T165" s="118"/>
      <c r="U165" s="118"/>
      <c r="V165" s="118"/>
    </row>
  </sheetData>
  <mergeCells count="156">
    <mergeCell ref="A52:A53"/>
    <mergeCell ref="D52:D53"/>
    <mergeCell ref="I52:I53"/>
    <mergeCell ref="J52:J53"/>
    <mergeCell ref="D54:D55"/>
    <mergeCell ref="I54:I55"/>
    <mergeCell ref="J54:J55"/>
    <mergeCell ref="A54:A55"/>
    <mergeCell ref="D56:D59"/>
    <mergeCell ref="I56:I59"/>
    <mergeCell ref="J56:J59"/>
    <mergeCell ref="A61:B61"/>
    <mergeCell ref="H62:J62"/>
    <mergeCell ref="H63:J69"/>
    <mergeCell ref="U33:U34"/>
    <mergeCell ref="U37:U38"/>
    <mergeCell ref="U39:U40"/>
    <mergeCell ref="U42:U43"/>
    <mergeCell ref="R46:V46"/>
    <mergeCell ref="R47:V50"/>
    <mergeCell ref="R51:V51"/>
    <mergeCell ref="U84:U86"/>
    <mergeCell ref="V84:V86"/>
    <mergeCell ref="U88:U90"/>
    <mergeCell ref="V88:V90"/>
    <mergeCell ref="R52:V53"/>
    <mergeCell ref="R54:V55"/>
    <mergeCell ref="R56:V59"/>
    <mergeCell ref="U63:U69"/>
    <mergeCell ref="V63:V69"/>
    <mergeCell ref="U71:U74"/>
    <mergeCell ref="V71:V74"/>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2:J32"/>
    <mergeCell ref="H33:J34"/>
    <mergeCell ref="H35:J35"/>
    <mergeCell ref="H36:J36"/>
    <mergeCell ref="H37:J38"/>
    <mergeCell ref="H39:J40"/>
    <mergeCell ref="H41:J41"/>
    <mergeCell ref="H42:J43"/>
    <mergeCell ref="H26:J26"/>
    <mergeCell ref="H27:J27"/>
    <mergeCell ref="H28:J28"/>
    <mergeCell ref="H29:J30"/>
    <mergeCell ref="U29:U30"/>
    <mergeCell ref="H31:J31"/>
    <mergeCell ref="U31:U32"/>
    <mergeCell ref="A39:A40"/>
    <mergeCell ref="D39:D40"/>
    <mergeCell ref="U78:U81"/>
    <mergeCell ref="V78:V81"/>
    <mergeCell ref="U82:U83"/>
    <mergeCell ref="V82:V83"/>
    <mergeCell ref="A62:B62"/>
    <mergeCell ref="A70:B70"/>
    <mergeCell ref="A75:B75"/>
    <mergeCell ref="A77:B77"/>
    <mergeCell ref="A92:B93"/>
    <mergeCell ref="A98:B98"/>
    <mergeCell ref="A56:A59"/>
    <mergeCell ref="A63:A69"/>
    <mergeCell ref="A71:A74"/>
    <mergeCell ref="A78:A83"/>
    <mergeCell ref="A84:A87"/>
    <mergeCell ref="A88:A90"/>
    <mergeCell ref="A95:A97"/>
    <mergeCell ref="A103:A104"/>
    <mergeCell ref="A105:A106"/>
    <mergeCell ref="A108:B109"/>
    <mergeCell ref="A110:A112"/>
    <mergeCell ref="A113:A114"/>
    <mergeCell ref="A116:B117"/>
    <mergeCell ref="A118:A122"/>
    <mergeCell ref="A152:A157"/>
    <mergeCell ref="A158:A161"/>
    <mergeCell ref="A162:A165"/>
    <mergeCell ref="A126:A131"/>
    <mergeCell ref="A132:A137"/>
    <mergeCell ref="A138:A144"/>
    <mergeCell ref="A146:B146"/>
    <mergeCell ref="A147:B147"/>
    <mergeCell ref="A148:A149"/>
    <mergeCell ref="A151:B151"/>
    <mergeCell ref="C143:C144"/>
    <mergeCell ref="D143:D144"/>
    <mergeCell ref="A99:A100"/>
    <mergeCell ref="A101:A102"/>
    <mergeCell ref="A123:A125"/>
    <mergeCell ref="C130:C131"/>
    <mergeCell ref="D130:D131"/>
    <mergeCell ref="C136:C137"/>
    <mergeCell ref="D136:D137"/>
    <mergeCell ref="D33:D34"/>
    <mergeCell ref="D37:D38"/>
    <mergeCell ref="D88:D90"/>
    <mergeCell ref="E88:E90"/>
    <mergeCell ref="D99:D100"/>
    <mergeCell ref="D101:D102"/>
    <mergeCell ref="D103:D104"/>
    <mergeCell ref="D105:D106"/>
    <mergeCell ref="A24:B25"/>
    <mergeCell ref="A26:A28"/>
    <mergeCell ref="A29:A30"/>
    <mergeCell ref="D29:D30"/>
    <mergeCell ref="A31:A32"/>
    <mergeCell ref="A33:A34"/>
    <mergeCell ref="A37:A38"/>
    <mergeCell ref="D47:D50"/>
    <mergeCell ref="I47:I50"/>
    <mergeCell ref="J47:J50"/>
    <mergeCell ref="A41:B41"/>
    <mergeCell ref="A42:A43"/>
    <mergeCell ref="E42:E43"/>
    <mergeCell ref="F42:F43"/>
    <mergeCell ref="G42:G43"/>
    <mergeCell ref="A45:B46"/>
    <mergeCell ref="A47:A50"/>
    <mergeCell ref="H70:J70"/>
    <mergeCell ref="H71:J74"/>
    <mergeCell ref="H75:J75"/>
    <mergeCell ref="H76:J76"/>
    <mergeCell ref="H77:J77"/>
    <mergeCell ref="H78:J90"/>
    <mergeCell ref="F88:F90"/>
    <mergeCell ref="K118:K119"/>
    <mergeCell ref="K120:L120"/>
    <mergeCell ref="K121:K126"/>
    <mergeCell ref="K127:K130"/>
    <mergeCell ref="K131:L131"/>
    <mergeCell ref="K133:K136"/>
    <mergeCell ref="K137:L137"/>
    <mergeCell ref="K140:L140"/>
    <mergeCell ref="G88:G90"/>
    <mergeCell ref="G98:J98"/>
    <mergeCell ref="G99:J100"/>
    <mergeCell ref="G101:J102"/>
    <mergeCell ref="G103:J104"/>
    <mergeCell ref="G105:J106"/>
    <mergeCell ref="K117:L117"/>
  </mergeCells>
  <conditionalFormatting sqref="K1:K15 K17:K62 K68:K73 K75:K77 K81:K83 K86:K98 K100 K102:K104 K106:K141">
    <cfRule type="containsText" dxfId="0" priority="1" operator="containsText" text="361">
      <formula>NOT(ISERROR(SEARCH(("361"),(K1))))</formula>
    </cfRule>
  </conditionalFormatting>
  <conditionalFormatting sqref="K1:K15 K17:K62 K68:K73 K75:K77 K81:K83 K86:K98 K100 K102:K104 K106:K141">
    <cfRule type="containsText" dxfId="1" priority="2" operator="containsText" text="363">
      <formula>NOT(ISERROR(SEARCH(("363"),(K1))))</formula>
    </cfRule>
  </conditionalFormatting>
  <conditionalFormatting sqref="K1:K15 K17:K62 K68:K73 K75:K77 K81:K83 K86:K98 K100 K102:K104 K106:K141">
    <cfRule type="containsText" dxfId="1" priority="3" operator="containsText" text="365">
      <formula>NOT(ISERROR(SEARCH(("365"),(K1))))</formula>
    </cfRule>
  </conditionalFormatting>
  <conditionalFormatting sqref="K1:K15 K17:K62 K68:K73 K75:K77 K81:K83 K86:K98 K100 K102:K104 K106:K141">
    <cfRule type="containsText" dxfId="1" priority="4" operator="containsText" text="366">
      <formula>NOT(ISERROR(SEARCH(("366"),(K1))))</formula>
    </cfRule>
  </conditionalFormatting>
  <conditionalFormatting sqref="K1:K15 K17:K62 K68:K73 K75:K77 K81:K83 K86:K98 K100 K102:K104 K106:K141">
    <cfRule type="containsText" dxfId="1" priority="5" operator="containsText" text="367">
      <formula>NOT(ISERROR(SEARCH(("367"),(K1))))</formula>
    </cfRule>
  </conditionalFormatting>
  <conditionalFormatting sqref="P100 P102:P104 P106">
    <cfRule type="cellIs" dxfId="2" priority="6" operator="equal">
      <formula>"敵のみ"</formula>
    </cfRule>
  </conditionalFormatting>
  <conditionalFormatting sqref="C100 C102:C104 C106">
    <cfRule type="cellIs" dxfId="3" priority="7" operator="equal">
      <formula>"-"</formula>
    </cfRule>
  </conditionalFormatting>
  <conditionalFormatting sqref="O1:O62 K41 N41 O68:O73 O75:O77 O81:O83 O86:O98 O100 O102:O104 O106:O165 P106">
    <cfRule type="cellIs" dxfId="4" priority="8" operator="greaterThan">
      <formula>0</formula>
    </cfRule>
  </conditionalFormatting>
  <conditionalFormatting sqref="P1:Q62 L41:M41 O41 P68:Q73 P75:Q77 P81:Q83 P86:Q98 P100:Q100 P102:Q104 P106:Q165">
    <cfRule type="cellIs" dxfId="5" priority="9" operator="lessThan">
      <formula>1</formula>
    </cfRule>
  </conditionalFormatting>
  <conditionalFormatting sqref="P1:Q62 L41:M41 O41 P68:Q73 P75:Q77 P81:Q83 P86:Q98 P100:Q100 P102:Q104 P106:Q165">
    <cfRule type="cellIs" dxfId="4" priority="10" operator="greaterThan">
      <formula>1</formula>
    </cfRule>
  </conditionalFormatting>
  <conditionalFormatting sqref="N25:N62 N68:N73 N75:N77 N81:N83 N86:N98 N100 N102:N104 N106">
    <cfRule type="cellIs" dxfId="6" priority="11" operator="greaterThan">
      <formula>0</formula>
    </cfRule>
  </conditionalFormatting>
  <conditionalFormatting sqref="N1:N15 N17:N62 N68:N73 N75:N77 N81:N83 N86:N98 N100 N102:N104 N106:N165">
    <cfRule type="containsText" dxfId="6" priority="12" operator="containsText" text="/">
      <formula>NOT(ISERROR(SEARCH(("/"),(N1))))</formula>
    </cfRule>
  </conditionalFormatting>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D3A9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643">
        <v>32.0</v>
      </c>
      <c r="B1" s="1644"/>
      <c r="C1" s="1645" t="str">
        <f>IMAGE(VLOOKUP($A$1,Fighters!A2:AI114,12,FALSE),1)</f>
        <v>#REF!</v>
      </c>
      <c r="D1" s="1646"/>
      <c r="E1" s="1646"/>
      <c r="F1" s="1646"/>
      <c r="G1" s="1647"/>
      <c r="H1" s="1648"/>
      <c r="I1" s="1646"/>
      <c r="J1" s="1647"/>
      <c r="K1" s="1649"/>
      <c r="L1" s="1646"/>
      <c r="M1" s="1647"/>
      <c r="N1" s="1650"/>
      <c r="O1" s="1650"/>
      <c r="P1" s="1650"/>
      <c r="Q1" s="1650"/>
      <c r="R1" s="1651"/>
      <c r="S1" s="1651"/>
      <c r="T1" s="1651"/>
      <c r="U1" s="1651"/>
      <c r="V1" s="1651"/>
    </row>
    <row r="2">
      <c r="A2" s="1652" t="str">
        <f>VLOOKUP($A$1,Fighters!$A$2:$AI$81,6,FALSE)</f>
        <v>#2d3a9f</v>
      </c>
      <c r="B2" s="1644"/>
      <c r="C2" s="1653"/>
      <c r="G2" s="1654"/>
      <c r="H2" s="1655"/>
      <c r="I2" s="1656"/>
      <c r="J2" s="1657"/>
      <c r="K2" s="1655"/>
      <c r="L2" s="1656"/>
      <c r="M2" s="1657"/>
      <c r="N2" s="1650"/>
      <c r="O2" s="1650"/>
      <c r="P2" s="1650"/>
      <c r="Q2" s="1650"/>
      <c r="R2" s="1651"/>
      <c r="S2" s="1651"/>
      <c r="T2" s="1651"/>
      <c r="U2" s="1651"/>
      <c r="V2" s="1651"/>
    </row>
    <row r="3">
      <c r="A3" s="1652" t="str">
        <f>VLOOKUP($A$1,Fighters!$A$2:$AI$81,14,FALSE)</f>
        <v>32. アイク</v>
      </c>
      <c r="B3" s="1644"/>
      <c r="C3" s="1653"/>
      <c r="G3" s="1654"/>
      <c r="H3" s="1658"/>
      <c r="I3" s="1658"/>
      <c r="J3" s="1658"/>
      <c r="K3" s="1659"/>
      <c r="L3" s="1659"/>
      <c r="M3" s="1659"/>
      <c r="N3" s="1650"/>
      <c r="O3" s="1650"/>
      <c r="P3" s="1650"/>
      <c r="Q3" s="1650"/>
      <c r="R3" s="1660"/>
      <c r="S3" s="1651"/>
      <c r="T3" s="1651"/>
      <c r="U3" s="1651"/>
      <c r="V3" s="1651"/>
    </row>
    <row r="4">
      <c r="A4" s="1652" t="str">
        <f>VLOOKUP($A$1,Fighters!$A$2:$AI$81,13,FALSE)</f>
        <v>1</v>
      </c>
      <c r="B4" s="1644"/>
      <c r="C4" s="1653"/>
      <c r="G4" s="1654"/>
      <c r="H4" s="1661"/>
      <c r="I4" s="1661"/>
      <c r="J4" s="1658"/>
      <c r="K4" s="1659"/>
      <c r="L4" s="1659"/>
      <c r="M4" s="1659"/>
      <c r="N4" s="1650"/>
      <c r="O4" s="1650"/>
      <c r="P4" s="1650"/>
      <c r="Q4" s="1650"/>
      <c r="R4" s="1660"/>
      <c r="S4" s="1651"/>
      <c r="T4" s="1651"/>
      <c r="U4" s="1651"/>
      <c r="V4" s="1651"/>
    </row>
    <row r="5" ht="16.5" customHeight="1">
      <c r="A5" s="1643"/>
      <c r="B5" s="1644"/>
      <c r="C5" s="1653"/>
      <c r="G5" s="1654"/>
      <c r="H5" s="1662"/>
      <c r="I5" s="1662"/>
      <c r="J5" s="1663"/>
      <c r="K5" s="1664"/>
      <c r="L5" s="1665"/>
      <c r="M5" s="1665"/>
      <c r="N5" s="1650"/>
      <c r="O5" s="1650"/>
      <c r="P5" s="1650"/>
      <c r="Q5" s="1650"/>
      <c r="R5" s="1660"/>
      <c r="S5" s="1651"/>
      <c r="T5" s="1651"/>
      <c r="U5" s="1651"/>
      <c r="V5" s="1651"/>
    </row>
    <row r="6">
      <c r="A6" s="1644"/>
      <c r="B6" s="1644"/>
      <c r="C6" s="1653"/>
      <c r="G6" s="1654"/>
      <c r="H6" s="1661"/>
      <c r="I6" s="1666" t="s">
        <v>39</v>
      </c>
      <c r="J6" s="1664"/>
      <c r="K6" s="1667"/>
      <c r="L6" s="1665"/>
      <c r="M6" s="1665"/>
      <c r="N6" s="1650"/>
      <c r="O6" s="1650"/>
      <c r="P6" s="1650"/>
      <c r="Q6" s="1650"/>
      <c r="R6" s="1660"/>
      <c r="S6" s="1651"/>
      <c r="T6" s="1651"/>
      <c r="U6" s="1651"/>
      <c r="V6" s="1651"/>
    </row>
    <row r="7">
      <c r="A7" s="1644"/>
      <c r="B7" s="1644"/>
      <c r="C7" s="1653"/>
      <c r="G7" s="1654"/>
      <c r="H7" s="1662"/>
      <c r="I7" s="1662"/>
      <c r="J7" s="1664"/>
      <c r="K7" s="1667"/>
      <c r="L7" s="1665"/>
      <c r="M7" s="1665"/>
      <c r="N7" s="1650"/>
      <c r="O7" s="1650"/>
      <c r="P7" s="1650"/>
      <c r="Q7" s="1650"/>
      <c r="R7" s="1660"/>
      <c r="S7" s="1651"/>
      <c r="T7" s="1651"/>
      <c r="U7" s="1651"/>
      <c r="V7" s="1651"/>
    </row>
    <row r="8">
      <c r="A8" s="1644"/>
      <c r="B8" s="1644"/>
      <c r="C8" s="1653"/>
      <c r="G8" s="1654"/>
      <c r="H8" s="1668">
        <v>44533.41751827546</v>
      </c>
      <c r="I8" s="1646"/>
      <c r="J8" s="1647"/>
      <c r="K8" s="1664"/>
      <c r="L8" s="1665"/>
      <c r="M8" s="1665"/>
      <c r="N8" s="1650"/>
      <c r="O8" s="1650"/>
      <c r="P8" s="1650"/>
      <c r="Q8" s="1650"/>
      <c r="R8" s="1660"/>
      <c r="S8" s="1651"/>
      <c r="T8" s="1651"/>
      <c r="U8" s="1651"/>
      <c r="V8" s="1651"/>
    </row>
    <row r="9">
      <c r="A9" s="1644"/>
      <c r="B9" s="1644"/>
      <c r="C9" s="1653"/>
      <c r="G9" s="1654"/>
      <c r="H9" s="1655"/>
      <c r="I9" s="1656"/>
      <c r="J9" s="1657"/>
      <c r="K9" s="1651"/>
      <c r="L9" s="1650"/>
      <c r="M9" s="1650"/>
      <c r="N9" s="1650"/>
      <c r="O9" s="1650"/>
      <c r="P9" s="1650"/>
      <c r="Q9" s="1650"/>
      <c r="R9" s="1660"/>
      <c r="S9" s="1651"/>
      <c r="T9" s="1651"/>
      <c r="U9" s="1651"/>
      <c r="V9" s="1651"/>
    </row>
    <row r="10">
      <c r="A10" s="1644"/>
      <c r="B10" s="1644"/>
      <c r="C10" s="1653"/>
      <c r="G10" s="1654"/>
      <c r="H10" s="1669"/>
      <c r="I10" s="1669"/>
      <c r="J10" s="1651"/>
      <c r="K10" s="1651"/>
      <c r="L10" s="1650"/>
      <c r="M10" s="1650"/>
      <c r="N10" s="1650"/>
      <c r="O10" s="1650"/>
      <c r="P10" s="1650"/>
      <c r="Q10" s="1650"/>
      <c r="R10" s="1660"/>
      <c r="S10" s="1651"/>
      <c r="T10" s="1651"/>
      <c r="U10" s="1651"/>
      <c r="V10" s="1651"/>
    </row>
    <row r="11">
      <c r="A11" s="1670" t="s">
        <v>40</v>
      </c>
      <c r="B11" s="1647"/>
      <c r="C11" s="1653"/>
      <c r="G11" s="1654"/>
      <c r="H11" s="1662"/>
      <c r="I11" s="1662"/>
      <c r="J11" s="1651"/>
      <c r="K11" s="1651"/>
      <c r="L11" s="1650"/>
      <c r="M11" s="1650"/>
      <c r="N11" s="1650"/>
      <c r="O11" s="1650"/>
      <c r="P11" s="1650"/>
      <c r="Q11" s="1650"/>
      <c r="R11" s="1660"/>
      <c r="S11" s="1651"/>
      <c r="T11" s="1651"/>
      <c r="U11" s="1651"/>
      <c r="V11" s="1651"/>
    </row>
    <row r="12">
      <c r="A12" s="1655"/>
      <c r="B12" s="1657"/>
      <c r="C12" s="1655"/>
      <c r="D12" s="1656"/>
      <c r="E12" s="1656"/>
      <c r="F12" s="1656"/>
      <c r="G12" s="1657"/>
      <c r="H12" s="1671"/>
      <c r="I12" s="1671"/>
      <c r="J12" s="1644"/>
      <c r="K12" s="1644"/>
      <c r="L12" s="1650"/>
      <c r="M12" s="1650"/>
      <c r="N12" s="1650"/>
      <c r="O12" s="1650"/>
      <c r="P12" s="1650"/>
      <c r="Q12" s="1650"/>
      <c r="R12" s="1660"/>
      <c r="S12" s="1651"/>
      <c r="T12" s="1651"/>
      <c r="U12" s="1651"/>
      <c r="V12" s="1651"/>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107 [14th]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37F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1.815 [62nd]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0.912 [69th]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48F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0.0924 [87th]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29.9 [71st]</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1.507 [75th]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0.112 [35th]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 [45th]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1.134 [27th]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33F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31 [58th]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1.65 [33rd]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0.009 [52nd]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2.64 [34th]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0.092 [42nd]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717</v>
      </c>
      <c r="D26" s="139" t="s">
        <v>2516</v>
      </c>
      <c r="E26" s="139" t="s">
        <v>535</v>
      </c>
      <c r="F26" s="138">
        <v>3.0</v>
      </c>
      <c r="G26" s="139" t="s">
        <v>147</v>
      </c>
      <c r="H26" s="140" t="s">
        <v>2517</v>
      </c>
      <c r="I26" s="110"/>
      <c r="J26" s="109"/>
      <c r="K26" s="138"/>
      <c r="L26" s="282"/>
      <c r="M26" s="363"/>
      <c r="N26" s="363"/>
      <c r="O26" s="145">
        <v>0.0</v>
      </c>
      <c r="P26" s="145">
        <v>1.0</v>
      </c>
      <c r="Q26" s="145">
        <v>1.0</v>
      </c>
      <c r="R26" s="100"/>
      <c r="S26" s="100"/>
      <c r="T26" s="100"/>
      <c r="U26" s="145" t="s">
        <v>69</v>
      </c>
      <c r="V26" s="100"/>
    </row>
    <row r="27" outlineLevel="1">
      <c r="A27" s="146"/>
      <c r="B27" s="147" t="s">
        <v>63</v>
      </c>
      <c r="C27" s="467" t="s">
        <v>71</v>
      </c>
      <c r="D27" s="216" t="s">
        <v>105</v>
      </c>
      <c r="E27" s="216" t="s">
        <v>535</v>
      </c>
      <c r="F27" s="138">
        <v>3.0</v>
      </c>
      <c r="G27" s="139" t="s">
        <v>147</v>
      </c>
      <c r="H27" s="140" t="s">
        <v>2518</v>
      </c>
      <c r="I27" s="110"/>
      <c r="J27" s="109"/>
      <c r="K27" s="282"/>
      <c r="L27" s="282"/>
      <c r="M27" s="363"/>
      <c r="N27" s="363"/>
      <c r="O27" s="145">
        <v>0.0</v>
      </c>
      <c r="P27" s="145">
        <v>1.0</v>
      </c>
      <c r="Q27" s="145">
        <v>1.0</v>
      </c>
      <c r="R27" s="100"/>
      <c r="S27" s="100"/>
      <c r="T27" s="100"/>
      <c r="U27" s="145" t="s">
        <v>76</v>
      </c>
      <c r="V27" s="100"/>
    </row>
    <row r="28" outlineLevel="1">
      <c r="A28" s="156"/>
      <c r="B28" s="147" t="s">
        <v>70</v>
      </c>
      <c r="C28" s="467" t="s">
        <v>713</v>
      </c>
      <c r="D28" s="216" t="s">
        <v>628</v>
      </c>
      <c r="E28" s="450" t="s">
        <v>93</v>
      </c>
      <c r="F28" s="138">
        <v>8.4</v>
      </c>
      <c r="G28" s="139" t="s">
        <v>95</v>
      </c>
      <c r="H28" s="366"/>
      <c r="I28" s="110"/>
      <c r="J28" s="109"/>
      <c r="K28" s="282"/>
      <c r="L28" s="282"/>
      <c r="M28" s="363"/>
      <c r="N28" s="363"/>
      <c r="O28" s="145">
        <v>0.0</v>
      </c>
      <c r="P28" s="145">
        <v>1.0</v>
      </c>
      <c r="Q28" s="145">
        <v>1.0</v>
      </c>
      <c r="R28" s="100"/>
      <c r="S28" s="100"/>
      <c r="T28" s="100"/>
      <c r="U28" s="145" t="s">
        <v>76</v>
      </c>
      <c r="V28" s="100"/>
    </row>
    <row r="29" outlineLevel="1">
      <c r="A29" s="133" t="s">
        <v>77</v>
      </c>
      <c r="B29" s="160"/>
      <c r="C29" s="467" t="s">
        <v>561</v>
      </c>
      <c r="D29" s="195" t="s">
        <v>111</v>
      </c>
      <c r="E29" s="467" t="s">
        <v>2519</v>
      </c>
      <c r="F29" s="138" t="s">
        <v>2520</v>
      </c>
      <c r="G29" s="162" t="s">
        <v>2521</v>
      </c>
      <c r="H29" s="163" t="s">
        <v>2522</v>
      </c>
      <c r="I29" s="164"/>
      <c r="J29" s="104"/>
      <c r="K29" s="138"/>
      <c r="L29" s="282"/>
      <c r="M29" s="363"/>
      <c r="N29" s="363"/>
      <c r="O29" s="145">
        <v>0.0</v>
      </c>
      <c r="P29" s="145">
        <v>1.0</v>
      </c>
      <c r="Q29" s="145">
        <v>1.0</v>
      </c>
      <c r="R29" s="100"/>
      <c r="S29" s="100"/>
      <c r="T29" s="100"/>
      <c r="U29" s="166" t="s">
        <v>69</v>
      </c>
      <c r="V29" s="100"/>
    </row>
    <row r="30" outlineLevel="1">
      <c r="A30" s="156"/>
      <c r="B30" s="147" t="s">
        <v>84</v>
      </c>
      <c r="C30" s="467" t="s">
        <v>894</v>
      </c>
      <c r="D30" s="107"/>
      <c r="E30" s="467" t="s">
        <v>274</v>
      </c>
      <c r="F30" s="138">
        <v>10.799999999999999</v>
      </c>
      <c r="G30" s="162" t="s">
        <v>121</v>
      </c>
      <c r="H30" s="106"/>
      <c r="I30" s="168"/>
      <c r="J30" s="107"/>
      <c r="K30" s="282"/>
      <c r="L30" s="282"/>
      <c r="M30" s="363"/>
      <c r="N30" s="363"/>
      <c r="O30" s="145">
        <v>0.0</v>
      </c>
      <c r="P30" s="145">
        <v>1.0</v>
      </c>
      <c r="Q30" s="145">
        <v>1.0</v>
      </c>
      <c r="R30" s="100"/>
      <c r="S30" s="100"/>
      <c r="T30" s="100"/>
      <c r="U30" s="156"/>
      <c r="V30" s="100"/>
    </row>
    <row r="31" outlineLevel="1">
      <c r="A31" s="170" t="s">
        <v>89</v>
      </c>
      <c r="B31" s="147" t="s">
        <v>90</v>
      </c>
      <c r="C31" s="216" t="s">
        <v>373</v>
      </c>
      <c r="D31" s="216" t="s">
        <v>384</v>
      </c>
      <c r="E31" s="216" t="s">
        <v>1217</v>
      </c>
      <c r="F31" s="138">
        <v>16.2</v>
      </c>
      <c r="G31" s="139" t="s">
        <v>407</v>
      </c>
      <c r="H31" s="159"/>
      <c r="I31" s="110"/>
      <c r="J31" s="109"/>
      <c r="K31" s="138"/>
      <c r="L31" s="282"/>
      <c r="M31" s="363"/>
      <c r="N31" s="363"/>
      <c r="O31" s="145">
        <v>1.0</v>
      </c>
      <c r="P31" s="145">
        <v>1.0</v>
      </c>
      <c r="Q31" s="145">
        <v>1.0</v>
      </c>
      <c r="R31" s="100"/>
      <c r="S31" s="100"/>
      <c r="T31" s="100"/>
      <c r="U31" s="145" t="s">
        <v>62</v>
      </c>
      <c r="V31" s="100"/>
    </row>
    <row r="32" outlineLevel="1">
      <c r="A32" s="133" t="s">
        <v>97</v>
      </c>
      <c r="B32" s="160"/>
      <c r="C32" s="216" t="s">
        <v>1292</v>
      </c>
      <c r="D32" s="195" t="s">
        <v>118</v>
      </c>
      <c r="E32" s="216" t="s">
        <v>129</v>
      </c>
      <c r="F32" s="138">
        <v>14.399999999999999</v>
      </c>
      <c r="G32" s="139" t="s">
        <v>88</v>
      </c>
      <c r="H32" s="456"/>
      <c r="I32" s="164"/>
      <c r="J32" s="104"/>
      <c r="K32" s="282"/>
      <c r="L32" s="282"/>
      <c r="M32" s="363"/>
      <c r="N32" s="363"/>
      <c r="O32" s="145">
        <v>0.0</v>
      </c>
      <c r="P32" s="145">
        <v>1.0</v>
      </c>
      <c r="Q32" s="145">
        <v>1.0</v>
      </c>
      <c r="R32" s="100"/>
      <c r="S32" s="100"/>
      <c r="T32" s="100"/>
      <c r="U32" s="166" t="s">
        <v>62</v>
      </c>
      <c r="V32" s="100"/>
    </row>
    <row r="33" outlineLevel="1">
      <c r="A33" s="156"/>
      <c r="B33" s="147" t="s">
        <v>84</v>
      </c>
      <c r="C33" s="216" t="s">
        <v>1602</v>
      </c>
      <c r="D33" s="107"/>
      <c r="E33" s="216" t="s">
        <v>80</v>
      </c>
      <c r="F33" s="138">
        <v>9.6</v>
      </c>
      <c r="G33" s="139" t="s">
        <v>123</v>
      </c>
      <c r="H33" s="106"/>
      <c r="I33" s="168"/>
      <c r="J33" s="107"/>
      <c r="K33" s="145"/>
      <c r="L33" s="363"/>
      <c r="M33" s="363"/>
      <c r="N33" s="363"/>
      <c r="O33" s="145">
        <v>0.0</v>
      </c>
      <c r="P33" s="145">
        <v>1.0</v>
      </c>
      <c r="Q33" s="145">
        <v>1.0</v>
      </c>
      <c r="R33" s="100"/>
      <c r="S33" s="100"/>
      <c r="T33" s="100"/>
      <c r="U33" s="156"/>
      <c r="V33" s="100"/>
    </row>
    <row r="34" outlineLevel="1">
      <c r="A34" s="170" t="s">
        <v>103</v>
      </c>
      <c r="B34" s="160"/>
      <c r="C34" s="216" t="s">
        <v>319</v>
      </c>
      <c r="D34" s="216" t="s">
        <v>593</v>
      </c>
      <c r="E34" s="216" t="s">
        <v>80</v>
      </c>
      <c r="F34" s="138">
        <v>9.6</v>
      </c>
      <c r="G34" s="139" t="s">
        <v>123</v>
      </c>
      <c r="H34" s="159"/>
      <c r="I34" s="110"/>
      <c r="J34" s="109"/>
      <c r="K34" s="145"/>
      <c r="L34" s="363"/>
      <c r="M34" s="363"/>
      <c r="N34" s="363"/>
      <c r="O34" s="145">
        <v>0.0</v>
      </c>
      <c r="P34" s="145">
        <v>1.0</v>
      </c>
      <c r="Q34" s="145">
        <v>1.0</v>
      </c>
      <c r="R34" s="100"/>
      <c r="S34" s="100"/>
      <c r="T34" s="100"/>
      <c r="U34" s="145" t="s">
        <v>62</v>
      </c>
      <c r="V34" s="100"/>
    </row>
    <row r="35" outlineLevel="1">
      <c r="A35" s="133" t="s">
        <v>109</v>
      </c>
      <c r="B35" s="147" t="s">
        <v>152</v>
      </c>
      <c r="C35" s="216" t="s">
        <v>523</v>
      </c>
      <c r="D35" s="195" t="s">
        <v>1202</v>
      </c>
      <c r="E35" s="216" t="s">
        <v>296</v>
      </c>
      <c r="F35" s="138">
        <v>22.8</v>
      </c>
      <c r="G35" s="139" t="s">
        <v>297</v>
      </c>
      <c r="H35" s="163" t="s">
        <v>2523</v>
      </c>
      <c r="I35" s="164"/>
      <c r="J35" s="104"/>
      <c r="K35" s="282"/>
      <c r="L35" s="282"/>
      <c r="M35" s="363"/>
      <c r="N35" s="363"/>
      <c r="O35" s="145">
        <v>0.0</v>
      </c>
      <c r="P35" s="145">
        <v>1.0</v>
      </c>
      <c r="Q35" s="145">
        <v>1.0</v>
      </c>
      <c r="R35" s="100"/>
      <c r="S35" s="100"/>
      <c r="T35" s="100"/>
      <c r="U35" s="166" t="s">
        <v>697</v>
      </c>
      <c r="V35" s="100"/>
    </row>
    <row r="36" outlineLevel="1">
      <c r="A36" s="156"/>
      <c r="B36" s="147"/>
      <c r="C36" s="216" t="s">
        <v>2524</v>
      </c>
      <c r="D36" s="107"/>
      <c r="E36" s="216" t="s">
        <v>2525</v>
      </c>
      <c r="F36" s="138" t="s">
        <v>2526</v>
      </c>
      <c r="G36" s="139" t="s">
        <v>2527</v>
      </c>
      <c r="H36" s="106"/>
      <c r="I36" s="168"/>
      <c r="J36" s="107"/>
      <c r="K36" s="282"/>
      <c r="L36" s="282"/>
      <c r="M36" s="363"/>
      <c r="N36" s="363"/>
      <c r="O36" s="145">
        <v>0.0</v>
      </c>
      <c r="P36" s="145">
        <v>1.0</v>
      </c>
      <c r="Q36" s="145">
        <v>1.0</v>
      </c>
      <c r="R36" s="100"/>
      <c r="S36" s="100"/>
      <c r="T36" s="100"/>
      <c r="U36" s="156"/>
      <c r="V36" s="100"/>
    </row>
    <row r="37" outlineLevel="1">
      <c r="A37" s="133" t="s">
        <v>116</v>
      </c>
      <c r="B37" s="160"/>
      <c r="C37" s="216" t="s">
        <v>847</v>
      </c>
      <c r="D37" s="195" t="s">
        <v>1580</v>
      </c>
      <c r="E37" s="216" t="s">
        <v>394</v>
      </c>
      <c r="F37" s="138">
        <v>20.4</v>
      </c>
      <c r="G37" s="139" t="s">
        <v>88</v>
      </c>
      <c r="H37" s="163" t="s">
        <v>1119</v>
      </c>
      <c r="I37" s="164"/>
      <c r="J37" s="104"/>
      <c r="K37" s="363"/>
      <c r="L37" s="363"/>
      <c r="M37" s="363"/>
      <c r="N37" s="363"/>
      <c r="O37" s="145">
        <v>0.0</v>
      </c>
      <c r="P37" s="145">
        <v>1.0</v>
      </c>
      <c r="Q37" s="145">
        <v>1.0</v>
      </c>
      <c r="R37" s="100"/>
      <c r="S37" s="100"/>
      <c r="T37" s="100"/>
      <c r="U37" s="166" t="s">
        <v>297</v>
      </c>
      <c r="V37" s="100"/>
    </row>
    <row r="38" outlineLevel="1">
      <c r="A38" s="156"/>
      <c r="B38" s="147" t="s">
        <v>2528</v>
      </c>
      <c r="C38" s="216" t="s">
        <v>574</v>
      </c>
      <c r="D38" s="107"/>
      <c r="E38" s="216" t="s">
        <v>128</v>
      </c>
      <c r="F38" s="138">
        <v>12.0</v>
      </c>
      <c r="G38" s="139" t="s">
        <v>95</v>
      </c>
      <c r="H38" s="106"/>
      <c r="I38" s="168"/>
      <c r="J38" s="107"/>
      <c r="K38" s="363"/>
      <c r="L38" s="363"/>
      <c r="M38" s="363"/>
      <c r="N38" s="363"/>
      <c r="O38" s="145">
        <v>0.0</v>
      </c>
      <c r="P38" s="145">
        <v>1.0</v>
      </c>
      <c r="Q38" s="145">
        <v>1.0</v>
      </c>
      <c r="R38" s="100"/>
      <c r="S38" s="100"/>
      <c r="T38" s="100"/>
      <c r="U38" s="156"/>
      <c r="V38" s="100"/>
    </row>
    <row r="39" outlineLevel="1">
      <c r="A39" s="133" t="s">
        <v>124</v>
      </c>
      <c r="B39" s="147" t="s">
        <v>125</v>
      </c>
      <c r="C39" s="216" t="s">
        <v>721</v>
      </c>
      <c r="D39" s="195" t="s">
        <v>1580</v>
      </c>
      <c r="E39" s="216" t="s">
        <v>153</v>
      </c>
      <c r="F39" s="138">
        <v>19.2</v>
      </c>
      <c r="G39" s="139" t="s">
        <v>88</v>
      </c>
      <c r="H39" s="163" t="s">
        <v>1214</v>
      </c>
      <c r="I39" s="164"/>
      <c r="J39" s="104"/>
      <c r="K39" s="282"/>
      <c r="L39" s="282"/>
      <c r="M39" s="363"/>
      <c r="N39" s="363"/>
      <c r="O39" s="145">
        <v>0.0</v>
      </c>
      <c r="P39" s="145">
        <v>1.0</v>
      </c>
      <c r="Q39" s="145">
        <v>1.0</v>
      </c>
      <c r="R39" s="100"/>
      <c r="S39" s="100"/>
      <c r="T39" s="100"/>
      <c r="U39" s="166" t="s">
        <v>69</v>
      </c>
      <c r="V39" s="100"/>
    </row>
    <row r="40" outlineLevel="1">
      <c r="A40" s="146"/>
      <c r="B40" s="147" t="s">
        <v>131</v>
      </c>
      <c r="C40" s="216" t="s">
        <v>2357</v>
      </c>
      <c r="D40" s="210"/>
      <c r="E40" s="216" t="s">
        <v>296</v>
      </c>
      <c r="F40" s="138">
        <v>22.8</v>
      </c>
      <c r="G40" s="139" t="s">
        <v>297</v>
      </c>
      <c r="H40" s="212"/>
      <c r="J40" s="210"/>
      <c r="K40" s="282"/>
      <c r="L40" s="282"/>
      <c r="M40" s="363"/>
      <c r="N40" s="363"/>
      <c r="O40" s="145">
        <v>0.0</v>
      </c>
      <c r="P40" s="145">
        <v>1.0</v>
      </c>
      <c r="Q40" s="145">
        <v>1.0</v>
      </c>
      <c r="R40" s="100"/>
      <c r="S40" s="100"/>
      <c r="T40" s="100"/>
      <c r="U40" s="146"/>
      <c r="V40" s="100"/>
    </row>
    <row r="41" outlineLevel="1">
      <c r="A41" s="156"/>
      <c r="B41" s="147" t="s">
        <v>432</v>
      </c>
      <c r="C41" s="216" t="s">
        <v>1990</v>
      </c>
      <c r="D41" s="107"/>
      <c r="E41" s="216" t="s">
        <v>274</v>
      </c>
      <c r="F41" s="138">
        <v>10.799999999999999</v>
      </c>
      <c r="G41" s="139" t="s">
        <v>95</v>
      </c>
      <c r="H41" s="106"/>
      <c r="I41" s="168"/>
      <c r="J41" s="107"/>
      <c r="K41" s="282"/>
      <c r="L41" s="282"/>
      <c r="M41" s="363"/>
      <c r="N41" s="363"/>
      <c r="O41" s="145">
        <v>0.0</v>
      </c>
      <c r="P41" s="145">
        <v>1.0</v>
      </c>
      <c r="Q41" s="145">
        <v>1.0</v>
      </c>
      <c r="R41" s="100"/>
      <c r="S41" s="100"/>
      <c r="T41" s="100"/>
      <c r="U41" s="156"/>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187" t="str">
        <f>'テンプレート'!R56</f>
        <v>備考</v>
      </c>
      <c r="S44" s="110"/>
      <c r="T44" s="110"/>
      <c r="U44" s="110"/>
      <c r="V44" s="110"/>
    </row>
    <row r="45" outlineLevel="1">
      <c r="A45" s="188" t="s">
        <v>144</v>
      </c>
      <c r="B45" s="373"/>
      <c r="C45" s="239" t="s">
        <v>1290</v>
      </c>
      <c r="D45" s="374" t="s">
        <v>462</v>
      </c>
      <c r="E45" s="401" t="s">
        <v>1665</v>
      </c>
      <c r="F45" s="193">
        <v>9.0</v>
      </c>
      <c r="G45" s="193">
        <v>7.65</v>
      </c>
      <c r="H45" s="1672" t="s">
        <v>60</v>
      </c>
      <c r="I45" s="454" t="str">
        <f t="array" ref="I45">INDEX('空中攻撃'!$O$3:$AA$109, MATCH($A$1,'空中攻撃'!$A$3:$A$109,0), MATCH(A45,'空中攻撃'!$O$2:$S$2,0))</f>
        <v>8</v>
      </c>
      <c r="J45" s="195" t="s">
        <v>330</v>
      </c>
      <c r="K45" s="376"/>
      <c r="L45" s="377"/>
      <c r="M45" s="825"/>
      <c r="N45" s="825"/>
      <c r="O45" s="199">
        <v>0.0</v>
      </c>
      <c r="P45" s="199">
        <v>1.0</v>
      </c>
      <c r="Q45" s="199">
        <v>1.0</v>
      </c>
      <c r="R45" s="1124"/>
      <c r="S45" s="164"/>
      <c r="T45" s="164"/>
      <c r="U45" s="164"/>
      <c r="V45" s="104"/>
    </row>
    <row r="46" outlineLevel="1">
      <c r="A46" s="156"/>
      <c r="B46" s="373" t="s">
        <v>84</v>
      </c>
      <c r="C46" s="239" t="s">
        <v>2529</v>
      </c>
      <c r="D46" s="107"/>
      <c r="E46" s="239" t="s">
        <v>86</v>
      </c>
      <c r="F46" s="138">
        <v>7.199999999999999</v>
      </c>
      <c r="G46" s="138">
        <v>6.12</v>
      </c>
      <c r="H46" s="1672" t="s">
        <v>60</v>
      </c>
      <c r="I46" s="156"/>
      <c r="J46" s="107"/>
      <c r="K46" s="376"/>
      <c r="L46" s="377"/>
      <c r="M46" s="825"/>
      <c r="N46" s="825"/>
      <c r="O46" s="199">
        <v>0.0</v>
      </c>
      <c r="P46" s="199">
        <v>1.0</v>
      </c>
      <c r="Q46" s="199">
        <v>1.0</v>
      </c>
      <c r="R46" s="106"/>
      <c r="S46" s="168"/>
      <c r="T46" s="168"/>
      <c r="U46" s="168"/>
      <c r="V46" s="107"/>
    </row>
    <row r="47" outlineLevel="1">
      <c r="A47" s="213" t="s">
        <v>151</v>
      </c>
      <c r="B47" s="373"/>
      <c r="C47" s="239" t="s">
        <v>2374</v>
      </c>
      <c r="D47" s="450" t="s">
        <v>455</v>
      </c>
      <c r="E47" s="365" t="s">
        <v>228</v>
      </c>
      <c r="F47" s="138">
        <v>15.6</v>
      </c>
      <c r="G47" s="138">
        <v>13.26</v>
      </c>
      <c r="H47" s="138" t="s">
        <v>75</v>
      </c>
      <c r="I47" s="621" t="str">
        <f t="array" ref="I47">INDEX('空中攻撃'!$O$3:$AA$109, MATCH($A$1,'空中攻撃'!$A$3:$A$109,0), MATCH(A47,'空中攻撃'!$O$2:$S$2,0))</f>
        <v>14</v>
      </c>
      <c r="J47" s="216" t="s">
        <v>1180</v>
      </c>
      <c r="K47" s="376"/>
      <c r="L47" s="377"/>
      <c r="M47" s="825"/>
      <c r="N47" s="825"/>
      <c r="O47" s="199">
        <v>0.0</v>
      </c>
      <c r="P47" s="199">
        <v>1.0</v>
      </c>
      <c r="Q47" s="199">
        <v>1.0</v>
      </c>
      <c r="R47" s="1127"/>
      <c r="S47" s="110"/>
      <c r="T47" s="110"/>
      <c r="U47" s="110"/>
      <c r="V47" s="109"/>
    </row>
    <row r="48" outlineLevel="1">
      <c r="A48" s="213" t="s">
        <v>157</v>
      </c>
      <c r="B48" s="373"/>
      <c r="C48" s="239" t="s">
        <v>277</v>
      </c>
      <c r="D48" s="380">
        <v>54.0</v>
      </c>
      <c r="E48" s="239" t="s">
        <v>119</v>
      </c>
      <c r="F48" s="138">
        <v>16.8</v>
      </c>
      <c r="G48" s="138">
        <v>14.280000000000001</v>
      </c>
      <c r="H48" s="1672" t="s">
        <v>75</v>
      </c>
      <c r="I48" s="621">
        <f t="array" ref="I48">INDEX('空中攻撃'!$O$3:$AA$109, MATCH($A$1,'空中攻撃'!$A$3:$A$109,0), MATCH(A48,'空中攻撃'!$O$2:$S$2,0))</f>
        <v>11</v>
      </c>
      <c r="J48" s="467" t="s">
        <v>1624</v>
      </c>
      <c r="K48" s="376"/>
      <c r="L48" s="377"/>
      <c r="M48" s="825"/>
      <c r="N48" s="825"/>
      <c r="O48" s="199">
        <v>0.0</v>
      </c>
      <c r="P48" s="199">
        <v>1.0</v>
      </c>
      <c r="Q48" s="199">
        <v>1.0</v>
      </c>
      <c r="R48" s="1127"/>
      <c r="S48" s="110"/>
      <c r="T48" s="110"/>
      <c r="U48" s="110"/>
      <c r="V48" s="109"/>
    </row>
    <row r="49" outlineLevel="1">
      <c r="A49" s="213" t="s">
        <v>162</v>
      </c>
      <c r="B49" s="373"/>
      <c r="C49" s="239" t="s">
        <v>1691</v>
      </c>
      <c r="D49" s="380" t="s">
        <v>402</v>
      </c>
      <c r="E49" s="239" t="s">
        <v>232</v>
      </c>
      <c r="F49" s="138">
        <v>13.2</v>
      </c>
      <c r="G49" s="138">
        <v>11.22</v>
      </c>
      <c r="H49" s="1672" t="s">
        <v>147</v>
      </c>
      <c r="I49" s="621" t="str">
        <f t="array" ref="I49">INDEX('空中攻撃'!$O$3:$AA$109, MATCH($A$1,'空中攻撃'!$A$3:$A$109,0), MATCH(A49,'空中攻撃'!$O$2:$S$2,0))</f>
        <v>9</v>
      </c>
      <c r="J49" s="467" t="s">
        <v>2530</v>
      </c>
      <c r="K49" s="377"/>
      <c r="L49" s="377"/>
      <c r="M49" s="825"/>
      <c r="N49" s="825"/>
      <c r="O49" s="199">
        <v>0.0</v>
      </c>
      <c r="P49" s="199">
        <v>1.0</v>
      </c>
      <c r="Q49" s="199">
        <v>1.0</v>
      </c>
      <c r="R49" s="1127"/>
      <c r="S49" s="110"/>
      <c r="T49" s="110"/>
      <c r="U49" s="110"/>
      <c r="V49" s="109"/>
    </row>
    <row r="50" outlineLevel="1">
      <c r="A50" s="213" t="s">
        <v>166</v>
      </c>
      <c r="B50" s="373"/>
      <c r="C50" s="239" t="s">
        <v>454</v>
      </c>
      <c r="D50" s="380">
        <v>54.0</v>
      </c>
      <c r="E50" s="239" t="s">
        <v>386</v>
      </c>
      <c r="F50" s="138">
        <v>18.0</v>
      </c>
      <c r="G50" s="138">
        <v>15.3</v>
      </c>
      <c r="H50" s="1672" t="s">
        <v>75</v>
      </c>
      <c r="I50" s="621">
        <f t="array" ref="I50">INDEX('空中攻撃'!$O$3:$AA$109, MATCH($A$1,'空中攻撃'!$A$3:$A$109,0), MATCH(A50,'空中攻撃'!$O$2:$S$2,0))</f>
        <v>14</v>
      </c>
      <c r="J50" s="467" t="s">
        <v>2531</v>
      </c>
      <c r="K50" s="377"/>
      <c r="L50" s="377"/>
      <c r="M50" s="825"/>
      <c r="N50" s="825"/>
      <c r="O50" s="199">
        <v>0.0</v>
      </c>
      <c r="P50" s="199">
        <v>1.0</v>
      </c>
      <c r="Q50" s="199">
        <v>1.0</v>
      </c>
      <c r="R50" s="159"/>
      <c r="S50" s="110"/>
      <c r="T50" s="110"/>
      <c r="U50" s="110"/>
      <c r="V50" s="109"/>
    </row>
    <row r="51">
      <c r="A51" s="223"/>
      <c r="B51" s="224"/>
      <c r="C51" s="225"/>
      <c r="D51" s="225"/>
      <c r="E51" s="226"/>
      <c r="F51" s="226"/>
      <c r="G51" s="226"/>
      <c r="H51" s="227"/>
      <c r="I51" s="227"/>
      <c r="J51" s="228"/>
      <c r="K51" s="228"/>
      <c r="L51" s="228"/>
      <c r="M51" s="228"/>
      <c r="N51" s="228"/>
      <c r="O51" s="228"/>
      <c r="P51" s="228"/>
      <c r="Q51" s="118"/>
      <c r="R51" s="118"/>
      <c r="S51" s="118"/>
      <c r="T51" s="118"/>
      <c r="U51" s="118"/>
      <c r="V51" s="118"/>
    </row>
    <row r="52">
      <c r="A52" s="229" t="str">
        <f>'テンプレート'!A71</f>
        <v>必殺ワザ</v>
      </c>
      <c r="B52" s="109"/>
      <c r="C52" s="225"/>
      <c r="D52" s="225"/>
      <c r="E52" s="226"/>
      <c r="F52" s="226"/>
      <c r="G52" s="226"/>
      <c r="H52" s="227"/>
      <c r="I52" s="227"/>
      <c r="J52" s="228"/>
      <c r="K52" s="228"/>
      <c r="L52" s="228"/>
      <c r="M52" s="228"/>
      <c r="N52" s="228"/>
      <c r="O52" s="228"/>
      <c r="P52" s="228"/>
      <c r="Q52" s="118"/>
      <c r="R52" s="118"/>
      <c r="S52" s="118"/>
      <c r="T52" s="118"/>
      <c r="U52" s="118"/>
      <c r="V52" s="118"/>
    </row>
    <row r="53" outlineLevel="1">
      <c r="A53" s="230" t="str">
        <f>"NB ("&amp;VLOOKUP($A$1,Fighters!$A$2:$AI$81,15,FALSE)&amp;")"</f>
        <v>NB (噴火)</v>
      </c>
      <c r="B53" s="109"/>
      <c r="C53" s="231" t="str">
        <f>'テンプレート'!C72</f>
        <v>判定持続</v>
      </c>
      <c r="D53" s="231" t="str">
        <f>'テンプレート'!D72</f>
        <v>全体フレーム</v>
      </c>
      <c r="E53" s="232" t="str">
        <f>'テンプレート'!E72</f>
        <v>基礎ダメージ</v>
      </c>
      <c r="F53" s="233" t="str">
        <f>'テンプレート'!F72</f>
        <v>ダメージ (1v1)</v>
      </c>
      <c r="G53" s="232" t="str">
        <f>'テンプレート'!G72</f>
        <v>ガード硬直</v>
      </c>
      <c r="H53" s="382" t="str">
        <f>'テンプレート'!H72</f>
        <v>備考</v>
      </c>
      <c r="I53" s="110"/>
      <c r="J53" s="109"/>
      <c r="K53" s="235" t="str">
        <f>'テンプレート'!K72</f>
        <v>ベクトル</v>
      </c>
      <c r="L53" s="235" t="str">
        <f>'テンプレート'!L72</f>
        <v>KBG (R.E.)</v>
      </c>
      <c r="M53" s="235" t="str">
        <f>'テンプレート'!M72</f>
        <v>BKB (R.A.)</v>
      </c>
      <c r="N53" s="235" t="str">
        <f>'テンプレート'!N72</f>
        <v>FKB (R.F.)</v>
      </c>
      <c r="O53" s="236" t="str">
        <f>'テンプレート'!O72</f>
        <v>盾削り値</v>
      </c>
      <c r="P53" s="235" t="str">
        <f>'テンプレート'!P72</f>
        <v>ﾋｯﾄｽﾄｯﾌﾟ</v>
      </c>
      <c r="Q53" s="236" t="str">
        <f>'テンプレート'!Q72</f>
        <v>ずらし</v>
      </c>
      <c r="R53" s="235" t="str">
        <f>'テンプレート'!R72</f>
        <v>相殺</v>
      </c>
      <c r="S53" s="236" t="str">
        <f>'テンプレート'!S72</f>
        <v>相殺ﾓｰｼｮﾝ</v>
      </c>
      <c r="T53" s="236" t="str">
        <f>'テンプレート'!T72</f>
        <v>飛び道具</v>
      </c>
      <c r="U53" s="236" t="str">
        <f>'テンプレート'!U72</f>
        <v>慣性反転</v>
      </c>
      <c r="V53" s="236" t="str">
        <f>'テンプレート'!V72</f>
        <v>向き反転</v>
      </c>
    </row>
    <row r="54" ht="29.25" customHeight="1" outlineLevel="1">
      <c r="A54" s="237" t="s">
        <v>184</v>
      </c>
      <c r="B54" s="243" t="s">
        <v>473</v>
      </c>
      <c r="C54" s="239" t="s">
        <v>2532</v>
      </c>
      <c r="D54" s="239" t="s">
        <v>2533</v>
      </c>
      <c r="E54" s="239" t="s">
        <v>673</v>
      </c>
      <c r="F54" s="138" t="s">
        <v>674</v>
      </c>
      <c r="G54" s="139" t="s">
        <v>675</v>
      </c>
      <c r="H54" s="163" t="s">
        <v>2534</v>
      </c>
      <c r="I54" s="164"/>
      <c r="J54" s="104"/>
      <c r="K54" s="282"/>
      <c r="L54" s="282"/>
      <c r="M54" s="363"/>
      <c r="N54" s="363"/>
      <c r="O54" s="138">
        <v>1.0</v>
      </c>
      <c r="P54" s="138">
        <v>1.0</v>
      </c>
      <c r="Q54" s="138">
        <v>1.0</v>
      </c>
      <c r="R54" s="145" t="b">
        <v>0</v>
      </c>
      <c r="S54" s="145" t="b">
        <v>0</v>
      </c>
      <c r="T54" s="145"/>
      <c r="U54" s="166" t="s">
        <v>186</v>
      </c>
      <c r="V54" s="166" t="b">
        <v>1</v>
      </c>
    </row>
    <row r="55" ht="17.25" customHeight="1" outlineLevel="1">
      <c r="A55" s="146"/>
      <c r="B55" s="243" t="s">
        <v>2535</v>
      </c>
      <c r="C55" s="244" t="s">
        <v>2536</v>
      </c>
      <c r="D55" s="367" t="s">
        <v>2537</v>
      </c>
      <c r="E55" s="239" t="s">
        <v>2538</v>
      </c>
      <c r="F55" s="138" t="str">
        <f t="shared" ref="F55:F59" si="1">IFERROR(IFS(E55="-","-",LEN(E55)-LEN(SUBSTITUTE(E55,"/",""))=0,MULTIPLY(E55,1.2),LEN(E55)-LEN(SUBSTITUTE(E55,"/",""))=1,MULTIPLY(LEFT(E55,FIND("/",E55)-1),1.2)&amp;"/"&amp;MULTIPLY(MID(E55,FIND("/",E55)+1,10),1.2),LEN(E55)-LEN(SUBSTITUTE(E55,"/",""))=2,MULTIPLY(LEFT(E55,FIND("!",SUBSTITUTE(E55,"/","!",1))-1),1.2)&amp;"/"&amp;MULTIPLY(MID(E55,FIND("!",SUBSTITUTE(E55,"/","!",1))+1,FIND("!",SUBSTITUTE(E55,"/","!",2))-FIND("!",SUBSTITUTE(E55,"/","!",1))-1),1.2)&amp;"/"&amp;MULTIPLY(RIGHT(E55,LEN(E55)-FIND("!",SUBSTITUTE(E55,"/","!",2))),1.2),LEN(E55)-LEN(SUBSTITUTE(E55,"/",""))=3,MULTIPLY(LEFT(E55,FIND("!",SUBSTITUTE(E55,"/","!",1))-1),1.2)&amp;"/"&amp;MULTIPLY(MID(E55,FIND("!",SUBSTITUTE(E55,"/","!",1))+1,FIND("!",SUBSTITUTE(E55,"/","!",2))-FIND("!",SUBSTITUTE(E55,"/","!",1))-1),1.2)&amp;"/"&amp;MULTIPLY(MID(E55,FIND("!",SUBSTITUTE(E55,"/","!",2))+1,FIND("!",SUBSTITUTE(E55,"/","!",3))-FIND("!",SUBSTITUTE(E55,"/","!",2))-1),1.2)&amp;"/"&amp;MULTIPLY(RIGHT(E55,LEN(E55)-FIND("!",SUBSTITUTE(E55,"/","!",3))),1.2),LEN(E55)-LEN(SUBSTITUTE(E55,"/",""))=4,MULTIPLY(LEFT(E55,FIND("!",SUBSTITUTE(E55,"/","!",1))-1),1.2)&amp;"/"&amp;MULTIPLY(MID(E55,FIND("!",SUBSTITUTE(E55,"/","!",1))+1,FIND("!",SUBSTITUTE(E55,"/","!",2))-FIND("!",SUBSTITUTE(E55,"/","!",1))-1),1.2)&amp;"/"&amp;MULTIPLY(MID(E55,FIND("!",SUBSTITUTE(E55,"/","!",2))+1,FIND("!",SUBSTITUTE(E55,"/","!",3))-FIND("!",SUBSTITUTE(E55,"/","!",2))-1),1.2)&amp;"/"&amp;MULTIPLY(MID(E55,FIND("!",SUBSTITUTE(E55,"/","!",3))+1,FIND("!",SUBSTITUTE(E55,"/","!",4))-FIND("!",SUBSTITUTE(E55,"/","!",3))-1),1.2)&amp;"/"&amp;MULTIPLY(RIGHT(E55,LEN(E55)-FIND("!",SUBSTITUTE(E55,"/","!",4))),1.2)),"")</f>
        <v>42/33.6/31.2</v>
      </c>
      <c r="G55" s="139" t="s">
        <v>2539</v>
      </c>
      <c r="H55" s="212"/>
      <c r="J55" s="210"/>
      <c r="K55" s="282"/>
      <c r="L55" s="282"/>
      <c r="M55" s="363"/>
      <c r="N55" s="363"/>
      <c r="O55" s="138">
        <v>1.0</v>
      </c>
      <c r="P55" s="138">
        <v>1.0</v>
      </c>
      <c r="Q55" s="138">
        <v>1.0</v>
      </c>
      <c r="R55" s="145" t="b">
        <v>0</v>
      </c>
      <c r="S55" s="145" t="b">
        <v>0</v>
      </c>
      <c r="T55" s="145"/>
      <c r="U55" s="146"/>
      <c r="V55" s="146"/>
    </row>
    <row r="56" ht="17.25" customHeight="1" outlineLevel="1">
      <c r="A56" s="146"/>
      <c r="B56" s="663" t="s">
        <v>2540</v>
      </c>
      <c r="C56" s="244" t="s">
        <v>2541</v>
      </c>
      <c r="D56" s="156"/>
      <c r="E56" s="239" t="s">
        <v>2542</v>
      </c>
      <c r="F56" s="138" t="str">
        <f t="shared" si="1"/>
        <v>37.2/30</v>
      </c>
      <c r="G56" s="139" t="s">
        <v>2543</v>
      </c>
      <c r="H56" s="212"/>
      <c r="J56" s="210"/>
      <c r="K56" s="282"/>
      <c r="L56" s="282"/>
      <c r="M56" s="363"/>
      <c r="N56" s="363"/>
      <c r="O56" s="138"/>
      <c r="P56" s="138"/>
      <c r="Q56" s="138"/>
      <c r="R56" s="145" t="b">
        <v>0</v>
      </c>
      <c r="S56" s="145" t="b">
        <v>0</v>
      </c>
      <c r="T56" s="145" t="b">
        <v>0</v>
      </c>
      <c r="U56" s="146"/>
      <c r="V56" s="146"/>
    </row>
    <row r="57" ht="17.25" customHeight="1" outlineLevel="1">
      <c r="A57" s="146"/>
      <c r="B57" s="243" t="s">
        <v>2544</v>
      </c>
      <c r="C57" s="244" t="s">
        <v>2545</v>
      </c>
      <c r="D57" s="367" t="s">
        <v>2546</v>
      </c>
      <c r="E57" s="244" t="s">
        <v>2547</v>
      </c>
      <c r="F57" s="138" t="str">
        <f t="shared" si="1"/>
        <v>42/33.6/31.2</v>
      </c>
      <c r="G57" s="139" t="s">
        <v>2539</v>
      </c>
      <c r="H57" s="212"/>
      <c r="J57" s="210"/>
      <c r="K57" s="282"/>
      <c r="L57" s="282"/>
      <c r="M57" s="363"/>
      <c r="N57" s="363"/>
      <c r="O57" s="138"/>
      <c r="P57" s="138"/>
      <c r="Q57" s="138"/>
      <c r="R57" s="145" t="b">
        <v>0</v>
      </c>
      <c r="S57" s="145" t="b">
        <v>0</v>
      </c>
      <c r="T57" s="145" t="b">
        <v>0</v>
      </c>
      <c r="U57" s="146"/>
      <c r="V57" s="146"/>
    </row>
    <row r="58" ht="17.25" customHeight="1" outlineLevel="1">
      <c r="A58" s="146"/>
      <c r="B58" s="663" t="s">
        <v>2548</v>
      </c>
      <c r="C58" s="244" t="s">
        <v>2549</v>
      </c>
      <c r="D58" s="146"/>
      <c r="E58" s="239" t="s">
        <v>2542</v>
      </c>
      <c r="F58" s="138" t="str">
        <f t="shared" si="1"/>
        <v>37.2/30</v>
      </c>
      <c r="G58" s="139" t="s">
        <v>2543</v>
      </c>
      <c r="H58" s="212"/>
      <c r="J58" s="210"/>
      <c r="K58" s="282"/>
      <c r="L58" s="282"/>
      <c r="M58" s="363"/>
      <c r="N58" s="363"/>
      <c r="O58" s="138"/>
      <c r="P58" s="138"/>
      <c r="Q58" s="138"/>
      <c r="R58" s="145" t="b">
        <v>0</v>
      </c>
      <c r="S58" s="145" t="b">
        <v>0</v>
      </c>
      <c r="T58" s="145" t="b">
        <v>0</v>
      </c>
      <c r="U58" s="146"/>
      <c r="V58" s="146"/>
    </row>
    <row r="59" ht="17.25" customHeight="1" outlineLevel="1">
      <c r="A59" s="146"/>
      <c r="B59" s="663" t="s">
        <v>2550</v>
      </c>
      <c r="C59" s="244" t="s">
        <v>2551</v>
      </c>
      <c r="D59" s="156"/>
      <c r="E59" s="239" t="s">
        <v>2552</v>
      </c>
      <c r="F59" s="138" t="str">
        <f t="shared" si="1"/>
        <v>32.4/26.4</v>
      </c>
      <c r="G59" s="139" t="s">
        <v>2553</v>
      </c>
      <c r="H59" s="106"/>
      <c r="I59" s="168"/>
      <c r="J59" s="107"/>
      <c r="K59" s="282"/>
      <c r="L59" s="282"/>
      <c r="M59" s="363"/>
      <c r="N59" s="363"/>
      <c r="O59" s="138"/>
      <c r="P59" s="138"/>
      <c r="Q59" s="138"/>
      <c r="R59" s="145" t="b">
        <v>0</v>
      </c>
      <c r="S59" s="145" t="b">
        <v>0</v>
      </c>
      <c r="T59" s="145" t="b">
        <v>0</v>
      </c>
      <c r="U59" s="156"/>
      <c r="V59" s="156"/>
    </row>
    <row r="60" outlineLevel="1">
      <c r="A60" s="230" t="str">
        <f>"横B ("&amp;VLOOKUP($A$1,Fighters!$A$2:$AI$81,16,FALSE)&amp;")"</f>
        <v>横B (居合い斬り)</v>
      </c>
      <c r="B60" s="109"/>
      <c r="C60" s="231" t="str">
        <f>'テンプレート'!C75</f>
        <v>判定持続</v>
      </c>
      <c r="D60" s="231" t="str">
        <f>'テンプレート'!D75</f>
        <v>全体フレーム</v>
      </c>
      <c r="E60" s="232" t="str">
        <f>'テンプレート'!E75</f>
        <v>基礎ダメージ</v>
      </c>
      <c r="F60" s="233" t="str">
        <f>'テンプレート'!F75</f>
        <v>ダメージ (1v1)</v>
      </c>
      <c r="G60" s="232" t="s">
        <v>52</v>
      </c>
      <c r="H60" s="382" t="str">
        <f>'テンプレート'!H75</f>
        <v>備考</v>
      </c>
      <c r="I60" s="110"/>
      <c r="J60" s="109"/>
      <c r="K60" s="235" t="str">
        <f>'テンプレート'!K75</f>
        <v>ベクトル</v>
      </c>
      <c r="L60" s="235" t="str">
        <f>'テンプレート'!L75</f>
        <v>KBG (R.E.)</v>
      </c>
      <c r="M60" s="235" t="str">
        <f>'テンプレート'!M75</f>
        <v>BKB (R.A.)</v>
      </c>
      <c r="N60" s="235" t="str">
        <f>'テンプレート'!N75</f>
        <v>FKB (R.F.)</v>
      </c>
      <c r="O60" s="236" t="str">
        <f>'テンプレート'!O75</f>
        <v>盾削り値</v>
      </c>
      <c r="P60" s="235" t="str">
        <f>'テンプレート'!P75</f>
        <v>ﾋｯﾄｽﾄｯﾌﾟ</v>
      </c>
      <c r="Q60" s="236" t="str">
        <f>'テンプレート'!Q75</f>
        <v>ずらし</v>
      </c>
      <c r="R60" s="235" t="str">
        <f>'テンプレート'!R75</f>
        <v>相殺</v>
      </c>
      <c r="S60" s="236" t="str">
        <f>'テンプレート'!S75</f>
        <v>相殺ﾓｰｼｮﾝ</v>
      </c>
      <c r="T60" s="236" t="str">
        <f>'テンプレート'!T75</f>
        <v>飛び道具</v>
      </c>
      <c r="U60" s="236" t="str">
        <f>'テンプレート'!U75</f>
        <v>慣性反転</v>
      </c>
      <c r="V60" s="236" t="str">
        <f>'テンプレート'!V75</f>
        <v>向き反転</v>
      </c>
    </row>
    <row r="61" outlineLevel="1">
      <c r="A61" s="237" t="s">
        <v>332</v>
      </c>
      <c r="B61" s="243" t="s">
        <v>2554</v>
      </c>
      <c r="C61" s="239" t="s">
        <v>2220</v>
      </c>
      <c r="D61" s="216" t="s">
        <v>892</v>
      </c>
      <c r="E61" s="1673"/>
      <c r="F61" s="1673"/>
      <c r="G61" s="1673"/>
      <c r="H61" s="163" t="s">
        <v>2555</v>
      </c>
      <c r="I61" s="164"/>
      <c r="J61" s="104"/>
      <c r="K61" s="281"/>
      <c r="L61" s="281"/>
      <c r="M61" s="281"/>
      <c r="N61" s="281"/>
      <c r="O61" s="281"/>
      <c r="P61" s="281"/>
      <c r="Q61" s="281"/>
      <c r="R61" s="281"/>
      <c r="S61" s="281"/>
      <c r="T61" s="281"/>
      <c r="U61" s="166" t="s">
        <v>186</v>
      </c>
      <c r="V61" s="166" t="b">
        <v>1</v>
      </c>
    </row>
    <row r="62" outlineLevel="1">
      <c r="A62" s="146"/>
      <c r="B62" s="243" t="s">
        <v>2556</v>
      </c>
      <c r="C62" s="239" t="s">
        <v>2557</v>
      </c>
      <c r="D62" s="216" t="s">
        <v>218</v>
      </c>
      <c r="E62" s="365" t="s">
        <v>2558</v>
      </c>
      <c r="F62" s="138" t="s">
        <v>2559</v>
      </c>
      <c r="G62" s="239" t="s">
        <v>2560</v>
      </c>
      <c r="H62" s="212"/>
      <c r="J62" s="210"/>
      <c r="K62" s="138"/>
      <c r="L62" s="138"/>
      <c r="M62" s="145"/>
      <c r="N62" s="145"/>
      <c r="O62" s="138">
        <v>0.0</v>
      </c>
      <c r="P62" s="138">
        <v>1.0</v>
      </c>
      <c r="Q62" s="138">
        <v>1.0</v>
      </c>
      <c r="R62" s="145" t="b">
        <v>1</v>
      </c>
      <c r="S62" s="145" t="b">
        <v>1</v>
      </c>
      <c r="T62" s="145"/>
      <c r="U62" s="146"/>
      <c r="V62" s="146"/>
    </row>
    <row r="63" outlineLevel="1">
      <c r="A63" s="237" t="s">
        <v>344</v>
      </c>
      <c r="B63" s="243" t="s">
        <v>2554</v>
      </c>
      <c r="C63" s="239" t="s">
        <v>2220</v>
      </c>
      <c r="D63" s="409"/>
      <c r="E63" s="1673"/>
      <c r="F63" s="1673"/>
      <c r="G63" s="1673"/>
      <c r="H63" s="212"/>
      <c r="J63" s="210"/>
      <c r="K63" s="138"/>
      <c r="L63" s="138"/>
      <c r="M63" s="145"/>
      <c r="N63" s="145"/>
      <c r="O63" s="138"/>
      <c r="P63" s="138"/>
      <c r="Q63" s="138"/>
      <c r="R63" s="145" t="b">
        <v>0</v>
      </c>
      <c r="S63" s="145" t="b">
        <v>0</v>
      </c>
      <c r="T63" s="145" t="b">
        <v>0</v>
      </c>
      <c r="U63" s="146"/>
      <c r="V63" s="146"/>
    </row>
    <row r="64" outlineLevel="1">
      <c r="A64" s="146"/>
      <c r="B64" s="243" t="s">
        <v>2556</v>
      </c>
      <c r="C64" s="239" t="s">
        <v>2557</v>
      </c>
      <c r="D64" s="216" t="s">
        <v>393</v>
      </c>
      <c r="E64" s="215" t="s">
        <v>2561</v>
      </c>
      <c r="F64" s="1672" t="s">
        <v>2562</v>
      </c>
      <c r="G64" s="215" t="s">
        <v>2563</v>
      </c>
      <c r="H64" s="106"/>
      <c r="I64" s="168"/>
      <c r="J64" s="107"/>
      <c r="K64" s="138"/>
      <c r="L64" s="138"/>
      <c r="M64" s="145"/>
      <c r="N64" s="145"/>
      <c r="O64" s="138"/>
      <c r="P64" s="138"/>
      <c r="Q64" s="138"/>
      <c r="R64" s="145" t="b">
        <v>0</v>
      </c>
      <c r="S64" s="145" t="b">
        <v>0</v>
      </c>
      <c r="T64" s="145" t="b">
        <v>0</v>
      </c>
      <c r="U64" s="156"/>
      <c r="V64" s="156"/>
    </row>
    <row r="65" outlineLevel="1">
      <c r="A65" s="230" t="str">
        <f>"上B ("&amp;VLOOKUP($A$1,Fighters!$A$2:$AI$81,17,FALSE)&amp;")"</f>
        <v>上B (天空)</v>
      </c>
      <c r="B65" s="109"/>
      <c r="C65" s="231" t="str">
        <f>'テンプレート'!C80</f>
        <v>判定持続</v>
      </c>
      <c r="D65" s="231" t="str">
        <f>'テンプレート'!D80</f>
        <v>全体フレーム</v>
      </c>
      <c r="E65" s="1674" t="s">
        <v>50</v>
      </c>
      <c r="F65" s="1675" t="s">
        <v>51</v>
      </c>
      <c r="G65" s="1674" t="s">
        <v>52</v>
      </c>
      <c r="H65" s="382" t="str">
        <f>'テンプレート'!H80</f>
        <v>備考</v>
      </c>
      <c r="I65" s="110"/>
      <c r="J65" s="109"/>
      <c r="K65" s="235" t="str">
        <f>'テンプレート'!K80</f>
        <v>ベクトル</v>
      </c>
      <c r="L65" s="235" t="str">
        <f>'テンプレート'!L80</f>
        <v>KBG (R.E.)</v>
      </c>
      <c r="M65" s="235" t="str">
        <f>'テンプレート'!M80</f>
        <v>BKB (R.A.)</v>
      </c>
      <c r="N65" s="235" t="str">
        <f>'テンプレート'!N80</f>
        <v>FKB (R.F.)</v>
      </c>
      <c r="O65" s="236" t="str">
        <f>'テンプレート'!O80</f>
        <v>盾削り値</v>
      </c>
      <c r="P65" s="235" t="str">
        <f>'テンプレート'!P80</f>
        <v>ﾋｯﾄｽﾄｯﾌﾟ</v>
      </c>
      <c r="Q65" s="236" t="str">
        <f>'テンプレート'!Q80</f>
        <v>ずらし</v>
      </c>
      <c r="R65" s="235" t="str">
        <f>'テンプレート'!R80</f>
        <v>相殺</v>
      </c>
      <c r="S65" s="236" t="str">
        <f>'テンプレート'!S80</f>
        <v>相殺ﾓｰｼｮﾝ</v>
      </c>
      <c r="T65" s="236" t="str">
        <f>'テンプレート'!T80</f>
        <v>飛び道具</v>
      </c>
      <c r="U65" s="236" t="str">
        <f>'テンプレート'!U80</f>
        <v>慣性反転</v>
      </c>
      <c r="V65" s="236" t="str">
        <f>'テンプレート'!V80</f>
        <v>向き反転</v>
      </c>
    </row>
    <row r="66" outlineLevel="1">
      <c r="A66" s="237" t="s">
        <v>184</v>
      </c>
      <c r="B66" s="402" t="s">
        <v>152</v>
      </c>
      <c r="C66" s="239" t="s">
        <v>561</v>
      </c>
      <c r="D66" s="400"/>
      <c r="E66" s="215" t="s">
        <v>86</v>
      </c>
      <c r="F66" s="1672">
        <v>7.199999999999999</v>
      </c>
      <c r="G66" s="1676" t="s">
        <v>102</v>
      </c>
      <c r="H66" s="283" t="s">
        <v>2564</v>
      </c>
      <c r="I66" s="164"/>
      <c r="J66" s="104"/>
      <c r="K66" s="138"/>
      <c r="L66" s="138"/>
      <c r="M66" s="145"/>
      <c r="N66" s="145"/>
      <c r="O66" s="138">
        <v>0.0</v>
      </c>
      <c r="P66" s="138">
        <v>1.0</v>
      </c>
      <c r="Q66" s="138">
        <v>1.0</v>
      </c>
      <c r="R66" s="145" t="b">
        <v>1</v>
      </c>
      <c r="S66" s="145" t="b">
        <v>1</v>
      </c>
      <c r="T66" s="145"/>
      <c r="U66" s="166" t="s">
        <v>186</v>
      </c>
      <c r="V66" s="166" t="b">
        <v>1</v>
      </c>
    </row>
    <row r="67" outlineLevel="1">
      <c r="A67" s="146"/>
      <c r="B67" s="402" t="s">
        <v>2565</v>
      </c>
      <c r="C67" s="239" t="s">
        <v>2566</v>
      </c>
      <c r="D67" s="146"/>
      <c r="E67" s="215" t="s">
        <v>176</v>
      </c>
      <c r="F67" s="1672">
        <v>2.4</v>
      </c>
      <c r="G67" s="1676" t="s">
        <v>170</v>
      </c>
      <c r="H67" s="212"/>
      <c r="J67" s="210"/>
      <c r="K67" s="138"/>
      <c r="L67" s="138"/>
      <c r="M67" s="145"/>
      <c r="N67" s="145"/>
      <c r="O67" s="138">
        <v>0.0</v>
      </c>
      <c r="P67" s="138">
        <v>1.0</v>
      </c>
      <c r="Q67" s="138">
        <v>1.0</v>
      </c>
      <c r="R67" s="145" t="b">
        <v>0</v>
      </c>
      <c r="S67" s="145" t="b">
        <v>0</v>
      </c>
      <c r="T67" s="145" t="b">
        <v>1</v>
      </c>
      <c r="U67" s="146"/>
      <c r="V67" s="146"/>
    </row>
    <row r="68" outlineLevel="1">
      <c r="A68" s="146"/>
      <c r="B68" s="402" t="s">
        <v>2567</v>
      </c>
      <c r="C68" s="239" t="s">
        <v>79</v>
      </c>
      <c r="D68" s="146"/>
      <c r="E68" s="215" t="s">
        <v>213</v>
      </c>
      <c r="F68" s="1672">
        <v>1.2</v>
      </c>
      <c r="G68" s="1676" t="s">
        <v>170</v>
      </c>
      <c r="H68" s="212"/>
      <c r="J68" s="210"/>
      <c r="K68" s="138"/>
      <c r="L68" s="138"/>
      <c r="M68" s="145"/>
      <c r="N68" s="145"/>
      <c r="O68" s="138">
        <v>0.0</v>
      </c>
      <c r="P68" s="138">
        <v>1.0</v>
      </c>
      <c r="Q68" s="138">
        <v>1.0</v>
      </c>
      <c r="R68" s="145" t="b">
        <v>0</v>
      </c>
      <c r="S68" s="145" t="b">
        <v>0</v>
      </c>
      <c r="T68" s="145" t="b">
        <v>1</v>
      </c>
      <c r="U68" s="146"/>
      <c r="V68" s="146"/>
    </row>
    <row r="69" outlineLevel="1">
      <c r="A69" s="146"/>
      <c r="B69" s="402" t="s">
        <v>199</v>
      </c>
      <c r="C69" s="239" t="s">
        <v>2568</v>
      </c>
      <c r="D69" s="146"/>
      <c r="E69" s="215" t="s">
        <v>213</v>
      </c>
      <c r="F69" s="1672">
        <v>1.2</v>
      </c>
      <c r="G69" s="1676" t="s">
        <v>170</v>
      </c>
      <c r="H69" s="212"/>
      <c r="J69" s="210"/>
      <c r="K69" s="138"/>
      <c r="L69" s="138"/>
      <c r="M69" s="145"/>
      <c r="N69" s="145"/>
      <c r="O69" s="138">
        <v>0.0</v>
      </c>
      <c r="P69" s="138">
        <v>0.5</v>
      </c>
      <c r="Q69" s="138">
        <v>0.0</v>
      </c>
      <c r="R69" s="145" t="b">
        <v>0</v>
      </c>
      <c r="S69" s="145" t="b">
        <v>0</v>
      </c>
      <c r="T69" s="145" t="b">
        <v>0</v>
      </c>
      <c r="U69" s="146"/>
      <c r="V69" s="146"/>
    </row>
    <row r="70" outlineLevel="1">
      <c r="A70" s="146"/>
      <c r="B70" s="402" t="s">
        <v>2569</v>
      </c>
      <c r="C70" s="367" t="s">
        <v>2570</v>
      </c>
      <c r="D70" s="146"/>
      <c r="E70" s="194" t="s">
        <v>204</v>
      </c>
      <c r="F70" s="1677">
        <v>3.5999999999999996</v>
      </c>
      <c r="G70" s="1678" t="s">
        <v>147</v>
      </c>
      <c r="H70" s="212"/>
      <c r="J70" s="210"/>
      <c r="K70" s="138"/>
      <c r="L70" s="138"/>
      <c r="M70" s="145"/>
      <c r="N70" s="145"/>
      <c r="O70" s="138">
        <v>0.0</v>
      </c>
      <c r="P70" s="138">
        <v>1.0</v>
      </c>
      <c r="Q70" s="138">
        <v>1.0</v>
      </c>
      <c r="R70" s="145" t="b">
        <v>1</v>
      </c>
      <c r="S70" s="145" t="b">
        <v>1</v>
      </c>
      <c r="T70" s="145"/>
      <c r="U70" s="146"/>
      <c r="V70" s="146"/>
    </row>
    <row r="71" outlineLevel="1">
      <c r="A71" s="146"/>
      <c r="B71" s="402" t="s">
        <v>2571</v>
      </c>
      <c r="C71" s="156"/>
      <c r="D71" s="1679"/>
      <c r="E71" s="156"/>
      <c r="F71" s="156"/>
      <c r="G71" s="107"/>
      <c r="H71" s="212"/>
      <c r="J71" s="210"/>
      <c r="K71" s="138"/>
      <c r="L71" s="138"/>
      <c r="M71" s="145"/>
      <c r="N71" s="145"/>
      <c r="O71" s="138">
        <v>0.0</v>
      </c>
      <c r="P71" s="138">
        <v>1.0</v>
      </c>
      <c r="Q71" s="138">
        <v>1.0</v>
      </c>
      <c r="R71" s="145" t="b">
        <v>1</v>
      </c>
      <c r="S71" s="145" t="b">
        <v>1</v>
      </c>
      <c r="T71" s="145"/>
      <c r="U71" s="146"/>
      <c r="V71" s="146"/>
    </row>
    <row r="72" outlineLevel="1">
      <c r="A72" s="146"/>
      <c r="B72" s="402" t="s">
        <v>174</v>
      </c>
      <c r="C72" s="239" t="s">
        <v>2153</v>
      </c>
      <c r="D72" s="239" t="s">
        <v>224</v>
      </c>
      <c r="E72" s="215" t="s">
        <v>86</v>
      </c>
      <c r="F72" s="1672">
        <v>7.199999999999999</v>
      </c>
      <c r="G72" s="1676" t="s">
        <v>102</v>
      </c>
      <c r="H72" s="106"/>
      <c r="I72" s="168"/>
      <c r="J72" s="107"/>
      <c r="K72" s="138"/>
      <c r="L72" s="138"/>
      <c r="M72" s="145"/>
      <c r="N72" s="145"/>
      <c r="O72" s="138">
        <v>0.0</v>
      </c>
      <c r="P72" s="138">
        <v>1.0</v>
      </c>
      <c r="Q72" s="138">
        <v>1.0</v>
      </c>
      <c r="R72" s="145" t="b">
        <v>1</v>
      </c>
      <c r="S72" s="145" t="b">
        <v>1</v>
      </c>
      <c r="T72" s="145"/>
      <c r="U72" s="156"/>
      <c r="V72" s="156"/>
    </row>
    <row r="73" outlineLevel="1">
      <c r="A73" s="230" t="str">
        <f>"下B ("&amp;VLOOKUP($A$1,Fighters!$A$2:$AI$81,18,FALSE)&amp;")"</f>
        <v>下B (カウンター)</v>
      </c>
      <c r="B73" s="109"/>
      <c r="C73" s="231" t="str">
        <f>'テンプレート'!C85</f>
        <v>判定持続</v>
      </c>
      <c r="D73" s="231" t="str">
        <f>'テンプレート'!D85</f>
        <v>全体フレーム</v>
      </c>
      <c r="E73" s="1674" t="s">
        <v>50</v>
      </c>
      <c r="F73" s="1675" t="s">
        <v>51</v>
      </c>
      <c r="G73" s="1674" t="s">
        <v>52</v>
      </c>
      <c r="H73" s="382" t="str">
        <f>'テンプレート'!H85</f>
        <v>備考</v>
      </c>
      <c r="I73" s="110"/>
      <c r="J73" s="109"/>
      <c r="K73" s="235" t="str">
        <f>'テンプレート'!K85</f>
        <v>ベクトル</v>
      </c>
      <c r="L73" s="235" t="str">
        <f>'テンプレート'!L85</f>
        <v>KBG (R.E.)</v>
      </c>
      <c r="M73" s="235" t="str">
        <f>'テンプレート'!M85</f>
        <v>BKB (R.A.)</v>
      </c>
      <c r="N73" s="235" t="str">
        <f>'テンプレート'!N85</f>
        <v>FKB (R.F.)</v>
      </c>
      <c r="O73" s="236" t="str">
        <f>'テンプレート'!O85</f>
        <v>盾削り値</v>
      </c>
      <c r="P73" s="235" t="str">
        <f>'テンプレート'!P85</f>
        <v>ﾋｯﾄｽﾄｯﾌﾟ</v>
      </c>
      <c r="Q73" s="236" t="str">
        <f>'テンプレート'!Q85</f>
        <v>ずらし</v>
      </c>
      <c r="R73" s="235" t="str">
        <f>'テンプレート'!R85</f>
        <v>相殺</v>
      </c>
      <c r="S73" s="236" t="str">
        <f>'テンプレート'!S85</f>
        <v>相殺ﾓｰｼｮﾝ</v>
      </c>
      <c r="T73" s="236" t="str">
        <f>'テンプレート'!T85</f>
        <v>飛び道具</v>
      </c>
      <c r="U73" s="236" t="str">
        <f>'テンプレート'!U85</f>
        <v>慣性反転</v>
      </c>
      <c r="V73" s="236" t="str">
        <f>'テンプレート'!V85</f>
        <v>向き反転</v>
      </c>
    </row>
    <row r="74" outlineLevel="1">
      <c r="A74" s="546" t="s">
        <v>184</v>
      </c>
      <c r="B74" s="402" t="s">
        <v>1837</v>
      </c>
      <c r="C74" s="239" t="s">
        <v>2572</v>
      </c>
      <c r="D74" s="239" t="s">
        <v>2456</v>
      </c>
      <c r="E74" s="1673"/>
      <c r="F74" s="1673"/>
      <c r="G74" s="1673"/>
      <c r="H74" s="366" t="s">
        <v>2573</v>
      </c>
      <c r="I74" s="110"/>
      <c r="J74" s="109"/>
      <c r="K74" s="281"/>
      <c r="L74" s="281"/>
      <c r="M74" s="281"/>
      <c r="N74" s="281"/>
      <c r="O74" s="281"/>
      <c r="P74" s="281"/>
      <c r="Q74" s="281"/>
      <c r="R74" s="281"/>
      <c r="S74" s="281"/>
      <c r="T74" s="281"/>
      <c r="U74" s="166" t="b">
        <v>0</v>
      </c>
      <c r="V74" s="166" t="b">
        <v>0</v>
      </c>
    </row>
    <row r="75" outlineLevel="1">
      <c r="A75" s="156"/>
      <c r="B75" s="402" t="s">
        <v>1242</v>
      </c>
      <c r="C75" s="239" t="s">
        <v>2574</v>
      </c>
      <c r="D75" s="239" t="s">
        <v>393</v>
      </c>
      <c r="E75" s="215" t="s">
        <v>673</v>
      </c>
      <c r="F75" s="1672" t="s">
        <v>674</v>
      </c>
      <c r="G75" s="215" t="s">
        <v>675</v>
      </c>
      <c r="H75" s="151" t="s">
        <v>2575</v>
      </c>
      <c r="I75" s="110"/>
      <c r="J75" s="109"/>
      <c r="K75" s="138"/>
      <c r="L75" s="138"/>
      <c r="M75" s="145"/>
      <c r="N75" s="145"/>
      <c r="O75" s="138">
        <v>0.0</v>
      </c>
      <c r="P75" s="138">
        <v>1.0</v>
      </c>
      <c r="Q75" s="138">
        <v>1.0</v>
      </c>
      <c r="R75" s="145" t="b">
        <v>0</v>
      </c>
      <c r="S75" s="145" t="b">
        <v>0</v>
      </c>
      <c r="T75" s="145"/>
      <c r="U75" s="156"/>
      <c r="V75" s="156"/>
    </row>
    <row r="76">
      <c r="A76" s="223"/>
      <c r="B76" s="224"/>
      <c r="C76" s="225"/>
      <c r="D76" s="225"/>
      <c r="E76" s="226"/>
      <c r="F76" s="226"/>
      <c r="G76" s="226"/>
      <c r="H76" s="227"/>
      <c r="I76" s="227"/>
      <c r="J76" s="228"/>
      <c r="K76" s="228"/>
      <c r="L76" s="228"/>
      <c r="M76" s="228"/>
      <c r="N76" s="228"/>
      <c r="O76" s="228"/>
      <c r="P76" s="228"/>
      <c r="Q76" s="118"/>
      <c r="R76" s="118"/>
      <c r="S76" s="118"/>
      <c r="T76" s="118"/>
      <c r="U76" s="118"/>
      <c r="V76" s="118"/>
    </row>
    <row r="77">
      <c r="A77" s="264" t="str">
        <f>'テンプレート'!A91</f>
        <v>つかみ・投げ</v>
      </c>
      <c r="B77" s="104"/>
      <c r="C77" s="227"/>
      <c r="D77" s="227"/>
      <c r="E77" s="228"/>
      <c r="F77" s="265"/>
      <c r="G77" s="265"/>
      <c r="H77" s="228"/>
      <c r="I77" s="228"/>
      <c r="J77" s="228"/>
      <c r="K77" s="228"/>
      <c r="L77" s="228"/>
      <c r="M77" s="228"/>
      <c r="N77" s="118"/>
      <c r="O77" s="118"/>
      <c r="P77" s="118"/>
      <c r="Q77" s="228"/>
      <c r="R77" s="228"/>
      <c r="S77" s="228"/>
      <c r="T77" s="228"/>
      <c r="U77" s="228"/>
      <c r="V77" s="228"/>
    </row>
    <row r="78" outlineLevel="1">
      <c r="A78" s="106"/>
      <c r="B78" s="107"/>
      <c r="C78" s="266" t="str">
        <f>'テンプレート'!C92</f>
        <v>判定持続</v>
      </c>
      <c r="D78" s="266" t="str">
        <f>'テンプレート'!D92</f>
        <v>全体フレーム</v>
      </c>
      <c r="E78" s="266" t="str">
        <f>'テンプレート'!E92</f>
        <v>基礎ダメージ</v>
      </c>
      <c r="F78" s="267" t="str">
        <f>'テンプレート'!F92</f>
        <v>ダメージ (1v1)</v>
      </c>
      <c r="G78" s="227"/>
      <c r="H78" s="227"/>
      <c r="I78" s="227"/>
      <c r="J78" s="228"/>
      <c r="K78" s="228"/>
      <c r="L78" s="228"/>
      <c r="M78" s="228"/>
      <c r="N78" s="228"/>
      <c r="O78" s="228"/>
      <c r="P78" s="228"/>
      <c r="Q78" s="228"/>
      <c r="R78" s="228"/>
      <c r="S78" s="228"/>
      <c r="T78" s="228"/>
      <c r="U78" s="228"/>
      <c r="V78" s="228"/>
    </row>
    <row r="79" outlineLevel="1">
      <c r="A79" s="268" t="str">
        <f>'テンプレート'!A93</f>
        <v>つかみ攻撃</v>
      </c>
      <c r="B79" s="269" t="str">
        <f>'テンプレート'!B93</f>
        <v>つかみ攻撃</v>
      </c>
      <c r="C79" s="239" t="s">
        <v>213</v>
      </c>
      <c r="D79" s="239" t="s">
        <v>86</v>
      </c>
      <c r="E79" s="239" t="s">
        <v>381</v>
      </c>
      <c r="F79" s="138">
        <f>E79*1.2</f>
        <v>1.92</v>
      </c>
      <c r="G79" s="227"/>
      <c r="H79" s="227"/>
      <c r="I79" s="227"/>
      <c r="J79" s="228"/>
      <c r="K79" s="228"/>
      <c r="L79" s="228"/>
      <c r="M79" s="228"/>
      <c r="N79" s="228"/>
      <c r="O79" s="228"/>
      <c r="P79" s="228"/>
      <c r="Q79" s="228"/>
      <c r="R79" s="228"/>
      <c r="S79" s="228"/>
      <c r="T79" s="228"/>
      <c r="U79" s="228"/>
      <c r="V79" s="228"/>
    </row>
    <row r="80" outlineLevel="1">
      <c r="A80" s="270" t="str">
        <f>'テンプレート'!A94</f>
        <v>つかみ</v>
      </c>
      <c r="B80" s="269" t="str">
        <f>'テンプレート'!B94</f>
        <v>その場</v>
      </c>
      <c r="C80" s="239" t="s">
        <v>319</v>
      </c>
      <c r="D80" s="239" t="s">
        <v>224</v>
      </c>
      <c r="E80" s="271"/>
      <c r="F80" s="272"/>
      <c r="G80" s="272"/>
      <c r="H80" s="227"/>
      <c r="I80" s="227"/>
      <c r="J80" s="228"/>
      <c r="K80" s="228"/>
      <c r="L80" s="228"/>
      <c r="M80" s="228"/>
      <c r="N80" s="228"/>
      <c r="O80" s="228"/>
      <c r="P80" s="228"/>
      <c r="Q80" s="228"/>
      <c r="R80" s="228"/>
      <c r="S80" s="228"/>
      <c r="T80" s="228"/>
      <c r="U80" s="228"/>
      <c r="V80" s="228"/>
    </row>
    <row r="81" outlineLevel="1">
      <c r="A81" s="212"/>
      <c r="B81" s="269" t="str">
        <f>'テンプレート'!B95</f>
        <v>ダッシュ</v>
      </c>
      <c r="C81" s="239" t="s">
        <v>223</v>
      </c>
      <c r="D81" s="239" t="s">
        <v>393</v>
      </c>
      <c r="E81" s="271"/>
      <c r="F81" s="272"/>
      <c r="G81" s="272"/>
      <c r="H81" s="227"/>
      <c r="I81" s="227"/>
      <c r="J81" s="228"/>
      <c r="K81" s="228"/>
      <c r="L81" s="228"/>
      <c r="M81" s="228"/>
      <c r="N81" s="228"/>
      <c r="O81" s="228"/>
      <c r="P81" s="228"/>
      <c r="Q81" s="228"/>
      <c r="R81" s="228"/>
      <c r="S81" s="228"/>
      <c r="T81" s="228"/>
      <c r="U81" s="228"/>
      <c r="V81" s="228"/>
    </row>
    <row r="82" outlineLevel="1">
      <c r="A82" s="106"/>
      <c r="B82" s="269" t="str">
        <f>'テンプレート'!B96</f>
        <v>ふりむき</v>
      </c>
      <c r="C82" s="239" t="s">
        <v>299</v>
      </c>
      <c r="D82" s="239" t="s">
        <v>118</v>
      </c>
      <c r="E82" s="227"/>
      <c r="F82" s="272"/>
      <c r="G82" s="272"/>
      <c r="H82" s="227"/>
      <c r="I82" s="227"/>
      <c r="J82" s="228"/>
      <c r="K82" s="228"/>
      <c r="L82" s="228"/>
      <c r="M82" s="228"/>
      <c r="N82" s="228"/>
      <c r="O82" s="228"/>
      <c r="P82" s="228"/>
      <c r="Q82" s="228"/>
      <c r="R82" s="228"/>
      <c r="S82" s="228"/>
      <c r="T82" s="228"/>
      <c r="U82" s="228"/>
      <c r="V82" s="228"/>
    </row>
    <row r="83" outlineLevel="1">
      <c r="A83" s="273" t="str">
        <f>'テンプレート'!A97</f>
        <v>投げ</v>
      </c>
      <c r="B83" s="109"/>
      <c r="C83" s="266" t="s">
        <v>48</v>
      </c>
      <c r="D83" s="266" t="s">
        <v>49</v>
      </c>
      <c r="E83" s="266" t="s">
        <v>2576</v>
      </c>
      <c r="F83" s="267" t="s">
        <v>2313</v>
      </c>
      <c r="G83" s="1168" t="s">
        <v>53</v>
      </c>
      <c r="H83" s="110"/>
      <c r="I83" s="110"/>
      <c r="J83" s="109"/>
      <c r="K83" s="275" t="str">
        <f>'テンプレート'!K97</f>
        <v>ベクトル</v>
      </c>
      <c r="L83" s="275" t="str">
        <f>'テンプレート'!L97</f>
        <v>KBG (R.E.)</v>
      </c>
      <c r="M83" s="275" t="str">
        <f>'テンプレート'!M97</f>
        <v>BKB (R.A.)</v>
      </c>
      <c r="N83" s="275" t="str">
        <f>'テンプレート'!N97</f>
        <v>FKB (R.F.)</v>
      </c>
      <c r="O83" s="276" t="str">
        <f>'テンプレート'!O97</f>
        <v>盾削り値</v>
      </c>
      <c r="P83" s="275" t="str">
        <f>'テンプレート'!P97</f>
        <v>ﾋｯﾄｽﾄｯﾌﾟ</v>
      </c>
      <c r="Q83" s="276" t="str">
        <f>'テンプレート'!Q97</f>
        <v>ずらし</v>
      </c>
      <c r="R83" s="277"/>
      <c r="S83" s="277"/>
      <c r="T83" s="277"/>
      <c r="U83" s="277"/>
      <c r="V83" s="277"/>
    </row>
    <row r="84" outlineLevel="1">
      <c r="A84" s="278" t="str">
        <f>'テンプレート'!A98</f>
        <v>前投げ</v>
      </c>
      <c r="B84" s="269" t="str">
        <f>'テンプレート'!B98</f>
        <v>打撃</v>
      </c>
      <c r="C84" s="239" t="s">
        <v>2577</v>
      </c>
      <c r="D84" s="367">
        <v>33.0</v>
      </c>
      <c r="E84" s="239" t="s">
        <v>651</v>
      </c>
      <c r="F84" s="138">
        <f t="shared" ref="F84:F91" si="2">IFERROR(E84*1.2, "-")</f>
        <v>4.2</v>
      </c>
      <c r="G84" s="1170"/>
      <c r="H84" s="164"/>
      <c r="I84" s="164"/>
      <c r="J84" s="104"/>
      <c r="K84" s="282"/>
      <c r="L84" s="282"/>
      <c r="M84" s="363"/>
      <c r="N84" s="363"/>
      <c r="O84" s="145">
        <v>0.0</v>
      </c>
      <c r="P84" s="145">
        <v>1.0</v>
      </c>
      <c r="Q84" s="145">
        <v>1.0</v>
      </c>
      <c r="R84" s="277"/>
      <c r="S84" s="228"/>
      <c r="T84" s="228"/>
      <c r="U84" s="228"/>
      <c r="V84" s="228"/>
    </row>
    <row r="85" outlineLevel="1">
      <c r="A85" s="156"/>
      <c r="B85" s="269" t="str">
        <f>'テンプレート'!B99</f>
        <v>投げ</v>
      </c>
      <c r="C85" s="239" t="s">
        <v>80</v>
      </c>
      <c r="D85" s="156"/>
      <c r="E85" s="239" t="s">
        <v>73</v>
      </c>
      <c r="F85" s="138">
        <f t="shared" si="2"/>
        <v>4.8</v>
      </c>
      <c r="G85" s="106"/>
      <c r="H85" s="168"/>
      <c r="I85" s="168"/>
      <c r="J85" s="107"/>
      <c r="K85" s="282"/>
      <c r="L85" s="282"/>
      <c r="M85" s="363"/>
      <c r="N85" s="363"/>
      <c r="O85" s="261"/>
      <c r="P85" s="261"/>
      <c r="Q85" s="261"/>
      <c r="R85" s="277"/>
      <c r="S85" s="228"/>
      <c r="T85" s="228"/>
      <c r="U85" s="228"/>
      <c r="V85" s="228"/>
    </row>
    <row r="86" outlineLevel="1">
      <c r="A86" s="278" t="str">
        <f>'テンプレート'!A100</f>
        <v>後投げ</v>
      </c>
      <c r="B86" s="269" t="str">
        <f>'テンプレート'!B100</f>
        <v>打撃</v>
      </c>
      <c r="C86" s="239" t="s">
        <v>2578</v>
      </c>
      <c r="D86" s="367">
        <v>37.0</v>
      </c>
      <c r="E86" s="239" t="s">
        <v>204</v>
      </c>
      <c r="F86" s="138">
        <f t="shared" si="2"/>
        <v>3.6</v>
      </c>
      <c r="G86" s="1170"/>
      <c r="H86" s="164"/>
      <c r="I86" s="164"/>
      <c r="J86" s="104"/>
      <c r="K86" s="282"/>
      <c r="L86" s="282"/>
      <c r="M86" s="363"/>
      <c r="N86" s="363"/>
      <c r="O86" s="145">
        <v>0.0</v>
      </c>
      <c r="P86" s="145">
        <v>1.0</v>
      </c>
      <c r="Q86" s="145">
        <v>1.0</v>
      </c>
      <c r="R86" s="277"/>
      <c r="S86" s="228"/>
      <c r="T86" s="228"/>
      <c r="U86" s="228"/>
      <c r="V86" s="228"/>
    </row>
    <row r="87" outlineLevel="1">
      <c r="A87" s="156"/>
      <c r="B87" s="269" t="str">
        <f>'テンプレート'!B101</f>
        <v>投げ</v>
      </c>
      <c r="C87" s="239">
        <v>22.0</v>
      </c>
      <c r="D87" s="156"/>
      <c r="E87" s="239" t="s">
        <v>73</v>
      </c>
      <c r="F87" s="138">
        <f t="shared" si="2"/>
        <v>4.8</v>
      </c>
      <c r="G87" s="106"/>
      <c r="H87" s="168"/>
      <c r="I87" s="168"/>
      <c r="J87" s="107"/>
      <c r="K87" s="282"/>
      <c r="L87" s="282"/>
      <c r="M87" s="363"/>
      <c r="N87" s="363"/>
      <c r="O87" s="261"/>
      <c r="P87" s="261"/>
      <c r="Q87" s="261"/>
      <c r="R87" s="277"/>
      <c r="S87" s="228"/>
      <c r="T87" s="228"/>
      <c r="U87" s="228"/>
      <c r="V87" s="228"/>
    </row>
    <row r="88" outlineLevel="1">
      <c r="A88" s="278" t="str">
        <f>'テンプレート'!A102</f>
        <v>上投げ</v>
      </c>
      <c r="B88" s="269" t="str">
        <f>'テンプレート'!B102</f>
        <v>打撃</v>
      </c>
      <c r="C88" s="239" t="s">
        <v>653</v>
      </c>
      <c r="D88" s="367">
        <v>42.0</v>
      </c>
      <c r="E88" s="239" t="s">
        <v>651</v>
      </c>
      <c r="F88" s="138">
        <f t="shared" si="2"/>
        <v>4.2</v>
      </c>
      <c r="G88" s="1170"/>
      <c r="H88" s="164"/>
      <c r="I88" s="164"/>
      <c r="J88" s="104"/>
      <c r="K88" s="282"/>
      <c r="L88" s="282"/>
      <c r="M88" s="363"/>
      <c r="N88" s="363"/>
      <c r="O88" s="145">
        <v>0.0</v>
      </c>
      <c r="P88" s="145">
        <v>1.0</v>
      </c>
      <c r="Q88" s="145">
        <v>1.0</v>
      </c>
      <c r="R88" s="277"/>
      <c r="S88" s="228"/>
      <c r="T88" s="228"/>
      <c r="U88" s="228"/>
      <c r="V88" s="228"/>
    </row>
    <row r="89" outlineLevel="1">
      <c r="A89" s="156"/>
      <c r="B89" s="269" t="str">
        <f>'テンプレート'!B103</f>
        <v>投げ</v>
      </c>
      <c r="C89" s="239" t="s">
        <v>718</v>
      </c>
      <c r="D89" s="156"/>
      <c r="E89" s="239" t="s">
        <v>73</v>
      </c>
      <c r="F89" s="138">
        <f t="shared" si="2"/>
        <v>4.8</v>
      </c>
      <c r="G89" s="106"/>
      <c r="H89" s="168"/>
      <c r="I89" s="168"/>
      <c r="J89" s="107"/>
      <c r="K89" s="282"/>
      <c r="L89" s="282"/>
      <c r="M89" s="363"/>
      <c r="N89" s="363"/>
      <c r="O89" s="261"/>
      <c r="P89" s="261"/>
      <c r="Q89" s="261"/>
      <c r="R89" s="277"/>
      <c r="S89" s="117"/>
      <c r="T89" s="117"/>
      <c r="U89" s="117"/>
      <c r="V89" s="117"/>
    </row>
    <row r="90" outlineLevel="1">
      <c r="A90" s="278" t="str">
        <f>'テンプレート'!A104</f>
        <v>下投げ</v>
      </c>
      <c r="B90" s="269" t="str">
        <f>'テンプレート'!B104</f>
        <v>打撃</v>
      </c>
      <c r="C90" s="239" t="s">
        <v>2579</v>
      </c>
      <c r="D90" s="367">
        <v>57.0</v>
      </c>
      <c r="E90" s="239" t="s">
        <v>204</v>
      </c>
      <c r="F90" s="138">
        <f t="shared" si="2"/>
        <v>3.6</v>
      </c>
      <c r="G90" s="1170"/>
      <c r="H90" s="164"/>
      <c r="I90" s="164"/>
      <c r="J90" s="104"/>
      <c r="K90" s="282"/>
      <c r="L90" s="282"/>
      <c r="M90" s="363"/>
      <c r="N90" s="363"/>
      <c r="O90" s="145">
        <v>0.0</v>
      </c>
      <c r="P90" s="145">
        <v>1.0</v>
      </c>
      <c r="Q90" s="145">
        <v>1.0</v>
      </c>
      <c r="R90" s="277"/>
      <c r="S90" s="117"/>
      <c r="T90" s="117"/>
      <c r="U90" s="117"/>
      <c r="V90" s="117"/>
    </row>
    <row r="91" outlineLevel="1">
      <c r="A91" s="156"/>
      <c r="B91" s="269" t="str">
        <f>'テンプレート'!B105</f>
        <v>投げ</v>
      </c>
      <c r="C91" s="239">
        <v>40.0</v>
      </c>
      <c r="D91" s="156"/>
      <c r="E91" s="239" t="s">
        <v>73</v>
      </c>
      <c r="F91" s="138">
        <f t="shared" si="2"/>
        <v>4.8</v>
      </c>
      <c r="G91" s="106"/>
      <c r="H91" s="168"/>
      <c r="I91" s="168"/>
      <c r="J91" s="107"/>
      <c r="K91" s="282"/>
      <c r="L91" s="282"/>
      <c r="M91" s="363"/>
      <c r="N91" s="363"/>
      <c r="O91" s="261"/>
      <c r="P91" s="261"/>
      <c r="Q91" s="261"/>
      <c r="R91" s="277"/>
      <c r="S91" s="117"/>
      <c r="T91" s="117"/>
      <c r="U91" s="117"/>
      <c r="V91" s="117"/>
    </row>
    <row r="92">
      <c r="A92" s="223"/>
      <c r="B92" s="224"/>
      <c r="C92" s="225"/>
      <c r="D92" s="225"/>
      <c r="E92" s="227"/>
      <c r="F92" s="177"/>
      <c r="G92" s="177"/>
      <c r="H92" s="227"/>
      <c r="I92" s="227"/>
      <c r="J92" s="228"/>
      <c r="K92" s="228"/>
      <c r="L92" s="111"/>
      <c r="M92" s="111"/>
      <c r="N92" s="111"/>
      <c r="O92" s="117"/>
      <c r="P92" s="117"/>
      <c r="Q92" s="111"/>
      <c r="R92" s="111"/>
      <c r="S92" s="111"/>
      <c r="T92" s="111"/>
      <c r="U92" s="111"/>
      <c r="V92" s="111"/>
    </row>
    <row r="93">
      <c r="A93" s="284" t="str">
        <f>'テンプレート'!A107</f>
        <v>回避</v>
      </c>
      <c r="B93" s="104"/>
      <c r="C93" s="265"/>
      <c r="D93" s="111"/>
      <c r="E93" s="111"/>
      <c r="F93" s="111"/>
      <c r="G93" s="111"/>
      <c r="H93" s="111"/>
      <c r="I93" s="111"/>
      <c r="J93" s="118"/>
      <c r="K93" s="111"/>
      <c r="L93" s="111"/>
      <c r="M93" s="111"/>
      <c r="N93" s="111"/>
      <c r="O93" s="111"/>
      <c r="P93" s="111"/>
      <c r="Q93" s="118"/>
      <c r="R93" s="111"/>
      <c r="S93" s="111"/>
      <c r="T93" s="111"/>
      <c r="U93" s="111"/>
      <c r="V93" s="111"/>
    </row>
    <row r="94" outlineLevel="1">
      <c r="A94" s="106"/>
      <c r="B94" s="107"/>
      <c r="C94" s="285" t="s">
        <v>235</v>
      </c>
      <c r="D94" s="285" t="s">
        <v>236</v>
      </c>
      <c r="E94" s="285" t="s">
        <v>49</v>
      </c>
      <c r="F94" s="285" t="s">
        <v>237</v>
      </c>
      <c r="G94" s="286"/>
      <c r="H94" s="227"/>
      <c r="I94" s="227"/>
      <c r="J94" s="228"/>
      <c r="K94" s="228"/>
      <c r="L94" s="111"/>
      <c r="M94" s="111"/>
      <c r="N94" s="111"/>
      <c r="O94" s="111"/>
      <c r="P94" s="111"/>
      <c r="Q94" s="111"/>
      <c r="R94" s="111"/>
      <c r="S94" s="111"/>
      <c r="T94" s="111"/>
      <c r="U94" s="111"/>
      <c r="V94" s="111"/>
    </row>
    <row r="95" outlineLevel="1">
      <c r="A95" s="287" t="str">
        <f>'テンプレート'!A109</f>
        <v>地上回避</v>
      </c>
      <c r="B95" s="288" t="str">
        <f>'テンプレート'!B109</f>
        <v>その場</v>
      </c>
      <c r="C95" s="113" t="str">
        <f t="array" ref="C95">INDEX('回避'!$C$3:$U$84, MATCH($A$1,'回避'!$A$3:$A$91,0), MATCH(C94,'回避'!$C$2:$F$2,0))</f>
        <v>3-17</v>
      </c>
      <c r="D95" s="113" t="str">
        <f t="array" ref="D95">INDEX('回避'!$C$3:$U$84, MATCH($A$1,'回避'!$A$3:$A$91,0), MATCH(D94,'回避'!$C$2:$F$2,0))</f>
        <v>6-17</v>
      </c>
      <c r="E95" s="113" t="str">
        <f t="array" ref="E95">INDEX('回避'!$C$3:$U$84, MATCH($A$1,'回避'!$A$3:$A$91,0), MATCH(E94,'回避'!$C$2:$F$2,0))</f>
        <v>26 (21)</v>
      </c>
      <c r="F95" s="113" t="str">
        <f t="array" ref="F95">INDEX('回避'!$C$3:$U$84, MATCH($A$1,'回避'!$A$3:$A$91,0), MATCH(F94,'回避'!$C$2:$F$2,0))</f>
        <v>35 (28)</v>
      </c>
      <c r="G95" s="272"/>
      <c r="H95" s="227"/>
      <c r="I95" s="227"/>
      <c r="J95" s="228"/>
      <c r="K95" s="228"/>
      <c r="L95" s="228"/>
      <c r="M95" s="111"/>
      <c r="N95" s="111"/>
      <c r="O95" s="111"/>
      <c r="P95" s="111"/>
      <c r="Q95" s="111"/>
      <c r="R95" s="111"/>
      <c r="S95" s="111"/>
      <c r="T95" s="111"/>
      <c r="U95" s="111"/>
      <c r="V95" s="111"/>
    </row>
    <row r="96" outlineLevel="1">
      <c r="A96" s="212"/>
      <c r="B96" s="288" t="str">
        <f>'テンプレート'!B110</f>
        <v>前方</v>
      </c>
      <c r="C96" s="113" t="str">
        <f t="array" ref="C96">INDEX('回避'!$G$3:$U$84, MATCH($A$1,'回避'!$A$3:$A$91,0), MATCH(C94,'回避'!$G$2:$J$2,0))</f>
        <v>4-15</v>
      </c>
      <c r="D96" s="113" t="str">
        <f t="array" ref="D96">INDEX('回避'!$G$3:$U$84, MATCH($A$1,'回避'!$A$3:$A$91,0), MATCH(D94,'回避'!$G$2:$J$2,0))</f>
        <v>8-14</v>
      </c>
      <c r="E96" s="113" t="str">
        <f t="array" ref="E96">INDEX('回避'!$G$3:$U$84, MATCH($A$1,'回避'!$A$3:$A$91,0), MATCH(E94,'回避'!$G$2:$J$2,0))</f>
        <v>30</v>
      </c>
      <c r="F96" s="113">
        <f t="array" ref="F96">INDEX('回避'!$G$3:$U$84, MATCH($A$1,'回避'!$A$3:$A$91,0), MATCH(F94,'回避'!$G$2:$J$2,0))</f>
        <v>40</v>
      </c>
      <c r="G96" s="289"/>
      <c r="H96" s="227"/>
      <c r="I96" s="227"/>
      <c r="J96" s="228"/>
      <c r="K96" s="228"/>
      <c r="L96" s="228"/>
      <c r="M96" s="228"/>
      <c r="N96" s="228"/>
      <c r="O96" s="111"/>
      <c r="P96" s="111"/>
      <c r="Q96" s="111"/>
      <c r="R96" s="111"/>
      <c r="S96" s="111"/>
      <c r="T96" s="111"/>
      <c r="U96" s="111"/>
      <c r="V96" s="111"/>
    </row>
    <row r="97" outlineLevel="1">
      <c r="A97" s="106"/>
      <c r="B97" s="288" t="str">
        <f>'テンプレート'!B111</f>
        <v>後方</v>
      </c>
      <c r="C97" s="113" t="str">
        <f t="array" ref="C97">INDEX('回避'!$K$3:$U$84, MATCH($A$1,'回避'!$A$3:$A$91,0), MATCH(C94,'回避'!$K$2:$N$2,0))</f>
        <v>5-16</v>
      </c>
      <c r="D97" s="113" t="str">
        <f t="array" ref="D97">INDEX('回避'!$K$3:$U$84, MATCH($A$1,'回避'!$A$3:$A$91,0), MATCH(D94,'回避'!$K$2:$N$2,0))</f>
        <v>9-14</v>
      </c>
      <c r="E97" s="113" t="str">
        <f t="array" ref="E97">INDEX('回避'!$K$3:$U$84, MATCH($A$1,'回避'!$A$3:$A$91,0), MATCH(E94,'回避'!$K$2:$N$2,0))</f>
        <v>35</v>
      </c>
      <c r="F97" s="113" t="str">
        <f t="array" ref="F97">INDEX('回避'!$K$3:$U$84, MATCH($A$1,'回避'!$A$3:$A$91,0), MATCH(F94,'回避'!$K$2:$N$2,0))</f>
        <v>53</v>
      </c>
      <c r="G97" s="289"/>
      <c r="H97" s="290"/>
      <c r="I97" s="290"/>
      <c r="J97" s="117"/>
      <c r="K97" s="117"/>
      <c r="L97" s="117"/>
      <c r="M97" s="117"/>
      <c r="N97" s="117"/>
      <c r="O97" s="111"/>
      <c r="P97" s="111"/>
      <c r="Q97" s="111"/>
      <c r="R97" s="111"/>
      <c r="S97" s="111"/>
      <c r="T97" s="111"/>
      <c r="U97" s="111"/>
      <c r="V97" s="111"/>
    </row>
    <row r="98" outlineLevel="1">
      <c r="A98" s="287" t="str">
        <f>'テンプレート'!A112</f>
        <v>空中回避</v>
      </c>
      <c r="B98" s="288" t="str">
        <f>'テンプレート'!B112</f>
        <v>通常</v>
      </c>
      <c r="C98" s="113" t="str">
        <f t="array" ref="C98">INDEX('回避'!$O$3:$U$84, MATCH($A$1,'回避'!$A$3:$A$91,0), MATCH(C94,'回避'!$O$2:$R$2,0))</f>
        <v>4-31</v>
      </c>
      <c r="D98" s="113" t="str">
        <f t="array" ref="D98">INDEX('回避'!$O$3:$U$84, MATCH($A$1,'回避'!$A$3:$A$91,0), MATCH(D94,'回避'!$O$2:$R$2,0))</f>
        <v>7-28</v>
      </c>
      <c r="E98" s="113" t="str">
        <f t="array" ref="E98">INDEX('回避'!$O$3:$U$84, MATCH($A$1,'回避'!$A$3:$A$91,0), MATCH(E94,'回避'!$O$2:$R$2,0))</f>
        <v>49</v>
      </c>
      <c r="F98" s="177"/>
      <c r="G98" s="177"/>
      <c r="H98" s="118"/>
      <c r="I98" s="118"/>
      <c r="J98" s="111"/>
      <c r="K98" s="111"/>
      <c r="L98" s="111"/>
      <c r="M98" s="111"/>
      <c r="N98" s="111"/>
      <c r="O98" s="228"/>
      <c r="P98" s="228"/>
      <c r="Q98" s="228"/>
      <c r="R98" s="228"/>
      <c r="S98" s="228"/>
      <c r="T98" s="228"/>
      <c r="U98" s="228"/>
      <c r="V98" s="228"/>
    </row>
    <row r="99" outlineLevel="1">
      <c r="A99" s="106"/>
      <c r="B99" s="288" t="str">
        <f>'テンプレート'!B113</f>
        <v>移動</v>
      </c>
      <c r="C99" s="113" t="str">
        <f t="array" ref="C99">INDEX('回避'!$S$3:$U$84, MATCH($A$1,'回避'!$A$3:$A$91,0), MATCH(C94,'回避'!$S$2:$U$2,0))</f>
        <v>4-22</v>
      </c>
      <c r="D99" s="113" t="str">
        <f t="array" ref="D99">INDEX('回避'!$S$3:$U$84, MATCH($A$1,'回避'!$A$3:$A$91,0), MATCH(D94,'回避'!$S$2:$U$2,0))</f>
        <v>7-21</v>
      </c>
      <c r="E99" s="113" t="str">
        <f t="array" ref="E99">INDEX('回避'!$S$3:$U$84, MATCH($A$1,'回避'!$A$3:$A$91,0), MATCH(E94,'回避'!$S$2:$U$2,0))</f>
        <v>真横：82
真上：108
真下：66</v>
      </c>
      <c r="F99" s="289"/>
      <c r="G99" s="289"/>
      <c r="H99" s="118"/>
      <c r="I99" s="118"/>
      <c r="J99" s="117"/>
      <c r="K99" s="117"/>
      <c r="L99" s="117"/>
      <c r="M99" s="117"/>
      <c r="N99" s="111"/>
      <c r="O99" s="118"/>
      <c r="P99" s="118"/>
      <c r="Q99" s="118"/>
      <c r="R99" s="118"/>
      <c r="S99" s="118"/>
      <c r="T99" s="118"/>
      <c r="U99" s="118"/>
      <c r="V99" s="118"/>
    </row>
    <row r="100">
      <c r="A100" s="291"/>
      <c r="B100" s="292"/>
      <c r="C100" s="286"/>
      <c r="D100" s="286"/>
      <c r="E100" s="293"/>
      <c r="F100" s="286"/>
      <c r="G100" s="286"/>
      <c r="H100" s="286"/>
      <c r="I100" s="286"/>
      <c r="J100" s="111"/>
      <c r="K100" s="227"/>
      <c r="L100" s="227"/>
      <c r="M100" s="227"/>
      <c r="N100" s="227"/>
      <c r="O100" s="118"/>
      <c r="P100" s="118"/>
      <c r="Q100" s="118"/>
      <c r="R100" s="118"/>
      <c r="S100" s="118"/>
      <c r="T100" s="118"/>
      <c r="U100" s="118"/>
      <c r="V100" s="118"/>
    </row>
    <row r="101">
      <c r="A101" s="294" t="s">
        <v>238</v>
      </c>
      <c r="B101" s="104"/>
      <c r="C101" s="228"/>
      <c r="D101" s="117"/>
      <c r="E101" s="228"/>
      <c r="F101" s="114"/>
      <c r="G101" s="114"/>
      <c r="H101" s="117"/>
      <c r="I101" s="117"/>
      <c r="J101" s="118"/>
      <c r="K101" s="118"/>
      <c r="L101" s="118"/>
      <c r="M101" s="118"/>
      <c r="N101" s="118"/>
      <c r="O101" s="118"/>
      <c r="P101" s="118"/>
      <c r="Q101" s="118"/>
      <c r="R101" s="118"/>
      <c r="S101" s="118"/>
      <c r="T101" s="118"/>
      <c r="U101" s="118"/>
      <c r="V101" s="118"/>
    </row>
    <row r="102" outlineLevel="1">
      <c r="A102" s="106"/>
      <c r="B102" s="107"/>
      <c r="C102" s="295" t="s">
        <v>235</v>
      </c>
      <c r="D102" s="295" t="s">
        <v>49</v>
      </c>
      <c r="E102" s="295" t="s">
        <v>48</v>
      </c>
      <c r="F102" s="295" t="s">
        <v>50</v>
      </c>
      <c r="G102" s="296" t="s">
        <v>51</v>
      </c>
      <c r="H102" s="228"/>
      <c r="I102" s="228"/>
      <c r="J102" s="117"/>
      <c r="K102" s="297" t="str">
        <f>'テンプレート'!K116</f>
        <v>アイテム取得</v>
      </c>
      <c r="L102" s="109"/>
      <c r="M102" s="298" t="str">
        <f>'テンプレート'!M116</f>
        <v>取得フレーム</v>
      </c>
      <c r="N102" s="298" t="str">
        <f>'テンプレート'!N116</f>
        <v>全体フレーム</v>
      </c>
      <c r="O102" s="118"/>
      <c r="P102" s="118"/>
      <c r="Q102" s="118"/>
      <c r="R102" s="118"/>
      <c r="S102" s="118"/>
      <c r="T102" s="118"/>
      <c r="U102" s="118"/>
      <c r="V102" s="118"/>
    </row>
    <row r="103" outlineLevel="1">
      <c r="A103" s="299" t="s">
        <v>239</v>
      </c>
      <c r="B103" s="300" t="s">
        <v>240</v>
      </c>
      <c r="C103" s="301"/>
      <c r="D103" s="113">
        <f t="array" ref="D103">INDEX('崖行動・受け身'!$C$3:$C107, MATCH($A$1,'崖行動・受け身'!$A$3:$A$115,0), MATCH(D102,'崖行動・受け身'!$C$2,0))</f>
        <v>19</v>
      </c>
      <c r="E103" s="301"/>
      <c r="F103" s="301"/>
      <c r="G103" s="301"/>
      <c r="H103" s="228"/>
      <c r="I103" s="228"/>
      <c r="J103" s="111"/>
      <c r="K103" s="302" t="str">
        <f>'テンプレート'!K117</f>
        <v>小アイテム</v>
      </c>
      <c r="L103" s="303" t="str">
        <f>'テンプレート'!L117</f>
        <v>その場</v>
      </c>
      <c r="M103" s="113" t="s">
        <v>76</v>
      </c>
      <c r="N103" s="113">
        <v>7.0</v>
      </c>
      <c r="O103" s="118"/>
      <c r="P103" s="118"/>
      <c r="Q103" s="118"/>
      <c r="R103" s="118"/>
      <c r="S103" s="118"/>
      <c r="T103" s="118"/>
      <c r="U103" s="118"/>
      <c r="V103" s="118"/>
    </row>
    <row r="104" outlineLevel="1">
      <c r="A104" s="146"/>
      <c r="B104" s="300" t="s">
        <v>216</v>
      </c>
      <c r="C104" s="113" t="str">
        <f t="array" ref="C104">INDEX('崖行動・受け身'!$D$3:$E107, MATCH($A$1,'崖行動・受け身'!$A$3:$A$115,0), MATCH(C102,'崖行動・受け身'!$D$2:$E$2,0))</f>
        <v>1-33</v>
      </c>
      <c r="D104" s="113">
        <f t="array" ref="D104">INDEX('崖行動・受け身'!$D$3:$E107, MATCH($A$1,'崖行動・受け身'!$A$3:$A$115,0), MATCH(D102,'崖行動・受け身'!$D$2:$E$2,0))</f>
        <v>34</v>
      </c>
      <c r="E104" s="301"/>
      <c r="F104" s="301"/>
      <c r="G104" s="301"/>
      <c r="H104" s="228"/>
      <c r="I104" s="228"/>
      <c r="J104" s="117"/>
      <c r="K104" s="156"/>
      <c r="L104" s="303" t="str">
        <f>'テンプレート'!L118</f>
        <v>歩き</v>
      </c>
      <c r="M104" s="113" t="s">
        <v>76</v>
      </c>
      <c r="N104" s="113">
        <v>19.0</v>
      </c>
      <c r="O104" s="118"/>
      <c r="P104" s="118"/>
      <c r="Q104" s="118"/>
      <c r="R104" s="118"/>
      <c r="S104" s="118"/>
      <c r="T104" s="118"/>
      <c r="U104" s="118"/>
      <c r="V104" s="118"/>
    </row>
    <row r="105" outlineLevel="1">
      <c r="A105" s="146"/>
      <c r="B105" s="300" t="s">
        <v>241</v>
      </c>
      <c r="C105" s="113" t="str">
        <f t="array" ref="C105">INDEX('崖行動・受け身'!$F$3:$G$115, MATCH($A$1,'崖行動・受け身'!$A$3:$A$115,0), MATCH(C102,'崖行動・受け身'!$F$2:$G$2,0))</f>
        <v>1-24</v>
      </c>
      <c r="D105" s="113">
        <f t="array" ref="D105">INDEX('崖行動・受け身'!$F$3:$G$115, MATCH($A$1,'崖行動・受け身'!$A$3:$A$115,0), MATCH(D102,'崖行動・受け身'!$F$2:$G$2,0))</f>
        <v>45</v>
      </c>
      <c r="E105" s="301"/>
      <c r="F105" s="301"/>
      <c r="G105" s="301"/>
      <c r="H105" s="228"/>
      <c r="I105" s="228"/>
      <c r="J105" s="111"/>
      <c r="K105" s="304" t="str">
        <f>'テンプレート'!K119</f>
        <v>アイテム投擲</v>
      </c>
      <c r="L105" s="109"/>
      <c r="M105" s="298" t="str">
        <f>'テンプレート'!M119</f>
        <v>投擲フレーム</v>
      </c>
      <c r="N105" s="298" t="str">
        <f>'テンプレート'!N119</f>
        <v>全体フレーム</v>
      </c>
      <c r="O105" s="118"/>
      <c r="P105" s="118"/>
      <c r="Q105" s="118"/>
      <c r="R105" s="118"/>
      <c r="S105" s="118"/>
      <c r="T105" s="118"/>
      <c r="U105" s="118"/>
      <c r="V105" s="118"/>
    </row>
    <row r="106" outlineLevel="1">
      <c r="A106" s="146"/>
      <c r="B106" s="300" t="s">
        <v>242</v>
      </c>
      <c r="C106" s="113" t="str">
        <f t="array" ref="C106">INDEX('崖行動・受け身'!$H$3:$I$115, MATCH($A$1,'崖行動・受け身'!$A$3:$A$115,0), MATCH(C102,'崖行動・受け身'!$H$2:$I$2,0))</f>
        <v>1-12</v>
      </c>
      <c r="D106" s="113">
        <f t="array" ref="D106">INDEX('崖行動・受け身'!$H$3:$I$115, MATCH($A$1,'崖行動・受け身'!$A$3:$A$115,0), MATCH(D102,'崖行動・受け身'!$H$2:$I$2,0))</f>
        <v>14</v>
      </c>
      <c r="E106" s="301"/>
      <c r="F106" s="301"/>
      <c r="G106" s="301"/>
      <c r="H106" s="228"/>
      <c r="I106" s="228"/>
      <c r="J106" s="117"/>
      <c r="K106" s="305" t="str">
        <f>'テンプレート'!K120</f>
        <v>地上投擲</v>
      </c>
      <c r="L106" s="303" t="str">
        <f>'テンプレート'!L120</f>
        <v>前投げ</v>
      </c>
      <c r="M106" s="113" t="s">
        <v>232</v>
      </c>
      <c r="N106" s="113">
        <v>29.0</v>
      </c>
      <c r="O106" s="111"/>
      <c r="P106" s="111"/>
      <c r="Q106" s="111"/>
      <c r="R106" s="111"/>
      <c r="S106" s="111"/>
      <c r="T106" s="111"/>
      <c r="U106" s="111"/>
      <c r="V106" s="111"/>
    </row>
    <row r="107" outlineLevel="1">
      <c r="A107" s="156"/>
      <c r="B107" s="300" t="s">
        <v>243</v>
      </c>
      <c r="C107" s="113" t="str">
        <f t="array" ref="C107">INDEX('崖行動・受け身'!$J$3:$M$115, MATCH($A$1,'崖行動・受け身'!$A$3:$A$115,0), MATCH(C102,'崖行動・受け身'!$J$2:$M$2,0))</f>
        <v>1-21</v>
      </c>
      <c r="D107" s="113">
        <f t="array" ref="D107">INDEX('崖行動・受け身'!$J$3:$M$115, MATCH($A$1,'崖行動・受け身'!$A$3:$A$115,0), MATCH(D102,'崖行動・受け身'!$J$2:$M$2,0))</f>
        <v>55</v>
      </c>
      <c r="E107" s="113" t="str">
        <f t="array" ref="E107">INDEX('崖行動・受け身'!$J$3:$M$115, MATCH($A$1,'崖行動・受け身'!$A$3:$A$115,0), MATCH(E102,'崖行動・受け身'!$J$2:$M$2,0))</f>
        <v>19-21</v>
      </c>
      <c r="F107" s="113">
        <f t="array" ref="F107">INDEX('崖行動・受け身'!$J$3:$M$115, MATCH($A$1,'崖行動・受け身'!$A$3:$A$115,0), MATCH(F102,'崖行動・受け身'!$J$2:$M$2,0))</f>
        <v>10</v>
      </c>
      <c r="G107" s="113">
        <f>F107*1.2</f>
        <v>12</v>
      </c>
      <c r="H107" s="228"/>
      <c r="I107" s="228"/>
      <c r="J107" s="111"/>
      <c r="K107" s="146"/>
      <c r="L107" s="303" t="str">
        <f>'テンプレート'!L121</f>
        <v>後投げ</v>
      </c>
      <c r="M107" s="113" t="s">
        <v>119</v>
      </c>
      <c r="N107" s="113">
        <v>29.0</v>
      </c>
      <c r="O107" s="111"/>
      <c r="P107" s="111"/>
      <c r="Q107" s="111"/>
      <c r="R107" s="111"/>
      <c r="S107" s="111"/>
      <c r="T107" s="111"/>
      <c r="U107" s="111"/>
      <c r="V107" s="111"/>
    </row>
    <row r="108" outlineLevel="1">
      <c r="A108" s="299" t="s">
        <v>244</v>
      </c>
      <c r="B108" s="300" t="s">
        <v>216</v>
      </c>
      <c r="C108" s="113" t="str">
        <f t="array" ref="C108">INDEX('崖行動・受け身'!$N$3:$O$115, MATCH($A$1,'崖行動・受け身'!$A$3:$A$115,0), MATCH(C102,'崖行動・受け身'!$N$2:$O$2,0))</f>
        <v>1-20</v>
      </c>
      <c r="D108" s="113">
        <f t="array" ref="D108">INDEX('崖行動・受け身'!$N$3:$O$115, MATCH($A$1,'崖行動・受け身'!$A$3:$A$115,0), MATCH(D102,'崖行動・受け身'!$N$2:$O$2,0))</f>
        <v>26</v>
      </c>
      <c r="E108" s="301"/>
      <c r="F108" s="301"/>
      <c r="G108" s="301"/>
      <c r="H108" s="228"/>
      <c r="I108" s="228"/>
      <c r="J108" s="117"/>
      <c r="K108" s="146"/>
      <c r="L108" s="303" t="str">
        <f>'テンプレート'!L122</f>
        <v>上投げ</v>
      </c>
      <c r="M108" s="113" t="s">
        <v>386</v>
      </c>
      <c r="N108" s="113">
        <v>29.0</v>
      </c>
      <c r="O108" s="228"/>
      <c r="P108" s="228"/>
      <c r="Q108" s="228"/>
      <c r="R108" s="228"/>
      <c r="S108" s="228"/>
      <c r="T108" s="228"/>
      <c r="U108" s="228"/>
      <c r="V108" s="228"/>
    </row>
    <row r="109" outlineLevel="1">
      <c r="A109" s="146"/>
      <c r="B109" s="300" t="s">
        <v>245</v>
      </c>
      <c r="C109" s="113" t="str">
        <f t="array" ref="C109">INDEX('崖行動・受け身'!$P$3:$Q$115, MATCH($A$1,'崖行動・受け身'!$A$3:$A$115,0), MATCH(C102,'崖行動・受け身'!$P$2:$Q$2,0))</f>
        <v>1-20</v>
      </c>
      <c r="D109" s="113">
        <f t="array" ref="D109">INDEX('崖行動・受け身'!$P$3:$Q$115, MATCH($A$1,'崖行動・受け身'!$A$3:$A$115,0), MATCH(D102,'崖行動・受け身'!$P$2:$Q$2,0))</f>
        <v>40</v>
      </c>
      <c r="E109" s="301"/>
      <c r="F109" s="301"/>
      <c r="G109" s="301"/>
      <c r="H109" s="228"/>
      <c r="I109" s="228"/>
      <c r="J109" s="111"/>
      <c r="K109" s="146"/>
      <c r="L109" s="303" t="str">
        <f>'テンプレート'!L123</f>
        <v>下投げ</v>
      </c>
      <c r="M109" s="113" t="s">
        <v>80</v>
      </c>
      <c r="N109" s="113">
        <v>21.0</v>
      </c>
      <c r="O109" s="118"/>
      <c r="P109" s="118"/>
      <c r="Q109" s="118"/>
      <c r="R109" s="118"/>
      <c r="S109" s="118"/>
      <c r="T109" s="118"/>
      <c r="U109" s="118"/>
      <c r="V109" s="118"/>
    </row>
    <row r="110" outlineLevel="1">
      <c r="A110" s="156"/>
      <c r="B110" s="300" t="s">
        <v>246</v>
      </c>
      <c r="C110" s="113" t="str">
        <f t="array" ref="C110">INDEX('崖行動・受け身'!$R$3:$S$115, MATCH($A$1,'崖行動・受け身'!$A$3:$A$115,0), MATCH(C102,'崖行動・受け身'!$R$2:$S$2,0))</f>
        <v>1-20</v>
      </c>
      <c r="D110" s="113">
        <f t="array" ref="D110">INDEX('崖行動・受け身'!$R$3:$S$115, MATCH($A$1,'崖行動・受け身'!$A$3:$A$115,0), MATCH(D102,'崖行動・受け身'!$R$2:$S$2,0))</f>
        <v>40</v>
      </c>
      <c r="E110" s="301"/>
      <c r="F110" s="301"/>
      <c r="G110" s="301"/>
      <c r="H110" s="228"/>
      <c r="I110" s="228"/>
      <c r="J110" s="117"/>
      <c r="K110" s="146"/>
      <c r="L110" s="306" t="str">
        <f>'テンプレート'!L124</f>
        <v>ダッシュ</v>
      </c>
      <c r="M110" s="113" t="s">
        <v>86</v>
      </c>
      <c r="N110" s="113">
        <v>39.0</v>
      </c>
      <c r="O110" s="118"/>
      <c r="P110" s="118"/>
      <c r="Q110" s="118"/>
      <c r="R110" s="118"/>
      <c r="S110" s="118"/>
      <c r="T110" s="118"/>
      <c r="U110" s="118"/>
      <c r="V110" s="118"/>
    </row>
    <row r="111" outlineLevel="1">
      <c r="A111" s="299" t="s">
        <v>247</v>
      </c>
      <c r="B111" s="300" t="s">
        <v>248</v>
      </c>
      <c r="C111" s="301"/>
      <c r="D111" s="113" t="str">
        <f t="array" ref="D111">INDEX('起きあがり'!$C$3:$C107, MATCH($A$1,'起きあがり'!$A$3:$A$115,0), MATCH(D102,'起きあがり'!$C$2:$AD$2,0))</f>
        <v>25</v>
      </c>
      <c r="E111" s="301"/>
      <c r="F111" s="301"/>
      <c r="G111" s="301"/>
      <c r="H111" s="228"/>
      <c r="I111" s="228"/>
      <c r="J111" s="111"/>
      <c r="K111" s="156"/>
      <c r="L111" s="306" t="str">
        <f>'テンプレート'!L125</f>
        <v>その場捨て</v>
      </c>
      <c r="M111" s="113" t="s">
        <v>93</v>
      </c>
      <c r="N111" s="113">
        <v>23.0</v>
      </c>
      <c r="O111" s="118"/>
      <c r="P111" s="118"/>
      <c r="Q111" s="118"/>
      <c r="R111" s="118"/>
      <c r="S111" s="118"/>
      <c r="T111" s="118"/>
      <c r="U111" s="118"/>
      <c r="V111" s="118"/>
    </row>
    <row r="112" outlineLevel="1">
      <c r="A112" s="146"/>
      <c r="B112" s="300" t="s">
        <v>216</v>
      </c>
      <c r="C112" s="307" t="str">
        <f t="array" ref="C112">INDEX('起きあがり'!$D$3:$E107, MATCH($A$1,'起きあがり'!$A$3:$A$115,0), MATCH(C102,'起きあがり'!$D$2:$AD$2,0))</f>
        <v>1-22</v>
      </c>
      <c r="D112" s="308">
        <f t="array" ref="D112">INDEX('起きあがり'!$D$3:$E107, MATCH($A$1,'起きあがり'!$A$3:$A$115,0), MATCH(D102,'起きあがり'!$D$2:$AD$2,0))</f>
        <v>29</v>
      </c>
      <c r="E112" s="301"/>
      <c r="F112" s="301"/>
      <c r="G112" s="301"/>
      <c r="H112" s="228"/>
      <c r="I112" s="228"/>
      <c r="J112" s="117"/>
      <c r="K112" s="305" t="str">
        <f>'テンプレート'!K126</f>
        <v>空中投擲</v>
      </c>
      <c r="L112" s="303" t="str">
        <f>'テンプレート'!L126</f>
        <v>前投げ</v>
      </c>
      <c r="M112" s="113" t="s">
        <v>232</v>
      </c>
      <c r="N112" s="113">
        <v>29.0</v>
      </c>
      <c r="O112" s="118"/>
      <c r="P112" s="118"/>
      <c r="Q112" s="118"/>
      <c r="R112" s="118"/>
      <c r="S112" s="118"/>
      <c r="T112" s="118"/>
      <c r="U112" s="118"/>
      <c r="V112" s="118"/>
    </row>
    <row r="113" outlineLevel="1">
      <c r="A113" s="146"/>
      <c r="B113" s="300" t="s">
        <v>245</v>
      </c>
      <c r="C113" s="307" t="str">
        <f t="array" ref="C113">INDEX('起きあがり'!$F$3:$G$115, MATCH($A$1,'起きあがり'!$A$3:$A$115,0), MATCH(C102,'起きあがり'!$F$2:$AD$2,0))</f>
        <v>1-22</v>
      </c>
      <c r="D113" s="308">
        <f t="array" ref="D113">INDEX('起きあがり'!$F$3:$G$115, MATCH($A$1,'起きあがり'!$A$3:$A$115,0), MATCH(D102,'起きあがり'!$F$2:$AD$2,0))</f>
        <v>35</v>
      </c>
      <c r="E113" s="301"/>
      <c r="F113" s="301"/>
      <c r="G113" s="301"/>
      <c r="H113" s="228"/>
      <c r="I113" s="228"/>
      <c r="J113" s="111"/>
      <c r="K113" s="146"/>
      <c r="L113" s="303" t="str">
        <f>'テンプレート'!L127</f>
        <v>後投げ</v>
      </c>
      <c r="M113" s="113" t="s">
        <v>119</v>
      </c>
      <c r="N113" s="113">
        <v>29.0</v>
      </c>
      <c r="O113" s="118"/>
      <c r="P113" s="118"/>
      <c r="Q113" s="118"/>
      <c r="R113" s="118"/>
      <c r="S113" s="118"/>
      <c r="T113" s="118"/>
      <c r="U113" s="118"/>
      <c r="V113" s="118"/>
    </row>
    <row r="114" outlineLevel="1">
      <c r="A114" s="146"/>
      <c r="B114" s="300" t="s">
        <v>246</v>
      </c>
      <c r="C114" s="113" t="str">
        <f t="array" ref="C114">INDEX('起きあがり'!$H$3:$I$115, MATCH($A$1,'起きあがり'!$A$3:$A$115,0), MATCH(C102,'起きあがり'!$H$2:$AD$2,0))</f>
        <v>1-22</v>
      </c>
      <c r="D114" s="113">
        <f t="array" ref="D114">INDEX('起きあがり'!$H$3:$I$115, MATCH($A$1,'起きあがり'!$A$3:$A$115,0), MATCH(D102,'起きあがり'!$H$2:$AD$2,0))</f>
        <v>35</v>
      </c>
      <c r="E114" s="301"/>
      <c r="F114" s="301"/>
      <c r="G114" s="301"/>
      <c r="H114" s="228"/>
      <c r="I114" s="228"/>
      <c r="J114" s="117"/>
      <c r="K114" s="146"/>
      <c r="L114" s="303" t="str">
        <f>'テンプレート'!L128</f>
        <v>上投げ</v>
      </c>
      <c r="M114" s="113" t="s">
        <v>386</v>
      </c>
      <c r="N114" s="113">
        <v>29.0</v>
      </c>
      <c r="O114" s="118"/>
      <c r="P114" s="118"/>
      <c r="Q114" s="118"/>
      <c r="R114" s="118"/>
      <c r="S114" s="118"/>
      <c r="T114" s="118"/>
      <c r="U114" s="118"/>
      <c r="V114" s="118"/>
    </row>
    <row r="115" outlineLevel="1">
      <c r="A115" s="146"/>
      <c r="B115" s="300" t="s">
        <v>249</v>
      </c>
      <c r="C115" s="309" t="str">
        <f t="array" ref="C115">INDEX('起きあがり'!$J$3:$M$115, MATCH($A$1,'起きあがり'!$A$3:$A$115,0), MATCH(C102,'起きあがり'!$J$2:$AD$2,0))</f>
        <v>1-22</v>
      </c>
      <c r="D115" s="310">
        <f t="array" ref="D115">INDEX('起きあがり'!$J$3:$M$115, MATCH($A$1,'起きあがり'!$A$3:$A$115,0), MATCH(D102,'起きあがり'!$J$2:$AD$2,0))</f>
        <v>45</v>
      </c>
      <c r="E115" s="307" t="str">
        <f t="array" ref="E115">INDEX('起きあがり'!$J$3:$M$115, MATCH($A$1,'起きあがり'!$A$3:$A$115,0), MATCH(E102,'起きあがり'!$J$2:$AD$2,0))</f>
        <v>17-18</v>
      </c>
      <c r="F115" s="308">
        <f t="array" ref="F115">INDEX('起きあがり'!$J$3:$M$115, MATCH($A$1,'起きあがり'!$A$3:$A$115,0), MATCH(F102,'起きあがり'!$J$2:$AD$2,0))</f>
        <v>7</v>
      </c>
      <c r="G115" s="113">
        <f t="shared" ref="G115:G116" si="3">F115*1.2</f>
        <v>8.4</v>
      </c>
      <c r="H115" s="228"/>
      <c r="I115" s="228"/>
      <c r="J115" s="111"/>
      <c r="K115" s="156"/>
      <c r="L115" s="303" t="str">
        <f>'テンプレート'!L129</f>
        <v>下投げ</v>
      </c>
      <c r="M115" s="113" t="s">
        <v>80</v>
      </c>
      <c r="N115" s="113">
        <v>21.0</v>
      </c>
      <c r="O115" s="111"/>
      <c r="P115" s="111"/>
      <c r="Q115" s="111"/>
      <c r="R115" s="111"/>
      <c r="S115" s="111"/>
      <c r="T115" s="111"/>
      <c r="U115" s="111"/>
      <c r="V115" s="111"/>
    </row>
    <row r="116" outlineLevel="1">
      <c r="A116" s="156"/>
      <c r="B116" s="311" t="s">
        <v>250</v>
      </c>
      <c r="C116" s="156"/>
      <c r="D116" s="156"/>
      <c r="E116" s="307" t="str">
        <f t="array" ref="E116">INDEX('起きあがり'!$N$3:$O$115, MATCH($A$1,'起きあがり'!$A$3:$A$115,0), MATCH(E102,'起きあがり'!$N$2:$AD$2,0))</f>
        <v>21-22</v>
      </c>
      <c r="F116" s="308">
        <f t="array" ref="F116">INDEX('起きあがり'!$N$3:$O$115, MATCH($A$1,'起きあがり'!$A$3:$A$115,0), MATCH(F102,'起きあがり'!$N$2:$AD$2,0))</f>
        <v>7</v>
      </c>
      <c r="G116" s="113">
        <f t="shared" si="3"/>
        <v>8.4</v>
      </c>
      <c r="H116" s="228"/>
      <c r="I116" s="228"/>
      <c r="J116" s="111"/>
      <c r="K116" s="312" t="str">
        <f>'テンプレート'!K130</f>
        <v>踏み台ジャンプ</v>
      </c>
      <c r="L116" s="168"/>
      <c r="M116" s="298" t="str">
        <f>'テンプレート'!M130</f>
        <v>全体フレーム</v>
      </c>
      <c r="N116" s="114"/>
      <c r="O116" s="111"/>
      <c r="P116" s="111"/>
      <c r="Q116" s="111"/>
      <c r="R116" s="111"/>
      <c r="S116" s="111"/>
      <c r="T116" s="111"/>
      <c r="U116" s="111"/>
      <c r="V116" s="111"/>
    </row>
    <row r="117" outlineLevel="1">
      <c r="A117" s="299" t="s">
        <v>251</v>
      </c>
      <c r="B117" s="300" t="s">
        <v>248</v>
      </c>
      <c r="C117" s="301"/>
      <c r="D117" s="307" t="str">
        <f t="array" ref="D117">INDEX('起きあがり'!$C$3:$C107, MATCH($A$1,'起きあがり'!$A$3:$A$115,0), MATCH(D102,'起きあがり'!$C$2,0))</f>
        <v>25</v>
      </c>
      <c r="E117" s="301"/>
      <c r="F117" s="301"/>
      <c r="G117" s="301"/>
      <c r="H117" s="228"/>
      <c r="I117" s="228"/>
      <c r="J117" s="117"/>
      <c r="K117" s="313" t="str">
        <f>'テンプレート'!K131</f>
        <v>踏み</v>
      </c>
      <c r="L117" s="314" t="str">
        <f>'テンプレート'!L131</f>
        <v>踏み</v>
      </c>
      <c r="M117" s="113">
        <v>8.0</v>
      </c>
      <c r="N117" s="315"/>
      <c r="O117" s="111"/>
      <c r="P117" s="111"/>
      <c r="Q117" s="111"/>
      <c r="R117" s="111"/>
      <c r="S117" s="111"/>
      <c r="T117" s="111"/>
      <c r="U117" s="111"/>
      <c r="V117" s="111"/>
    </row>
    <row r="118" outlineLevel="1">
      <c r="A118" s="146"/>
      <c r="B118" s="300" t="s">
        <v>216</v>
      </c>
      <c r="C118" s="307" t="str">
        <f t="array" ref="C118">INDEX('起きあがり'!$P$3:$Q$115, MATCH($A$1,'起きあがり'!$A$3:$A$115,0), MATCH(C102,'起きあがり'!$P$2:$AD$2,0))</f>
        <v>1-22</v>
      </c>
      <c r="D118" s="308">
        <f t="array" ref="D118">INDEX('起きあがり'!$P$3:$Q$115, MATCH($A$1,'起きあがり'!$A$3:$A$115,0), MATCH(D102,'起きあがり'!$P$2:$AD$2,0))</f>
        <v>29</v>
      </c>
      <c r="E118" s="301"/>
      <c r="F118" s="301"/>
      <c r="G118" s="301"/>
      <c r="H118" s="228"/>
      <c r="I118" s="228"/>
      <c r="J118" s="111"/>
      <c r="K118" s="305" t="str">
        <f>'テンプレート'!K132</f>
        <v>踏まれ</v>
      </c>
      <c r="L118" s="314" t="str">
        <f>'テンプレート'!L132</f>
        <v>地上踏まれ</v>
      </c>
      <c r="M118" s="113" t="s">
        <v>76</v>
      </c>
      <c r="N118" s="315"/>
      <c r="O118" s="228"/>
      <c r="P118" s="228"/>
      <c r="Q118" s="228"/>
      <c r="R118" s="228"/>
      <c r="S118" s="228"/>
      <c r="T118" s="228"/>
      <c r="U118" s="228"/>
      <c r="V118" s="228"/>
    </row>
    <row r="119" outlineLevel="1">
      <c r="A119" s="146"/>
      <c r="B119" s="300" t="s">
        <v>245</v>
      </c>
      <c r="C119" s="307" t="str">
        <f t="array" ref="C119">INDEX('起きあがり'!$R$3:$S$115, MATCH($A$1,'起きあがり'!$A$3:$A$115,0), MATCH(C102,'起きあがり'!$R$2:$AD$2,0))</f>
        <v>1-22</v>
      </c>
      <c r="D119" s="308">
        <f t="array" ref="D119">INDEX('起きあがり'!$R$3:$S$115, MATCH($A$1,'起きあがり'!$A$3:$A$115,0), MATCH(D102,'起きあがり'!$R$2:$AD$2,0))</f>
        <v>35</v>
      </c>
      <c r="E119" s="301"/>
      <c r="F119" s="301"/>
      <c r="G119" s="301"/>
      <c r="H119" s="228"/>
      <c r="I119" s="228"/>
      <c r="J119" s="117"/>
      <c r="K119" s="146"/>
      <c r="L119" s="314" t="s">
        <v>693</v>
      </c>
      <c r="M119" s="113">
        <v>28.0</v>
      </c>
      <c r="N119" s="102"/>
      <c r="O119" s="118"/>
      <c r="P119" s="118"/>
      <c r="Q119" s="118"/>
      <c r="R119" s="118"/>
      <c r="S119" s="118"/>
      <c r="T119" s="118"/>
      <c r="U119" s="118"/>
      <c r="V119" s="118"/>
    </row>
    <row r="120" outlineLevel="1">
      <c r="A120" s="146"/>
      <c r="B120" s="300" t="s">
        <v>246</v>
      </c>
      <c r="C120" s="307" t="str">
        <f t="array" ref="C120">INDEX('起きあがり'!$T$3:$U$115, MATCH($A$1,'起きあがり'!$A$3:$A$115,0), MATCH(C102,'起きあがり'!$T$2:$AD$2,0))</f>
        <v>1-22</v>
      </c>
      <c r="D120" s="308">
        <f t="array" ref="D120">INDEX('起きあがり'!$T$3:$U$115, MATCH($A$1,'起きあがり'!$A$3:$A$115,0), MATCH(D102,'起きあがり'!$T$2:$AD$2,0))</f>
        <v>35</v>
      </c>
      <c r="E120" s="301"/>
      <c r="F120" s="301"/>
      <c r="G120" s="301"/>
      <c r="H120" s="228"/>
      <c r="I120" s="228"/>
      <c r="J120" s="111"/>
      <c r="K120" s="146"/>
      <c r="L120" s="314" t="str">
        <f>'テンプレート'!L134</f>
        <v>空中踏まれ</v>
      </c>
      <c r="M120" s="113">
        <v>10.0</v>
      </c>
      <c r="N120" s="102"/>
      <c r="O120" s="118"/>
      <c r="P120" s="118"/>
      <c r="Q120" s="118"/>
      <c r="R120" s="118"/>
      <c r="S120" s="118"/>
      <c r="T120" s="118"/>
      <c r="U120" s="118"/>
      <c r="V120" s="118"/>
    </row>
    <row r="121" outlineLevel="1">
      <c r="A121" s="146"/>
      <c r="B121" s="300" t="s">
        <v>249</v>
      </c>
      <c r="C121" s="309" t="str">
        <f t="array" ref="C121">INDEX('起きあがり'!$V$3:$Y$115, MATCH($A$1,'起きあがり'!$A$3:$A$115,0), MATCH(C102,'起きあがり'!$V$2:$AD$2,0))</f>
        <v>1-22</v>
      </c>
      <c r="D121" s="310">
        <f t="array" ref="D121">INDEX('起きあがり'!$V$3:$Y$115, MATCH($A$1,'起きあがり'!$A$3:$A$115,0), MATCH(D102,'起きあがり'!$V$2:$AD$2,0))</f>
        <v>45</v>
      </c>
      <c r="E121" s="307" t="str">
        <f t="array" ref="E121">INDEX('起きあがり'!$V$3:$Y$115, MATCH($A$1,'起きあがり'!$A$3:$A$115,0), MATCH(E102,'起きあがり'!$V$2:$AD$2,0))</f>
        <v>17-18</v>
      </c>
      <c r="F121" s="308">
        <f t="array" ref="F121">INDEX('起きあがり'!$V$3:$Y$115, MATCH($A$1,'起きあがり'!$A$3:$A$115,0), MATCH(F102,'起きあがり'!$V$2:$AD$2,0))</f>
        <v>7</v>
      </c>
      <c r="G121" s="113">
        <f t="shared" ref="G121:G122" si="4">F121*1.2</f>
        <v>8.4</v>
      </c>
      <c r="H121" s="228"/>
      <c r="I121" s="228"/>
      <c r="J121" s="117"/>
      <c r="K121" s="146"/>
      <c r="L121" s="314" t="str">
        <f>'テンプレート'!L135</f>
        <v>空中落下</v>
      </c>
      <c r="M121" s="113">
        <v>35.0</v>
      </c>
      <c r="N121" s="102"/>
      <c r="O121" s="118"/>
      <c r="P121" s="118"/>
      <c r="Q121" s="118"/>
      <c r="R121" s="118"/>
      <c r="S121" s="118"/>
      <c r="T121" s="118"/>
      <c r="U121" s="118"/>
      <c r="V121" s="118"/>
    </row>
    <row r="122" outlineLevel="1">
      <c r="A122" s="156"/>
      <c r="B122" s="311" t="s">
        <v>250</v>
      </c>
      <c r="C122" s="156"/>
      <c r="D122" s="156"/>
      <c r="E122" s="307" t="str">
        <f t="array" ref="E122">INDEX('起きあがり'!$Z$3:$AA$115, MATCH($A$1,'起きあがり'!$A$3:$A$115,0), MATCH(E102,'起きあがり'!$Z$2:$AD$2,0))</f>
        <v>21-22</v>
      </c>
      <c r="F122" s="308">
        <f t="array" ref="F122">INDEX('起きあがり'!$Z$3:$AA$115, MATCH($A$1,'起きあがり'!$A$3:$A$115,0), MATCH(F102,'起きあがり'!$Z$2:$AD$2,0))</f>
        <v>7</v>
      </c>
      <c r="G122" s="113">
        <f t="shared" si="4"/>
        <v>8.4</v>
      </c>
      <c r="H122" s="228"/>
      <c r="I122" s="228"/>
      <c r="J122" s="117"/>
      <c r="K122" s="304" t="str">
        <f>'テンプレート'!K136</f>
        <v>倒れダメージ</v>
      </c>
      <c r="L122" s="110"/>
      <c r="M122" s="298" t="str">
        <f>'テンプレート'!M136</f>
        <v>全体フレーム</v>
      </c>
      <c r="N122" s="102"/>
      <c r="O122" s="118"/>
      <c r="P122" s="118"/>
      <c r="Q122" s="118"/>
      <c r="R122" s="118"/>
      <c r="S122" s="118"/>
      <c r="T122" s="118"/>
      <c r="U122" s="118"/>
      <c r="V122" s="118"/>
    </row>
    <row r="123" outlineLevel="1">
      <c r="A123" s="299" t="s">
        <v>252</v>
      </c>
      <c r="B123" s="300" t="s">
        <v>253</v>
      </c>
      <c r="C123" s="307" t="str">
        <f t="array" ref="C123">INDEX('転倒'!$C$3:$D107, MATCH($A$1,'転倒'!$A$3:$A$115,0), MATCH(C102,'転倒'!$C$2:$AC$2,0))</f>
        <v>1-5</v>
      </c>
      <c r="D123" s="308">
        <f t="array" ref="D123">INDEX('転倒'!$C$3:$D107, MATCH($A$1,'転倒'!$A$3:$A$115,0), MATCH(D102,'転倒'!$C$2:$AC$2,0))</f>
        <v>29</v>
      </c>
      <c r="E123" s="301"/>
      <c r="F123" s="301"/>
      <c r="G123" s="301"/>
      <c r="H123" s="228"/>
      <c r="I123" s="228"/>
      <c r="J123" s="111"/>
      <c r="K123" s="313" t="str">
        <f>'テンプレート'!K137</f>
        <v>あお向け倒れ</v>
      </c>
      <c r="L123" s="306" t="str">
        <f>'テンプレート'!L137</f>
        <v>モーション大</v>
      </c>
      <c r="M123" s="113">
        <v>39.0</v>
      </c>
      <c r="N123" s="315"/>
      <c r="O123" s="118"/>
      <c r="P123" s="118"/>
      <c r="Q123" s="118"/>
      <c r="R123" s="118"/>
      <c r="S123" s="118"/>
      <c r="T123" s="118"/>
      <c r="U123" s="118"/>
      <c r="V123" s="118"/>
    </row>
    <row r="124" outlineLevel="1">
      <c r="A124" s="146"/>
      <c r="B124" s="300" t="s">
        <v>254</v>
      </c>
      <c r="C124" s="307" t="str">
        <f t="array" ref="C124">INDEX('転倒'!$E$3:$F107, MATCH($A$1,'転倒'!$A$3:$A$115,0), MATCH(C102,'転倒'!$E$2:$AC$2,0))</f>
        <v>1-5</v>
      </c>
      <c r="D124" s="308">
        <f t="array" ref="D124">INDEX('転倒'!$E$3:$F107, MATCH($A$1,'転倒'!$A$3:$A$115,0), MATCH(D102,'転倒'!$E$2:$AC$2,0))</f>
        <v>39</v>
      </c>
      <c r="E124" s="301"/>
      <c r="F124" s="301"/>
      <c r="G124" s="301"/>
      <c r="H124" s="228"/>
      <c r="I124" s="228"/>
      <c r="J124" s="117"/>
      <c r="K124" s="313" t="str">
        <f>'テンプレート'!K138</f>
        <v>うつ伏せ倒れ</v>
      </c>
      <c r="L124" s="306" t="str">
        <f>'テンプレート'!L138</f>
        <v>モーション大</v>
      </c>
      <c r="M124" s="113" t="s">
        <v>118</v>
      </c>
      <c r="N124" s="315"/>
      <c r="O124" s="118"/>
      <c r="P124" s="118"/>
      <c r="Q124" s="118"/>
      <c r="R124" s="118"/>
      <c r="S124" s="118"/>
      <c r="T124" s="118"/>
      <c r="U124" s="118"/>
      <c r="V124" s="118"/>
    </row>
    <row r="125" outlineLevel="1">
      <c r="A125" s="146"/>
      <c r="B125" s="300" t="s">
        <v>216</v>
      </c>
      <c r="C125" s="307" t="str">
        <f t="array" ref="C125">INDEX('転倒'!$G$3:$H$115, MATCH($A$1,'転倒'!$A$3:$A$115,0), MATCH(C102,'転倒'!$G$2:$AC$2,0))</f>
        <v>1-16</v>
      </c>
      <c r="D125" s="308">
        <f t="array" ref="D125">INDEX('転倒'!$G$3:$H$115, MATCH($A$1,'転倒'!$A$3:$A$115,0), MATCH(D102,'転倒'!$G$2:$AC$2,0))</f>
        <v>21</v>
      </c>
      <c r="E125" s="301"/>
      <c r="F125" s="301"/>
      <c r="G125" s="301"/>
      <c r="H125" s="228"/>
      <c r="I125" s="228"/>
      <c r="J125" s="111"/>
      <c r="K125" s="304" t="str">
        <f>'テンプレート'!K139</f>
        <v/>
      </c>
      <c r="L125" s="110"/>
      <c r="M125" s="298" t="str">
        <f>'テンプレート'!M139</f>
        <v/>
      </c>
      <c r="N125" s="102"/>
      <c r="O125" s="118"/>
      <c r="P125" s="118"/>
      <c r="Q125" s="118"/>
      <c r="R125" s="118"/>
      <c r="S125" s="118"/>
      <c r="T125" s="118"/>
      <c r="U125" s="118"/>
      <c r="V125" s="118"/>
    </row>
    <row r="126" outlineLevel="1">
      <c r="A126" s="146"/>
      <c r="B126" s="300" t="s">
        <v>245</v>
      </c>
      <c r="C126" s="307" t="str">
        <f t="array" ref="C126">INDEX('転倒'!$I$3:$J$115, MATCH($A$1,'転倒'!$A$3:$A$115,0), MATCH(C102,'転倒'!$I$2:$AC$2,0))</f>
        <v>1-9</v>
      </c>
      <c r="D126" s="308">
        <f t="array" ref="D126">INDEX('転倒'!$I$3:$J$115, MATCH($A$1,'転倒'!$A$3:$A$115,0), MATCH(D102,'転倒'!$I$2:$AC$2,0))</f>
        <v>28</v>
      </c>
      <c r="E126" s="301"/>
      <c r="F126" s="301"/>
      <c r="G126" s="301"/>
      <c r="H126" s="228"/>
      <c r="I126" s="228"/>
      <c r="J126" s="228"/>
      <c r="K126" s="316"/>
      <c r="L126" s="317" t="str">
        <f>'テンプレート'!L140</f>
        <v/>
      </c>
      <c r="M126" s="113" t="s">
        <v>76</v>
      </c>
      <c r="N126" s="102"/>
      <c r="O126" s="118"/>
      <c r="P126" s="118"/>
      <c r="Q126" s="118"/>
      <c r="R126" s="118"/>
      <c r="S126" s="118"/>
      <c r="T126" s="118"/>
      <c r="U126" s="118"/>
      <c r="V126" s="118"/>
    </row>
    <row r="127" outlineLevel="1">
      <c r="A127" s="146"/>
      <c r="B127" s="300" t="s">
        <v>246</v>
      </c>
      <c r="C127" s="307" t="str">
        <f t="array" ref="C127">INDEX('転倒'!$K$3:$L$115, MATCH($A$1,'転倒'!$A$3:$A$115,0), MATCH(C102,'転倒'!$K$2:$AC$2,0))</f>
        <v>1-9</v>
      </c>
      <c r="D127" s="308">
        <f t="array" ref="D127">INDEX('転倒'!$K$3:$L$115, MATCH($A$1,'転倒'!$A$3:$A$115,0), MATCH(D102,'転倒'!$K$2:$AC$2,0))</f>
        <v>28</v>
      </c>
      <c r="E127" s="301"/>
      <c r="F127" s="301"/>
      <c r="G127" s="301"/>
      <c r="H127" s="228"/>
      <c r="I127" s="228"/>
      <c r="J127" s="228"/>
      <c r="K127" s="318"/>
      <c r="L127" s="118"/>
      <c r="M127" s="118"/>
      <c r="N127" s="102"/>
      <c r="O127" s="118"/>
      <c r="P127" s="118"/>
      <c r="Q127" s="118"/>
      <c r="R127" s="118"/>
      <c r="S127" s="118"/>
      <c r="T127" s="118"/>
      <c r="U127" s="118"/>
      <c r="V127" s="118"/>
    </row>
    <row r="128" outlineLevel="1">
      <c r="A128" s="146"/>
      <c r="B128" s="300" t="s">
        <v>249</v>
      </c>
      <c r="C128" s="309" t="str">
        <f t="array" ref="C128">INDEX('転倒'!$M$3:$P$115, MATCH($A$1,'転倒'!$A$3:$A$115,0), MATCH(C102,'転倒'!$M$2:$AC$2,0))</f>
        <v>1-7</v>
      </c>
      <c r="D128" s="310">
        <f t="array" ref="D128">INDEX('転倒'!$M$3:$P$115, MATCH($A$1,'転倒'!$A$3:$A$115,0), MATCH(D102,'転倒'!$M$2:$AC$2,0))</f>
        <v>49</v>
      </c>
      <c r="E128" s="307" t="str">
        <f t="array" ref="E128">INDEX('転倒'!$M$3:$P$115, MATCH($A$1,'転倒'!$A$3:$A$115,0), MATCH(E102,'転倒'!$M$2:$AC$2,0))</f>
        <v>19-20</v>
      </c>
      <c r="F128" s="308">
        <f t="array" ref="F128">INDEX('転倒'!$M$3:$P$115, MATCH($A$1,'転倒'!$A$3:$A$115,0), MATCH(F102,'転倒'!$M$2:$AC$2,0))</f>
        <v>5</v>
      </c>
      <c r="G128" s="113">
        <f t="shared" ref="G128:G129" si="5">F128*1.2</f>
        <v>6</v>
      </c>
      <c r="H128" s="228"/>
      <c r="I128" s="228"/>
      <c r="J128" s="228"/>
      <c r="K128" s="118"/>
      <c r="L128" s="118"/>
      <c r="M128" s="118"/>
      <c r="N128" s="102"/>
      <c r="O128" s="102"/>
      <c r="P128" s="102"/>
      <c r="Q128" s="102"/>
      <c r="R128" s="118"/>
      <c r="S128" s="118"/>
      <c r="T128" s="118"/>
      <c r="U128" s="118"/>
      <c r="V128" s="118"/>
    </row>
    <row r="129" outlineLevel="1">
      <c r="A129" s="156"/>
      <c r="B129" s="311" t="s">
        <v>250</v>
      </c>
      <c r="C129" s="156"/>
      <c r="D129" s="156"/>
      <c r="E129" s="307" t="str">
        <f t="array" ref="E129">INDEX('転倒'!$Q$3:$R$115, MATCH($A$1,'転倒'!$A$3:$A$115,0), MATCH(E102,'転倒'!$Q$2:$AC$2,0))</f>
        <v>23-24</v>
      </c>
      <c r="F129" s="308">
        <f t="array" ref="F129">INDEX('転倒'!$Q$3:$R$115, MATCH($A$1,'転倒'!$A$3:$A$115,0), MATCH(F102,'転倒'!$Q$2:$AC$2,0))</f>
        <v>5</v>
      </c>
      <c r="G129" s="113">
        <f t="shared" si="5"/>
        <v>6</v>
      </c>
      <c r="H129" s="228"/>
      <c r="I129" s="228"/>
      <c r="J129" s="228"/>
      <c r="K129" s="118"/>
      <c r="L129" s="118"/>
      <c r="M129" s="118"/>
      <c r="N129" s="102"/>
      <c r="O129" s="102"/>
      <c r="P129" s="102"/>
      <c r="Q129" s="102"/>
      <c r="R129" s="118"/>
      <c r="S129" s="118"/>
      <c r="T129" s="118"/>
      <c r="U129" s="118"/>
      <c r="V129" s="118"/>
    </row>
    <row r="130" outlineLevel="1">
      <c r="A130" s="319"/>
      <c r="B130" s="320"/>
      <c r="C130" s="321"/>
      <c r="D130" s="321"/>
      <c r="E130" s="322"/>
      <c r="F130" s="322"/>
      <c r="G130" s="114"/>
      <c r="H130" s="228"/>
      <c r="I130" s="228"/>
      <c r="J130" s="228"/>
      <c r="K130" s="118"/>
      <c r="L130" s="118"/>
      <c r="M130" s="118"/>
      <c r="N130" s="102"/>
      <c r="O130" s="102"/>
      <c r="P130" s="102"/>
      <c r="Q130" s="102"/>
      <c r="R130" s="118"/>
      <c r="S130" s="118"/>
      <c r="T130" s="118"/>
      <c r="U130" s="118"/>
      <c r="V130" s="118"/>
    </row>
    <row r="131" outlineLevel="1">
      <c r="A131" s="323" t="s">
        <v>255</v>
      </c>
      <c r="B131" s="109"/>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4" t="s">
        <v>256</v>
      </c>
      <c r="B132" s="109"/>
      <c r="C132" s="325" t="s">
        <v>257</v>
      </c>
      <c r="D132" s="325" t="s">
        <v>49</v>
      </c>
      <c r="E132" s="322"/>
      <c r="F132" s="322"/>
      <c r="G132" s="114"/>
      <c r="H132" s="228"/>
      <c r="I132" s="228"/>
      <c r="J132" s="228"/>
      <c r="K132" s="118"/>
      <c r="L132" s="118"/>
      <c r="M132" s="118"/>
      <c r="N132" s="102"/>
      <c r="O132" s="102"/>
      <c r="P132" s="102"/>
      <c r="Q132" s="102"/>
      <c r="R132" s="118"/>
      <c r="S132" s="118"/>
      <c r="T132" s="118"/>
      <c r="U132" s="118"/>
      <c r="V132" s="118"/>
    </row>
    <row r="133" outlineLevel="1">
      <c r="A133" s="326" t="s">
        <v>258</v>
      </c>
      <c r="B133" s="327" t="s">
        <v>216</v>
      </c>
      <c r="C133" s="328" t="str">
        <f t="array" ref="C133">INDEX('アイテム'!$C$3:$D$114, MATCH($A$1,'アイテム'!$A$3:$A$114,0), MATCH(C132,'アイテム'!$C$2:$AQ$2,0))</f>
        <v>2</v>
      </c>
      <c r="D133" s="328">
        <f t="array" ref="D133">INDEX('アイテム'!$C$3:$D$114, MATCH($A$1,'アイテム'!$A$3:$A$114,0), MATCH(D132,'アイテム'!$C$2:$AQ$2,0))</f>
        <v>7</v>
      </c>
      <c r="E133" s="322"/>
      <c r="F133" s="322"/>
      <c r="G133" s="114"/>
      <c r="H133" s="228"/>
      <c r="I133" s="228"/>
      <c r="J133" s="228"/>
      <c r="K133" s="118"/>
      <c r="L133" s="118"/>
      <c r="M133" s="118"/>
      <c r="N133" s="102"/>
      <c r="O133" s="102"/>
      <c r="P133" s="102"/>
      <c r="Q133" s="102"/>
      <c r="R133" s="118"/>
      <c r="S133" s="118"/>
      <c r="T133" s="118"/>
      <c r="U133" s="118"/>
      <c r="V133" s="118"/>
    </row>
    <row r="134" outlineLevel="1">
      <c r="A134" s="156"/>
      <c r="B134" s="327" t="s">
        <v>219</v>
      </c>
      <c r="C134" s="328" t="str">
        <f t="array" ref="C134">INDEX('アイテム'!$E$3:$F$114, MATCH($A$1,'アイテム'!$A$3:$A$114,0), MATCH(C132,'アイテム'!$C$2:$AQ$2,0))</f>
        <v>2</v>
      </c>
      <c r="D134" s="328">
        <f t="array" ref="D134">INDEX('アイテム'!$E$3:$F$114, MATCH($A$1,'アイテム'!$A$3:$A$114,0), MATCH(D132,'アイテム'!$C$2:$AQ$2,0))</f>
        <v>19</v>
      </c>
      <c r="E134" s="322"/>
      <c r="F134" s="322"/>
      <c r="G134" s="114"/>
      <c r="H134" s="228"/>
      <c r="I134" s="228"/>
      <c r="J134" s="228"/>
      <c r="K134" s="118"/>
      <c r="L134" s="118"/>
      <c r="M134" s="118"/>
      <c r="N134" s="102"/>
      <c r="O134" s="102"/>
      <c r="P134" s="102"/>
      <c r="Q134" s="102"/>
      <c r="R134" s="118"/>
      <c r="S134" s="118"/>
      <c r="T134" s="118"/>
      <c r="U134" s="118"/>
      <c r="V134" s="118"/>
    </row>
    <row r="135" outlineLevel="1">
      <c r="A135" s="329" t="s">
        <v>259</v>
      </c>
      <c r="B135" s="327" t="s">
        <v>216</v>
      </c>
      <c r="C135" s="328">
        <f t="array" ref="C135">INDEX('アイテム'!$AA$3:$AB$114, MATCH($A$1,'アイテム'!$A$3:$A$114,0), MATCH(C132,'アイテム'!$C$2:$AQ$2,0))</f>
        <v>2</v>
      </c>
      <c r="D135" s="328" t="str">
        <f t="array" ref="D135">INDEX('アイテム'!$AA$3:$AB$114, MATCH($A$1,'アイテム'!$A$3:$A$114,0), MATCH(D132,'アイテム'!$C$2:$AQ$2,0))</f>
        <v>12</v>
      </c>
      <c r="E135" s="322"/>
      <c r="F135" s="322"/>
      <c r="G135" s="114"/>
      <c r="H135" s="228"/>
      <c r="I135" s="228"/>
      <c r="J135" s="228"/>
      <c r="K135" s="118"/>
      <c r="L135" s="118"/>
      <c r="M135" s="118"/>
      <c r="N135" s="102"/>
      <c r="O135" s="102"/>
      <c r="P135" s="102"/>
      <c r="Q135" s="102"/>
      <c r="R135" s="118"/>
      <c r="S135" s="118"/>
      <c r="T135" s="118"/>
      <c r="U135" s="118"/>
      <c r="V135" s="118"/>
    </row>
    <row r="136" outlineLevel="1">
      <c r="A136" s="324" t="s">
        <v>260</v>
      </c>
      <c r="B136" s="109"/>
      <c r="C136" s="325" t="s">
        <v>261</v>
      </c>
      <c r="D136" s="325" t="s">
        <v>49</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262</v>
      </c>
      <c r="B137" s="327" t="s">
        <v>226</v>
      </c>
      <c r="C137" s="328" t="str">
        <f t="array" ref="C137">INDEX('アイテム'!$G$3:$H$114, MATCH($A$1,'アイテム'!$A$3:$A$114,0), MATCH(C132,'アイテム'!$C$2:$AQ$2,0))</f>
        <v>11</v>
      </c>
      <c r="D137" s="328">
        <f t="array" ref="D137">INDEX('アイテム'!$G$3:$H$114, MATCH($A$1,'アイテム'!$A$3:$A$114,0), MATCH(D132,'アイテム'!$C$2:$AQ$2,0))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229</v>
      </c>
      <c r="C138" s="328" t="str">
        <f t="array" ref="C138">INDEX('アイテム'!$I$3:$J$114, MATCH($A$1,'アイテム'!$A$3:$A$114,0), MATCH(C132,'アイテム'!$C$2:$AQ$2,0))</f>
        <v>14</v>
      </c>
      <c r="D138" s="328">
        <f t="array" ref="D138">INDEX('アイテム'!$I$3:$J$114, MATCH($A$1,'アイテム'!$A$3:$A$114,0), MATCH(D132,'アイテム'!$C$2:$AQ$2,0))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233</v>
      </c>
      <c r="C139" s="328" t="str">
        <f t="array" ref="C139">INDEX('アイテム'!$K$3:$L$114, MATCH($A$1,'アイテム'!$A$3:$A$114,0), MATCH(C132,'アイテム'!$C$2:$AQ$2,0))</f>
        <v>15</v>
      </c>
      <c r="D139" s="328">
        <f t="array" ref="D139">INDEX('アイテム'!$K$3:$L$114, MATCH($A$1,'アイテム'!$A$3:$A$114,0), MATCH(D132,'アイテム'!$C$2:$AQ$2,0))</f>
        <v>23</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234</v>
      </c>
      <c r="C140" s="328" t="str">
        <f t="array" ref="C140">INDEX('アイテム'!$M$3:$N$114, MATCH($A$1,'アイテム'!$A$3:$A$114,0), MATCH(C132,'アイテム'!$C$2:$AQ$2,0))</f>
        <v>8</v>
      </c>
      <c r="D140" s="328">
        <f t="array" ref="D140">INDEX('アイテム'!$M$3:$N$114, MATCH($A$1,'アイテム'!$A$3:$A$114,0), MATCH(D132,'アイテム'!$C$2:$AQ$2,0))</f>
        <v>19</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219</v>
      </c>
      <c r="C141" s="328" t="str">
        <f t="array" ref="C141">INDEX('アイテム'!$O$3:$P$114, MATCH($A$1,'アイテム'!$A$3:$A$114,0), MATCH(C132,'アイテム'!$C$2:$AQ$2,0))</f>
        <v>6</v>
      </c>
      <c r="D141" s="328">
        <f t="array" ref="D141">INDEX('アイテム'!$O$3:$P$114, MATCH($A$1,'アイテム'!$A$3:$A$114,0), MATCH(D132,'アイテム'!$C$2:$AQ$2,0))</f>
        <v>29</v>
      </c>
      <c r="E141" s="322"/>
      <c r="F141" s="322"/>
      <c r="G141" s="114"/>
      <c r="H141" s="228"/>
      <c r="I141" s="228"/>
      <c r="J141" s="228"/>
      <c r="K141" s="118"/>
      <c r="L141" s="118"/>
      <c r="M141" s="118"/>
      <c r="N141" s="102"/>
      <c r="O141" s="102"/>
      <c r="P141" s="102"/>
      <c r="Q141" s="102"/>
      <c r="R141" s="118"/>
      <c r="S141" s="118"/>
      <c r="T141" s="118"/>
      <c r="U141" s="118"/>
      <c r="V141" s="118"/>
    </row>
    <row r="142" outlineLevel="1">
      <c r="A142" s="156"/>
      <c r="B142" s="327" t="s">
        <v>263</v>
      </c>
      <c r="C142" s="328" t="str">
        <f t="array" ref="C142">INDEX('アイテム'!$Q$3:$R$114, MATCH($A$1,'アイテム'!$A$3:$A$114,0), MATCH(C132,'アイテム'!$C$2:$AQ$2,0))</f>
        <v>7</v>
      </c>
      <c r="D142" s="328">
        <f t="array" ref="D142">INDEX('アイテム'!$Q$3:$R$114, MATCH($A$1,'アイテム'!$A$3:$A$114,0), MATCH(D132,'アイテム'!$C$2:$AQ$2,0))</f>
        <v>23</v>
      </c>
      <c r="E142" s="322"/>
      <c r="F142" s="322"/>
      <c r="G142" s="114"/>
      <c r="H142" s="228"/>
      <c r="I142" s="228"/>
      <c r="J142" s="228"/>
      <c r="K142" s="118"/>
      <c r="L142" s="118"/>
      <c r="M142" s="118"/>
      <c r="N142" s="102"/>
      <c r="O142" s="102"/>
      <c r="P142" s="102"/>
      <c r="Q142" s="102"/>
      <c r="R142" s="118"/>
      <c r="S142" s="118"/>
      <c r="T142" s="118"/>
      <c r="U142" s="118"/>
      <c r="V142" s="118"/>
    </row>
    <row r="143" outlineLevel="1">
      <c r="A143" s="326" t="s">
        <v>264</v>
      </c>
      <c r="B143" s="327" t="s">
        <v>226</v>
      </c>
      <c r="C143" s="328" t="str">
        <f t="array" ref="C143">INDEX('アイテム'!$S$3:$T$114, MATCH($A$1,'アイテム'!$A$3:$A$114,0), MATCH(C132,'アイテム'!$C$2:$AQ$2,0))</f>
        <v>11</v>
      </c>
      <c r="D143" s="328">
        <f t="array" ref="D143">INDEX('アイテム'!$S$3:$T$114, MATCH($A$1,'アイテム'!$A$3:$A$114,0), MATCH(D132,'アイテム'!$C$2:$AQ$2,0))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229</v>
      </c>
      <c r="C144" s="328" t="str">
        <f t="array" ref="C144">INDEX('アイテム'!$U$3:$V$114, MATCH($A$1,'アイテム'!$A$3:$A$114,0), MATCH(C132,'アイテム'!$C$2:$AQ$2,0))</f>
        <v>14</v>
      </c>
      <c r="D144" s="328">
        <f t="array" ref="D144">INDEX('アイテム'!$U$3:$V$114, MATCH($A$1,'アイテム'!$A$3:$A$114,0), MATCH(D132,'アイテム'!$C$2:$AQ$2,0))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233</v>
      </c>
      <c r="C145" s="328" t="str">
        <f t="array" ref="C145">INDEX('アイテム'!$W$3:$X$114, MATCH($A$1,'アイテム'!$A$3:$A$114,0), MATCH(C132,'アイテム'!$C$2:$AQ$2,0))</f>
        <v>15</v>
      </c>
      <c r="D145" s="328">
        <f t="array" ref="D145">INDEX('アイテム'!$W$3:$X$114, MATCH($A$1,'アイテム'!$A$3:$A$114,0), MATCH(D132,'アイテム'!$C$2:$AQ$2,0))</f>
        <v>23</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234</v>
      </c>
      <c r="C146" s="328" t="str">
        <f t="array" ref="C146">INDEX('アイテム'!$Y$3:$Z$114, MATCH($A$1,'アイテム'!$A$3:$A$114,0), MATCH(C132,'アイテム'!$C$2:$AQ$2,0))</f>
        <v>8</v>
      </c>
      <c r="D146" s="328">
        <f t="array" ref="D146">INDEX('アイテム'!$Y$3:$Z$114, MATCH($A$1,'アイテム'!$A$3:$A$114,0), MATCH(D132,'アイテム'!$C$2:$AQ$2,0))</f>
        <v>19</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265</v>
      </c>
      <c r="B147" s="327" t="s">
        <v>226</v>
      </c>
      <c r="C147" s="328">
        <f t="array" ref="C147">INDEX('アイテム'!$AC$3:$AD$114, MATCH($A$1,'アイテム'!$A$3:$A$114,0), MATCH(C132,'アイテム'!$C$2:$AQ$2,0))</f>
        <v>16</v>
      </c>
      <c r="D147" s="328" t="str">
        <f t="array" ref="D147">INDEX('アイテム'!$AC$3:$AD$114, MATCH($A$1,'アイテム'!$A$3:$A$114,0), MATCH(D132,'アイテム'!$C$2:$AQ$2,0))</f>
        <v>30</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229</v>
      </c>
      <c r="C148" s="328">
        <f t="array" ref="C148">INDEX('アイテム'!$AE$3:$AF$114, MATCH($A$1,'アイテム'!$A$3:$A$114,0), MATCH(C132,'アイテム'!$C$2:$AQ$2,0))</f>
        <v>16</v>
      </c>
      <c r="D148" s="328" t="str">
        <f t="array" ref="D148">INDEX('アイテム'!$AE$3:$AF$114, MATCH($A$1,'アイテム'!$A$3:$A$114,0), MATCH(D132,'アイテム'!$C$2:$AQ$2,0))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233</v>
      </c>
      <c r="C149" s="328">
        <f t="array" ref="C149">INDEX('アイテム'!$AG$3:$AH$114, MATCH($A$1,'アイテム'!$A$3:$A$114,0), MATCH(C132,'アイテム'!$C$2:$AQ$2,0))</f>
        <v>11</v>
      </c>
      <c r="D149" s="328" t="str">
        <f t="array" ref="D149">INDEX('アイテム'!$AG$3:$AH$114, MATCH($A$1,'アイテム'!$A$3:$A$114,0), MATCH(D132,'アイテム'!$C$2:$AQ$2,0))</f>
        <v>22</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234</v>
      </c>
      <c r="C150" s="328">
        <f t="array" ref="C150">INDEX('アイテム'!$AI$3:$AJ$114, MATCH($A$1,'アイテム'!$A$3:$A$114,0), MATCH(C132,'アイテム'!$C$2:$AQ$2,0))</f>
        <v>11</v>
      </c>
      <c r="D150" s="328" t="str">
        <f t="array" ref="D150">INDEX('アイテム'!$AI$3:$AJ$114, MATCH($A$1,'アイテム'!$A$3:$A$114,0), MATCH(D132,'アイテム'!$C$2:$AQ$2,0))</f>
        <v>22</v>
      </c>
      <c r="E150" s="322"/>
      <c r="F150" s="322"/>
      <c r="G150" s="114"/>
      <c r="H150" s="228"/>
      <c r="I150" s="228"/>
      <c r="J150" s="228"/>
      <c r="K150" s="118"/>
      <c r="L150" s="118"/>
      <c r="M150" s="118"/>
      <c r="N150" s="102"/>
      <c r="O150" s="102"/>
      <c r="P150" s="102"/>
      <c r="Q150" s="102"/>
      <c r="R150" s="118"/>
      <c r="S150" s="118"/>
      <c r="T150" s="118"/>
      <c r="U150" s="118"/>
      <c r="V150" s="118"/>
    </row>
  </sheetData>
  <mergeCells count="136">
    <mergeCell ref="H32:J33"/>
    <mergeCell ref="H34:J34"/>
    <mergeCell ref="H35:J36"/>
    <mergeCell ref="H37:J38"/>
    <mergeCell ref="H39:J41"/>
    <mergeCell ref="I45:I46"/>
    <mergeCell ref="J45:J46"/>
    <mergeCell ref="H53:J53"/>
    <mergeCell ref="H54:J59"/>
    <mergeCell ref="H60:J60"/>
    <mergeCell ref="H61:J64"/>
    <mergeCell ref="H65:J65"/>
    <mergeCell ref="H66:J72"/>
    <mergeCell ref="H73:J73"/>
    <mergeCell ref="K103:K104"/>
    <mergeCell ref="K105:L105"/>
    <mergeCell ref="K106:K111"/>
    <mergeCell ref="K112:K115"/>
    <mergeCell ref="K116:L116"/>
    <mergeCell ref="K118:K121"/>
    <mergeCell ref="K122:L122"/>
    <mergeCell ref="K125:L125"/>
    <mergeCell ref="H74:J74"/>
    <mergeCell ref="G83:J83"/>
    <mergeCell ref="G84:J85"/>
    <mergeCell ref="G86:J87"/>
    <mergeCell ref="G88:J89"/>
    <mergeCell ref="G90:J91"/>
    <mergeCell ref="K102:L102"/>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30"/>
    <mergeCell ref="U29:U30"/>
    <mergeCell ref="H31:J31"/>
    <mergeCell ref="U32:U33"/>
    <mergeCell ref="D37:D38"/>
    <mergeCell ref="D39:D41"/>
    <mergeCell ref="A63:A64"/>
    <mergeCell ref="E70:E71"/>
    <mergeCell ref="F70:F71"/>
    <mergeCell ref="G70:G71"/>
    <mergeCell ref="U35:U36"/>
    <mergeCell ref="U37:U38"/>
    <mergeCell ref="U39:U41"/>
    <mergeCell ref="R44:V44"/>
    <mergeCell ref="R45:V46"/>
    <mergeCell ref="R47:V47"/>
    <mergeCell ref="R48:V48"/>
    <mergeCell ref="U66:U72"/>
    <mergeCell ref="U74:U75"/>
    <mergeCell ref="V74:V75"/>
    <mergeCell ref="H75:J75"/>
    <mergeCell ref="R49:V49"/>
    <mergeCell ref="R50:V50"/>
    <mergeCell ref="U54:U59"/>
    <mergeCell ref="V54:V59"/>
    <mergeCell ref="U61:U64"/>
    <mergeCell ref="V61:V64"/>
    <mergeCell ref="V66:V72"/>
    <mergeCell ref="A103:A107"/>
    <mergeCell ref="A108:A110"/>
    <mergeCell ref="A111:A116"/>
    <mergeCell ref="C115:C116"/>
    <mergeCell ref="D115:D116"/>
    <mergeCell ref="C121:C122"/>
    <mergeCell ref="D121:D122"/>
    <mergeCell ref="A117:A122"/>
    <mergeCell ref="A123:A129"/>
    <mergeCell ref="C128:C129"/>
    <mergeCell ref="D128:D129"/>
    <mergeCell ref="A131:B131"/>
    <mergeCell ref="A132:B132"/>
    <mergeCell ref="A136:B136"/>
    <mergeCell ref="A24:B25"/>
    <mergeCell ref="A26:A28"/>
    <mergeCell ref="A29:A30"/>
    <mergeCell ref="D29:D30"/>
    <mergeCell ref="A32:A33"/>
    <mergeCell ref="D32:D33"/>
    <mergeCell ref="D35:D36"/>
    <mergeCell ref="A35:A36"/>
    <mergeCell ref="A37:A38"/>
    <mergeCell ref="A39:A41"/>
    <mergeCell ref="A43:B44"/>
    <mergeCell ref="A45:A46"/>
    <mergeCell ref="D45:D46"/>
    <mergeCell ref="A52:B52"/>
    <mergeCell ref="D57:D59"/>
    <mergeCell ref="D66:D70"/>
    <mergeCell ref="D84:D85"/>
    <mergeCell ref="D86:D87"/>
    <mergeCell ref="D88:D89"/>
    <mergeCell ref="D90:D91"/>
    <mergeCell ref="A53:B53"/>
    <mergeCell ref="A54:A59"/>
    <mergeCell ref="D55:D56"/>
    <mergeCell ref="A60:B60"/>
    <mergeCell ref="A61:A62"/>
    <mergeCell ref="A65:B65"/>
    <mergeCell ref="C70:C71"/>
    <mergeCell ref="A66:A72"/>
    <mergeCell ref="A73:B73"/>
    <mergeCell ref="A74:A75"/>
    <mergeCell ref="A77:B78"/>
    <mergeCell ref="A80:A82"/>
    <mergeCell ref="A83:B83"/>
    <mergeCell ref="A84:A85"/>
    <mergeCell ref="A86:A87"/>
    <mergeCell ref="A88:A89"/>
    <mergeCell ref="A90:A91"/>
    <mergeCell ref="A93:B94"/>
    <mergeCell ref="A95:A97"/>
    <mergeCell ref="A98:A99"/>
    <mergeCell ref="A101:B102"/>
    <mergeCell ref="A133:A134"/>
    <mergeCell ref="A137:A142"/>
    <mergeCell ref="A143:A146"/>
    <mergeCell ref="A147:A150"/>
  </mergeCells>
  <conditionalFormatting sqref="K1:K15 K17:K60 K62:K73 K75:K126">
    <cfRule type="containsText" dxfId="0" priority="1" operator="containsText" text="361">
      <formula>NOT(ISERROR(SEARCH(("361"),(K1))))</formula>
    </cfRule>
  </conditionalFormatting>
  <conditionalFormatting sqref="K1:K15 K17:K60 K62:K73 K75:K126">
    <cfRule type="containsText" dxfId="1" priority="2" operator="containsText" text="363">
      <formula>NOT(ISERROR(SEARCH(("363"),(K1))))</formula>
    </cfRule>
  </conditionalFormatting>
  <conditionalFormatting sqref="K1:K15 K17:K60 K62:K73 K75:K126">
    <cfRule type="containsText" dxfId="1" priority="3" operator="containsText" text="365">
      <formula>NOT(ISERROR(SEARCH(("365"),(K1))))</formula>
    </cfRule>
  </conditionalFormatting>
  <conditionalFormatting sqref="K1:K15 K17:K60 K62:K73 K75:K126">
    <cfRule type="containsText" dxfId="1" priority="4" operator="containsText" text="366">
      <formula>NOT(ISERROR(SEARCH(("366"),(K1))))</formula>
    </cfRule>
  </conditionalFormatting>
  <conditionalFormatting sqref="K1:K15 K17:K60 K62:K73 K75:K126">
    <cfRule type="containsText" dxfId="1" priority="5" operator="containsText" text="367">
      <formula>NOT(ISERROR(SEARCH(("367"),(K1))))</formula>
    </cfRule>
  </conditionalFormatting>
  <conditionalFormatting sqref="P84:P91">
    <cfRule type="cellIs" dxfId="2" priority="6" operator="equal">
      <formula>"敵のみ"</formula>
    </cfRule>
  </conditionalFormatting>
  <conditionalFormatting sqref="C84:C91">
    <cfRule type="cellIs" dxfId="3" priority="7" operator="equal">
      <formula>"-"</formula>
    </cfRule>
  </conditionalFormatting>
  <conditionalFormatting sqref="O1:O60 O62:O73 O75:O150">
    <cfRule type="cellIs" dxfId="4" priority="8" operator="greaterThan">
      <formula>0</formula>
    </cfRule>
  </conditionalFormatting>
  <conditionalFormatting sqref="P1:Q60 P62:Q73 P75:Q150">
    <cfRule type="cellIs" dxfId="5" priority="9" operator="lessThan">
      <formula>1</formula>
    </cfRule>
  </conditionalFormatting>
  <conditionalFormatting sqref="P1:Q60 P62:Q73 P75:Q150">
    <cfRule type="cellIs" dxfId="4" priority="10" operator="greaterThan">
      <formula>1</formula>
    </cfRule>
  </conditionalFormatting>
  <conditionalFormatting sqref="N25:N60 N62:N73 N75:N91">
    <cfRule type="cellIs" dxfId="6" priority="11" operator="greaterThan">
      <formula>0</formula>
    </cfRule>
  </conditionalFormatting>
  <conditionalFormatting sqref="N1:N15 N17:N60 N62:N73 N75:N150">
    <cfRule type="containsText" dxfId="6" priority="12" operator="containsText" text="/">
      <formula>NOT(ISERROR(SEARCH(("/"),(N1))))</formula>
    </cfRule>
  </conditionalFormatting>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E9F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680">
        <v>33.0</v>
      </c>
      <c r="B1" s="1681"/>
      <c r="C1" s="1682" t="str">
        <f>IMAGE(VLOOKUP($A$1,Fighters!A2:AI114,12,FALSE),1)</f>
        <v>#REF!</v>
      </c>
      <c r="D1" s="1683"/>
      <c r="E1" s="1683"/>
      <c r="F1" s="1683"/>
      <c r="G1" s="1684"/>
      <c r="H1" s="1685"/>
      <c r="I1" s="1683"/>
      <c r="J1" s="1684"/>
      <c r="K1" s="1686"/>
      <c r="L1" s="1683"/>
      <c r="M1" s="1684"/>
      <c r="N1" s="1687"/>
      <c r="O1" s="1687"/>
      <c r="P1" s="1687"/>
      <c r="Q1" s="1687"/>
      <c r="R1" s="1688"/>
      <c r="S1" s="1688"/>
      <c r="T1" s="1688"/>
      <c r="U1" s="1688"/>
      <c r="V1" s="1688"/>
    </row>
    <row r="2">
      <c r="A2" s="1689" t="str">
        <f>VLOOKUP($A$1,Fighters!$A$2:$AI$81,6,FALSE)</f>
        <v>#a8e9fd</v>
      </c>
      <c r="B2" s="1681"/>
      <c r="C2" s="1690"/>
      <c r="G2" s="1691"/>
      <c r="H2" s="1692"/>
      <c r="I2" s="1693"/>
      <c r="J2" s="1694"/>
      <c r="K2" s="1692"/>
      <c r="L2" s="1693"/>
      <c r="M2" s="1694"/>
      <c r="N2" s="1687"/>
      <c r="O2" s="1687"/>
      <c r="P2" s="1687"/>
      <c r="Q2" s="1687"/>
      <c r="R2" s="1688"/>
      <c r="S2" s="1688"/>
      <c r="T2" s="1688"/>
      <c r="U2" s="1688"/>
      <c r="V2" s="1688"/>
    </row>
    <row r="3">
      <c r="A3" s="1689" t="str">
        <f>VLOOKUP($A$1,Fighters!$A$2:$AI$81,14,FALSE)</f>
        <v>33. ゼニガメ</v>
      </c>
      <c r="B3" s="1681"/>
      <c r="C3" s="1690"/>
      <c r="G3" s="1691"/>
      <c r="H3" s="1695"/>
      <c r="I3" s="1695"/>
      <c r="J3" s="1695"/>
      <c r="K3" s="1696"/>
      <c r="L3" s="1696"/>
      <c r="M3" s="1696"/>
      <c r="N3" s="1687"/>
      <c r="O3" s="1687"/>
      <c r="P3" s="1687"/>
      <c r="Q3" s="1687"/>
      <c r="R3" s="1697"/>
      <c r="S3" s="1688"/>
      <c r="T3" s="1688"/>
      <c r="U3" s="1688"/>
      <c r="V3" s="1688"/>
    </row>
    <row r="4">
      <c r="A4" s="1689" t="str">
        <f>VLOOKUP($A$1,Fighters!$A$2:$AI$81,13,FALSE)</f>
        <v>0</v>
      </c>
      <c r="B4" s="1681"/>
      <c r="C4" s="1690"/>
      <c r="G4" s="1691"/>
      <c r="H4" s="1698"/>
      <c r="I4" s="1698"/>
      <c r="J4" s="1695"/>
      <c r="K4" s="1696"/>
      <c r="L4" s="1696"/>
      <c r="M4" s="1696"/>
      <c r="N4" s="1687"/>
      <c r="O4" s="1687"/>
      <c r="P4" s="1687"/>
      <c r="Q4" s="1687"/>
      <c r="R4" s="1697"/>
      <c r="S4" s="1688"/>
      <c r="T4" s="1688"/>
      <c r="U4" s="1688"/>
      <c r="V4" s="1688"/>
    </row>
    <row r="5" ht="16.5" customHeight="1">
      <c r="A5" s="1680"/>
      <c r="B5" s="1681"/>
      <c r="C5" s="1690"/>
      <c r="G5" s="1691"/>
      <c r="H5" s="1699"/>
      <c r="I5" s="1699"/>
      <c r="J5" s="1700"/>
      <c r="K5" s="1701"/>
      <c r="L5" s="1702"/>
      <c r="M5" s="1702"/>
      <c r="N5" s="1687"/>
      <c r="O5" s="1687"/>
      <c r="P5" s="1687"/>
      <c r="Q5" s="1687"/>
      <c r="R5" s="1697"/>
      <c r="S5" s="1688"/>
      <c r="T5" s="1688"/>
      <c r="U5" s="1688"/>
      <c r="V5" s="1688"/>
    </row>
    <row r="6">
      <c r="A6" s="1681"/>
      <c r="B6" s="1681"/>
      <c r="C6" s="1690"/>
      <c r="G6" s="1691"/>
      <c r="H6" s="1698"/>
      <c r="I6" s="1703" t="s">
        <v>39</v>
      </c>
      <c r="J6" s="1701"/>
      <c r="K6" s="1704"/>
      <c r="L6" s="1702"/>
      <c r="M6" s="1702"/>
      <c r="N6" s="1687"/>
      <c r="O6" s="1687"/>
      <c r="P6" s="1687"/>
      <c r="Q6" s="1687"/>
      <c r="R6" s="1697"/>
      <c r="S6" s="1688"/>
      <c r="T6" s="1688"/>
      <c r="U6" s="1688"/>
      <c r="V6" s="1688"/>
    </row>
    <row r="7">
      <c r="A7" s="1681"/>
      <c r="B7" s="1681"/>
      <c r="C7" s="1690"/>
      <c r="G7" s="1691"/>
      <c r="H7" s="1699"/>
      <c r="I7" s="1699"/>
      <c r="J7" s="1701"/>
      <c r="K7" s="1704"/>
      <c r="L7" s="1702"/>
      <c r="M7" s="1702"/>
      <c r="N7" s="1687"/>
      <c r="O7" s="1687"/>
      <c r="P7" s="1687"/>
      <c r="Q7" s="1687"/>
      <c r="R7" s="1697"/>
      <c r="S7" s="1688"/>
      <c r="T7" s="1688"/>
      <c r="U7" s="1688"/>
      <c r="V7" s="1688"/>
    </row>
    <row r="8">
      <c r="A8" s="1681"/>
      <c r="B8" s="1681"/>
      <c r="C8" s="1690"/>
      <c r="G8" s="1691"/>
      <c r="H8" s="1705">
        <v>44379.84434761574</v>
      </c>
      <c r="I8" s="1683"/>
      <c r="J8" s="1684"/>
      <c r="K8" s="1701"/>
      <c r="L8" s="1702"/>
      <c r="M8" s="1702"/>
      <c r="N8" s="1687"/>
      <c r="O8" s="1687"/>
      <c r="P8" s="1687"/>
      <c r="Q8" s="1687"/>
      <c r="R8" s="1697"/>
      <c r="S8" s="1688"/>
      <c r="T8" s="1688"/>
      <c r="U8" s="1688"/>
      <c r="V8" s="1688"/>
    </row>
    <row r="9">
      <c r="A9" s="1681"/>
      <c r="B9" s="1681"/>
      <c r="C9" s="1690"/>
      <c r="G9" s="1691"/>
      <c r="H9" s="1692"/>
      <c r="I9" s="1693"/>
      <c r="J9" s="1694"/>
      <c r="K9" s="1688"/>
      <c r="L9" s="1687"/>
      <c r="M9" s="1687"/>
      <c r="N9" s="1687"/>
      <c r="O9" s="1687"/>
      <c r="P9" s="1687"/>
      <c r="Q9" s="1687"/>
      <c r="R9" s="1697"/>
      <c r="S9" s="1688"/>
      <c r="T9" s="1688"/>
      <c r="U9" s="1688"/>
      <c r="V9" s="1688"/>
    </row>
    <row r="10">
      <c r="A10" s="1681"/>
      <c r="B10" s="1681"/>
      <c r="C10" s="1690"/>
      <c r="G10" s="1691"/>
      <c r="H10" s="1706"/>
      <c r="I10" s="1706"/>
      <c r="J10" s="1688"/>
      <c r="K10" s="1688"/>
      <c r="L10" s="1687"/>
      <c r="M10" s="1687"/>
      <c r="N10" s="1687"/>
      <c r="O10" s="1687"/>
      <c r="P10" s="1687"/>
      <c r="Q10" s="1687"/>
      <c r="R10" s="1697"/>
      <c r="S10" s="1688"/>
      <c r="T10" s="1688"/>
      <c r="U10" s="1688"/>
      <c r="V10" s="1688"/>
    </row>
    <row r="11">
      <c r="A11" s="1707" t="s">
        <v>40</v>
      </c>
      <c r="B11" s="1684"/>
      <c r="C11" s="1690"/>
      <c r="G11" s="1691"/>
      <c r="H11" s="1699"/>
      <c r="I11" s="1699"/>
      <c r="J11" s="1688"/>
      <c r="K11" s="1688"/>
      <c r="L11" s="1687"/>
      <c r="M11" s="1687"/>
      <c r="N11" s="1687"/>
      <c r="O11" s="1687"/>
      <c r="P11" s="1687"/>
      <c r="Q11" s="1687"/>
      <c r="R11" s="1697"/>
      <c r="S11" s="1688"/>
      <c r="T11" s="1688"/>
      <c r="U11" s="1688"/>
      <c r="V11" s="1688"/>
    </row>
    <row r="12">
      <c r="A12" s="1692"/>
      <c r="B12" s="1694"/>
      <c r="C12" s="1692"/>
      <c r="D12" s="1693"/>
      <c r="E12" s="1693"/>
      <c r="F12" s="1693"/>
      <c r="G12" s="1694"/>
      <c r="H12" s="1708"/>
      <c r="I12" s="1708"/>
      <c r="J12" s="1681"/>
      <c r="K12" s="1681"/>
      <c r="L12" s="1687"/>
      <c r="M12" s="1687"/>
      <c r="N12" s="1687"/>
      <c r="O12" s="1687"/>
      <c r="P12" s="1687"/>
      <c r="Q12" s="1687"/>
      <c r="R12" s="1697"/>
      <c r="S12" s="1688"/>
      <c r="T12" s="1688"/>
      <c r="U12" s="1688"/>
      <c r="V12" s="168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75 [86th]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1.936 [38th]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1.281 [16th]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0.132 [66th]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35.35 [21st]</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1.76 [37th]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0.088 [73rd]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17.03 [27th]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1</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1.01 [55th]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0.105 [8th]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35.35 [30th]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1.35 [71st]</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0.018 [7th]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2.16 [71st]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0.128 [10th]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64</v>
      </c>
      <c r="D26" s="701" t="s">
        <v>1613</v>
      </c>
      <c r="E26" s="139" t="s">
        <v>176</v>
      </c>
      <c r="F26" s="138">
        <v>2.4</v>
      </c>
      <c r="G26" s="139" t="s">
        <v>60</v>
      </c>
      <c r="H26" s="151" t="s">
        <v>1101</v>
      </c>
      <c r="I26" s="110"/>
      <c r="J26" s="109"/>
      <c r="K26" s="138"/>
      <c r="L26" s="282"/>
      <c r="M26" s="363"/>
      <c r="N26" s="363"/>
      <c r="O26" s="145">
        <v>0.0</v>
      </c>
      <c r="P26" s="145">
        <v>1.0</v>
      </c>
      <c r="Q26" s="145">
        <v>1.0</v>
      </c>
      <c r="R26" s="100"/>
      <c r="S26" s="100"/>
      <c r="T26" s="100"/>
      <c r="U26" s="145" t="s">
        <v>62</v>
      </c>
      <c r="V26" s="100"/>
    </row>
    <row r="27" outlineLevel="1">
      <c r="A27" s="146"/>
      <c r="B27" s="147" t="s">
        <v>63</v>
      </c>
      <c r="C27" s="467" t="s">
        <v>717</v>
      </c>
      <c r="D27" s="467" t="s">
        <v>268</v>
      </c>
      <c r="E27" s="216" t="s">
        <v>1024</v>
      </c>
      <c r="F27" s="138">
        <v>1.7999999999999998</v>
      </c>
      <c r="G27" s="139" t="s">
        <v>60</v>
      </c>
      <c r="H27" s="151" t="s">
        <v>2580</v>
      </c>
      <c r="I27" s="110"/>
      <c r="J27" s="109"/>
      <c r="K27" s="282"/>
      <c r="L27" s="282"/>
      <c r="M27" s="363"/>
      <c r="N27" s="363"/>
      <c r="O27" s="145">
        <v>0.0</v>
      </c>
      <c r="P27" s="145">
        <v>1.0</v>
      </c>
      <c r="Q27" s="145">
        <v>1.0</v>
      </c>
      <c r="R27" s="100"/>
      <c r="S27" s="100"/>
      <c r="T27" s="100"/>
      <c r="U27" s="145" t="s">
        <v>69</v>
      </c>
      <c r="V27" s="100"/>
    </row>
    <row r="28" outlineLevel="1">
      <c r="A28" s="156"/>
      <c r="B28" s="147" t="s">
        <v>70</v>
      </c>
      <c r="C28" s="467" t="s">
        <v>267</v>
      </c>
      <c r="D28" s="467" t="s">
        <v>271</v>
      </c>
      <c r="E28" s="216" t="s">
        <v>73</v>
      </c>
      <c r="F28" s="138">
        <v>4.8</v>
      </c>
      <c r="G28" s="139" t="s">
        <v>75</v>
      </c>
      <c r="H28" s="151"/>
      <c r="I28" s="110"/>
      <c r="J28" s="109"/>
      <c r="K28" s="282"/>
      <c r="L28" s="282"/>
      <c r="M28" s="363"/>
      <c r="N28" s="363"/>
      <c r="O28" s="145">
        <v>0.0</v>
      </c>
      <c r="P28" s="145">
        <v>1.0</v>
      </c>
      <c r="Q28" s="145">
        <v>1.0</v>
      </c>
      <c r="R28" s="100"/>
      <c r="S28" s="100"/>
      <c r="T28" s="100"/>
      <c r="U28" s="145" t="s">
        <v>76</v>
      </c>
      <c r="V28" s="100"/>
    </row>
    <row r="29" outlineLevel="1">
      <c r="A29" s="133" t="s">
        <v>77</v>
      </c>
      <c r="B29" s="160"/>
      <c r="C29" s="467" t="s">
        <v>563</v>
      </c>
      <c r="D29" s="455" t="s">
        <v>193</v>
      </c>
      <c r="E29" s="467" t="s">
        <v>80</v>
      </c>
      <c r="F29" s="138">
        <v>9.6</v>
      </c>
      <c r="G29" s="162" t="s">
        <v>88</v>
      </c>
      <c r="H29" s="163" t="s">
        <v>2581</v>
      </c>
      <c r="I29" s="164"/>
      <c r="J29" s="104"/>
      <c r="K29" s="138"/>
      <c r="L29" s="282"/>
      <c r="M29" s="363"/>
      <c r="N29" s="363"/>
      <c r="O29" s="145">
        <v>0.0</v>
      </c>
      <c r="P29" s="145">
        <v>1.0</v>
      </c>
      <c r="Q29" s="145">
        <v>1.0</v>
      </c>
      <c r="R29" s="100"/>
      <c r="S29" s="100"/>
      <c r="T29" s="100"/>
      <c r="U29" s="166" t="s">
        <v>69</v>
      </c>
      <c r="V29" s="100"/>
    </row>
    <row r="30" outlineLevel="1">
      <c r="A30" s="156"/>
      <c r="B30" s="147" t="s">
        <v>84</v>
      </c>
      <c r="C30" s="467" t="s">
        <v>1378</v>
      </c>
      <c r="D30" s="107"/>
      <c r="E30" s="467" t="s">
        <v>93</v>
      </c>
      <c r="F30" s="138">
        <v>8.4</v>
      </c>
      <c r="G30" s="139" t="s">
        <v>95</v>
      </c>
      <c r="H30" s="106"/>
      <c r="I30" s="168"/>
      <c r="J30" s="107"/>
      <c r="K30" s="282"/>
      <c r="L30" s="282"/>
      <c r="M30" s="363"/>
      <c r="N30" s="363"/>
      <c r="O30" s="145">
        <v>0.0</v>
      </c>
      <c r="P30" s="145">
        <v>1.0</v>
      </c>
      <c r="Q30" s="145">
        <v>1.0</v>
      </c>
      <c r="R30" s="100"/>
      <c r="S30" s="100"/>
      <c r="T30" s="100"/>
      <c r="U30" s="156"/>
      <c r="V30" s="100"/>
    </row>
    <row r="31" outlineLevel="1">
      <c r="A31" s="170" t="s">
        <v>89</v>
      </c>
      <c r="B31" s="147" t="s">
        <v>90</v>
      </c>
      <c r="C31" s="467" t="s">
        <v>267</v>
      </c>
      <c r="D31" s="467" t="s">
        <v>394</v>
      </c>
      <c r="E31" s="467" t="s">
        <v>150</v>
      </c>
      <c r="F31" s="138">
        <v>6.0</v>
      </c>
      <c r="G31" s="139" t="s">
        <v>102</v>
      </c>
      <c r="H31" s="151" t="s">
        <v>2582</v>
      </c>
      <c r="I31" s="110"/>
      <c r="J31" s="109"/>
      <c r="K31" s="138"/>
      <c r="L31" s="282"/>
      <c r="M31" s="363"/>
      <c r="N31" s="363"/>
      <c r="O31" s="145">
        <v>0.0</v>
      </c>
      <c r="P31" s="145">
        <v>1.0</v>
      </c>
      <c r="Q31" s="145">
        <v>1.0</v>
      </c>
      <c r="R31" s="100"/>
      <c r="S31" s="100"/>
      <c r="T31" s="100"/>
      <c r="U31" s="145" t="s">
        <v>96</v>
      </c>
      <c r="V31" s="100"/>
    </row>
    <row r="32" outlineLevel="1">
      <c r="A32" s="170" t="s">
        <v>97</v>
      </c>
      <c r="B32" s="160"/>
      <c r="C32" s="467" t="s">
        <v>267</v>
      </c>
      <c r="D32" s="467" t="s">
        <v>296</v>
      </c>
      <c r="E32" s="467" t="s">
        <v>150</v>
      </c>
      <c r="F32" s="138">
        <v>6.0</v>
      </c>
      <c r="G32" s="139" t="s">
        <v>102</v>
      </c>
      <c r="H32" s="151"/>
      <c r="I32" s="110"/>
      <c r="J32" s="109"/>
      <c r="K32" s="282"/>
      <c r="L32" s="282"/>
      <c r="M32" s="363"/>
      <c r="N32" s="363"/>
      <c r="O32" s="145">
        <v>0.0</v>
      </c>
      <c r="P32" s="145">
        <v>1.0</v>
      </c>
      <c r="Q32" s="145">
        <v>1.0</v>
      </c>
      <c r="R32" s="100"/>
      <c r="S32" s="100"/>
      <c r="T32" s="100"/>
      <c r="U32" s="145" t="s">
        <v>62</v>
      </c>
      <c r="V32" s="100"/>
    </row>
    <row r="33" outlineLevel="1">
      <c r="A33" s="170" t="s">
        <v>103</v>
      </c>
      <c r="B33" s="160"/>
      <c r="C33" s="467" t="s">
        <v>741</v>
      </c>
      <c r="D33" s="467" t="s">
        <v>99</v>
      </c>
      <c r="E33" s="467" t="s">
        <v>274</v>
      </c>
      <c r="F33" s="138">
        <v>10.799999999999999</v>
      </c>
      <c r="G33" s="139" t="s">
        <v>275</v>
      </c>
      <c r="H33" s="151"/>
      <c r="I33" s="110"/>
      <c r="J33" s="109"/>
      <c r="K33" s="145"/>
      <c r="L33" s="363"/>
      <c r="M33" s="363"/>
      <c r="N33" s="363"/>
      <c r="O33" s="145">
        <v>0.0</v>
      </c>
      <c r="P33" s="145">
        <v>1.0</v>
      </c>
      <c r="Q33" s="145">
        <v>1.0</v>
      </c>
      <c r="R33" s="100"/>
      <c r="S33" s="100"/>
      <c r="T33" s="100"/>
      <c r="U33" s="145" t="s">
        <v>69</v>
      </c>
      <c r="V33" s="100"/>
    </row>
    <row r="34" outlineLevel="1">
      <c r="A34" s="170" t="s">
        <v>109</v>
      </c>
      <c r="B34" s="147" t="s">
        <v>90</v>
      </c>
      <c r="C34" s="467" t="s">
        <v>351</v>
      </c>
      <c r="D34" s="467" t="s">
        <v>185</v>
      </c>
      <c r="E34" s="467" t="s">
        <v>386</v>
      </c>
      <c r="F34" s="138">
        <v>18.0</v>
      </c>
      <c r="G34" s="139" t="s">
        <v>121</v>
      </c>
      <c r="H34" s="151" t="s">
        <v>1214</v>
      </c>
      <c r="I34" s="110"/>
      <c r="J34" s="109"/>
      <c r="K34" s="282"/>
      <c r="L34" s="282"/>
      <c r="M34" s="363"/>
      <c r="N34" s="363"/>
      <c r="O34" s="145">
        <v>0.0</v>
      </c>
      <c r="P34" s="145">
        <v>1.0</v>
      </c>
      <c r="Q34" s="145">
        <v>1.0</v>
      </c>
      <c r="R34" s="100"/>
      <c r="S34" s="100"/>
      <c r="T34" s="100"/>
      <c r="U34" s="145" t="s">
        <v>95</v>
      </c>
      <c r="V34" s="100"/>
    </row>
    <row r="35" outlineLevel="1">
      <c r="A35" s="133" t="s">
        <v>116</v>
      </c>
      <c r="B35" s="147" t="s">
        <v>683</v>
      </c>
      <c r="C35" s="467" t="s">
        <v>296</v>
      </c>
      <c r="D35" s="455" t="s">
        <v>901</v>
      </c>
      <c r="E35" s="467" t="s">
        <v>204</v>
      </c>
      <c r="F35" s="138">
        <v>3.5999999999999996</v>
      </c>
      <c r="G35" s="139" t="s">
        <v>60</v>
      </c>
      <c r="H35" s="163" t="s">
        <v>2583</v>
      </c>
      <c r="I35" s="164"/>
      <c r="J35" s="104"/>
      <c r="K35" s="363"/>
      <c r="L35" s="363"/>
      <c r="M35" s="363"/>
      <c r="N35" s="363"/>
      <c r="O35" s="145">
        <v>0.0</v>
      </c>
      <c r="P35" s="145">
        <v>1.0</v>
      </c>
      <c r="Q35" s="145">
        <v>1.0</v>
      </c>
      <c r="R35" s="100"/>
      <c r="S35" s="100"/>
      <c r="T35" s="100"/>
      <c r="U35" s="166" t="s">
        <v>62</v>
      </c>
      <c r="V35" s="100"/>
    </row>
    <row r="36" outlineLevel="1">
      <c r="A36" s="146"/>
      <c r="B36" s="147" t="s">
        <v>1235</v>
      </c>
      <c r="C36" s="216" t="s">
        <v>65</v>
      </c>
      <c r="D36" s="210"/>
      <c r="E36" s="467" t="s">
        <v>228</v>
      </c>
      <c r="F36" s="138">
        <v>15.6</v>
      </c>
      <c r="G36" s="139" t="s">
        <v>275</v>
      </c>
      <c r="H36" s="212"/>
      <c r="J36" s="210"/>
      <c r="K36" s="363"/>
      <c r="L36" s="363"/>
      <c r="M36" s="363"/>
      <c r="N36" s="363"/>
      <c r="O36" s="145"/>
      <c r="P36" s="145"/>
      <c r="Q36" s="145"/>
      <c r="R36" s="100"/>
      <c r="S36" s="100"/>
      <c r="T36" s="100"/>
      <c r="U36" s="146"/>
      <c r="V36" s="100"/>
    </row>
    <row r="37" outlineLevel="1">
      <c r="A37" s="146"/>
      <c r="B37" s="147" t="s">
        <v>1234</v>
      </c>
      <c r="C37" s="216" t="s">
        <v>1114</v>
      </c>
      <c r="D37" s="210"/>
      <c r="E37" s="467" t="s">
        <v>129</v>
      </c>
      <c r="F37" s="138">
        <v>14.399999999999999</v>
      </c>
      <c r="G37" s="139" t="s">
        <v>123</v>
      </c>
      <c r="H37" s="212"/>
      <c r="J37" s="210"/>
      <c r="K37" s="363"/>
      <c r="L37" s="363"/>
      <c r="M37" s="363"/>
      <c r="N37" s="363"/>
      <c r="O37" s="145"/>
      <c r="P37" s="145"/>
      <c r="Q37" s="145"/>
      <c r="R37" s="100"/>
      <c r="S37" s="100"/>
      <c r="T37" s="100"/>
      <c r="U37" s="146"/>
      <c r="V37" s="100"/>
    </row>
    <row r="38" outlineLevel="1">
      <c r="A38" s="146"/>
      <c r="B38" s="147" t="s">
        <v>2584</v>
      </c>
      <c r="C38" s="216" t="s">
        <v>173</v>
      </c>
      <c r="D38" s="210"/>
      <c r="E38" s="467" t="s">
        <v>128</v>
      </c>
      <c r="F38" s="138">
        <v>12.0</v>
      </c>
      <c r="G38" s="139" t="s">
        <v>95</v>
      </c>
      <c r="H38" s="212"/>
      <c r="J38" s="210"/>
      <c r="K38" s="363"/>
      <c r="L38" s="363"/>
      <c r="M38" s="363"/>
      <c r="N38" s="363"/>
      <c r="O38" s="145"/>
      <c r="P38" s="145"/>
      <c r="Q38" s="145"/>
      <c r="R38" s="100"/>
      <c r="S38" s="100"/>
      <c r="T38" s="100"/>
      <c r="U38" s="146"/>
      <c r="V38" s="100"/>
    </row>
    <row r="39" outlineLevel="1">
      <c r="A39" s="146"/>
      <c r="B39" s="147" t="s">
        <v>2585</v>
      </c>
      <c r="C39" s="216" t="s">
        <v>268</v>
      </c>
      <c r="D39" s="210"/>
      <c r="E39" s="467" t="s">
        <v>274</v>
      </c>
      <c r="F39" s="138">
        <v>10.799999999999999</v>
      </c>
      <c r="G39" s="139" t="s">
        <v>95</v>
      </c>
      <c r="H39" s="212"/>
      <c r="J39" s="210"/>
      <c r="K39" s="363"/>
      <c r="L39" s="363"/>
      <c r="M39" s="363"/>
      <c r="N39" s="363"/>
      <c r="O39" s="145"/>
      <c r="P39" s="145"/>
      <c r="Q39" s="145"/>
      <c r="R39" s="100"/>
      <c r="S39" s="100"/>
      <c r="T39" s="100"/>
      <c r="U39" s="146"/>
      <c r="V39" s="100"/>
    </row>
    <row r="40" outlineLevel="1">
      <c r="A40" s="156"/>
      <c r="B40" s="147" t="s">
        <v>2586</v>
      </c>
      <c r="C40" s="216" t="s">
        <v>92</v>
      </c>
      <c r="D40" s="107"/>
      <c r="E40" s="467" t="s">
        <v>80</v>
      </c>
      <c r="F40" s="138">
        <v>9.6</v>
      </c>
      <c r="G40" s="139" t="s">
        <v>102</v>
      </c>
      <c r="H40" s="106"/>
      <c r="I40" s="168"/>
      <c r="J40" s="107"/>
      <c r="K40" s="363"/>
      <c r="L40" s="363"/>
      <c r="M40" s="363"/>
      <c r="N40" s="363"/>
      <c r="O40" s="145">
        <v>0.0</v>
      </c>
      <c r="P40" s="145">
        <v>1.0</v>
      </c>
      <c r="Q40" s="145">
        <v>1.0</v>
      </c>
      <c r="R40" s="100"/>
      <c r="S40" s="100"/>
      <c r="T40" s="100"/>
      <c r="U40" s="156"/>
      <c r="V40" s="100"/>
    </row>
    <row r="41" outlineLevel="1">
      <c r="A41" s="133" t="s">
        <v>124</v>
      </c>
      <c r="B41" s="147" t="s">
        <v>125</v>
      </c>
      <c r="C41" s="216" t="s">
        <v>653</v>
      </c>
      <c r="D41" s="455" t="s">
        <v>628</v>
      </c>
      <c r="E41" s="467" t="s">
        <v>228</v>
      </c>
      <c r="F41" s="138">
        <v>15.6</v>
      </c>
      <c r="G41" s="139" t="s">
        <v>275</v>
      </c>
      <c r="H41" s="163" t="s">
        <v>560</v>
      </c>
      <c r="I41" s="164"/>
      <c r="J41" s="104"/>
      <c r="K41" s="282"/>
      <c r="L41" s="282"/>
      <c r="M41" s="363"/>
      <c r="N41" s="363"/>
      <c r="O41" s="145"/>
      <c r="P41" s="145"/>
      <c r="Q41" s="145"/>
      <c r="R41" s="100"/>
      <c r="S41" s="100"/>
      <c r="T41" s="100"/>
      <c r="U41" s="166" t="s">
        <v>62</v>
      </c>
      <c r="V41" s="100"/>
    </row>
    <row r="42" outlineLevel="1">
      <c r="A42" s="156"/>
      <c r="B42" s="147" t="s">
        <v>131</v>
      </c>
      <c r="C42" s="216" t="s">
        <v>443</v>
      </c>
      <c r="D42" s="107"/>
      <c r="E42" s="467" t="s">
        <v>228</v>
      </c>
      <c r="F42" s="138">
        <v>15.6</v>
      </c>
      <c r="G42" s="139" t="s">
        <v>275</v>
      </c>
      <c r="H42" s="106"/>
      <c r="I42" s="168"/>
      <c r="J42" s="107"/>
      <c r="K42" s="282"/>
      <c r="L42" s="282"/>
      <c r="M42" s="363"/>
      <c r="N42" s="363"/>
      <c r="O42" s="145">
        <v>0.0</v>
      </c>
      <c r="P42" s="145">
        <v>1.0</v>
      </c>
      <c r="Q42" s="145">
        <v>1.0</v>
      </c>
      <c r="R42" s="100"/>
      <c r="S42" s="100"/>
      <c r="T42" s="100"/>
      <c r="U42" s="156"/>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tr">
        <f>'テンプレート'!I56</f>
        <v>着地隙</v>
      </c>
      <c r="J45" s="184" t="s">
        <v>136</v>
      </c>
      <c r="K45" s="184" t="str">
        <f>'テンプレート'!K56</f>
        <v>ベクトル</v>
      </c>
      <c r="L45" s="184" t="str">
        <f>'テンプレート'!L56</f>
        <v>KBG (R.E.)</v>
      </c>
      <c r="M45" s="184" t="str">
        <f>'テンプレート'!M56</f>
        <v>BKB (R.A.)</v>
      </c>
      <c r="N45" s="184" t="str">
        <f>'テンプレート'!N56</f>
        <v>FKB (R.F.)</v>
      </c>
      <c r="O45" s="186" t="str">
        <f>'テンプレート'!O56</f>
        <v>盾削り値</v>
      </c>
      <c r="P45" s="184" t="str">
        <f>'テンプレート'!P56</f>
        <v>ﾋｯﾄｽﾄｯﾌﾟ</v>
      </c>
      <c r="Q45" s="186" t="str">
        <f>'テンプレート'!Q56</f>
        <v>ずらし</v>
      </c>
      <c r="R45" s="187" t="str">
        <f>'テンプレート'!R56</f>
        <v>備考</v>
      </c>
      <c r="S45" s="110"/>
      <c r="T45" s="110"/>
      <c r="U45" s="110"/>
      <c r="V45" s="110"/>
    </row>
    <row r="46" outlineLevel="1">
      <c r="A46" s="188" t="s">
        <v>144</v>
      </c>
      <c r="B46" s="373"/>
      <c r="C46" s="239" t="s">
        <v>270</v>
      </c>
      <c r="D46" s="455" t="s">
        <v>384</v>
      </c>
      <c r="E46" s="401" t="s">
        <v>128</v>
      </c>
      <c r="F46" s="193">
        <v>12.0</v>
      </c>
      <c r="G46" s="193">
        <v>10.2</v>
      </c>
      <c r="H46" s="138" t="s">
        <v>147</v>
      </c>
      <c r="I46" s="454" t="str">
        <f t="array" ref="I46">INDEX('空中攻撃'!$O$3:$AA$109, MATCH($A$1,'空中攻撃'!$A$3:$A$109,0), MATCH(A46,'空中攻撃'!$O$2:$S$2,0))</f>
        <v>8</v>
      </c>
      <c r="J46" s="455" t="s">
        <v>1177</v>
      </c>
      <c r="K46" s="138"/>
      <c r="L46" s="282"/>
      <c r="M46" s="363"/>
      <c r="N46" s="363"/>
      <c r="O46" s="145">
        <v>0.0</v>
      </c>
      <c r="P46" s="145">
        <v>1.0</v>
      </c>
      <c r="Q46" s="145">
        <v>1.0</v>
      </c>
      <c r="R46" s="163"/>
      <c r="S46" s="164"/>
      <c r="T46" s="164"/>
      <c r="U46" s="164"/>
      <c r="V46" s="104"/>
    </row>
    <row r="47" outlineLevel="1">
      <c r="A47" s="156"/>
      <c r="B47" s="373" t="s">
        <v>84</v>
      </c>
      <c r="C47" s="239" t="s">
        <v>1385</v>
      </c>
      <c r="D47" s="107"/>
      <c r="E47" s="239" t="s">
        <v>93</v>
      </c>
      <c r="F47" s="138">
        <v>8.4</v>
      </c>
      <c r="G47" s="138">
        <v>7.140000000000001</v>
      </c>
      <c r="H47" s="138" t="s">
        <v>60</v>
      </c>
      <c r="I47" s="156"/>
      <c r="J47" s="107"/>
      <c r="K47" s="138"/>
      <c r="L47" s="282"/>
      <c r="M47" s="363"/>
      <c r="N47" s="363"/>
      <c r="O47" s="145">
        <v>0.0</v>
      </c>
      <c r="P47" s="145">
        <v>1.0</v>
      </c>
      <c r="Q47" s="145">
        <v>1.0</v>
      </c>
      <c r="R47" s="106"/>
      <c r="S47" s="168"/>
      <c r="T47" s="168"/>
      <c r="U47" s="168"/>
      <c r="V47" s="107"/>
    </row>
    <row r="48" outlineLevel="1">
      <c r="A48" s="188" t="s">
        <v>151</v>
      </c>
      <c r="B48" s="373"/>
      <c r="C48" s="239" t="s">
        <v>267</v>
      </c>
      <c r="D48" s="455" t="s">
        <v>193</v>
      </c>
      <c r="E48" s="239" t="s">
        <v>93</v>
      </c>
      <c r="F48" s="138">
        <v>8.4</v>
      </c>
      <c r="G48" s="138">
        <v>7.140000000000001</v>
      </c>
      <c r="H48" s="138" t="s">
        <v>60</v>
      </c>
      <c r="I48" s="452" t="str">
        <f t="array" ref="I48">INDEX('空中攻撃'!$O$3:$AB$109, MATCH($A$1,'空中攻撃'!$A$3:$A$109,0), MATCH(A48,'空中攻撃'!$O$2:$S$2,0))</f>
        <v>6</v>
      </c>
      <c r="J48" s="455" t="s">
        <v>2282</v>
      </c>
      <c r="K48" s="138"/>
      <c r="L48" s="282"/>
      <c r="M48" s="363"/>
      <c r="N48" s="363"/>
      <c r="O48" s="145">
        <v>0.0</v>
      </c>
      <c r="P48" s="145">
        <v>1.0</v>
      </c>
      <c r="Q48" s="145">
        <v>1.0</v>
      </c>
      <c r="R48" s="163"/>
      <c r="S48" s="164"/>
      <c r="T48" s="164"/>
      <c r="U48" s="164"/>
      <c r="V48" s="104"/>
    </row>
    <row r="49" outlineLevel="1">
      <c r="A49" s="156"/>
      <c r="B49" s="373" t="s">
        <v>84</v>
      </c>
      <c r="C49" s="239" t="s">
        <v>1457</v>
      </c>
      <c r="D49" s="107"/>
      <c r="E49" s="239" t="s">
        <v>86</v>
      </c>
      <c r="F49" s="138">
        <v>7.199999999999999</v>
      </c>
      <c r="G49" s="138">
        <v>6.12</v>
      </c>
      <c r="H49" s="138" t="s">
        <v>60</v>
      </c>
      <c r="I49" s="107"/>
      <c r="J49" s="107"/>
      <c r="K49" s="138"/>
      <c r="L49" s="282"/>
      <c r="M49" s="363"/>
      <c r="N49" s="363"/>
      <c r="O49" s="145">
        <v>0.0</v>
      </c>
      <c r="P49" s="145">
        <v>1.0</v>
      </c>
      <c r="Q49" s="145">
        <v>1.0</v>
      </c>
      <c r="R49" s="106"/>
      <c r="S49" s="168"/>
      <c r="T49" s="168"/>
      <c r="U49" s="168"/>
      <c r="V49" s="107"/>
    </row>
    <row r="50" outlineLevel="1">
      <c r="A50" s="188" t="s">
        <v>157</v>
      </c>
      <c r="B50" s="373" t="s">
        <v>199</v>
      </c>
      <c r="C50" s="239" t="s">
        <v>2587</v>
      </c>
      <c r="D50" s="455" t="s">
        <v>193</v>
      </c>
      <c r="E50" s="239" t="s">
        <v>213</v>
      </c>
      <c r="F50" s="138">
        <v>1.2</v>
      </c>
      <c r="G50" s="138">
        <v>1.02</v>
      </c>
      <c r="H50" s="138" t="s">
        <v>170</v>
      </c>
      <c r="I50" s="452">
        <f t="array" ref="I50">INDEX('空中攻撃'!$O$3:$AB$109, MATCH($A$1,'空中攻撃'!$A$3:$A$109,0), MATCH(A50,'空中攻撃'!$O$2:$S$2,0))</f>
        <v>18</v>
      </c>
      <c r="J50" s="455" t="s">
        <v>2588</v>
      </c>
      <c r="K50" s="138"/>
      <c r="L50" s="282"/>
      <c r="M50" s="363"/>
      <c r="N50" s="363"/>
      <c r="O50" s="145">
        <v>0.0</v>
      </c>
      <c r="P50" s="145">
        <v>1.0</v>
      </c>
      <c r="Q50" s="145">
        <v>1.0</v>
      </c>
      <c r="R50" s="163"/>
      <c r="S50" s="164"/>
      <c r="T50" s="164"/>
      <c r="U50" s="164"/>
      <c r="V50" s="104"/>
    </row>
    <row r="51" outlineLevel="1">
      <c r="A51" s="146"/>
      <c r="B51" s="373" t="s">
        <v>202</v>
      </c>
      <c r="C51" s="239" t="s">
        <v>561</v>
      </c>
      <c r="D51" s="210"/>
      <c r="E51" s="239" t="s">
        <v>86</v>
      </c>
      <c r="F51" s="138">
        <v>7.199999999999999</v>
      </c>
      <c r="G51" s="138">
        <v>6.12</v>
      </c>
      <c r="H51" s="138" t="s">
        <v>60</v>
      </c>
      <c r="I51" s="210"/>
      <c r="J51" s="210"/>
      <c r="K51" s="138"/>
      <c r="L51" s="282"/>
      <c r="M51" s="363"/>
      <c r="N51" s="363"/>
      <c r="O51" s="145">
        <v>0.0</v>
      </c>
      <c r="P51" s="145">
        <v>1.0</v>
      </c>
      <c r="Q51" s="145">
        <v>1.0</v>
      </c>
      <c r="R51" s="212"/>
      <c r="V51" s="210"/>
    </row>
    <row r="52" outlineLevel="1">
      <c r="A52" s="156"/>
      <c r="B52" s="373" t="s">
        <v>174</v>
      </c>
      <c r="C52" s="239" t="s">
        <v>175</v>
      </c>
      <c r="D52" s="107"/>
      <c r="E52" s="239" t="s">
        <v>176</v>
      </c>
      <c r="F52" s="138">
        <v>2.4</v>
      </c>
      <c r="G52" s="138">
        <v>2.4</v>
      </c>
      <c r="H52" s="138" t="s">
        <v>60</v>
      </c>
      <c r="I52" s="107"/>
      <c r="J52" s="107"/>
      <c r="K52" s="138"/>
      <c r="L52" s="282"/>
      <c r="M52" s="363"/>
      <c r="N52" s="363"/>
      <c r="O52" s="145"/>
      <c r="P52" s="145"/>
      <c r="Q52" s="145"/>
      <c r="R52" s="106"/>
      <c r="S52" s="168"/>
      <c r="T52" s="168"/>
      <c r="U52" s="168"/>
      <c r="V52" s="107"/>
    </row>
    <row r="53" outlineLevel="1">
      <c r="A53" s="213" t="s">
        <v>162</v>
      </c>
      <c r="B53" s="373"/>
      <c r="C53" s="239" t="s">
        <v>1615</v>
      </c>
      <c r="D53" s="467" t="s">
        <v>99</v>
      </c>
      <c r="E53" s="239" t="s">
        <v>93</v>
      </c>
      <c r="F53" s="138">
        <v>8.4</v>
      </c>
      <c r="G53" s="138">
        <v>7.140000000000001</v>
      </c>
      <c r="H53" s="138" t="s">
        <v>60</v>
      </c>
      <c r="I53" s="774" t="str">
        <f t="array" ref="I53">INDEX('空中攻撃'!$O$3:$AB$109, MATCH($A$1,'空中攻撃'!$A$3:$A$109,0), MATCH(A53,'空中攻撃'!$O$2:$S$2,0))</f>
        <v>6</v>
      </c>
      <c r="J53" s="467" t="s">
        <v>2589</v>
      </c>
      <c r="K53" s="282"/>
      <c r="L53" s="282"/>
      <c r="M53" s="363"/>
      <c r="N53" s="363"/>
      <c r="O53" s="145">
        <v>0.0</v>
      </c>
      <c r="P53" s="145">
        <v>1.0</v>
      </c>
      <c r="Q53" s="145">
        <v>1.0</v>
      </c>
      <c r="R53" s="151"/>
      <c r="S53" s="110"/>
      <c r="T53" s="110"/>
      <c r="U53" s="110"/>
      <c r="V53" s="109"/>
    </row>
    <row r="54" outlineLevel="1">
      <c r="A54" s="188" t="s">
        <v>166</v>
      </c>
      <c r="B54" s="373" t="s">
        <v>199</v>
      </c>
      <c r="C54" s="239" t="s">
        <v>2590</v>
      </c>
      <c r="D54" s="455" t="s">
        <v>393</v>
      </c>
      <c r="E54" s="239" t="s">
        <v>1024</v>
      </c>
      <c r="F54" s="138">
        <v>1.7999999999999998</v>
      </c>
      <c r="G54" s="138">
        <v>1.53</v>
      </c>
      <c r="H54" s="138" t="s">
        <v>170</v>
      </c>
      <c r="I54" s="452">
        <f t="array" ref="I54">INDEX('空中攻撃'!$O$3:$AB$109, MATCH($A$1,'空中攻撃'!$A$3:$A$109,0), MATCH(A54,'空中攻撃'!$O$2:$S$2,0))</f>
        <v>16</v>
      </c>
      <c r="J54" s="455" t="s">
        <v>2591</v>
      </c>
      <c r="K54" s="282"/>
      <c r="L54" s="282"/>
      <c r="M54" s="363"/>
      <c r="N54" s="363"/>
      <c r="O54" s="145">
        <v>0.0</v>
      </c>
      <c r="P54" s="145">
        <v>1.0</v>
      </c>
      <c r="Q54" s="145">
        <v>1.0</v>
      </c>
      <c r="R54" s="163"/>
      <c r="S54" s="164"/>
      <c r="T54" s="164"/>
      <c r="U54" s="164"/>
      <c r="V54" s="104"/>
    </row>
    <row r="55" outlineLevel="1">
      <c r="A55" s="156"/>
      <c r="B55" s="373" t="s">
        <v>202</v>
      </c>
      <c r="C55" s="239" t="s">
        <v>1114</v>
      </c>
      <c r="D55" s="107"/>
      <c r="E55" s="239" t="s">
        <v>73</v>
      </c>
      <c r="F55" s="138">
        <v>5.0</v>
      </c>
      <c r="G55" s="138">
        <v>5.1</v>
      </c>
      <c r="H55" s="138" t="s">
        <v>60</v>
      </c>
      <c r="I55" s="107"/>
      <c r="J55" s="107"/>
      <c r="K55" s="282"/>
      <c r="L55" s="282"/>
      <c r="M55" s="363"/>
      <c r="N55" s="363"/>
      <c r="O55" s="145">
        <v>0.0</v>
      </c>
      <c r="P55" s="145">
        <v>1.0</v>
      </c>
      <c r="Q55" s="145">
        <v>1.0</v>
      </c>
      <c r="R55" s="106"/>
      <c r="S55" s="168"/>
      <c r="T55" s="168"/>
      <c r="U55" s="168"/>
      <c r="V55" s="107"/>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
        <v>177</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
        <v>2592</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184</v>
      </c>
      <c r="B59" s="243" t="s">
        <v>206</v>
      </c>
      <c r="C59" s="239" t="s">
        <v>2593</v>
      </c>
      <c r="D59" s="239" t="s">
        <v>748</v>
      </c>
      <c r="E59" s="239" t="s">
        <v>209</v>
      </c>
      <c r="F59" s="138">
        <v>0.0</v>
      </c>
      <c r="G59" s="261"/>
      <c r="H59" s="151" t="s">
        <v>2594</v>
      </c>
      <c r="I59" s="110"/>
      <c r="J59" s="109"/>
      <c r="K59" s="282"/>
      <c r="L59" s="282"/>
      <c r="M59" s="363"/>
      <c r="N59" s="363"/>
      <c r="O59" s="138">
        <v>0.0</v>
      </c>
      <c r="P59" s="138">
        <v>1.0</v>
      </c>
      <c r="Q59" s="138">
        <v>1.0</v>
      </c>
      <c r="R59" s="145" t="b">
        <v>1</v>
      </c>
      <c r="S59" s="145" t="b">
        <v>1</v>
      </c>
      <c r="T59" s="145"/>
      <c r="U59" s="145" t="b">
        <v>0</v>
      </c>
      <c r="V59" s="145" t="b">
        <v>1</v>
      </c>
    </row>
    <row r="60" outlineLevel="1">
      <c r="A60" s="230" t="s">
        <v>2595</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outlineLevel="1">
      <c r="A61" s="237" t="s">
        <v>184</v>
      </c>
      <c r="B61" s="243" t="s">
        <v>2596</v>
      </c>
      <c r="C61" s="367" t="s">
        <v>2597</v>
      </c>
      <c r="D61" s="239" t="s">
        <v>2269</v>
      </c>
      <c r="E61" s="367" t="s">
        <v>1841</v>
      </c>
      <c r="F61" s="394" t="s">
        <v>1842</v>
      </c>
      <c r="G61" s="367" t="s">
        <v>1843</v>
      </c>
      <c r="H61" s="163" t="s">
        <v>2598</v>
      </c>
      <c r="I61" s="164"/>
      <c r="J61" s="104"/>
      <c r="K61" s="282"/>
      <c r="L61" s="282"/>
      <c r="M61" s="363"/>
      <c r="N61" s="363"/>
      <c r="O61" s="138">
        <v>0.0</v>
      </c>
      <c r="P61" s="138">
        <v>1.0</v>
      </c>
      <c r="Q61" s="138">
        <v>1.0</v>
      </c>
      <c r="R61" s="145" t="b">
        <v>1</v>
      </c>
      <c r="S61" s="145" t="b">
        <v>1</v>
      </c>
      <c r="T61" s="145"/>
      <c r="U61" s="166" t="s">
        <v>186</v>
      </c>
      <c r="V61" s="166" t="b">
        <v>1</v>
      </c>
    </row>
    <row r="62" ht="18.0" customHeight="1" outlineLevel="1">
      <c r="A62" s="146"/>
      <c r="B62" s="243" t="s">
        <v>2599</v>
      </c>
      <c r="C62" s="156"/>
      <c r="D62" s="239" t="s">
        <v>2600</v>
      </c>
      <c r="E62" s="156"/>
      <c r="F62" s="156"/>
      <c r="G62" s="156"/>
      <c r="H62" s="212"/>
      <c r="J62" s="210"/>
      <c r="K62" s="261"/>
      <c r="L62" s="261"/>
      <c r="M62" s="261"/>
      <c r="N62" s="261"/>
      <c r="O62" s="261"/>
      <c r="P62" s="261"/>
      <c r="Q62" s="261"/>
      <c r="R62" s="261"/>
      <c r="S62" s="261"/>
      <c r="T62" s="261"/>
      <c r="U62" s="146"/>
      <c r="V62" s="146"/>
    </row>
    <row r="63" outlineLevel="1">
      <c r="A63" s="146"/>
      <c r="B63" s="243" t="s">
        <v>2601</v>
      </c>
      <c r="C63" s="261"/>
      <c r="D63" s="239" t="s">
        <v>876</v>
      </c>
      <c r="E63" s="261"/>
      <c r="F63" s="261"/>
      <c r="G63" s="261"/>
      <c r="H63" s="212"/>
      <c r="J63" s="210"/>
      <c r="K63" s="261"/>
      <c r="L63" s="261"/>
      <c r="M63" s="261"/>
      <c r="N63" s="261"/>
      <c r="O63" s="261"/>
      <c r="P63" s="261"/>
      <c r="Q63" s="261"/>
      <c r="R63" s="261"/>
      <c r="S63" s="261"/>
      <c r="T63" s="261"/>
      <c r="U63" s="146"/>
      <c r="V63" s="146"/>
    </row>
    <row r="64" outlineLevel="1">
      <c r="A64" s="146"/>
      <c r="B64" s="243" t="s">
        <v>2602</v>
      </c>
      <c r="C64" s="261"/>
      <c r="D64" s="239" t="s">
        <v>2603</v>
      </c>
      <c r="E64" s="261"/>
      <c r="F64" s="261"/>
      <c r="G64" s="261"/>
      <c r="H64" s="106"/>
      <c r="I64" s="168"/>
      <c r="J64" s="107"/>
      <c r="K64" s="261"/>
      <c r="L64" s="261"/>
      <c r="M64" s="261"/>
      <c r="N64" s="261"/>
      <c r="O64" s="261"/>
      <c r="P64" s="261"/>
      <c r="Q64" s="261"/>
      <c r="R64" s="261"/>
      <c r="S64" s="261"/>
      <c r="T64" s="261"/>
      <c r="U64" s="156"/>
      <c r="V64" s="156"/>
    </row>
    <row r="65" outlineLevel="1">
      <c r="A65" s="230" t="s">
        <v>2604</v>
      </c>
      <c r="B65" s="109"/>
      <c r="C65" s="231" t="s">
        <v>48</v>
      </c>
      <c r="D65" s="231" t="s">
        <v>49</v>
      </c>
      <c r="E65" s="232" t="s">
        <v>50</v>
      </c>
      <c r="F65" s="233" t="s">
        <v>51</v>
      </c>
      <c r="G65" s="232" t="s">
        <v>52</v>
      </c>
      <c r="H65" s="382" t="s">
        <v>53</v>
      </c>
      <c r="I65" s="110"/>
      <c r="J65" s="109"/>
      <c r="K65" s="235" t="s">
        <v>137</v>
      </c>
      <c r="L65" s="235" t="s">
        <v>138</v>
      </c>
      <c r="M65" s="235" t="s">
        <v>139</v>
      </c>
      <c r="N65" s="235" t="s">
        <v>140</v>
      </c>
      <c r="O65" s="236" t="s">
        <v>141</v>
      </c>
      <c r="P65" s="235" t="s">
        <v>142</v>
      </c>
      <c r="Q65" s="236" t="s">
        <v>143</v>
      </c>
      <c r="R65" s="235" t="s">
        <v>179</v>
      </c>
      <c r="S65" s="236" t="s">
        <v>180</v>
      </c>
      <c r="T65" s="236" t="s">
        <v>181</v>
      </c>
      <c r="U65" s="236" t="s">
        <v>182</v>
      </c>
      <c r="V65" s="236" t="s">
        <v>183</v>
      </c>
    </row>
    <row r="66" ht="28.5" customHeight="1" outlineLevel="1">
      <c r="A66" s="237" t="s">
        <v>184</v>
      </c>
      <c r="B66" s="402" t="s">
        <v>199</v>
      </c>
      <c r="C66" s="239" t="s">
        <v>2605</v>
      </c>
      <c r="D66" s="250"/>
      <c r="E66" s="239" t="s">
        <v>169</v>
      </c>
      <c r="F66" s="138">
        <v>1.68</v>
      </c>
      <c r="G66" s="139" t="s">
        <v>60</v>
      </c>
      <c r="H66" s="163" t="s">
        <v>2606</v>
      </c>
      <c r="I66" s="164"/>
      <c r="J66" s="104"/>
      <c r="K66" s="138"/>
      <c r="L66" s="138"/>
      <c r="M66" s="145"/>
      <c r="N66" s="145"/>
      <c r="O66" s="138">
        <v>0.0</v>
      </c>
      <c r="P66" s="138">
        <v>1.0</v>
      </c>
      <c r="Q66" s="138">
        <v>1.0</v>
      </c>
      <c r="R66" s="145" t="b">
        <v>1</v>
      </c>
      <c r="S66" s="145" t="b">
        <v>1</v>
      </c>
      <c r="T66" s="145"/>
      <c r="U66" s="166" t="s">
        <v>2352</v>
      </c>
      <c r="V66" s="166" t="b">
        <v>0</v>
      </c>
    </row>
    <row r="67" ht="28.5" customHeight="1" outlineLevel="1">
      <c r="A67" s="146"/>
      <c r="B67" s="402" t="s">
        <v>202</v>
      </c>
      <c r="C67" s="239" t="s">
        <v>2607</v>
      </c>
      <c r="D67" s="156"/>
      <c r="E67" s="239" t="s">
        <v>204</v>
      </c>
      <c r="F67" s="138">
        <v>3.5999999999999996</v>
      </c>
      <c r="G67" s="139" t="s">
        <v>147</v>
      </c>
      <c r="H67" s="106"/>
      <c r="I67" s="168"/>
      <c r="J67" s="107"/>
      <c r="K67" s="138"/>
      <c r="L67" s="138"/>
      <c r="M67" s="145"/>
      <c r="N67" s="145"/>
      <c r="O67" s="138">
        <v>0.0</v>
      </c>
      <c r="P67" s="138">
        <v>1.0</v>
      </c>
      <c r="Q67" s="138">
        <v>1.0</v>
      </c>
      <c r="R67" s="145" t="b">
        <v>1</v>
      </c>
      <c r="S67" s="145" t="b">
        <v>1</v>
      </c>
      <c r="T67" s="145"/>
      <c r="U67" s="156"/>
      <c r="V67" s="156"/>
    </row>
    <row r="68" outlineLevel="1">
      <c r="A68" s="230" t="s">
        <v>2608</v>
      </c>
      <c r="B68" s="109"/>
      <c r="C68" s="231" t="s">
        <v>48</v>
      </c>
      <c r="D68" s="231" t="s">
        <v>49</v>
      </c>
      <c r="E68" s="232" t="s">
        <v>50</v>
      </c>
      <c r="F68" s="233" t="s">
        <v>51</v>
      </c>
      <c r="G68" s="232" t="s">
        <v>52</v>
      </c>
      <c r="H68" s="382" t="s">
        <v>53</v>
      </c>
      <c r="I68" s="110"/>
      <c r="J68" s="109"/>
      <c r="K68" s="235" t="s">
        <v>137</v>
      </c>
      <c r="L68" s="235" t="s">
        <v>138</v>
      </c>
      <c r="M68" s="235" t="s">
        <v>139</v>
      </c>
      <c r="N68" s="235" t="s">
        <v>140</v>
      </c>
      <c r="O68" s="236" t="s">
        <v>141</v>
      </c>
      <c r="P68" s="235" t="s">
        <v>142</v>
      </c>
      <c r="Q68" s="236" t="s">
        <v>143</v>
      </c>
      <c r="R68" s="235" t="s">
        <v>179</v>
      </c>
      <c r="S68" s="236" t="s">
        <v>180</v>
      </c>
      <c r="T68" s="236" t="s">
        <v>181</v>
      </c>
      <c r="U68" s="236" t="s">
        <v>182</v>
      </c>
      <c r="V68" s="236" t="s">
        <v>183</v>
      </c>
    </row>
    <row r="69" outlineLevel="1">
      <c r="A69" s="1202" t="s">
        <v>184</v>
      </c>
      <c r="B69" s="870"/>
      <c r="C69" s="261"/>
      <c r="D69" s="467" t="s">
        <v>118</v>
      </c>
      <c r="E69" s="261"/>
      <c r="F69" s="261"/>
      <c r="G69" s="261"/>
      <c r="H69" s="151" t="s">
        <v>2609</v>
      </c>
      <c r="I69" s="110"/>
      <c r="J69" s="109"/>
      <c r="K69" s="261"/>
      <c r="L69" s="261"/>
      <c r="M69" s="261"/>
      <c r="N69" s="261"/>
      <c r="O69" s="261"/>
      <c r="P69" s="261"/>
      <c r="Q69" s="261"/>
      <c r="R69" s="261"/>
      <c r="S69" s="261"/>
      <c r="T69" s="261"/>
      <c r="U69" s="145" t="b">
        <v>0</v>
      </c>
      <c r="V69" s="145" t="b">
        <v>0</v>
      </c>
    </row>
    <row r="70">
      <c r="A70" s="223"/>
      <c r="B70" s="224"/>
      <c r="C70" s="225"/>
      <c r="D70" s="225"/>
      <c r="E70" s="226"/>
      <c r="F70" s="226"/>
      <c r="G70" s="226"/>
      <c r="H70" s="227"/>
      <c r="I70" s="227"/>
      <c r="J70" s="228"/>
      <c r="K70" s="228"/>
      <c r="L70" s="228"/>
      <c r="M70" s="228"/>
      <c r="N70" s="228"/>
      <c r="O70" s="228"/>
      <c r="P70" s="228"/>
      <c r="Q70" s="118"/>
      <c r="R70" s="118"/>
      <c r="S70" s="118"/>
      <c r="T70" s="118"/>
      <c r="U70" s="118"/>
      <c r="V70" s="118"/>
    </row>
    <row r="71">
      <c r="A71" s="264" t="s">
        <v>211</v>
      </c>
      <c r="B71" s="104"/>
      <c r="C71" s="227"/>
      <c r="D71" s="227"/>
      <c r="E71" s="228"/>
      <c r="F71" s="265"/>
      <c r="G71" s="265"/>
      <c r="H71" s="228"/>
      <c r="I71" s="228"/>
      <c r="J71" s="228"/>
      <c r="K71" s="228"/>
      <c r="L71" s="228"/>
      <c r="M71" s="228"/>
      <c r="N71" s="118"/>
      <c r="O71" s="118"/>
      <c r="P71" s="118"/>
      <c r="Q71" s="228"/>
      <c r="R71" s="228"/>
      <c r="S71" s="228"/>
      <c r="T71" s="228"/>
      <c r="U71" s="228"/>
      <c r="V71" s="228"/>
    </row>
    <row r="72" outlineLevel="1">
      <c r="A72" s="106"/>
      <c r="B72" s="107"/>
      <c r="C72" s="266" t="s">
        <v>48</v>
      </c>
      <c r="D72" s="266" t="s">
        <v>49</v>
      </c>
      <c r="E72" s="266" t="s">
        <v>50</v>
      </c>
      <c r="F72" s="267" t="s">
        <v>51</v>
      </c>
      <c r="G72" s="227"/>
      <c r="H72" s="227"/>
      <c r="I72" s="227"/>
      <c r="J72" s="228"/>
      <c r="K72" s="228"/>
      <c r="L72" s="228"/>
      <c r="M72" s="228"/>
      <c r="N72" s="228"/>
      <c r="O72" s="228"/>
      <c r="P72" s="228"/>
      <c r="Q72" s="228"/>
      <c r="R72" s="228"/>
      <c r="S72" s="228"/>
      <c r="T72" s="228"/>
      <c r="U72" s="228"/>
      <c r="V72" s="228"/>
    </row>
    <row r="73" outlineLevel="1">
      <c r="A73" s="268" t="s">
        <v>212</v>
      </c>
      <c r="B73" s="269" t="s">
        <v>212</v>
      </c>
      <c r="C73" s="113" t="s">
        <v>213</v>
      </c>
      <c r="D73" s="113" t="s">
        <v>150</v>
      </c>
      <c r="E73" s="113" t="s">
        <v>213</v>
      </c>
      <c r="F73" s="138">
        <v>1.2</v>
      </c>
      <c r="G73" s="227"/>
      <c r="H73" s="227"/>
      <c r="I73" s="227"/>
      <c r="J73" s="228"/>
      <c r="K73" s="228"/>
      <c r="L73" s="228"/>
      <c r="M73" s="228"/>
      <c r="N73" s="228"/>
      <c r="O73" s="228"/>
      <c r="P73" s="228"/>
      <c r="Q73" s="228"/>
      <c r="R73" s="228"/>
      <c r="S73" s="228"/>
      <c r="T73" s="228"/>
      <c r="U73" s="228"/>
      <c r="V73" s="228"/>
    </row>
    <row r="74" outlineLevel="1">
      <c r="A74" s="270" t="s">
        <v>215</v>
      </c>
      <c r="B74" s="269" t="s">
        <v>216</v>
      </c>
      <c r="C74" s="113" t="s">
        <v>217</v>
      </c>
      <c r="D74" s="113" t="s">
        <v>218</v>
      </c>
      <c r="E74" s="271"/>
      <c r="F74" s="272"/>
      <c r="G74" s="272"/>
      <c r="H74" s="227"/>
      <c r="I74" s="227"/>
      <c r="J74" s="228"/>
      <c r="K74" s="228"/>
      <c r="L74" s="228"/>
      <c r="M74" s="228"/>
      <c r="N74" s="228"/>
      <c r="O74" s="228"/>
      <c r="P74" s="228"/>
      <c r="Q74" s="228"/>
      <c r="R74" s="228"/>
      <c r="S74" s="228"/>
      <c r="T74" s="228"/>
      <c r="U74" s="228"/>
      <c r="V74" s="228"/>
    </row>
    <row r="75" outlineLevel="1">
      <c r="A75" s="212"/>
      <c r="B75" s="269" t="s">
        <v>219</v>
      </c>
      <c r="C75" s="113" t="s">
        <v>518</v>
      </c>
      <c r="D75" s="113" t="s">
        <v>118</v>
      </c>
      <c r="E75" s="271"/>
      <c r="F75" s="272"/>
      <c r="G75" s="272"/>
      <c r="H75" s="227"/>
      <c r="I75" s="227"/>
      <c r="J75" s="228"/>
      <c r="K75" s="228"/>
      <c r="L75" s="228"/>
      <c r="M75" s="228"/>
      <c r="N75" s="228"/>
      <c r="O75" s="228"/>
      <c r="P75" s="228"/>
      <c r="Q75" s="228"/>
      <c r="R75" s="228"/>
      <c r="S75" s="228"/>
      <c r="T75" s="228"/>
      <c r="U75" s="228"/>
      <c r="V75" s="228"/>
    </row>
    <row r="76" outlineLevel="1">
      <c r="A76" s="106"/>
      <c r="B76" s="269" t="s">
        <v>222</v>
      </c>
      <c r="C76" s="113" t="s">
        <v>220</v>
      </c>
      <c r="D76" s="113" t="s">
        <v>79</v>
      </c>
      <c r="E76" s="227"/>
      <c r="F76" s="272"/>
      <c r="G76" s="272"/>
      <c r="H76" s="227"/>
      <c r="I76" s="227"/>
      <c r="J76" s="228"/>
      <c r="K76" s="228"/>
      <c r="L76" s="228"/>
      <c r="M76" s="228"/>
      <c r="N76" s="228"/>
      <c r="O76" s="228"/>
      <c r="P76" s="228"/>
      <c r="Q76" s="228"/>
      <c r="R76" s="228"/>
      <c r="S76" s="228"/>
      <c r="T76" s="228"/>
      <c r="U76" s="228"/>
      <c r="V76" s="228"/>
    </row>
    <row r="77" outlineLevel="1">
      <c r="A77" s="273" t="s">
        <v>225</v>
      </c>
      <c r="B77" s="109"/>
      <c r="C77" s="266" t="s">
        <v>48</v>
      </c>
      <c r="D77" s="266" t="s">
        <v>49</v>
      </c>
      <c r="E77" s="266" t="s">
        <v>50</v>
      </c>
      <c r="F77" s="267" t="s">
        <v>51</v>
      </c>
      <c r="G77" s="1168" t="s">
        <v>53</v>
      </c>
      <c r="H77" s="110"/>
      <c r="I77" s="110"/>
      <c r="J77" s="109"/>
      <c r="K77" s="275" t="str">
        <f>'テンプレート'!K97</f>
        <v>ベクトル</v>
      </c>
      <c r="L77" s="275" t="str">
        <f>'テンプレート'!L97</f>
        <v>KBG (R.E.)</v>
      </c>
      <c r="M77" s="275" t="str">
        <f>'テンプレート'!M97</f>
        <v>BKB (R.A.)</v>
      </c>
      <c r="N77" s="275" t="str">
        <f>'テンプレート'!N97</f>
        <v>FKB (R.F.)</v>
      </c>
      <c r="O77" s="276" t="str">
        <f>'テンプレート'!O97</f>
        <v>盾削り値</v>
      </c>
      <c r="P77" s="275" t="str">
        <f>'テンプレート'!P97</f>
        <v>ﾋｯﾄｽﾄｯﾌﾟ</v>
      </c>
      <c r="Q77" s="276" t="str">
        <f>'テンプレート'!Q97</f>
        <v>ずらし</v>
      </c>
      <c r="R77" s="277"/>
      <c r="S77" s="277"/>
      <c r="T77" s="277"/>
      <c r="U77" s="277"/>
      <c r="V77" s="277"/>
    </row>
    <row r="78" outlineLevel="1">
      <c r="A78" s="278" t="s">
        <v>226</v>
      </c>
      <c r="B78" s="269" t="s">
        <v>227</v>
      </c>
      <c r="C78" s="113" t="s">
        <v>232</v>
      </c>
      <c r="D78" s="279" t="s">
        <v>218</v>
      </c>
      <c r="E78" s="239" t="s">
        <v>176</v>
      </c>
      <c r="F78" s="138">
        <v>2.4</v>
      </c>
      <c r="G78" s="1170"/>
      <c r="H78" s="164"/>
      <c r="I78" s="164"/>
      <c r="J78" s="104"/>
      <c r="K78" s="282"/>
      <c r="L78" s="282"/>
      <c r="M78" s="363"/>
      <c r="N78" s="363"/>
      <c r="O78" s="145">
        <v>0.0</v>
      </c>
      <c r="P78" s="145">
        <v>1.0</v>
      </c>
      <c r="Q78" s="145">
        <v>1.0</v>
      </c>
      <c r="R78" s="277"/>
      <c r="S78" s="228"/>
      <c r="T78" s="228"/>
      <c r="U78" s="228"/>
      <c r="V78" s="228"/>
    </row>
    <row r="79" outlineLevel="1">
      <c r="A79" s="156"/>
      <c r="B79" s="269" t="s">
        <v>225</v>
      </c>
      <c r="C79" s="113" t="s">
        <v>129</v>
      </c>
      <c r="D79" s="156"/>
      <c r="E79" s="239" t="s">
        <v>86</v>
      </c>
      <c r="F79" s="138">
        <v>7.199999999999999</v>
      </c>
      <c r="G79" s="106"/>
      <c r="H79" s="168"/>
      <c r="I79" s="168"/>
      <c r="J79" s="107"/>
      <c r="K79" s="282"/>
      <c r="L79" s="282"/>
      <c r="M79" s="363"/>
      <c r="N79" s="363"/>
      <c r="O79" s="261"/>
      <c r="P79" s="261"/>
      <c r="Q79" s="261"/>
      <c r="R79" s="277"/>
      <c r="S79" s="228"/>
      <c r="T79" s="228"/>
      <c r="U79" s="228"/>
      <c r="V79" s="228"/>
    </row>
    <row r="80" outlineLevel="1">
      <c r="A80" s="278" t="s">
        <v>229</v>
      </c>
      <c r="B80" s="269" t="s">
        <v>227</v>
      </c>
      <c r="C80" s="261"/>
      <c r="D80" s="279" t="s">
        <v>393</v>
      </c>
      <c r="E80" s="261"/>
      <c r="F80" s="261"/>
      <c r="G80" s="1170"/>
      <c r="H80" s="164"/>
      <c r="I80" s="164"/>
      <c r="J80" s="104"/>
      <c r="K80" s="261"/>
      <c r="L80" s="261"/>
      <c r="M80" s="261"/>
      <c r="N80" s="261"/>
      <c r="O80" s="261"/>
      <c r="P80" s="261"/>
      <c r="Q80" s="261"/>
      <c r="R80" s="277"/>
      <c r="S80" s="228"/>
      <c r="T80" s="228"/>
      <c r="U80" s="228"/>
      <c r="V80" s="228"/>
    </row>
    <row r="81" outlineLevel="1">
      <c r="A81" s="156"/>
      <c r="B81" s="269" t="s">
        <v>225</v>
      </c>
      <c r="C81" s="113" t="s">
        <v>105</v>
      </c>
      <c r="D81" s="156"/>
      <c r="E81" s="239" t="s">
        <v>80</v>
      </c>
      <c r="F81" s="138">
        <v>9.6</v>
      </c>
      <c r="G81" s="106"/>
      <c r="H81" s="168"/>
      <c r="I81" s="168"/>
      <c r="J81" s="107"/>
      <c r="K81" s="282"/>
      <c r="L81" s="282"/>
      <c r="M81" s="363"/>
      <c r="N81" s="363"/>
      <c r="O81" s="261"/>
      <c r="P81" s="261"/>
      <c r="Q81" s="261"/>
      <c r="R81" s="277"/>
      <c r="S81" s="228"/>
      <c r="T81" s="228"/>
      <c r="U81" s="228"/>
      <c r="V81" s="228"/>
    </row>
    <row r="82" outlineLevel="1">
      <c r="A82" s="278" t="s">
        <v>233</v>
      </c>
      <c r="B82" s="269" t="s">
        <v>227</v>
      </c>
      <c r="C82" s="113" t="s">
        <v>153</v>
      </c>
      <c r="D82" s="279" t="s">
        <v>79</v>
      </c>
      <c r="E82" s="239" t="s">
        <v>176</v>
      </c>
      <c r="F82" s="138">
        <v>2.4</v>
      </c>
      <c r="G82" s="1170"/>
      <c r="H82" s="164"/>
      <c r="I82" s="164"/>
      <c r="J82" s="104"/>
      <c r="K82" s="282"/>
      <c r="L82" s="282"/>
      <c r="M82" s="363"/>
      <c r="N82" s="363"/>
      <c r="O82" s="145">
        <v>0.0</v>
      </c>
      <c r="P82" s="145">
        <v>1.0</v>
      </c>
      <c r="Q82" s="145">
        <v>1.0</v>
      </c>
      <c r="R82" s="277"/>
      <c r="S82" s="228"/>
      <c r="T82" s="228"/>
      <c r="U82" s="228"/>
      <c r="V82" s="228"/>
    </row>
    <row r="83" outlineLevel="1">
      <c r="A83" s="156"/>
      <c r="B83" s="269" t="s">
        <v>225</v>
      </c>
      <c r="C83" s="113" t="s">
        <v>394</v>
      </c>
      <c r="D83" s="156"/>
      <c r="E83" s="239" t="s">
        <v>150</v>
      </c>
      <c r="F83" s="138">
        <v>6.0</v>
      </c>
      <c r="G83" s="106"/>
      <c r="H83" s="168"/>
      <c r="I83" s="168"/>
      <c r="J83" s="107"/>
      <c r="K83" s="282"/>
      <c r="L83" s="282"/>
      <c r="M83" s="363"/>
      <c r="N83" s="363"/>
      <c r="O83" s="261"/>
      <c r="P83" s="261"/>
      <c r="Q83" s="261"/>
      <c r="R83" s="277"/>
      <c r="S83" s="117"/>
      <c r="T83" s="117"/>
      <c r="U83" s="117"/>
      <c r="V83" s="117"/>
    </row>
    <row r="84" outlineLevel="1">
      <c r="A84" s="278" t="s">
        <v>234</v>
      </c>
      <c r="B84" s="269" t="s">
        <v>227</v>
      </c>
      <c r="C84" s="113" t="s">
        <v>2443</v>
      </c>
      <c r="D84" s="279" t="s">
        <v>374</v>
      </c>
      <c r="E84" s="239" t="s">
        <v>176</v>
      </c>
      <c r="F84" s="138">
        <v>2.4</v>
      </c>
      <c r="G84" s="1170"/>
      <c r="H84" s="164"/>
      <c r="I84" s="164"/>
      <c r="J84" s="104"/>
      <c r="K84" s="282"/>
      <c r="L84" s="282"/>
      <c r="M84" s="363"/>
      <c r="N84" s="363"/>
      <c r="O84" s="145">
        <v>0.0</v>
      </c>
      <c r="P84" s="145">
        <v>1.0</v>
      </c>
      <c r="Q84" s="145">
        <v>1.0</v>
      </c>
      <c r="R84" s="277"/>
      <c r="S84" s="117"/>
      <c r="T84" s="117"/>
      <c r="U84" s="117"/>
      <c r="V84" s="117"/>
    </row>
    <row r="85" outlineLevel="1">
      <c r="A85" s="156"/>
      <c r="B85" s="269" t="s">
        <v>225</v>
      </c>
      <c r="C85" s="113" t="s">
        <v>164</v>
      </c>
      <c r="D85" s="156"/>
      <c r="E85" s="239" t="s">
        <v>150</v>
      </c>
      <c r="F85" s="138">
        <v>6.0</v>
      </c>
      <c r="G85" s="106"/>
      <c r="H85" s="168"/>
      <c r="I85" s="168"/>
      <c r="J85" s="107"/>
      <c r="K85" s="282"/>
      <c r="L85" s="282"/>
      <c r="M85" s="363"/>
      <c r="N85" s="363"/>
      <c r="O85" s="261"/>
      <c r="P85" s="261"/>
      <c r="Q85" s="261"/>
      <c r="R85" s="277"/>
      <c r="S85" s="117"/>
      <c r="T85" s="117"/>
      <c r="U85" s="117"/>
      <c r="V85" s="117"/>
    </row>
    <row r="86">
      <c r="A86" s="223"/>
      <c r="B86" s="224"/>
      <c r="C86" s="225"/>
      <c r="D86" s="225"/>
      <c r="E86" s="227"/>
      <c r="F86" s="177"/>
      <c r="G86" s="177"/>
      <c r="H86" s="227"/>
      <c r="I86" s="227"/>
      <c r="J86" s="228"/>
      <c r="K86" s="228"/>
      <c r="L86" s="111"/>
      <c r="M86" s="111"/>
      <c r="N86" s="111"/>
      <c r="O86" s="117"/>
      <c r="P86" s="117"/>
      <c r="Q86" s="111"/>
      <c r="R86" s="111"/>
      <c r="S86" s="111"/>
      <c r="T86" s="111"/>
      <c r="U86" s="111"/>
      <c r="V86" s="111"/>
    </row>
    <row r="87">
      <c r="A87" s="284" t="s">
        <v>241</v>
      </c>
      <c r="B87" s="104"/>
      <c r="C87" s="265"/>
      <c r="D87" s="111"/>
      <c r="E87" s="111"/>
      <c r="F87" s="111"/>
      <c r="G87" s="111"/>
      <c r="H87" s="111"/>
      <c r="I87" s="111"/>
      <c r="J87" s="118"/>
      <c r="K87" s="111"/>
      <c r="L87" s="111"/>
      <c r="M87" s="111"/>
      <c r="N87" s="111"/>
      <c r="O87" s="111"/>
      <c r="P87" s="111"/>
      <c r="Q87" s="118"/>
      <c r="R87" s="111"/>
      <c r="S87" s="111"/>
      <c r="T87" s="111"/>
      <c r="U87" s="111"/>
      <c r="V87" s="111"/>
    </row>
    <row r="88" outlineLevel="1">
      <c r="A88" s="106"/>
      <c r="B88" s="107"/>
      <c r="C88" s="285" t="s">
        <v>235</v>
      </c>
      <c r="D88" s="285" t="s">
        <v>236</v>
      </c>
      <c r="E88" s="285" t="s">
        <v>49</v>
      </c>
      <c r="F88" s="285" t="s">
        <v>237</v>
      </c>
      <c r="G88" s="286"/>
      <c r="H88" s="227"/>
      <c r="I88" s="227"/>
      <c r="J88" s="228"/>
      <c r="K88" s="228"/>
      <c r="L88" s="111"/>
      <c r="M88" s="111"/>
      <c r="N88" s="111"/>
      <c r="O88" s="111"/>
      <c r="P88" s="111"/>
      <c r="Q88" s="111"/>
      <c r="R88" s="111"/>
      <c r="S88" s="111"/>
      <c r="T88" s="111"/>
      <c r="U88" s="111"/>
      <c r="V88" s="111"/>
    </row>
    <row r="89" outlineLevel="1">
      <c r="A89" s="287" t="s">
        <v>395</v>
      </c>
      <c r="B89" s="288" t="s">
        <v>216</v>
      </c>
      <c r="C89" s="113" t="str">
        <f t="array" ref="C89">INDEX('回避'!$C$3:$U$84, MATCH($A$1,'回避'!$A$3:$A$91,0), MATCH(C88,'回避'!$C$2:$F$2,0))</f>
        <v>3-16</v>
      </c>
      <c r="D89" s="113" t="str">
        <f t="array" ref="D89">INDEX('回避'!$C$3:$U$84, MATCH($A$1,'回避'!$A$3:$A$91,0), MATCH(D88,'回避'!$C$2:$F$2,0))</f>
        <v>6-16</v>
      </c>
      <c r="E89" s="113" t="str">
        <f t="array" ref="E89">INDEX('回避'!$C$3:$U$84, MATCH($A$1,'回避'!$A$3:$A$91,0), MATCH(E88,'回避'!$C$2:$F$2,0))</f>
        <v>24 (19)</v>
      </c>
      <c r="F89" s="113" t="str">
        <f t="array" ref="F89">INDEX('回避'!$C$3:$U$84, MATCH($A$1,'回避'!$A$3:$A$91,0), MATCH(F88,'回避'!$C$2:$F$2,0))</f>
        <v>32 (25)</v>
      </c>
      <c r="G89" s="272"/>
      <c r="H89" s="227"/>
      <c r="I89" s="227"/>
      <c r="J89" s="228"/>
      <c r="K89" s="228"/>
      <c r="L89" s="228"/>
      <c r="M89" s="111"/>
      <c r="N89" s="111"/>
      <c r="O89" s="111"/>
      <c r="P89" s="111"/>
      <c r="Q89" s="111"/>
      <c r="R89" s="111"/>
      <c r="S89" s="111"/>
      <c r="T89" s="111"/>
      <c r="U89" s="111"/>
      <c r="V89" s="111"/>
    </row>
    <row r="90" outlineLevel="1">
      <c r="A90" s="212"/>
      <c r="B90" s="288" t="s">
        <v>245</v>
      </c>
      <c r="C90" s="113" t="str">
        <f t="array" ref="C90">INDEX('回避'!$G$3:$U$84, MATCH($A$1,'回避'!$A$3:$A$91,0), MATCH(C88,'回避'!$G$2:$J$2,0))</f>
        <v>4-14</v>
      </c>
      <c r="D90" s="113" t="str">
        <f t="array" ref="D90">INDEX('回避'!$G$3:$U$84, MATCH($A$1,'回避'!$A$3:$A$91,0), MATCH(D88,'回避'!$G$2:$J$2,0))</f>
        <v>8-14</v>
      </c>
      <c r="E90" s="113" t="str">
        <f t="array" ref="E90">INDEX('回避'!$G$3:$U$84, MATCH($A$1,'回避'!$A$3:$A$91,0), MATCH(E88,'回避'!$G$2:$J$2,0))</f>
        <v>28</v>
      </c>
      <c r="F90" s="113">
        <f t="array" ref="F90">INDEX('回避'!$G$3:$U$84, MATCH($A$1,'回避'!$A$3:$A$91,0), MATCH(F88,'回避'!$G$2:$J$2,0))</f>
        <v>37</v>
      </c>
      <c r="G90" s="289"/>
      <c r="H90" s="227"/>
      <c r="I90" s="227"/>
      <c r="J90" s="228"/>
      <c r="K90" s="228"/>
      <c r="L90" s="228"/>
      <c r="M90" s="228"/>
      <c r="N90" s="228"/>
      <c r="O90" s="111"/>
      <c r="P90" s="111"/>
      <c r="Q90" s="111"/>
      <c r="R90" s="111"/>
      <c r="S90" s="111"/>
      <c r="T90" s="111"/>
      <c r="U90" s="111"/>
      <c r="V90" s="111"/>
    </row>
    <row r="91" outlineLevel="1">
      <c r="A91" s="106"/>
      <c r="B91" s="288" t="s">
        <v>246</v>
      </c>
      <c r="C91" s="113" t="str">
        <f t="array" ref="C91">INDEX('回避'!$K$3:$U$84, MATCH($A$1,'回避'!$A$3:$A$91,0), MATCH(C88,'回避'!$K$2:$N$2,0))</f>
        <v>4-15</v>
      </c>
      <c r="D91" s="113" t="str">
        <f t="array" ref="D91">INDEX('回避'!$K$3:$U$84, MATCH($A$1,'回避'!$A$3:$A$91,0), MATCH(D88,'回避'!$K$2:$N$2,0))</f>
        <v>8-13</v>
      </c>
      <c r="E91" s="113" t="str">
        <f t="array" ref="E91">INDEX('回避'!$K$3:$U$84, MATCH($A$1,'回避'!$A$3:$A$91,0), MATCH(E88,'回避'!$K$2:$N$2,0))</f>
        <v>33</v>
      </c>
      <c r="F91" s="113" t="str">
        <f t="array" ref="F91">INDEX('回避'!$K$3:$U$84, MATCH($A$1,'回避'!$A$3:$A$91,0), MATCH(F88,'回避'!$K$2:$N$2,0))</f>
        <v>50</v>
      </c>
      <c r="G91" s="289"/>
      <c r="H91" s="290"/>
      <c r="I91" s="290"/>
      <c r="J91" s="117"/>
      <c r="K91" s="117"/>
      <c r="L91" s="117"/>
      <c r="M91" s="117"/>
      <c r="N91" s="117"/>
      <c r="O91" s="111"/>
      <c r="P91" s="111"/>
      <c r="Q91" s="111"/>
      <c r="R91" s="111"/>
      <c r="S91" s="111"/>
      <c r="T91" s="111"/>
      <c r="U91" s="111"/>
      <c r="V91" s="111"/>
    </row>
    <row r="92" outlineLevel="1">
      <c r="A92" s="287" t="s">
        <v>396</v>
      </c>
      <c r="B92" s="288" t="s">
        <v>397</v>
      </c>
      <c r="C92" s="113" t="str">
        <f t="array" ref="C92">INDEX('回避'!$O$3:$U$84, MATCH($A$1,'回避'!$A$3:$A$91,0), MATCH(C88,'回避'!$O$2:$R$2,0))</f>
        <v>2-26</v>
      </c>
      <c r="D92" s="113" t="str">
        <f t="array" ref="D92">INDEX('回避'!$O$3:$U$84, MATCH($A$1,'回避'!$A$3:$A$91,0), MATCH(D88,'回避'!$O$2:$R$2,0))</f>
        <v>5-24</v>
      </c>
      <c r="E92" s="113" t="str">
        <f t="array" ref="E92">INDEX('回避'!$O$3:$U$84, MATCH($A$1,'回避'!$A$3:$A$91,0), MATCH(E88,'回避'!$O$2:$R$2,0))</f>
        <v>53</v>
      </c>
      <c r="F92" s="177"/>
      <c r="G92" s="177"/>
      <c r="H92" s="118"/>
      <c r="I92" s="118"/>
      <c r="J92" s="111"/>
      <c r="K92" s="111"/>
      <c r="L92" s="111"/>
      <c r="M92" s="111"/>
      <c r="N92" s="111"/>
      <c r="O92" s="228"/>
      <c r="P92" s="228"/>
      <c r="Q92" s="228"/>
      <c r="R92" s="228"/>
      <c r="S92" s="228"/>
      <c r="T92" s="228"/>
      <c r="U92" s="228"/>
      <c r="V92" s="228"/>
    </row>
    <row r="93" outlineLevel="1">
      <c r="A93" s="106"/>
      <c r="B93" s="288" t="s">
        <v>398</v>
      </c>
      <c r="C93" s="113" t="str">
        <f t="array" ref="C93">INDEX('回避'!$S$3:$U$84, MATCH($A$1,'回避'!$A$3:$A$91,0), MATCH(C88,'回避'!$S$2:$U$2,0))</f>
        <v>2-19</v>
      </c>
      <c r="D93" s="113" t="str">
        <f t="array" ref="D93">INDEX('回避'!$S$3:$U$84, MATCH($A$1,'回避'!$A$3:$A$91,0), MATCH(D88,'回避'!$S$2:$U$2,0))</f>
        <v>5-18</v>
      </c>
      <c r="E93" s="113" t="str">
        <f t="array" ref="E93">INDEX('回避'!$S$3:$U$84, MATCH($A$1,'回避'!$A$3:$A$91,0), MATCH(E88,'回避'!$S$2:$U$2,0))</f>
        <v>真横：90
真上：114
真下：79</v>
      </c>
      <c r="F93" s="289"/>
      <c r="G93" s="289"/>
      <c r="H93" s="118"/>
      <c r="I93" s="118"/>
      <c r="J93" s="117"/>
      <c r="K93" s="117"/>
      <c r="L93" s="117"/>
      <c r="M93" s="117"/>
      <c r="N93" s="111"/>
      <c r="O93" s="118"/>
      <c r="P93" s="118"/>
      <c r="Q93" s="118"/>
      <c r="R93" s="118"/>
      <c r="S93" s="118"/>
      <c r="T93" s="118"/>
      <c r="U93" s="118"/>
      <c r="V93" s="118"/>
    </row>
    <row r="94">
      <c r="A94" s="291"/>
      <c r="B94" s="292"/>
      <c r="C94" s="286"/>
      <c r="D94" s="286"/>
      <c r="E94" s="293"/>
      <c r="F94" s="286"/>
      <c r="G94" s="286"/>
      <c r="H94" s="286"/>
      <c r="I94" s="286"/>
      <c r="J94" s="111"/>
      <c r="K94" s="227"/>
      <c r="L94" s="227"/>
      <c r="M94" s="227"/>
      <c r="N94" s="227"/>
      <c r="O94" s="118"/>
      <c r="P94" s="118"/>
      <c r="Q94" s="118"/>
      <c r="R94" s="118"/>
      <c r="S94" s="118"/>
      <c r="T94" s="118"/>
      <c r="U94" s="118"/>
      <c r="V94" s="118"/>
    </row>
    <row r="95">
      <c r="A95" s="294" t="str">
        <f>'テンプレート'!A115</f>
        <v>共通動作 (ガケ・受け身...)</v>
      </c>
      <c r="B95" s="104"/>
      <c r="C95" s="228"/>
      <c r="D95" s="117"/>
      <c r="E95" s="228"/>
      <c r="F95" s="114"/>
      <c r="G95" s="114"/>
      <c r="H95" s="117"/>
      <c r="I95" s="117"/>
      <c r="J95" s="118"/>
      <c r="K95" s="118"/>
      <c r="L95" s="118"/>
      <c r="M95" s="118"/>
      <c r="N95" s="118"/>
      <c r="O95" s="118"/>
      <c r="P95" s="118"/>
      <c r="Q95" s="118"/>
      <c r="R95" s="118"/>
      <c r="S95" s="118"/>
      <c r="T95" s="118"/>
      <c r="U95" s="118"/>
      <c r="V95" s="118"/>
    </row>
    <row r="96" outlineLevel="1">
      <c r="A96" s="106"/>
      <c r="B96" s="107"/>
      <c r="C96" s="295" t="str">
        <f>'テンプレート'!C116</f>
        <v>無敵フレーム</v>
      </c>
      <c r="D96" s="295" t="str">
        <f>'テンプレート'!D116</f>
        <v>全体フレーム</v>
      </c>
      <c r="E96" s="295" t="str">
        <f>'テンプレート'!E116</f>
        <v>判定持続</v>
      </c>
      <c r="F96" s="295" t="str">
        <f>'テンプレート'!F116</f>
        <v>基礎ダメージ</v>
      </c>
      <c r="G96" s="296" t="str">
        <f>'テンプレート'!G116</f>
        <v>ダメージ (1v1)</v>
      </c>
      <c r="H96" s="228"/>
      <c r="I96" s="228"/>
      <c r="J96" s="117"/>
      <c r="K96" s="297" t="str">
        <f>'テンプレート'!K116</f>
        <v>アイテム取得</v>
      </c>
      <c r="L96" s="109"/>
      <c r="M96" s="298" t="str">
        <f>'テンプレート'!M116</f>
        <v>取得フレーム</v>
      </c>
      <c r="N96" s="298" t="str">
        <f>'テンプレート'!N116</f>
        <v>全体フレーム</v>
      </c>
      <c r="O96" s="118"/>
      <c r="P96" s="118"/>
      <c r="Q96" s="118"/>
      <c r="R96" s="118"/>
      <c r="S96" s="118"/>
      <c r="T96" s="118"/>
      <c r="U96" s="118"/>
      <c r="V96" s="118"/>
    </row>
    <row r="97" outlineLevel="1">
      <c r="A97" s="299" t="str">
        <f>'テンプレート'!A117</f>
        <v>ガケ行動</v>
      </c>
      <c r="B97" s="300" t="str">
        <f>'テンプレート'!B117</f>
        <v>ガケつかまり</v>
      </c>
      <c r="C97" s="301"/>
      <c r="D97" s="113">
        <f t="array" ref="D97">INDEX('崖行動・受け身'!$C$3:$C$115, MATCH($A$1,'崖行動・受け身'!$A$3:$A$115,0), MATCH(D96,'崖行動・受け身'!$C$2,0))</f>
        <v>19</v>
      </c>
      <c r="E97" s="301"/>
      <c r="F97" s="301"/>
      <c r="G97" s="301"/>
      <c r="H97" s="228"/>
      <c r="I97" s="228"/>
      <c r="J97" s="111"/>
      <c r="K97" s="302" t="str">
        <f>'テンプレート'!K117</f>
        <v>小アイテム</v>
      </c>
      <c r="L97" s="303" t="str">
        <f>'テンプレート'!L117</f>
        <v>その場</v>
      </c>
      <c r="M97" s="113" t="str">
        <f t="array" ref="M97">INDEX('アイテム'!$C$3:$D$115, MATCH($A$1,'アイテム'!$A$3:$A$115,0), MATCH(M$96,'アイテム'!$C$2:$AK$2,0))</f>
        <v>2</v>
      </c>
      <c r="N97" s="113">
        <f t="array" ref="N97">INDEX('アイテム'!$C$3:$D$115, MATCH($A$1,'アイテム'!$A$3:$A$115,0), MATCH(N$96,'アイテム'!$C$2:$AK$2,0))</f>
        <v>7</v>
      </c>
      <c r="O97" s="118"/>
      <c r="P97" s="118"/>
      <c r="Q97" s="118"/>
      <c r="R97" s="118"/>
      <c r="S97" s="118"/>
      <c r="T97" s="118"/>
      <c r="U97" s="118"/>
      <c r="V97" s="118"/>
    </row>
    <row r="98" outlineLevel="1">
      <c r="A98" s="146"/>
      <c r="B98" s="300" t="str">
        <f>'テンプレート'!B118</f>
        <v>その場</v>
      </c>
      <c r="C98" s="113" t="str">
        <f t="array" ref="C98">INDEX('崖行動・受け身'!$D$3:$E$115, MATCH($A$1,'崖行動・受け身'!$A$3:$A$115,0), MATCH(C$96,'崖行動・受け身'!$D$2:$E$2,0))</f>
        <v>1-33</v>
      </c>
      <c r="D98" s="113">
        <f t="array" ref="D98">INDEX('崖行動・受け身'!$D$3:$E$115, MATCH($A$1,'崖行動・受け身'!$A$3:$A$115,0), MATCH(D$96,'崖行動・受け身'!$D$2:$E$2,0))</f>
        <v>34</v>
      </c>
      <c r="E98" s="301"/>
      <c r="F98" s="301"/>
      <c r="G98" s="301"/>
      <c r="H98" s="228"/>
      <c r="I98" s="228"/>
      <c r="J98" s="117"/>
      <c r="K98" s="156"/>
      <c r="L98" s="303" t="str">
        <f>'テンプレート'!L118</f>
        <v>歩き</v>
      </c>
      <c r="M98" s="113" t="str">
        <f t="array" ref="M98">INDEX('アイテム'!$E$3:$F$115, MATCH($A$1,'アイテム'!$A$3:$A$115,0), MATCH(M$96,'アイテム'!$E$2:$AK$2,0))</f>
        <v>2</v>
      </c>
      <c r="N98" s="113">
        <f t="array" ref="N98">INDEX('アイテム'!$E$3:$F$115, MATCH($A$1,'アイテム'!$A$3:$A$115,0), MATCH(N$96,'アイテム'!$E$2:$AK$2,0))</f>
        <v>19</v>
      </c>
      <c r="O98" s="118"/>
      <c r="P98" s="118"/>
      <c r="Q98" s="118"/>
      <c r="R98" s="118"/>
      <c r="S98" s="118"/>
      <c r="T98" s="118"/>
      <c r="U98" s="118"/>
      <c r="V98" s="118"/>
    </row>
    <row r="99" outlineLevel="1">
      <c r="A99" s="146"/>
      <c r="B99" s="300" t="str">
        <f>'テンプレート'!B119</f>
        <v>回避</v>
      </c>
      <c r="C99" s="113" t="str">
        <f t="array" ref="C99">INDEX('崖行動・受け身'!$F$3:$G$115, MATCH($A$1,'崖行動・受け身'!$A$3:$A$115,0), MATCH(C$96,'崖行動・受け身'!$F$2:$G$2,0))</f>
        <v>1-23</v>
      </c>
      <c r="D99" s="113">
        <f t="array" ref="D99">INDEX('崖行動・受け身'!$F$3:$G$115, MATCH($A$1,'崖行動・受け身'!$A$3:$A$115,0), MATCH(D$96,'崖行動・受け身'!$F$2:$G$2,0))</f>
        <v>45</v>
      </c>
      <c r="E99" s="301"/>
      <c r="F99" s="301"/>
      <c r="G99" s="301"/>
      <c r="H99" s="228"/>
      <c r="I99" s="228"/>
      <c r="J99" s="111"/>
      <c r="K99" s="304" t="str">
        <f>'テンプレート'!K119</f>
        <v>アイテム投擲</v>
      </c>
      <c r="L99" s="109"/>
      <c r="M99" s="298" t="str">
        <f>'テンプレート'!M119</f>
        <v>投擲フレーム</v>
      </c>
      <c r="N99" s="298" t="str">
        <f>'テンプレート'!N119</f>
        <v>全体フレーム</v>
      </c>
      <c r="O99" s="118"/>
      <c r="P99" s="118"/>
      <c r="Q99" s="118"/>
      <c r="R99" s="118"/>
      <c r="S99" s="118"/>
      <c r="T99" s="118"/>
      <c r="U99" s="118"/>
      <c r="V99" s="118"/>
    </row>
    <row r="100" outlineLevel="1">
      <c r="A100" s="146"/>
      <c r="B100" s="300" t="str">
        <f>'テンプレート'!B120</f>
        <v>ジャンプ</v>
      </c>
      <c r="C100" s="113" t="str">
        <f t="array" ref="C100">INDEX('崖行動・受け身'!$H$3:$I$115, MATCH($A$1,'崖行動・受け身'!$A$3:$A$115,0), MATCH(C$96,'崖行動・受け身'!$H$2:$I$2,0))</f>
        <v>1-10</v>
      </c>
      <c r="D100" s="113">
        <f t="array" ref="D100">INDEX('崖行動・受け身'!$H$3:$I$115, MATCH($A$1,'崖行動・受け身'!$A$3:$A$115,0), MATCH(D$96,'崖行動・受け身'!$H$2:$I$2,0))</f>
        <v>12</v>
      </c>
      <c r="E100" s="301"/>
      <c r="F100" s="301"/>
      <c r="G100" s="301"/>
      <c r="H100" s="228"/>
      <c r="I100" s="228"/>
      <c r="J100" s="117"/>
      <c r="K100" s="1030" t="str">
        <f>'テンプレート'!K120</f>
        <v>地上投擲</v>
      </c>
      <c r="L100" s="303" t="str">
        <f>'テンプレート'!L120</f>
        <v>前投げ</v>
      </c>
      <c r="M100" s="113" t="str">
        <f t="array" ref="M100">INDEX('アイテム'!$G$3:$H$115, MATCH($A$1,'アイテム'!$A$3:$A$115,0), MATCH(M$99,'アイテム'!$G$2:$AK$2,0))</f>
        <v>8</v>
      </c>
      <c r="N100" s="113">
        <f t="array" ref="N100">INDEX('アイテム'!$G$3:$H$115, MATCH($A$1,'アイテム'!$A$3:$A$115,0), MATCH(N$99,'アイテム'!$G$2:$AK$2,0))</f>
        <v>24</v>
      </c>
      <c r="O100" s="111"/>
      <c r="P100" s="111"/>
      <c r="Q100" s="111"/>
      <c r="R100" s="111"/>
      <c r="S100" s="111"/>
      <c r="T100" s="111"/>
      <c r="U100" s="111"/>
      <c r="V100" s="111"/>
    </row>
    <row r="101" outlineLevel="1">
      <c r="A101" s="156"/>
      <c r="B101" s="300" t="str">
        <f>'テンプレート'!B121</f>
        <v>攻撃</v>
      </c>
      <c r="C101" s="113" t="str">
        <f t="array" ref="C101">INDEX('崖行動・受け身'!$J$3:$M$115, MATCH($A$1,'崖行動・受け身'!$A$3:$A$115,0), MATCH(C$96,'崖行動・受け身'!$J$2:$M$2,0))</f>
        <v>1-30</v>
      </c>
      <c r="D101" s="113">
        <f t="array" ref="D101">INDEX('崖行動・受け身'!$J$3:$M$115, MATCH($A$1,'崖行動・受け身'!$A$3:$A$115,0), MATCH(D$96,'崖行動・受け身'!$J$2:$M$2,0))</f>
        <v>55</v>
      </c>
      <c r="E101" s="113" t="str">
        <f t="array" ref="E101">INDEX('崖行動・受け身'!$J$3:$M$115, MATCH($A$1,'崖行動・受け身'!$A$3:$A$115,0), MATCH(E$96,'崖行動・受け身'!$J$2:$M$2,0))</f>
        <v>28-30</v>
      </c>
      <c r="F101" s="113">
        <f t="array" ref="F101">INDEX('崖行動・受け身'!$J$3:$M$115, MATCH($A$1,'崖行動・受け身'!$A$3:$A$115,0), MATCH(F$96,'崖行動・受け身'!$J$2:$M$2,0))</f>
        <v>9</v>
      </c>
      <c r="G101" s="113">
        <f>F101*1.2</f>
        <v>10.8</v>
      </c>
      <c r="H101" s="228"/>
      <c r="I101" s="228"/>
      <c r="J101" s="111"/>
      <c r="K101" s="146"/>
      <c r="L101" s="303" t="str">
        <f>'テンプレート'!L121</f>
        <v>後投げ</v>
      </c>
      <c r="M101" s="113" t="str">
        <f t="array" ref="M101">INDEX('アイテム'!$I$3:$J$115, MATCH($A$1,'アイテム'!$A$3:$A$115,0), MATCH(M$99,'アイテム'!$I$2:$AK$2,0))</f>
        <v>11</v>
      </c>
      <c r="N101" s="113">
        <f t="array" ref="N101">INDEX('アイテム'!$I$3:$J$115, MATCH($A$1,'アイテム'!$A$3:$A$115,0), MATCH(N$99,'アイテム'!$I$2:$AK$2,0))</f>
        <v>24</v>
      </c>
      <c r="O101" s="111"/>
      <c r="P101" s="111"/>
      <c r="Q101" s="111"/>
      <c r="R101" s="111"/>
      <c r="S101" s="111"/>
      <c r="T101" s="111"/>
      <c r="U101" s="111"/>
      <c r="V101" s="111"/>
    </row>
    <row r="102" outlineLevel="1">
      <c r="A102" s="299" t="str">
        <f>'テンプレート'!A122</f>
        <v>受け身</v>
      </c>
      <c r="B102" s="300" t="str">
        <f>'テンプレート'!B122</f>
        <v>その場</v>
      </c>
      <c r="C102" s="113" t="str">
        <f t="array" ref="C102">INDEX('崖行動・受け身'!$N$3:$O$115, MATCH($A$1,'崖行動・受け身'!$A$3:$A$115,0), MATCH(C$96,'崖行動・受け身'!$N$2:$O$2,0))</f>
        <v>1-20</v>
      </c>
      <c r="D102" s="113">
        <f t="array" ref="D102">INDEX('崖行動・受け身'!$N$3:$O$115, MATCH($A$1,'崖行動・受け身'!$A$3:$A$115,0), MATCH(D$96,'崖行動・受け身'!$N$2:$O$2,0))</f>
        <v>26</v>
      </c>
      <c r="E102" s="301"/>
      <c r="F102" s="301"/>
      <c r="G102" s="301"/>
      <c r="H102" s="228"/>
      <c r="I102" s="228"/>
      <c r="J102" s="117"/>
      <c r="K102" s="146"/>
      <c r="L102" s="303" t="str">
        <f>'テンプレート'!L122</f>
        <v>上投げ</v>
      </c>
      <c r="M102" s="113" t="str">
        <f t="array" ref="M102">INDEX('アイテム'!$K$3:$L$115, MATCH($A$1,'アイテム'!$A$3:$A$115,0), MATCH(M$99,'アイテム'!$K$2:$AK$2,0))</f>
        <v>12</v>
      </c>
      <c r="N102" s="113">
        <f t="array" ref="N102">INDEX('アイテム'!$K$3:$L$115, MATCH($A$1,'アイテム'!$A$3:$A$115,0), MATCH(N$99,'アイテム'!$K$2:$AK$2,0))</f>
        <v>23</v>
      </c>
      <c r="O102" s="228"/>
      <c r="P102" s="228"/>
      <c r="Q102" s="228"/>
      <c r="R102" s="228"/>
      <c r="S102" s="228"/>
      <c r="T102" s="228"/>
      <c r="U102" s="228"/>
      <c r="V102" s="228"/>
    </row>
    <row r="103" outlineLevel="1">
      <c r="A103" s="146"/>
      <c r="B103" s="300" t="str">
        <f>'テンプレート'!B123</f>
        <v>前方</v>
      </c>
      <c r="C103" s="113" t="str">
        <f t="array" ref="C103">INDEX('崖行動・受け身'!$P$3:$Q$115, MATCH($A$1,'崖行動・受け身'!$A$3:$A$115,0), MATCH(C$96,'崖行動・受け身'!$P$2:$Q$2,0))</f>
        <v>1-20</v>
      </c>
      <c r="D103" s="113">
        <f t="array" ref="D103">INDEX('崖行動・受け身'!$P$3:$Q$115, MATCH($A$1,'崖行動・受け身'!$A$3:$A$115,0), MATCH(D$96,'崖行動・受け身'!$P$2:$Q$2,0))</f>
        <v>40</v>
      </c>
      <c r="E103" s="301"/>
      <c r="F103" s="301"/>
      <c r="G103" s="301"/>
      <c r="H103" s="228"/>
      <c r="I103" s="228"/>
      <c r="J103" s="111"/>
      <c r="K103" s="146"/>
      <c r="L103" s="303" t="str">
        <f>'テンプレート'!L123</f>
        <v>下投げ</v>
      </c>
      <c r="M103" s="113" t="str">
        <f t="array" ref="M103">INDEX('アイテム'!$M$3:$N$115, MATCH($A$1,'アイテム'!$A$3:$A$115,0), MATCH(M$99,'アイテム'!$M$2:$AK$2,0))</f>
        <v>7</v>
      </c>
      <c r="N103" s="113">
        <f t="array" ref="N103">INDEX('アイテム'!$M$3:$N$115, MATCH($A$1,'アイテム'!$A$3:$A$115,0), MATCH(N$99,'アイテム'!$M$2:$AK$2,0))</f>
        <v>19</v>
      </c>
      <c r="O103" s="118"/>
      <c r="P103" s="118"/>
      <c r="Q103" s="118"/>
      <c r="R103" s="118"/>
      <c r="S103" s="118"/>
      <c r="T103" s="118"/>
      <c r="U103" s="118"/>
      <c r="V103" s="118"/>
    </row>
    <row r="104" outlineLevel="1">
      <c r="A104" s="156"/>
      <c r="B104" s="300" t="str">
        <f>'テンプレート'!B124</f>
        <v>後方</v>
      </c>
      <c r="C104" s="113" t="str">
        <f t="array" ref="C104">INDEX('崖行動・受け身'!$R$3:$S$115, MATCH($A$1,'崖行動・受け身'!$A$3:$A$115,0), MATCH(C$96,'崖行動・受け身'!$R$2:$S$2,0))</f>
        <v>1-20</v>
      </c>
      <c r="D104" s="113">
        <f t="array" ref="D104">INDEX('崖行動・受け身'!$R$3:$S$115, MATCH($A$1,'崖行動・受け身'!$A$3:$A$115,0), MATCH(D$96,'崖行動・受け身'!$R$2:$S$2,0))</f>
        <v>40</v>
      </c>
      <c r="E104" s="301"/>
      <c r="F104" s="301"/>
      <c r="G104" s="301"/>
      <c r="H104" s="228"/>
      <c r="I104" s="228"/>
      <c r="J104" s="117"/>
      <c r="K104" s="146"/>
      <c r="L104" s="306" t="str">
        <f>'テンプレート'!L124</f>
        <v>ダッシュ</v>
      </c>
      <c r="M104" s="113" t="str">
        <f t="array" ref="M104">INDEX('アイテム'!$O$3:$P$115, MATCH($A$1,'アイテム'!$A$3:$A$115,0), MATCH(M$99,'アイテム'!$O$2:$AK$2,0))</f>
        <v>5</v>
      </c>
      <c r="N104" s="113">
        <f t="array" ref="N104">INDEX('アイテム'!$O$3:$P$115, MATCH($A$1,'アイテム'!$A$3:$A$115,0), MATCH(N$99,'アイテム'!$O$2:$AK$2,0))</f>
        <v>29</v>
      </c>
      <c r="O104" s="118"/>
      <c r="P104" s="118"/>
      <c r="Q104" s="118"/>
      <c r="R104" s="118"/>
      <c r="S104" s="118"/>
      <c r="T104" s="118"/>
      <c r="U104" s="118"/>
      <c r="V104" s="118"/>
    </row>
    <row r="105" outlineLevel="1">
      <c r="A105" s="299" t="str">
        <f>'テンプレート'!A125</f>
        <v>あお向けダウン</v>
      </c>
      <c r="B105" s="300" t="str">
        <f>'テンプレート'!B125</f>
        <v>倒れ</v>
      </c>
      <c r="C105" s="301"/>
      <c r="D105" s="113" t="str">
        <f t="array" ref="D105">INDEX('起きあがり'!$C$3:$C$115, MATCH($A$1,'起きあがり'!$A$3:$A$115,0), MATCH(D$96,'起きあがり'!$C$2:$AD$2,0))</f>
        <v>25</v>
      </c>
      <c r="E105" s="301"/>
      <c r="F105" s="301"/>
      <c r="G105" s="301"/>
      <c r="H105" s="228"/>
      <c r="I105" s="228"/>
      <c r="J105" s="111"/>
      <c r="K105" s="156"/>
      <c r="L105" s="306" t="str">
        <f>'テンプレート'!L125</f>
        <v>その場捨て</v>
      </c>
      <c r="M105" s="113" t="str">
        <f t="array" ref="M105">INDEX('アイテム'!$Q$3:$R$115, MATCH($A$1,'アイテム'!$A$3:$A$115,0), MATCH(M$99,'アイテム'!$Q$2:$AK$2,0))</f>
        <v>6</v>
      </c>
      <c r="N105" s="113">
        <f t="array" ref="N105">INDEX('アイテム'!$Q$3:$R$115, MATCH($A$1,'アイテム'!$A$3:$A$115,0), MATCH(N$99,'アイテム'!$Q$2:$AK$2,0))</f>
        <v>23</v>
      </c>
      <c r="O105" s="118"/>
      <c r="P105" s="118"/>
      <c r="Q105" s="118"/>
      <c r="R105" s="118"/>
      <c r="S105" s="118"/>
      <c r="T105" s="118"/>
      <c r="U105" s="118"/>
      <c r="V105" s="118"/>
    </row>
    <row r="106" outlineLevel="1">
      <c r="A106" s="146"/>
      <c r="B106" s="300" t="str">
        <f>'テンプレート'!B126</f>
        <v>その場</v>
      </c>
      <c r="C106" s="307" t="str">
        <f t="array" ref="C106">INDEX('起きあがり'!$D$3:$E$115, MATCH($A$1,'起きあがり'!$A$3:$A$115,0), MATCH(C$96,'起きあがり'!$D$2:$AD$2,0))</f>
        <v>1-22</v>
      </c>
      <c r="D106" s="308">
        <f t="array" ref="D106">INDEX('起きあがり'!$D$3:$E$115, MATCH($A$1,'起きあがり'!$A$3:$A$115,0), MATCH(D$96,'起きあがり'!$D$2:$AD$2,0))</f>
        <v>29</v>
      </c>
      <c r="E106" s="301"/>
      <c r="F106" s="301"/>
      <c r="G106" s="301"/>
      <c r="H106" s="228"/>
      <c r="I106" s="228"/>
      <c r="J106" s="117"/>
      <c r="K106" s="1030" t="str">
        <f>'テンプレート'!K126</f>
        <v>空中投擲</v>
      </c>
      <c r="L106" s="303" t="str">
        <f>'テンプレート'!L126</f>
        <v>前投げ</v>
      </c>
      <c r="M106" s="113" t="str">
        <f t="array" ref="M106">INDEX('アイテム'!$S$3:$T$115, MATCH($A$1,'アイテム'!$A$3:$A$115,0), MATCH(M$99,'アイテム'!$S$2:$AK$2,0))</f>
        <v>8</v>
      </c>
      <c r="N106" s="113">
        <f t="array" ref="N106">INDEX('アイテム'!$S$3:$T$115, MATCH($A$1,'アイテム'!$A$3:$A$115,0), MATCH(N$99,'アイテム'!$S$2:$AK$2,0))</f>
        <v>24</v>
      </c>
      <c r="O106" s="118"/>
      <c r="P106" s="118"/>
      <c r="Q106" s="118"/>
      <c r="R106" s="118"/>
      <c r="S106" s="118"/>
      <c r="T106" s="118"/>
      <c r="U106" s="118"/>
      <c r="V106" s="118"/>
    </row>
    <row r="107" outlineLevel="1">
      <c r="A107" s="146"/>
      <c r="B107" s="300" t="str">
        <f>'テンプレート'!B127</f>
        <v>前方</v>
      </c>
      <c r="C107" s="307" t="str">
        <f t="array" ref="C107">INDEX('起きあがり'!$F$3:$G$115, MATCH($A$1,'起きあがり'!$A$3:$A$115,0), MATCH(C$96,'起きあがり'!$F$2:$AD$2,0))</f>
        <v>1-21</v>
      </c>
      <c r="D107" s="308">
        <f t="array" ref="D107">INDEX('起きあがり'!$F$3:$G$115, MATCH($A$1,'起きあがり'!$A$3:$A$115,0), MATCH(D$96,'起きあがり'!$F$2:$AD$2,0))</f>
        <v>35</v>
      </c>
      <c r="E107" s="301"/>
      <c r="F107" s="301"/>
      <c r="G107" s="301"/>
      <c r="H107" s="228"/>
      <c r="I107" s="228"/>
      <c r="J107" s="111"/>
      <c r="K107" s="146"/>
      <c r="L107" s="303" t="str">
        <f>'テンプレート'!L127</f>
        <v>後投げ</v>
      </c>
      <c r="M107" s="113" t="str">
        <f t="array" ref="M107">INDEX('アイテム'!$U$3:$V$115, MATCH($A$1,'アイテム'!$A$3:$A$115,0), MATCH(M$99,'アイテム'!$U$2:$AK$2,0))</f>
        <v>11</v>
      </c>
      <c r="N107" s="113">
        <f t="array" ref="N107">INDEX('アイテム'!$U$3:$V$115, MATCH($A$1,'アイテム'!$A$3:$A$115,0), MATCH(N$99,'アイテム'!$U$2:$AK$2,0))</f>
        <v>24</v>
      </c>
      <c r="O107" s="118"/>
      <c r="P107" s="118"/>
      <c r="Q107" s="118"/>
      <c r="R107" s="118"/>
      <c r="S107" s="118"/>
      <c r="T107" s="118"/>
      <c r="U107" s="118"/>
      <c r="V107" s="118"/>
    </row>
    <row r="108" outlineLevel="1">
      <c r="A108" s="146"/>
      <c r="B108" s="300" t="str">
        <f>'テンプレート'!B128</f>
        <v>後方</v>
      </c>
      <c r="C108" s="113" t="str">
        <f t="array" ref="C108">INDEX('起きあがり'!$H$3:$I$115, MATCH($A$1,'起きあがり'!$A$3:$A$115,0), MATCH(C$96,'起きあがり'!$H$2:$AD$2,0))</f>
        <v>1-22</v>
      </c>
      <c r="D108" s="113">
        <f t="array" ref="D108">INDEX('起きあがり'!$H$3:$I$115, MATCH($A$1,'起きあがり'!$A$3:$A$115,0), MATCH(D$96,'起きあがり'!$H$2:$AD$2,0))</f>
        <v>35</v>
      </c>
      <c r="E108" s="301"/>
      <c r="F108" s="301"/>
      <c r="G108" s="301"/>
      <c r="H108" s="228"/>
      <c r="I108" s="228"/>
      <c r="J108" s="117"/>
      <c r="K108" s="146"/>
      <c r="L108" s="303" t="str">
        <f>'テンプレート'!L128</f>
        <v>上投げ</v>
      </c>
      <c r="M108" s="113" t="str">
        <f t="array" ref="M108">INDEX('アイテム'!$W$3:$X$115, MATCH($A$1,'アイテム'!$A$3:$A$115,0), MATCH(M$99,'アイテム'!$W$2:$AK$2,0))</f>
        <v>12</v>
      </c>
      <c r="N108" s="113">
        <f t="array" ref="N108">INDEX('アイテム'!$W$3:$X$115, MATCH($A$1,'アイテム'!$A$3:$A$115,0), MATCH(N$99,'アイテム'!$W$2:$AK$2,0))</f>
        <v>23</v>
      </c>
      <c r="O108" s="118"/>
      <c r="P108" s="118"/>
      <c r="Q108" s="118"/>
      <c r="R108" s="118"/>
      <c r="S108" s="118"/>
      <c r="T108" s="118"/>
      <c r="U108" s="118"/>
      <c r="V108" s="118"/>
    </row>
    <row r="109" outlineLevel="1">
      <c r="A109" s="146"/>
      <c r="B109" s="1709" t="str">
        <f>'テンプレート'!B129</f>
        <v>攻撃1</v>
      </c>
      <c r="C109" s="309" t="str">
        <f t="array" ref="C109">INDEX('起きあがり'!$J$3:$M$115, MATCH($A$1,'起きあがり'!$A$3:$A$115,0), MATCH(C$96,'起きあがり'!$J$2:$AD$2,0))</f>
        <v>1-25</v>
      </c>
      <c r="D109" s="310">
        <f t="array" ref="D109">INDEX('起きあがり'!$J$3:$M$115, MATCH($A$1,'起きあがり'!$A$3:$A$115,0), MATCH(D$96,'起きあがり'!$J$2:$AD$2,0))</f>
        <v>45</v>
      </c>
      <c r="E109" s="307" t="str">
        <f t="array" ref="E109">INDEX('起きあがり'!$J$3:$M$115, MATCH($A$1,'起きあがり'!$A$3:$A$115,0), MATCH(E$96,'起きあがり'!$J$2:$AD$2,0))</f>
        <v>19-20</v>
      </c>
      <c r="F109" s="308">
        <f t="array" ref="F109">INDEX('起きあがり'!$J$3:$M$115, MATCH($A$1,'起きあがり'!$A$3:$A$115,0), MATCH(F$96,'起きあがり'!$J$2:$AD$2,0))</f>
        <v>7</v>
      </c>
      <c r="G109" s="113">
        <f t="shared" ref="G109:G110" si="1">F109*1.2</f>
        <v>8.4</v>
      </c>
      <c r="H109" s="228"/>
      <c r="I109" s="228"/>
      <c r="J109" s="111"/>
      <c r="K109" s="156"/>
      <c r="L109" s="303" t="str">
        <f>'テンプレート'!L129</f>
        <v>下投げ</v>
      </c>
      <c r="M109" s="113" t="str">
        <f t="array" ref="M109">INDEX('アイテム'!$Y$3:$Z$115, MATCH($A$1,'アイテム'!$A$3:$A$115,0), MATCH(M$99,'アイテム'!$Y$2:$AK$2,0))</f>
        <v>7</v>
      </c>
      <c r="N109" s="113">
        <f t="array" ref="N109">INDEX('アイテム'!$Y$3:$Z$115, MATCH($A$1,'アイテム'!$A$3:$A$115,0), MATCH(N$99,'アイテム'!$Y$2:$AK$2,0))</f>
        <v>19</v>
      </c>
      <c r="O109" s="111"/>
      <c r="P109" s="111"/>
      <c r="Q109" s="111"/>
      <c r="R109" s="111"/>
      <c r="S109" s="111"/>
      <c r="T109" s="111"/>
      <c r="U109" s="111"/>
      <c r="V109" s="111"/>
    </row>
    <row r="110" outlineLevel="1">
      <c r="A110" s="156"/>
      <c r="B110" s="156"/>
      <c r="C110" s="156"/>
      <c r="D110" s="156"/>
      <c r="E110" s="307" t="str">
        <f t="array" ref="E110">INDEX('起きあがり'!$N$3:$O$115, MATCH($A$1,'起きあがり'!$A$3:$A$115,0), MATCH(E$96,'起きあがり'!$N$2:$AD$2,0))</f>
        <v>24-25</v>
      </c>
      <c r="F110" s="308">
        <f t="array" ref="F110">INDEX('起きあがり'!$N$3:$O$115, MATCH($A$1,'起きあがり'!$A$3:$A$115,0), MATCH(F$96,'起きあがり'!$N$2:$AD$2,0))</f>
        <v>7</v>
      </c>
      <c r="G110" s="113">
        <f t="shared" si="1"/>
        <v>8.4</v>
      </c>
      <c r="H110" s="228"/>
      <c r="I110" s="228"/>
      <c r="J110" s="111"/>
      <c r="K110" s="312" t="str">
        <f>'テンプレート'!K130</f>
        <v>踏み台ジャンプ</v>
      </c>
      <c r="L110" s="168"/>
      <c r="M110" s="298" t="str">
        <f>'テンプレート'!M130</f>
        <v>全体フレーム</v>
      </c>
      <c r="N110" s="114"/>
      <c r="O110" s="111"/>
      <c r="P110" s="111"/>
      <c r="Q110" s="111"/>
      <c r="R110" s="111"/>
      <c r="S110" s="111"/>
      <c r="T110" s="111"/>
      <c r="U110" s="111"/>
      <c r="V110" s="111"/>
    </row>
    <row r="111" outlineLevel="1">
      <c r="A111" s="299" t="str">
        <f>'テンプレート'!A131</f>
        <v>うつ伏せダウン</v>
      </c>
      <c r="B111" s="300" t="str">
        <f>'テンプレート'!B131</f>
        <v>倒れ</v>
      </c>
      <c r="C111" s="301"/>
      <c r="D111" s="308" t="str">
        <f t="array" ref="D111">INDEX(#REF!, MATCH($A$1,'起きあがり'!$A$3:$A$115,0), MATCH(D$96,'起きあがり'!$P$2:$AD$2,0))</f>
        <v>#REF!</v>
      </c>
      <c r="E111" s="301"/>
      <c r="F111" s="301"/>
      <c r="G111" s="301"/>
      <c r="H111" s="228"/>
      <c r="I111" s="228"/>
      <c r="J111" s="117"/>
      <c r="K111" s="313" t="str">
        <f>'テンプレート'!K131</f>
        <v>踏み</v>
      </c>
      <c r="L111" s="314" t="str">
        <f>'テンプレート'!L131</f>
        <v>踏み</v>
      </c>
      <c r="M111" s="113" t="str">
        <f t="array" ref="M111">INDEX('共通動作その他'!$C$3:$C$102, MATCH($A$1,'共通動作その他'!$A$3:$A$102,0), MATCH(M$110,'共通動作その他'!$C$2:$AA$2,0))</f>
        <v>-</v>
      </c>
      <c r="N111" s="315"/>
      <c r="O111" s="111"/>
      <c r="P111" s="111"/>
      <c r="Q111" s="111"/>
      <c r="R111" s="111"/>
      <c r="S111" s="111"/>
      <c r="T111" s="111"/>
      <c r="U111" s="111"/>
      <c r="V111" s="111"/>
    </row>
    <row r="112" outlineLevel="1">
      <c r="A112" s="146"/>
      <c r="B112" s="300" t="str">
        <f>'テンプレート'!B132</f>
        <v>その場</v>
      </c>
      <c r="C112" s="307" t="str">
        <f t="array" ref="C112">INDEX('起きあがり'!$P$3:$Q$115, MATCH($A$1,'起きあがり'!$A$3:$A$115,0), MATCH(C$96,'起きあがり'!$P$2:$AD$2,0))</f>
        <v>1-22</v>
      </c>
      <c r="D112" s="308">
        <f t="array" ref="D112">INDEX('起きあがり'!$P$3:$Q$115, MATCH($A$1,'起きあがり'!$A$3:$A$115,0), MATCH(D$96,'起きあがり'!$P$2:$AD$2,0))</f>
        <v>29</v>
      </c>
      <c r="E112" s="301"/>
      <c r="F112" s="301"/>
      <c r="G112" s="301"/>
      <c r="H112" s="228"/>
      <c r="I112" s="228"/>
      <c r="J112" s="111"/>
      <c r="K112" s="305" t="str">
        <f>'テンプレート'!K132</f>
        <v>踏まれ</v>
      </c>
      <c r="L112" s="314" t="str">
        <f>'テンプレート'!L132</f>
        <v>地上踏まれ</v>
      </c>
      <c r="M112" s="113" t="str">
        <f t="array" ref="M112">INDEX('共通動作その他'!$D$3:$D$102, MATCH($A$1,'共通動作その他'!$A$3:$A$102,0), MATCH(M$110,'共通動作その他'!$D$2:$AA$2,0))</f>
        <v>-</v>
      </c>
      <c r="N112" s="315"/>
      <c r="O112" s="228"/>
      <c r="P112" s="228"/>
      <c r="Q112" s="228"/>
      <c r="R112" s="228"/>
      <c r="S112" s="228"/>
      <c r="T112" s="228"/>
      <c r="U112" s="228"/>
      <c r="V112" s="228"/>
    </row>
    <row r="113" outlineLevel="1">
      <c r="A113" s="146"/>
      <c r="B113" s="300" t="str">
        <f>'テンプレート'!B133</f>
        <v>前方</v>
      </c>
      <c r="C113" s="307" t="str">
        <f t="array" ref="C113">INDEX('起きあがり'!$R$3:$S$115, MATCH($A$1,'起きあがり'!$A$3:$A$115,0), MATCH(C$96,'起きあがり'!$R$2:$AD$2,0))</f>
        <v>1-19</v>
      </c>
      <c r="D113" s="308">
        <f t="array" ref="D113">INDEX('起きあがり'!$R$3:$S$115, MATCH($A$1,'起きあがり'!$A$3:$A$115,0), MATCH(D$96,'起きあがり'!$R$2:$AD$2,0))</f>
        <v>35</v>
      </c>
      <c r="E113" s="301"/>
      <c r="F113" s="301"/>
      <c r="G113" s="301"/>
      <c r="H113" s="228"/>
      <c r="I113" s="228"/>
      <c r="J113" s="117"/>
      <c r="K113" s="146"/>
      <c r="L113" s="314" t="str">
        <f>'テンプレート'!L133</f>
        <v>地上硬直</v>
      </c>
      <c r="M113" s="113" t="str">
        <f t="array" ref="M113">INDEX('共通動作その他'!$E$3:$E$102, MATCH($A$1,'共通動作その他'!$A$3:$A$102,0), MATCH(M$110,'共通動作その他'!$E$2:$AA$2,0))</f>
        <v>-</v>
      </c>
      <c r="N113" s="102"/>
      <c r="O113" s="118"/>
      <c r="P113" s="118"/>
      <c r="Q113" s="118"/>
      <c r="R113" s="118"/>
      <c r="S113" s="118"/>
      <c r="T113" s="118"/>
      <c r="U113" s="118"/>
      <c r="V113" s="118"/>
    </row>
    <row r="114" outlineLevel="1">
      <c r="A114" s="146"/>
      <c r="B114" s="300" t="str">
        <f>'テンプレート'!B134</f>
        <v>後方</v>
      </c>
      <c r="C114" s="307" t="str">
        <f t="array" ref="C114">INDEX('起きあがり'!$T$3:$U$115, MATCH($A$1,'起きあがり'!$A$3:$A$115,0), MATCH(C$96,'起きあがり'!$T$2:$AD$2,0))</f>
        <v>1-24</v>
      </c>
      <c r="D114" s="308">
        <f t="array" ref="D114">INDEX('起きあがり'!$T$3:$U$115, MATCH($A$1,'起きあがり'!$A$3:$A$115,0), MATCH(D$96,'起きあがり'!$T$2:$AD$2,0))</f>
        <v>35</v>
      </c>
      <c r="E114" s="301"/>
      <c r="F114" s="301"/>
      <c r="G114" s="301"/>
      <c r="H114" s="228"/>
      <c r="I114" s="228"/>
      <c r="J114" s="111"/>
      <c r="K114" s="146"/>
      <c r="L114" s="314" t="str">
        <f>'テンプレート'!L134</f>
        <v>空中踏まれ</v>
      </c>
      <c r="M114" s="113" t="str">
        <f t="array" ref="M114">INDEX('共通動作その他'!$F$3:$F$102, MATCH($A$1,'共通動作その他'!$A$3:$A$102,0), MATCH(M$110,'共通動作その他'!$F$2:$AA$2,0))</f>
        <v>-</v>
      </c>
      <c r="N114" s="102"/>
      <c r="O114" s="118"/>
      <c r="P114" s="118"/>
      <c r="Q114" s="118"/>
      <c r="R114" s="118"/>
      <c r="S114" s="118"/>
      <c r="T114" s="118"/>
      <c r="U114" s="118"/>
      <c r="V114" s="118"/>
    </row>
    <row r="115" outlineLevel="1">
      <c r="A115" s="146"/>
      <c r="B115" s="1709" t="str">
        <f>'テンプレート'!B135</f>
        <v>攻撃1</v>
      </c>
      <c r="C115" s="309" t="str">
        <f t="array" ref="C115">INDEX('起きあがり'!$V$3:$Y$115, MATCH($A$1,'起きあがり'!$A$3:$A$115,0), MATCH(C$96,'起きあがり'!$V$2:$AD$2,0))</f>
        <v>1-25</v>
      </c>
      <c r="D115" s="310">
        <f t="array" ref="D115">INDEX('起きあがり'!$V$3:$Y$115, MATCH($A$1,'起きあがり'!$A$3:$A$115,0), MATCH(D$96,'起きあがり'!$V$2:$AD$2,0))</f>
        <v>45</v>
      </c>
      <c r="E115" s="307" t="str">
        <f t="array" ref="E115">INDEX('起きあがり'!$V$3:$Y$115, MATCH($A$1,'起きあがり'!$A$3:$A$115,0), MATCH(E$96,'起きあがり'!$V$2:$AD$2,0))</f>
        <v>19-20</v>
      </c>
      <c r="F115" s="308">
        <f t="array" ref="F115">INDEX('起きあがり'!$V$3:$Y$115, MATCH($A$1,'起きあがり'!$A$3:$A$115,0), MATCH(F$96,'起きあがり'!$V$2:$AD$2,0))</f>
        <v>7</v>
      </c>
      <c r="G115" s="113">
        <f t="shared" ref="G115:G116" si="2">F115*1.2</f>
        <v>8.4</v>
      </c>
      <c r="H115" s="228"/>
      <c r="I115" s="228"/>
      <c r="J115" s="117"/>
      <c r="K115" s="146"/>
      <c r="L115" s="314" t="str">
        <f>'テンプレート'!L135</f>
        <v>空中落下</v>
      </c>
      <c r="M115" s="113" t="str">
        <f t="array" ref="M115">INDEX('共通動作その他'!$G$3:$G$102, MATCH($A$1,'共通動作その他'!$A$3:$A$102,0), MATCH(M$110,'共通動作その他'!$G$2:$AA$2,0))</f>
        <v>-</v>
      </c>
      <c r="N115" s="102"/>
      <c r="O115" s="118"/>
      <c r="P115" s="118"/>
      <c r="Q115" s="118"/>
      <c r="R115" s="118"/>
      <c r="S115" s="118"/>
      <c r="T115" s="118"/>
      <c r="U115" s="118"/>
      <c r="V115" s="118"/>
    </row>
    <row r="116" outlineLevel="1">
      <c r="A116" s="156"/>
      <c r="B116" s="156"/>
      <c r="C116" s="156"/>
      <c r="D116" s="156"/>
      <c r="E116" s="307" t="str">
        <f t="array" ref="E116">INDEX('起きあがり'!$Z$3:$AA$115, MATCH($A$1,'起きあがり'!$A$3:$A$115,0), MATCH(E$96,'起きあがり'!$Z$2:$AD$2,0))</f>
        <v>24-25</v>
      </c>
      <c r="F116" s="308">
        <f t="array" ref="F116">INDEX('起きあがり'!$Z$3:$AA$115, MATCH($A$1,'起きあがり'!$A$3:$A$115,0), MATCH(F$96,'起きあがり'!$Z$2:$AD$2,0))</f>
        <v>7</v>
      </c>
      <c r="G116" s="113">
        <f t="shared" si="2"/>
        <v>8.4</v>
      </c>
      <c r="H116" s="228"/>
      <c r="I116" s="228"/>
      <c r="J116" s="117"/>
      <c r="K116" s="304" t="str">
        <f>'テンプレート'!K136</f>
        <v>倒れダメージ</v>
      </c>
      <c r="L116" s="110"/>
      <c r="M116" s="298" t="str">
        <f>'テンプレート'!M136</f>
        <v>全体フレーム</v>
      </c>
      <c r="N116" s="102"/>
      <c r="O116" s="118"/>
      <c r="P116" s="118"/>
      <c r="Q116" s="118"/>
      <c r="R116" s="118"/>
      <c r="S116" s="118"/>
      <c r="T116" s="118"/>
      <c r="U116" s="118"/>
      <c r="V116" s="118"/>
    </row>
    <row r="117" outlineLevel="1">
      <c r="A117" s="299" t="str">
        <f>'テンプレート'!A137</f>
        <v>転倒</v>
      </c>
      <c r="B117" s="300" t="str">
        <f>'テンプレート'!B137</f>
        <v>硬直(小)</v>
      </c>
      <c r="C117" s="307" t="str">
        <f t="array" ref="C117">INDEX('転倒'!$C$3:$D$115, MATCH($A$1,'転倒'!$A$3:$A$115,0), MATCH(C$96,'転倒'!$C$2:$AC$2,0))</f>
        <v>1-5</v>
      </c>
      <c r="D117" s="308">
        <f t="array" ref="D117">INDEX('転倒'!$C$3:$D$115, MATCH($A$1,'転倒'!$A$3:$A$115,0), MATCH(D$96,'転倒'!$C$2:$AC$2,0))</f>
        <v>29</v>
      </c>
      <c r="E117" s="301"/>
      <c r="F117" s="301"/>
      <c r="G117" s="301"/>
      <c r="H117" s="228"/>
      <c r="I117" s="228"/>
      <c r="J117" s="111"/>
      <c r="K117" s="313" t="str">
        <f>'テンプレート'!K137</f>
        <v>あお向け倒れ</v>
      </c>
      <c r="L117" s="306" t="str">
        <f>'テンプレート'!L137</f>
        <v>モーション大</v>
      </c>
      <c r="M117" s="113" t="str">
        <f t="array" ref="M117">INDEX('共通動作その他'!$H$3:$H$102, MATCH($A$1,'共通動作その他'!$A$3:$A$102,0), MATCH(M$116,'共通動作その他'!$H$2:$AA$2,0))</f>
        <v>-</v>
      </c>
      <c r="N117" s="315"/>
      <c r="O117" s="118"/>
      <c r="P117" s="118"/>
      <c r="Q117" s="118"/>
      <c r="R117" s="118"/>
      <c r="S117" s="118"/>
      <c r="T117" s="118"/>
      <c r="U117" s="118"/>
      <c r="V117" s="118"/>
    </row>
    <row r="118" outlineLevel="1">
      <c r="A118" s="146"/>
      <c r="B118" s="300" t="str">
        <f>'テンプレート'!B138</f>
        <v>硬直(大)</v>
      </c>
      <c r="C118" s="307" t="str">
        <f t="array" ref="C118">INDEX('転倒'!$E$3:$F$115, MATCH($A$1,'転倒'!$A$3:$A$115,0), MATCH(C$96,'転倒'!$E$2:$AC$2,0))</f>
        <v>1-5</v>
      </c>
      <c r="D118" s="308">
        <f t="array" ref="D118">INDEX('転倒'!$E$3:$F$115, MATCH($A$1,'転倒'!$A$3:$A$115,0), MATCH(D$96,'転倒'!$E$2:$AC$2,0))</f>
        <v>39</v>
      </c>
      <c r="E118" s="301"/>
      <c r="F118" s="301"/>
      <c r="G118" s="301"/>
      <c r="H118" s="228"/>
      <c r="I118" s="228"/>
      <c r="J118" s="117"/>
      <c r="K118" s="313" t="str">
        <f>'テンプレート'!K138</f>
        <v>うつ伏せ倒れ</v>
      </c>
      <c r="L118" s="306" t="str">
        <f>'テンプレート'!L138</f>
        <v>モーション大</v>
      </c>
      <c r="M118" s="113" t="str">
        <f t="array" ref="M118">INDEX('共通動作その他'!$I$3:$I$102, MATCH($A$1,'共通動作その他'!$A$3:$A$102,0), MATCH(M$116,'共通動作その他'!$I$2:$AA$2,0))</f>
        <v>-</v>
      </c>
      <c r="N118" s="315"/>
      <c r="O118" s="118"/>
      <c r="P118" s="118"/>
      <c r="Q118" s="118"/>
      <c r="R118" s="118"/>
      <c r="S118" s="118"/>
      <c r="T118" s="118"/>
      <c r="U118" s="118"/>
      <c r="V118" s="118"/>
    </row>
    <row r="119" outlineLevel="1">
      <c r="A119" s="146"/>
      <c r="B119" s="300" t="str">
        <f>'テンプレート'!B139</f>
        <v>その場</v>
      </c>
      <c r="C119" s="307" t="str">
        <f t="array" ref="C119">INDEX('転倒'!$G$3:$H$115, MATCH($A$1,'転倒'!$A$3:$A$115,0), MATCH(C$96,'転倒'!$G$2:$AC$2,0))</f>
        <v>1-16</v>
      </c>
      <c r="D119" s="308">
        <f t="array" ref="D119">INDEX('転倒'!$G$3:$H$115, MATCH($A$1,'転倒'!$A$3:$A$115,0), MATCH(D$96,'転倒'!$G$2:$AC$2,0))</f>
        <v>21</v>
      </c>
      <c r="E119" s="301"/>
      <c r="F119" s="301"/>
      <c r="G119" s="301"/>
      <c r="H119" s="228"/>
      <c r="I119" s="228"/>
      <c r="J119" s="111"/>
      <c r="K119" s="304" t="str">
        <f>'テンプレート'!K139</f>
        <v/>
      </c>
      <c r="L119" s="110"/>
      <c r="M119" s="298" t="str">
        <f>'テンプレート'!M139</f>
        <v/>
      </c>
      <c r="N119" s="102"/>
      <c r="O119" s="118"/>
      <c r="P119" s="118"/>
      <c r="Q119" s="118"/>
      <c r="R119" s="118"/>
      <c r="S119" s="118"/>
      <c r="T119" s="118"/>
      <c r="U119" s="118"/>
      <c r="V119" s="118"/>
    </row>
    <row r="120" outlineLevel="1">
      <c r="A120" s="146"/>
      <c r="B120" s="300" t="str">
        <f>'テンプレート'!B140</f>
        <v>前方</v>
      </c>
      <c r="C120" s="307" t="str">
        <f t="array" ref="C120">INDEX('転倒'!$I$3:$J$115, MATCH($A$1,'転倒'!$A$3:$A$115,0), MATCH(C$96,'転倒'!$I$2:$AC$2,0))</f>
        <v>1-9</v>
      </c>
      <c r="D120" s="308">
        <f t="array" ref="D120">INDEX('転倒'!$I$3:$J$115, MATCH($A$1,'転倒'!$A$3:$A$115,0), MATCH(D$96,'転倒'!$I$2:$AC$2,0))</f>
        <v>28</v>
      </c>
      <c r="E120" s="301"/>
      <c r="F120" s="301"/>
      <c r="G120" s="301"/>
      <c r="H120" s="228"/>
      <c r="I120" s="228"/>
      <c r="J120" s="228"/>
      <c r="K120" s="316" t="str">
        <f>'テンプレート'!K140</f>
        <v/>
      </c>
      <c r="L120" s="317" t="str">
        <f>'テンプレート'!L140</f>
        <v/>
      </c>
      <c r="M120" s="113" t="str">
        <f t="array" ref="M120">INDEX('共通動作その他'!$J$3:$J$102, MATCH($A$1,'共通動作その他'!$A$3:$A$102,0), MATCH(M$119,'共通動作その他'!$J$2:$AA$2,0))</f>
        <v>#N/A</v>
      </c>
      <c r="N120" s="102"/>
      <c r="O120" s="118"/>
      <c r="P120" s="118"/>
      <c r="Q120" s="118"/>
      <c r="R120" s="118"/>
      <c r="S120" s="118"/>
      <c r="T120" s="118"/>
      <c r="U120" s="118"/>
      <c r="V120" s="118"/>
    </row>
    <row r="121" outlineLevel="1">
      <c r="A121" s="146"/>
      <c r="B121" s="300" t="str">
        <f>'テンプレート'!B141</f>
        <v>後方</v>
      </c>
      <c r="C121" s="307" t="str">
        <f t="array" ref="C121">INDEX('転倒'!$K$3:$L$115, MATCH($A$1,'転倒'!$A$3:$A$115,0), MATCH(C$96,'転倒'!$K$2:$AC$2,0))</f>
        <v>1-9</v>
      </c>
      <c r="D121" s="308">
        <f t="array" ref="D121">INDEX('転倒'!$K$3:$L$115, MATCH($A$1,'転倒'!$A$3:$A$115,0), MATCH(D$96,'転倒'!$K$2:$AC$2,0))</f>
        <v>28</v>
      </c>
      <c r="E121" s="301"/>
      <c r="F121" s="301"/>
      <c r="G121" s="301"/>
      <c r="H121" s="228"/>
      <c r="I121" s="228"/>
      <c r="J121" s="228"/>
      <c r="K121" s="102"/>
      <c r="L121" s="118"/>
      <c r="M121" s="118"/>
      <c r="N121" s="102"/>
      <c r="O121" s="118"/>
      <c r="P121" s="118"/>
      <c r="Q121" s="118"/>
      <c r="R121" s="118"/>
      <c r="S121" s="118"/>
      <c r="T121" s="118"/>
      <c r="U121" s="118"/>
      <c r="V121" s="118"/>
    </row>
    <row r="122" outlineLevel="1">
      <c r="A122" s="146"/>
      <c r="B122" s="1709" t="str">
        <f>'テンプレート'!B142</f>
        <v>攻撃1</v>
      </c>
      <c r="C122" s="309" t="str">
        <f t="array" ref="C122">INDEX('転倒'!$M$3:$P$115, MATCH($A$1,'転倒'!$A$3:$A$115,0), MATCH(C$96,'転倒'!$M$2:$AC$2,0))</f>
        <v>1-7</v>
      </c>
      <c r="D122" s="310">
        <f t="array" ref="D122">INDEX('転倒'!$M$3:$P$115, MATCH($A$1,'転倒'!$A$3:$A$115,0), MATCH(D$96,'転倒'!$M$2:$AC$2,0))</f>
        <v>49</v>
      </c>
      <c r="E122" s="307" t="str">
        <f t="array" ref="E122">INDEX('転倒'!$M$3:$P$115, MATCH($A$1,'転倒'!$A$3:$A$115,0), MATCH(E$96,'転倒'!$M$2:$AC$2,0))</f>
        <v>19-20</v>
      </c>
      <c r="F122" s="308">
        <f t="array" ref="F122">INDEX('転倒'!$M$3:$P$115, MATCH($A$1,'転倒'!$A$3:$A$115,0), MATCH(F$96,'転倒'!$M$2:$AC$2,0))</f>
        <v>5</v>
      </c>
      <c r="G122" s="113">
        <f t="shared" ref="G122:G123" si="3">F122*1.2</f>
        <v>6</v>
      </c>
      <c r="H122" s="228"/>
      <c r="I122" s="228"/>
      <c r="J122" s="228"/>
      <c r="K122" s="118"/>
      <c r="L122" s="118"/>
      <c r="M122" s="118"/>
      <c r="N122" s="102"/>
      <c r="O122" s="102"/>
      <c r="P122" s="102"/>
      <c r="Q122" s="102"/>
      <c r="R122" s="118"/>
      <c r="S122" s="118"/>
      <c r="T122" s="118"/>
      <c r="U122" s="118"/>
      <c r="V122" s="118"/>
    </row>
    <row r="123" outlineLevel="1">
      <c r="A123" s="156"/>
      <c r="B123" s="156"/>
      <c r="C123" s="156"/>
      <c r="D123" s="156"/>
      <c r="E123" s="307" t="str">
        <f t="array" ref="E123">INDEX('転倒'!$Q$3:$R$115, MATCH($A$1,'転倒'!$A$3:$A$115,0), MATCH(E$96,'転倒'!$Q$2:$AC$2,0))</f>
        <v>23-24</v>
      </c>
      <c r="F123" s="308">
        <f t="array" ref="F123">INDEX('転倒'!$Q$3:$R$115, MATCH($A$1,'転倒'!$A$3:$A$115,0), MATCH(F$96,'転倒'!$Q$2:$AC$2,0))</f>
        <v>5</v>
      </c>
      <c r="G123" s="113">
        <f t="shared" si="3"/>
        <v>6</v>
      </c>
      <c r="H123" s="228"/>
      <c r="I123" s="228"/>
      <c r="J123" s="228"/>
      <c r="K123" s="118"/>
      <c r="L123" s="118"/>
      <c r="M123" s="118"/>
      <c r="N123" s="102"/>
      <c r="O123" s="102"/>
      <c r="P123" s="102"/>
      <c r="Q123" s="102"/>
      <c r="R123" s="118"/>
      <c r="S123" s="118"/>
      <c r="T123" s="118"/>
      <c r="U123" s="118"/>
      <c r="V123" s="118"/>
    </row>
    <row r="124" outlineLevel="1">
      <c r="A124" s="319"/>
      <c r="B124" s="320"/>
      <c r="C124" s="321"/>
      <c r="D124" s="321"/>
      <c r="E124" s="322"/>
      <c r="F124" s="322"/>
      <c r="G124" s="114"/>
      <c r="H124" s="228"/>
      <c r="I124" s="228"/>
      <c r="J124" s="228"/>
      <c r="K124" s="118"/>
      <c r="L124" s="118"/>
      <c r="M124" s="118"/>
      <c r="N124" s="102"/>
      <c r="O124" s="102"/>
      <c r="P124" s="102"/>
      <c r="Q124" s="102"/>
      <c r="R124" s="118"/>
      <c r="S124" s="118"/>
      <c r="T124" s="118"/>
      <c r="U124" s="118"/>
      <c r="V124" s="118"/>
    </row>
    <row r="125" outlineLevel="1">
      <c r="A125" s="323" t="s">
        <v>255</v>
      </c>
      <c r="B125" s="109"/>
      <c r="C125" s="321"/>
      <c r="D125" s="321"/>
      <c r="E125" s="322"/>
      <c r="F125" s="322"/>
      <c r="G125" s="114"/>
      <c r="H125" s="228"/>
      <c r="I125" s="228"/>
      <c r="J125" s="228"/>
      <c r="K125" s="118"/>
      <c r="L125" s="118"/>
      <c r="M125" s="118"/>
      <c r="N125" s="102"/>
      <c r="O125" s="102"/>
      <c r="P125" s="102"/>
      <c r="Q125" s="102"/>
      <c r="R125" s="118"/>
      <c r="S125" s="118"/>
      <c r="T125" s="118"/>
      <c r="U125" s="118"/>
      <c r="V125" s="118"/>
    </row>
    <row r="126" outlineLevel="1">
      <c r="A126" s="324" t="s">
        <v>256</v>
      </c>
      <c r="B126" s="109"/>
      <c r="C126" s="325" t="s">
        <v>257</v>
      </c>
      <c r="D126" s="325" t="s">
        <v>49</v>
      </c>
      <c r="E126" s="322"/>
      <c r="F126" s="322"/>
      <c r="G126" s="114"/>
      <c r="H126" s="228"/>
      <c r="I126" s="228"/>
      <c r="J126" s="228"/>
      <c r="K126" s="118"/>
      <c r="L126" s="118"/>
      <c r="M126" s="118"/>
      <c r="N126" s="102"/>
      <c r="O126" s="102"/>
      <c r="P126" s="102"/>
      <c r="Q126" s="102"/>
      <c r="R126" s="118"/>
      <c r="S126" s="118"/>
      <c r="T126" s="118"/>
      <c r="U126" s="118"/>
      <c r="V126" s="118"/>
    </row>
    <row r="127" outlineLevel="1">
      <c r="A127" s="326" t="s">
        <v>258</v>
      </c>
      <c r="B127" s="327" t="s">
        <v>216</v>
      </c>
      <c r="C127" s="328" t="str">
        <f t="array" ref="C127">INDEX('アイテム'!$C$3:$D$114, MATCH($A$1,'アイテム'!$A$3:$A$114,0), MATCH(C126,'アイテム'!$C$2:$AQ$2,0))</f>
        <v>2</v>
      </c>
      <c r="D127" s="328">
        <f t="array" ref="D127">INDEX('アイテム'!$C$3:$D$114, MATCH($A$1,'アイテム'!$A$3:$A$114,0), MATCH(D126,'アイテム'!$C$2:$AQ$2,0))</f>
        <v>7</v>
      </c>
      <c r="E127" s="322"/>
      <c r="F127" s="322"/>
      <c r="G127" s="114"/>
      <c r="H127" s="228"/>
      <c r="I127" s="228"/>
      <c r="J127" s="228"/>
      <c r="K127" s="118"/>
      <c r="L127" s="118"/>
      <c r="M127" s="118"/>
      <c r="N127" s="102"/>
      <c r="O127" s="102"/>
      <c r="P127" s="102"/>
      <c r="Q127" s="102"/>
      <c r="R127" s="118"/>
      <c r="S127" s="118"/>
      <c r="T127" s="118"/>
      <c r="U127" s="118"/>
      <c r="V127" s="118"/>
    </row>
    <row r="128" outlineLevel="1">
      <c r="A128" s="156"/>
      <c r="B128" s="327" t="s">
        <v>219</v>
      </c>
      <c r="C128" s="328" t="str">
        <f t="array" ref="C128">INDEX('アイテム'!$E$3:$F$114, MATCH($A$1,'アイテム'!$A$3:$A$114,0), MATCH(C126,'アイテム'!$C$2:$AQ$2,0))</f>
        <v>2</v>
      </c>
      <c r="D128" s="328">
        <f t="array" ref="D128">INDEX('アイテム'!$E$3:$F$114, MATCH($A$1,'アイテム'!$A$3:$A$114,0), MATCH(D126,'アイテム'!$C$2:$AQ$2,0))</f>
        <v>19</v>
      </c>
      <c r="E128" s="322"/>
      <c r="F128" s="322"/>
      <c r="G128" s="114"/>
      <c r="H128" s="228"/>
      <c r="I128" s="228"/>
      <c r="J128" s="228"/>
      <c r="K128" s="118"/>
      <c r="L128" s="118"/>
      <c r="M128" s="118"/>
      <c r="N128" s="102"/>
      <c r="O128" s="102"/>
      <c r="P128" s="102"/>
      <c r="Q128" s="102"/>
      <c r="R128" s="118"/>
      <c r="S128" s="118"/>
      <c r="T128" s="118"/>
      <c r="U128" s="118"/>
      <c r="V128" s="118"/>
    </row>
    <row r="129" outlineLevel="1">
      <c r="A129" s="329" t="s">
        <v>259</v>
      </c>
      <c r="B129" s="327" t="s">
        <v>216</v>
      </c>
      <c r="C129" s="328">
        <f t="array" ref="C129">INDEX('アイテム'!$AA$3:$AB$114, MATCH($A$1,'アイテム'!$A$3:$A$114,0), MATCH(C126,'アイテム'!$C$2:$AQ$2,0))</f>
        <v>2</v>
      </c>
      <c r="D129" s="328" t="str">
        <f t="array" ref="D129">INDEX('アイテム'!$AA$3:$AB$114, MATCH($A$1,'アイテム'!$A$3:$A$114,0), MATCH(D126,'アイテム'!$C$2:$AQ$2,0))</f>
        <v>12</v>
      </c>
      <c r="E129" s="322"/>
      <c r="F129" s="322"/>
      <c r="G129" s="114"/>
      <c r="H129" s="228"/>
      <c r="I129" s="228"/>
      <c r="J129" s="228"/>
      <c r="K129" s="118"/>
      <c r="L129" s="118"/>
      <c r="M129" s="118"/>
      <c r="N129" s="102"/>
      <c r="O129" s="102"/>
      <c r="P129" s="102"/>
      <c r="Q129" s="102"/>
      <c r="R129" s="118"/>
      <c r="S129" s="118"/>
      <c r="T129" s="118"/>
      <c r="U129" s="118"/>
      <c r="V129" s="118"/>
    </row>
    <row r="130" outlineLevel="1">
      <c r="A130" s="324" t="s">
        <v>260</v>
      </c>
      <c r="B130" s="109"/>
      <c r="C130" s="325" t="s">
        <v>261</v>
      </c>
      <c r="D130" s="325" t="s">
        <v>49</v>
      </c>
      <c r="E130" s="322"/>
      <c r="F130" s="322"/>
      <c r="G130" s="114"/>
      <c r="H130" s="228"/>
      <c r="I130" s="228"/>
      <c r="J130" s="228"/>
      <c r="K130" s="118"/>
      <c r="L130" s="118"/>
      <c r="M130" s="118"/>
      <c r="N130" s="102"/>
      <c r="O130" s="102"/>
      <c r="P130" s="102"/>
      <c r="Q130" s="102"/>
      <c r="R130" s="118"/>
      <c r="S130" s="118"/>
      <c r="T130" s="118"/>
      <c r="U130" s="118"/>
      <c r="V130" s="118"/>
    </row>
    <row r="131" outlineLevel="1">
      <c r="A131" s="326" t="s">
        <v>262</v>
      </c>
      <c r="B131" s="327" t="s">
        <v>226</v>
      </c>
      <c r="C131" s="328" t="str">
        <f t="array" ref="C131">INDEX('アイテム'!$G$3:$H$114, MATCH($A$1,'アイテム'!$A$3:$A$114,0), MATCH(C126,'アイテム'!$C$2:$AQ$2,0))</f>
        <v>8</v>
      </c>
      <c r="D131" s="328">
        <f t="array" ref="D131">INDEX('アイテム'!$G$3:$H$114, MATCH($A$1,'アイテム'!$A$3:$A$114,0), MATCH(D126,'アイテム'!$C$2:$AQ$2,0))</f>
        <v>24</v>
      </c>
      <c r="E131" s="322"/>
      <c r="F131" s="322"/>
      <c r="G131" s="114"/>
      <c r="H131" s="228"/>
      <c r="I131" s="228"/>
      <c r="J131" s="228"/>
      <c r="K131" s="118"/>
      <c r="L131" s="118"/>
      <c r="M131" s="118"/>
      <c r="N131" s="102"/>
      <c r="O131" s="102"/>
      <c r="P131" s="102"/>
      <c r="Q131" s="102"/>
      <c r="R131" s="118"/>
      <c r="S131" s="118"/>
      <c r="T131" s="118"/>
      <c r="U131" s="118"/>
      <c r="V131" s="118"/>
    </row>
    <row r="132" outlineLevel="1">
      <c r="A132" s="146"/>
      <c r="B132" s="327" t="s">
        <v>229</v>
      </c>
      <c r="C132" s="328" t="str">
        <f t="array" ref="C132">INDEX('アイテム'!$I$3:$J$114, MATCH($A$1,'アイテム'!$A$3:$A$114,0), MATCH(C126,'アイテム'!$C$2:$AQ$2,0))</f>
        <v>11</v>
      </c>
      <c r="D132" s="328">
        <f t="array" ref="D132">INDEX('アイテム'!$I$3:$J$114, MATCH($A$1,'アイテム'!$A$3:$A$114,0), MATCH(D126,'アイテム'!$C$2:$AQ$2,0))</f>
        <v>24</v>
      </c>
      <c r="E132" s="322"/>
      <c r="F132" s="322"/>
      <c r="G132" s="114"/>
      <c r="H132" s="228"/>
      <c r="I132" s="228"/>
      <c r="J132" s="228"/>
      <c r="K132" s="118"/>
      <c r="L132" s="118"/>
      <c r="M132" s="118"/>
      <c r="N132" s="102"/>
      <c r="O132" s="102"/>
      <c r="P132" s="102"/>
      <c r="Q132" s="102"/>
      <c r="R132" s="118"/>
      <c r="S132" s="118"/>
      <c r="T132" s="118"/>
      <c r="U132" s="118"/>
      <c r="V132" s="118"/>
    </row>
    <row r="133" outlineLevel="1">
      <c r="A133" s="146"/>
      <c r="B133" s="327" t="s">
        <v>233</v>
      </c>
      <c r="C133" s="328" t="str">
        <f t="array" ref="C133">INDEX('アイテム'!$K$3:$L$114, MATCH($A$1,'アイテム'!$A$3:$A$114,0), MATCH(C126,'アイテム'!$C$2:$AQ$2,0))</f>
        <v>12</v>
      </c>
      <c r="D133" s="328">
        <f t="array" ref="D133">INDEX('アイテム'!$K$3:$L$114, MATCH($A$1,'アイテム'!$A$3:$A$114,0), MATCH(D126,'アイテム'!$C$2:$AQ$2,0))</f>
        <v>23</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234</v>
      </c>
      <c r="C134" s="328" t="str">
        <f t="array" ref="C134">INDEX('アイテム'!$M$3:$N$114, MATCH($A$1,'アイテム'!$A$3:$A$114,0), MATCH(C126,'アイテム'!$C$2:$AQ$2,0))</f>
        <v>7</v>
      </c>
      <c r="D134" s="328">
        <f t="array" ref="D134">INDEX('アイテム'!$M$3:$N$114, MATCH($A$1,'アイテム'!$A$3:$A$114,0), MATCH(D126,'アイテム'!$C$2:$AQ$2,0))</f>
        <v>19</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219</v>
      </c>
      <c r="C135" s="328" t="str">
        <f t="array" ref="C135">INDEX('アイテム'!$O$3:$P$114, MATCH($A$1,'アイテム'!$A$3:$A$114,0), MATCH(C126,'アイテム'!$C$2:$AQ$2,0))</f>
        <v>5</v>
      </c>
      <c r="D135" s="328">
        <f t="array" ref="D135">INDEX('アイテム'!$O$3:$P$114, MATCH($A$1,'アイテム'!$A$3:$A$114,0), MATCH(D126,'アイテム'!$C$2:$AQ$2,0))</f>
        <v>29</v>
      </c>
      <c r="E135" s="322"/>
      <c r="F135" s="322"/>
      <c r="G135" s="114"/>
      <c r="H135" s="228"/>
      <c r="I135" s="228"/>
      <c r="J135" s="228"/>
      <c r="K135" s="118"/>
      <c r="L135" s="118"/>
      <c r="M135" s="118"/>
      <c r="N135" s="102"/>
      <c r="O135" s="102"/>
      <c r="P135" s="102"/>
      <c r="Q135" s="102"/>
      <c r="R135" s="118"/>
      <c r="S135" s="118"/>
      <c r="T135" s="118"/>
      <c r="U135" s="118"/>
      <c r="V135" s="118"/>
    </row>
    <row r="136" outlineLevel="1">
      <c r="A136" s="156"/>
      <c r="B136" s="327" t="s">
        <v>263</v>
      </c>
      <c r="C136" s="328" t="str">
        <f t="array" ref="C136">INDEX('アイテム'!$Q$3:$R$114, MATCH($A$1,'アイテム'!$A$3:$A$114,0), MATCH(C126,'アイテム'!$C$2:$AQ$2,0))</f>
        <v>6</v>
      </c>
      <c r="D136" s="328">
        <f t="array" ref="D136">INDEX('アイテム'!$Q$3:$R$114, MATCH($A$1,'アイテム'!$A$3:$A$114,0), MATCH(D126,'アイテム'!$C$2:$AQ$2,0))</f>
        <v>23</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264</v>
      </c>
      <c r="B137" s="327" t="s">
        <v>226</v>
      </c>
      <c r="C137" s="328" t="str">
        <f t="array" ref="C137">INDEX('アイテム'!$S$3:$T$114, MATCH($A$1,'アイテム'!$A$3:$A$114,0), MATCH(C126,'アイテム'!$C$2:$AQ$2,0))</f>
        <v>8</v>
      </c>
      <c r="D137" s="328">
        <f t="array" ref="D137">INDEX('アイテム'!$S$3:$T$114, MATCH($A$1,'アイテム'!$A$3:$A$114,0), MATCH(D126,'アイテム'!$C$2:$AQ$2,0))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229</v>
      </c>
      <c r="C138" s="328" t="str">
        <f t="array" ref="C138">INDEX('アイテム'!$U$3:$V$114, MATCH($A$1,'アイテム'!$A$3:$A$114,0), MATCH(C126,'アイテム'!$C$2:$AQ$2,0))</f>
        <v>11</v>
      </c>
      <c r="D138" s="328">
        <f t="array" ref="D138">INDEX('アイテム'!$U$3:$V$114, MATCH($A$1,'アイテム'!$A$3:$A$114,0), MATCH(D126,'アイテム'!$C$2:$AQ$2,0))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233</v>
      </c>
      <c r="C139" s="328" t="str">
        <f t="array" ref="C139">INDEX('アイテム'!$W$3:$X$114, MATCH($A$1,'アイテム'!$A$3:$A$114,0), MATCH(C126,'アイテム'!$C$2:$AQ$2,0))</f>
        <v>12</v>
      </c>
      <c r="D139" s="328">
        <f t="array" ref="D139">INDEX('アイテム'!$W$3:$X$114, MATCH($A$1,'アイテム'!$A$3:$A$114,0), MATCH(D126,'アイテム'!$C$2:$AQ$2,0))</f>
        <v>23</v>
      </c>
      <c r="E139" s="322"/>
      <c r="F139" s="322"/>
      <c r="G139" s="114"/>
      <c r="H139" s="228"/>
      <c r="I139" s="228"/>
      <c r="J139" s="228"/>
      <c r="K139" s="118"/>
      <c r="L139" s="118"/>
      <c r="M139" s="118"/>
      <c r="N139" s="102"/>
      <c r="O139" s="102"/>
      <c r="P139" s="102"/>
      <c r="Q139" s="102"/>
      <c r="R139" s="118"/>
      <c r="S139" s="118"/>
      <c r="T139" s="118"/>
      <c r="U139" s="118"/>
      <c r="V139" s="118"/>
    </row>
    <row r="140" outlineLevel="1">
      <c r="A140" s="156"/>
      <c r="B140" s="327" t="s">
        <v>234</v>
      </c>
      <c r="C140" s="328" t="str">
        <f t="array" ref="C140">INDEX('アイテム'!$Y$3:$Z$114, MATCH($A$1,'アイテム'!$A$3:$A$114,0), MATCH(C126,'アイテム'!$C$2:$AQ$2,0))</f>
        <v>7</v>
      </c>
      <c r="D140" s="328">
        <f t="array" ref="D140">INDEX('アイテム'!$Y$3:$Z$114, MATCH($A$1,'アイテム'!$A$3:$A$114,0), MATCH(D126,'アイテム'!$C$2:$AQ$2,0))</f>
        <v>19</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265</v>
      </c>
      <c r="B141" s="327" t="s">
        <v>226</v>
      </c>
      <c r="C141" s="328">
        <f t="array" ref="C141">INDEX('アイテム'!$AC$3:$AD$114, MATCH($A$1,'アイテム'!$A$3:$A$114,0), MATCH(C126,'アイテム'!$C$2:$AQ$2,0))</f>
        <v>16</v>
      </c>
      <c r="D141" s="328" t="str">
        <f t="array" ref="D141">INDEX('アイテム'!$AC$3:$AD$114, MATCH($A$1,'アイテム'!$A$3:$A$114,0), MATCH(D126,'アイテム'!$C$2:$AQ$2,0))</f>
        <v>30</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229</v>
      </c>
      <c r="C142" s="328">
        <f t="array" ref="C142">INDEX('アイテム'!$AE$3:$AF$114, MATCH($A$1,'アイテム'!$A$3:$A$114,0), MATCH(C126,'アイテム'!$C$2:$AQ$2,0))</f>
        <v>17</v>
      </c>
      <c r="D142" s="328" t="str">
        <f t="array" ref="D142">INDEX('アイテム'!$AE$3:$AF$114, MATCH($A$1,'アイテム'!$A$3:$A$114,0), MATCH(D126,'アイテム'!$C$2:$AQ$2,0))</f>
        <v>30</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233</v>
      </c>
      <c r="C143" s="328">
        <f t="array" ref="C143">INDEX('アイテム'!$AG$3:$AH$114, MATCH($A$1,'アイテム'!$A$3:$A$114,0), MATCH(C126,'アイテム'!$C$2:$AQ$2,0))</f>
        <v>11</v>
      </c>
      <c r="D143" s="328" t="str">
        <f t="array" ref="D143">INDEX('アイテム'!$AG$3:$AH$114, MATCH($A$1,'アイテム'!$A$3:$A$114,0), MATCH(D126,'アイテム'!$C$2:$AQ$2,0))</f>
        <v>22</v>
      </c>
      <c r="E143" s="322"/>
      <c r="F143" s="322"/>
      <c r="G143" s="114"/>
      <c r="H143" s="228"/>
      <c r="I143" s="228"/>
      <c r="J143" s="228"/>
      <c r="K143" s="118"/>
      <c r="L143" s="118"/>
      <c r="M143" s="118"/>
      <c r="N143" s="102"/>
      <c r="O143" s="102"/>
      <c r="P143" s="102"/>
      <c r="Q143" s="102"/>
      <c r="R143" s="118"/>
      <c r="S143" s="118"/>
      <c r="T143" s="118"/>
      <c r="U143" s="118"/>
      <c r="V143" s="118"/>
    </row>
    <row r="144" outlineLevel="1">
      <c r="A144" s="156"/>
      <c r="B144" s="327" t="s">
        <v>234</v>
      </c>
      <c r="C144" s="328">
        <f t="array" ref="C144">INDEX('アイテム'!$AI$3:$AJ$114, MATCH($A$1,'アイテム'!$A$3:$A$114,0), MATCH(C126,'アイテム'!$C$2:$AQ$2,0))</f>
        <v>11</v>
      </c>
      <c r="D144" s="328" t="str">
        <f t="array" ref="D144">INDEX('アイテム'!$AI$3:$AJ$114, MATCH($A$1,'アイテム'!$A$3:$A$114,0), MATCH(D126,'アイテム'!$C$2:$AQ$2,0))</f>
        <v>22</v>
      </c>
      <c r="E144" s="322"/>
      <c r="F144" s="322"/>
      <c r="G144" s="114"/>
      <c r="H144" s="228"/>
      <c r="I144" s="228"/>
      <c r="J144" s="228"/>
      <c r="K144" s="118"/>
      <c r="L144" s="118"/>
      <c r="M144" s="118"/>
      <c r="N144" s="102"/>
      <c r="O144" s="102"/>
      <c r="P144" s="102"/>
      <c r="Q144" s="102"/>
      <c r="R144" s="118"/>
      <c r="S144" s="118"/>
      <c r="T144" s="118"/>
      <c r="U144" s="118"/>
      <c r="V144" s="118"/>
    </row>
  </sheetData>
  <mergeCells count="135">
    <mergeCell ref="R48:V49"/>
    <mergeCell ref="R50:V52"/>
    <mergeCell ref="R53:V53"/>
    <mergeCell ref="I46:I47"/>
    <mergeCell ref="J46:J47"/>
    <mergeCell ref="R46:V47"/>
    <mergeCell ref="I48:I49"/>
    <mergeCell ref="J48:J49"/>
    <mergeCell ref="I50:I52"/>
    <mergeCell ref="J50:J52"/>
    <mergeCell ref="H61:J64"/>
    <mergeCell ref="U61:U64"/>
    <mergeCell ref="V61:V64"/>
    <mergeCell ref="H65:J65"/>
    <mergeCell ref="H66:J67"/>
    <mergeCell ref="U66:U67"/>
    <mergeCell ref="V66:V67"/>
    <mergeCell ref="H68:J68"/>
    <mergeCell ref="H69:J69"/>
    <mergeCell ref="G77:J77"/>
    <mergeCell ref="G78:J79"/>
    <mergeCell ref="G80:J81"/>
    <mergeCell ref="G82:J83"/>
    <mergeCell ref="G84:J85"/>
    <mergeCell ref="K116:L116"/>
    <mergeCell ref="K119:L119"/>
    <mergeCell ref="K96:L96"/>
    <mergeCell ref="K97:K98"/>
    <mergeCell ref="K99:L99"/>
    <mergeCell ref="K100:K105"/>
    <mergeCell ref="K106:K109"/>
    <mergeCell ref="K110:L110"/>
    <mergeCell ref="K112:K115"/>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30"/>
    <mergeCell ref="U29:U30"/>
    <mergeCell ref="H31:J31"/>
    <mergeCell ref="H32:J32"/>
    <mergeCell ref="H33:J33"/>
    <mergeCell ref="H34:J34"/>
    <mergeCell ref="H35:J40"/>
    <mergeCell ref="U35:U40"/>
    <mergeCell ref="H41:J42"/>
    <mergeCell ref="U41:U42"/>
    <mergeCell ref="R45:V45"/>
    <mergeCell ref="A50:A52"/>
    <mergeCell ref="A54:A55"/>
    <mergeCell ref="I54:I55"/>
    <mergeCell ref="J54:J55"/>
    <mergeCell ref="R54:V55"/>
    <mergeCell ref="D54:D55"/>
    <mergeCell ref="A57:B57"/>
    <mergeCell ref="A58:B58"/>
    <mergeCell ref="H58:J58"/>
    <mergeCell ref="H59:J59"/>
    <mergeCell ref="A60:B60"/>
    <mergeCell ref="H60:J60"/>
    <mergeCell ref="C115:C116"/>
    <mergeCell ref="D115:D116"/>
    <mergeCell ref="A102:A104"/>
    <mergeCell ref="A105:A110"/>
    <mergeCell ref="B109:B110"/>
    <mergeCell ref="C109:C110"/>
    <mergeCell ref="D109:D110"/>
    <mergeCell ref="A111:A116"/>
    <mergeCell ref="B115:B116"/>
    <mergeCell ref="A24:B25"/>
    <mergeCell ref="A26:A28"/>
    <mergeCell ref="A29:A30"/>
    <mergeCell ref="D29:D30"/>
    <mergeCell ref="A35:A40"/>
    <mergeCell ref="D35:D40"/>
    <mergeCell ref="D41:D42"/>
    <mergeCell ref="A41:A42"/>
    <mergeCell ref="A44:B45"/>
    <mergeCell ref="A46:A47"/>
    <mergeCell ref="D46:D47"/>
    <mergeCell ref="A48:A49"/>
    <mergeCell ref="D48:D49"/>
    <mergeCell ref="D50:D52"/>
    <mergeCell ref="A61:A64"/>
    <mergeCell ref="C61:C62"/>
    <mergeCell ref="E61:E62"/>
    <mergeCell ref="F61:F62"/>
    <mergeCell ref="G61:G62"/>
    <mergeCell ref="A65:B65"/>
    <mergeCell ref="D66:D67"/>
    <mergeCell ref="D78:D79"/>
    <mergeCell ref="D80:D81"/>
    <mergeCell ref="D82:D83"/>
    <mergeCell ref="D84:D85"/>
    <mergeCell ref="A66:A67"/>
    <mergeCell ref="A68:B68"/>
    <mergeCell ref="A71:B72"/>
    <mergeCell ref="A74:A76"/>
    <mergeCell ref="A77:B77"/>
    <mergeCell ref="A78:A79"/>
    <mergeCell ref="A80:A81"/>
    <mergeCell ref="A82:A83"/>
    <mergeCell ref="A84:A85"/>
    <mergeCell ref="A87:B88"/>
    <mergeCell ref="A89:A91"/>
    <mergeCell ref="A92:A93"/>
    <mergeCell ref="A95:B96"/>
    <mergeCell ref="A97:A101"/>
    <mergeCell ref="A127:A128"/>
    <mergeCell ref="A131:A136"/>
    <mergeCell ref="A137:A140"/>
    <mergeCell ref="A141:A144"/>
    <mergeCell ref="A117:A123"/>
    <mergeCell ref="B122:B123"/>
    <mergeCell ref="C122:C123"/>
    <mergeCell ref="D122:D123"/>
    <mergeCell ref="A125:B125"/>
    <mergeCell ref="A126:B126"/>
    <mergeCell ref="A130:B130"/>
  </mergeCells>
  <conditionalFormatting sqref="K1:K15 K17:K120">
    <cfRule type="containsText" dxfId="0" priority="1" operator="containsText" text="361">
      <formula>NOT(ISERROR(SEARCH(("361"),(K1))))</formula>
    </cfRule>
  </conditionalFormatting>
  <conditionalFormatting sqref="K1:K15 K17:K120">
    <cfRule type="containsText" dxfId="1" priority="2" operator="containsText" text="363">
      <formula>NOT(ISERROR(SEARCH(("363"),(K1))))</formula>
    </cfRule>
  </conditionalFormatting>
  <conditionalFormatting sqref="K1:K15 K17:K120">
    <cfRule type="containsText" dxfId="1" priority="3" operator="containsText" text="365">
      <formula>NOT(ISERROR(SEARCH(("365"),(K1))))</formula>
    </cfRule>
  </conditionalFormatting>
  <conditionalFormatting sqref="K1:K15 K17:K120">
    <cfRule type="containsText" dxfId="1" priority="4" operator="containsText" text="366">
      <formula>NOT(ISERROR(SEARCH(("366"),(K1))))</formula>
    </cfRule>
  </conditionalFormatting>
  <conditionalFormatting sqref="K1:K15 K17:K120">
    <cfRule type="containsText" dxfId="1" priority="5" operator="containsText" text="367">
      <formula>NOT(ISERROR(SEARCH(("367"),(K1))))</formula>
    </cfRule>
  </conditionalFormatting>
  <conditionalFormatting sqref="P78:P85">
    <cfRule type="cellIs" dxfId="2" priority="6" operator="equal">
      <formula>"敵のみ"</formula>
    </cfRule>
  </conditionalFormatting>
  <conditionalFormatting sqref="C78:C85">
    <cfRule type="cellIs" dxfId="3" priority="7" operator="equal">
      <formula>"-"</formula>
    </cfRule>
  </conditionalFormatting>
  <conditionalFormatting sqref="O1:O144 G59 K62:N64 P62:T64 C63:C64 E63:G64 C69 E69:G69 K69:N69 P69:T69 C80 E80:F80 K80:N80 P80:Q80 P85">
    <cfRule type="cellIs" dxfId="4" priority="8" operator="greaterThan">
      <formula>0</formula>
    </cfRule>
  </conditionalFormatting>
  <conditionalFormatting sqref="P1:Q144">
    <cfRule type="cellIs" dxfId="5" priority="9" operator="lessThan">
      <formula>1</formula>
    </cfRule>
  </conditionalFormatting>
  <conditionalFormatting sqref="P1:Q144">
    <cfRule type="cellIs" dxfId="4" priority="10" operator="greaterThan">
      <formula>1</formula>
    </cfRule>
  </conditionalFormatting>
  <conditionalFormatting sqref="N25:N85">
    <cfRule type="cellIs" dxfId="6" priority="11" operator="greaterThan">
      <formula>0</formula>
    </cfRule>
  </conditionalFormatting>
  <conditionalFormatting sqref="N1:N15 N17:N144">
    <cfRule type="containsText" dxfId="6" priority="12" operator="containsText" text="/">
      <formula>NOT(ISERROR(SEARCH(("/"),(N1))))</formula>
    </cfRule>
  </conditionalFormatting>
  <drawing r:id="rId2"/>
  <legacyDrawing r:id="rId3"/>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5B1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710">
        <v>34.0</v>
      </c>
      <c r="B1" s="1711"/>
      <c r="C1" s="1712" t="str">
        <f>IMAGE(VLOOKUP($A$1,Fighters!A2:AI114,12,FALSE),1)</f>
        <v>#REF!</v>
      </c>
      <c r="D1" s="1713"/>
      <c r="E1" s="1713"/>
      <c r="F1" s="1713"/>
      <c r="G1" s="1714"/>
      <c r="H1" s="1715"/>
      <c r="I1" s="1713"/>
      <c r="J1" s="1714"/>
      <c r="K1" s="1716"/>
      <c r="L1" s="1713"/>
      <c r="M1" s="1714"/>
      <c r="N1" s="1717"/>
      <c r="O1" s="1717"/>
      <c r="P1" s="1717"/>
      <c r="Q1" s="1717"/>
      <c r="R1" s="1718"/>
      <c r="S1" s="1718"/>
      <c r="T1" s="1718"/>
      <c r="U1" s="1718"/>
      <c r="V1" s="1718"/>
    </row>
    <row r="2">
      <c r="A2" s="1719" t="str">
        <f>VLOOKUP($A$1,Fighters!$A$2:$AI$81,6,FALSE)</f>
        <v>#215b18</v>
      </c>
      <c r="B2" s="1711"/>
      <c r="C2" s="1720"/>
      <c r="G2" s="1721"/>
      <c r="H2" s="1722"/>
      <c r="I2" s="1723"/>
      <c r="J2" s="1724"/>
      <c r="K2" s="1722"/>
      <c r="L2" s="1723"/>
      <c r="M2" s="1724"/>
      <c r="N2" s="1717"/>
      <c r="O2" s="1717"/>
      <c r="P2" s="1717"/>
      <c r="Q2" s="1717"/>
      <c r="R2" s="1718"/>
      <c r="S2" s="1718"/>
      <c r="T2" s="1718"/>
      <c r="U2" s="1718"/>
      <c r="V2" s="1718"/>
    </row>
    <row r="3">
      <c r="A3" s="1719" t="str">
        <f>VLOOKUP($A$1,Fighters!$A$2:$AI$81,14,FALSE)</f>
        <v>34. フシギソウ</v>
      </c>
      <c r="B3" s="1711"/>
      <c r="C3" s="1720"/>
      <c r="G3" s="1721"/>
      <c r="H3" s="1725"/>
      <c r="I3" s="1725"/>
      <c r="J3" s="1725"/>
      <c r="K3" s="1726"/>
      <c r="L3" s="1726"/>
      <c r="M3" s="1726"/>
      <c r="N3" s="1717"/>
      <c r="O3" s="1717"/>
      <c r="P3" s="1717"/>
      <c r="Q3" s="1717"/>
      <c r="R3" s="1727"/>
      <c r="S3" s="1718"/>
      <c r="T3" s="1718"/>
      <c r="U3" s="1718"/>
      <c r="V3" s="1718"/>
    </row>
    <row r="4">
      <c r="A4" s="1719" t="str">
        <f>VLOOKUP($A$1,Fighters!$A$2:$AI$81,13,FALSE)</f>
        <v>0</v>
      </c>
      <c r="B4" s="1711"/>
      <c r="C4" s="1720"/>
      <c r="G4" s="1721"/>
      <c r="H4" s="1728"/>
      <c r="I4" s="1728"/>
      <c r="J4" s="1725"/>
      <c r="K4" s="1726"/>
      <c r="L4" s="1726"/>
      <c r="M4" s="1726"/>
      <c r="N4" s="1717"/>
      <c r="O4" s="1717"/>
      <c r="P4" s="1717"/>
      <c r="Q4" s="1717"/>
      <c r="R4" s="1727"/>
      <c r="S4" s="1718"/>
      <c r="T4" s="1718"/>
      <c r="U4" s="1718"/>
      <c r="V4" s="1718"/>
    </row>
    <row r="5" ht="16.5" customHeight="1">
      <c r="A5" s="1710"/>
      <c r="B5" s="1711"/>
      <c r="C5" s="1720"/>
      <c r="G5" s="1721"/>
      <c r="H5" s="1729"/>
      <c r="I5" s="1729"/>
      <c r="J5" s="1730"/>
      <c r="K5" s="1731"/>
      <c r="L5" s="1732"/>
      <c r="M5" s="1732"/>
      <c r="N5" s="1717"/>
      <c r="O5" s="1717"/>
      <c r="P5" s="1717"/>
      <c r="Q5" s="1717"/>
      <c r="R5" s="1727"/>
      <c r="S5" s="1718"/>
      <c r="T5" s="1718"/>
      <c r="U5" s="1718"/>
      <c r="V5" s="1718"/>
    </row>
    <row r="6">
      <c r="A6" s="1711"/>
      <c r="B6" s="1711"/>
      <c r="C6" s="1720"/>
      <c r="G6" s="1721"/>
      <c r="H6" s="1728"/>
      <c r="I6" s="1733" t="s">
        <v>39</v>
      </c>
      <c r="J6" s="1731"/>
      <c r="K6" s="1734"/>
      <c r="L6" s="1732"/>
      <c r="M6" s="1732"/>
      <c r="N6" s="1717"/>
      <c r="O6" s="1717"/>
      <c r="P6" s="1717"/>
      <c r="Q6" s="1717"/>
      <c r="R6" s="1727"/>
      <c r="S6" s="1718"/>
      <c r="T6" s="1718"/>
      <c r="U6" s="1718"/>
      <c r="V6" s="1718"/>
    </row>
    <row r="7">
      <c r="A7" s="1711"/>
      <c r="B7" s="1711"/>
      <c r="C7" s="1720"/>
      <c r="G7" s="1721"/>
      <c r="H7" s="1729"/>
      <c r="I7" s="1729"/>
      <c r="J7" s="1731"/>
      <c r="K7" s="1734"/>
      <c r="L7" s="1732"/>
      <c r="M7" s="1732"/>
      <c r="N7" s="1717"/>
      <c r="O7" s="1717"/>
      <c r="P7" s="1717"/>
      <c r="Q7" s="1717"/>
      <c r="R7" s="1727"/>
      <c r="S7" s="1718"/>
      <c r="T7" s="1718"/>
      <c r="U7" s="1718"/>
      <c r="V7" s="1718"/>
    </row>
    <row r="8">
      <c r="A8" s="1711"/>
      <c r="B8" s="1711"/>
      <c r="C8" s="1720"/>
      <c r="G8" s="1721"/>
      <c r="H8" s="1735">
        <v>44379.84434924768</v>
      </c>
      <c r="I8" s="1713"/>
      <c r="J8" s="1714"/>
      <c r="K8" s="1731"/>
      <c r="L8" s="1732"/>
      <c r="M8" s="1732"/>
      <c r="N8" s="1717"/>
      <c r="O8" s="1717"/>
      <c r="P8" s="1717"/>
      <c r="Q8" s="1717"/>
      <c r="R8" s="1727"/>
      <c r="S8" s="1718"/>
      <c r="T8" s="1718"/>
      <c r="U8" s="1718"/>
      <c r="V8" s="1718"/>
    </row>
    <row r="9">
      <c r="A9" s="1711"/>
      <c r="B9" s="1711"/>
      <c r="C9" s="1720"/>
      <c r="G9" s="1721"/>
      <c r="H9" s="1722"/>
      <c r="I9" s="1723"/>
      <c r="J9" s="1724"/>
      <c r="K9" s="1718"/>
      <c r="L9" s="1717"/>
      <c r="M9" s="1717"/>
      <c r="N9" s="1717"/>
      <c r="O9" s="1717"/>
      <c r="P9" s="1717"/>
      <c r="Q9" s="1717"/>
      <c r="R9" s="1727"/>
      <c r="S9" s="1718"/>
      <c r="T9" s="1718"/>
      <c r="U9" s="1718"/>
      <c r="V9" s="1718"/>
    </row>
    <row r="10">
      <c r="A10" s="1711"/>
      <c r="B10" s="1711"/>
      <c r="C10" s="1720"/>
      <c r="G10" s="1721"/>
      <c r="H10" s="1736"/>
      <c r="I10" s="1736"/>
      <c r="J10" s="1718"/>
      <c r="K10" s="1718"/>
      <c r="L10" s="1717"/>
      <c r="M10" s="1717"/>
      <c r="N10" s="1717"/>
      <c r="O10" s="1717"/>
      <c r="P10" s="1717"/>
      <c r="Q10" s="1717"/>
      <c r="R10" s="1727"/>
      <c r="S10" s="1718"/>
      <c r="T10" s="1718"/>
      <c r="U10" s="1718"/>
      <c r="V10" s="1718"/>
    </row>
    <row r="11">
      <c r="A11" s="1737" t="s">
        <v>40</v>
      </c>
      <c r="B11" s="1714"/>
      <c r="C11" s="1720"/>
      <c r="G11" s="1721"/>
      <c r="H11" s="1729"/>
      <c r="I11" s="1729"/>
      <c r="J11" s="1718"/>
      <c r="K11" s="1718"/>
      <c r="L11" s="1717"/>
      <c r="M11" s="1717"/>
      <c r="N11" s="1717"/>
      <c r="O11" s="1717"/>
      <c r="P11" s="1717"/>
      <c r="Q11" s="1717"/>
      <c r="R11" s="1727"/>
      <c r="S11" s="1718"/>
      <c r="T11" s="1718"/>
      <c r="U11" s="1718"/>
      <c r="V11" s="1718"/>
    </row>
    <row r="12">
      <c r="A12" s="1722"/>
      <c r="B12" s="1724"/>
      <c r="C12" s="1722"/>
      <c r="D12" s="1723"/>
      <c r="E12" s="1723"/>
      <c r="F12" s="1723"/>
      <c r="G12" s="1724"/>
      <c r="H12" s="1738"/>
      <c r="I12" s="1738"/>
      <c r="J12" s="1711"/>
      <c r="K12" s="1711"/>
      <c r="L12" s="1717"/>
      <c r="M12" s="1717"/>
      <c r="N12" s="1717"/>
      <c r="O12" s="1717"/>
      <c r="P12" s="1717"/>
      <c r="Q12" s="1717"/>
      <c r="R12" s="1727"/>
      <c r="S12" s="1718"/>
      <c r="T12" s="1718"/>
      <c r="U12" s="1718"/>
      <c r="V12" s="171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96 [40th]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39F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1.903 [45th]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1.103 [46th]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54F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0.143 [51st]</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32.25 [49th]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1.595 [60th]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27F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0.121 [17th]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15.58 [52nd]</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0.998 [60th]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38F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0.095 [16th]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32.25 [54th]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1.38 [68th]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0.014 [30th]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2.208 [68th]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0.082 [62nd]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319</v>
      </c>
      <c r="D26" s="701" t="s">
        <v>105</v>
      </c>
      <c r="E26" s="139" t="s">
        <v>176</v>
      </c>
      <c r="F26" s="138">
        <v>2.4</v>
      </c>
      <c r="G26" s="139" t="s">
        <v>60</v>
      </c>
      <c r="H26" s="151" t="s">
        <v>1373</v>
      </c>
      <c r="I26" s="110"/>
      <c r="J26" s="109"/>
      <c r="K26" s="138"/>
      <c r="L26" s="282"/>
      <c r="M26" s="363"/>
      <c r="N26" s="363"/>
      <c r="O26" s="145">
        <v>0.0</v>
      </c>
      <c r="P26" s="145">
        <v>1.0</v>
      </c>
      <c r="Q26" s="145">
        <v>1.0</v>
      </c>
      <c r="R26" s="100"/>
      <c r="S26" s="100"/>
      <c r="T26" s="100"/>
      <c r="U26" s="145" t="s">
        <v>62</v>
      </c>
      <c r="V26" s="100"/>
    </row>
    <row r="27" outlineLevel="1">
      <c r="A27" s="146"/>
      <c r="B27" s="147" t="s">
        <v>63</v>
      </c>
      <c r="C27" s="467" t="s">
        <v>267</v>
      </c>
      <c r="D27" s="467" t="s">
        <v>2610</v>
      </c>
      <c r="E27" s="216" t="s">
        <v>176</v>
      </c>
      <c r="F27" s="138">
        <v>2.4</v>
      </c>
      <c r="G27" s="139" t="s">
        <v>60</v>
      </c>
      <c r="H27" s="151" t="s">
        <v>2611</v>
      </c>
      <c r="I27" s="110"/>
      <c r="J27" s="109"/>
      <c r="K27" s="282"/>
      <c r="L27" s="282"/>
      <c r="M27" s="363"/>
      <c r="N27" s="363"/>
      <c r="O27" s="145">
        <v>0.0</v>
      </c>
      <c r="P27" s="145">
        <v>1.0</v>
      </c>
      <c r="Q27" s="145">
        <v>1.0</v>
      </c>
      <c r="R27" s="100"/>
      <c r="S27" s="100"/>
      <c r="T27" s="100"/>
      <c r="U27" s="145" t="s">
        <v>69</v>
      </c>
      <c r="V27" s="100"/>
    </row>
    <row r="28" outlineLevel="1">
      <c r="A28" s="146"/>
      <c r="B28" s="147" t="s">
        <v>703</v>
      </c>
      <c r="C28" s="659"/>
      <c r="D28" s="216" t="s">
        <v>176</v>
      </c>
      <c r="E28" s="659"/>
      <c r="F28" s="658"/>
      <c r="G28" s="659"/>
      <c r="H28" s="151"/>
      <c r="I28" s="110"/>
      <c r="J28" s="109"/>
      <c r="K28" s="261"/>
      <c r="L28" s="261"/>
      <c r="M28" s="261"/>
      <c r="N28" s="261"/>
      <c r="O28" s="261"/>
      <c r="P28" s="261"/>
      <c r="Q28" s="261"/>
      <c r="R28" s="100"/>
      <c r="S28" s="100"/>
      <c r="T28" s="100"/>
      <c r="U28" s="145" t="s">
        <v>76</v>
      </c>
      <c r="V28" s="100"/>
    </row>
    <row r="29" outlineLevel="1">
      <c r="A29" s="146"/>
      <c r="B29" s="147" t="s">
        <v>704</v>
      </c>
      <c r="C29" s="467" t="s">
        <v>2221</v>
      </c>
      <c r="D29" s="467" t="s">
        <v>718</v>
      </c>
      <c r="E29" s="467" t="s">
        <v>1098</v>
      </c>
      <c r="F29" s="138">
        <v>0.6</v>
      </c>
      <c r="G29" s="450" t="s">
        <v>60</v>
      </c>
      <c r="H29" s="151" t="s">
        <v>2612</v>
      </c>
      <c r="I29" s="110"/>
      <c r="J29" s="109"/>
      <c r="K29" s="282"/>
      <c r="L29" s="282"/>
      <c r="M29" s="363"/>
      <c r="N29" s="363"/>
      <c r="O29" s="145">
        <v>0.0</v>
      </c>
      <c r="P29" s="145">
        <v>1.0</v>
      </c>
      <c r="Q29" s="145">
        <v>1.0</v>
      </c>
      <c r="R29" s="100"/>
      <c r="S29" s="100"/>
      <c r="T29" s="100"/>
      <c r="U29" s="145" t="s">
        <v>76</v>
      </c>
      <c r="V29" s="100"/>
    </row>
    <row r="30" outlineLevel="1">
      <c r="A30" s="156"/>
      <c r="B30" s="147" t="s">
        <v>708</v>
      </c>
      <c r="C30" s="467" t="s">
        <v>717</v>
      </c>
      <c r="D30" s="467" t="s">
        <v>118</v>
      </c>
      <c r="E30" s="467" t="s">
        <v>176</v>
      </c>
      <c r="F30" s="138">
        <v>2.4</v>
      </c>
      <c r="G30" s="467" t="s">
        <v>60</v>
      </c>
      <c r="H30" s="151"/>
      <c r="I30" s="110"/>
      <c r="J30" s="109"/>
      <c r="K30" s="282"/>
      <c r="L30" s="282"/>
      <c r="M30" s="363"/>
      <c r="N30" s="363"/>
      <c r="O30" s="145">
        <v>0.0</v>
      </c>
      <c r="P30" s="145">
        <v>1.0</v>
      </c>
      <c r="Q30" s="145">
        <v>1.0</v>
      </c>
      <c r="R30" s="100"/>
      <c r="S30" s="100"/>
      <c r="T30" s="100"/>
      <c r="U30" s="145" t="s">
        <v>76</v>
      </c>
      <c r="V30" s="100"/>
    </row>
    <row r="31" outlineLevel="1">
      <c r="A31" s="133" t="s">
        <v>77</v>
      </c>
      <c r="B31" s="160"/>
      <c r="C31" s="467" t="s">
        <v>2613</v>
      </c>
      <c r="D31" s="455" t="s">
        <v>127</v>
      </c>
      <c r="E31" s="467" t="s">
        <v>129</v>
      </c>
      <c r="F31" s="138">
        <v>14.399999999999999</v>
      </c>
      <c r="G31" s="139" t="s">
        <v>88</v>
      </c>
      <c r="H31" s="163"/>
      <c r="I31" s="164"/>
      <c r="J31" s="104"/>
      <c r="K31" s="138"/>
      <c r="L31" s="282"/>
      <c r="M31" s="363"/>
      <c r="N31" s="363"/>
      <c r="O31" s="145">
        <v>0.0</v>
      </c>
      <c r="P31" s="145">
        <v>1.0</v>
      </c>
      <c r="Q31" s="145">
        <v>1.0</v>
      </c>
      <c r="R31" s="100"/>
      <c r="S31" s="100"/>
      <c r="T31" s="100"/>
      <c r="U31" s="166" t="s">
        <v>69</v>
      </c>
      <c r="V31" s="100"/>
    </row>
    <row r="32" outlineLevel="1">
      <c r="A32" s="156"/>
      <c r="B32" s="147" t="s">
        <v>84</v>
      </c>
      <c r="C32" s="467" t="s">
        <v>735</v>
      </c>
      <c r="D32" s="107"/>
      <c r="E32" s="467" t="s">
        <v>128</v>
      </c>
      <c r="F32" s="138">
        <v>12.0</v>
      </c>
      <c r="G32" s="139" t="s">
        <v>121</v>
      </c>
      <c r="H32" s="106"/>
      <c r="I32" s="168"/>
      <c r="J32" s="107"/>
      <c r="K32" s="282"/>
      <c r="L32" s="282"/>
      <c r="M32" s="363"/>
      <c r="N32" s="363"/>
      <c r="O32" s="145">
        <v>0.0</v>
      </c>
      <c r="P32" s="145">
        <v>1.0</v>
      </c>
      <c r="Q32" s="145">
        <v>1.0</v>
      </c>
      <c r="R32" s="100"/>
      <c r="S32" s="100"/>
      <c r="T32" s="100"/>
      <c r="U32" s="156"/>
      <c r="V32" s="100"/>
    </row>
    <row r="33" outlineLevel="1">
      <c r="A33" s="133" t="s">
        <v>89</v>
      </c>
      <c r="B33" s="147" t="s">
        <v>655</v>
      </c>
      <c r="C33" s="467" t="s">
        <v>2614</v>
      </c>
      <c r="D33" s="455" t="s">
        <v>146</v>
      </c>
      <c r="E33" s="467" t="s">
        <v>1024</v>
      </c>
      <c r="F33" s="138">
        <v>1.7999999999999998</v>
      </c>
      <c r="G33" s="139" t="s">
        <v>60</v>
      </c>
      <c r="H33" s="163"/>
      <c r="I33" s="164"/>
      <c r="J33" s="104"/>
      <c r="K33" s="138"/>
      <c r="L33" s="282"/>
      <c r="M33" s="363"/>
      <c r="N33" s="363"/>
      <c r="O33" s="145">
        <v>0.0</v>
      </c>
      <c r="P33" s="145">
        <v>1.0</v>
      </c>
      <c r="Q33" s="145">
        <v>1.0</v>
      </c>
      <c r="R33" s="100"/>
      <c r="S33" s="100"/>
      <c r="T33" s="100"/>
      <c r="U33" s="166" t="s">
        <v>96</v>
      </c>
      <c r="V33" s="100"/>
    </row>
    <row r="34" outlineLevel="1">
      <c r="A34" s="156"/>
      <c r="B34" s="147" t="s">
        <v>365</v>
      </c>
      <c r="C34" s="467" t="s">
        <v>1114</v>
      </c>
      <c r="D34" s="107"/>
      <c r="E34" s="467" t="s">
        <v>176</v>
      </c>
      <c r="F34" s="138">
        <v>2.4</v>
      </c>
      <c r="G34" s="139" t="s">
        <v>60</v>
      </c>
      <c r="H34" s="106"/>
      <c r="I34" s="168"/>
      <c r="J34" s="107"/>
      <c r="K34" s="138"/>
      <c r="L34" s="282"/>
      <c r="M34" s="363"/>
      <c r="N34" s="363"/>
      <c r="O34" s="145">
        <v>0.0</v>
      </c>
      <c r="P34" s="145">
        <v>1.0</v>
      </c>
      <c r="Q34" s="145">
        <v>1.0</v>
      </c>
      <c r="R34" s="100"/>
      <c r="S34" s="100"/>
      <c r="T34" s="100"/>
      <c r="U34" s="156"/>
      <c r="V34" s="100"/>
    </row>
    <row r="35" outlineLevel="1">
      <c r="A35" s="170" t="s">
        <v>97</v>
      </c>
      <c r="B35" s="160"/>
      <c r="C35" s="467" t="s">
        <v>890</v>
      </c>
      <c r="D35" s="467" t="s">
        <v>964</v>
      </c>
      <c r="E35" s="467" t="s">
        <v>93</v>
      </c>
      <c r="F35" s="138">
        <v>8.4</v>
      </c>
      <c r="G35" s="139" t="s">
        <v>95</v>
      </c>
      <c r="H35" s="151"/>
      <c r="I35" s="110"/>
      <c r="J35" s="109"/>
      <c r="K35" s="282"/>
      <c r="L35" s="282"/>
      <c r="M35" s="363"/>
      <c r="N35" s="363"/>
      <c r="O35" s="145">
        <v>0.0</v>
      </c>
      <c r="P35" s="145">
        <v>1.0</v>
      </c>
      <c r="Q35" s="145">
        <v>1.0</v>
      </c>
      <c r="R35" s="100"/>
      <c r="S35" s="100"/>
      <c r="T35" s="100"/>
      <c r="U35" s="145" t="s">
        <v>62</v>
      </c>
      <c r="V35" s="100"/>
    </row>
    <row r="36" outlineLevel="1">
      <c r="A36" s="170" t="s">
        <v>103</v>
      </c>
      <c r="B36" s="160"/>
      <c r="C36" s="467" t="s">
        <v>270</v>
      </c>
      <c r="D36" s="467" t="s">
        <v>271</v>
      </c>
      <c r="E36" s="467" t="s">
        <v>100</v>
      </c>
      <c r="F36" s="138">
        <v>6.6</v>
      </c>
      <c r="G36" s="139" t="s">
        <v>102</v>
      </c>
      <c r="H36" s="151"/>
      <c r="I36" s="110"/>
      <c r="J36" s="109"/>
      <c r="K36" s="145"/>
      <c r="L36" s="363"/>
      <c r="M36" s="363"/>
      <c r="N36" s="363"/>
      <c r="O36" s="145">
        <v>0.0</v>
      </c>
      <c r="P36" s="145">
        <v>1.0</v>
      </c>
      <c r="Q36" s="145">
        <v>1.0</v>
      </c>
      <c r="R36" s="100"/>
      <c r="S36" s="100"/>
      <c r="T36" s="100"/>
      <c r="U36" s="145" t="s">
        <v>62</v>
      </c>
      <c r="V36" s="100"/>
    </row>
    <row r="37" outlineLevel="1">
      <c r="A37" s="133" t="s">
        <v>109</v>
      </c>
      <c r="B37" s="147" t="s">
        <v>90</v>
      </c>
      <c r="C37" s="467" t="s">
        <v>548</v>
      </c>
      <c r="D37" s="455" t="s">
        <v>462</v>
      </c>
      <c r="E37" s="467" t="s">
        <v>153</v>
      </c>
      <c r="F37" s="138">
        <v>19.2</v>
      </c>
      <c r="G37" s="139" t="s">
        <v>88</v>
      </c>
      <c r="H37" s="163" t="s">
        <v>2615</v>
      </c>
      <c r="I37" s="164"/>
      <c r="J37" s="104"/>
      <c r="K37" s="282"/>
      <c r="L37" s="282"/>
      <c r="M37" s="363"/>
      <c r="N37" s="363"/>
      <c r="O37" s="145">
        <v>0.0</v>
      </c>
      <c r="P37" s="145">
        <v>1.0</v>
      </c>
      <c r="Q37" s="145">
        <v>1.0</v>
      </c>
      <c r="R37" s="100"/>
      <c r="S37" s="100"/>
      <c r="T37" s="100"/>
      <c r="U37" s="166" t="s">
        <v>88</v>
      </c>
      <c r="V37" s="100"/>
    </row>
    <row r="38" outlineLevel="1">
      <c r="A38" s="156"/>
      <c r="B38" s="147" t="s">
        <v>722</v>
      </c>
      <c r="C38" s="467" t="s">
        <v>334</v>
      </c>
      <c r="D38" s="107"/>
      <c r="E38" s="467" t="s">
        <v>119</v>
      </c>
      <c r="F38" s="138">
        <v>16.8</v>
      </c>
      <c r="G38" s="139" t="s">
        <v>121</v>
      </c>
      <c r="H38" s="106"/>
      <c r="I38" s="168"/>
      <c r="J38" s="107"/>
      <c r="K38" s="282"/>
      <c r="L38" s="282"/>
      <c r="M38" s="363"/>
      <c r="N38" s="363"/>
      <c r="O38" s="145"/>
      <c r="P38" s="145"/>
      <c r="Q38" s="145"/>
      <c r="R38" s="100"/>
      <c r="S38" s="100"/>
      <c r="T38" s="100"/>
      <c r="U38" s="156"/>
      <c r="V38" s="100"/>
    </row>
    <row r="39" outlineLevel="1">
      <c r="A39" s="170" t="s">
        <v>116</v>
      </c>
      <c r="B39" s="160"/>
      <c r="C39" s="467" t="s">
        <v>1100</v>
      </c>
      <c r="D39" s="467" t="s">
        <v>462</v>
      </c>
      <c r="E39" s="467" t="s">
        <v>394</v>
      </c>
      <c r="F39" s="138">
        <v>20.4</v>
      </c>
      <c r="G39" s="139" t="s">
        <v>88</v>
      </c>
      <c r="H39" s="151" t="s">
        <v>2616</v>
      </c>
      <c r="I39" s="110"/>
      <c r="J39" s="109"/>
      <c r="K39" s="363"/>
      <c r="L39" s="363"/>
      <c r="M39" s="363"/>
      <c r="N39" s="363"/>
      <c r="O39" s="145">
        <v>0.0</v>
      </c>
      <c r="P39" s="145">
        <v>1.0</v>
      </c>
      <c r="Q39" s="145">
        <v>1.0</v>
      </c>
      <c r="R39" s="100"/>
      <c r="S39" s="100"/>
      <c r="T39" s="100"/>
      <c r="U39" s="145" t="s">
        <v>62</v>
      </c>
      <c r="V39" s="100"/>
    </row>
    <row r="40" outlineLevel="1">
      <c r="A40" s="170" t="s">
        <v>124</v>
      </c>
      <c r="B40" s="147"/>
      <c r="C40" s="216" t="s">
        <v>305</v>
      </c>
      <c r="D40" s="467" t="s">
        <v>146</v>
      </c>
      <c r="E40" s="467" t="s">
        <v>2617</v>
      </c>
      <c r="F40" s="138" t="s">
        <v>2618</v>
      </c>
      <c r="G40" s="139" t="s">
        <v>2619</v>
      </c>
      <c r="H40" s="151" t="s">
        <v>2620</v>
      </c>
      <c r="I40" s="110"/>
      <c r="J40" s="109"/>
      <c r="K40" s="282"/>
      <c r="L40" s="282"/>
      <c r="M40" s="363"/>
      <c r="N40" s="363"/>
      <c r="O40" s="145">
        <v>0.0</v>
      </c>
      <c r="P40" s="145">
        <v>1.0</v>
      </c>
      <c r="Q40" s="145">
        <v>1.0</v>
      </c>
      <c r="R40" s="100"/>
      <c r="S40" s="100"/>
      <c r="T40" s="100"/>
      <c r="U40" s="145" t="s">
        <v>62</v>
      </c>
      <c r="V40" s="100"/>
    </row>
    <row r="41">
      <c r="A41" s="118"/>
      <c r="B41" s="176"/>
      <c r="C41" s="118"/>
      <c r="D41" s="118"/>
      <c r="E41" s="118"/>
      <c r="F41" s="177"/>
      <c r="G41" s="177"/>
      <c r="H41" s="118"/>
      <c r="I41" s="118"/>
      <c r="J41" s="118"/>
      <c r="K41" s="118"/>
      <c r="L41" s="118"/>
      <c r="M41" s="118"/>
      <c r="N41" s="118"/>
      <c r="O41" s="118"/>
      <c r="P41" s="118"/>
      <c r="Q41" s="118"/>
      <c r="R41" s="118"/>
      <c r="S41" s="118"/>
      <c r="T41" s="118"/>
      <c r="U41" s="118"/>
      <c r="V41" s="118"/>
    </row>
    <row r="42">
      <c r="A42" s="178" t="s">
        <v>133</v>
      </c>
      <c r="B42" s="104"/>
      <c r="C42" s="179"/>
      <c r="D42" s="179"/>
      <c r="E42" s="179"/>
      <c r="F42" s="180"/>
      <c r="G42" s="179"/>
      <c r="H42" s="180"/>
      <c r="I42" s="180"/>
      <c r="J42" s="181"/>
      <c r="K42" s="180"/>
      <c r="L42" s="180"/>
      <c r="M42" s="180"/>
      <c r="N42" s="180"/>
      <c r="O42" s="180"/>
      <c r="P42" s="180"/>
      <c r="Q42" s="180"/>
      <c r="R42" s="180"/>
      <c r="S42" s="180"/>
      <c r="T42" s="180"/>
      <c r="U42" s="180"/>
      <c r="V42" s="180"/>
    </row>
    <row r="43" outlineLevel="1">
      <c r="A43" s="106"/>
      <c r="B43" s="107"/>
      <c r="C43" s="182" t="s">
        <v>48</v>
      </c>
      <c r="D43" s="183" t="s">
        <v>49</v>
      </c>
      <c r="E43" s="182" t="s">
        <v>50</v>
      </c>
      <c r="F43" s="184" t="s">
        <v>51</v>
      </c>
      <c r="G43" s="184" t="s">
        <v>134</v>
      </c>
      <c r="H43" s="185" t="s">
        <v>52</v>
      </c>
      <c r="I43" s="184" t="str">
        <f>'テンプレート'!I56</f>
        <v>着地隙</v>
      </c>
      <c r="J43" s="184" t="s">
        <v>136</v>
      </c>
      <c r="K43" s="184" t="str">
        <f>'テンプレート'!K56</f>
        <v>ベクトル</v>
      </c>
      <c r="L43" s="184" t="str">
        <f>'テンプレート'!L56</f>
        <v>KBG (R.E.)</v>
      </c>
      <c r="M43" s="184" t="str">
        <f>'テンプレート'!M56</f>
        <v>BKB (R.A.)</v>
      </c>
      <c r="N43" s="184" t="str">
        <f>'テンプレート'!N56</f>
        <v>FKB (R.F.)</v>
      </c>
      <c r="O43" s="186" t="str">
        <f>'テンプレート'!O56</f>
        <v>盾削り値</v>
      </c>
      <c r="P43" s="184" t="str">
        <f>'テンプレート'!P56</f>
        <v>ﾋｯﾄｽﾄｯﾌﾟ</v>
      </c>
      <c r="Q43" s="186" t="str">
        <f>'テンプレート'!Q56</f>
        <v>ずらし</v>
      </c>
      <c r="R43" s="187" t="str">
        <f>'テンプレート'!R56</f>
        <v>備考</v>
      </c>
      <c r="S43" s="110"/>
      <c r="T43" s="110"/>
      <c r="U43" s="110"/>
      <c r="V43" s="110"/>
    </row>
    <row r="44" outlineLevel="1">
      <c r="A44" s="188" t="s">
        <v>144</v>
      </c>
      <c r="B44" s="373" t="s">
        <v>199</v>
      </c>
      <c r="C44" s="239" t="s">
        <v>2621</v>
      </c>
      <c r="D44" s="455" t="s">
        <v>384</v>
      </c>
      <c r="E44" s="401" t="s">
        <v>213</v>
      </c>
      <c r="F44" s="193">
        <v>1.2</v>
      </c>
      <c r="G44" s="193">
        <v>1.02</v>
      </c>
      <c r="H44" s="138" t="s">
        <v>170</v>
      </c>
      <c r="I44" s="452" t="str">
        <f t="array" ref="I44">INDEX('空中攻撃'!$O$3:$AB$109, MATCH($A$1,'空中攻撃'!$A$3:$A$109,0), MATCH(A44,'空中攻撃'!$O$2:$S$2,0))</f>
        <v>16</v>
      </c>
      <c r="J44" s="455" t="s">
        <v>1311</v>
      </c>
      <c r="K44" s="138"/>
      <c r="L44" s="282"/>
      <c r="M44" s="363"/>
      <c r="N44" s="363"/>
      <c r="O44" s="145">
        <v>0.0</v>
      </c>
      <c r="P44" s="145">
        <v>1.0</v>
      </c>
      <c r="Q44" s="145">
        <v>1.0</v>
      </c>
      <c r="R44" s="163"/>
      <c r="S44" s="164"/>
      <c r="T44" s="164"/>
      <c r="U44" s="164"/>
      <c r="V44" s="104"/>
    </row>
    <row r="45" outlineLevel="1">
      <c r="A45" s="156"/>
      <c r="B45" s="373" t="s">
        <v>202</v>
      </c>
      <c r="C45" s="239" t="s">
        <v>784</v>
      </c>
      <c r="D45" s="107"/>
      <c r="E45" s="239" t="s">
        <v>176</v>
      </c>
      <c r="F45" s="138">
        <v>2.4</v>
      </c>
      <c r="G45" s="138">
        <v>2.04</v>
      </c>
      <c r="H45" s="138" t="s">
        <v>170</v>
      </c>
      <c r="I45" s="107"/>
      <c r="J45" s="107"/>
      <c r="K45" s="138"/>
      <c r="L45" s="282"/>
      <c r="M45" s="363"/>
      <c r="N45" s="363"/>
      <c r="O45" s="145">
        <v>0.0</v>
      </c>
      <c r="P45" s="145">
        <v>1.0</v>
      </c>
      <c r="Q45" s="145">
        <v>1.0</v>
      </c>
      <c r="R45" s="106"/>
      <c r="S45" s="168"/>
      <c r="T45" s="168"/>
      <c r="U45" s="168"/>
      <c r="V45" s="107"/>
    </row>
    <row r="46" outlineLevel="1">
      <c r="A46" s="213" t="s">
        <v>151</v>
      </c>
      <c r="B46" s="373"/>
      <c r="C46" s="239" t="s">
        <v>544</v>
      </c>
      <c r="D46" s="467" t="s">
        <v>541</v>
      </c>
      <c r="E46" s="239" t="s">
        <v>129</v>
      </c>
      <c r="F46" s="138">
        <v>14.399999999999999</v>
      </c>
      <c r="G46" s="138">
        <v>12.24</v>
      </c>
      <c r="H46" s="138" t="s">
        <v>75</v>
      </c>
      <c r="I46" s="774" t="str">
        <f t="array" ref="I46">INDEX('空中攻撃'!$O$3:$AB$109, MATCH($A$1,'空中攻撃'!$A$3:$A$109,0), MATCH(A46,'空中攻撃'!$O$2:$S$2,0))</f>
        <v>13</v>
      </c>
      <c r="J46" s="467" t="s">
        <v>148</v>
      </c>
      <c r="K46" s="138"/>
      <c r="L46" s="282"/>
      <c r="M46" s="363"/>
      <c r="N46" s="363"/>
      <c r="O46" s="145">
        <v>0.0</v>
      </c>
      <c r="P46" s="145">
        <v>1.0</v>
      </c>
      <c r="Q46" s="145">
        <v>1.0</v>
      </c>
      <c r="R46" s="151"/>
      <c r="S46" s="110"/>
      <c r="T46" s="110"/>
      <c r="U46" s="110"/>
      <c r="V46" s="109"/>
    </row>
    <row r="47" outlineLevel="1">
      <c r="A47" s="188" t="s">
        <v>157</v>
      </c>
      <c r="B47" s="373" t="s">
        <v>125</v>
      </c>
      <c r="C47" s="239" t="s">
        <v>277</v>
      </c>
      <c r="D47" s="455" t="s">
        <v>127</v>
      </c>
      <c r="E47" s="239" t="s">
        <v>204</v>
      </c>
      <c r="F47" s="138">
        <v>3.5999999999999996</v>
      </c>
      <c r="G47" s="138">
        <v>3.06</v>
      </c>
      <c r="H47" s="138" t="s">
        <v>170</v>
      </c>
      <c r="I47" s="452">
        <f t="array" ref="I47">INDEX('空中攻撃'!$O$3:$AB$109, MATCH($A$1,'空中攻撃'!$A$3:$A$109,0), MATCH(A47,'空中攻撃'!$O$2:$S$2,0))</f>
        <v>7</v>
      </c>
      <c r="J47" s="455" t="s">
        <v>2622</v>
      </c>
      <c r="K47" s="138"/>
      <c r="L47" s="282"/>
      <c r="M47" s="363"/>
      <c r="N47" s="363"/>
      <c r="O47" s="145">
        <v>0.0</v>
      </c>
      <c r="P47" s="145">
        <v>1.0</v>
      </c>
      <c r="Q47" s="145">
        <v>1.0</v>
      </c>
      <c r="R47" s="163"/>
      <c r="S47" s="164"/>
      <c r="T47" s="164"/>
      <c r="U47" s="164"/>
      <c r="V47" s="104"/>
    </row>
    <row r="48" outlineLevel="1">
      <c r="A48" s="156"/>
      <c r="B48" s="373" t="s">
        <v>131</v>
      </c>
      <c r="C48" s="239" t="s">
        <v>721</v>
      </c>
      <c r="D48" s="107"/>
      <c r="E48" s="239" t="s">
        <v>86</v>
      </c>
      <c r="F48" s="138">
        <v>7.199999999999999</v>
      </c>
      <c r="G48" s="138">
        <v>6.12</v>
      </c>
      <c r="H48" s="138" t="s">
        <v>60</v>
      </c>
      <c r="I48" s="107"/>
      <c r="J48" s="107"/>
      <c r="K48" s="138"/>
      <c r="L48" s="282"/>
      <c r="M48" s="363"/>
      <c r="N48" s="363"/>
      <c r="O48" s="145">
        <v>0.0</v>
      </c>
      <c r="P48" s="145">
        <v>1.0</v>
      </c>
      <c r="Q48" s="145">
        <v>1.0</v>
      </c>
      <c r="R48" s="106"/>
      <c r="S48" s="168"/>
      <c r="T48" s="168"/>
      <c r="U48" s="168"/>
      <c r="V48" s="107"/>
    </row>
    <row r="49" outlineLevel="1">
      <c r="A49" s="213" t="s">
        <v>162</v>
      </c>
      <c r="B49" s="373"/>
      <c r="C49" s="239" t="s">
        <v>373</v>
      </c>
      <c r="D49" s="467" t="s">
        <v>455</v>
      </c>
      <c r="E49" s="239" t="s">
        <v>386</v>
      </c>
      <c r="F49" s="138">
        <v>18.0</v>
      </c>
      <c r="G49" s="138">
        <v>15.3</v>
      </c>
      <c r="H49" s="138" t="s">
        <v>75</v>
      </c>
      <c r="I49" s="774" t="str">
        <f t="array" ref="I49">INDEX('空中攻撃'!$O$3:$AB$109, MATCH($A$1,'空中攻撃'!$A$3:$A$109,0), MATCH(A49,'空中攻撃'!$O$2:$S$2,0))</f>
        <v>11</v>
      </c>
      <c r="J49" s="467" t="s">
        <v>1902</v>
      </c>
      <c r="K49" s="282"/>
      <c r="L49" s="282"/>
      <c r="M49" s="363"/>
      <c r="N49" s="363"/>
      <c r="O49" s="145">
        <v>0.0</v>
      </c>
      <c r="P49" s="145">
        <v>1.0</v>
      </c>
      <c r="Q49" s="145">
        <v>1.0</v>
      </c>
      <c r="R49" s="151" t="s">
        <v>2623</v>
      </c>
      <c r="S49" s="110"/>
      <c r="T49" s="110"/>
      <c r="U49" s="110"/>
      <c r="V49" s="109"/>
    </row>
    <row r="50" outlineLevel="1">
      <c r="A50" s="213" t="s">
        <v>166</v>
      </c>
      <c r="B50" s="373"/>
      <c r="C50" s="239" t="s">
        <v>299</v>
      </c>
      <c r="D50" s="467" t="s">
        <v>748</v>
      </c>
      <c r="E50" s="239" t="s">
        <v>128</v>
      </c>
      <c r="F50" s="138">
        <v>12.0</v>
      </c>
      <c r="G50" s="138">
        <v>10.2</v>
      </c>
      <c r="H50" s="138" t="s">
        <v>147</v>
      </c>
      <c r="I50" s="774">
        <f t="array" ref="I50">INDEX('空中攻撃'!$O$3:$AB$109, MATCH($A$1,'空中攻撃'!$A$3:$A$109,0), MATCH(A50,'空中攻撃'!$O$2:$S$2,0))</f>
        <v>13</v>
      </c>
      <c r="J50" s="467" t="s">
        <v>2097</v>
      </c>
      <c r="K50" s="282"/>
      <c r="L50" s="282"/>
      <c r="M50" s="363"/>
      <c r="N50" s="363"/>
      <c r="O50" s="145">
        <v>0.0</v>
      </c>
      <c r="P50" s="145">
        <v>1.0</v>
      </c>
      <c r="Q50" s="145">
        <v>1.0</v>
      </c>
      <c r="R50" s="151"/>
      <c r="S50" s="110"/>
      <c r="T50" s="110"/>
      <c r="U50" s="110"/>
      <c r="V50" s="109"/>
    </row>
    <row r="51">
      <c r="A51" s="223"/>
      <c r="B51" s="224"/>
      <c r="C51" s="225"/>
      <c r="D51" s="225"/>
      <c r="E51" s="226"/>
      <c r="F51" s="226"/>
      <c r="G51" s="226"/>
      <c r="H51" s="227"/>
      <c r="I51" s="227"/>
      <c r="J51" s="228"/>
      <c r="K51" s="228"/>
      <c r="L51" s="228"/>
      <c r="M51" s="228"/>
      <c r="N51" s="228"/>
      <c r="O51" s="228"/>
      <c r="P51" s="228"/>
      <c r="Q51" s="118"/>
      <c r="R51" s="118"/>
      <c r="S51" s="118"/>
      <c r="T51" s="118"/>
      <c r="U51" s="118"/>
      <c r="V51" s="118"/>
    </row>
    <row r="52">
      <c r="A52" s="229" t="s">
        <v>177</v>
      </c>
      <c r="B52" s="109"/>
      <c r="C52" s="225"/>
      <c r="D52" s="225"/>
      <c r="E52" s="226"/>
      <c r="F52" s="226"/>
      <c r="G52" s="226"/>
      <c r="H52" s="227"/>
      <c r="I52" s="227"/>
      <c r="J52" s="228"/>
      <c r="K52" s="228"/>
      <c r="L52" s="228"/>
      <c r="M52" s="228"/>
      <c r="N52" s="228"/>
      <c r="O52" s="228"/>
      <c r="P52" s="228"/>
      <c r="Q52" s="118"/>
      <c r="R52" s="118"/>
      <c r="S52" s="118"/>
      <c r="T52" s="118"/>
      <c r="U52" s="118"/>
      <c r="V52" s="118"/>
    </row>
    <row r="53" outlineLevel="1">
      <c r="A53" s="230" t="s">
        <v>2624</v>
      </c>
      <c r="B53" s="109"/>
      <c r="C53" s="231" t="s">
        <v>48</v>
      </c>
      <c r="D53" s="231" t="s">
        <v>49</v>
      </c>
      <c r="E53" s="232" t="s">
        <v>50</v>
      </c>
      <c r="F53" s="233" t="s">
        <v>51</v>
      </c>
      <c r="G53" s="232" t="s">
        <v>52</v>
      </c>
      <c r="H53" s="382" t="s">
        <v>53</v>
      </c>
      <c r="I53" s="110"/>
      <c r="J53" s="109"/>
      <c r="K53" s="235" t="s">
        <v>137</v>
      </c>
      <c r="L53" s="235" t="s">
        <v>138</v>
      </c>
      <c r="M53" s="235" t="s">
        <v>139</v>
      </c>
      <c r="N53" s="235" t="s">
        <v>140</v>
      </c>
      <c r="O53" s="236" t="s">
        <v>141</v>
      </c>
      <c r="P53" s="235" t="s">
        <v>142</v>
      </c>
      <c r="Q53" s="236" t="s">
        <v>143</v>
      </c>
      <c r="R53" s="235" t="s">
        <v>179</v>
      </c>
      <c r="S53" s="236" t="s">
        <v>180</v>
      </c>
      <c r="T53" s="236" t="s">
        <v>181</v>
      </c>
      <c r="U53" s="236" t="s">
        <v>182</v>
      </c>
      <c r="V53" s="236" t="s">
        <v>183</v>
      </c>
    </row>
    <row r="54" outlineLevel="1">
      <c r="A54" s="237" t="s">
        <v>184</v>
      </c>
      <c r="B54" s="243" t="s">
        <v>2625</v>
      </c>
      <c r="C54" s="239" t="s">
        <v>319</v>
      </c>
      <c r="D54" s="455" t="s">
        <v>2626</v>
      </c>
      <c r="E54" s="239" t="s">
        <v>204</v>
      </c>
      <c r="F54" s="138">
        <v>3.5999999999999996</v>
      </c>
      <c r="G54" s="139" t="s">
        <v>147</v>
      </c>
      <c r="H54" s="163" t="s">
        <v>2627</v>
      </c>
      <c r="I54" s="164"/>
      <c r="J54" s="104"/>
      <c r="K54" s="282"/>
      <c r="L54" s="282"/>
      <c r="M54" s="363"/>
      <c r="N54" s="363"/>
      <c r="O54" s="138">
        <v>0.0</v>
      </c>
      <c r="P54" s="138">
        <v>1.0</v>
      </c>
      <c r="Q54" s="138">
        <v>1.0</v>
      </c>
      <c r="R54" s="145" t="b">
        <v>1</v>
      </c>
      <c r="S54" s="145" t="b">
        <v>1</v>
      </c>
      <c r="T54" s="145"/>
      <c r="U54" s="166" t="s">
        <v>186</v>
      </c>
      <c r="V54" s="166" t="b">
        <v>1</v>
      </c>
    </row>
    <row r="55" outlineLevel="1">
      <c r="A55" s="146"/>
      <c r="B55" s="663" t="s">
        <v>2628</v>
      </c>
      <c r="C55" s="239" t="s">
        <v>2629</v>
      </c>
      <c r="D55" s="210"/>
      <c r="E55" s="239" t="s">
        <v>176</v>
      </c>
      <c r="F55" s="138">
        <v>2.4</v>
      </c>
      <c r="G55" s="139" t="s">
        <v>60</v>
      </c>
      <c r="H55" s="212"/>
      <c r="J55" s="210"/>
      <c r="K55" s="282"/>
      <c r="L55" s="282"/>
      <c r="M55" s="363"/>
      <c r="N55" s="363"/>
      <c r="O55" s="138"/>
      <c r="P55" s="138"/>
      <c r="Q55" s="138"/>
      <c r="R55" s="145" t="b">
        <v>0</v>
      </c>
      <c r="S55" s="145" t="b">
        <v>0</v>
      </c>
      <c r="T55" s="145" t="b">
        <v>0</v>
      </c>
      <c r="U55" s="146"/>
      <c r="V55" s="146"/>
    </row>
    <row r="56" outlineLevel="1">
      <c r="A56" s="146"/>
      <c r="B56" s="663" t="s">
        <v>2630</v>
      </c>
      <c r="C56" s="239" t="s">
        <v>2631</v>
      </c>
      <c r="D56" s="210"/>
      <c r="E56" s="239" t="s">
        <v>1024</v>
      </c>
      <c r="F56" s="138">
        <v>1.7999999999999998</v>
      </c>
      <c r="G56" s="139" t="s">
        <v>170</v>
      </c>
      <c r="H56" s="212"/>
      <c r="J56" s="210"/>
      <c r="K56" s="282"/>
      <c r="L56" s="282"/>
      <c r="M56" s="363"/>
      <c r="N56" s="363"/>
      <c r="O56" s="138"/>
      <c r="P56" s="138"/>
      <c r="Q56" s="138"/>
      <c r="R56" s="145" t="b">
        <v>0</v>
      </c>
      <c r="S56" s="145" t="b">
        <v>0</v>
      </c>
      <c r="T56" s="145" t="b">
        <v>1</v>
      </c>
      <c r="U56" s="146"/>
      <c r="V56" s="146"/>
    </row>
    <row r="57" outlineLevel="1">
      <c r="A57" s="146"/>
      <c r="B57" s="663" t="s">
        <v>2632</v>
      </c>
      <c r="C57" s="239" t="s">
        <v>2633</v>
      </c>
      <c r="D57" s="210"/>
      <c r="E57" s="239" t="s">
        <v>214</v>
      </c>
      <c r="F57" s="138">
        <v>1.56</v>
      </c>
      <c r="G57" s="139" t="s">
        <v>170</v>
      </c>
      <c r="H57" s="212"/>
      <c r="J57" s="210"/>
      <c r="K57" s="282"/>
      <c r="L57" s="282"/>
      <c r="M57" s="363"/>
      <c r="N57" s="363"/>
      <c r="O57" s="138">
        <v>0.0</v>
      </c>
      <c r="P57" s="138">
        <v>1.0</v>
      </c>
      <c r="Q57" s="138">
        <v>1.0</v>
      </c>
      <c r="R57" s="145" t="b">
        <v>1</v>
      </c>
      <c r="S57" s="145" t="b">
        <v>0</v>
      </c>
      <c r="T57" s="145" t="b">
        <v>1</v>
      </c>
      <c r="U57" s="146"/>
      <c r="V57" s="146"/>
    </row>
    <row r="58" outlineLevel="1">
      <c r="A58" s="146"/>
      <c r="B58" s="663" t="s">
        <v>2634</v>
      </c>
      <c r="C58" s="239" t="s">
        <v>370</v>
      </c>
      <c r="D58" s="107"/>
      <c r="E58" s="239" t="s">
        <v>204</v>
      </c>
      <c r="F58" s="138">
        <v>3.5999999999999996</v>
      </c>
      <c r="G58" s="139" t="s">
        <v>170</v>
      </c>
      <c r="H58" s="106"/>
      <c r="I58" s="168"/>
      <c r="J58" s="107"/>
      <c r="K58" s="282"/>
      <c r="L58" s="282"/>
      <c r="M58" s="363"/>
      <c r="N58" s="363"/>
      <c r="O58" s="138">
        <v>0.0</v>
      </c>
      <c r="P58" s="138">
        <v>1.0</v>
      </c>
      <c r="Q58" s="138">
        <v>1.0</v>
      </c>
      <c r="R58" s="145" t="b">
        <v>1</v>
      </c>
      <c r="S58" s="145" t="b">
        <v>0</v>
      </c>
      <c r="T58" s="145" t="b">
        <v>1</v>
      </c>
      <c r="U58" s="156"/>
      <c r="V58" s="156"/>
    </row>
    <row r="59" outlineLevel="1">
      <c r="A59" s="230" t="s">
        <v>2635</v>
      </c>
      <c r="B59" s="109"/>
      <c r="C59" s="231" t="s">
        <v>48</v>
      </c>
      <c r="D59" s="231" t="s">
        <v>49</v>
      </c>
      <c r="E59" s="232" t="s">
        <v>50</v>
      </c>
      <c r="F59" s="233" t="s">
        <v>51</v>
      </c>
      <c r="G59" s="232" t="s">
        <v>52</v>
      </c>
      <c r="H59" s="382" t="s">
        <v>53</v>
      </c>
      <c r="I59" s="110"/>
      <c r="J59" s="109"/>
      <c r="K59" s="235" t="s">
        <v>137</v>
      </c>
      <c r="L59" s="235" t="s">
        <v>138</v>
      </c>
      <c r="M59" s="235" t="s">
        <v>139</v>
      </c>
      <c r="N59" s="235" t="s">
        <v>140</v>
      </c>
      <c r="O59" s="236" t="s">
        <v>141</v>
      </c>
      <c r="P59" s="235" t="s">
        <v>142</v>
      </c>
      <c r="Q59" s="236" t="s">
        <v>143</v>
      </c>
      <c r="R59" s="235" t="s">
        <v>179</v>
      </c>
      <c r="S59" s="236" t="s">
        <v>180</v>
      </c>
      <c r="T59" s="236" t="s">
        <v>181</v>
      </c>
      <c r="U59" s="236" t="s">
        <v>182</v>
      </c>
      <c r="V59" s="236" t="s">
        <v>183</v>
      </c>
    </row>
    <row r="60" outlineLevel="1">
      <c r="A60" s="237" t="s">
        <v>184</v>
      </c>
      <c r="B60" s="243"/>
      <c r="C60" s="365" t="s">
        <v>2636</v>
      </c>
      <c r="D60" s="379" t="s">
        <v>541</v>
      </c>
      <c r="E60" s="239" t="s">
        <v>80</v>
      </c>
      <c r="F60" s="138">
        <v>9.6</v>
      </c>
      <c r="G60" s="139" t="s">
        <v>60</v>
      </c>
      <c r="H60" s="163" t="s">
        <v>2637</v>
      </c>
      <c r="I60" s="164"/>
      <c r="J60" s="104"/>
      <c r="K60" s="282"/>
      <c r="L60" s="282"/>
      <c r="M60" s="363"/>
      <c r="N60" s="363"/>
      <c r="O60" s="138">
        <v>0.0</v>
      </c>
      <c r="P60" s="138">
        <v>1.0</v>
      </c>
      <c r="Q60" s="138">
        <v>1.0</v>
      </c>
      <c r="R60" s="145" t="b">
        <v>1</v>
      </c>
      <c r="S60" s="145" t="b">
        <v>0</v>
      </c>
      <c r="T60" s="145" t="b">
        <v>1</v>
      </c>
      <c r="U60" s="166" t="s">
        <v>186</v>
      </c>
      <c r="V60" s="166" t="b">
        <v>1</v>
      </c>
    </row>
    <row r="61" outlineLevel="1">
      <c r="A61" s="146"/>
      <c r="B61" s="243" t="s">
        <v>187</v>
      </c>
      <c r="C61" s="365" t="s">
        <v>2638</v>
      </c>
      <c r="D61" s="210"/>
      <c r="E61" s="239" t="s">
        <v>86</v>
      </c>
      <c r="F61" s="138">
        <v>7.199999999999999</v>
      </c>
      <c r="G61" s="139" t="s">
        <v>60</v>
      </c>
      <c r="H61" s="212"/>
      <c r="J61" s="210"/>
      <c r="K61" s="138"/>
      <c r="L61" s="138"/>
      <c r="M61" s="145"/>
      <c r="N61" s="145"/>
      <c r="O61" s="138">
        <v>0.0</v>
      </c>
      <c r="P61" s="138">
        <v>1.0</v>
      </c>
      <c r="Q61" s="138">
        <v>1.0</v>
      </c>
      <c r="R61" s="145" t="b">
        <v>1</v>
      </c>
      <c r="S61" s="145" t="b">
        <v>0</v>
      </c>
      <c r="T61" s="145" t="b">
        <v>1</v>
      </c>
      <c r="U61" s="146"/>
      <c r="V61" s="146"/>
    </row>
    <row r="62" outlineLevel="1">
      <c r="A62" s="146"/>
      <c r="B62" s="243" t="s">
        <v>189</v>
      </c>
      <c r="C62" s="365" t="s">
        <v>2639</v>
      </c>
      <c r="D62" s="107"/>
      <c r="E62" s="239" t="s">
        <v>73</v>
      </c>
      <c r="F62" s="138">
        <v>4.8</v>
      </c>
      <c r="G62" s="139" t="s">
        <v>170</v>
      </c>
      <c r="H62" s="106"/>
      <c r="I62" s="168"/>
      <c r="J62" s="107"/>
      <c r="K62" s="138"/>
      <c r="L62" s="138"/>
      <c r="M62" s="145"/>
      <c r="N62" s="145"/>
      <c r="O62" s="138">
        <v>0.0</v>
      </c>
      <c r="P62" s="138">
        <v>1.0</v>
      </c>
      <c r="Q62" s="138">
        <v>1.0</v>
      </c>
      <c r="R62" s="145" t="b">
        <v>1</v>
      </c>
      <c r="S62" s="145" t="b">
        <v>0</v>
      </c>
      <c r="T62" s="145" t="b">
        <v>1</v>
      </c>
      <c r="U62" s="156"/>
      <c r="V62" s="156"/>
    </row>
    <row r="63" outlineLevel="1">
      <c r="A63" s="230" t="s">
        <v>2640</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1202" t="s">
        <v>184</v>
      </c>
      <c r="B64" s="870"/>
      <c r="C64" s="239" t="s">
        <v>460</v>
      </c>
      <c r="D64" s="239" t="s">
        <v>111</v>
      </c>
      <c r="E64" s="239" t="s">
        <v>2641</v>
      </c>
      <c r="F64" s="138" t="s">
        <v>2642</v>
      </c>
      <c r="G64" s="139" t="s">
        <v>114</v>
      </c>
      <c r="H64" s="151" t="s">
        <v>2643</v>
      </c>
      <c r="I64" s="110"/>
      <c r="J64" s="109"/>
      <c r="K64" s="138"/>
      <c r="L64" s="138"/>
      <c r="M64" s="145"/>
      <c r="N64" s="145"/>
      <c r="O64" s="138">
        <v>0.0</v>
      </c>
      <c r="P64" s="138">
        <v>1.0</v>
      </c>
      <c r="Q64" s="138">
        <v>1.0</v>
      </c>
      <c r="R64" s="145" t="b">
        <v>1</v>
      </c>
      <c r="S64" s="145" t="b">
        <v>1</v>
      </c>
      <c r="T64" s="145"/>
      <c r="U64" s="145" t="s">
        <v>186</v>
      </c>
      <c r="V64" s="145" t="b">
        <v>1</v>
      </c>
    </row>
    <row r="65" outlineLevel="1">
      <c r="A65" s="230" t="s">
        <v>2608</v>
      </c>
      <c r="B65" s="109"/>
      <c r="C65" s="231" t="s">
        <v>48</v>
      </c>
      <c r="D65" s="231" t="s">
        <v>49</v>
      </c>
      <c r="E65" s="232" t="s">
        <v>50</v>
      </c>
      <c r="F65" s="233" t="s">
        <v>51</v>
      </c>
      <c r="G65" s="232" t="s">
        <v>52</v>
      </c>
      <c r="H65" s="382" t="s">
        <v>53</v>
      </c>
      <c r="I65" s="110"/>
      <c r="J65" s="109"/>
      <c r="K65" s="235" t="s">
        <v>137</v>
      </c>
      <c r="L65" s="235" t="s">
        <v>138</v>
      </c>
      <c r="M65" s="235" t="s">
        <v>139</v>
      </c>
      <c r="N65" s="235" t="s">
        <v>140</v>
      </c>
      <c r="O65" s="236" t="s">
        <v>141</v>
      </c>
      <c r="P65" s="235" t="s">
        <v>142</v>
      </c>
      <c r="Q65" s="236" t="s">
        <v>143</v>
      </c>
      <c r="R65" s="235" t="s">
        <v>179</v>
      </c>
      <c r="S65" s="236" t="s">
        <v>180</v>
      </c>
      <c r="T65" s="236" t="s">
        <v>181</v>
      </c>
      <c r="U65" s="236" t="s">
        <v>182</v>
      </c>
      <c r="V65" s="236" t="s">
        <v>183</v>
      </c>
    </row>
    <row r="66" outlineLevel="1">
      <c r="A66" s="1202" t="s">
        <v>184</v>
      </c>
      <c r="B66" s="870"/>
      <c r="C66" s="261"/>
      <c r="D66" s="467" t="s">
        <v>118</v>
      </c>
      <c r="E66" s="261"/>
      <c r="F66" s="261"/>
      <c r="G66" s="261"/>
      <c r="H66" s="151" t="s">
        <v>2609</v>
      </c>
      <c r="I66" s="110"/>
      <c r="J66" s="109"/>
      <c r="K66" s="261"/>
      <c r="L66" s="261"/>
      <c r="M66" s="261"/>
      <c r="N66" s="261"/>
      <c r="O66" s="261"/>
      <c r="P66" s="261"/>
      <c r="Q66" s="261"/>
      <c r="R66" s="261"/>
      <c r="S66" s="261"/>
      <c r="T66" s="261"/>
      <c r="U66" s="145" t="b">
        <v>0</v>
      </c>
      <c r="V66" s="145" t="b">
        <v>0</v>
      </c>
    </row>
    <row r="67">
      <c r="A67" s="223"/>
      <c r="B67" s="224"/>
      <c r="C67" s="225"/>
      <c r="D67" s="225"/>
      <c r="E67" s="226"/>
      <c r="F67" s="226"/>
      <c r="G67" s="226"/>
      <c r="H67" s="227"/>
      <c r="I67" s="227"/>
      <c r="J67" s="228"/>
      <c r="K67" s="228"/>
      <c r="L67" s="228"/>
      <c r="M67" s="228"/>
      <c r="N67" s="228"/>
      <c r="O67" s="228"/>
      <c r="P67" s="228"/>
      <c r="Q67" s="118"/>
      <c r="R67" s="118"/>
      <c r="S67" s="118"/>
      <c r="T67" s="118"/>
      <c r="U67" s="118"/>
      <c r="V67" s="118"/>
    </row>
    <row r="68">
      <c r="A68" s="264" t="s">
        <v>211</v>
      </c>
      <c r="B68" s="104"/>
      <c r="C68" s="227"/>
      <c r="D68" s="227"/>
      <c r="E68" s="228"/>
      <c r="F68" s="265"/>
      <c r="G68" s="265"/>
      <c r="H68" s="228"/>
      <c r="I68" s="228"/>
      <c r="J68" s="228"/>
      <c r="K68" s="228"/>
      <c r="L68" s="228"/>
      <c r="M68" s="228"/>
      <c r="N68" s="118"/>
      <c r="O68" s="118"/>
      <c r="P68" s="118"/>
      <c r="Q68" s="228"/>
      <c r="R68" s="228"/>
      <c r="S68" s="228"/>
      <c r="T68" s="228"/>
      <c r="U68" s="228"/>
      <c r="V68" s="228"/>
    </row>
    <row r="69" outlineLevel="1">
      <c r="A69" s="106"/>
      <c r="B69" s="107"/>
      <c r="C69" s="266" t="s">
        <v>48</v>
      </c>
      <c r="D69" s="266" t="s">
        <v>49</v>
      </c>
      <c r="E69" s="266" t="s">
        <v>50</v>
      </c>
      <c r="F69" s="267" t="s">
        <v>51</v>
      </c>
      <c r="G69" s="227"/>
      <c r="H69" s="227"/>
      <c r="I69" s="227"/>
      <c r="J69" s="228"/>
      <c r="K69" s="228"/>
      <c r="L69" s="228"/>
      <c r="M69" s="228"/>
      <c r="N69" s="228"/>
      <c r="O69" s="228"/>
      <c r="P69" s="228"/>
      <c r="Q69" s="228"/>
      <c r="R69" s="228"/>
      <c r="S69" s="228"/>
      <c r="T69" s="228"/>
      <c r="U69" s="228"/>
      <c r="V69" s="228"/>
    </row>
    <row r="70" outlineLevel="1">
      <c r="A70" s="268" t="s">
        <v>212</v>
      </c>
      <c r="B70" s="269" t="s">
        <v>212</v>
      </c>
      <c r="C70" s="113" t="s">
        <v>213</v>
      </c>
      <c r="D70" s="113" t="s">
        <v>86</v>
      </c>
      <c r="E70" s="113" t="s">
        <v>214</v>
      </c>
      <c r="F70" s="138">
        <v>1.56</v>
      </c>
      <c r="G70" s="227"/>
      <c r="H70" s="227"/>
      <c r="I70" s="227"/>
      <c r="J70" s="228"/>
      <c r="K70" s="228"/>
      <c r="L70" s="228"/>
      <c r="M70" s="228"/>
      <c r="N70" s="228"/>
      <c r="O70" s="228"/>
      <c r="P70" s="228"/>
      <c r="Q70" s="228"/>
      <c r="R70" s="228"/>
      <c r="S70" s="228"/>
      <c r="T70" s="228"/>
      <c r="U70" s="228"/>
      <c r="V70" s="228"/>
    </row>
    <row r="71" outlineLevel="1">
      <c r="A71" s="270" t="s">
        <v>215</v>
      </c>
      <c r="B71" s="269" t="s">
        <v>216</v>
      </c>
      <c r="C71" s="113" t="s">
        <v>305</v>
      </c>
      <c r="D71" s="113" t="s">
        <v>221</v>
      </c>
      <c r="E71" s="271"/>
      <c r="F71" s="272"/>
      <c r="G71" s="272"/>
      <c r="H71" s="227"/>
      <c r="I71" s="227"/>
      <c r="J71" s="228"/>
      <c r="K71" s="228"/>
      <c r="L71" s="228"/>
      <c r="M71" s="228"/>
      <c r="N71" s="228"/>
      <c r="O71" s="228"/>
      <c r="P71" s="228"/>
      <c r="Q71" s="228"/>
      <c r="R71" s="228"/>
      <c r="S71" s="228"/>
      <c r="T71" s="228"/>
      <c r="U71" s="228"/>
      <c r="V71" s="228"/>
    </row>
    <row r="72" outlineLevel="1">
      <c r="A72" s="212"/>
      <c r="B72" s="269" t="s">
        <v>219</v>
      </c>
      <c r="C72" s="113" t="s">
        <v>305</v>
      </c>
      <c r="D72" s="113" t="s">
        <v>541</v>
      </c>
      <c r="E72" s="271"/>
      <c r="F72" s="272"/>
      <c r="G72" s="272"/>
      <c r="H72" s="227"/>
      <c r="I72" s="227"/>
      <c r="J72" s="228"/>
      <c r="K72" s="228"/>
      <c r="L72" s="228"/>
      <c r="M72" s="228"/>
      <c r="N72" s="228"/>
      <c r="O72" s="228"/>
      <c r="P72" s="228"/>
      <c r="Q72" s="228"/>
      <c r="R72" s="228"/>
      <c r="S72" s="228"/>
      <c r="T72" s="228"/>
      <c r="U72" s="228"/>
      <c r="V72" s="228"/>
    </row>
    <row r="73" outlineLevel="1">
      <c r="A73" s="106"/>
      <c r="B73" s="269" t="s">
        <v>222</v>
      </c>
      <c r="C73" s="113" t="s">
        <v>305</v>
      </c>
      <c r="D73" s="113" t="s">
        <v>393</v>
      </c>
      <c r="E73" s="227"/>
      <c r="F73" s="272"/>
      <c r="G73" s="272"/>
      <c r="H73" s="227"/>
      <c r="I73" s="227"/>
      <c r="J73" s="228"/>
      <c r="K73" s="228"/>
      <c r="L73" s="228"/>
      <c r="M73" s="228"/>
      <c r="N73" s="228"/>
      <c r="O73" s="228"/>
      <c r="P73" s="228"/>
      <c r="Q73" s="228"/>
      <c r="R73" s="228"/>
      <c r="S73" s="228"/>
      <c r="T73" s="228"/>
      <c r="U73" s="228"/>
      <c r="V73" s="228"/>
    </row>
    <row r="74" outlineLevel="1">
      <c r="A74" s="273" t="s">
        <v>225</v>
      </c>
      <c r="B74" s="109"/>
      <c r="C74" s="266" t="s">
        <v>48</v>
      </c>
      <c r="D74" s="266" t="s">
        <v>49</v>
      </c>
      <c r="E74" s="266" t="s">
        <v>50</v>
      </c>
      <c r="F74" s="267" t="s">
        <v>51</v>
      </c>
      <c r="G74" s="1168" t="s">
        <v>53</v>
      </c>
      <c r="H74" s="110"/>
      <c r="I74" s="110"/>
      <c r="J74" s="109"/>
      <c r="K74" s="275" t="str">
        <f>'テンプレート'!K97</f>
        <v>ベクトル</v>
      </c>
      <c r="L74" s="275" t="str">
        <f>'テンプレート'!L97</f>
        <v>KBG (R.E.)</v>
      </c>
      <c r="M74" s="275" t="str">
        <f>'テンプレート'!M97</f>
        <v>BKB (R.A.)</v>
      </c>
      <c r="N74" s="275" t="str">
        <f>'テンプレート'!N97</f>
        <v>FKB (R.F.)</v>
      </c>
      <c r="O74" s="276" t="str">
        <f>'テンプレート'!O97</f>
        <v>盾削り値</v>
      </c>
      <c r="P74" s="275" t="str">
        <f>'テンプレート'!P97</f>
        <v>ﾋｯﾄｽﾄｯﾌﾟ</v>
      </c>
      <c r="Q74" s="276" t="str">
        <f>'テンプレート'!Q97</f>
        <v>ずらし</v>
      </c>
      <c r="R74" s="277"/>
      <c r="S74" s="277"/>
      <c r="T74" s="277"/>
      <c r="U74" s="277"/>
      <c r="V74" s="277"/>
    </row>
    <row r="75" outlineLevel="1">
      <c r="A75" s="278" t="s">
        <v>226</v>
      </c>
      <c r="B75" s="269" t="s">
        <v>227</v>
      </c>
      <c r="C75" s="113" t="s">
        <v>153</v>
      </c>
      <c r="D75" s="279" t="s">
        <v>79</v>
      </c>
      <c r="E75" s="239" t="s">
        <v>150</v>
      </c>
      <c r="F75" s="138">
        <v>6.0</v>
      </c>
      <c r="G75" s="1170"/>
      <c r="H75" s="164"/>
      <c r="I75" s="164"/>
      <c r="J75" s="104"/>
      <c r="K75" s="282"/>
      <c r="L75" s="282"/>
      <c r="M75" s="363"/>
      <c r="N75" s="363"/>
      <c r="O75" s="145">
        <v>0.0</v>
      </c>
      <c r="P75" s="145">
        <v>1.0</v>
      </c>
      <c r="Q75" s="145">
        <v>1.0</v>
      </c>
      <c r="R75" s="277"/>
      <c r="S75" s="228"/>
      <c r="T75" s="228"/>
      <c r="U75" s="228"/>
      <c r="V75" s="228"/>
    </row>
    <row r="76" outlineLevel="1">
      <c r="A76" s="156"/>
      <c r="B76" s="269" t="s">
        <v>225</v>
      </c>
      <c r="C76" s="113" t="s">
        <v>394</v>
      </c>
      <c r="D76" s="156"/>
      <c r="E76" s="239" t="s">
        <v>150</v>
      </c>
      <c r="F76" s="138">
        <v>6.0</v>
      </c>
      <c r="G76" s="106"/>
      <c r="H76" s="168"/>
      <c r="I76" s="168"/>
      <c r="J76" s="107"/>
      <c r="K76" s="282"/>
      <c r="L76" s="282"/>
      <c r="M76" s="363"/>
      <c r="N76" s="363"/>
      <c r="O76" s="261"/>
      <c r="P76" s="261"/>
      <c r="Q76" s="261"/>
      <c r="R76" s="277"/>
      <c r="S76" s="228"/>
      <c r="T76" s="228"/>
      <c r="U76" s="228"/>
      <c r="V76" s="228"/>
    </row>
    <row r="77" outlineLevel="1">
      <c r="A77" s="278" t="s">
        <v>229</v>
      </c>
      <c r="B77" s="269" t="s">
        <v>227</v>
      </c>
      <c r="C77" s="261"/>
      <c r="D77" s="279" t="s">
        <v>193</v>
      </c>
      <c r="E77" s="261"/>
      <c r="F77" s="261"/>
      <c r="G77" s="1170"/>
      <c r="H77" s="164"/>
      <c r="I77" s="164"/>
      <c r="J77" s="104"/>
      <c r="K77" s="261"/>
      <c r="L77" s="261"/>
      <c r="M77" s="261"/>
      <c r="N77" s="261"/>
      <c r="O77" s="261"/>
      <c r="P77" s="261"/>
      <c r="Q77" s="261"/>
      <c r="R77" s="277"/>
      <c r="S77" s="228"/>
      <c r="T77" s="228"/>
      <c r="U77" s="228"/>
      <c r="V77" s="228"/>
    </row>
    <row r="78" outlineLevel="1">
      <c r="A78" s="156"/>
      <c r="B78" s="269" t="s">
        <v>225</v>
      </c>
      <c r="C78" s="113" t="s">
        <v>718</v>
      </c>
      <c r="D78" s="156"/>
      <c r="E78" s="239" t="s">
        <v>129</v>
      </c>
      <c r="F78" s="138">
        <v>14.399999999999999</v>
      </c>
      <c r="G78" s="106"/>
      <c r="H78" s="168"/>
      <c r="I78" s="168"/>
      <c r="J78" s="107"/>
      <c r="K78" s="282"/>
      <c r="L78" s="282"/>
      <c r="M78" s="363"/>
      <c r="N78" s="363"/>
      <c r="O78" s="261"/>
      <c r="P78" s="261"/>
      <c r="Q78" s="261"/>
      <c r="R78" s="277"/>
      <c r="S78" s="228"/>
      <c r="T78" s="228"/>
      <c r="U78" s="228"/>
      <c r="V78" s="228"/>
    </row>
    <row r="79" outlineLevel="1">
      <c r="A79" s="278" t="s">
        <v>233</v>
      </c>
      <c r="B79" s="269" t="s">
        <v>227</v>
      </c>
      <c r="C79" s="113" t="s">
        <v>718</v>
      </c>
      <c r="D79" s="279" t="s">
        <v>118</v>
      </c>
      <c r="E79" s="239" t="s">
        <v>73</v>
      </c>
      <c r="F79" s="138">
        <v>4.8</v>
      </c>
      <c r="G79" s="1170"/>
      <c r="H79" s="164"/>
      <c r="I79" s="164"/>
      <c r="J79" s="104"/>
      <c r="K79" s="282"/>
      <c r="L79" s="282"/>
      <c r="M79" s="363"/>
      <c r="N79" s="363"/>
      <c r="O79" s="145">
        <v>0.0</v>
      </c>
      <c r="P79" s="145">
        <v>1.0</v>
      </c>
      <c r="Q79" s="145">
        <v>1.0</v>
      </c>
      <c r="R79" s="277"/>
      <c r="S79" s="228"/>
      <c r="T79" s="228"/>
      <c r="U79" s="228"/>
      <c r="V79" s="228"/>
    </row>
    <row r="80" outlineLevel="1">
      <c r="A80" s="156"/>
      <c r="B80" s="269" t="s">
        <v>225</v>
      </c>
      <c r="C80" s="113" t="s">
        <v>65</v>
      </c>
      <c r="D80" s="156"/>
      <c r="E80" s="239" t="s">
        <v>150</v>
      </c>
      <c r="F80" s="138">
        <v>6.0</v>
      </c>
      <c r="G80" s="106"/>
      <c r="H80" s="168"/>
      <c r="I80" s="168"/>
      <c r="J80" s="107"/>
      <c r="K80" s="282"/>
      <c r="L80" s="282"/>
      <c r="M80" s="363"/>
      <c r="N80" s="363"/>
      <c r="O80" s="261"/>
      <c r="P80" s="261"/>
      <c r="Q80" s="261"/>
      <c r="R80" s="277"/>
      <c r="S80" s="117"/>
      <c r="T80" s="117"/>
      <c r="U80" s="117"/>
      <c r="V80" s="117"/>
    </row>
    <row r="81" outlineLevel="1">
      <c r="A81" s="278" t="s">
        <v>234</v>
      </c>
      <c r="B81" s="269" t="s">
        <v>227</v>
      </c>
      <c r="C81" s="261"/>
      <c r="D81" s="279" t="s">
        <v>218</v>
      </c>
      <c r="E81" s="261"/>
      <c r="F81" s="261"/>
      <c r="G81" s="283" t="s">
        <v>2644</v>
      </c>
      <c r="H81" s="164"/>
      <c r="I81" s="164"/>
      <c r="J81" s="104"/>
      <c r="K81" s="261"/>
      <c r="L81" s="261"/>
      <c r="M81" s="261"/>
      <c r="N81" s="261"/>
      <c r="O81" s="261"/>
      <c r="P81" s="261"/>
      <c r="Q81" s="261"/>
      <c r="R81" s="277"/>
      <c r="S81" s="117"/>
      <c r="T81" s="117"/>
      <c r="U81" s="117"/>
      <c r="V81" s="117"/>
    </row>
    <row r="82" outlineLevel="1">
      <c r="A82" s="156"/>
      <c r="B82" s="269" t="s">
        <v>225</v>
      </c>
      <c r="C82" s="113" t="s">
        <v>296</v>
      </c>
      <c r="D82" s="156"/>
      <c r="E82" s="239" t="s">
        <v>93</v>
      </c>
      <c r="F82" s="138">
        <v>8.4</v>
      </c>
      <c r="G82" s="106"/>
      <c r="H82" s="168"/>
      <c r="I82" s="168"/>
      <c r="J82" s="107"/>
      <c r="K82" s="282"/>
      <c r="L82" s="282"/>
      <c r="M82" s="363"/>
      <c r="N82" s="363"/>
      <c r="O82" s="261"/>
      <c r="P82" s="261"/>
      <c r="Q82" s="261"/>
      <c r="R82" s="277"/>
      <c r="S82" s="117"/>
      <c r="T82" s="117"/>
      <c r="U82" s="117"/>
      <c r="V82" s="117"/>
    </row>
    <row r="83">
      <c r="A83" s="223"/>
      <c r="B83" s="224"/>
      <c r="C83" s="225"/>
      <c r="D83" s="225"/>
      <c r="E83" s="227"/>
      <c r="F83" s="177"/>
      <c r="G83" s="177"/>
      <c r="H83" s="227"/>
      <c r="I83" s="227"/>
      <c r="J83" s="228"/>
      <c r="K83" s="228"/>
      <c r="L83" s="111"/>
      <c r="M83" s="111"/>
      <c r="N83" s="111"/>
      <c r="O83" s="117"/>
      <c r="P83" s="117"/>
      <c r="Q83" s="111"/>
      <c r="R83" s="111"/>
      <c r="S83" s="111"/>
      <c r="T83" s="111"/>
      <c r="U83" s="111"/>
      <c r="V83" s="111"/>
    </row>
    <row r="84">
      <c r="A84" s="284" t="s">
        <v>241</v>
      </c>
      <c r="B84" s="104"/>
      <c r="C84" s="265"/>
      <c r="D84" s="111"/>
      <c r="E84" s="111"/>
      <c r="F84" s="111"/>
      <c r="G84" s="111"/>
      <c r="H84" s="111"/>
      <c r="I84" s="111"/>
      <c r="J84" s="118"/>
      <c r="K84" s="111"/>
      <c r="L84" s="111"/>
      <c r="M84" s="111"/>
      <c r="N84" s="111"/>
      <c r="O84" s="111"/>
      <c r="P84" s="111"/>
      <c r="Q84" s="118"/>
      <c r="R84" s="111"/>
      <c r="S84" s="111"/>
      <c r="T84" s="111"/>
      <c r="U84" s="111"/>
      <c r="V84" s="111"/>
    </row>
    <row r="85" outlineLevel="1">
      <c r="A85" s="106"/>
      <c r="B85" s="107"/>
      <c r="C85" s="285" t="s">
        <v>235</v>
      </c>
      <c r="D85" s="285" t="s">
        <v>236</v>
      </c>
      <c r="E85" s="285" t="s">
        <v>49</v>
      </c>
      <c r="F85" s="285" t="s">
        <v>237</v>
      </c>
      <c r="G85" s="286"/>
      <c r="H85" s="227"/>
      <c r="I85" s="227"/>
      <c r="J85" s="228"/>
      <c r="K85" s="228"/>
      <c r="L85" s="111"/>
      <c r="M85" s="111"/>
      <c r="N85" s="111"/>
      <c r="O85" s="111"/>
      <c r="P85" s="111"/>
      <c r="Q85" s="111"/>
      <c r="R85" s="111"/>
      <c r="S85" s="111"/>
      <c r="T85" s="111"/>
      <c r="U85" s="111"/>
      <c r="V85" s="111"/>
    </row>
    <row r="86" outlineLevel="1">
      <c r="A86" s="287" t="s">
        <v>395</v>
      </c>
      <c r="B86" s="288" t="s">
        <v>216</v>
      </c>
      <c r="C86" s="113" t="str">
        <f t="array" ref="C86">INDEX('回避'!$C$3:$U$84, MATCH($A$1,'回避'!$A$3:$A$91,0), MATCH(C85,'回避'!$C$2:$F$2,0))</f>
        <v>3-17</v>
      </c>
      <c r="D86" s="113" t="str">
        <f t="array" ref="D86">INDEX('回避'!$C$3:$U$84, MATCH($A$1,'回避'!$A$3:$A$91,0), MATCH(D85,'回避'!$C$2:$F$2,0))</f>
        <v>6-17</v>
      </c>
      <c r="E86" s="113" t="str">
        <f t="array" ref="E86">INDEX('回避'!$C$3:$U$84, MATCH($A$1,'回避'!$A$3:$A$91,0), MATCH(E85,'回避'!$C$2:$F$2,0))</f>
        <v>26 (21)</v>
      </c>
      <c r="F86" s="113" t="str">
        <f t="array" ref="F86">INDEX('回避'!$C$3:$U$84, MATCH($A$1,'回避'!$A$3:$A$91,0), MATCH(F85,'回避'!$C$2:$F$2,0))</f>
        <v>35 (28)</v>
      </c>
      <c r="G86" s="272"/>
      <c r="H86" s="227"/>
      <c r="I86" s="227"/>
      <c r="J86" s="228"/>
      <c r="K86" s="228"/>
      <c r="L86" s="228"/>
      <c r="M86" s="111"/>
      <c r="N86" s="111"/>
      <c r="O86" s="111"/>
      <c r="P86" s="111"/>
      <c r="Q86" s="111"/>
      <c r="R86" s="111"/>
      <c r="S86" s="111"/>
      <c r="T86" s="111"/>
      <c r="U86" s="111"/>
      <c r="V86" s="111"/>
    </row>
    <row r="87" outlineLevel="1">
      <c r="A87" s="212"/>
      <c r="B87" s="288" t="s">
        <v>245</v>
      </c>
      <c r="C87" s="113" t="str">
        <f t="array" ref="C87">INDEX('回避'!$G$3:$U$84, MATCH($A$1,'回避'!$A$3:$A$91,0), MATCH(C85,'回避'!$G$2:$J$2,0))</f>
        <v>4-15</v>
      </c>
      <c r="D87" s="113" t="str">
        <f t="array" ref="D87">INDEX('回避'!$G$3:$U$84, MATCH($A$1,'回避'!$A$3:$A$91,0), MATCH(D85,'回避'!$G$2:$J$2,0))</f>
        <v>8-14</v>
      </c>
      <c r="E87" s="113" t="str">
        <f t="array" ref="E87">INDEX('回避'!$G$3:$U$84, MATCH($A$1,'回避'!$A$3:$A$91,0), MATCH(E85,'回避'!$G$2:$J$2,0))</f>
        <v>30</v>
      </c>
      <c r="F87" s="113">
        <f t="array" ref="F87">INDEX('回避'!$G$3:$U$84, MATCH($A$1,'回避'!$A$3:$A$91,0), MATCH(F85,'回避'!$G$2:$J$2,0))</f>
        <v>40</v>
      </c>
      <c r="G87" s="289"/>
      <c r="H87" s="227"/>
      <c r="I87" s="227"/>
      <c r="J87" s="228"/>
      <c r="K87" s="228"/>
      <c r="L87" s="228"/>
      <c r="M87" s="228"/>
      <c r="N87" s="228"/>
      <c r="O87" s="111"/>
      <c r="P87" s="111"/>
      <c r="Q87" s="111"/>
      <c r="R87" s="111"/>
      <c r="S87" s="111"/>
      <c r="T87" s="111"/>
      <c r="U87" s="111"/>
      <c r="V87" s="111"/>
    </row>
    <row r="88" outlineLevel="1">
      <c r="A88" s="106"/>
      <c r="B88" s="288" t="s">
        <v>246</v>
      </c>
      <c r="C88" s="113" t="str">
        <f t="array" ref="C88">INDEX('回避'!$K$3:$U$84, MATCH($A$1,'回避'!$A$3:$A$91,0), MATCH(C85,'回避'!$K$2:$N$2,0))</f>
        <v>5-16</v>
      </c>
      <c r="D88" s="113" t="str">
        <f t="array" ref="D88">INDEX('回避'!$K$3:$U$84, MATCH($A$1,'回避'!$A$3:$A$91,0), MATCH(D85,'回避'!$K$2:$N$2,0))</f>
        <v>9-14</v>
      </c>
      <c r="E88" s="113" t="str">
        <f t="array" ref="E88">INDEX('回避'!$K$3:$U$84, MATCH($A$1,'回避'!$A$3:$A$91,0), MATCH(E85,'回避'!$K$2:$N$2,0))</f>
        <v>35</v>
      </c>
      <c r="F88" s="113" t="str">
        <f t="array" ref="F88">INDEX('回避'!$K$3:$U$84, MATCH($A$1,'回避'!$A$3:$A$91,0), MATCH(F85,'回避'!$K$2:$N$2,0))</f>
        <v>53</v>
      </c>
      <c r="G88" s="289"/>
      <c r="H88" s="290"/>
      <c r="I88" s="290"/>
      <c r="J88" s="117"/>
      <c r="K88" s="117"/>
      <c r="L88" s="117"/>
      <c r="M88" s="117"/>
      <c r="N88" s="117"/>
      <c r="O88" s="111"/>
      <c r="P88" s="111"/>
      <c r="Q88" s="111"/>
      <c r="R88" s="111"/>
      <c r="S88" s="111"/>
      <c r="T88" s="111"/>
      <c r="U88" s="111"/>
      <c r="V88" s="111"/>
    </row>
    <row r="89" outlineLevel="1">
      <c r="A89" s="287" t="s">
        <v>396</v>
      </c>
      <c r="B89" s="288" t="s">
        <v>397</v>
      </c>
      <c r="C89" s="113" t="str">
        <f t="array" ref="C89">INDEX('回避'!$O$3:$U$84, MATCH($A$1,'回避'!$A$3:$A$91,0), MATCH(C85,'回避'!$O$2:$R$2,0))</f>
        <v>3-29</v>
      </c>
      <c r="D89" s="113" t="str">
        <f t="array" ref="D89">INDEX('回避'!$O$3:$U$84, MATCH($A$1,'回避'!$A$3:$A$91,0), MATCH(D85,'回避'!$O$2:$R$2,0))</f>
        <v>6-27</v>
      </c>
      <c r="E89" s="113" t="str">
        <f t="array" ref="E89">INDEX('回避'!$O$3:$U$84, MATCH($A$1,'回避'!$A$3:$A$91,0), MATCH(E85,'回避'!$O$2:$R$2,0))</f>
        <v>56</v>
      </c>
      <c r="F89" s="177"/>
      <c r="G89" s="177"/>
      <c r="H89" s="118"/>
      <c r="I89" s="118"/>
      <c r="J89" s="111"/>
      <c r="K89" s="111"/>
      <c r="L89" s="111"/>
      <c r="M89" s="111"/>
      <c r="N89" s="111"/>
      <c r="O89" s="228"/>
      <c r="P89" s="228"/>
      <c r="Q89" s="228"/>
      <c r="R89" s="228"/>
      <c r="S89" s="228"/>
      <c r="T89" s="228"/>
      <c r="U89" s="228"/>
      <c r="V89" s="228"/>
    </row>
    <row r="90" outlineLevel="1">
      <c r="A90" s="106"/>
      <c r="B90" s="288" t="s">
        <v>398</v>
      </c>
      <c r="C90" s="113" t="str">
        <f t="array" ref="C90">INDEX('回避'!$S$3:$U$84, MATCH($A$1,'回避'!$A$3:$A$91,0), MATCH(C85,'回避'!$S$2:$U$2,0))</f>
        <v>3-21</v>
      </c>
      <c r="D90" s="113" t="str">
        <f t="array" ref="D90">INDEX('回避'!$S$3:$U$84, MATCH($A$1,'回避'!$A$3:$A$91,0), MATCH(D85,'回避'!$S$2:$U$2,0))</f>
        <v>6-20</v>
      </c>
      <c r="E90" s="113" t="str">
        <f t="array" ref="E90">INDEX('回避'!$S$3:$U$84, MATCH($A$1,'回避'!$A$3:$A$91,0), MATCH(E85,'回避'!$S$2:$U$2,0))</f>
        <v>真横：93
真上：124
真下：76</v>
      </c>
      <c r="F90" s="289"/>
      <c r="G90" s="289"/>
      <c r="H90" s="118"/>
      <c r="I90" s="118"/>
      <c r="J90" s="117"/>
      <c r="K90" s="117"/>
      <c r="L90" s="117"/>
      <c r="M90" s="117"/>
      <c r="N90" s="111"/>
      <c r="O90" s="118"/>
      <c r="P90" s="118"/>
      <c r="Q90" s="118"/>
      <c r="R90" s="118"/>
      <c r="S90" s="118"/>
      <c r="T90" s="118"/>
      <c r="U90" s="118"/>
      <c r="V90" s="118"/>
    </row>
    <row r="91">
      <c r="A91" s="291"/>
      <c r="B91" s="292"/>
      <c r="C91" s="286"/>
      <c r="D91" s="286"/>
      <c r="E91" s="293"/>
      <c r="F91" s="286"/>
      <c r="G91" s="286"/>
      <c r="H91" s="286"/>
      <c r="I91" s="286"/>
      <c r="J91" s="111"/>
      <c r="K91" s="227"/>
      <c r="L91" s="227"/>
      <c r="M91" s="227"/>
      <c r="N91" s="227"/>
      <c r="O91" s="118"/>
      <c r="P91" s="118"/>
      <c r="Q91" s="118"/>
      <c r="R91" s="118"/>
      <c r="S91" s="118"/>
      <c r="T91" s="118"/>
      <c r="U91" s="118"/>
      <c r="V91" s="118"/>
    </row>
    <row r="92">
      <c r="A92" s="294" t="str">
        <f>'テンプレート'!A115</f>
        <v>共通動作 (ガケ・受け身...)</v>
      </c>
      <c r="B92" s="104"/>
      <c r="C92" s="228"/>
      <c r="D92" s="117"/>
      <c r="E92" s="228"/>
      <c r="F92" s="114"/>
      <c r="G92" s="114"/>
      <c r="H92" s="117"/>
      <c r="I92" s="117"/>
      <c r="J92" s="118"/>
      <c r="K92" s="118"/>
      <c r="L92" s="118"/>
      <c r="M92" s="118"/>
      <c r="N92" s="118"/>
      <c r="O92" s="118"/>
      <c r="P92" s="118"/>
      <c r="Q92" s="118"/>
      <c r="R92" s="118"/>
      <c r="S92" s="118"/>
      <c r="T92" s="118"/>
      <c r="U92" s="118"/>
      <c r="V92" s="118"/>
    </row>
    <row r="93" outlineLevel="1">
      <c r="A93" s="106"/>
      <c r="B93" s="107"/>
      <c r="C93" s="295" t="str">
        <f>'テンプレート'!C116</f>
        <v>無敵フレーム</v>
      </c>
      <c r="D93" s="295" t="str">
        <f>'テンプレート'!D116</f>
        <v>全体フレーム</v>
      </c>
      <c r="E93" s="295" t="str">
        <f>'テンプレート'!E116</f>
        <v>判定持続</v>
      </c>
      <c r="F93" s="295" t="str">
        <f>'テンプレート'!F116</f>
        <v>基礎ダメージ</v>
      </c>
      <c r="G93" s="296" t="str">
        <f>'テンプレート'!G116</f>
        <v>ダメージ (1v1)</v>
      </c>
      <c r="H93" s="228"/>
      <c r="I93" s="228"/>
      <c r="J93" s="117"/>
      <c r="K93" s="297" t="str">
        <f>'テンプレート'!K116</f>
        <v>アイテム取得</v>
      </c>
      <c r="L93" s="109"/>
      <c r="M93" s="298" t="str">
        <f>'テンプレート'!M116</f>
        <v>取得フレーム</v>
      </c>
      <c r="N93" s="298" t="str">
        <f>'テンプレート'!N116</f>
        <v>全体フレーム</v>
      </c>
      <c r="O93" s="118"/>
      <c r="P93" s="118"/>
      <c r="Q93" s="118"/>
      <c r="R93" s="118"/>
      <c r="S93" s="118"/>
      <c r="T93" s="118"/>
      <c r="U93" s="118"/>
      <c r="V93" s="118"/>
    </row>
    <row r="94" outlineLevel="1">
      <c r="A94" s="299" t="str">
        <f>'テンプレート'!A117</f>
        <v>ガケ行動</v>
      </c>
      <c r="B94" s="300" t="str">
        <f>'テンプレート'!B117</f>
        <v>ガケつかまり</v>
      </c>
      <c r="C94" s="301"/>
      <c r="D94" s="113">
        <f t="array" ref="D94">INDEX('崖行動・受け身'!$C$3:$C$115, MATCH($A$1,'崖行動・受け身'!$A$3:$A$115,0), MATCH(D93,'崖行動・受け身'!$C$2,0))</f>
        <v>19</v>
      </c>
      <c r="E94" s="301"/>
      <c r="F94" s="301"/>
      <c r="G94" s="301"/>
      <c r="H94" s="228"/>
      <c r="I94" s="228"/>
      <c r="J94" s="111"/>
      <c r="K94" s="302" t="str">
        <f>'テンプレート'!K117</f>
        <v>小アイテム</v>
      </c>
      <c r="L94" s="303" t="str">
        <f>'テンプレート'!L117</f>
        <v>その場</v>
      </c>
      <c r="M94" s="113" t="str">
        <f t="array" ref="M94">INDEX('アイテム'!$C$3:$D$115, MATCH($A$1,'アイテム'!$A$3:$A$115,0), MATCH(M$93,'アイテム'!$C$2:$AK$2,0))</f>
        <v>2</v>
      </c>
      <c r="N94" s="113">
        <f t="array" ref="N94">INDEX('アイテム'!$C$3:$D$115, MATCH($A$1,'アイテム'!$A$3:$A$115,0), MATCH(N$93,'アイテム'!$C$2:$AK$2,0))</f>
        <v>7</v>
      </c>
      <c r="O94" s="118"/>
      <c r="P94" s="118"/>
      <c r="Q94" s="118"/>
      <c r="R94" s="118"/>
      <c r="S94" s="118"/>
      <c r="T94" s="118"/>
      <c r="U94" s="118"/>
      <c r="V94" s="118"/>
    </row>
    <row r="95" outlineLevel="1">
      <c r="A95" s="146"/>
      <c r="B95" s="300" t="str">
        <f>'テンプレート'!B118</f>
        <v>その場</v>
      </c>
      <c r="C95" s="113" t="str">
        <f t="array" ref="C95">INDEX('崖行動・受け身'!$D$3:$E$115, MATCH($A$1,'崖行動・受け身'!$A$3:$A$115,0), MATCH(C$93,'崖行動・受け身'!$D$2:$E$2,0))</f>
        <v>1-33</v>
      </c>
      <c r="D95" s="113">
        <f t="array" ref="D95">INDEX('崖行動・受け身'!$D$3:$E$115, MATCH($A$1,'崖行動・受け身'!$A$3:$A$115,0), MATCH(D$93,'崖行動・受け身'!$D$2:$E$2,0))</f>
        <v>34</v>
      </c>
      <c r="E95" s="301"/>
      <c r="F95" s="301"/>
      <c r="G95" s="301"/>
      <c r="H95" s="228"/>
      <c r="I95" s="228"/>
      <c r="J95" s="117"/>
      <c r="K95" s="156"/>
      <c r="L95" s="303" t="str">
        <f>'テンプレート'!L118</f>
        <v>歩き</v>
      </c>
      <c r="M95" s="113" t="str">
        <f t="array" ref="M95">INDEX('アイテム'!$E$3:$F$115, MATCH($A$1,'アイテム'!$A$3:$A$115,0), MATCH(M$93,'アイテム'!$E$2:$AK$2,0))</f>
        <v>2</v>
      </c>
      <c r="N95" s="113">
        <f t="array" ref="N95">INDEX('アイテム'!$E$3:$F$115, MATCH($A$1,'アイテム'!$A$3:$A$115,0), MATCH(N$93,'アイテム'!$E$2:$AK$2,0))</f>
        <v>19</v>
      </c>
      <c r="O95" s="118"/>
      <c r="P95" s="118"/>
      <c r="Q95" s="118"/>
      <c r="R95" s="118"/>
      <c r="S95" s="118"/>
      <c r="T95" s="118"/>
      <c r="U95" s="118"/>
      <c r="V95" s="118"/>
    </row>
    <row r="96" outlineLevel="1">
      <c r="A96" s="146"/>
      <c r="B96" s="300" t="str">
        <f>'テンプレート'!B119</f>
        <v>回避</v>
      </c>
      <c r="C96" s="113" t="str">
        <f t="array" ref="C96">INDEX('崖行動・受け身'!$F$3:$G$115, MATCH($A$1,'崖行動・受け身'!$A$3:$A$115,0), MATCH(C$93,'崖行動・受け身'!$F$2:$G$2,0))</f>
        <v>1-20</v>
      </c>
      <c r="D96" s="113">
        <f t="array" ref="D96">INDEX('崖行動・受け身'!$F$3:$G$115, MATCH($A$1,'崖行動・受け身'!$A$3:$A$115,0), MATCH(D$93,'崖行動・受け身'!$F$2:$G$2,0))</f>
        <v>45</v>
      </c>
      <c r="E96" s="301"/>
      <c r="F96" s="301"/>
      <c r="G96" s="301"/>
      <c r="H96" s="228"/>
      <c r="I96" s="228"/>
      <c r="J96" s="111"/>
      <c r="K96" s="304" t="str">
        <f>'テンプレート'!K119</f>
        <v>アイテム投擲</v>
      </c>
      <c r="L96" s="109"/>
      <c r="M96" s="298" t="str">
        <f>'テンプレート'!M119</f>
        <v>投擲フレーム</v>
      </c>
      <c r="N96" s="298" t="str">
        <f>'テンプレート'!N119</f>
        <v>全体フレーム</v>
      </c>
      <c r="O96" s="118"/>
      <c r="P96" s="118"/>
      <c r="Q96" s="118"/>
      <c r="R96" s="118"/>
      <c r="S96" s="118"/>
      <c r="T96" s="118"/>
      <c r="U96" s="118"/>
      <c r="V96" s="118"/>
    </row>
    <row r="97" outlineLevel="1">
      <c r="A97" s="146"/>
      <c r="B97" s="300" t="str">
        <f>'テンプレート'!B120</f>
        <v>ジャンプ</v>
      </c>
      <c r="C97" s="113" t="str">
        <f t="array" ref="C97">INDEX('崖行動・受け身'!$H$3:$I$115, MATCH($A$1,'崖行動・受け身'!$A$3:$A$115,0), MATCH(C$93,'崖行動・受け身'!$H$2:$I$2,0))</f>
        <v>1-12</v>
      </c>
      <c r="D97" s="113">
        <f t="array" ref="D97">INDEX('崖行動・受け身'!$H$3:$I$115, MATCH($A$1,'崖行動・受け身'!$A$3:$A$115,0), MATCH(D$93,'崖行動・受け身'!$H$2:$I$2,0))</f>
        <v>14</v>
      </c>
      <c r="E97" s="301"/>
      <c r="F97" s="301"/>
      <c r="G97" s="301"/>
      <c r="H97" s="228"/>
      <c r="I97" s="228"/>
      <c r="J97" s="117"/>
      <c r="K97" s="1030" t="str">
        <f>'テンプレート'!K120</f>
        <v>地上投擲</v>
      </c>
      <c r="L97" s="303" t="str">
        <f>'テンプレート'!L120</f>
        <v>前投げ</v>
      </c>
      <c r="M97" s="113" t="str">
        <f t="array" ref="M97">INDEX('アイテム'!$G$3:$H$115, MATCH($A$1,'アイテム'!$A$3:$A$115,0), MATCH(M$96,'アイテム'!$G$2:$AK$2,0))</f>
        <v>8</v>
      </c>
      <c r="N97" s="113">
        <f t="array" ref="N97">INDEX('アイテム'!$G$3:$H$115, MATCH($A$1,'アイテム'!$A$3:$A$115,0), MATCH(N$96,'アイテム'!$G$2:$AK$2,0))</f>
        <v>24</v>
      </c>
      <c r="O97" s="111"/>
      <c r="P97" s="111"/>
      <c r="Q97" s="111"/>
      <c r="R97" s="111"/>
      <c r="S97" s="111"/>
      <c r="T97" s="111"/>
      <c r="U97" s="111"/>
      <c r="V97" s="111"/>
    </row>
    <row r="98" outlineLevel="1">
      <c r="A98" s="156"/>
      <c r="B98" s="300" t="str">
        <f>'テンプレート'!B121</f>
        <v>攻撃</v>
      </c>
      <c r="C98" s="113" t="str">
        <f t="array" ref="C98">INDEX('崖行動・受け身'!$J$3:$M$115, MATCH($A$1,'崖行動・受け身'!$A$3:$A$115,0), MATCH(C$93,'崖行動・受け身'!$J$2:$M$2,0))</f>
        <v>1-23</v>
      </c>
      <c r="D98" s="113">
        <f t="array" ref="D98">INDEX('崖行動・受け身'!$J$3:$M$115, MATCH($A$1,'崖行動・受け身'!$A$3:$A$115,0), MATCH(D$93,'崖行動・受け身'!$J$2:$M$2,0))</f>
        <v>55</v>
      </c>
      <c r="E98" s="113" t="str">
        <f t="array" ref="E98">INDEX('崖行動・受け身'!$J$3:$M$115, MATCH($A$1,'崖行動・受け身'!$A$3:$A$115,0), MATCH(E$93,'崖行動・受け身'!$J$2:$M$2,0))</f>
        <v>21-23</v>
      </c>
      <c r="F98" s="113">
        <f t="array" ref="F98">INDEX('崖行動・受け身'!$J$3:$M$115, MATCH($A$1,'崖行動・受け身'!$A$3:$A$115,0), MATCH(F$93,'崖行動・受け身'!$J$2:$M$2,0))</f>
        <v>9</v>
      </c>
      <c r="G98" s="113">
        <f>F98*1.2</f>
        <v>10.8</v>
      </c>
      <c r="H98" s="228"/>
      <c r="I98" s="228"/>
      <c r="J98" s="111"/>
      <c r="K98" s="146"/>
      <c r="L98" s="303" t="str">
        <f>'テンプレート'!L121</f>
        <v>後投げ</v>
      </c>
      <c r="M98" s="113" t="str">
        <f t="array" ref="M98">INDEX('アイテム'!$I$3:$J$115, MATCH($A$1,'アイテム'!$A$3:$A$115,0), MATCH(M$96,'アイテム'!$I$2:$AK$2,0))</f>
        <v>11</v>
      </c>
      <c r="N98" s="113">
        <f t="array" ref="N98">INDEX('アイテム'!$I$3:$J$115, MATCH($A$1,'アイテム'!$A$3:$A$115,0), MATCH(N$96,'アイテム'!$I$2:$AK$2,0))</f>
        <v>24</v>
      </c>
      <c r="O98" s="111"/>
      <c r="P98" s="111"/>
      <c r="Q98" s="111"/>
      <c r="R98" s="111"/>
      <c r="S98" s="111"/>
      <c r="T98" s="111"/>
      <c r="U98" s="111"/>
      <c r="V98" s="111"/>
    </row>
    <row r="99" outlineLevel="1">
      <c r="A99" s="299" t="str">
        <f>'テンプレート'!A122</f>
        <v>受け身</v>
      </c>
      <c r="B99" s="300" t="str">
        <f>'テンプレート'!B122</f>
        <v>その場</v>
      </c>
      <c r="C99" s="113" t="str">
        <f t="array" ref="C99">INDEX('崖行動・受け身'!$N$3:$O$115, MATCH($A$1,'崖行動・受け身'!$A$3:$A$115,0), MATCH(C$93,'崖行動・受け身'!$N$2:$O$2,0))</f>
        <v>1-20</v>
      </c>
      <c r="D99" s="113">
        <f t="array" ref="D99">INDEX('崖行動・受け身'!$N$3:$O$115, MATCH($A$1,'崖行動・受け身'!$A$3:$A$115,0), MATCH(D$93,'崖行動・受け身'!$N$2:$O$2,0))</f>
        <v>26</v>
      </c>
      <c r="E99" s="301"/>
      <c r="F99" s="301"/>
      <c r="G99" s="301"/>
      <c r="H99" s="228"/>
      <c r="I99" s="228"/>
      <c r="J99" s="117"/>
      <c r="K99" s="146"/>
      <c r="L99" s="303" t="str">
        <f>'テンプレート'!L122</f>
        <v>上投げ</v>
      </c>
      <c r="M99" s="113" t="str">
        <f t="array" ref="M99">INDEX('アイテム'!$K$3:$L$115, MATCH($A$1,'アイテム'!$A$3:$A$115,0), MATCH(M$96,'アイテム'!$K$2:$AK$2,0))</f>
        <v>12</v>
      </c>
      <c r="N99" s="113">
        <f t="array" ref="N99">INDEX('アイテム'!$K$3:$L$115, MATCH($A$1,'アイテム'!$A$3:$A$115,0), MATCH(N$96,'アイテム'!$K$2:$AK$2,0))</f>
        <v>23</v>
      </c>
      <c r="O99" s="228"/>
      <c r="P99" s="228"/>
      <c r="Q99" s="228"/>
      <c r="R99" s="228"/>
      <c r="S99" s="228"/>
      <c r="T99" s="228"/>
      <c r="U99" s="228"/>
      <c r="V99" s="228"/>
    </row>
    <row r="100" outlineLevel="1">
      <c r="A100" s="146"/>
      <c r="B100" s="300" t="str">
        <f>'テンプレート'!B123</f>
        <v>前方</v>
      </c>
      <c r="C100" s="113" t="str">
        <f t="array" ref="C100">INDEX('崖行動・受け身'!$P$3:$Q$115, MATCH($A$1,'崖行動・受け身'!$A$3:$A$115,0), MATCH(C$93,'崖行動・受け身'!$P$2:$Q$2,0))</f>
        <v>1-20</v>
      </c>
      <c r="D100" s="365">
        <f t="array" ref="D100">INDEX('崖行動・受け身'!$P$3:$Q$115, MATCH($A$1,'崖行動・受け身'!$A$3:$A$115,0), MATCH(D$93,'崖行動・受け身'!$P$2:$Q$2,0))</f>
        <v>40</v>
      </c>
      <c r="E100" s="301"/>
      <c r="F100" s="301"/>
      <c r="G100" s="301"/>
      <c r="H100" s="228"/>
      <c r="I100" s="228"/>
      <c r="J100" s="111"/>
      <c r="K100" s="146"/>
      <c r="L100" s="303" t="str">
        <f>'テンプレート'!L123</f>
        <v>下投げ</v>
      </c>
      <c r="M100" s="113" t="str">
        <f t="array" ref="M100">INDEX('アイテム'!$M$3:$N$115, MATCH($A$1,'アイテム'!$A$3:$A$115,0), MATCH(M$96,'アイテム'!$M$2:$AK$2,0))</f>
        <v>7</v>
      </c>
      <c r="N100" s="113">
        <f t="array" ref="N100">INDEX('アイテム'!$M$3:$N$115, MATCH($A$1,'アイテム'!$A$3:$A$115,0), MATCH(N$96,'アイテム'!$M$2:$AK$2,0))</f>
        <v>19</v>
      </c>
      <c r="O100" s="118"/>
      <c r="P100" s="118"/>
      <c r="Q100" s="118"/>
      <c r="R100" s="118"/>
      <c r="S100" s="118"/>
      <c r="T100" s="118"/>
      <c r="U100" s="118"/>
      <c r="V100" s="118"/>
    </row>
    <row r="101" outlineLevel="1">
      <c r="A101" s="156"/>
      <c r="B101" s="300" t="str">
        <f>'テンプレート'!B124</f>
        <v>後方</v>
      </c>
      <c r="C101" s="113" t="str">
        <f t="array" ref="C101">INDEX('崖行動・受け身'!$R$3:$S$115, MATCH($A$1,'崖行動・受け身'!$A$3:$A$115,0), MATCH(C$93,'崖行動・受け身'!$R$2:$S$2,0))</f>
        <v>1-20</v>
      </c>
      <c r="D101" s="365">
        <f t="array" ref="D101">INDEX('崖行動・受け身'!$R$3:$S$115, MATCH($A$1,'崖行動・受け身'!$A$3:$A$115,0), MATCH(D$93,'崖行動・受け身'!$R$2:$S$2,0))</f>
        <v>40</v>
      </c>
      <c r="E101" s="301"/>
      <c r="F101" s="301"/>
      <c r="G101" s="301"/>
      <c r="H101" s="228"/>
      <c r="I101" s="228"/>
      <c r="J101" s="117"/>
      <c r="K101" s="146"/>
      <c r="L101" s="306" t="str">
        <f>'テンプレート'!L124</f>
        <v>ダッシュ</v>
      </c>
      <c r="M101" s="113" t="str">
        <f t="array" ref="M101">INDEX('アイテム'!$O$3:$P$115, MATCH($A$1,'アイテム'!$A$3:$A$115,0), MATCH(M$96,'アイテム'!$O$2:$AK$2,0))</f>
        <v>5</v>
      </c>
      <c r="N101" s="113">
        <f t="array" ref="N101">INDEX('アイテム'!$O$3:$P$115, MATCH($A$1,'アイテム'!$A$3:$A$115,0), MATCH(N$96,'アイテム'!$O$2:$AK$2,0))</f>
        <v>29</v>
      </c>
      <c r="O101" s="118"/>
      <c r="P101" s="118"/>
      <c r="Q101" s="118"/>
      <c r="R101" s="118"/>
      <c r="S101" s="118"/>
      <c r="T101" s="118"/>
      <c r="U101" s="118"/>
      <c r="V101" s="118"/>
    </row>
    <row r="102" outlineLevel="1">
      <c r="A102" s="299" t="str">
        <f>'テンプレート'!A125</f>
        <v>あお向けダウン</v>
      </c>
      <c r="B102" s="300" t="str">
        <f>'テンプレート'!B125</f>
        <v>倒れ</v>
      </c>
      <c r="C102" s="301"/>
      <c r="D102" s="113" t="str">
        <f t="array" ref="D102">INDEX('起きあがり'!$C$3:$C$115, MATCH($A$1,'起きあがり'!$A$3:$A$115,0), MATCH(D$93,'起きあがり'!$C$2:$AD$2,0))</f>
        <v>25</v>
      </c>
      <c r="E102" s="301"/>
      <c r="F102" s="301"/>
      <c r="G102" s="301"/>
      <c r="H102" s="228"/>
      <c r="I102" s="228"/>
      <c r="J102" s="111"/>
      <c r="K102" s="156"/>
      <c r="L102" s="306" t="str">
        <f>'テンプレート'!L125</f>
        <v>その場捨て</v>
      </c>
      <c r="M102" s="113" t="str">
        <f t="array" ref="M102">INDEX('アイテム'!$Q$3:$R$115, MATCH($A$1,'アイテム'!$A$3:$A$115,0), MATCH(M$96,'アイテム'!$Q$2:$AK$2,0))</f>
        <v>6</v>
      </c>
      <c r="N102" s="113">
        <f t="array" ref="N102">INDEX('アイテム'!$Q$3:$R$115, MATCH($A$1,'アイテム'!$A$3:$A$115,0), MATCH(N$96,'アイテム'!$Q$2:$AK$2,0))</f>
        <v>23</v>
      </c>
      <c r="O102" s="118"/>
      <c r="P102" s="118"/>
      <c r="Q102" s="118"/>
      <c r="R102" s="118"/>
      <c r="S102" s="118"/>
      <c r="T102" s="118"/>
      <c r="U102" s="118"/>
      <c r="V102" s="118"/>
    </row>
    <row r="103" outlineLevel="1">
      <c r="A103" s="146"/>
      <c r="B103" s="300" t="str">
        <f>'テンプレート'!B126</f>
        <v>その場</v>
      </c>
      <c r="C103" s="307" t="str">
        <f t="array" ref="C103">INDEX('起きあがり'!$D$3:$E$115, MATCH($A$1,'起きあがり'!$A$3:$A$115,0), MATCH(C$93,'起きあがり'!$D$2:$AD$2,0))</f>
        <v>1-22</v>
      </c>
      <c r="D103" s="308">
        <f t="array" ref="D103">INDEX('起きあがり'!$D$3:$E$115, MATCH($A$1,'起きあがり'!$A$3:$A$115,0), MATCH(D$93,'起きあがり'!$D$2:$AD$2,0))</f>
        <v>29</v>
      </c>
      <c r="E103" s="301"/>
      <c r="F103" s="301"/>
      <c r="G103" s="301"/>
      <c r="H103" s="228"/>
      <c r="I103" s="228"/>
      <c r="J103" s="117"/>
      <c r="K103" s="1030" t="str">
        <f>'テンプレート'!K126</f>
        <v>空中投擲</v>
      </c>
      <c r="L103" s="303" t="str">
        <f>'テンプレート'!L126</f>
        <v>前投げ</v>
      </c>
      <c r="M103" s="113" t="str">
        <f t="array" ref="M103">INDEX('アイテム'!$S$3:$T$115, MATCH($A$1,'アイテム'!$A$3:$A$115,0), MATCH(M$96,'アイテム'!$S$2:$AK$2,0))</f>
        <v>8</v>
      </c>
      <c r="N103" s="113">
        <f t="array" ref="N103">INDEX('アイテム'!$S$3:$T$115, MATCH($A$1,'アイテム'!$A$3:$A$115,0), MATCH(N$96,'アイテム'!$S$2:$AK$2,0))</f>
        <v>24</v>
      </c>
      <c r="O103" s="118"/>
      <c r="P103" s="118"/>
      <c r="Q103" s="118"/>
      <c r="R103" s="118"/>
      <c r="S103" s="118"/>
      <c r="T103" s="118"/>
      <c r="U103" s="118"/>
      <c r="V103" s="118"/>
    </row>
    <row r="104" outlineLevel="1">
      <c r="A104" s="146"/>
      <c r="B104" s="300" t="str">
        <f>'テンプレート'!B127</f>
        <v>前方</v>
      </c>
      <c r="C104" s="307" t="str">
        <f t="array" ref="C104">INDEX('起きあがり'!$F$3:$G$115, MATCH($A$1,'起きあがり'!$A$3:$A$115,0), MATCH(C$93,'起きあがり'!$F$2:$AD$2,0))</f>
        <v>1-21</v>
      </c>
      <c r="D104" s="308">
        <f t="array" ref="D104">INDEX('起きあがり'!$F$3:$G$115, MATCH($A$1,'起きあがり'!$A$3:$A$115,0), MATCH(D$93,'起きあがり'!$F$2:$AD$2,0))</f>
        <v>35</v>
      </c>
      <c r="E104" s="301"/>
      <c r="F104" s="301"/>
      <c r="G104" s="301"/>
      <c r="H104" s="228"/>
      <c r="I104" s="228"/>
      <c r="J104" s="111"/>
      <c r="K104" s="146"/>
      <c r="L104" s="303" t="str">
        <f>'テンプレート'!L127</f>
        <v>後投げ</v>
      </c>
      <c r="M104" s="113" t="str">
        <f t="array" ref="M104">INDEX('アイテム'!$U$3:$V$115, MATCH($A$1,'アイテム'!$A$3:$A$115,0), MATCH(M$96,'アイテム'!$U$2:$AK$2,0))</f>
        <v>11</v>
      </c>
      <c r="N104" s="113">
        <f t="array" ref="N104">INDEX('アイテム'!$U$3:$V$115, MATCH($A$1,'アイテム'!$A$3:$A$115,0), MATCH(N$96,'アイテム'!$U$2:$AK$2,0))</f>
        <v>24</v>
      </c>
      <c r="O104" s="118"/>
      <c r="P104" s="118"/>
      <c r="Q104" s="118"/>
      <c r="R104" s="118"/>
      <c r="S104" s="118"/>
      <c r="T104" s="118"/>
      <c r="U104" s="118"/>
      <c r="V104" s="118"/>
    </row>
    <row r="105" outlineLevel="1">
      <c r="A105" s="146"/>
      <c r="B105" s="300" t="str">
        <f>'テンプレート'!B128</f>
        <v>後方</v>
      </c>
      <c r="C105" s="113" t="str">
        <f t="array" ref="C105">INDEX('起きあがり'!$H$3:$I$115, MATCH($A$1,'起きあがり'!$A$3:$A$115,0), MATCH(C$93,'起きあがり'!$H$2:$AD$2,0))</f>
        <v>1-22</v>
      </c>
      <c r="D105" s="113">
        <f t="array" ref="D105">INDEX('起きあがり'!$H$3:$I$115, MATCH($A$1,'起きあがり'!$A$3:$A$115,0), MATCH(D$93,'起きあがり'!$H$2:$AD$2,0))</f>
        <v>35</v>
      </c>
      <c r="E105" s="301"/>
      <c r="F105" s="301"/>
      <c r="G105" s="301"/>
      <c r="H105" s="228"/>
      <c r="I105" s="228"/>
      <c r="J105" s="117"/>
      <c r="K105" s="146"/>
      <c r="L105" s="303" t="str">
        <f>'テンプレート'!L128</f>
        <v>上投げ</v>
      </c>
      <c r="M105" s="113" t="str">
        <f t="array" ref="M105">INDEX('アイテム'!$W$3:$X$115, MATCH($A$1,'アイテム'!$A$3:$A$115,0), MATCH(M$96,'アイテム'!$W$2:$AK$2,0))</f>
        <v>12</v>
      </c>
      <c r="N105" s="113">
        <f t="array" ref="N105">INDEX('アイテム'!$W$3:$X$115, MATCH($A$1,'アイテム'!$A$3:$A$115,0), MATCH(N$96,'アイテム'!$W$2:$AK$2,0))</f>
        <v>23</v>
      </c>
      <c r="O105" s="118"/>
      <c r="P105" s="118"/>
      <c r="Q105" s="118"/>
      <c r="R105" s="118"/>
      <c r="S105" s="118"/>
      <c r="T105" s="118"/>
      <c r="U105" s="118"/>
      <c r="V105" s="118"/>
    </row>
    <row r="106" outlineLevel="1">
      <c r="A106" s="146"/>
      <c r="B106" s="1709" t="str">
        <f>'テンプレート'!B129</f>
        <v>攻撃1</v>
      </c>
      <c r="C106" s="309" t="str">
        <f t="array" ref="C106">INDEX('起きあがり'!$J$3:$M$115, MATCH($A$1,'起きあがり'!$A$3:$A$115,0), MATCH(C$93,'起きあがり'!$J$2:$AD$2,0))</f>
        <v>1-23</v>
      </c>
      <c r="D106" s="310">
        <f t="array" ref="D106">INDEX('起きあがり'!$J$3:$M$115, MATCH($A$1,'起きあがり'!$A$3:$A$115,0), MATCH(D$93,'起きあがり'!$J$2:$AD$2,0))</f>
        <v>45</v>
      </c>
      <c r="E106" s="307" t="str">
        <f t="array" ref="E106">INDEX('起きあがり'!$J$3:$M$115, MATCH($A$1,'起きあがり'!$A$3:$A$115,0), MATCH(E$93,'起きあがり'!$J$2:$AD$2,0))</f>
        <v>14-15</v>
      </c>
      <c r="F106" s="308">
        <f t="array" ref="F106">INDEX('起きあがり'!$J$3:$M$115, MATCH($A$1,'起きあがり'!$A$3:$A$115,0), MATCH(F$93,'起きあがり'!$J$2:$AD$2,0))</f>
        <v>7</v>
      </c>
      <c r="G106" s="113">
        <f t="shared" ref="G106:G107" si="1">F106*1.2</f>
        <v>8.4</v>
      </c>
      <c r="H106" s="228"/>
      <c r="I106" s="228"/>
      <c r="J106" s="111"/>
      <c r="K106" s="156"/>
      <c r="L106" s="303" t="str">
        <f>'テンプレート'!L129</f>
        <v>下投げ</v>
      </c>
      <c r="M106" s="113" t="str">
        <f t="array" ref="M106">INDEX('アイテム'!$Y$3:$Z$115, MATCH($A$1,'アイテム'!$A$3:$A$115,0), MATCH(M$96,'アイテム'!$Y$2:$AK$2,0))</f>
        <v>7</v>
      </c>
      <c r="N106" s="113">
        <f t="array" ref="N106">INDEX('アイテム'!$Y$3:$Z$115, MATCH($A$1,'アイテム'!$A$3:$A$115,0), MATCH(N$96,'アイテム'!$Y$2:$AK$2,0))</f>
        <v>19</v>
      </c>
      <c r="O106" s="111"/>
      <c r="P106" s="111"/>
      <c r="Q106" s="111"/>
      <c r="R106" s="111"/>
      <c r="S106" s="111"/>
      <c r="T106" s="111"/>
      <c r="U106" s="111"/>
      <c r="V106" s="111"/>
    </row>
    <row r="107" outlineLevel="1">
      <c r="A107" s="156"/>
      <c r="B107" s="156"/>
      <c r="C107" s="156"/>
      <c r="D107" s="156"/>
      <c r="E107" s="307" t="str">
        <f t="array" ref="E107">INDEX('起きあがり'!$N$3:$O$115, MATCH($A$1,'起きあがり'!$A$3:$A$115,0), MATCH(E$93,'起きあがり'!$N$2:$AD$2,0))</f>
        <v>22-23</v>
      </c>
      <c r="F107" s="308">
        <f t="array" ref="F107">INDEX('起きあがり'!$N$3:$O$115, MATCH($A$1,'起きあがり'!$A$3:$A$115,0), MATCH(F$93,'起きあがり'!$N$2:$AD$2,0))</f>
        <v>7</v>
      </c>
      <c r="G107" s="113">
        <f t="shared" si="1"/>
        <v>8.4</v>
      </c>
      <c r="H107" s="228"/>
      <c r="I107" s="228"/>
      <c r="J107" s="111"/>
      <c r="K107" s="312" t="str">
        <f>'テンプレート'!K130</f>
        <v>踏み台ジャンプ</v>
      </c>
      <c r="L107" s="168"/>
      <c r="M107" s="298" t="str">
        <f>'テンプレート'!M130</f>
        <v>全体フレーム</v>
      </c>
      <c r="N107" s="114"/>
      <c r="O107" s="111"/>
      <c r="P107" s="111"/>
      <c r="Q107" s="111"/>
      <c r="R107" s="111"/>
      <c r="S107" s="111"/>
      <c r="T107" s="111"/>
      <c r="U107" s="111"/>
      <c r="V107" s="111"/>
    </row>
    <row r="108" outlineLevel="1">
      <c r="A108" s="299" t="str">
        <f>'テンプレート'!A131</f>
        <v>うつ伏せダウン</v>
      </c>
      <c r="B108" s="300" t="str">
        <f>'テンプレート'!B131</f>
        <v>倒れ</v>
      </c>
      <c r="C108" s="301"/>
      <c r="D108" s="308" t="str">
        <f t="array" ref="D108">INDEX(#REF!, MATCH($A$1,'起きあがり'!$A$3:$A$115,0), MATCH(D$93,'起きあがり'!$P$2:$AD$2,0))</f>
        <v>#REF!</v>
      </c>
      <c r="E108" s="301"/>
      <c r="F108" s="301"/>
      <c r="G108" s="301"/>
      <c r="H108" s="228"/>
      <c r="I108" s="228"/>
      <c r="J108" s="117"/>
      <c r="K108" s="313" t="str">
        <f>'テンプレート'!K131</f>
        <v>踏み</v>
      </c>
      <c r="L108" s="314" t="str">
        <f>'テンプレート'!L131</f>
        <v>踏み</v>
      </c>
      <c r="M108" s="113" t="str">
        <f t="array" ref="M108">INDEX('共通動作その他'!$C$3:$C$102, MATCH($A$1,'共通動作その他'!$A$3:$A$102,0), MATCH(M$107,'共通動作その他'!$C$2:$AA$2,0))</f>
        <v>-</v>
      </c>
      <c r="N108" s="315"/>
      <c r="O108" s="111"/>
      <c r="P108" s="111"/>
      <c r="Q108" s="111"/>
      <c r="R108" s="111"/>
      <c r="S108" s="111"/>
      <c r="T108" s="111"/>
      <c r="U108" s="111"/>
      <c r="V108" s="111"/>
    </row>
    <row r="109" outlineLevel="1">
      <c r="A109" s="146"/>
      <c r="B109" s="300" t="str">
        <f>'テンプレート'!B132</f>
        <v>その場</v>
      </c>
      <c r="C109" s="307" t="str">
        <f t="array" ref="C109">INDEX('起きあがり'!$P$3:$Q$115, MATCH($A$1,'起きあがり'!$A$3:$A$115,0), MATCH(C$93,'起きあがり'!$P$2:$AD$2,0))</f>
        <v>1-22</v>
      </c>
      <c r="D109" s="308">
        <f t="array" ref="D109">INDEX('起きあがり'!$P$3:$Q$115, MATCH($A$1,'起きあがり'!$A$3:$A$115,0), MATCH(D$93,'起きあがり'!$P$2:$AD$2,0))</f>
        <v>29</v>
      </c>
      <c r="E109" s="301"/>
      <c r="F109" s="301"/>
      <c r="G109" s="301"/>
      <c r="H109" s="228"/>
      <c r="I109" s="228"/>
      <c r="J109" s="111"/>
      <c r="K109" s="305" t="str">
        <f>'テンプレート'!K132</f>
        <v>踏まれ</v>
      </c>
      <c r="L109" s="314" t="str">
        <f>'テンプレート'!L132</f>
        <v>地上踏まれ</v>
      </c>
      <c r="M109" s="113" t="str">
        <f t="array" ref="M109">INDEX('共通動作その他'!$D$3:$D$102, MATCH($A$1,'共通動作その他'!$A$3:$A$102,0), MATCH(M$107,'共通動作その他'!$D$2:$AA$2,0))</f>
        <v>-</v>
      </c>
      <c r="N109" s="315"/>
      <c r="O109" s="228"/>
      <c r="P109" s="228"/>
      <c r="Q109" s="228"/>
      <c r="R109" s="228"/>
      <c r="S109" s="228"/>
      <c r="T109" s="228"/>
      <c r="U109" s="228"/>
      <c r="V109" s="228"/>
    </row>
    <row r="110" outlineLevel="1">
      <c r="A110" s="146"/>
      <c r="B110" s="300" t="str">
        <f>'テンプレート'!B133</f>
        <v>前方</v>
      </c>
      <c r="C110" s="307" t="str">
        <f t="array" ref="C110">INDEX('起きあがり'!$R$3:$S$115, MATCH($A$1,'起きあがり'!$A$3:$A$115,0), MATCH(C$93,'起きあがり'!$R$2:$AD$2,0))</f>
        <v>1-19</v>
      </c>
      <c r="D110" s="308">
        <f t="array" ref="D110">INDEX('起きあがり'!$R$3:$S$115, MATCH($A$1,'起きあがり'!$A$3:$A$115,0), MATCH(D$93,'起きあがり'!$R$2:$AD$2,0))</f>
        <v>35</v>
      </c>
      <c r="E110" s="301"/>
      <c r="F110" s="301"/>
      <c r="G110" s="301"/>
      <c r="H110" s="228"/>
      <c r="I110" s="228"/>
      <c r="J110" s="117"/>
      <c r="K110" s="146"/>
      <c r="L110" s="314" t="str">
        <f>'テンプレート'!L133</f>
        <v>地上硬直</v>
      </c>
      <c r="M110" s="113" t="str">
        <f t="array" ref="M110">INDEX('共通動作その他'!$E$3:$E$102, MATCH($A$1,'共通動作その他'!$A$3:$A$102,0), MATCH(M$107,'共通動作その他'!$E$2:$AA$2,0))</f>
        <v>-</v>
      </c>
      <c r="N110" s="102"/>
      <c r="O110" s="118"/>
      <c r="P110" s="118"/>
      <c r="Q110" s="118"/>
      <c r="R110" s="118"/>
      <c r="S110" s="118"/>
      <c r="T110" s="118"/>
      <c r="U110" s="118"/>
      <c r="V110" s="118"/>
    </row>
    <row r="111" outlineLevel="1">
      <c r="A111" s="146"/>
      <c r="B111" s="300" t="str">
        <f>'テンプレート'!B134</f>
        <v>後方</v>
      </c>
      <c r="C111" s="307" t="str">
        <f t="array" ref="C111">INDEX('起きあがり'!$T$3:$U$115, MATCH($A$1,'起きあがり'!$A$3:$A$115,0), MATCH(C$93,'起きあがり'!$T$2:$AD$2,0))</f>
        <v>1-24</v>
      </c>
      <c r="D111" s="308">
        <f t="array" ref="D111">INDEX('起きあがり'!$T$3:$U$115, MATCH($A$1,'起きあがり'!$A$3:$A$115,0), MATCH(D$93,'起きあがり'!$T$2:$AD$2,0))</f>
        <v>35</v>
      </c>
      <c r="E111" s="301"/>
      <c r="F111" s="301"/>
      <c r="G111" s="301"/>
      <c r="H111" s="228"/>
      <c r="I111" s="228"/>
      <c r="J111" s="111"/>
      <c r="K111" s="146"/>
      <c r="L111" s="314" t="str">
        <f>'テンプレート'!L134</f>
        <v>空中踏まれ</v>
      </c>
      <c r="M111" s="113" t="str">
        <f t="array" ref="M111">INDEX('共通動作その他'!$F$3:$F$102, MATCH($A$1,'共通動作その他'!$A$3:$A$102,0), MATCH(M$107,'共通動作その他'!$F$2:$AA$2,0))</f>
        <v>-</v>
      </c>
      <c r="N111" s="102"/>
      <c r="O111" s="118"/>
      <c r="P111" s="118"/>
      <c r="Q111" s="118"/>
      <c r="R111" s="118"/>
      <c r="S111" s="118"/>
      <c r="T111" s="118"/>
      <c r="U111" s="118"/>
      <c r="V111" s="118"/>
    </row>
    <row r="112" outlineLevel="1">
      <c r="A112" s="146"/>
      <c r="B112" s="1709" t="str">
        <f>'テンプレート'!B135</f>
        <v>攻撃1</v>
      </c>
      <c r="C112" s="309" t="str">
        <f t="array" ref="C112">INDEX('起きあがり'!$V$3:$Y$115, MATCH($A$1,'起きあがり'!$A$3:$A$115,0), MATCH(C$93,'起きあがり'!$V$2:$AD$2,0))</f>
        <v>1-23</v>
      </c>
      <c r="D112" s="310">
        <f t="array" ref="D112">INDEX('起きあがり'!$V$3:$Y$115, MATCH($A$1,'起きあがり'!$A$3:$A$115,0), MATCH(D$93,'起きあがり'!$V$2:$AD$2,0))</f>
        <v>45</v>
      </c>
      <c r="E112" s="307" t="str">
        <f t="array" ref="E112">INDEX('起きあがり'!$V$3:$Y$115, MATCH($A$1,'起きあがり'!$A$3:$A$115,0), MATCH(E$93,'起きあがり'!$V$2:$AD$2,0))</f>
        <v>16-17</v>
      </c>
      <c r="F112" s="308">
        <f t="array" ref="F112">INDEX('起きあがり'!$V$3:$Y$115, MATCH($A$1,'起きあがり'!$A$3:$A$115,0), MATCH(F$93,'起きあがり'!$V$2:$AD$2,0))</f>
        <v>7</v>
      </c>
      <c r="G112" s="113">
        <f t="shared" ref="G112:G113" si="2">F112*1.2</f>
        <v>8.4</v>
      </c>
      <c r="H112" s="228"/>
      <c r="I112" s="228"/>
      <c r="J112" s="117"/>
      <c r="K112" s="146"/>
      <c r="L112" s="314" t="str">
        <f>'テンプレート'!L135</f>
        <v>空中落下</v>
      </c>
      <c r="M112" s="113" t="str">
        <f t="array" ref="M112">INDEX('共通動作その他'!$G$3:$G$102, MATCH($A$1,'共通動作その他'!$A$3:$A$102,0), MATCH(M$107,'共通動作その他'!$G$2:$AA$2,0))</f>
        <v>-</v>
      </c>
      <c r="N112" s="102"/>
      <c r="O112" s="118"/>
      <c r="P112" s="118"/>
      <c r="Q112" s="118"/>
      <c r="R112" s="118"/>
      <c r="S112" s="118"/>
      <c r="T112" s="118"/>
      <c r="U112" s="118"/>
      <c r="V112" s="118"/>
    </row>
    <row r="113" outlineLevel="1">
      <c r="A113" s="156"/>
      <c r="B113" s="156"/>
      <c r="C113" s="156"/>
      <c r="D113" s="156"/>
      <c r="E113" s="307" t="str">
        <f t="array" ref="E113">INDEX('起きあがり'!$Z$3:$AA$115, MATCH($A$1,'起きあがり'!$A$3:$A$115,0), MATCH(E$93,'起きあがり'!$Z$2:$AD$2,0))</f>
        <v>22-23</v>
      </c>
      <c r="F113" s="308">
        <f t="array" ref="F113">INDEX('起きあがり'!$Z$3:$AA$115, MATCH($A$1,'起きあがり'!$A$3:$A$115,0), MATCH(F$93,'起きあがり'!$Z$2:$AD$2,0))</f>
        <v>7</v>
      </c>
      <c r="G113" s="113">
        <f t="shared" si="2"/>
        <v>8.4</v>
      </c>
      <c r="H113" s="228"/>
      <c r="I113" s="228"/>
      <c r="J113" s="117"/>
      <c r="K113" s="304" t="str">
        <f>'テンプレート'!K136</f>
        <v>倒れダメージ</v>
      </c>
      <c r="L113" s="110"/>
      <c r="M113" s="298" t="str">
        <f>'テンプレート'!M136</f>
        <v>全体フレーム</v>
      </c>
      <c r="N113" s="102"/>
      <c r="O113" s="118"/>
      <c r="P113" s="118"/>
      <c r="Q113" s="118"/>
      <c r="R113" s="118"/>
      <c r="S113" s="118"/>
      <c r="T113" s="118"/>
      <c r="U113" s="118"/>
      <c r="V113" s="118"/>
    </row>
    <row r="114" outlineLevel="1">
      <c r="A114" s="299" t="str">
        <f>'テンプレート'!A137</f>
        <v>転倒</v>
      </c>
      <c r="B114" s="300" t="str">
        <f>'テンプレート'!B137</f>
        <v>硬直(小)</v>
      </c>
      <c r="C114" s="307" t="str">
        <f t="array" ref="C114">INDEX('転倒'!$C$3:$D$115, MATCH($A$1,'転倒'!$A$3:$A$115,0), MATCH(C$93,'転倒'!$C$2:$AC$2,0))</f>
        <v>1-5</v>
      </c>
      <c r="D114" s="308">
        <f t="array" ref="D114">INDEX('転倒'!$C$3:$D$115, MATCH($A$1,'転倒'!$A$3:$A$115,0), MATCH(D$93,'転倒'!$C$2:$AC$2,0))</f>
        <v>29</v>
      </c>
      <c r="E114" s="301"/>
      <c r="F114" s="301"/>
      <c r="G114" s="301"/>
      <c r="H114" s="228"/>
      <c r="I114" s="228"/>
      <c r="J114" s="111"/>
      <c r="K114" s="313" t="str">
        <f>'テンプレート'!K137</f>
        <v>あお向け倒れ</v>
      </c>
      <c r="L114" s="306" t="str">
        <f>'テンプレート'!L137</f>
        <v>モーション大</v>
      </c>
      <c r="M114" s="113" t="str">
        <f t="array" ref="M114">INDEX('共通動作その他'!$H$3:$H$102, MATCH($A$1,'共通動作その他'!$A$3:$A$102,0), MATCH(M$113,'共通動作その他'!$H$2:$AA$2,0))</f>
        <v>-</v>
      </c>
      <c r="N114" s="315"/>
      <c r="O114" s="118"/>
      <c r="P114" s="118"/>
      <c r="Q114" s="118"/>
      <c r="R114" s="118"/>
      <c r="S114" s="118"/>
      <c r="T114" s="118"/>
      <c r="U114" s="118"/>
      <c r="V114" s="118"/>
    </row>
    <row r="115" outlineLevel="1">
      <c r="A115" s="146"/>
      <c r="B115" s="300" t="str">
        <f>'テンプレート'!B138</f>
        <v>硬直(大)</v>
      </c>
      <c r="C115" s="307" t="str">
        <f t="array" ref="C115">INDEX('転倒'!$E$3:$F$115, MATCH($A$1,'転倒'!$A$3:$A$115,0), MATCH(C$93,'転倒'!$E$2:$AC$2,0))</f>
        <v>1-5</v>
      </c>
      <c r="D115" s="308">
        <f t="array" ref="D115">INDEX('転倒'!$E$3:$F$115, MATCH($A$1,'転倒'!$A$3:$A$115,0), MATCH(D$93,'転倒'!$E$2:$AC$2,0))</f>
        <v>39</v>
      </c>
      <c r="E115" s="301"/>
      <c r="F115" s="301"/>
      <c r="G115" s="301"/>
      <c r="H115" s="228"/>
      <c r="I115" s="228"/>
      <c r="J115" s="117"/>
      <c r="K115" s="313" t="str">
        <f>'テンプレート'!K138</f>
        <v>うつ伏せ倒れ</v>
      </c>
      <c r="L115" s="306" t="str">
        <f>'テンプレート'!L138</f>
        <v>モーション大</v>
      </c>
      <c r="M115" s="113" t="str">
        <f t="array" ref="M115">INDEX('共通動作その他'!$I$3:$I$102, MATCH($A$1,'共通動作その他'!$A$3:$A$102,0), MATCH(M$113,'共通動作その他'!$I$2:$AA$2,0))</f>
        <v>-</v>
      </c>
      <c r="N115" s="315"/>
      <c r="O115" s="118"/>
      <c r="P115" s="118"/>
      <c r="Q115" s="118"/>
      <c r="R115" s="118"/>
      <c r="S115" s="118"/>
      <c r="T115" s="118"/>
      <c r="U115" s="118"/>
      <c r="V115" s="118"/>
    </row>
    <row r="116" outlineLevel="1">
      <c r="A116" s="146"/>
      <c r="B116" s="300" t="str">
        <f>'テンプレート'!B139</f>
        <v>その場</v>
      </c>
      <c r="C116" s="307" t="str">
        <f t="array" ref="C116">INDEX('転倒'!$G$3:$H$115, MATCH($A$1,'転倒'!$A$3:$A$115,0), MATCH(C$93,'転倒'!$G$2:$AC$2,0))</f>
        <v>1-16</v>
      </c>
      <c r="D116" s="308">
        <f t="array" ref="D116">INDEX('転倒'!$G$3:$H$115, MATCH($A$1,'転倒'!$A$3:$A$115,0), MATCH(D$93,'転倒'!$G$2:$AC$2,0))</f>
        <v>21</v>
      </c>
      <c r="E116" s="301"/>
      <c r="F116" s="301"/>
      <c r="G116" s="301"/>
      <c r="H116" s="228"/>
      <c r="I116" s="228"/>
      <c r="J116" s="111"/>
      <c r="K116" s="304" t="str">
        <f>'テンプレート'!K139</f>
        <v/>
      </c>
      <c r="L116" s="110"/>
      <c r="M116" s="298" t="str">
        <f>'テンプレート'!M139</f>
        <v/>
      </c>
      <c r="N116" s="102"/>
      <c r="O116" s="118"/>
      <c r="P116" s="118"/>
      <c r="Q116" s="118"/>
      <c r="R116" s="118"/>
      <c r="S116" s="118"/>
      <c r="T116" s="118"/>
      <c r="U116" s="118"/>
      <c r="V116" s="118"/>
    </row>
    <row r="117" outlineLevel="1">
      <c r="A117" s="146"/>
      <c r="B117" s="300" t="str">
        <f>'テンプレート'!B140</f>
        <v>前方</v>
      </c>
      <c r="C117" s="307" t="str">
        <f t="array" ref="C117">INDEX('転倒'!$I$3:$J$115, MATCH($A$1,'転倒'!$A$3:$A$115,0), MATCH(C$93,'転倒'!$I$2:$AC$2,0))</f>
        <v>1-9</v>
      </c>
      <c r="D117" s="308">
        <f t="array" ref="D117">INDEX('転倒'!$I$3:$J$115, MATCH($A$1,'転倒'!$A$3:$A$115,0), MATCH(D$93,'転倒'!$I$2:$AC$2,0))</f>
        <v>28</v>
      </c>
      <c r="E117" s="301"/>
      <c r="F117" s="301"/>
      <c r="G117" s="301"/>
      <c r="H117" s="228"/>
      <c r="I117" s="228"/>
      <c r="J117" s="228"/>
      <c r="K117" s="316" t="str">
        <f>'テンプレート'!K140</f>
        <v/>
      </c>
      <c r="L117" s="317" t="str">
        <f>'テンプレート'!L140</f>
        <v/>
      </c>
      <c r="M117" s="113" t="str">
        <f t="array" ref="M117">INDEX('共通動作その他'!$J$3:$J$102, MATCH($A$1,'共通動作その他'!$A$3:$A$102,0), MATCH(M$116,'共通動作その他'!$J$2:$AA$2,0))</f>
        <v>#N/A</v>
      </c>
      <c r="N117" s="102"/>
      <c r="O117" s="118"/>
      <c r="P117" s="118"/>
      <c r="Q117" s="118"/>
      <c r="R117" s="118"/>
      <c r="S117" s="118"/>
      <c r="T117" s="118"/>
      <c r="U117" s="118"/>
      <c r="V117" s="118"/>
    </row>
    <row r="118" outlineLevel="1">
      <c r="A118" s="146"/>
      <c r="B118" s="300" t="str">
        <f>'テンプレート'!B141</f>
        <v>後方</v>
      </c>
      <c r="C118" s="307" t="str">
        <f t="array" ref="C118">INDEX('転倒'!$K$3:$L$115, MATCH($A$1,'転倒'!$A$3:$A$115,0), MATCH(C$93,'転倒'!$K$2:$AC$2,0))</f>
        <v>1-9</v>
      </c>
      <c r="D118" s="308">
        <f t="array" ref="D118">INDEX('転倒'!$K$3:$L$115, MATCH($A$1,'転倒'!$A$3:$A$115,0), MATCH(D$93,'転倒'!$K$2:$AC$2,0))</f>
        <v>28</v>
      </c>
      <c r="E118" s="301"/>
      <c r="F118" s="301"/>
      <c r="G118" s="301"/>
      <c r="H118" s="228"/>
      <c r="I118" s="228"/>
      <c r="J118" s="228"/>
      <c r="K118" s="102"/>
      <c r="L118" s="118"/>
      <c r="M118" s="118"/>
      <c r="N118" s="102"/>
      <c r="O118" s="118"/>
      <c r="P118" s="118"/>
      <c r="Q118" s="118"/>
      <c r="R118" s="118"/>
      <c r="S118" s="118"/>
      <c r="T118" s="118"/>
      <c r="U118" s="118"/>
      <c r="V118" s="118"/>
    </row>
    <row r="119" outlineLevel="1">
      <c r="A119" s="146"/>
      <c r="B119" s="1709" t="str">
        <f>'テンプレート'!B142</f>
        <v>攻撃1</v>
      </c>
      <c r="C119" s="309" t="str">
        <f t="array" ref="C119">INDEX('転倒'!$M$3:$P$115, MATCH($A$1,'転倒'!$A$3:$A$115,0), MATCH(C$93,'転倒'!$M$2:$AC$2,0))</f>
        <v>1-7</v>
      </c>
      <c r="D119" s="310">
        <f t="array" ref="D119">INDEX('転倒'!$M$3:$P$115, MATCH($A$1,'転倒'!$A$3:$A$115,0), MATCH(D$93,'転倒'!$M$2:$AC$2,0))</f>
        <v>49</v>
      </c>
      <c r="E119" s="307" t="str">
        <f t="array" ref="E119">INDEX('転倒'!$M$3:$P$115, MATCH($A$1,'転倒'!$A$3:$A$115,0), MATCH(E$93,'転倒'!$M$2:$AC$2,0))</f>
        <v>19-20</v>
      </c>
      <c r="F119" s="308">
        <f t="array" ref="F119">INDEX('転倒'!$M$3:$P$115, MATCH($A$1,'転倒'!$A$3:$A$115,0), MATCH(F$93,'転倒'!$M$2:$AC$2,0))</f>
        <v>5</v>
      </c>
      <c r="G119" s="113">
        <f t="shared" ref="G119:G120" si="3">F119*1.2</f>
        <v>6</v>
      </c>
      <c r="H119" s="228"/>
      <c r="I119" s="228"/>
      <c r="J119" s="228"/>
      <c r="K119" s="118"/>
      <c r="L119" s="118"/>
      <c r="M119" s="118"/>
      <c r="N119" s="102"/>
      <c r="O119" s="102"/>
      <c r="P119" s="102"/>
      <c r="Q119" s="102"/>
      <c r="R119" s="118"/>
      <c r="S119" s="118"/>
      <c r="T119" s="118"/>
      <c r="U119" s="118"/>
      <c r="V119" s="118"/>
    </row>
    <row r="120" outlineLevel="1">
      <c r="A120" s="156"/>
      <c r="B120" s="156"/>
      <c r="C120" s="156"/>
      <c r="D120" s="156"/>
      <c r="E120" s="307" t="str">
        <f t="array" ref="E120">INDEX('転倒'!$Q$3:$R$115, MATCH($A$1,'転倒'!$A$3:$A$115,0), MATCH(E$93,'転倒'!$Q$2:$AC$2,0))</f>
        <v>31-32</v>
      </c>
      <c r="F120" s="308">
        <f t="array" ref="F120">INDEX('転倒'!$Q$3:$R$115, MATCH($A$1,'転倒'!$A$3:$A$115,0), MATCH(F$93,'転倒'!$Q$2:$AC$2,0))</f>
        <v>5</v>
      </c>
      <c r="G120" s="113">
        <f t="shared" si="3"/>
        <v>6</v>
      </c>
      <c r="H120" s="228"/>
      <c r="I120" s="228"/>
      <c r="J120" s="228"/>
      <c r="K120" s="118"/>
      <c r="L120" s="118"/>
      <c r="M120" s="118"/>
      <c r="N120" s="102"/>
      <c r="O120" s="102"/>
      <c r="P120" s="102"/>
      <c r="Q120" s="102"/>
      <c r="R120" s="118"/>
      <c r="S120" s="118"/>
      <c r="T120" s="118"/>
      <c r="U120" s="118"/>
      <c r="V120" s="118"/>
    </row>
    <row r="121" outlineLevel="1">
      <c r="A121" s="319"/>
      <c r="B121" s="320"/>
      <c r="C121" s="321"/>
      <c r="D121" s="321"/>
      <c r="E121" s="322"/>
      <c r="F121" s="322"/>
      <c r="G121" s="114"/>
      <c r="H121" s="228"/>
      <c r="I121" s="228"/>
      <c r="J121" s="228"/>
      <c r="K121" s="118"/>
      <c r="L121" s="118"/>
      <c r="M121" s="118"/>
      <c r="N121" s="102"/>
      <c r="O121" s="102"/>
      <c r="P121" s="102"/>
      <c r="Q121" s="102"/>
      <c r="R121" s="118"/>
      <c r="S121" s="118"/>
      <c r="T121" s="118"/>
      <c r="U121" s="118"/>
      <c r="V121" s="118"/>
    </row>
    <row r="122" outlineLevel="1">
      <c r="A122" s="323" t="s">
        <v>255</v>
      </c>
      <c r="B122" s="109"/>
      <c r="C122" s="321"/>
      <c r="D122" s="321"/>
      <c r="E122" s="322"/>
      <c r="F122" s="322"/>
      <c r="G122" s="114"/>
      <c r="H122" s="228"/>
      <c r="I122" s="228"/>
      <c r="J122" s="228"/>
      <c r="K122" s="118"/>
      <c r="L122" s="118"/>
      <c r="M122" s="118"/>
      <c r="N122" s="102"/>
      <c r="O122" s="102"/>
      <c r="P122" s="102"/>
      <c r="Q122" s="102"/>
      <c r="R122" s="118"/>
      <c r="S122" s="118"/>
      <c r="T122" s="118"/>
      <c r="U122" s="118"/>
      <c r="V122" s="118"/>
    </row>
    <row r="123" outlineLevel="1">
      <c r="A123" s="324" t="s">
        <v>256</v>
      </c>
      <c r="B123" s="109"/>
      <c r="C123" s="325" t="s">
        <v>257</v>
      </c>
      <c r="D123" s="325" t="s">
        <v>49</v>
      </c>
      <c r="E123" s="322"/>
      <c r="F123" s="322"/>
      <c r="G123" s="114"/>
      <c r="H123" s="228"/>
      <c r="I123" s="228"/>
      <c r="J123" s="228"/>
      <c r="K123" s="118"/>
      <c r="L123" s="118"/>
      <c r="M123" s="118"/>
      <c r="N123" s="102"/>
      <c r="O123" s="102"/>
      <c r="P123" s="102"/>
      <c r="Q123" s="102"/>
      <c r="R123" s="118"/>
      <c r="S123" s="118"/>
      <c r="T123" s="118"/>
      <c r="U123" s="118"/>
      <c r="V123" s="118"/>
    </row>
    <row r="124" outlineLevel="1">
      <c r="A124" s="326" t="s">
        <v>258</v>
      </c>
      <c r="B124" s="327" t="s">
        <v>216</v>
      </c>
      <c r="C124" s="328" t="str">
        <f t="array" ref="C124">INDEX('アイテム'!$C$3:$D$114, MATCH($A$1,'アイテム'!$A$3:$A$114,0), MATCH(C123,'アイテム'!$C$2:$AQ$2,0))</f>
        <v>2</v>
      </c>
      <c r="D124" s="328">
        <f t="array" ref="D124">INDEX('アイテム'!$C$3:$D$114, MATCH($A$1,'アイテム'!$A$3:$A$114,0), MATCH(D123,'アイテム'!$C$2:$AQ$2,0))</f>
        <v>7</v>
      </c>
      <c r="E124" s="322"/>
      <c r="F124" s="322"/>
      <c r="G124" s="114"/>
      <c r="H124" s="228"/>
      <c r="I124" s="228"/>
      <c r="J124" s="228"/>
      <c r="K124" s="118"/>
      <c r="L124" s="118"/>
      <c r="M124" s="118"/>
      <c r="N124" s="102"/>
      <c r="O124" s="102"/>
      <c r="P124" s="102"/>
      <c r="Q124" s="102"/>
      <c r="R124" s="118"/>
      <c r="S124" s="118"/>
      <c r="T124" s="118"/>
      <c r="U124" s="118"/>
      <c r="V124" s="118"/>
    </row>
    <row r="125" outlineLevel="1">
      <c r="A125" s="156"/>
      <c r="B125" s="327" t="s">
        <v>219</v>
      </c>
      <c r="C125" s="328" t="str">
        <f t="array" ref="C125">INDEX('アイテム'!$E$3:$F$114, MATCH($A$1,'アイテム'!$A$3:$A$114,0), MATCH(C123,'アイテム'!$C$2:$AQ$2,0))</f>
        <v>2</v>
      </c>
      <c r="D125" s="328">
        <f t="array" ref="D125">INDEX('アイテム'!$E$3:$F$114, MATCH($A$1,'アイテム'!$A$3:$A$114,0), MATCH(D123,'アイテム'!$C$2:$AQ$2,0))</f>
        <v>19</v>
      </c>
      <c r="E125" s="322"/>
      <c r="F125" s="322"/>
      <c r="G125" s="114"/>
      <c r="H125" s="228"/>
      <c r="I125" s="228"/>
      <c r="J125" s="228"/>
      <c r="K125" s="118"/>
      <c r="L125" s="118"/>
      <c r="M125" s="118"/>
      <c r="N125" s="102"/>
      <c r="O125" s="102"/>
      <c r="P125" s="102"/>
      <c r="Q125" s="102"/>
      <c r="R125" s="118"/>
      <c r="S125" s="118"/>
      <c r="T125" s="118"/>
      <c r="U125" s="118"/>
      <c r="V125" s="118"/>
    </row>
    <row r="126" outlineLevel="1">
      <c r="A126" s="329" t="s">
        <v>259</v>
      </c>
      <c r="B126" s="327" t="s">
        <v>216</v>
      </c>
      <c r="C126" s="328">
        <f t="array" ref="C126">INDEX('アイテム'!$AA$3:$AB$114, MATCH($A$1,'アイテム'!$A$3:$A$114,0), MATCH(C123,'アイテム'!$C$2:$AQ$2,0))</f>
        <v>3</v>
      </c>
      <c r="D126" s="328" t="str">
        <f t="array" ref="D126">INDEX('アイテム'!$AA$3:$AB$114, MATCH($A$1,'アイテム'!$A$3:$A$114,0), MATCH(D123,'アイテム'!$C$2:$AQ$2,0))</f>
        <v>12</v>
      </c>
      <c r="E126" s="322"/>
      <c r="F126" s="322"/>
      <c r="G126" s="114"/>
      <c r="H126" s="228"/>
      <c r="I126" s="228"/>
      <c r="J126" s="228"/>
      <c r="K126" s="118"/>
      <c r="L126" s="118"/>
      <c r="M126" s="118"/>
      <c r="N126" s="102"/>
      <c r="O126" s="102"/>
      <c r="P126" s="102"/>
      <c r="Q126" s="102"/>
      <c r="R126" s="118"/>
      <c r="S126" s="118"/>
      <c r="T126" s="118"/>
      <c r="U126" s="118"/>
      <c r="V126" s="118"/>
    </row>
    <row r="127" outlineLevel="1">
      <c r="A127" s="324" t="s">
        <v>260</v>
      </c>
      <c r="B127" s="109"/>
      <c r="C127" s="325" t="s">
        <v>261</v>
      </c>
      <c r="D127" s="325" t="s">
        <v>49</v>
      </c>
      <c r="E127" s="322"/>
      <c r="F127" s="322"/>
      <c r="G127" s="114"/>
      <c r="H127" s="228"/>
      <c r="I127" s="228"/>
      <c r="J127" s="228"/>
      <c r="K127" s="118"/>
      <c r="L127" s="118"/>
      <c r="M127" s="118"/>
      <c r="N127" s="102"/>
      <c r="O127" s="102"/>
      <c r="P127" s="102"/>
      <c r="Q127" s="102"/>
      <c r="R127" s="118"/>
      <c r="S127" s="118"/>
      <c r="T127" s="118"/>
      <c r="U127" s="118"/>
      <c r="V127" s="118"/>
    </row>
    <row r="128" outlineLevel="1">
      <c r="A128" s="326" t="s">
        <v>262</v>
      </c>
      <c r="B128" s="327" t="s">
        <v>226</v>
      </c>
      <c r="C128" s="328" t="str">
        <f t="array" ref="C128">INDEX('アイテム'!$G$3:$H$114, MATCH($A$1,'アイテム'!$A$3:$A$114,0), MATCH(C123,'アイテム'!$C$2:$AQ$2,0))</f>
        <v>8</v>
      </c>
      <c r="D128" s="328">
        <f t="array" ref="D128">INDEX('アイテム'!$G$3:$H$114, MATCH($A$1,'アイテム'!$A$3:$A$114,0), MATCH(D123,'アイテム'!$C$2:$AQ$2,0))</f>
        <v>24</v>
      </c>
      <c r="E128" s="322"/>
      <c r="F128" s="322"/>
      <c r="G128" s="114"/>
      <c r="H128" s="228"/>
      <c r="I128" s="228"/>
      <c r="J128" s="228"/>
      <c r="K128" s="118"/>
      <c r="L128" s="118"/>
      <c r="M128" s="118"/>
      <c r="N128" s="102"/>
      <c r="O128" s="102"/>
      <c r="P128" s="102"/>
      <c r="Q128" s="102"/>
      <c r="R128" s="118"/>
      <c r="S128" s="118"/>
      <c r="T128" s="118"/>
      <c r="U128" s="118"/>
      <c r="V128" s="118"/>
    </row>
    <row r="129" outlineLevel="1">
      <c r="A129" s="146"/>
      <c r="B129" s="327" t="s">
        <v>229</v>
      </c>
      <c r="C129" s="328" t="str">
        <f t="array" ref="C129">INDEX('アイテム'!$I$3:$J$114, MATCH($A$1,'アイテム'!$A$3:$A$114,0), MATCH(C123,'アイテム'!$C$2:$AQ$2,0))</f>
        <v>11</v>
      </c>
      <c r="D129" s="328">
        <f t="array" ref="D129">INDEX('アイテム'!$I$3:$J$114, MATCH($A$1,'アイテム'!$A$3:$A$114,0), MATCH(D123,'アイテム'!$C$2:$AQ$2,0))</f>
        <v>24</v>
      </c>
      <c r="E129" s="322"/>
      <c r="F129" s="322"/>
      <c r="G129" s="114"/>
      <c r="H129" s="228"/>
      <c r="I129" s="228"/>
      <c r="J129" s="228"/>
      <c r="K129" s="118"/>
      <c r="L129" s="118"/>
      <c r="M129" s="118"/>
      <c r="N129" s="102"/>
      <c r="O129" s="102"/>
      <c r="P129" s="102"/>
      <c r="Q129" s="102"/>
      <c r="R129" s="118"/>
      <c r="S129" s="118"/>
      <c r="T129" s="118"/>
      <c r="U129" s="118"/>
      <c r="V129" s="118"/>
    </row>
    <row r="130" outlineLevel="1">
      <c r="A130" s="146"/>
      <c r="B130" s="327" t="s">
        <v>233</v>
      </c>
      <c r="C130" s="328" t="str">
        <f t="array" ref="C130">INDEX('アイテム'!$K$3:$L$114, MATCH($A$1,'アイテム'!$A$3:$A$114,0), MATCH(C123,'アイテム'!$C$2:$AQ$2,0))</f>
        <v>12</v>
      </c>
      <c r="D130" s="328">
        <f t="array" ref="D130">INDEX('アイテム'!$K$3:$L$114, MATCH($A$1,'アイテム'!$A$3:$A$114,0), MATCH(D123,'アイテム'!$C$2:$AQ$2,0))</f>
        <v>23</v>
      </c>
      <c r="E130" s="322"/>
      <c r="F130" s="322"/>
      <c r="G130" s="114"/>
      <c r="H130" s="228"/>
      <c r="I130" s="228"/>
      <c r="J130" s="228"/>
      <c r="K130" s="118"/>
      <c r="L130" s="118"/>
      <c r="M130" s="118"/>
      <c r="N130" s="102"/>
      <c r="O130" s="102"/>
      <c r="P130" s="102"/>
      <c r="Q130" s="102"/>
      <c r="R130" s="118"/>
      <c r="S130" s="118"/>
      <c r="T130" s="118"/>
      <c r="U130" s="118"/>
      <c r="V130" s="118"/>
    </row>
    <row r="131" outlineLevel="1">
      <c r="A131" s="146"/>
      <c r="B131" s="327" t="s">
        <v>234</v>
      </c>
      <c r="C131" s="328" t="str">
        <f t="array" ref="C131">INDEX('アイテム'!$M$3:$N$114, MATCH($A$1,'アイテム'!$A$3:$A$114,0), MATCH(C123,'アイテム'!$C$2:$AQ$2,0))</f>
        <v>7</v>
      </c>
      <c r="D131" s="328">
        <f t="array" ref="D131">INDEX('アイテム'!$M$3:$N$114, MATCH($A$1,'アイテム'!$A$3:$A$114,0), MATCH(D123,'アイテム'!$C$2:$AQ$2,0))</f>
        <v>19</v>
      </c>
      <c r="E131" s="322"/>
      <c r="F131" s="322"/>
      <c r="G131" s="114"/>
      <c r="H131" s="228"/>
      <c r="I131" s="228"/>
      <c r="J131" s="228"/>
      <c r="K131" s="118"/>
      <c r="L131" s="118"/>
      <c r="M131" s="118"/>
      <c r="N131" s="102"/>
      <c r="O131" s="102"/>
      <c r="P131" s="102"/>
      <c r="Q131" s="102"/>
      <c r="R131" s="118"/>
      <c r="S131" s="118"/>
      <c r="T131" s="118"/>
      <c r="U131" s="118"/>
      <c r="V131" s="118"/>
    </row>
    <row r="132" outlineLevel="1">
      <c r="A132" s="146"/>
      <c r="B132" s="327" t="s">
        <v>219</v>
      </c>
      <c r="C132" s="328" t="str">
        <f t="array" ref="C132">INDEX('アイテム'!$O$3:$P$114, MATCH($A$1,'アイテム'!$A$3:$A$114,0), MATCH(C123,'アイテム'!$C$2:$AQ$2,0))</f>
        <v>5</v>
      </c>
      <c r="D132" s="328">
        <f t="array" ref="D132">INDEX('アイテム'!$O$3:$P$114, MATCH($A$1,'アイテム'!$A$3:$A$114,0), MATCH(D123,'アイテム'!$C$2:$AQ$2,0))</f>
        <v>29</v>
      </c>
      <c r="E132" s="322"/>
      <c r="F132" s="322"/>
      <c r="G132" s="114"/>
      <c r="H132" s="228"/>
      <c r="I132" s="228"/>
      <c r="J132" s="228"/>
      <c r="K132" s="118"/>
      <c r="L132" s="118"/>
      <c r="M132" s="118"/>
      <c r="N132" s="102"/>
      <c r="O132" s="102"/>
      <c r="P132" s="102"/>
      <c r="Q132" s="102"/>
      <c r="R132" s="118"/>
      <c r="S132" s="118"/>
      <c r="T132" s="118"/>
      <c r="U132" s="118"/>
      <c r="V132" s="118"/>
    </row>
    <row r="133" outlineLevel="1">
      <c r="A133" s="156"/>
      <c r="B133" s="327" t="s">
        <v>263</v>
      </c>
      <c r="C133" s="328" t="str">
        <f t="array" ref="C133">INDEX('アイテム'!$Q$3:$R$114, MATCH($A$1,'アイテム'!$A$3:$A$114,0), MATCH(C123,'アイテム'!$C$2:$AQ$2,0))</f>
        <v>6</v>
      </c>
      <c r="D133" s="328">
        <f t="array" ref="D133">INDEX('アイテム'!$Q$3:$R$114, MATCH($A$1,'アイテム'!$A$3:$A$114,0), MATCH(D123,'アイテム'!$C$2:$AQ$2,0))</f>
        <v>23</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264</v>
      </c>
      <c r="B134" s="327" t="s">
        <v>226</v>
      </c>
      <c r="C134" s="328" t="str">
        <f t="array" ref="C134">INDEX('アイテム'!$S$3:$T$114, MATCH($A$1,'アイテム'!$A$3:$A$114,0), MATCH(C123,'アイテム'!$C$2:$AQ$2,0))</f>
        <v>8</v>
      </c>
      <c r="D134" s="328">
        <f t="array" ref="D134">INDEX('アイテム'!$S$3:$T$114, MATCH($A$1,'アイテム'!$A$3:$A$114,0), MATCH(D123,'アイテム'!$C$2:$AQ$2,0))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229</v>
      </c>
      <c r="C135" s="328" t="str">
        <f t="array" ref="C135">INDEX('アイテム'!$U$3:$V$114, MATCH($A$1,'アイテム'!$A$3:$A$114,0), MATCH(C123,'アイテム'!$C$2:$AQ$2,0))</f>
        <v>11</v>
      </c>
      <c r="D135" s="328">
        <f t="array" ref="D135">INDEX('アイテム'!$U$3:$V$114, MATCH($A$1,'アイテム'!$A$3:$A$114,0), MATCH(D123,'アイテム'!$C$2:$AQ$2,0))</f>
        <v>24</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233</v>
      </c>
      <c r="C136" s="328" t="str">
        <f t="array" ref="C136">INDEX('アイテム'!$W$3:$X$114, MATCH($A$1,'アイテム'!$A$3:$A$114,0), MATCH(C123,'アイテム'!$C$2:$AQ$2,0))</f>
        <v>12</v>
      </c>
      <c r="D136" s="328">
        <f t="array" ref="D136">INDEX('アイテム'!$W$3:$X$114, MATCH($A$1,'アイテム'!$A$3:$A$114,0), MATCH(D123,'アイテム'!$C$2:$AQ$2,0))</f>
        <v>23</v>
      </c>
      <c r="E136" s="322"/>
      <c r="F136" s="322"/>
      <c r="G136" s="114"/>
      <c r="H136" s="228"/>
      <c r="I136" s="228"/>
      <c r="J136" s="228"/>
      <c r="K136" s="118"/>
      <c r="L136" s="118"/>
      <c r="M136" s="118"/>
      <c r="N136" s="102"/>
      <c r="O136" s="102"/>
      <c r="P136" s="102"/>
      <c r="Q136" s="102"/>
      <c r="R136" s="118"/>
      <c r="S136" s="118"/>
      <c r="T136" s="118"/>
      <c r="U136" s="118"/>
      <c r="V136" s="118"/>
    </row>
    <row r="137" outlineLevel="1">
      <c r="A137" s="156"/>
      <c r="B137" s="327" t="s">
        <v>234</v>
      </c>
      <c r="C137" s="328" t="str">
        <f t="array" ref="C137">INDEX('アイテム'!$Y$3:$Z$114, MATCH($A$1,'アイテム'!$A$3:$A$114,0), MATCH(C123,'アイテム'!$C$2:$AQ$2,0))</f>
        <v>7</v>
      </c>
      <c r="D137" s="328">
        <f t="array" ref="D137">INDEX('アイテム'!$Y$3:$Z$114, MATCH($A$1,'アイテム'!$A$3:$A$114,0), MATCH(D123,'アイテム'!$C$2:$AQ$2,0))</f>
        <v>19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265</v>
      </c>
      <c r="B138" s="327" t="s">
        <v>226</v>
      </c>
      <c r="C138" s="328">
        <f t="array" ref="C138">INDEX('アイテム'!$AC$3:$AD$114, MATCH($A$1,'アイテム'!$A$3:$A$114,0), MATCH(C123,'アイテム'!$C$2:$AQ$2,0))</f>
        <v>14</v>
      </c>
      <c r="D138" s="328" t="str">
        <f t="array" ref="D138">INDEX('アイテム'!$AC$3:$AD$114, MATCH($A$1,'アイテム'!$A$3:$A$114,0), MATCH(D123,'アイテム'!$C$2:$AQ$2,0))</f>
        <v>30</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f t="array" ref="C139">INDEX('アイテム'!$AE$3:$AF$114, MATCH($A$1,'アイテム'!$A$3:$A$114,0), MATCH(C123,'アイテム'!$C$2:$AQ$2,0))</f>
        <v>15</v>
      </c>
      <c r="D139" s="328" t="str">
        <f t="array" ref="D139">INDEX('アイテム'!$AE$3:$AF$114, MATCH($A$1,'アイテム'!$A$3:$A$114,0), MATCH(D123,'アイテム'!$C$2:$AQ$2,0))</f>
        <v>30</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f t="array" ref="C140">INDEX('アイテム'!$AG$3:$AH$114, MATCH($A$1,'アイテム'!$A$3:$A$114,0), MATCH(C123,'アイテム'!$C$2:$AQ$2,0))</f>
        <v>11</v>
      </c>
      <c r="D140" s="328" t="str">
        <f t="array" ref="D140">INDEX('アイテム'!$AG$3:$AH$114, MATCH($A$1,'アイテム'!$A$3:$A$114,0), MATCH(D123,'アイテム'!$C$2:$AQ$2,0))</f>
        <v>22</v>
      </c>
      <c r="E140" s="322"/>
      <c r="F140" s="322"/>
      <c r="G140" s="114"/>
      <c r="H140" s="228"/>
      <c r="I140" s="228"/>
      <c r="J140" s="228"/>
      <c r="K140" s="118"/>
      <c r="L140" s="118"/>
      <c r="M140" s="118"/>
      <c r="N140" s="102"/>
      <c r="O140" s="102"/>
      <c r="P140" s="102"/>
      <c r="Q140" s="102"/>
      <c r="R140" s="118"/>
      <c r="S140" s="118"/>
      <c r="T140" s="118"/>
      <c r="U140" s="118"/>
      <c r="V140" s="118"/>
    </row>
    <row r="141" outlineLevel="1">
      <c r="A141" s="156"/>
      <c r="B141" s="327" t="s">
        <v>234</v>
      </c>
      <c r="C141" s="328">
        <f t="array" ref="C141">INDEX('アイテム'!$AI$3:$AJ$114, MATCH($A$1,'アイテム'!$A$3:$A$114,0), MATCH(C123,'アイテム'!$C$2:$AQ$2,0))</f>
        <v>9</v>
      </c>
      <c r="D141" s="328" t="str">
        <f t="array" ref="D141">INDEX('アイテム'!$AI$3:$AJ$114, MATCH($A$1,'アイテム'!$A$3:$A$114,0), MATCH(D123,'アイテム'!$C$2:$AQ$2,0))</f>
        <v>22</v>
      </c>
      <c r="E141" s="322"/>
      <c r="F141" s="322"/>
      <c r="G141" s="114"/>
      <c r="H141" s="228"/>
      <c r="I141" s="228"/>
      <c r="J141" s="228"/>
      <c r="K141" s="118"/>
      <c r="L141" s="118"/>
      <c r="M141" s="118"/>
      <c r="N141" s="102"/>
      <c r="O141" s="102"/>
      <c r="P141" s="102"/>
      <c r="Q141" s="102"/>
      <c r="R141" s="118"/>
      <c r="S141" s="118"/>
      <c r="T141" s="118"/>
      <c r="U141" s="118"/>
      <c r="V141" s="118"/>
    </row>
  </sheetData>
  <mergeCells count="126">
    <mergeCell ref="H26:J26"/>
    <mergeCell ref="H27:J27"/>
    <mergeCell ref="H28:J28"/>
    <mergeCell ref="H29:J29"/>
    <mergeCell ref="H30:J30"/>
    <mergeCell ref="H31:J32"/>
    <mergeCell ref="H33:J34"/>
    <mergeCell ref="H35:J35"/>
    <mergeCell ref="H36:J36"/>
    <mergeCell ref="H37:J38"/>
    <mergeCell ref="H39:J39"/>
    <mergeCell ref="H40:J40"/>
    <mergeCell ref="I44:I45"/>
    <mergeCell ref="J44:J45"/>
    <mergeCell ref="H60:J62"/>
    <mergeCell ref="H63:J63"/>
    <mergeCell ref="H64:J64"/>
    <mergeCell ref="H65:J65"/>
    <mergeCell ref="H66:J66"/>
    <mergeCell ref="G74:J74"/>
    <mergeCell ref="G75:J76"/>
    <mergeCell ref="K103:K106"/>
    <mergeCell ref="K107:L107"/>
    <mergeCell ref="K109:K112"/>
    <mergeCell ref="K113:L113"/>
    <mergeCell ref="K116:L116"/>
    <mergeCell ref="G77:J78"/>
    <mergeCell ref="G79:J80"/>
    <mergeCell ref="G81:J82"/>
    <mergeCell ref="K93:L93"/>
    <mergeCell ref="K94:K95"/>
    <mergeCell ref="K96:L96"/>
    <mergeCell ref="K97:K102"/>
    <mergeCell ref="A24:B25"/>
    <mergeCell ref="A26:A30"/>
    <mergeCell ref="A31:A32"/>
    <mergeCell ref="D31:D32"/>
    <mergeCell ref="A33:A34"/>
    <mergeCell ref="D33:D34"/>
    <mergeCell ref="D37:D38"/>
    <mergeCell ref="A37:A38"/>
    <mergeCell ref="A42:B43"/>
    <mergeCell ref="A44:A45"/>
    <mergeCell ref="D44:D45"/>
    <mergeCell ref="A47:A48"/>
    <mergeCell ref="D47:D48"/>
    <mergeCell ref="A52:B52"/>
    <mergeCell ref="A60:A62"/>
    <mergeCell ref="D60:D62"/>
    <mergeCell ref="A63:B63"/>
    <mergeCell ref="A65:B65"/>
    <mergeCell ref="A68:B69"/>
    <mergeCell ref="A71:A73"/>
    <mergeCell ref="A74:B74"/>
    <mergeCell ref="A75:A76"/>
    <mergeCell ref="D75:D76"/>
    <mergeCell ref="A77:A78"/>
    <mergeCell ref="D77:D78"/>
    <mergeCell ref="A79:A80"/>
    <mergeCell ref="D79:D80"/>
    <mergeCell ref="D81:D82"/>
    <mergeCell ref="A102:A107"/>
    <mergeCell ref="B106:B107"/>
    <mergeCell ref="C106:C107"/>
    <mergeCell ref="D106:D107"/>
    <mergeCell ref="A81:A82"/>
    <mergeCell ref="A84:B85"/>
    <mergeCell ref="A86:A88"/>
    <mergeCell ref="A89:A90"/>
    <mergeCell ref="A92:B93"/>
    <mergeCell ref="A94:A98"/>
    <mergeCell ref="A99:A101"/>
    <mergeCell ref="B119:B120"/>
    <mergeCell ref="A122:B122"/>
    <mergeCell ref="A123:B123"/>
    <mergeCell ref="A124:A125"/>
    <mergeCell ref="A127:B127"/>
    <mergeCell ref="A128:A133"/>
    <mergeCell ref="A134:A137"/>
    <mergeCell ref="A138:A141"/>
    <mergeCell ref="A108:A113"/>
    <mergeCell ref="B112:B113"/>
    <mergeCell ref="C112:C113"/>
    <mergeCell ref="D112:D113"/>
    <mergeCell ref="A114:A120"/>
    <mergeCell ref="C119:C120"/>
    <mergeCell ref="D119:D120"/>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I47:I48"/>
    <mergeCell ref="J47:J48"/>
    <mergeCell ref="H53:J53"/>
    <mergeCell ref="H54:J58"/>
    <mergeCell ref="H59:J59"/>
    <mergeCell ref="R49:V49"/>
    <mergeCell ref="R50:V50"/>
    <mergeCell ref="U54:U58"/>
    <mergeCell ref="V54:V58"/>
    <mergeCell ref="U60:U62"/>
    <mergeCell ref="V60:V62"/>
    <mergeCell ref="U31:U32"/>
    <mergeCell ref="U33:U34"/>
    <mergeCell ref="U37:U38"/>
    <mergeCell ref="R43:V43"/>
    <mergeCell ref="R44:V45"/>
    <mergeCell ref="R46:V46"/>
    <mergeCell ref="R47:V48"/>
    <mergeCell ref="A53:B53"/>
    <mergeCell ref="A54:A58"/>
    <mergeCell ref="D54:D58"/>
    <mergeCell ref="A59:B59"/>
  </mergeCells>
  <conditionalFormatting sqref="K1:K15 K17:K117 C77 E77:F77 L77:Q77 C81 E81:F81 L81:Q81">
    <cfRule type="containsText" dxfId="0" priority="1" operator="containsText" text="361">
      <formula>NOT(ISERROR(SEARCH(("361"),(K1))))</formula>
    </cfRule>
  </conditionalFormatting>
  <conditionalFormatting sqref="K1:K15 K17:K117 C77 E77:F77 L77:Q77 C81 E81:F81 L81:Q81">
    <cfRule type="containsText" dxfId="1" priority="2" operator="containsText" text="363">
      <formula>NOT(ISERROR(SEARCH(("363"),(K1))))</formula>
    </cfRule>
  </conditionalFormatting>
  <conditionalFormatting sqref="K1:K15 K17:K117 C77 E77:F77 L77:Q77 C81 E81:F81 L81:Q81">
    <cfRule type="containsText" dxfId="1" priority="3" operator="containsText" text="365">
      <formula>NOT(ISERROR(SEARCH(("365"),(K1))))</formula>
    </cfRule>
  </conditionalFormatting>
  <conditionalFormatting sqref="K1:K15 K17:K117 C77 E77:F77 L77:Q77 C81 E81:F81 L81:Q81">
    <cfRule type="containsText" dxfId="1" priority="4" operator="containsText" text="366">
      <formula>NOT(ISERROR(SEARCH(("366"),(K1))))</formula>
    </cfRule>
  </conditionalFormatting>
  <conditionalFormatting sqref="K1:K15 K17:K117 C77 E77:F77 L77:Q77 C81 E81:F81 L81:Q81">
    <cfRule type="containsText" dxfId="1" priority="5" operator="containsText" text="367">
      <formula>NOT(ISERROR(SEARCH(("367"),(K1))))</formula>
    </cfRule>
  </conditionalFormatting>
  <conditionalFormatting sqref="P75:P82">
    <cfRule type="cellIs" dxfId="2" priority="6" operator="equal">
      <formula>"敵のみ"</formula>
    </cfRule>
  </conditionalFormatting>
  <conditionalFormatting sqref="C75:C82">
    <cfRule type="cellIs" dxfId="3" priority="7" operator="equal">
      <formula>"-"</formula>
    </cfRule>
  </conditionalFormatting>
  <conditionalFormatting sqref="O1:O141 C66 E66:G66 K66:N66 P66:T66 P82">
    <cfRule type="cellIs" dxfId="4" priority="8" operator="greaterThan">
      <formula>0</formula>
    </cfRule>
  </conditionalFormatting>
  <conditionalFormatting sqref="P1:Q141">
    <cfRule type="cellIs" dxfId="5" priority="9" operator="lessThan">
      <formula>1</formula>
    </cfRule>
  </conditionalFormatting>
  <conditionalFormatting sqref="P1:Q141">
    <cfRule type="cellIs" dxfId="4" priority="10" operator="greaterThan">
      <formula>1</formula>
    </cfRule>
  </conditionalFormatting>
  <conditionalFormatting sqref="N25:N82">
    <cfRule type="cellIs" dxfId="6" priority="11" operator="greaterThan">
      <formula>0</formula>
    </cfRule>
  </conditionalFormatting>
  <conditionalFormatting sqref="N1:N15 N17:N141">
    <cfRule type="containsText" dxfId="6" priority="12" operator="containsText" text="/">
      <formula>NOT(ISERROR(SEARCH(("/"),(N1))))</formula>
    </cfRule>
  </conditionalFormatting>
  <drawing r:id="rId2"/>
  <legacy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8B5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739">
        <v>35.0</v>
      </c>
      <c r="B1" s="1740"/>
      <c r="C1" s="1741" t="str">
        <f>IMAGE(VLOOKUP($A$1,Fighters!A2:AI114,12,FALSE),1)</f>
        <v>#REF!</v>
      </c>
      <c r="D1" s="1742"/>
      <c r="E1" s="1742"/>
      <c r="F1" s="1742"/>
      <c r="G1" s="1743"/>
      <c r="H1" s="1744"/>
      <c r="I1" s="1742"/>
      <c r="J1" s="1743"/>
      <c r="K1" s="1745"/>
      <c r="L1" s="1742"/>
      <c r="M1" s="1743"/>
      <c r="N1" s="1746"/>
      <c r="O1" s="1746"/>
      <c r="P1" s="1746"/>
      <c r="Q1" s="1746"/>
      <c r="R1" s="1747"/>
      <c r="S1" s="1747"/>
      <c r="T1" s="1747"/>
      <c r="U1" s="1747"/>
      <c r="V1" s="1747"/>
    </row>
    <row r="2">
      <c r="A2" s="1748" t="str">
        <f>VLOOKUP($A$1,Fighters!$A$2:$AI$81,6,FALSE)</f>
        <v>#ed8b5d</v>
      </c>
      <c r="B2" s="1740"/>
      <c r="C2" s="1749"/>
      <c r="G2" s="1750"/>
      <c r="H2" s="1751"/>
      <c r="I2" s="1752"/>
      <c r="J2" s="1753"/>
      <c r="K2" s="1751"/>
      <c r="L2" s="1752"/>
      <c r="M2" s="1753"/>
      <c r="N2" s="1746"/>
      <c r="O2" s="1746"/>
      <c r="P2" s="1746"/>
      <c r="Q2" s="1746"/>
      <c r="R2" s="1747"/>
      <c r="S2" s="1747"/>
      <c r="T2" s="1747"/>
      <c r="U2" s="1747"/>
      <c r="V2" s="1747"/>
    </row>
    <row r="3">
      <c r="A3" s="1748" t="str">
        <f>VLOOKUP($A$1,Fighters!$A$2:$AI$81,14,FALSE)</f>
        <v>35. リザードン</v>
      </c>
      <c r="B3" s="1740"/>
      <c r="C3" s="1749"/>
      <c r="G3" s="1750"/>
      <c r="H3" s="1754"/>
      <c r="I3" s="1754"/>
      <c r="J3" s="1754"/>
      <c r="K3" s="1755"/>
      <c r="L3" s="1755"/>
      <c r="M3" s="1755"/>
      <c r="N3" s="1746"/>
      <c r="O3" s="1746"/>
      <c r="P3" s="1746"/>
      <c r="Q3" s="1746"/>
      <c r="R3" s="1756"/>
      <c r="S3" s="1747"/>
      <c r="T3" s="1747"/>
      <c r="U3" s="1747"/>
      <c r="V3" s="1747"/>
    </row>
    <row r="4">
      <c r="A4" s="1748" t="str">
        <f>VLOOKUP($A$1,Fighters!$A$2:$AI$81,13,FALSE)</f>
        <v>1</v>
      </c>
      <c r="B4" s="1740"/>
      <c r="C4" s="1749"/>
      <c r="G4" s="1750"/>
      <c r="H4" s="1757"/>
      <c r="I4" s="1757"/>
      <c r="J4" s="1754"/>
      <c r="K4" s="1755"/>
      <c r="L4" s="1755"/>
      <c r="M4" s="1755"/>
      <c r="N4" s="1746"/>
      <c r="O4" s="1746"/>
      <c r="P4" s="1746"/>
      <c r="Q4" s="1746"/>
      <c r="R4" s="1756"/>
      <c r="S4" s="1747"/>
      <c r="T4" s="1747"/>
      <c r="U4" s="1747"/>
      <c r="V4" s="1747"/>
    </row>
    <row r="5" ht="16.5" customHeight="1">
      <c r="A5" s="1739"/>
      <c r="B5" s="1740"/>
      <c r="C5" s="1749"/>
      <c r="G5" s="1750"/>
      <c r="H5" s="1758"/>
      <c r="I5" s="1758"/>
      <c r="J5" s="1759"/>
      <c r="K5" s="1760"/>
      <c r="L5" s="1761"/>
      <c r="M5" s="1761"/>
      <c r="N5" s="1746"/>
      <c r="O5" s="1746"/>
      <c r="P5" s="1746"/>
      <c r="Q5" s="1746"/>
      <c r="R5" s="1756"/>
      <c r="S5" s="1747"/>
      <c r="T5" s="1747"/>
      <c r="U5" s="1747"/>
      <c r="V5" s="1747"/>
    </row>
    <row r="6">
      <c r="A6" s="1740"/>
      <c r="B6" s="1740"/>
      <c r="C6" s="1749"/>
      <c r="G6" s="1750"/>
      <c r="H6" s="1757"/>
      <c r="I6" s="1762" t="s">
        <v>39</v>
      </c>
      <c r="J6" s="1760"/>
      <c r="K6" s="1763"/>
      <c r="L6" s="1761"/>
      <c r="M6" s="1761"/>
      <c r="N6" s="1746"/>
      <c r="O6" s="1746"/>
      <c r="P6" s="1746"/>
      <c r="Q6" s="1746"/>
      <c r="R6" s="1756"/>
      <c r="S6" s="1747"/>
      <c r="T6" s="1747"/>
      <c r="U6" s="1747"/>
      <c r="V6" s="1747"/>
    </row>
    <row r="7">
      <c r="A7" s="1740"/>
      <c r="B7" s="1740"/>
      <c r="C7" s="1749"/>
      <c r="G7" s="1750"/>
      <c r="H7" s="1758"/>
      <c r="I7" s="1758"/>
      <c r="J7" s="1760"/>
      <c r="K7" s="1763"/>
      <c r="L7" s="1761"/>
      <c r="M7" s="1761"/>
      <c r="N7" s="1746"/>
      <c r="O7" s="1746"/>
      <c r="P7" s="1746"/>
      <c r="Q7" s="1746"/>
      <c r="R7" s="1756"/>
      <c r="S7" s="1747"/>
      <c r="T7" s="1747"/>
      <c r="U7" s="1747"/>
      <c r="V7" s="1747"/>
    </row>
    <row r="8">
      <c r="A8" s="1740"/>
      <c r="B8" s="1740"/>
      <c r="C8" s="1749"/>
      <c r="G8" s="1750"/>
      <c r="H8" s="1764">
        <v>44379.844350625004</v>
      </c>
      <c r="I8" s="1742"/>
      <c r="J8" s="1743"/>
      <c r="K8" s="1760"/>
      <c r="L8" s="1761"/>
      <c r="M8" s="1761"/>
      <c r="N8" s="1746"/>
      <c r="O8" s="1746"/>
      <c r="P8" s="1746"/>
      <c r="Q8" s="1746"/>
      <c r="R8" s="1756"/>
      <c r="S8" s="1747"/>
      <c r="T8" s="1747"/>
      <c r="U8" s="1747"/>
      <c r="V8" s="1747"/>
    </row>
    <row r="9">
      <c r="A9" s="1740"/>
      <c r="B9" s="1740"/>
      <c r="C9" s="1749"/>
      <c r="G9" s="1750"/>
      <c r="H9" s="1751"/>
      <c r="I9" s="1752"/>
      <c r="J9" s="1753"/>
      <c r="K9" s="1747"/>
      <c r="L9" s="1746"/>
      <c r="M9" s="1746"/>
      <c r="N9" s="1746"/>
      <c r="O9" s="1746"/>
      <c r="P9" s="1746"/>
      <c r="Q9" s="1746"/>
      <c r="R9" s="1756"/>
      <c r="S9" s="1747"/>
      <c r="T9" s="1747"/>
      <c r="U9" s="1747"/>
      <c r="V9" s="1747"/>
    </row>
    <row r="10">
      <c r="A10" s="1740"/>
      <c r="B10" s="1740"/>
      <c r="C10" s="1749"/>
      <c r="G10" s="1750"/>
      <c r="H10" s="1765"/>
      <c r="I10" s="1765"/>
      <c r="J10" s="1747"/>
      <c r="K10" s="1747"/>
      <c r="L10" s="1746"/>
      <c r="M10" s="1746"/>
      <c r="N10" s="1746"/>
      <c r="O10" s="1746"/>
      <c r="P10" s="1746"/>
      <c r="Q10" s="1746"/>
      <c r="R10" s="1756"/>
      <c r="S10" s="1747"/>
      <c r="T10" s="1747"/>
      <c r="U10" s="1747"/>
      <c r="V10" s="1747"/>
    </row>
    <row r="11">
      <c r="A11" s="1766" t="s">
        <v>40</v>
      </c>
      <c r="B11" s="1743"/>
      <c r="C11" s="1749"/>
      <c r="G11" s="1750"/>
      <c r="H11" s="1758"/>
      <c r="I11" s="1758"/>
      <c r="J11" s="1747"/>
      <c r="K11" s="1747"/>
      <c r="L11" s="1746"/>
      <c r="M11" s="1746"/>
      <c r="N11" s="1746"/>
      <c r="O11" s="1746"/>
      <c r="P11" s="1746"/>
      <c r="Q11" s="1746"/>
      <c r="R11" s="1756"/>
      <c r="S11" s="1747"/>
      <c r="T11" s="1747"/>
      <c r="U11" s="1747"/>
      <c r="V11" s="1747"/>
    </row>
    <row r="12">
      <c r="A12" s="1751"/>
      <c r="B12" s="1753"/>
      <c r="C12" s="1751"/>
      <c r="D12" s="1752"/>
      <c r="E12" s="1752"/>
      <c r="F12" s="1752"/>
      <c r="G12" s="1753"/>
      <c r="H12" s="1767"/>
      <c r="I12" s="1767"/>
      <c r="J12" s="1740"/>
      <c r="K12" s="1740"/>
      <c r="L12" s="1746"/>
      <c r="M12" s="1746"/>
      <c r="N12" s="1746"/>
      <c r="O12" s="1746"/>
      <c r="P12" s="1746"/>
      <c r="Q12" s="1746"/>
      <c r="R12" s="1756"/>
      <c r="S12" s="1747"/>
      <c r="T12" s="1747"/>
      <c r="U12" s="1747"/>
      <c r="V12" s="1747"/>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2645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116 [6th]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33F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2.288 [5th]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1.187 [32nd]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48F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0.12243 [70th]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 [51st]</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2.2 [10th]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15.43 [54th]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1.103 [34th]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28 [76th]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1.52 [57th]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2.432 [55th]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0.11 [23rd]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717</v>
      </c>
      <c r="D26" s="701" t="s">
        <v>1114</v>
      </c>
      <c r="E26" s="139" t="s">
        <v>535</v>
      </c>
      <c r="F26" s="138">
        <v>3.0</v>
      </c>
      <c r="G26" s="139" t="s">
        <v>147</v>
      </c>
      <c r="H26" s="140" t="s">
        <v>2646</v>
      </c>
      <c r="I26" s="110"/>
      <c r="J26" s="109"/>
      <c r="K26" s="138"/>
      <c r="L26" s="282"/>
      <c r="M26" s="363"/>
      <c r="N26" s="363"/>
      <c r="O26" s="145">
        <v>0.0</v>
      </c>
      <c r="P26" s="145">
        <v>1.0</v>
      </c>
      <c r="Q26" s="145">
        <v>1.0</v>
      </c>
      <c r="R26" s="100"/>
      <c r="S26" s="100"/>
      <c r="T26" s="100"/>
      <c r="U26" s="145" t="s">
        <v>69</v>
      </c>
      <c r="V26" s="100"/>
    </row>
    <row r="27" outlineLevel="1">
      <c r="A27" s="146"/>
      <c r="B27" s="147" t="s">
        <v>63</v>
      </c>
      <c r="C27" s="467" t="s">
        <v>267</v>
      </c>
      <c r="D27" s="467" t="s">
        <v>92</v>
      </c>
      <c r="E27" s="216" t="s">
        <v>535</v>
      </c>
      <c r="F27" s="138">
        <v>3.0</v>
      </c>
      <c r="G27" s="139" t="s">
        <v>147</v>
      </c>
      <c r="H27" s="140" t="s">
        <v>2647</v>
      </c>
      <c r="I27" s="110"/>
      <c r="J27" s="109"/>
      <c r="K27" s="282"/>
      <c r="L27" s="282"/>
      <c r="M27" s="363"/>
      <c r="N27" s="363"/>
      <c r="O27" s="145">
        <v>0.0</v>
      </c>
      <c r="P27" s="145">
        <v>1.0</v>
      </c>
      <c r="Q27" s="145">
        <v>1.0</v>
      </c>
      <c r="R27" s="100"/>
      <c r="S27" s="100"/>
      <c r="T27" s="100"/>
      <c r="U27" s="145" t="s">
        <v>76</v>
      </c>
      <c r="V27" s="100"/>
    </row>
    <row r="28" outlineLevel="1">
      <c r="A28" s="156"/>
      <c r="B28" s="147" t="s">
        <v>70</v>
      </c>
      <c r="C28" s="216" t="s">
        <v>319</v>
      </c>
      <c r="D28" s="467" t="s">
        <v>72</v>
      </c>
      <c r="E28" s="216" t="s">
        <v>150</v>
      </c>
      <c r="F28" s="138">
        <v>6.0</v>
      </c>
      <c r="G28" s="139" t="s">
        <v>102</v>
      </c>
      <c r="H28" s="159"/>
      <c r="I28" s="110"/>
      <c r="J28" s="109"/>
      <c r="K28" s="282"/>
      <c r="L28" s="282"/>
      <c r="M28" s="363"/>
      <c r="N28" s="363"/>
      <c r="O28" s="145">
        <v>0.0</v>
      </c>
      <c r="P28" s="145">
        <v>1.0</v>
      </c>
      <c r="Q28" s="145">
        <v>1.0</v>
      </c>
      <c r="R28" s="100"/>
      <c r="S28" s="100"/>
      <c r="T28" s="100"/>
      <c r="U28" s="145" t="s">
        <v>76</v>
      </c>
      <c r="V28" s="100"/>
    </row>
    <row r="29" outlineLevel="1">
      <c r="A29" s="133" t="s">
        <v>77</v>
      </c>
      <c r="B29" s="160"/>
      <c r="C29" s="467" t="s">
        <v>627</v>
      </c>
      <c r="D29" s="455" t="s">
        <v>118</v>
      </c>
      <c r="E29" s="450" t="s">
        <v>228</v>
      </c>
      <c r="F29" s="138">
        <v>15.6</v>
      </c>
      <c r="G29" s="162" t="s">
        <v>889</v>
      </c>
      <c r="H29" s="163" t="s">
        <v>1433</v>
      </c>
      <c r="I29" s="164"/>
      <c r="J29" s="104"/>
      <c r="K29" s="138"/>
      <c r="L29" s="282"/>
      <c r="M29" s="363"/>
      <c r="N29" s="363"/>
      <c r="O29" s="145">
        <v>1.0</v>
      </c>
      <c r="P29" s="145">
        <v>1.0</v>
      </c>
      <c r="Q29" s="145">
        <v>1.0</v>
      </c>
      <c r="R29" s="100"/>
      <c r="S29" s="100"/>
      <c r="T29" s="100"/>
      <c r="U29" s="166" t="s">
        <v>69</v>
      </c>
      <c r="V29" s="100"/>
    </row>
    <row r="30" outlineLevel="1">
      <c r="A30" s="156"/>
      <c r="B30" s="147" t="s">
        <v>84</v>
      </c>
      <c r="C30" s="467" t="s">
        <v>629</v>
      </c>
      <c r="D30" s="107"/>
      <c r="E30" s="450" t="s">
        <v>128</v>
      </c>
      <c r="F30" s="138">
        <v>12.0</v>
      </c>
      <c r="G30" s="162" t="s">
        <v>82</v>
      </c>
      <c r="H30" s="106"/>
      <c r="I30" s="168"/>
      <c r="J30" s="107"/>
      <c r="K30" s="282"/>
      <c r="L30" s="282"/>
      <c r="M30" s="363"/>
      <c r="N30" s="363"/>
      <c r="O30" s="145">
        <v>1.0</v>
      </c>
      <c r="P30" s="145">
        <v>1.0</v>
      </c>
      <c r="Q30" s="145">
        <v>1.0</v>
      </c>
      <c r="R30" s="100"/>
      <c r="S30" s="100"/>
      <c r="T30" s="100"/>
      <c r="U30" s="156"/>
      <c r="V30" s="100"/>
    </row>
    <row r="31" outlineLevel="1">
      <c r="A31" s="170" t="s">
        <v>89</v>
      </c>
      <c r="B31" s="147" t="s">
        <v>90</v>
      </c>
      <c r="C31" s="216" t="s">
        <v>373</v>
      </c>
      <c r="D31" s="216" t="s">
        <v>79</v>
      </c>
      <c r="E31" s="467" t="s">
        <v>2648</v>
      </c>
      <c r="F31" s="138" t="s">
        <v>2649</v>
      </c>
      <c r="G31" s="139" t="s">
        <v>2650</v>
      </c>
      <c r="H31" s="159"/>
      <c r="I31" s="110"/>
      <c r="J31" s="109"/>
      <c r="K31" s="138"/>
      <c r="L31" s="282"/>
      <c r="M31" s="363"/>
      <c r="N31" s="363"/>
      <c r="O31" s="145">
        <v>0.0</v>
      </c>
      <c r="P31" s="145">
        <v>1.0</v>
      </c>
      <c r="Q31" s="145">
        <v>1.0</v>
      </c>
      <c r="R31" s="100"/>
      <c r="S31" s="100"/>
      <c r="T31" s="100"/>
      <c r="U31" s="145" t="s">
        <v>96</v>
      </c>
      <c r="V31" s="100"/>
    </row>
    <row r="32" outlineLevel="1">
      <c r="A32" s="170" t="s">
        <v>97</v>
      </c>
      <c r="B32" s="160"/>
      <c r="C32" s="216" t="s">
        <v>272</v>
      </c>
      <c r="D32" s="216" t="s">
        <v>72</v>
      </c>
      <c r="E32" s="467" t="s">
        <v>80</v>
      </c>
      <c r="F32" s="138">
        <v>9.6</v>
      </c>
      <c r="G32" s="139" t="s">
        <v>123</v>
      </c>
      <c r="H32" s="159"/>
      <c r="I32" s="110"/>
      <c r="J32" s="109"/>
      <c r="K32" s="282"/>
      <c r="L32" s="282"/>
      <c r="M32" s="363"/>
      <c r="N32" s="363"/>
      <c r="O32" s="145">
        <v>0.0</v>
      </c>
      <c r="P32" s="145">
        <v>1.0</v>
      </c>
      <c r="Q32" s="145">
        <v>1.0</v>
      </c>
      <c r="R32" s="100"/>
      <c r="S32" s="100"/>
      <c r="T32" s="100"/>
      <c r="U32" s="145" t="s">
        <v>62</v>
      </c>
      <c r="V32" s="100"/>
    </row>
    <row r="33" outlineLevel="1">
      <c r="A33" s="170" t="s">
        <v>103</v>
      </c>
      <c r="B33" s="147"/>
      <c r="C33" s="216" t="s">
        <v>220</v>
      </c>
      <c r="D33" s="216" t="s">
        <v>164</v>
      </c>
      <c r="E33" s="467" t="s">
        <v>128</v>
      </c>
      <c r="F33" s="138">
        <v>12.0</v>
      </c>
      <c r="G33" s="139" t="s">
        <v>121</v>
      </c>
      <c r="H33" s="159"/>
      <c r="I33" s="110"/>
      <c r="J33" s="109"/>
      <c r="K33" s="145"/>
      <c r="L33" s="363"/>
      <c r="M33" s="363"/>
      <c r="N33" s="363"/>
      <c r="O33" s="145">
        <v>0.0</v>
      </c>
      <c r="P33" s="145">
        <v>0.0</v>
      </c>
      <c r="Q33" s="145">
        <v>0.0</v>
      </c>
      <c r="R33" s="100"/>
      <c r="S33" s="100"/>
      <c r="T33" s="100"/>
      <c r="U33" s="145" t="s">
        <v>69</v>
      </c>
      <c r="V33" s="100"/>
    </row>
    <row r="34" ht="20.25" customHeight="1" outlineLevel="1">
      <c r="A34" s="133" t="s">
        <v>109</v>
      </c>
      <c r="B34" s="147"/>
      <c r="C34" s="216" t="s">
        <v>1114</v>
      </c>
      <c r="D34" s="195" t="s">
        <v>777</v>
      </c>
      <c r="E34" s="450" t="s">
        <v>296</v>
      </c>
      <c r="F34" s="138">
        <v>22.8</v>
      </c>
      <c r="G34" s="139" t="s">
        <v>297</v>
      </c>
      <c r="H34" s="283" t="s">
        <v>2651</v>
      </c>
      <c r="I34" s="164"/>
      <c r="J34" s="104"/>
      <c r="K34" s="282"/>
      <c r="L34" s="282"/>
      <c r="M34" s="363"/>
      <c r="N34" s="363"/>
      <c r="O34" s="145">
        <v>0.0</v>
      </c>
      <c r="P34" s="145">
        <v>1.0</v>
      </c>
      <c r="Q34" s="145">
        <v>1.0</v>
      </c>
      <c r="R34" s="100"/>
      <c r="S34" s="100"/>
      <c r="T34" s="100"/>
      <c r="U34" s="166" t="s">
        <v>889</v>
      </c>
      <c r="V34" s="100"/>
    </row>
    <row r="35" ht="20.25" customHeight="1" outlineLevel="1">
      <c r="A35" s="156"/>
      <c r="B35" s="147" t="s">
        <v>84</v>
      </c>
      <c r="C35" s="216" t="s">
        <v>377</v>
      </c>
      <c r="D35" s="107"/>
      <c r="E35" s="450" t="s">
        <v>2652</v>
      </c>
      <c r="F35" s="138" t="s">
        <v>2653</v>
      </c>
      <c r="G35" s="139" t="s">
        <v>502</v>
      </c>
      <c r="H35" s="106"/>
      <c r="I35" s="168"/>
      <c r="J35" s="107"/>
      <c r="K35" s="282"/>
      <c r="L35" s="282"/>
      <c r="M35" s="363"/>
      <c r="N35" s="363"/>
      <c r="O35" s="145">
        <v>0.0</v>
      </c>
      <c r="P35" s="145">
        <v>1.0</v>
      </c>
      <c r="Q35" s="145">
        <v>1.0</v>
      </c>
      <c r="R35" s="100"/>
      <c r="S35" s="100"/>
      <c r="T35" s="100"/>
      <c r="U35" s="156"/>
      <c r="V35" s="100"/>
    </row>
    <row r="36" outlineLevel="1">
      <c r="A36" s="133" t="s">
        <v>116</v>
      </c>
      <c r="B36" s="147" t="s">
        <v>1026</v>
      </c>
      <c r="C36" s="216" t="s">
        <v>86</v>
      </c>
      <c r="D36" s="195" t="s">
        <v>374</v>
      </c>
      <c r="E36" s="467" t="s">
        <v>150</v>
      </c>
      <c r="F36" s="138">
        <v>6.0</v>
      </c>
      <c r="G36" s="139" t="s">
        <v>147</v>
      </c>
      <c r="H36" s="163" t="s">
        <v>2654</v>
      </c>
      <c r="I36" s="164"/>
      <c r="J36" s="104"/>
      <c r="K36" s="363"/>
      <c r="L36" s="363"/>
      <c r="M36" s="363"/>
      <c r="N36" s="363"/>
      <c r="O36" s="145">
        <v>0.0</v>
      </c>
      <c r="P36" s="145">
        <v>1.0</v>
      </c>
      <c r="Q36" s="145">
        <v>1.0</v>
      </c>
      <c r="R36" s="100"/>
      <c r="S36" s="100"/>
      <c r="T36" s="100"/>
      <c r="U36" s="166" t="s">
        <v>147</v>
      </c>
      <c r="V36" s="100"/>
    </row>
    <row r="37" outlineLevel="1">
      <c r="A37" s="146"/>
      <c r="B37" s="147" t="s">
        <v>125</v>
      </c>
      <c r="C37" s="216" t="s">
        <v>93</v>
      </c>
      <c r="D37" s="210"/>
      <c r="E37" s="467" t="s">
        <v>150</v>
      </c>
      <c r="F37" s="138">
        <v>6.0</v>
      </c>
      <c r="G37" s="139" t="s">
        <v>147</v>
      </c>
      <c r="H37" s="212"/>
      <c r="J37" s="210"/>
      <c r="K37" s="363"/>
      <c r="L37" s="363"/>
      <c r="M37" s="363"/>
      <c r="N37" s="363"/>
      <c r="O37" s="145">
        <v>0.0</v>
      </c>
      <c r="P37" s="145">
        <v>1.0</v>
      </c>
      <c r="Q37" s="145">
        <v>1.0</v>
      </c>
      <c r="R37" s="100"/>
      <c r="S37" s="100"/>
      <c r="T37" s="100"/>
      <c r="U37" s="146"/>
      <c r="V37" s="100"/>
    </row>
    <row r="38" outlineLevel="1">
      <c r="A38" s="146"/>
      <c r="B38" s="147" t="s">
        <v>1233</v>
      </c>
      <c r="C38" s="216" t="s">
        <v>80</v>
      </c>
      <c r="D38" s="210"/>
      <c r="E38" s="467" t="s">
        <v>150</v>
      </c>
      <c r="F38" s="138">
        <v>6.0</v>
      </c>
      <c r="G38" s="139" t="s">
        <v>147</v>
      </c>
      <c r="H38" s="212"/>
      <c r="J38" s="210"/>
      <c r="K38" s="363"/>
      <c r="L38" s="363"/>
      <c r="M38" s="363"/>
      <c r="N38" s="363"/>
      <c r="O38" s="145"/>
      <c r="P38" s="145"/>
      <c r="Q38" s="145"/>
      <c r="R38" s="100"/>
      <c r="S38" s="100"/>
      <c r="T38" s="100"/>
      <c r="U38" s="146"/>
      <c r="V38" s="100"/>
    </row>
    <row r="39" outlineLevel="1">
      <c r="A39" s="146"/>
      <c r="B39" s="147" t="s">
        <v>2254</v>
      </c>
      <c r="C39" s="216" t="s">
        <v>274</v>
      </c>
      <c r="D39" s="210"/>
      <c r="E39" s="450" t="s">
        <v>150</v>
      </c>
      <c r="F39" s="138">
        <v>6.0</v>
      </c>
      <c r="G39" s="139" t="s">
        <v>147</v>
      </c>
      <c r="H39" s="212"/>
      <c r="J39" s="210"/>
      <c r="K39" s="363"/>
      <c r="L39" s="363"/>
      <c r="M39" s="363"/>
      <c r="N39" s="363"/>
      <c r="O39" s="145"/>
      <c r="P39" s="145"/>
      <c r="Q39" s="145"/>
      <c r="R39" s="100"/>
      <c r="S39" s="100"/>
      <c r="T39" s="100"/>
      <c r="U39" s="146"/>
      <c r="V39" s="100"/>
    </row>
    <row r="40" outlineLevel="1">
      <c r="A40" s="156"/>
      <c r="B40" s="147" t="s">
        <v>131</v>
      </c>
      <c r="C40" s="216" t="s">
        <v>465</v>
      </c>
      <c r="D40" s="107"/>
      <c r="E40" s="467" t="s">
        <v>232</v>
      </c>
      <c r="F40" s="138">
        <v>13.2</v>
      </c>
      <c r="G40" s="139" t="s">
        <v>123</v>
      </c>
      <c r="H40" s="106"/>
      <c r="I40" s="168"/>
      <c r="J40" s="107"/>
      <c r="K40" s="363"/>
      <c r="L40" s="363"/>
      <c r="M40" s="363"/>
      <c r="N40" s="363"/>
      <c r="O40" s="145">
        <v>0.0</v>
      </c>
      <c r="P40" s="145">
        <v>1.0</v>
      </c>
      <c r="Q40" s="145">
        <v>1.0</v>
      </c>
      <c r="R40" s="100"/>
      <c r="S40" s="100"/>
      <c r="T40" s="100"/>
      <c r="U40" s="156"/>
      <c r="V40" s="100"/>
    </row>
    <row r="41" outlineLevel="1">
      <c r="A41" s="170" t="s">
        <v>124</v>
      </c>
      <c r="B41" s="147"/>
      <c r="C41" s="216" t="s">
        <v>325</v>
      </c>
      <c r="D41" s="467" t="s">
        <v>424</v>
      </c>
      <c r="E41" s="467" t="s">
        <v>153</v>
      </c>
      <c r="F41" s="138">
        <v>19.2</v>
      </c>
      <c r="G41" s="139" t="s">
        <v>88</v>
      </c>
      <c r="H41" s="151" t="s">
        <v>1443</v>
      </c>
      <c r="I41" s="110"/>
      <c r="J41" s="109"/>
      <c r="K41" s="282"/>
      <c r="L41" s="282"/>
      <c r="M41" s="363"/>
      <c r="N41" s="363"/>
      <c r="O41" s="145">
        <v>0.0</v>
      </c>
      <c r="P41" s="145">
        <v>1.0</v>
      </c>
      <c r="Q41" s="145">
        <v>1.0</v>
      </c>
      <c r="R41" s="100"/>
      <c r="S41" s="100"/>
      <c r="T41" s="100"/>
      <c r="U41" s="145" t="s">
        <v>69</v>
      </c>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187" t="str">
        <f>'テンプレート'!R56</f>
        <v>備考</v>
      </c>
      <c r="S44" s="110"/>
      <c r="T44" s="110"/>
      <c r="U44" s="110"/>
      <c r="V44" s="110"/>
    </row>
    <row r="45" outlineLevel="1">
      <c r="A45" s="213" t="s">
        <v>144</v>
      </c>
      <c r="B45" s="373"/>
      <c r="C45" s="365" t="s">
        <v>1168</v>
      </c>
      <c r="D45" s="216" t="s">
        <v>118</v>
      </c>
      <c r="E45" s="401" t="s">
        <v>2655</v>
      </c>
      <c r="F45" s="193" t="s">
        <v>2656</v>
      </c>
      <c r="G45" s="193" t="s">
        <v>2657</v>
      </c>
      <c r="H45" s="138" t="s">
        <v>2658</v>
      </c>
      <c r="I45" s="1768" t="str">
        <f t="array" ref="I45">INDEX('空中攻撃'!$O$3:$AA$109, MATCH($A$1,'空中攻撃'!$A$3:$A$109,0), MATCH(A45,'空中攻撃'!$O$2:$S$2,0))</f>
        <v>10</v>
      </c>
      <c r="J45" s="467" t="s">
        <v>1322</v>
      </c>
      <c r="K45" s="376"/>
      <c r="L45" s="377"/>
      <c r="M45" s="825"/>
      <c r="N45" s="825"/>
      <c r="O45" s="199">
        <v>0.0</v>
      </c>
      <c r="P45" s="199">
        <v>1.0</v>
      </c>
      <c r="Q45" s="199">
        <v>1.0</v>
      </c>
      <c r="R45" s="159"/>
      <c r="S45" s="110"/>
      <c r="T45" s="110"/>
      <c r="U45" s="110"/>
      <c r="V45" s="109"/>
    </row>
    <row r="46" outlineLevel="1">
      <c r="A46" s="188" t="s">
        <v>151</v>
      </c>
      <c r="B46" s="373" t="s">
        <v>152</v>
      </c>
      <c r="C46" s="239" t="s">
        <v>518</v>
      </c>
      <c r="D46" s="195" t="s">
        <v>146</v>
      </c>
      <c r="E46" s="239" t="s">
        <v>129</v>
      </c>
      <c r="F46" s="138">
        <v>14.399999999999999</v>
      </c>
      <c r="G46" s="138">
        <v>12.24</v>
      </c>
      <c r="H46" s="138" t="s">
        <v>75</v>
      </c>
      <c r="I46" s="454" t="str">
        <f t="array" ref="I46">INDEX('空中攻撃'!$O$3:$AA$109, MATCH($A$1,'空中攻撃'!$A$3:$A$109,0), MATCH(A46,'空中攻撃'!$O$2:$S$2,0))</f>
        <v>19</v>
      </c>
      <c r="J46" s="455" t="s">
        <v>2282</v>
      </c>
      <c r="K46" s="376"/>
      <c r="L46" s="377"/>
      <c r="M46" s="825"/>
      <c r="N46" s="825"/>
      <c r="O46" s="199">
        <v>0.0</v>
      </c>
      <c r="P46" s="199">
        <v>1.0</v>
      </c>
      <c r="Q46" s="199">
        <v>1.0</v>
      </c>
      <c r="R46" s="456"/>
      <c r="S46" s="164"/>
      <c r="T46" s="164"/>
      <c r="U46" s="164"/>
      <c r="V46" s="104"/>
    </row>
    <row r="47" outlineLevel="1">
      <c r="A47" s="156"/>
      <c r="B47" s="373"/>
      <c r="C47" s="239" t="s">
        <v>627</v>
      </c>
      <c r="D47" s="107"/>
      <c r="E47" s="239" t="s">
        <v>2659</v>
      </c>
      <c r="F47" s="138" t="s">
        <v>2660</v>
      </c>
      <c r="G47" s="138" t="s">
        <v>2661</v>
      </c>
      <c r="H47" s="138" t="s">
        <v>1766</v>
      </c>
      <c r="I47" s="156"/>
      <c r="J47" s="107"/>
      <c r="K47" s="376"/>
      <c r="L47" s="377"/>
      <c r="M47" s="825"/>
      <c r="N47" s="825"/>
      <c r="O47" s="199">
        <v>0.0</v>
      </c>
      <c r="P47" s="199">
        <v>1.0</v>
      </c>
      <c r="Q47" s="199">
        <v>1.0</v>
      </c>
      <c r="R47" s="106"/>
      <c r="S47" s="168"/>
      <c r="T47" s="168"/>
      <c r="U47" s="168"/>
      <c r="V47" s="107"/>
    </row>
    <row r="48" outlineLevel="1">
      <c r="A48" s="188" t="s">
        <v>157</v>
      </c>
      <c r="B48" s="373" t="s">
        <v>152</v>
      </c>
      <c r="C48" s="239" t="s">
        <v>119</v>
      </c>
      <c r="D48" s="374">
        <v>45.0</v>
      </c>
      <c r="E48" s="239" t="s">
        <v>2662</v>
      </c>
      <c r="F48" s="138" t="s">
        <v>2663</v>
      </c>
      <c r="G48" s="138" t="s">
        <v>2664</v>
      </c>
      <c r="H48" s="138" t="s">
        <v>980</v>
      </c>
      <c r="I48" s="454">
        <f t="array" ref="I48">INDEX('空中攻撃'!$O$3:$AA$109, MATCH($A$1,'空中攻撃'!$A$3:$A$109,0), MATCH(A48,'空中攻撃'!$O$2:$S$2,0))</f>
        <v>20</v>
      </c>
      <c r="J48" s="455" t="s">
        <v>1459</v>
      </c>
      <c r="K48" s="376"/>
      <c r="L48" s="377"/>
      <c r="M48" s="825"/>
      <c r="N48" s="825"/>
      <c r="O48" s="199">
        <v>0.0</v>
      </c>
      <c r="P48" s="199">
        <v>1.0</v>
      </c>
      <c r="Q48" s="199">
        <v>1.0</v>
      </c>
      <c r="R48" s="456"/>
      <c r="S48" s="164"/>
      <c r="T48" s="164"/>
      <c r="U48" s="164"/>
      <c r="V48" s="104"/>
    </row>
    <row r="49" outlineLevel="1">
      <c r="A49" s="156"/>
      <c r="B49" s="373"/>
      <c r="C49" s="239" t="s">
        <v>561</v>
      </c>
      <c r="D49" s="107"/>
      <c r="E49" s="239" t="s">
        <v>2665</v>
      </c>
      <c r="F49" s="138" t="s">
        <v>2666</v>
      </c>
      <c r="G49" s="138" t="s">
        <v>2667</v>
      </c>
      <c r="H49" s="138" t="s">
        <v>2668</v>
      </c>
      <c r="I49" s="156"/>
      <c r="J49" s="107"/>
      <c r="K49" s="376"/>
      <c r="L49" s="377"/>
      <c r="M49" s="825"/>
      <c r="N49" s="825"/>
      <c r="O49" s="199"/>
      <c r="P49" s="199"/>
      <c r="Q49" s="199"/>
      <c r="R49" s="106"/>
      <c r="S49" s="168"/>
      <c r="T49" s="168"/>
      <c r="U49" s="168"/>
      <c r="V49" s="107"/>
    </row>
    <row r="50" outlineLevel="1">
      <c r="A50" s="213" t="s">
        <v>162</v>
      </c>
      <c r="B50" s="373"/>
      <c r="C50" s="239" t="s">
        <v>1128</v>
      </c>
      <c r="D50" s="380" t="s">
        <v>146</v>
      </c>
      <c r="E50" s="239" t="s">
        <v>228</v>
      </c>
      <c r="F50" s="138">
        <v>15.6</v>
      </c>
      <c r="G50" s="138">
        <v>13.26</v>
      </c>
      <c r="H50" s="138" t="s">
        <v>75</v>
      </c>
      <c r="I50" s="621" t="str">
        <f t="array" ref="I50">INDEX('空中攻撃'!$O$3:$AA$109, MATCH($A$1,'空中攻撃'!$A$3:$A$109,0), MATCH(A50,'空中攻撃'!$O$2:$S$2,0))</f>
        <v>13</v>
      </c>
      <c r="J50" s="467" t="s">
        <v>909</v>
      </c>
      <c r="K50" s="377"/>
      <c r="L50" s="377"/>
      <c r="M50" s="825"/>
      <c r="N50" s="825"/>
      <c r="O50" s="199">
        <v>0.0</v>
      </c>
      <c r="P50" s="199">
        <v>1.0</v>
      </c>
      <c r="Q50" s="199">
        <v>1.0</v>
      </c>
      <c r="R50" s="140" t="s">
        <v>2669</v>
      </c>
      <c r="S50" s="110"/>
      <c r="T50" s="110"/>
      <c r="U50" s="110"/>
      <c r="V50" s="109"/>
    </row>
    <row r="51" outlineLevel="1">
      <c r="A51" s="188" t="s">
        <v>166</v>
      </c>
      <c r="B51" s="373"/>
      <c r="C51" s="239" t="s">
        <v>2670</v>
      </c>
      <c r="D51" s="374">
        <v>51.0</v>
      </c>
      <c r="E51" s="239" t="s">
        <v>119</v>
      </c>
      <c r="F51" s="138">
        <v>16.8</v>
      </c>
      <c r="G51" s="138">
        <v>14.280000000000001</v>
      </c>
      <c r="H51" s="138" t="s">
        <v>75</v>
      </c>
      <c r="I51" s="454">
        <f t="array" ref="I51">INDEX('空中攻撃'!$O$3:$AA$109, MATCH($A$1,'空中攻撃'!$A$3:$A$109,0), MATCH(A51,'空中攻撃'!$O$2:$S$2,0))</f>
        <v>21</v>
      </c>
      <c r="J51" s="195" t="s">
        <v>2671</v>
      </c>
      <c r="K51" s="377"/>
      <c r="L51" s="377"/>
      <c r="M51" s="825"/>
      <c r="N51" s="825"/>
      <c r="O51" s="199">
        <v>0.0</v>
      </c>
      <c r="P51" s="199">
        <v>1.0</v>
      </c>
      <c r="Q51" s="199">
        <v>1.0</v>
      </c>
      <c r="R51" s="456"/>
      <c r="S51" s="164"/>
      <c r="T51" s="164"/>
      <c r="U51" s="164"/>
      <c r="V51" s="104"/>
    </row>
    <row r="52" outlineLevel="1">
      <c r="A52" s="156"/>
      <c r="B52" s="373" t="s">
        <v>84</v>
      </c>
      <c r="C52" s="239" t="s">
        <v>2021</v>
      </c>
      <c r="D52" s="107"/>
      <c r="E52" s="239" t="s">
        <v>80</v>
      </c>
      <c r="F52" s="138">
        <v>9.6</v>
      </c>
      <c r="G52" s="138">
        <v>8.16</v>
      </c>
      <c r="H52" s="138" t="s">
        <v>147</v>
      </c>
      <c r="I52" s="156"/>
      <c r="J52" s="107"/>
      <c r="K52" s="377"/>
      <c r="L52" s="377"/>
      <c r="M52" s="825"/>
      <c r="N52" s="825"/>
      <c r="O52" s="199">
        <v>0.0</v>
      </c>
      <c r="P52" s="199">
        <v>1.0</v>
      </c>
      <c r="Q52" s="199">
        <v>1.0</v>
      </c>
      <c r="R52" s="106"/>
      <c r="S52" s="168"/>
      <c r="T52" s="168"/>
      <c r="U52" s="168"/>
      <c r="V52" s="107"/>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
        <v>177</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
        <v>2672</v>
      </c>
      <c r="B55" s="109"/>
      <c r="C55" s="231" t="s">
        <v>48</v>
      </c>
      <c r="D55" s="231" t="s">
        <v>49</v>
      </c>
      <c r="E55" s="232" t="s">
        <v>50</v>
      </c>
      <c r="F55" s="233" t="s">
        <v>51</v>
      </c>
      <c r="G55" s="232" t="s">
        <v>52</v>
      </c>
      <c r="H55" s="382" t="s">
        <v>53</v>
      </c>
      <c r="I55" s="110"/>
      <c r="J55" s="109"/>
      <c r="K55" s="235" t="s">
        <v>137</v>
      </c>
      <c r="L55" s="235" t="s">
        <v>138</v>
      </c>
      <c r="M55" s="235" t="s">
        <v>139</v>
      </c>
      <c r="N55" s="235" t="s">
        <v>140</v>
      </c>
      <c r="O55" s="236" t="s">
        <v>141</v>
      </c>
      <c r="P55" s="235" t="s">
        <v>142</v>
      </c>
      <c r="Q55" s="236" t="s">
        <v>143</v>
      </c>
      <c r="R55" s="235" t="s">
        <v>179</v>
      </c>
      <c r="S55" s="236" t="s">
        <v>180</v>
      </c>
      <c r="T55" s="236" t="s">
        <v>181</v>
      </c>
      <c r="U55" s="236" t="s">
        <v>182</v>
      </c>
      <c r="V55" s="236" t="s">
        <v>183</v>
      </c>
    </row>
    <row r="56" outlineLevel="1">
      <c r="A56" s="237" t="s">
        <v>184</v>
      </c>
      <c r="B56" s="243" t="s">
        <v>860</v>
      </c>
      <c r="C56" s="239" t="s">
        <v>2673</v>
      </c>
      <c r="D56" s="195" t="s">
        <v>1580</v>
      </c>
      <c r="E56" s="239" t="s">
        <v>176</v>
      </c>
      <c r="F56" s="138">
        <v>2.4</v>
      </c>
      <c r="G56" s="139" t="s">
        <v>170</v>
      </c>
      <c r="H56" s="163" t="s">
        <v>2674</v>
      </c>
      <c r="I56" s="164"/>
      <c r="J56" s="104"/>
      <c r="K56" s="282"/>
      <c r="L56" s="282"/>
      <c r="M56" s="363"/>
      <c r="N56" s="363"/>
      <c r="O56" s="138"/>
      <c r="P56" s="138"/>
      <c r="Q56" s="138"/>
      <c r="R56" s="145" t="b">
        <v>1</v>
      </c>
      <c r="S56" s="145" t="b">
        <v>0</v>
      </c>
      <c r="T56" s="145" t="b">
        <v>1</v>
      </c>
      <c r="U56" s="166" t="s">
        <v>186</v>
      </c>
      <c r="V56" s="166" t="b">
        <v>1</v>
      </c>
    </row>
    <row r="57" outlineLevel="1">
      <c r="A57" s="146"/>
      <c r="B57" s="663" t="s">
        <v>2675</v>
      </c>
      <c r="C57" s="239" t="s">
        <v>2676</v>
      </c>
      <c r="D57" s="210"/>
      <c r="E57" s="239" t="s">
        <v>214</v>
      </c>
      <c r="F57" s="138">
        <v>1.56</v>
      </c>
      <c r="G57" s="139" t="s">
        <v>170</v>
      </c>
      <c r="H57" s="212"/>
      <c r="J57" s="210"/>
      <c r="K57" s="282"/>
      <c r="L57" s="282"/>
      <c r="M57" s="363"/>
      <c r="N57" s="363"/>
      <c r="O57" s="138"/>
      <c r="P57" s="138"/>
      <c r="Q57" s="138"/>
      <c r="R57" s="145" t="b">
        <v>1</v>
      </c>
      <c r="S57" s="145" t="b">
        <v>0</v>
      </c>
      <c r="T57" s="145" t="b">
        <v>1</v>
      </c>
      <c r="U57" s="146"/>
      <c r="V57" s="146"/>
    </row>
    <row r="58" outlineLevel="1">
      <c r="A58" s="146"/>
      <c r="B58" s="663" t="s">
        <v>2677</v>
      </c>
      <c r="C58" s="239" t="s">
        <v>2678</v>
      </c>
      <c r="D58" s="107"/>
      <c r="E58" s="239" t="s">
        <v>213</v>
      </c>
      <c r="F58" s="138">
        <v>1.2</v>
      </c>
      <c r="G58" s="139" t="s">
        <v>170</v>
      </c>
      <c r="H58" s="212"/>
      <c r="J58" s="210"/>
      <c r="K58" s="282"/>
      <c r="L58" s="282"/>
      <c r="M58" s="363"/>
      <c r="N58" s="363"/>
      <c r="O58" s="138"/>
      <c r="P58" s="138"/>
      <c r="Q58" s="138"/>
      <c r="R58" s="145" t="b">
        <v>1</v>
      </c>
      <c r="S58" s="145" t="b">
        <v>0</v>
      </c>
      <c r="T58" s="145" t="b">
        <v>1</v>
      </c>
      <c r="U58" s="146"/>
      <c r="V58" s="146"/>
    </row>
    <row r="59" outlineLevel="1">
      <c r="A59" s="146"/>
      <c r="B59" s="663" t="s">
        <v>677</v>
      </c>
      <c r="C59" s="1769"/>
      <c r="D59" s="216" t="s">
        <v>105</v>
      </c>
      <c r="E59" s="1769"/>
      <c r="F59" s="1769"/>
      <c r="G59" s="1769"/>
      <c r="H59" s="106"/>
      <c r="I59" s="168"/>
      <c r="J59" s="107"/>
      <c r="K59" s="282"/>
      <c r="L59" s="282"/>
      <c r="M59" s="363"/>
      <c r="N59" s="363"/>
      <c r="O59" s="138"/>
      <c r="P59" s="138"/>
      <c r="Q59" s="138"/>
      <c r="R59" s="145" t="b">
        <v>0</v>
      </c>
      <c r="S59" s="145" t="b">
        <v>0</v>
      </c>
      <c r="T59" s="145" t="b">
        <v>0</v>
      </c>
      <c r="U59" s="156"/>
      <c r="V59" s="156"/>
    </row>
    <row r="60" outlineLevel="1">
      <c r="A60" s="230" t="s">
        <v>2679</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ht="58.5" customHeight="1" outlineLevel="1">
      <c r="A61" s="237" t="s">
        <v>184</v>
      </c>
      <c r="B61" s="243" t="s">
        <v>2402</v>
      </c>
      <c r="C61" s="239" t="s">
        <v>2680</v>
      </c>
      <c r="D61" s="467" t="s">
        <v>2681</v>
      </c>
      <c r="E61" s="239" t="s">
        <v>86</v>
      </c>
      <c r="F61" s="138">
        <v>7.199999999999999</v>
      </c>
      <c r="G61" s="139" t="s">
        <v>102</v>
      </c>
      <c r="H61" s="175" t="s">
        <v>2682</v>
      </c>
      <c r="I61" s="164"/>
      <c r="J61" s="104"/>
      <c r="K61" s="138"/>
      <c r="L61" s="138"/>
      <c r="M61" s="145"/>
      <c r="N61" s="145"/>
      <c r="O61" s="138"/>
      <c r="P61" s="145"/>
      <c r="Q61" s="145"/>
      <c r="R61" s="145" t="b">
        <v>0</v>
      </c>
      <c r="S61" s="145" t="b">
        <v>0</v>
      </c>
      <c r="T61" s="145" t="b">
        <v>0</v>
      </c>
      <c r="U61" s="166" t="s">
        <v>186</v>
      </c>
      <c r="V61" s="166" t="b">
        <v>1</v>
      </c>
    </row>
    <row r="62" ht="58.5" customHeight="1" outlineLevel="1">
      <c r="A62" s="146"/>
      <c r="B62" s="243" t="s">
        <v>1485</v>
      </c>
      <c r="C62" s="239" t="s">
        <v>2296</v>
      </c>
      <c r="D62" s="239" t="s">
        <v>462</v>
      </c>
      <c r="E62" s="239" t="s">
        <v>466</v>
      </c>
      <c r="F62" s="138">
        <v>21.599999999999998</v>
      </c>
      <c r="G62" s="139" t="s">
        <v>102</v>
      </c>
      <c r="H62" s="106"/>
      <c r="I62" s="168"/>
      <c r="J62" s="107"/>
      <c r="K62" s="138"/>
      <c r="L62" s="138"/>
      <c r="M62" s="145"/>
      <c r="N62" s="145"/>
      <c r="O62" s="138">
        <v>0.0</v>
      </c>
      <c r="P62" s="138">
        <v>1.0</v>
      </c>
      <c r="Q62" s="138">
        <v>1.0</v>
      </c>
      <c r="R62" s="145" t="b">
        <v>0</v>
      </c>
      <c r="S62" s="145" t="b">
        <v>0</v>
      </c>
      <c r="T62" s="145" t="b">
        <v>1</v>
      </c>
      <c r="U62" s="156"/>
      <c r="V62" s="156"/>
    </row>
    <row r="63" outlineLevel="1">
      <c r="A63" s="230" t="s">
        <v>2683</v>
      </c>
      <c r="B63" s="109"/>
      <c r="C63" s="231" t="s">
        <v>48</v>
      </c>
      <c r="D63" s="231" t="s">
        <v>49</v>
      </c>
      <c r="E63" s="232" t="s">
        <v>50</v>
      </c>
      <c r="F63" s="233" t="s">
        <v>51</v>
      </c>
      <c r="G63" s="232" t="s">
        <v>52</v>
      </c>
      <c r="H63" s="382" t="s">
        <v>53</v>
      </c>
      <c r="I63" s="110"/>
      <c r="J63" s="109"/>
      <c r="K63" s="235" t="s">
        <v>137</v>
      </c>
      <c r="L63" s="235" t="s">
        <v>138</v>
      </c>
      <c r="M63" s="235" t="s">
        <v>139</v>
      </c>
      <c r="N63" s="235" t="s">
        <v>140</v>
      </c>
      <c r="O63" s="236" t="s">
        <v>141</v>
      </c>
      <c r="P63" s="235" t="s">
        <v>142</v>
      </c>
      <c r="Q63" s="236" t="s">
        <v>143</v>
      </c>
      <c r="R63" s="235" t="s">
        <v>179</v>
      </c>
      <c r="S63" s="236" t="s">
        <v>180</v>
      </c>
      <c r="T63" s="236" t="s">
        <v>181</v>
      </c>
      <c r="U63" s="236" t="s">
        <v>182</v>
      </c>
      <c r="V63" s="236" t="s">
        <v>183</v>
      </c>
    </row>
    <row r="64" outlineLevel="1">
      <c r="A64" s="237" t="s">
        <v>184</v>
      </c>
      <c r="B64" s="402" t="s">
        <v>152</v>
      </c>
      <c r="C64" s="239" t="s">
        <v>220</v>
      </c>
      <c r="D64" s="400"/>
      <c r="E64" s="239" t="s">
        <v>150</v>
      </c>
      <c r="F64" s="138">
        <v>6.0</v>
      </c>
      <c r="G64" s="139" t="s">
        <v>102</v>
      </c>
      <c r="H64" s="175" t="s">
        <v>2684</v>
      </c>
      <c r="I64" s="164"/>
      <c r="J64" s="104"/>
      <c r="K64" s="138"/>
      <c r="L64" s="138"/>
      <c r="M64" s="145"/>
      <c r="N64" s="145"/>
      <c r="O64" s="138">
        <v>0.0</v>
      </c>
      <c r="P64" s="138">
        <v>1.0</v>
      </c>
      <c r="Q64" s="138">
        <v>1.0</v>
      </c>
      <c r="R64" s="145" t="b">
        <v>1</v>
      </c>
      <c r="S64" s="145" t="b">
        <v>1</v>
      </c>
      <c r="T64" s="145"/>
      <c r="U64" s="166" t="s">
        <v>186</v>
      </c>
      <c r="V64" s="166" t="b">
        <v>1</v>
      </c>
    </row>
    <row r="65" outlineLevel="1">
      <c r="A65" s="146"/>
      <c r="B65" s="402" t="s">
        <v>199</v>
      </c>
      <c r="C65" s="239" t="s">
        <v>2685</v>
      </c>
      <c r="D65" s="146"/>
      <c r="E65" s="239" t="s">
        <v>176</v>
      </c>
      <c r="F65" s="138">
        <v>2.4</v>
      </c>
      <c r="G65" s="139" t="s">
        <v>60</v>
      </c>
      <c r="H65" s="212"/>
      <c r="J65" s="210"/>
      <c r="K65" s="138"/>
      <c r="L65" s="138"/>
      <c r="M65" s="145"/>
      <c r="N65" s="145"/>
      <c r="O65" s="138">
        <v>0.0</v>
      </c>
      <c r="P65" s="138">
        <v>1.0</v>
      </c>
      <c r="Q65" s="138">
        <v>1.0</v>
      </c>
      <c r="R65" s="145" t="b">
        <v>1</v>
      </c>
      <c r="S65" s="145" t="b">
        <v>0</v>
      </c>
      <c r="T65" s="145"/>
      <c r="U65" s="146"/>
      <c r="V65" s="146"/>
    </row>
    <row r="66" outlineLevel="1">
      <c r="A66" s="146"/>
      <c r="B66" s="402" t="s">
        <v>202</v>
      </c>
      <c r="C66" s="239" t="s">
        <v>562</v>
      </c>
      <c r="D66" s="156"/>
      <c r="E66" s="239" t="s">
        <v>73</v>
      </c>
      <c r="F66" s="138">
        <v>4.8</v>
      </c>
      <c r="G66" s="139" t="s">
        <v>75</v>
      </c>
      <c r="H66" s="106"/>
      <c r="I66" s="168"/>
      <c r="J66" s="107"/>
      <c r="K66" s="138"/>
      <c r="L66" s="138"/>
      <c r="M66" s="145"/>
      <c r="N66" s="145"/>
      <c r="O66" s="138">
        <v>0.0</v>
      </c>
      <c r="P66" s="138">
        <v>1.0</v>
      </c>
      <c r="Q66" s="138">
        <v>1.0</v>
      </c>
      <c r="R66" s="145" t="b">
        <v>1</v>
      </c>
      <c r="S66" s="145" t="b">
        <v>0</v>
      </c>
      <c r="T66" s="145"/>
      <c r="U66" s="156"/>
      <c r="V66" s="156"/>
    </row>
    <row r="67" outlineLevel="1">
      <c r="A67" s="230" t="s">
        <v>2608</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outlineLevel="1">
      <c r="A68" s="1770" t="s">
        <v>184</v>
      </c>
      <c r="B68" s="1771"/>
      <c r="C68" s="1769"/>
      <c r="D68" s="1772" t="s">
        <v>118</v>
      </c>
      <c r="E68" s="1769"/>
      <c r="F68" s="1773"/>
      <c r="G68" s="1769"/>
      <c r="H68" s="1774" t="s">
        <v>2609</v>
      </c>
      <c r="I68" s="110"/>
      <c r="J68" s="109"/>
      <c r="K68" s="1773"/>
      <c r="L68" s="1773"/>
      <c r="M68" s="1773"/>
      <c r="N68" s="1773"/>
      <c r="O68" s="1773"/>
      <c r="P68" s="1773"/>
      <c r="Q68" s="1773"/>
      <c r="R68" s="1773"/>
      <c r="S68" s="1773"/>
      <c r="T68" s="1773"/>
      <c r="U68" s="1775" t="b">
        <v>0</v>
      </c>
      <c r="V68" s="1775" t="b">
        <v>0</v>
      </c>
    </row>
    <row r="69">
      <c r="A69" s="223"/>
      <c r="B69" s="224"/>
      <c r="C69" s="225"/>
      <c r="D69" s="225"/>
      <c r="E69" s="226"/>
      <c r="F69" s="226"/>
      <c r="G69" s="226"/>
      <c r="H69" s="227"/>
      <c r="I69" s="227"/>
      <c r="J69" s="228"/>
      <c r="K69" s="228"/>
      <c r="L69" s="228"/>
      <c r="M69" s="228"/>
      <c r="N69" s="228"/>
      <c r="O69" s="228"/>
      <c r="P69" s="228"/>
      <c r="Q69" s="118"/>
      <c r="R69" s="118"/>
      <c r="S69" s="118"/>
      <c r="T69" s="118"/>
      <c r="U69" s="118"/>
      <c r="V69" s="118"/>
    </row>
    <row r="70">
      <c r="A70" s="264" t="s">
        <v>211</v>
      </c>
      <c r="B70" s="104"/>
      <c r="C70" s="227"/>
      <c r="D70" s="227"/>
      <c r="E70" s="228"/>
      <c r="F70" s="265"/>
      <c r="G70" s="265"/>
      <c r="H70" s="228"/>
      <c r="I70" s="228"/>
      <c r="J70" s="228"/>
      <c r="K70" s="228"/>
      <c r="L70" s="228"/>
      <c r="M70" s="228"/>
      <c r="N70" s="118"/>
      <c r="O70" s="118"/>
      <c r="P70" s="118"/>
      <c r="Q70" s="228"/>
      <c r="R70" s="228"/>
      <c r="S70" s="228"/>
      <c r="T70" s="228"/>
      <c r="U70" s="228"/>
      <c r="V70" s="228"/>
    </row>
    <row r="71" outlineLevel="1">
      <c r="A71" s="106"/>
      <c r="B71" s="107"/>
      <c r="C71" s="266" t="s">
        <v>48</v>
      </c>
      <c r="D71" s="266" t="s">
        <v>49</v>
      </c>
      <c r="E71" s="266" t="s">
        <v>50</v>
      </c>
      <c r="F71" s="267" t="s">
        <v>51</v>
      </c>
      <c r="G71" s="227"/>
      <c r="H71" s="227"/>
      <c r="I71" s="227"/>
      <c r="J71" s="228"/>
      <c r="K71" s="228"/>
      <c r="L71" s="228"/>
      <c r="M71" s="228"/>
      <c r="N71" s="228"/>
      <c r="O71" s="228"/>
      <c r="P71" s="228"/>
      <c r="Q71" s="228"/>
      <c r="R71" s="228"/>
      <c r="S71" s="228"/>
      <c r="T71" s="228"/>
      <c r="U71" s="228"/>
      <c r="V71" s="228"/>
    </row>
    <row r="72" outlineLevel="1">
      <c r="A72" s="268" t="s">
        <v>212</v>
      </c>
      <c r="B72" s="269" t="s">
        <v>212</v>
      </c>
      <c r="C72" s="239" t="s">
        <v>176</v>
      </c>
      <c r="D72" s="239" t="s">
        <v>93</v>
      </c>
      <c r="E72" s="239" t="s">
        <v>381</v>
      </c>
      <c r="F72" s="138">
        <v>1.92</v>
      </c>
      <c r="G72" s="227"/>
      <c r="H72" s="227"/>
      <c r="I72" s="227"/>
      <c r="J72" s="228"/>
      <c r="K72" s="228"/>
      <c r="L72" s="228"/>
      <c r="M72" s="228"/>
      <c r="N72" s="228"/>
      <c r="O72" s="228"/>
      <c r="P72" s="228"/>
      <c r="Q72" s="228"/>
      <c r="R72" s="228"/>
      <c r="S72" s="228"/>
      <c r="T72" s="228"/>
      <c r="U72" s="228"/>
      <c r="V72" s="228"/>
    </row>
    <row r="73" outlineLevel="1">
      <c r="A73" s="270" t="s">
        <v>215</v>
      </c>
      <c r="B73" s="269" t="s">
        <v>216</v>
      </c>
      <c r="C73" s="239" t="s">
        <v>161</v>
      </c>
      <c r="D73" s="239" t="s">
        <v>118</v>
      </c>
      <c r="E73" s="271"/>
      <c r="F73" s="272"/>
      <c r="G73" s="272"/>
      <c r="H73" s="227"/>
      <c r="I73" s="227"/>
      <c r="J73" s="228"/>
      <c r="K73" s="228"/>
      <c r="L73" s="228"/>
      <c r="M73" s="228"/>
      <c r="N73" s="228"/>
      <c r="O73" s="228"/>
      <c r="P73" s="228"/>
      <c r="Q73" s="228"/>
      <c r="R73" s="228"/>
      <c r="S73" s="228"/>
      <c r="T73" s="228"/>
      <c r="U73" s="228"/>
      <c r="V73" s="228"/>
    </row>
    <row r="74" outlineLevel="1">
      <c r="A74" s="212"/>
      <c r="B74" s="269" t="s">
        <v>219</v>
      </c>
      <c r="C74" s="239" t="s">
        <v>382</v>
      </c>
      <c r="D74" s="239" t="s">
        <v>146</v>
      </c>
      <c r="E74" s="271"/>
      <c r="F74" s="272"/>
      <c r="G74" s="272"/>
      <c r="H74" s="227"/>
      <c r="I74" s="227"/>
      <c r="J74" s="228"/>
      <c r="K74" s="228"/>
      <c r="L74" s="228"/>
      <c r="M74" s="228"/>
      <c r="N74" s="228"/>
      <c r="O74" s="228"/>
      <c r="P74" s="228"/>
      <c r="Q74" s="228"/>
      <c r="R74" s="228"/>
      <c r="S74" s="228"/>
      <c r="T74" s="228"/>
      <c r="U74" s="228"/>
      <c r="V74" s="228"/>
    </row>
    <row r="75" outlineLevel="1">
      <c r="A75" s="106"/>
      <c r="B75" s="269" t="s">
        <v>222</v>
      </c>
      <c r="C75" s="239" t="s">
        <v>383</v>
      </c>
      <c r="D75" s="239" t="s">
        <v>221</v>
      </c>
      <c r="E75" s="227"/>
      <c r="F75" s="272"/>
      <c r="G75" s="272"/>
      <c r="H75" s="227"/>
      <c r="I75" s="227"/>
      <c r="J75" s="228"/>
      <c r="K75" s="228"/>
      <c r="L75" s="228"/>
      <c r="M75" s="228"/>
      <c r="N75" s="228"/>
      <c r="O75" s="228"/>
      <c r="P75" s="228"/>
      <c r="Q75" s="228"/>
      <c r="R75" s="228"/>
      <c r="S75" s="228"/>
      <c r="T75" s="228"/>
      <c r="U75" s="228"/>
      <c r="V75" s="228"/>
    </row>
    <row r="76" outlineLevel="1">
      <c r="A76" s="273" t="s">
        <v>225</v>
      </c>
      <c r="B76" s="109"/>
      <c r="C76" s="266" t="s">
        <v>48</v>
      </c>
      <c r="D76" s="266" t="s">
        <v>49</v>
      </c>
      <c r="E76" s="266" t="s">
        <v>50</v>
      </c>
      <c r="F76" s="267" t="s">
        <v>51</v>
      </c>
      <c r="G76" s="1168" t="s">
        <v>53</v>
      </c>
      <c r="H76" s="110"/>
      <c r="I76" s="110"/>
      <c r="J76" s="109"/>
      <c r="K76" s="275" t="str">
        <f>'テンプレート'!K97</f>
        <v>ベクトル</v>
      </c>
      <c r="L76" s="275" t="str">
        <f>'テンプレート'!L97</f>
        <v>KBG (R.E.)</v>
      </c>
      <c r="M76" s="275" t="str">
        <f>'テンプレート'!M97</f>
        <v>BKB (R.A.)</v>
      </c>
      <c r="N76" s="275" t="str">
        <f>'テンプレート'!N97</f>
        <v>FKB (R.F.)</v>
      </c>
      <c r="O76" s="276" t="str">
        <f>'テンプレート'!O97</f>
        <v>盾削り値</v>
      </c>
      <c r="P76" s="275" t="str">
        <f>'テンプレート'!P97</f>
        <v>ﾋｯﾄｽﾄｯﾌﾟ</v>
      </c>
      <c r="Q76" s="276" t="str">
        <f>'テンプレート'!Q97</f>
        <v>ずらし</v>
      </c>
      <c r="R76" s="277"/>
      <c r="S76" s="277"/>
      <c r="T76" s="277"/>
      <c r="U76" s="277"/>
      <c r="V76" s="277"/>
    </row>
    <row r="77" outlineLevel="1">
      <c r="A77" s="278" t="s">
        <v>226</v>
      </c>
      <c r="B77" s="269" t="s">
        <v>227</v>
      </c>
      <c r="C77" s="553"/>
      <c r="D77" s="279">
        <v>59.0</v>
      </c>
      <c r="E77" s="553"/>
      <c r="F77" s="553"/>
      <c r="G77" s="1170"/>
      <c r="H77" s="164"/>
      <c r="I77" s="164"/>
      <c r="J77" s="104"/>
      <c r="K77" s="261"/>
      <c r="L77" s="261"/>
      <c r="M77" s="261"/>
      <c r="N77" s="261"/>
      <c r="O77" s="261"/>
      <c r="P77" s="261"/>
      <c r="Q77" s="261"/>
      <c r="R77" s="277"/>
      <c r="S77" s="228"/>
      <c r="T77" s="228"/>
      <c r="U77" s="228"/>
      <c r="V77" s="228"/>
    </row>
    <row r="78" outlineLevel="1">
      <c r="A78" s="156"/>
      <c r="B78" s="269" t="s">
        <v>225</v>
      </c>
      <c r="C78" s="113">
        <v>27.0</v>
      </c>
      <c r="D78" s="156"/>
      <c r="E78" s="239" t="s">
        <v>128</v>
      </c>
      <c r="F78" s="138">
        <v>12.0</v>
      </c>
      <c r="G78" s="106"/>
      <c r="H78" s="168"/>
      <c r="I78" s="168"/>
      <c r="J78" s="107"/>
      <c r="K78" s="282"/>
      <c r="L78" s="282"/>
      <c r="M78" s="363"/>
      <c r="N78" s="363"/>
      <c r="O78" s="261"/>
      <c r="P78" s="261"/>
      <c r="Q78" s="261"/>
      <c r="R78" s="277"/>
      <c r="S78" s="228"/>
      <c r="T78" s="228"/>
      <c r="U78" s="228"/>
      <c r="V78" s="228"/>
    </row>
    <row r="79" outlineLevel="1">
      <c r="A79" s="278" t="s">
        <v>229</v>
      </c>
      <c r="B79" s="269" t="s">
        <v>227</v>
      </c>
      <c r="C79" s="261"/>
      <c r="D79" s="279">
        <v>32.0</v>
      </c>
      <c r="E79" s="553"/>
      <c r="F79" s="553"/>
      <c r="G79" s="1170"/>
      <c r="H79" s="164"/>
      <c r="I79" s="164"/>
      <c r="J79" s="104"/>
      <c r="K79" s="261"/>
      <c r="L79" s="261"/>
      <c r="M79" s="261"/>
      <c r="N79" s="261"/>
      <c r="O79" s="261"/>
      <c r="P79" s="261"/>
      <c r="Q79" s="261"/>
      <c r="R79" s="277"/>
      <c r="S79" s="228"/>
      <c r="T79" s="228"/>
      <c r="U79" s="228"/>
      <c r="V79" s="228"/>
    </row>
    <row r="80" outlineLevel="1">
      <c r="A80" s="156"/>
      <c r="B80" s="269" t="s">
        <v>225</v>
      </c>
      <c r="C80" s="239" t="s">
        <v>876</v>
      </c>
      <c r="D80" s="156"/>
      <c r="E80" s="239" t="s">
        <v>128</v>
      </c>
      <c r="F80" s="138">
        <v>12.0</v>
      </c>
      <c r="G80" s="106"/>
      <c r="H80" s="168"/>
      <c r="I80" s="168"/>
      <c r="J80" s="107"/>
      <c r="K80" s="282"/>
      <c r="L80" s="282"/>
      <c r="M80" s="363"/>
      <c r="N80" s="363"/>
      <c r="O80" s="261"/>
      <c r="P80" s="261"/>
      <c r="Q80" s="261"/>
      <c r="R80" s="277"/>
      <c r="S80" s="228"/>
      <c r="T80" s="228"/>
      <c r="U80" s="228"/>
      <c r="V80" s="228"/>
    </row>
    <row r="81" outlineLevel="1">
      <c r="A81" s="278" t="s">
        <v>233</v>
      </c>
      <c r="B81" s="269" t="s">
        <v>227</v>
      </c>
      <c r="C81" s="113" t="s">
        <v>2686</v>
      </c>
      <c r="D81" s="279">
        <v>79.0</v>
      </c>
      <c r="E81" s="239" t="s">
        <v>80</v>
      </c>
      <c r="F81" s="138">
        <v>9.6</v>
      </c>
      <c r="G81" s="283"/>
      <c r="H81" s="164"/>
      <c r="I81" s="164"/>
      <c r="J81" s="104"/>
      <c r="K81" s="282"/>
      <c r="L81" s="282"/>
      <c r="M81" s="363"/>
      <c r="N81" s="363"/>
      <c r="O81" s="145">
        <v>0.0</v>
      </c>
      <c r="P81" s="145">
        <v>1.0</v>
      </c>
      <c r="Q81" s="145">
        <v>1.0</v>
      </c>
      <c r="R81" s="277"/>
      <c r="S81" s="228"/>
      <c r="T81" s="228"/>
      <c r="U81" s="228"/>
      <c r="V81" s="228"/>
    </row>
    <row r="82" outlineLevel="1">
      <c r="A82" s="156"/>
      <c r="B82" s="269" t="s">
        <v>225</v>
      </c>
      <c r="C82" s="113">
        <v>58.0</v>
      </c>
      <c r="D82" s="156"/>
      <c r="E82" s="239" t="s">
        <v>204</v>
      </c>
      <c r="F82" s="138">
        <v>3.5999999999999996</v>
      </c>
      <c r="G82" s="106"/>
      <c r="H82" s="168"/>
      <c r="I82" s="168"/>
      <c r="J82" s="107"/>
      <c r="K82" s="282"/>
      <c r="L82" s="282"/>
      <c r="M82" s="363"/>
      <c r="N82" s="363"/>
      <c r="O82" s="261"/>
      <c r="P82" s="261"/>
      <c r="Q82" s="261"/>
      <c r="R82" s="277"/>
      <c r="S82" s="117"/>
      <c r="T82" s="117"/>
      <c r="U82" s="117"/>
      <c r="V82" s="117"/>
    </row>
    <row r="83" outlineLevel="1">
      <c r="A83" s="278" t="s">
        <v>234</v>
      </c>
      <c r="B83" s="269" t="s">
        <v>227</v>
      </c>
      <c r="C83" s="239" t="s">
        <v>2687</v>
      </c>
      <c r="D83" s="367" t="s">
        <v>499</v>
      </c>
      <c r="E83" s="239" t="s">
        <v>213</v>
      </c>
      <c r="F83" s="138">
        <v>1.2</v>
      </c>
      <c r="G83" s="283"/>
      <c r="H83" s="164"/>
      <c r="I83" s="164"/>
      <c r="J83" s="104"/>
      <c r="K83" s="282"/>
      <c r="L83" s="282"/>
      <c r="M83" s="363"/>
      <c r="N83" s="363"/>
      <c r="O83" s="145">
        <v>0.0</v>
      </c>
      <c r="P83" s="145">
        <v>1.0</v>
      </c>
      <c r="Q83" s="145">
        <v>1.0</v>
      </c>
      <c r="R83" s="277"/>
      <c r="S83" s="117"/>
      <c r="T83" s="117"/>
      <c r="U83" s="117"/>
      <c r="V83" s="117"/>
    </row>
    <row r="84" outlineLevel="1">
      <c r="A84" s="156"/>
      <c r="B84" s="269" t="s">
        <v>225</v>
      </c>
      <c r="C84" s="239" t="s">
        <v>300</v>
      </c>
      <c r="D84" s="156"/>
      <c r="E84" s="239" t="s">
        <v>213</v>
      </c>
      <c r="F84" s="138">
        <v>1.2</v>
      </c>
      <c r="G84" s="106"/>
      <c r="H84" s="168"/>
      <c r="I84" s="168"/>
      <c r="J84" s="107"/>
      <c r="K84" s="282"/>
      <c r="L84" s="282"/>
      <c r="M84" s="363"/>
      <c r="N84" s="363"/>
      <c r="O84" s="261"/>
      <c r="P84" s="261"/>
      <c r="Q84" s="261"/>
      <c r="R84" s="277"/>
      <c r="S84" s="117"/>
      <c r="T84" s="117"/>
      <c r="U84" s="117"/>
      <c r="V84" s="117"/>
    </row>
    <row r="85">
      <c r="A85" s="223"/>
      <c r="B85" s="224"/>
      <c r="C85" s="225"/>
      <c r="D85" s="225"/>
      <c r="E85" s="227"/>
      <c r="F85" s="177"/>
      <c r="G85" s="177"/>
      <c r="H85" s="227"/>
      <c r="I85" s="227"/>
      <c r="J85" s="228"/>
      <c r="K85" s="228"/>
      <c r="L85" s="111"/>
      <c r="M85" s="111"/>
      <c r="N85" s="111"/>
      <c r="O85" s="117"/>
      <c r="P85" s="117"/>
      <c r="Q85" s="111"/>
      <c r="R85" s="111"/>
      <c r="S85" s="111"/>
      <c r="T85" s="111"/>
      <c r="U85" s="111"/>
      <c r="V85" s="111"/>
    </row>
    <row r="86">
      <c r="A86" s="284" t="s">
        <v>241</v>
      </c>
      <c r="B86" s="104"/>
      <c r="C86" s="265"/>
      <c r="D86" s="111"/>
      <c r="E86" s="111"/>
      <c r="F86" s="111"/>
      <c r="G86" s="111"/>
      <c r="H86" s="111"/>
      <c r="I86" s="111"/>
      <c r="J86" s="118"/>
      <c r="K86" s="111"/>
      <c r="L86" s="111"/>
      <c r="M86" s="111"/>
      <c r="N86" s="111"/>
      <c r="O86" s="111"/>
      <c r="P86" s="111"/>
      <c r="Q86" s="118"/>
      <c r="R86" s="111"/>
      <c r="S86" s="111"/>
      <c r="T86" s="111"/>
      <c r="U86" s="111"/>
      <c r="V86" s="111"/>
    </row>
    <row r="87" outlineLevel="1">
      <c r="A87" s="106"/>
      <c r="B87" s="107"/>
      <c r="C87" s="285" t="s">
        <v>235</v>
      </c>
      <c r="D87" s="285" t="s">
        <v>236</v>
      </c>
      <c r="E87" s="285" t="s">
        <v>49</v>
      </c>
      <c r="F87" s="285" t="s">
        <v>237</v>
      </c>
      <c r="G87" s="286"/>
      <c r="H87" s="227"/>
      <c r="I87" s="227"/>
      <c r="J87" s="228"/>
      <c r="K87" s="228"/>
      <c r="L87" s="111"/>
      <c r="M87" s="111"/>
      <c r="N87" s="111"/>
      <c r="O87" s="111"/>
      <c r="P87" s="111"/>
      <c r="Q87" s="111"/>
      <c r="R87" s="111"/>
      <c r="S87" s="111"/>
      <c r="T87" s="111"/>
      <c r="U87" s="111"/>
      <c r="V87" s="111"/>
    </row>
    <row r="88" outlineLevel="1">
      <c r="A88" s="287" t="s">
        <v>395</v>
      </c>
      <c r="B88" s="288" t="s">
        <v>216</v>
      </c>
      <c r="C88" s="113" t="str">
        <f t="array" ref="C88">INDEX('回避'!$C$3:$U$84, MATCH($A$1,'回避'!$A$3:$A$91,0), MATCH(C87,'回避'!$C$2:$F$2,0))</f>
        <v>3-18</v>
      </c>
      <c r="D88" s="113" t="str">
        <f t="array" ref="D88">INDEX('回避'!$C$3:$U$84, MATCH($A$1,'回避'!$A$3:$A$91,0), MATCH(D87,'回避'!$C$2:$F$2,0))</f>
        <v>6-18</v>
      </c>
      <c r="E88" s="113" t="str">
        <f t="array" ref="E88">INDEX('回避'!$C$3:$U$84, MATCH($A$1,'回避'!$A$3:$A$91,0), MATCH(E87,'回避'!$C$2:$F$2,0))</f>
        <v>28 (23)</v>
      </c>
      <c r="F88" s="113" t="str">
        <f t="array" ref="F88">INDEX('回避'!$C$3:$U$84, MATCH($A$1,'回避'!$A$3:$A$91,0), MATCH(F87,'回避'!$C$2:$F$2,0))</f>
        <v>37 (31)</v>
      </c>
      <c r="G88" s="272"/>
      <c r="H88" s="227"/>
      <c r="I88" s="227"/>
      <c r="J88" s="228"/>
      <c r="K88" s="228"/>
      <c r="L88" s="228"/>
      <c r="M88" s="111"/>
      <c r="N88" s="111"/>
      <c r="O88" s="111"/>
      <c r="P88" s="111"/>
      <c r="Q88" s="111"/>
      <c r="R88" s="111"/>
      <c r="S88" s="111"/>
      <c r="T88" s="111"/>
      <c r="U88" s="111"/>
      <c r="V88" s="111"/>
    </row>
    <row r="89" outlineLevel="1">
      <c r="A89" s="212"/>
      <c r="B89" s="288" t="s">
        <v>245</v>
      </c>
      <c r="C89" s="113" t="str">
        <f t="array" ref="C89">INDEX('回避'!$G$3:$U$84, MATCH($A$1,'回避'!$A$3:$A$91,0), MATCH(C87,'回避'!$G$2:$J$2,0))</f>
        <v>4-16</v>
      </c>
      <c r="D89" s="113" t="str">
        <f t="array" ref="D89">INDEX('回避'!$G$3:$U$84, MATCH($A$1,'回避'!$A$3:$A$91,0), MATCH(D87,'回避'!$G$2:$J$2,0))</f>
        <v>8-15</v>
      </c>
      <c r="E89" s="113" t="str">
        <f t="array" ref="E89">INDEX('回避'!$G$3:$U$84, MATCH($A$1,'回避'!$A$3:$A$91,0), MATCH(E87,'回避'!$G$2:$J$2,0))</f>
        <v>32</v>
      </c>
      <c r="F89" s="113">
        <f t="array" ref="F89">INDEX('回避'!$G$3:$U$84, MATCH($A$1,'回避'!$A$3:$A$91,0), MATCH(F87,'回避'!$G$2:$J$2,0))</f>
        <v>42</v>
      </c>
      <c r="G89" s="289"/>
      <c r="H89" s="227"/>
      <c r="I89" s="227"/>
      <c r="J89" s="228"/>
      <c r="K89" s="228"/>
      <c r="L89" s="228"/>
      <c r="M89" s="228"/>
      <c r="N89" s="228"/>
      <c r="O89" s="111"/>
      <c r="P89" s="111"/>
      <c r="Q89" s="111"/>
      <c r="R89" s="111"/>
      <c r="S89" s="111"/>
      <c r="T89" s="111"/>
      <c r="U89" s="111"/>
      <c r="V89" s="111"/>
    </row>
    <row r="90" outlineLevel="1">
      <c r="A90" s="106"/>
      <c r="B90" s="288" t="s">
        <v>246</v>
      </c>
      <c r="C90" s="113" t="str">
        <f t="array" ref="C90">INDEX('回避'!$K$3:$U$84, MATCH($A$1,'回避'!$A$3:$A$91,0), MATCH(C87,'回避'!$K$2:$N$2,0))</f>
        <v>5-17</v>
      </c>
      <c r="D90" s="113" t="str">
        <f t="array" ref="D90">INDEX('回避'!$K$3:$U$84, MATCH($A$1,'回避'!$A$3:$A$91,0), MATCH(D87,'回避'!$K$2:$N$2,0))</f>
        <v>9-15</v>
      </c>
      <c r="E90" s="113" t="str">
        <f t="array" ref="E90">INDEX('回避'!$K$3:$U$84, MATCH($A$1,'回避'!$A$3:$A$91,0), MATCH(E87,'回避'!$K$2:$N$2,0))</f>
        <v>37</v>
      </c>
      <c r="F90" s="113" t="str">
        <f t="array" ref="F90">INDEX('回避'!$K$3:$U$84, MATCH($A$1,'回避'!$A$3:$A$91,0), MATCH(F87,'回避'!$K$2:$N$2,0))</f>
        <v>56</v>
      </c>
      <c r="G90" s="289"/>
      <c r="H90" s="290"/>
      <c r="I90" s="290"/>
      <c r="J90" s="117"/>
      <c r="K90" s="117"/>
      <c r="L90" s="117"/>
      <c r="M90" s="117"/>
      <c r="N90" s="117"/>
      <c r="O90" s="111"/>
      <c r="P90" s="111"/>
      <c r="Q90" s="111"/>
      <c r="R90" s="111"/>
      <c r="S90" s="111"/>
      <c r="T90" s="111"/>
      <c r="U90" s="111"/>
      <c r="V90" s="111"/>
    </row>
    <row r="91" outlineLevel="1">
      <c r="A91" s="287" t="s">
        <v>396</v>
      </c>
      <c r="B91" s="288" t="s">
        <v>397</v>
      </c>
      <c r="C91" s="113" t="str">
        <f t="array" ref="C91">INDEX('回避'!$O$3:$U$84, MATCH($A$1,'回避'!$A$3:$A$91,0), MATCH(C87,'回避'!$O$2:$R$2,0))</f>
        <v>3-30</v>
      </c>
      <c r="D91" s="113" t="str">
        <f t="array" ref="D91">INDEX('回避'!$O$3:$U$84, MATCH($A$1,'回避'!$A$3:$A$91,0), MATCH(D87,'回避'!$O$2:$R$2,0))</f>
        <v>6-27</v>
      </c>
      <c r="E91" s="113" t="str">
        <f t="array" ref="E91">INDEX('回避'!$O$3:$U$84, MATCH($A$1,'回避'!$A$3:$A$91,0), MATCH(E87,'回避'!$O$2:$R$2,0))</f>
        <v>49</v>
      </c>
      <c r="F91" s="177"/>
      <c r="G91" s="177"/>
      <c r="H91" s="118"/>
      <c r="I91" s="118"/>
      <c r="J91" s="111"/>
      <c r="K91" s="111"/>
      <c r="L91" s="111"/>
      <c r="M91" s="111"/>
      <c r="N91" s="111"/>
      <c r="O91" s="228"/>
      <c r="P91" s="228"/>
      <c r="Q91" s="228"/>
      <c r="R91" s="228"/>
      <c r="S91" s="228"/>
      <c r="T91" s="228"/>
      <c r="U91" s="228"/>
      <c r="V91" s="228"/>
    </row>
    <row r="92" outlineLevel="1">
      <c r="A92" s="106"/>
      <c r="B92" s="288" t="s">
        <v>398</v>
      </c>
      <c r="C92" s="113" t="str">
        <f t="array" ref="C92">INDEX('回避'!$S$3:$U$84, MATCH($A$1,'回避'!$A$3:$A$91,0), MATCH(C87,'回避'!$S$2:$U$2,0))</f>
        <v>3-22</v>
      </c>
      <c r="D92" s="113" t="str">
        <f t="array" ref="D92">INDEX('回避'!$S$3:$U$84, MATCH($A$1,'回避'!$A$3:$A$91,0), MATCH(D87,'回避'!$S$2:$U$2,0))</f>
        <v>6-21</v>
      </c>
      <c r="E92" s="113" t="str">
        <f t="array" ref="E92">INDEX('回避'!$S$3:$U$84, MATCH($A$1,'回避'!$A$3:$A$91,0), MATCH(E87,'回避'!$S$2:$U$2,0))</f>
        <v>真横：85
真上：107
真下：70</v>
      </c>
      <c r="F92" s="289"/>
      <c r="G92" s="289"/>
      <c r="H92" s="118"/>
      <c r="I92" s="118"/>
      <c r="J92" s="117"/>
      <c r="K92" s="117"/>
      <c r="L92" s="117"/>
      <c r="M92" s="117"/>
      <c r="N92" s="111"/>
      <c r="O92" s="118"/>
      <c r="P92" s="118"/>
      <c r="Q92" s="118"/>
      <c r="R92" s="118"/>
      <c r="S92" s="118"/>
      <c r="T92" s="118"/>
      <c r="U92" s="118"/>
      <c r="V92" s="118"/>
    </row>
    <row r="93">
      <c r="A93" s="291"/>
      <c r="B93" s="292"/>
      <c r="C93" s="290"/>
      <c r="D93" s="290"/>
      <c r="E93" s="117"/>
      <c r="F93" s="289"/>
      <c r="G93" s="286"/>
      <c r="H93" s="286"/>
      <c r="I93" s="286"/>
      <c r="J93" s="111"/>
      <c r="K93" s="227"/>
      <c r="L93" s="227"/>
      <c r="M93" s="227"/>
      <c r="N93" s="227"/>
      <c r="O93" s="118"/>
      <c r="P93" s="118"/>
      <c r="Q93" s="118"/>
      <c r="R93" s="118"/>
      <c r="S93" s="118"/>
      <c r="T93" s="118"/>
      <c r="U93" s="118"/>
      <c r="V93" s="118"/>
    </row>
    <row r="94">
      <c r="A94" s="294" t="s">
        <v>238</v>
      </c>
      <c r="B94" s="104"/>
      <c r="C94" s="228"/>
      <c r="D94" s="117"/>
      <c r="E94" s="228"/>
      <c r="F94" s="114"/>
      <c r="G94" s="114"/>
      <c r="H94" s="117"/>
      <c r="I94" s="117"/>
      <c r="J94" s="118"/>
      <c r="K94" s="118"/>
      <c r="L94" s="118"/>
      <c r="M94" s="118"/>
      <c r="N94" s="118"/>
      <c r="O94" s="118"/>
      <c r="P94" s="118"/>
      <c r="Q94" s="118"/>
      <c r="R94" s="118"/>
      <c r="S94" s="118"/>
      <c r="T94" s="118"/>
      <c r="U94" s="118"/>
      <c r="V94" s="118"/>
    </row>
    <row r="95" outlineLevel="1">
      <c r="A95" s="106"/>
      <c r="B95" s="107"/>
      <c r="C95" s="295" t="s">
        <v>235</v>
      </c>
      <c r="D95" s="295" t="s">
        <v>49</v>
      </c>
      <c r="E95" s="295" t="s">
        <v>48</v>
      </c>
      <c r="F95" s="295" t="s">
        <v>50</v>
      </c>
      <c r="G95" s="296" t="s">
        <v>51</v>
      </c>
      <c r="H95" s="228"/>
      <c r="I95" s="228"/>
      <c r="J95" s="117"/>
      <c r="K95" s="297" t="str">
        <f>'テンプレート'!K116</f>
        <v>アイテム取得</v>
      </c>
      <c r="L95" s="109"/>
      <c r="M95" s="298" t="str">
        <f>'テンプレート'!M116</f>
        <v>取得フレーム</v>
      </c>
      <c r="N95" s="298" t="str">
        <f>'テンプレート'!N116</f>
        <v>全体フレーム</v>
      </c>
      <c r="O95" s="118"/>
      <c r="P95" s="118"/>
      <c r="Q95" s="118"/>
      <c r="R95" s="118"/>
      <c r="S95" s="118"/>
      <c r="T95" s="118"/>
      <c r="U95" s="118"/>
      <c r="V95" s="118"/>
    </row>
    <row r="96" outlineLevel="1">
      <c r="A96" s="299" t="s">
        <v>239</v>
      </c>
      <c r="B96" s="300" t="s">
        <v>240</v>
      </c>
      <c r="C96" s="301"/>
      <c r="D96" s="113">
        <f t="array" ref="D96">INDEX('崖行動・受け身'!$C$3:$C99, MATCH($A$1,'崖行動・受け身'!$A$3:$A$115,0), MATCH(D95,'崖行動・受け身'!$C$2,0))</f>
        <v>19</v>
      </c>
      <c r="E96" s="301"/>
      <c r="F96" s="301"/>
      <c r="G96" s="301"/>
      <c r="H96" s="228"/>
      <c r="I96" s="228"/>
      <c r="J96" s="111"/>
      <c r="K96" s="302" t="str">
        <f>'テンプレート'!K117</f>
        <v>小アイテム</v>
      </c>
      <c r="L96" s="303" t="str">
        <f>'テンプレート'!L117</f>
        <v>その場</v>
      </c>
      <c r="M96" s="113" t="s">
        <v>76</v>
      </c>
      <c r="N96" s="113">
        <v>7.0</v>
      </c>
      <c r="O96" s="118"/>
      <c r="P96" s="118"/>
      <c r="Q96" s="118"/>
      <c r="R96" s="118"/>
      <c r="S96" s="118"/>
      <c r="T96" s="118"/>
      <c r="U96" s="118"/>
      <c r="V96" s="118"/>
    </row>
    <row r="97" outlineLevel="1">
      <c r="A97" s="146"/>
      <c r="B97" s="300" t="s">
        <v>216</v>
      </c>
      <c r="C97" s="113" t="str">
        <f t="array" ref="C97">INDEX('崖行動・受け身'!$D$3:$E99, MATCH($A$1,'崖行動・受け身'!$A$3:$A$115,0), MATCH(C95,'崖行動・受け身'!$D$2:$E$2,0))</f>
        <v>1-33</v>
      </c>
      <c r="D97" s="113">
        <f t="array" ref="D97">INDEX('崖行動・受け身'!$D$3:$E99, MATCH($A$1,'崖行動・受け身'!$A$3:$A$115,0), MATCH(D95,'崖行動・受け身'!$D$2:$E$2,0))</f>
        <v>34</v>
      </c>
      <c r="E97" s="301"/>
      <c r="F97" s="301"/>
      <c r="G97" s="301"/>
      <c r="H97" s="228"/>
      <c r="I97" s="228"/>
      <c r="J97" s="117"/>
      <c r="K97" s="156"/>
      <c r="L97" s="303" t="str">
        <f>'テンプレート'!L118</f>
        <v>歩き</v>
      </c>
      <c r="M97" s="113" t="s">
        <v>76</v>
      </c>
      <c r="N97" s="113">
        <v>19.0</v>
      </c>
      <c r="O97" s="118"/>
      <c r="P97" s="118"/>
      <c r="Q97" s="118"/>
      <c r="R97" s="118"/>
      <c r="S97" s="118"/>
      <c r="T97" s="118"/>
      <c r="U97" s="118"/>
      <c r="V97" s="118"/>
    </row>
    <row r="98" outlineLevel="1">
      <c r="A98" s="146"/>
      <c r="B98" s="300" t="s">
        <v>241</v>
      </c>
      <c r="C98" s="113" t="str">
        <f t="array" ref="C98">INDEX('崖行動・受け身'!$F$3:$G$115, MATCH($A$1,'崖行動・受け身'!$A$3:$A$115,0), MATCH(C95,'崖行動・受け身'!$F$2:$G$2,0))</f>
        <v>1-21</v>
      </c>
      <c r="D98" s="113">
        <f t="array" ref="D98">INDEX('崖行動・受け身'!$F$3:$G$115, MATCH($A$1,'崖行動・受け身'!$A$3:$A$115,0), MATCH(D95,'崖行動・受け身'!$F$2:$G$2,0))</f>
        <v>45</v>
      </c>
      <c r="E98" s="301"/>
      <c r="F98" s="301"/>
      <c r="G98" s="301"/>
      <c r="H98" s="228"/>
      <c r="I98" s="228"/>
      <c r="J98" s="111"/>
      <c r="K98" s="304" t="str">
        <f>'テンプレート'!K119</f>
        <v>アイテム投擲</v>
      </c>
      <c r="L98" s="109"/>
      <c r="M98" s="298" t="str">
        <f>'テンプレート'!M119</f>
        <v>投擲フレーム</v>
      </c>
      <c r="N98" s="298" t="str">
        <f>'テンプレート'!N119</f>
        <v>全体フレーム</v>
      </c>
      <c r="O98" s="118"/>
      <c r="P98" s="118"/>
      <c r="Q98" s="118"/>
      <c r="R98" s="118"/>
      <c r="S98" s="118"/>
      <c r="T98" s="118"/>
      <c r="U98" s="118"/>
      <c r="V98" s="118"/>
    </row>
    <row r="99" outlineLevel="1">
      <c r="A99" s="146"/>
      <c r="B99" s="300" t="s">
        <v>242</v>
      </c>
      <c r="C99" s="113" t="str">
        <f t="array" ref="C99">INDEX('崖行動・受け身'!$H$3:$I$115, MATCH($A$1,'崖行動・受け身'!$A$3:$A$115,0), MATCH(C95,'崖行動・受け身'!$H$2:$I$2,0))</f>
        <v>1-12</v>
      </c>
      <c r="D99" s="113">
        <f t="array" ref="D99">INDEX('崖行動・受け身'!$H$3:$I$115, MATCH($A$1,'崖行動・受け身'!$A$3:$A$115,0), MATCH(D95,'崖行動・受け身'!$H$2:$I$2,0))</f>
        <v>14</v>
      </c>
      <c r="E99" s="301"/>
      <c r="F99" s="301"/>
      <c r="G99" s="301"/>
      <c r="H99" s="228"/>
      <c r="I99" s="228"/>
      <c r="J99" s="117"/>
      <c r="K99" s="305" t="str">
        <f>'テンプレート'!K120</f>
        <v>地上投擲</v>
      </c>
      <c r="L99" s="303" t="str">
        <f>'テンプレート'!L120</f>
        <v>前投げ</v>
      </c>
      <c r="M99" s="113" t="s">
        <v>128</v>
      </c>
      <c r="N99" s="113">
        <v>29.0</v>
      </c>
      <c r="O99" s="111"/>
      <c r="P99" s="111"/>
      <c r="Q99" s="111"/>
      <c r="R99" s="111"/>
      <c r="S99" s="111"/>
      <c r="T99" s="111"/>
      <c r="U99" s="111"/>
      <c r="V99" s="111"/>
    </row>
    <row r="100" outlineLevel="1">
      <c r="A100" s="156"/>
      <c r="B100" s="300" t="s">
        <v>243</v>
      </c>
      <c r="C100" s="113" t="str">
        <f t="array" ref="C100">INDEX('崖行動・受け身'!$J$3:$M$115, MATCH($A$1,'崖行動・受け身'!$A$3:$A$115,0), MATCH(C95,'崖行動・受け身'!$J$2:$M$2,0))</f>
        <v>1-26</v>
      </c>
      <c r="D100" s="113">
        <f t="array" ref="D100">INDEX('崖行動・受け身'!$J$3:$M$115, MATCH($A$1,'崖行動・受け身'!$A$3:$A$115,0), MATCH(D95,'崖行動・受け身'!$J$2:$M$2,0))</f>
        <v>55</v>
      </c>
      <c r="E100" s="113" t="str">
        <f t="array" ref="E100">INDEX('崖行動・受け身'!$J$3:$M$115, MATCH($A$1,'崖行動・受け身'!$A$3:$A$115,0), MATCH(E95,'崖行動・受け身'!$J$2:$M$2,0))</f>
        <v>24-26</v>
      </c>
      <c r="F100" s="113">
        <f t="array" ref="F100">INDEX('崖行動・受け身'!$J$3:$M$115, MATCH($A$1,'崖行動・受け身'!$A$3:$A$115,0), MATCH(F95,'崖行動・受け身'!$J$2:$M$2,0))</f>
        <v>10</v>
      </c>
      <c r="G100" s="113">
        <f>F100*1.2</f>
        <v>12</v>
      </c>
      <c r="H100" s="228"/>
      <c r="I100" s="228"/>
      <c r="J100" s="111"/>
      <c r="K100" s="146"/>
      <c r="L100" s="303" t="str">
        <f>'テンプレート'!L121</f>
        <v>後投げ</v>
      </c>
      <c r="M100" s="113" t="s">
        <v>119</v>
      </c>
      <c r="N100" s="113">
        <v>29.0</v>
      </c>
      <c r="O100" s="111"/>
      <c r="P100" s="111"/>
      <c r="Q100" s="111"/>
      <c r="R100" s="111"/>
      <c r="S100" s="111"/>
      <c r="T100" s="111"/>
      <c r="U100" s="111"/>
      <c r="V100" s="111"/>
    </row>
    <row r="101" outlineLevel="1">
      <c r="A101" s="299" t="s">
        <v>244</v>
      </c>
      <c r="B101" s="300" t="s">
        <v>216</v>
      </c>
      <c r="C101" s="113" t="str">
        <f t="array" ref="C101">INDEX('崖行動・受け身'!$N$3:$O$115, MATCH($A$1,'崖行動・受け身'!$A$3:$A$115,0), MATCH(C95,'崖行動・受け身'!$N$2:$O$2,0))</f>
        <v>1-20</v>
      </c>
      <c r="D101" s="113">
        <f t="array" ref="D101">INDEX('崖行動・受け身'!$N$3:$O$115, MATCH($A$1,'崖行動・受け身'!$A$3:$A$115,0), MATCH(D95,'崖行動・受け身'!$N$2:$O$2,0))</f>
        <v>26</v>
      </c>
      <c r="E101" s="301"/>
      <c r="F101" s="301"/>
      <c r="G101" s="301"/>
      <c r="H101" s="228"/>
      <c r="I101" s="228"/>
      <c r="J101" s="117"/>
      <c r="K101" s="146"/>
      <c r="L101" s="303" t="str">
        <f>'テンプレート'!L122</f>
        <v>上投げ</v>
      </c>
      <c r="M101" s="113" t="s">
        <v>386</v>
      </c>
      <c r="N101" s="113">
        <v>21.0</v>
      </c>
      <c r="O101" s="228"/>
      <c r="P101" s="228"/>
      <c r="Q101" s="228"/>
      <c r="R101" s="228"/>
      <c r="S101" s="228"/>
      <c r="T101" s="228"/>
      <c r="U101" s="228"/>
      <c r="V101" s="228"/>
    </row>
    <row r="102" outlineLevel="1">
      <c r="A102" s="146"/>
      <c r="B102" s="300" t="s">
        <v>245</v>
      </c>
      <c r="C102" s="113" t="str">
        <f t="array" ref="C102">INDEX('崖行動・受け身'!$P$3:$Q$115, MATCH($A$1,'崖行動・受け身'!$A$3:$A$115,0), MATCH(C95,'崖行動・受け身'!$P$2:$Q$2,0))</f>
        <v>1-20</v>
      </c>
      <c r="D102" s="113">
        <f t="array" ref="D102">INDEX('崖行動・受け身'!$P$3:$Q$115, MATCH($A$1,'崖行動・受け身'!$A$3:$A$115,0), MATCH(D95,'崖行動・受け身'!$P$2:$Q$2,0))</f>
        <v>40</v>
      </c>
      <c r="E102" s="301"/>
      <c r="F102" s="301"/>
      <c r="G102" s="301"/>
      <c r="H102" s="228"/>
      <c r="I102" s="228"/>
      <c r="J102" s="111"/>
      <c r="K102" s="146"/>
      <c r="L102" s="303" t="str">
        <f>'テンプレート'!L123</f>
        <v>下投げ</v>
      </c>
      <c r="M102" s="113" t="s">
        <v>80</v>
      </c>
      <c r="N102" s="113">
        <v>29.0</v>
      </c>
      <c r="O102" s="118"/>
      <c r="P102" s="118"/>
      <c r="Q102" s="118"/>
      <c r="R102" s="118"/>
      <c r="S102" s="118"/>
      <c r="T102" s="118"/>
      <c r="U102" s="118"/>
      <c r="V102" s="118"/>
    </row>
    <row r="103" outlineLevel="1">
      <c r="A103" s="156"/>
      <c r="B103" s="300" t="s">
        <v>246</v>
      </c>
      <c r="C103" s="113" t="str">
        <f t="array" ref="C103">INDEX('崖行動・受け身'!$R$3:$S$115, MATCH($A$1,'崖行動・受け身'!$A$3:$A$115,0), MATCH(C95,'崖行動・受け身'!$R$2:$S$2,0))</f>
        <v>1-20</v>
      </c>
      <c r="D103" s="113">
        <f t="array" ref="D103">INDEX('崖行動・受け身'!$R$3:$S$115, MATCH($A$1,'崖行動・受け身'!$A$3:$A$115,0), MATCH(D95,'崖行動・受け身'!$R$2:$S$2,0))</f>
        <v>40</v>
      </c>
      <c r="E103" s="301"/>
      <c r="F103" s="301"/>
      <c r="G103" s="301"/>
      <c r="H103" s="228"/>
      <c r="I103" s="228"/>
      <c r="J103" s="117"/>
      <c r="K103" s="146"/>
      <c r="L103" s="306" t="str">
        <f>'テンプレート'!L124</f>
        <v>ダッシュ</v>
      </c>
      <c r="M103" s="113" t="s">
        <v>86</v>
      </c>
      <c r="N103" s="113">
        <v>38.0</v>
      </c>
      <c r="O103" s="118"/>
      <c r="P103" s="118"/>
      <c r="Q103" s="118"/>
      <c r="R103" s="118"/>
      <c r="S103" s="118"/>
      <c r="T103" s="118"/>
      <c r="U103" s="118"/>
      <c r="V103" s="118"/>
    </row>
    <row r="104" outlineLevel="1">
      <c r="A104" s="299" t="s">
        <v>247</v>
      </c>
      <c r="B104" s="300" t="s">
        <v>248</v>
      </c>
      <c r="C104" s="301"/>
      <c r="D104" s="113" t="str">
        <f t="array" ref="D104">INDEX('起きあがり'!$C$3:$C99, MATCH($A$1,'起きあがり'!$A$3:$A$115,0), MATCH(D95,'起きあがり'!$C$2:$AD$2,0))</f>
        <v>25</v>
      </c>
      <c r="E104" s="301"/>
      <c r="F104" s="301"/>
      <c r="G104" s="301"/>
      <c r="H104" s="228"/>
      <c r="I104" s="228"/>
      <c r="J104" s="111"/>
      <c r="K104" s="156"/>
      <c r="L104" s="306" t="str">
        <f>'テンプレート'!L125</f>
        <v>その場捨て</v>
      </c>
      <c r="M104" s="113" t="s">
        <v>80</v>
      </c>
      <c r="N104" s="113">
        <v>23.0</v>
      </c>
      <c r="O104" s="118"/>
      <c r="P104" s="118"/>
      <c r="Q104" s="118"/>
      <c r="R104" s="118"/>
      <c r="S104" s="118"/>
      <c r="T104" s="118"/>
      <c r="U104" s="118"/>
      <c r="V104" s="118"/>
    </row>
    <row r="105" outlineLevel="1">
      <c r="A105" s="146"/>
      <c r="B105" s="300" t="s">
        <v>216</v>
      </c>
      <c r="C105" s="307" t="str">
        <f t="array" ref="C105">INDEX('起きあがり'!$D$3:$E99, MATCH($A$1,'起きあがり'!$A$3:$A$115,0), MATCH(C95,'起きあがり'!$D$2:$AD$2,0))</f>
        <v>1-22</v>
      </c>
      <c r="D105" s="308">
        <f t="array" ref="D105">INDEX('起きあがり'!$D$3:$E99, MATCH($A$1,'起きあがり'!$A$3:$A$115,0), MATCH(D95,'起きあがり'!$D$2:$AD$2,0))</f>
        <v>29</v>
      </c>
      <c r="E105" s="301"/>
      <c r="F105" s="301"/>
      <c r="G105" s="301"/>
      <c r="H105" s="228"/>
      <c r="I105" s="228"/>
      <c r="J105" s="117"/>
      <c r="K105" s="305" t="str">
        <f>'テンプレート'!K126</f>
        <v>空中投擲</v>
      </c>
      <c r="L105" s="303" t="str">
        <f>'テンプレート'!L126</f>
        <v>前投げ</v>
      </c>
      <c r="M105" s="113" t="s">
        <v>128</v>
      </c>
      <c r="N105" s="113">
        <v>29.0</v>
      </c>
      <c r="O105" s="118"/>
      <c r="P105" s="118"/>
      <c r="Q105" s="118"/>
      <c r="R105" s="118"/>
      <c r="S105" s="118"/>
      <c r="T105" s="118"/>
      <c r="U105" s="118"/>
      <c r="V105" s="118"/>
    </row>
    <row r="106" outlineLevel="1">
      <c r="A106" s="146"/>
      <c r="B106" s="300" t="s">
        <v>245</v>
      </c>
      <c r="C106" s="307" t="str">
        <f t="array" ref="C106">INDEX('起きあがり'!$F$3:$G$115, MATCH($A$1,'起きあがり'!$A$3:$A$115,0), MATCH(C95,'起きあがり'!$F$2:$AD$2,0))</f>
        <v>1-22</v>
      </c>
      <c r="D106" s="308">
        <f t="array" ref="D106">INDEX('起きあがり'!$F$3:$G$115, MATCH($A$1,'起きあがり'!$A$3:$A$115,0), MATCH(D95,'起きあがり'!$F$2:$AD$2,0))</f>
        <v>35</v>
      </c>
      <c r="E106" s="301"/>
      <c r="F106" s="301"/>
      <c r="G106" s="301"/>
      <c r="H106" s="228"/>
      <c r="I106" s="228"/>
      <c r="J106" s="111"/>
      <c r="K106" s="146"/>
      <c r="L106" s="303" t="str">
        <f>'テンプレート'!L127</f>
        <v>後投げ</v>
      </c>
      <c r="M106" s="113" t="s">
        <v>119</v>
      </c>
      <c r="N106" s="113">
        <v>29.0</v>
      </c>
      <c r="O106" s="118"/>
      <c r="P106" s="118"/>
      <c r="Q106" s="118"/>
      <c r="R106" s="118"/>
      <c r="S106" s="118"/>
      <c r="T106" s="118"/>
      <c r="U106" s="118"/>
      <c r="V106" s="118"/>
    </row>
    <row r="107" outlineLevel="1">
      <c r="A107" s="146"/>
      <c r="B107" s="300" t="s">
        <v>246</v>
      </c>
      <c r="C107" s="113" t="str">
        <f t="array" ref="C107">INDEX('起きあがり'!$H$3:$I$115, MATCH($A$1,'起きあがり'!$A$3:$A$115,0), MATCH(C95,'起きあがり'!$H$2:$AD$2,0))</f>
        <v>1-22</v>
      </c>
      <c r="D107" s="113">
        <f t="array" ref="D107">INDEX('起きあがり'!$H$3:$I$115, MATCH($A$1,'起きあがり'!$A$3:$A$115,0), MATCH(D95,'起きあがり'!$H$2:$AD$2,0))</f>
        <v>35</v>
      </c>
      <c r="E107" s="301"/>
      <c r="F107" s="301"/>
      <c r="G107" s="301"/>
      <c r="H107" s="228"/>
      <c r="I107" s="228"/>
      <c r="J107" s="117"/>
      <c r="K107" s="146"/>
      <c r="L107" s="303" t="str">
        <f>'テンプレート'!L128</f>
        <v>上投げ</v>
      </c>
      <c r="M107" s="113" t="s">
        <v>386</v>
      </c>
      <c r="N107" s="113">
        <v>29.0</v>
      </c>
      <c r="O107" s="118"/>
      <c r="P107" s="118"/>
      <c r="Q107" s="118"/>
      <c r="R107" s="118"/>
      <c r="S107" s="118"/>
      <c r="T107" s="118"/>
      <c r="U107" s="118"/>
      <c r="V107" s="118"/>
    </row>
    <row r="108" outlineLevel="1">
      <c r="A108" s="146"/>
      <c r="B108" s="300" t="s">
        <v>249</v>
      </c>
      <c r="C108" s="309" t="str">
        <f t="array" ref="C108">INDEX('起きあがり'!$J$3:$M$115, MATCH($A$1,'起きあがり'!$A$3:$A$115,0), MATCH(C95,'起きあがり'!$J$2:$AD$2,0))</f>
        <v>1-23</v>
      </c>
      <c r="D108" s="310">
        <f t="array" ref="D108">INDEX('起きあがり'!$J$3:$M$115, MATCH($A$1,'起きあがり'!$A$3:$A$115,0), MATCH(D95,'起きあがり'!$J$2:$AD$2,0))</f>
        <v>45</v>
      </c>
      <c r="E108" s="307" t="str">
        <f t="array" ref="E108">INDEX('起きあがり'!$J$3:$M$115, MATCH($A$1,'起きあがり'!$A$3:$A$115,0), MATCH(E95,'起きあがり'!$J$2:$AD$2,0))</f>
        <v>17-18</v>
      </c>
      <c r="F108" s="308">
        <f t="array" ref="F108">INDEX('起きあがり'!$J$3:$M$115, MATCH($A$1,'起きあがり'!$A$3:$A$115,0), MATCH(F95,'起きあがり'!$J$2:$AD$2,0))</f>
        <v>7</v>
      </c>
      <c r="G108" s="113">
        <f t="shared" ref="G108:G109" si="1">F108*1.2</f>
        <v>8.4</v>
      </c>
      <c r="H108" s="228"/>
      <c r="I108" s="228"/>
      <c r="J108" s="111"/>
      <c r="K108" s="156"/>
      <c r="L108" s="303" t="str">
        <f>'テンプレート'!L129</f>
        <v>下投げ</v>
      </c>
      <c r="M108" s="113" t="s">
        <v>80</v>
      </c>
      <c r="N108" s="113">
        <v>21.0</v>
      </c>
      <c r="O108" s="111"/>
      <c r="P108" s="111"/>
      <c r="Q108" s="111"/>
      <c r="R108" s="111"/>
      <c r="S108" s="111"/>
      <c r="T108" s="111"/>
      <c r="U108" s="111"/>
      <c r="V108" s="111"/>
    </row>
    <row r="109" outlineLevel="1">
      <c r="A109" s="156"/>
      <c r="B109" s="311" t="s">
        <v>250</v>
      </c>
      <c r="C109" s="156"/>
      <c r="D109" s="156"/>
      <c r="E109" s="307" t="str">
        <f t="array" ref="E109">INDEX('起きあがり'!$N$3:$O$115, MATCH($A$1,'起きあがり'!$A$3:$A$115,0), MATCH(E95,'起きあがり'!$N$2:$AD$2,0))</f>
        <v>22-23</v>
      </c>
      <c r="F109" s="308">
        <f t="array" ref="F109">INDEX('起きあがり'!$N$3:$O$115, MATCH($A$1,'起きあがり'!$A$3:$A$115,0), MATCH(F95,'起きあがり'!$N$2:$AD$2,0))</f>
        <v>7</v>
      </c>
      <c r="G109" s="113">
        <f t="shared" si="1"/>
        <v>8.4</v>
      </c>
      <c r="H109" s="228"/>
      <c r="I109" s="228"/>
      <c r="J109" s="111"/>
      <c r="K109" s="312" t="str">
        <f>'テンプレート'!K130</f>
        <v>踏み台ジャンプ</v>
      </c>
      <c r="L109" s="168"/>
      <c r="M109" s="298" t="str">
        <f>'テンプレート'!M130</f>
        <v>全体フレーム</v>
      </c>
      <c r="N109" s="114"/>
      <c r="O109" s="111"/>
      <c r="P109" s="111"/>
      <c r="Q109" s="111"/>
      <c r="R109" s="111"/>
      <c r="S109" s="111"/>
      <c r="T109" s="111"/>
      <c r="U109" s="111"/>
      <c r="V109" s="111"/>
    </row>
    <row r="110" outlineLevel="1">
      <c r="A110" s="299" t="s">
        <v>251</v>
      </c>
      <c r="B110" s="300" t="s">
        <v>248</v>
      </c>
      <c r="C110" s="301"/>
      <c r="D110" s="307" t="str">
        <f t="array" ref="D110">INDEX('起きあがり'!$C$3:$C99, MATCH($A$1,'起きあがり'!$A$3:$A$115,0), MATCH(D95,'起きあがり'!$C$2,0))</f>
        <v>25</v>
      </c>
      <c r="E110" s="301"/>
      <c r="F110" s="301"/>
      <c r="G110" s="301"/>
      <c r="H110" s="228"/>
      <c r="I110" s="228"/>
      <c r="J110" s="117"/>
      <c r="K110" s="313" t="str">
        <f>'テンプレート'!K131</f>
        <v>踏み</v>
      </c>
      <c r="L110" s="314" t="str">
        <f>'テンプレート'!L131</f>
        <v>踏み</v>
      </c>
      <c r="M110" s="113">
        <v>8.0</v>
      </c>
      <c r="N110" s="315"/>
      <c r="O110" s="111"/>
      <c r="P110" s="111"/>
      <c r="Q110" s="111"/>
      <c r="R110" s="111"/>
      <c r="S110" s="111"/>
      <c r="T110" s="111"/>
      <c r="U110" s="111"/>
      <c r="V110" s="111"/>
    </row>
    <row r="111" outlineLevel="1">
      <c r="A111" s="146"/>
      <c r="B111" s="300" t="s">
        <v>216</v>
      </c>
      <c r="C111" s="307" t="str">
        <f t="array" ref="C111">INDEX('起きあがり'!$P$3:$Q$115, MATCH($A$1,'起きあがり'!$A$3:$A$115,0), MATCH(C95,'起きあがり'!$P$2:$AD$2,0))</f>
        <v>1-22</v>
      </c>
      <c r="D111" s="308">
        <f t="array" ref="D111">INDEX('起きあがり'!$P$3:$Q$115, MATCH($A$1,'起きあがり'!$A$3:$A$115,0), MATCH(D95,'起きあがり'!$P$2:$AD$2,0))</f>
        <v>29</v>
      </c>
      <c r="E111" s="301"/>
      <c r="F111" s="301"/>
      <c r="G111" s="301"/>
      <c r="H111" s="228"/>
      <c r="I111" s="228"/>
      <c r="J111" s="111"/>
      <c r="K111" s="305" t="str">
        <f>'テンプレート'!K132</f>
        <v>踏まれ</v>
      </c>
      <c r="L111" s="314" t="str">
        <f>'テンプレート'!L132</f>
        <v>地上踏まれ</v>
      </c>
      <c r="M111" s="113" t="s">
        <v>76</v>
      </c>
      <c r="N111" s="315"/>
      <c r="O111" s="228"/>
      <c r="P111" s="228"/>
      <c r="Q111" s="228"/>
      <c r="R111" s="228"/>
      <c r="S111" s="228"/>
      <c r="T111" s="228"/>
      <c r="U111" s="228"/>
      <c r="V111" s="228"/>
    </row>
    <row r="112" outlineLevel="1">
      <c r="A112" s="146"/>
      <c r="B112" s="300" t="s">
        <v>245</v>
      </c>
      <c r="C112" s="307" t="str">
        <f t="array" ref="C112">INDEX('起きあがり'!$R$3:$S$115, MATCH($A$1,'起きあがり'!$A$3:$A$115,0), MATCH(C95,'起きあがり'!$R$2:$AD$2,0))</f>
        <v>1-22</v>
      </c>
      <c r="D112" s="308">
        <f t="array" ref="D112">INDEX('起きあがり'!$R$3:$S$115, MATCH($A$1,'起きあがり'!$A$3:$A$115,0), MATCH(D95,'起きあがり'!$R$2:$AD$2,0))</f>
        <v>35</v>
      </c>
      <c r="E112" s="301"/>
      <c r="F112" s="301"/>
      <c r="G112" s="301"/>
      <c r="H112" s="228"/>
      <c r="I112" s="228"/>
      <c r="J112" s="117"/>
      <c r="K112" s="146"/>
      <c r="L112" s="314" t="s">
        <v>693</v>
      </c>
      <c r="M112" s="113">
        <v>28.0</v>
      </c>
      <c r="N112" s="102"/>
      <c r="O112" s="118"/>
      <c r="P112" s="118"/>
      <c r="Q112" s="118"/>
      <c r="R112" s="118"/>
      <c r="S112" s="118"/>
      <c r="T112" s="118"/>
      <c r="U112" s="118"/>
      <c r="V112" s="118"/>
    </row>
    <row r="113" outlineLevel="1">
      <c r="A113" s="146"/>
      <c r="B113" s="300" t="s">
        <v>246</v>
      </c>
      <c r="C113" s="307" t="str">
        <f t="array" ref="C113">INDEX('起きあがり'!$T$3:$U$115, MATCH($A$1,'起きあがり'!$A$3:$A$115,0), MATCH(C95,'起きあがり'!$T$2:$AD$2,0))</f>
        <v>1-22</v>
      </c>
      <c r="D113" s="308">
        <f t="array" ref="D113">INDEX('起きあがり'!$T$3:$U$115, MATCH($A$1,'起きあがり'!$A$3:$A$115,0), MATCH(D95,'起きあがり'!$T$2:$AD$2,0))</f>
        <v>35</v>
      </c>
      <c r="E113" s="301"/>
      <c r="F113" s="301"/>
      <c r="G113" s="301"/>
      <c r="H113" s="228"/>
      <c r="I113" s="228"/>
      <c r="J113" s="111"/>
      <c r="K113" s="146"/>
      <c r="L113" s="314" t="str">
        <f>'テンプレート'!L134</f>
        <v>空中踏まれ</v>
      </c>
      <c r="M113" s="113">
        <v>8.0</v>
      </c>
      <c r="N113" s="102"/>
      <c r="O113" s="118"/>
      <c r="P113" s="118"/>
      <c r="Q113" s="118"/>
      <c r="R113" s="118"/>
      <c r="S113" s="118"/>
      <c r="T113" s="118"/>
      <c r="U113" s="118"/>
      <c r="V113" s="118"/>
    </row>
    <row r="114" outlineLevel="1">
      <c r="A114" s="146"/>
      <c r="B114" s="300" t="s">
        <v>249</v>
      </c>
      <c r="C114" s="309" t="str">
        <f t="array" ref="C114">INDEX('起きあがり'!$V$3:$Y$115, MATCH($A$1,'起きあがり'!$A$3:$A$115,0), MATCH(C95,'起きあがり'!$V$2:$AD$2,0))</f>
        <v>1-24</v>
      </c>
      <c r="D114" s="310">
        <f t="array" ref="D114">INDEX('起きあがり'!$V$3:$Y$115, MATCH($A$1,'起きあがり'!$A$3:$A$115,0), MATCH(D95,'起きあがり'!$V$2:$AD$2,0))</f>
        <v>45</v>
      </c>
      <c r="E114" s="307" t="str">
        <f t="array" ref="E114">INDEX('起きあがり'!$V$3:$Y$115, MATCH($A$1,'起きあがり'!$A$3:$A$115,0), MATCH(E95,'起きあがり'!$V$2:$AD$2,0))</f>
        <v>18-19</v>
      </c>
      <c r="F114" s="308">
        <f t="array" ref="F114">INDEX('起きあがり'!$V$3:$Y$115, MATCH($A$1,'起きあがり'!$A$3:$A$115,0), MATCH(F95,'起きあがり'!$V$2:$AD$2,0))</f>
        <v>7</v>
      </c>
      <c r="G114" s="113">
        <f t="shared" ref="G114:G115" si="2">F114*1.2</f>
        <v>8.4</v>
      </c>
      <c r="H114" s="228"/>
      <c r="I114" s="228"/>
      <c r="J114" s="117"/>
      <c r="K114" s="146"/>
      <c r="L114" s="314" t="str">
        <f>'テンプレート'!L135</f>
        <v>空中落下</v>
      </c>
      <c r="M114" s="113">
        <v>39.0</v>
      </c>
      <c r="N114" s="102"/>
      <c r="O114" s="118"/>
      <c r="P114" s="118"/>
      <c r="Q114" s="118"/>
      <c r="R114" s="118"/>
      <c r="S114" s="118"/>
      <c r="T114" s="118"/>
      <c r="U114" s="118"/>
      <c r="V114" s="118"/>
    </row>
    <row r="115" outlineLevel="1">
      <c r="A115" s="156"/>
      <c r="B115" s="311" t="s">
        <v>250</v>
      </c>
      <c r="C115" s="156"/>
      <c r="D115" s="156"/>
      <c r="E115" s="307" t="str">
        <f t="array" ref="E115">INDEX('起きあがり'!$Z$3:$AA$115, MATCH($A$1,'起きあがり'!$A$3:$A$115,0), MATCH(E95,'起きあがり'!$Z$2:$AD$2,0))</f>
        <v>23-24</v>
      </c>
      <c r="F115" s="308">
        <f t="array" ref="F115">INDEX('起きあがり'!$Z$3:$AA$115, MATCH($A$1,'起きあがり'!$A$3:$A$115,0), MATCH(F95,'起きあがり'!$Z$2:$AD$2,0))</f>
        <v>7</v>
      </c>
      <c r="G115" s="113">
        <f t="shared" si="2"/>
        <v>8.4</v>
      </c>
      <c r="H115" s="228"/>
      <c r="I115" s="228"/>
      <c r="J115" s="117"/>
      <c r="K115" s="304" t="str">
        <f>'テンプレート'!K136</f>
        <v>倒れダメージ</v>
      </c>
      <c r="L115" s="110"/>
      <c r="M115" s="298" t="str">
        <f>'テンプレート'!M136</f>
        <v>全体フレーム</v>
      </c>
      <c r="N115" s="102"/>
      <c r="O115" s="118"/>
      <c r="P115" s="118"/>
      <c r="Q115" s="118"/>
      <c r="R115" s="118"/>
      <c r="S115" s="118"/>
      <c r="T115" s="118"/>
      <c r="U115" s="118"/>
      <c r="V115" s="118"/>
    </row>
    <row r="116" outlineLevel="1">
      <c r="A116" s="299" t="s">
        <v>252</v>
      </c>
      <c r="B116" s="300" t="s">
        <v>253</v>
      </c>
      <c r="C116" s="307" t="str">
        <f t="array" ref="C116">INDEX('転倒'!$C$3:$D99, MATCH($A$1,'転倒'!$A$3:$A$115,0), MATCH(C95,'転倒'!$C$2:$AC$2,0))</f>
        <v>1-5</v>
      </c>
      <c r="D116" s="308">
        <f t="array" ref="D116">INDEX('転倒'!$C$3:$D99, MATCH($A$1,'転倒'!$A$3:$A$115,0), MATCH(D95,'転倒'!$C$2:$AC$2,0))</f>
        <v>29</v>
      </c>
      <c r="E116" s="301"/>
      <c r="F116" s="301"/>
      <c r="G116" s="301"/>
      <c r="H116" s="228"/>
      <c r="I116" s="228"/>
      <c r="J116" s="111"/>
      <c r="K116" s="313" t="str">
        <f>'テンプレート'!K137</f>
        <v>あお向け倒れ</v>
      </c>
      <c r="L116" s="306" t="str">
        <f>'テンプレート'!L137</f>
        <v>モーション大</v>
      </c>
      <c r="M116" s="113">
        <v>39.0</v>
      </c>
      <c r="N116" s="315"/>
      <c r="O116" s="118"/>
      <c r="P116" s="118"/>
      <c r="Q116" s="118"/>
      <c r="R116" s="118"/>
      <c r="S116" s="118"/>
      <c r="T116" s="118"/>
      <c r="U116" s="118"/>
      <c r="V116" s="118"/>
    </row>
    <row r="117" outlineLevel="1">
      <c r="A117" s="146"/>
      <c r="B117" s="300" t="s">
        <v>254</v>
      </c>
      <c r="C117" s="307" t="str">
        <f t="array" ref="C117">INDEX('転倒'!$E$3:$F99, MATCH($A$1,'転倒'!$A$3:$A$115,0), MATCH(C95,'転倒'!$E$2:$AC$2,0))</f>
        <v>1-5</v>
      </c>
      <c r="D117" s="308">
        <f t="array" ref="D117">INDEX('転倒'!$E$3:$F99, MATCH($A$1,'転倒'!$A$3:$A$115,0), MATCH(D95,'転倒'!$E$2:$AC$2,0))</f>
        <v>39</v>
      </c>
      <c r="E117" s="301"/>
      <c r="F117" s="301"/>
      <c r="G117" s="301"/>
      <c r="H117" s="228"/>
      <c r="I117" s="228"/>
      <c r="J117" s="117"/>
      <c r="K117" s="313" t="str">
        <f>'テンプレート'!K138</f>
        <v>うつ伏せ倒れ</v>
      </c>
      <c r="L117" s="306" t="str">
        <f>'テンプレート'!L138</f>
        <v>モーション大</v>
      </c>
      <c r="M117" s="113" t="s">
        <v>118</v>
      </c>
      <c r="N117" s="315"/>
      <c r="O117" s="118"/>
      <c r="P117" s="118"/>
      <c r="Q117" s="118"/>
      <c r="R117" s="118"/>
      <c r="S117" s="118"/>
      <c r="T117" s="118"/>
      <c r="U117" s="118"/>
      <c r="V117" s="118"/>
    </row>
    <row r="118" outlineLevel="1">
      <c r="A118" s="146"/>
      <c r="B118" s="300" t="s">
        <v>216</v>
      </c>
      <c r="C118" s="307" t="str">
        <f t="array" ref="C118">INDEX('転倒'!$G$3:$H$115, MATCH($A$1,'転倒'!$A$3:$A$115,0), MATCH(C95,'転倒'!$G$2:$AC$2,0))</f>
        <v>1-16</v>
      </c>
      <c r="D118" s="308">
        <f t="array" ref="D118">INDEX('転倒'!$G$3:$H$115, MATCH($A$1,'転倒'!$A$3:$A$115,0), MATCH(D95,'転倒'!$G$2:$AC$2,0))</f>
        <v>21</v>
      </c>
      <c r="E118" s="301"/>
      <c r="F118" s="301"/>
      <c r="G118" s="301"/>
      <c r="H118" s="228"/>
      <c r="I118" s="228"/>
      <c r="J118" s="111"/>
      <c r="K118" s="304" t="str">
        <f>'テンプレート'!K139</f>
        <v/>
      </c>
      <c r="L118" s="110"/>
      <c r="M118" s="298" t="str">
        <f>'テンプレート'!M139</f>
        <v/>
      </c>
      <c r="N118" s="102"/>
      <c r="O118" s="118"/>
      <c r="P118" s="118"/>
      <c r="Q118" s="118"/>
      <c r="R118" s="118"/>
      <c r="S118" s="118"/>
      <c r="T118" s="118"/>
      <c r="U118" s="118"/>
      <c r="V118" s="118"/>
    </row>
    <row r="119" outlineLevel="1">
      <c r="A119" s="146"/>
      <c r="B119" s="300" t="s">
        <v>245</v>
      </c>
      <c r="C119" s="307" t="str">
        <f t="array" ref="C119">INDEX('転倒'!$I$3:$J$115, MATCH($A$1,'転倒'!$A$3:$A$115,0), MATCH(C95,'転倒'!$I$2:$AC$2,0))</f>
        <v>1-9</v>
      </c>
      <c r="D119" s="308">
        <f t="array" ref="D119">INDEX('転倒'!$I$3:$J$115, MATCH($A$1,'転倒'!$A$3:$A$115,0), MATCH(D95,'転倒'!$I$2:$AC$2,0))</f>
        <v>28</v>
      </c>
      <c r="E119" s="301"/>
      <c r="F119" s="301"/>
      <c r="G119" s="301"/>
      <c r="H119" s="228"/>
      <c r="I119" s="228"/>
      <c r="J119" s="228"/>
      <c r="K119" s="316"/>
      <c r="L119" s="317" t="str">
        <f>'テンプレート'!L140</f>
        <v/>
      </c>
      <c r="M119" s="113" t="s">
        <v>76</v>
      </c>
      <c r="N119" s="102"/>
      <c r="O119" s="118"/>
      <c r="P119" s="118"/>
      <c r="Q119" s="118"/>
      <c r="R119" s="118"/>
      <c r="S119" s="118"/>
      <c r="T119" s="118"/>
      <c r="U119" s="118"/>
      <c r="V119" s="118"/>
    </row>
    <row r="120" outlineLevel="1">
      <c r="A120" s="146"/>
      <c r="B120" s="300" t="s">
        <v>246</v>
      </c>
      <c r="C120" s="307" t="str">
        <f t="array" ref="C120">INDEX('転倒'!$K$3:$L$115, MATCH($A$1,'転倒'!$A$3:$A$115,0), MATCH(C95,'転倒'!$K$2:$AC$2,0))</f>
        <v>1-9</v>
      </c>
      <c r="D120" s="308">
        <f t="array" ref="D120">INDEX('転倒'!$K$3:$L$115, MATCH($A$1,'転倒'!$A$3:$A$115,0), MATCH(D95,'転倒'!$K$2:$AC$2,0))</f>
        <v>28</v>
      </c>
      <c r="E120" s="301"/>
      <c r="F120" s="301"/>
      <c r="G120" s="301"/>
      <c r="H120" s="228"/>
      <c r="I120" s="228"/>
      <c r="J120" s="228"/>
      <c r="K120" s="318"/>
      <c r="L120" s="118"/>
      <c r="M120" s="118"/>
      <c r="N120" s="102"/>
      <c r="O120" s="118"/>
      <c r="P120" s="118"/>
      <c r="Q120" s="118"/>
      <c r="R120" s="118"/>
      <c r="S120" s="118"/>
      <c r="T120" s="118"/>
      <c r="U120" s="118"/>
      <c r="V120" s="118"/>
    </row>
    <row r="121" outlineLevel="1">
      <c r="A121" s="146"/>
      <c r="B121" s="300" t="s">
        <v>249</v>
      </c>
      <c r="C121" s="309" t="str">
        <f t="array" ref="C121">INDEX('転倒'!$M$3:$P$115, MATCH($A$1,'転倒'!$A$3:$A$115,0), MATCH(C95,'転倒'!$M$2:$AC$2,0))</f>
        <v>1-7</v>
      </c>
      <c r="D121" s="310">
        <f t="array" ref="D121">INDEX('転倒'!$M$3:$P$115, MATCH($A$1,'転倒'!$A$3:$A$115,0), MATCH(D95,'転倒'!$M$2:$AC$2,0))</f>
        <v>49</v>
      </c>
      <c r="E121" s="307" t="str">
        <f t="array" ref="E121">INDEX('転倒'!$M$3:$P$115, MATCH($A$1,'転倒'!$A$3:$A$115,0), MATCH(E95,'転倒'!$M$2:$AC$2,0))</f>
        <v>18-19</v>
      </c>
      <c r="F121" s="308">
        <f t="array" ref="F121">INDEX('転倒'!$M$3:$P$115, MATCH($A$1,'転倒'!$A$3:$A$115,0), MATCH(F95,'転倒'!$M$2:$AC$2,0))</f>
        <v>5</v>
      </c>
      <c r="G121" s="113">
        <f t="shared" ref="G121:G122" si="3">F121*1.2</f>
        <v>6</v>
      </c>
      <c r="H121" s="228"/>
      <c r="I121" s="228"/>
      <c r="J121" s="228"/>
      <c r="K121" s="118"/>
      <c r="L121" s="118"/>
      <c r="M121" s="118"/>
      <c r="N121" s="102"/>
      <c r="O121" s="102"/>
      <c r="P121" s="102"/>
      <c r="Q121" s="102"/>
      <c r="R121" s="118"/>
      <c r="S121" s="118"/>
      <c r="T121" s="118"/>
      <c r="U121" s="118"/>
      <c r="V121" s="118"/>
    </row>
    <row r="122" outlineLevel="1">
      <c r="A122" s="156"/>
      <c r="B122" s="311" t="s">
        <v>250</v>
      </c>
      <c r="C122" s="156"/>
      <c r="D122" s="156"/>
      <c r="E122" s="307" t="str">
        <f t="array" ref="E122">INDEX('転倒'!$Q$3:$R$115, MATCH($A$1,'転倒'!$A$3:$A$115,0), MATCH(E95,'転倒'!$Q$2:$AC$2,0))</f>
        <v>23-24</v>
      </c>
      <c r="F122" s="308">
        <f t="array" ref="F122">INDEX('転倒'!$Q$3:$R$115, MATCH($A$1,'転倒'!$A$3:$A$115,0), MATCH(F95,'転倒'!$Q$2:$AC$2,0))</f>
        <v>5</v>
      </c>
      <c r="G122" s="113">
        <f t="shared" si="3"/>
        <v>6</v>
      </c>
      <c r="H122" s="228"/>
      <c r="I122" s="228"/>
      <c r="J122" s="228"/>
      <c r="K122" s="118"/>
      <c r="L122" s="118"/>
      <c r="M122" s="118"/>
      <c r="N122" s="102"/>
      <c r="O122" s="102"/>
      <c r="P122" s="102"/>
      <c r="Q122" s="102"/>
      <c r="R122" s="118"/>
      <c r="S122" s="118"/>
      <c r="T122" s="118"/>
      <c r="U122" s="118"/>
      <c r="V122" s="118"/>
    </row>
    <row r="123" outlineLevel="1">
      <c r="A123" s="319"/>
      <c r="B123" s="320"/>
      <c r="C123" s="321"/>
      <c r="D123" s="321"/>
      <c r="E123" s="322"/>
      <c r="F123" s="322"/>
      <c r="G123" s="114"/>
      <c r="H123" s="228"/>
      <c r="I123" s="228"/>
      <c r="J123" s="228"/>
      <c r="K123" s="118"/>
      <c r="L123" s="118"/>
      <c r="M123" s="118"/>
      <c r="N123" s="102"/>
      <c r="O123" s="102"/>
      <c r="P123" s="102"/>
      <c r="Q123" s="102"/>
      <c r="R123" s="118"/>
      <c r="S123" s="118"/>
      <c r="T123" s="118"/>
      <c r="U123" s="118"/>
      <c r="V123" s="118"/>
    </row>
    <row r="124" outlineLevel="1">
      <c r="A124" s="323" t="s">
        <v>255</v>
      </c>
      <c r="B124" s="109"/>
      <c r="C124" s="321"/>
      <c r="D124" s="321"/>
      <c r="E124" s="322"/>
      <c r="F124" s="322"/>
      <c r="G124" s="114"/>
      <c r="H124" s="228"/>
      <c r="I124" s="228"/>
      <c r="J124" s="228"/>
      <c r="K124" s="118"/>
      <c r="L124" s="118"/>
      <c r="M124" s="118"/>
      <c r="N124" s="102"/>
      <c r="O124" s="102"/>
      <c r="P124" s="102"/>
      <c r="Q124" s="102"/>
      <c r="R124" s="118"/>
      <c r="S124" s="118"/>
      <c r="T124" s="118"/>
      <c r="U124" s="118"/>
      <c r="V124" s="118"/>
    </row>
    <row r="125" outlineLevel="1">
      <c r="A125" s="324" t="s">
        <v>256</v>
      </c>
      <c r="B125" s="109"/>
      <c r="C125" s="325" t="s">
        <v>257</v>
      </c>
      <c r="D125" s="325" t="s">
        <v>49</v>
      </c>
      <c r="E125" s="322"/>
      <c r="F125" s="322"/>
      <c r="G125" s="114"/>
      <c r="H125" s="228"/>
      <c r="I125" s="228"/>
      <c r="J125" s="228"/>
      <c r="K125" s="118"/>
      <c r="L125" s="118"/>
      <c r="M125" s="118"/>
      <c r="N125" s="102"/>
      <c r="O125" s="102"/>
      <c r="P125" s="102"/>
      <c r="Q125" s="102"/>
      <c r="R125" s="118"/>
      <c r="S125" s="118"/>
      <c r="T125" s="118"/>
      <c r="U125" s="118"/>
      <c r="V125" s="118"/>
    </row>
    <row r="126" outlineLevel="1">
      <c r="A126" s="326" t="s">
        <v>258</v>
      </c>
      <c r="B126" s="327" t="s">
        <v>216</v>
      </c>
      <c r="C126" s="328" t="str">
        <f t="array" ref="C126">INDEX('アイテム'!$C$3:$D$114, MATCH($A$1,'アイテム'!$A$3:$A$114,0), MATCH(C125,'アイテム'!$C$2:$AQ$2,0))</f>
        <v>2</v>
      </c>
      <c r="D126" s="328">
        <f t="array" ref="D126">INDEX('アイテム'!$C$3:$D$114, MATCH($A$1,'アイテム'!$A$3:$A$114,0), MATCH(D125,'アイテム'!$C$2:$AQ$2,0))</f>
        <v>7</v>
      </c>
      <c r="E126" s="322"/>
      <c r="F126" s="322"/>
      <c r="G126" s="114"/>
      <c r="H126" s="228"/>
      <c r="I126" s="228"/>
      <c r="J126" s="228"/>
      <c r="K126" s="118"/>
      <c r="L126" s="118"/>
      <c r="M126" s="118"/>
      <c r="N126" s="102"/>
      <c r="O126" s="102"/>
      <c r="P126" s="102"/>
      <c r="Q126" s="102"/>
      <c r="R126" s="118"/>
      <c r="S126" s="118"/>
      <c r="T126" s="118"/>
      <c r="U126" s="118"/>
      <c r="V126" s="118"/>
    </row>
    <row r="127" outlineLevel="1">
      <c r="A127" s="156"/>
      <c r="B127" s="327" t="s">
        <v>219</v>
      </c>
      <c r="C127" s="328" t="str">
        <f t="array" ref="C127">INDEX('アイテム'!$E$3:$F$114, MATCH($A$1,'アイテム'!$A$3:$A$114,0), MATCH(C125,'アイテム'!$C$2:$AQ$2,0))</f>
        <v>2</v>
      </c>
      <c r="D127" s="328">
        <f t="array" ref="D127">INDEX('アイテム'!$E$3:$F$114, MATCH($A$1,'アイテム'!$A$3:$A$114,0), MATCH(D125,'アイテム'!$C$2:$AQ$2,0))</f>
        <v>19</v>
      </c>
      <c r="E127" s="322"/>
      <c r="F127" s="322"/>
      <c r="G127" s="114"/>
      <c r="H127" s="228"/>
      <c r="I127" s="228"/>
      <c r="J127" s="228"/>
      <c r="K127" s="118"/>
      <c r="L127" s="118"/>
      <c r="M127" s="118"/>
      <c r="N127" s="102"/>
      <c r="O127" s="102"/>
      <c r="P127" s="102"/>
      <c r="Q127" s="102"/>
      <c r="R127" s="118"/>
      <c r="S127" s="118"/>
      <c r="T127" s="118"/>
      <c r="U127" s="118"/>
      <c r="V127" s="118"/>
    </row>
    <row r="128" outlineLevel="1">
      <c r="A128" s="329" t="s">
        <v>259</v>
      </c>
      <c r="B128" s="327" t="s">
        <v>216</v>
      </c>
      <c r="C128" s="328">
        <f t="array" ref="C128">INDEX('アイテム'!$AA$3:$AB$114, MATCH($A$1,'アイテム'!$A$3:$A$114,0), MATCH(C125,'アイテム'!$C$2:$AQ$2,0))</f>
        <v>2</v>
      </c>
      <c r="D128" s="328" t="str">
        <f t="array" ref="D128">INDEX('アイテム'!$AA$3:$AB$114, MATCH($A$1,'アイテム'!$A$3:$A$114,0), MATCH(D125,'アイテム'!$C$2:$AQ$2,0))</f>
        <v>12</v>
      </c>
      <c r="E128" s="322"/>
      <c r="F128" s="322"/>
      <c r="G128" s="114"/>
      <c r="H128" s="228"/>
      <c r="I128" s="228"/>
      <c r="J128" s="228"/>
      <c r="K128" s="118"/>
      <c r="L128" s="118"/>
      <c r="M128" s="118"/>
      <c r="N128" s="102"/>
      <c r="O128" s="102"/>
      <c r="P128" s="102"/>
      <c r="Q128" s="102"/>
      <c r="R128" s="118"/>
      <c r="S128" s="118"/>
      <c r="T128" s="118"/>
      <c r="U128" s="118"/>
      <c r="V128" s="118"/>
    </row>
    <row r="129" outlineLevel="1">
      <c r="A129" s="324" t="s">
        <v>260</v>
      </c>
      <c r="B129" s="109"/>
      <c r="C129" s="325" t="s">
        <v>261</v>
      </c>
      <c r="D129" s="325" t="s">
        <v>49</v>
      </c>
      <c r="E129" s="322"/>
      <c r="F129" s="322"/>
      <c r="G129" s="114"/>
      <c r="H129" s="228"/>
      <c r="I129" s="228"/>
      <c r="J129" s="228"/>
      <c r="K129" s="118"/>
      <c r="L129" s="118"/>
      <c r="M129" s="118"/>
      <c r="N129" s="102"/>
      <c r="O129" s="102"/>
      <c r="P129" s="102"/>
      <c r="Q129" s="102"/>
      <c r="R129" s="118"/>
      <c r="S129" s="118"/>
      <c r="T129" s="118"/>
      <c r="U129" s="118"/>
      <c r="V129" s="118"/>
    </row>
    <row r="130" outlineLevel="1">
      <c r="A130" s="326" t="s">
        <v>262</v>
      </c>
      <c r="B130" s="327" t="s">
        <v>226</v>
      </c>
      <c r="C130" s="328" t="str">
        <f t="array" ref="C130">INDEX('アイテム'!$G$3:$H$114, MATCH($A$1,'アイテム'!$A$3:$A$114,0), MATCH(C125,'アイテム'!$C$2:$AQ$2,0))</f>
        <v>10</v>
      </c>
      <c r="D130" s="328">
        <f t="array" ref="D130">INDEX('アイテム'!$G$3:$H$114, MATCH($A$1,'アイテム'!$A$3:$A$114,0), MATCH(D125,'アイテム'!$C$2:$AQ$2,0))</f>
        <v>24</v>
      </c>
      <c r="E130" s="322"/>
      <c r="F130" s="322"/>
      <c r="G130" s="114"/>
      <c r="H130" s="228"/>
      <c r="I130" s="228"/>
      <c r="J130" s="228"/>
      <c r="K130" s="118"/>
      <c r="L130" s="118"/>
      <c r="M130" s="118"/>
      <c r="N130" s="102"/>
      <c r="O130" s="102"/>
      <c r="P130" s="102"/>
      <c r="Q130" s="102"/>
      <c r="R130" s="118"/>
      <c r="S130" s="118"/>
      <c r="T130" s="118"/>
      <c r="U130" s="118"/>
      <c r="V130" s="118"/>
    </row>
    <row r="131" outlineLevel="1">
      <c r="A131" s="146"/>
      <c r="B131" s="327" t="s">
        <v>229</v>
      </c>
      <c r="C131" s="328" t="str">
        <f t="array" ref="C131">INDEX('アイテム'!$I$3:$J$114, MATCH($A$1,'アイテム'!$A$3:$A$114,0), MATCH(C125,'アイテム'!$C$2:$AQ$2,0))</f>
        <v>14</v>
      </c>
      <c r="D131" s="328">
        <f t="array" ref="D131">INDEX('アイテム'!$I$3:$J$114, MATCH($A$1,'アイテム'!$A$3:$A$114,0), MATCH(D125,'アイテム'!$C$2:$AQ$2,0))</f>
        <v>24</v>
      </c>
      <c r="E131" s="322"/>
      <c r="F131" s="322"/>
      <c r="G131" s="114"/>
      <c r="H131" s="228"/>
      <c r="I131" s="228"/>
      <c r="J131" s="228"/>
      <c r="K131" s="118"/>
      <c r="L131" s="118"/>
      <c r="M131" s="118"/>
      <c r="N131" s="102"/>
      <c r="O131" s="102"/>
      <c r="P131" s="102"/>
      <c r="Q131" s="102"/>
      <c r="R131" s="118"/>
      <c r="S131" s="118"/>
      <c r="T131" s="118"/>
      <c r="U131" s="118"/>
      <c r="V131" s="118"/>
    </row>
    <row r="132" outlineLevel="1">
      <c r="A132" s="146"/>
      <c r="B132" s="327" t="s">
        <v>233</v>
      </c>
      <c r="C132" s="328" t="str">
        <f t="array" ref="C132">INDEX('アイテム'!$K$3:$L$114, MATCH($A$1,'アイテム'!$A$3:$A$114,0), MATCH(C125,'アイテム'!$C$2:$AQ$2,0))</f>
        <v>15</v>
      </c>
      <c r="D132" s="328">
        <f t="array" ref="D132">INDEX('アイテム'!$K$3:$L$114, MATCH($A$1,'アイテム'!$A$3:$A$114,0), MATCH(D125,'アイテム'!$C$2:$AQ$2,0))</f>
        <v>23</v>
      </c>
      <c r="E132" s="322"/>
      <c r="F132" s="322"/>
      <c r="G132" s="114"/>
      <c r="H132" s="228"/>
      <c r="I132" s="228"/>
      <c r="J132" s="228"/>
      <c r="K132" s="118"/>
      <c r="L132" s="118"/>
      <c r="M132" s="118"/>
      <c r="N132" s="102"/>
      <c r="O132" s="102"/>
      <c r="P132" s="102"/>
      <c r="Q132" s="102"/>
      <c r="R132" s="118"/>
      <c r="S132" s="118"/>
      <c r="T132" s="118"/>
      <c r="U132" s="118"/>
      <c r="V132" s="118"/>
    </row>
    <row r="133" outlineLevel="1">
      <c r="A133" s="146"/>
      <c r="B133" s="327" t="s">
        <v>234</v>
      </c>
      <c r="C133" s="328" t="str">
        <f t="array" ref="C133">INDEX('アイテム'!$M$3:$N$114, MATCH($A$1,'アイテム'!$A$3:$A$114,0), MATCH(C125,'アイテム'!$C$2:$AQ$2,0))</f>
        <v>8</v>
      </c>
      <c r="D133" s="328">
        <f t="array" ref="D133">INDEX('アイテム'!$M$3:$N$114, MATCH($A$1,'アイテム'!$A$3:$A$114,0), MATCH(D125,'アイテム'!$C$2:$AQ$2,0))</f>
        <v>19</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219</v>
      </c>
      <c r="C134" s="328" t="str">
        <f t="array" ref="C134">INDEX('アイテム'!$O$3:$P$114, MATCH($A$1,'アイテム'!$A$3:$A$114,0), MATCH(C125,'アイテム'!$C$2:$AQ$2,0))</f>
        <v>6</v>
      </c>
      <c r="D134" s="328">
        <f t="array" ref="D134">INDEX('アイテム'!$O$3:$P$114, MATCH($A$1,'アイテム'!$A$3:$A$114,0), MATCH(D125,'アイテム'!$C$2:$AQ$2,0))</f>
        <v>29</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263</v>
      </c>
      <c r="C135" s="328" t="str">
        <f t="array" ref="C135">INDEX('アイテム'!$Q$3:$R$114, MATCH($A$1,'アイテム'!$A$3:$A$114,0), MATCH(C125,'アイテム'!$C$2:$AQ$2,0))</f>
        <v>8</v>
      </c>
      <c r="D135" s="328">
        <f t="array" ref="D135">INDEX('アイテム'!$Q$3:$R$114, MATCH($A$1,'アイテム'!$A$3:$A$114,0), MATCH(D125,'アイテム'!$C$2:$AQ$2,0))</f>
        <v>23</v>
      </c>
      <c r="E135" s="322"/>
      <c r="F135" s="322"/>
      <c r="G135" s="114"/>
      <c r="H135" s="228"/>
      <c r="I135" s="228"/>
      <c r="J135" s="228"/>
      <c r="K135" s="118"/>
      <c r="L135" s="118"/>
      <c r="M135" s="118"/>
      <c r="N135" s="102"/>
      <c r="O135" s="102"/>
      <c r="P135" s="102"/>
      <c r="Q135" s="102"/>
      <c r="R135" s="118"/>
      <c r="S135" s="118"/>
      <c r="T135" s="118"/>
      <c r="U135" s="118"/>
      <c r="V135" s="118"/>
    </row>
    <row r="136" outlineLevel="1">
      <c r="A136" s="326" t="s">
        <v>264</v>
      </c>
      <c r="B136" s="327" t="s">
        <v>226</v>
      </c>
      <c r="C136" s="328" t="str">
        <f t="array" ref="C136">INDEX('アイテム'!$S$3:$T$114, MATCH($A$1,'アイテム'!$A$3:$A$114,0), MATCH(C125,'アイテム'!$C$2:$AQ$2,0))</f>
        <v>10</v>
      </c>
      <c r="D136" s="328">
        <f t="array" ref="D136">INDEX('アイテム'!$S$3:$T$114, MATCH($A$1,'アイテム'!$A$3:$A$114,0), MATCH(D125,'アイテム'!$C$2:$AQ$2,0))</f>
        <v>24</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229</v>
      </c>
      <c r="C137" s="328" t="str">
        <f t="array" ref="C137">INDEX('アイテム'!$U$3:$V$114, MATCH($A$1,'アイテム'!$A$3:$A$114,0), MATCH(C125,'アイテム'!$C$2:$AQ$2,0))</f>
        <v>14</v>
      </c>
      <c r="D137" s="328">
        <f t="array" ref="D137">INDEX('アイテム'!$U$3:$V$114, MATCH($A$1,'アイテム'!$A$3:$A$114,0), MATCH(D125,'アイテム'!$C$2:$AQ$2,0))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233</v>
      </c>
      <c r="C138" s="328" t="str">
        <f t="array" ref="C138">INDEX('アイテム'!$W$3:$X$114, MATCH($A$1,'アイテム'!$A$3:$A$114,0), MATCH(C125,'アイテム'!$C$2:$AQ$2,0))</f>
        <v>15</v>
      </c>
      <c r="D138" s="328">
        <f t="array" ref="D138">INDEX('アイテム'!$W$3:$X$114, MATCH($A$1,'アイテム'!$A$3:$A$114,0), MATCH(D125,'アイテム'!$C$2:$AQ$2,0))</f>
        <v>23</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234</v>
      </c>
      <c r="C139" s="328" t="str">
        <f t="array" ref="C139">INDEX('アイテム'!$Y$3:$Z$114, MATCH($A$1,'アイテム'!$A$3:$A$114,0), MATCH(C125,'アイテム'!$C$2:$AQ$2,0))</f>
        <v>8</v>
      </c>
      <c r="D139" s="328">
        <f t="array" ref="D139">INDEX('アイテム'!$Y$3:$Z$114, MATCH($A$1,'アイテム'!$A$3:$A$114,0), MATCH(D125,'アイテム'!$C$2:$AQ$2,0))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265</v>
      </c>
      <c r="B140" s="327" t="s">
        <v>226</v>
      </c>
      <c r="C140" s="328">
        <f t="array" ref="C140">INDEX('アイテム'!$AC$3:$AD$114, MATCH($A$1,'アイテム'!$A$3:$A$114,0), MATCH(C125,'アイテム'!$C$2:$AQ$2,0))</f>
        <v>16</v>
      </c>
      <c r="D140" s="328" t="str">
        <f t="array" ref="D140">INDEX('アイテム'!$AC$3:$AD$114, MATCH($A$1,'アイテム'!$A$3:$A$114,0), MATCH(D125,'アイテム'!$C$2:$AQ$2,0))</f>
        <v>30</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229</v>
      </c>
      <c r="C141" s="328">
        <f t="array" ref="C141">INDEX('アイテム'!$AE$3:$AF$114, MATCH($A$1,'アイテム'!$A$3:$A$114,0), MATCH(C125,'アイテム'!$C$2:$AQ$2,0))</f>
        <v>16</v>
      </c>
      <c r="D141" s="328" t="str">
        <f t="array" ref="D141">INDEX('アイテム'!$AE$3:$AF$114, MATCH($A$1,'アイテム'!$A$3:$A$114,0), MATCH(D125,'アイテム'!$C$2:$AQ$2,0))</f>
        <v>30</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233</v>
      </c>
      <c r="C142" s="328">
        <f t="array" ref="C142">INDEX('アイテム'!$AG$3:$AH$114, MATCH($A$1,'アイテム'!$A$3:$A$114,0), MATCH(C125,'アイテム'!$C$2:$AQ$2,0))</f>
        <v>11</v>
      </c>
      <c r="D142" s="328" t="str">
        <f t="array" ref="D142">INDEX('アイテム'!$AG$3:$AH$114, MATCH($A$1,'アイテム'!$A$3:$A$114,0), MATCH(D125,'アイテム'!$C$2:$AQ$2,0))</f>
        <v>22</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234</v>
      </c>
      <c r="C143" s="328">
        <f t="array" ref="C143">INDEX('アイテム'!$AI$3:$AJ$114, MATCH($A$1,'アイテム'!$A$3:$A$114,0), MATCH(C125,'アイテム'!$C$2:$AQ$2,0))</f>
        <v>11</v>
      </c>
      <c r="D143" s="328" t="str">
        <f t="array" ref="D143">INDEX('アイテム'!$AI$3:$AJ$114, MATCH($A$1,'アイテム'!$A$3:$A$114,0), MATCH(D125,'アイテム'!$C$2:$AQ$2,0))</f>
        <v>22</v>
      </c>
      <c r="E143" s="322"/>
      <c r="F143" s="322"/>
      <c r="G143" s="114"/>
      <c r="H143" s="228"/>
      <c r="I143" s="228"/>
      <c r="J143" s="228"/>
      <c r="K143" s="118"/>
      <c r="L143" s="118"/>
      <c r="M143" s="118"/>
      <c r="N143" s="102"/>
      <c r="O143" s="102"/>
      <c r="P143" s="102"/>
      <c r="Q143" s="102"/>
      <c r="R143" s="118"/>
      <c r="S143" s="118"/>
      <c r="T143" s="118"/>
      <c r="U143" s="118"/>
      <c r="V143" s="118"/>
    </row>
  </sheetData>
  <mergeCells count="128">
    <mergeCell ref="H26:J26"/>
    <mergeCell ref="H27:J27"/>
    <mergeCell ref="H28:J28"/>
    <mergeCell ref="H29:J30"/>
    <mergeCell ref="U29:U30"/>
    <mergeCell ref="H31:J31"/>
    <mergeCell ref="H32:J32"/>
    <mergeCell ref="H33:J33"/>
    <mergeCell ref="H34:J35"/>
    <mergeCell ref="U34:U35"/>
    <mergeCell ref="H36:J40"/>
    <mergeCell ref="U36:U40"/>
    <mergeCell ref="R44:V44"/>
    <mergeCell ref="R45:V45"/>
    <mergeCell ref="H41:J41"/>
    <mergeCell ref="I46:I47"/>
    <mergeCell ref="J46:J47"/>
    <mergeCell ref="I48:I49"/>
    <mergeCell ref="J48:J49"/>
    <mergeCell ref="I51:I52"/>
    <mergeCell ref="J51:J52"/>
    <mergeCell ref="H55:J55"/>
    <mergeCell ref="H56:J59"/>
    <mergeCell ref="G76:J76"/>
    <mergeCell ref="G77:J78"/>
    <mergeCell ref="G79:J80"/>
    <mergeCell ref="G81:J82"/>
    <mergeCell ref="G83:J84"/>
    <mergeCell ref="K115:L115"/>
    <mergeCell ref="K118:L118"/>
    <mergeCell ref="K95:L95"/>
    <mergeCell ref="K96:K97"/>
    <mergeCell ref="K98:L98"/>
    <mergeCell ref="K99:K104"/>
    <mergeCell ref="K105:K108"/>
    <mergeCell ref="K109:L109"/>
    <mergeCell ref="K111:K114"/>
    <mergeCell ref="A36:A40"/>
    <mergeCell ref="A43:B44"/>
    <mergeCell ref="A46:A47"/>
    <mergeCell ref="D46:D47"/>
    <mergeCell ref="A48:A49"/>
    <mergeCell ref="D48:D49"/>
    <mergeCell ref="D51:D52"/>
    <mergeCell ref="A51:A52"/>
    <mergeCell ref="A54:B54"/>
    <mergeCell ref="A55:B55"/>
    <mergeCell ref="A56:A59"/>
    <mergeCell ref="D56:D58"/>
    <mergeCell ref="A60:B60"/>
    <mergeCell ref="A63:B63"/>
    <mergeCell ref="D81:D82"/>
    <mergeCell ref="D83:D84"/>
    <mergeCell ref="A67:B67"/>
    <mergeCell ref="A70:B71"/>
    <mergeCell ref="A73:A75"/>
    <mergeCell ref="A76:B76"/>
    <mergeCell ref="A77:A78"/>
    <mergeCell ref="D77:D78"/>
    <mergeCell ref="D79:D80"/>
    <mergeCell ref="A79:A80"/>
    <mergeCell ref="A81:A82"/>
    <mergeCell ref="A83:A84"/>
    <mergeCell ref="A86:B87"/>
    <mergeCell ref="A88:A90"/>
    <mergeCell ref="A91:A92"/>
    <mergeCell ref="A94:B95"/>
    <mergeCell ref="A96:A100"/>
    <mergeCell ref="A101:A103"/>
    <mergeCell ref="A104:A109"/>
    <mergeCell ref="C108:C109"/>
    <mergeCell ref="D108:D109"/>
    <mergeCell ref="C114:C115"/>
    <mergeCell ref="D114:D115"/>
    <mergeCell ref="A126:A127"/>
    <mergeCell ref="A130:A135"/>
    <mergeCell ref="A136:A139"/>
    <mergeCell ref="A140:A143"/>
    <mergeCell ref="A110:A115"/>
    <mergeCell ref="A116:A122"/>
    <mergeCell ref="C121:C122"/>
    <mergeCell ref="D121:D122"/>
    <mergeCell ref="A124:B124"/>
    <mergeCell ref="A125:B125"/>
    <mergeCell ref="A129:B129"/>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A24:B25"/>
    <mergeCell ref="A26:A28"/>
    <mergeCell ref="A29:A30"/>
    <mergeCell ref="D29:D30"/>
    <mergeCell ref="A34:A35"/>
    <mergeCell ref="D34:D35"/>
    <mergeCell ref="D36:D40"/>
    <mergeCell ref="H60:J60"/>
    <mergeCell ref="H61:J62"/>
    <mergeCell ref="H63:J63"/>
    <mergeCell ref="H64:J66"/>
    <mergeCell ref="H67:J67"/>
    <mergeCell ref="H68:J68"/>
    <mergeCell ref="A61:A62"/>
    <mergeCell ref="A64:A66"/>
    <mergeCell ref="D64:D66"/>
    <mergeCell ref="U61:U62"/>
    <mergeCell ref="U64:U66"/>
    <mergeCell ref="V64:V66"/>
    <mergeCell ref="R46:V47"/>
    <mergeCell ref="R48:V49"/>
    <mergeCell ref="R50:V50"/>
    <mergeCell ref="R51:V52"/>
    <mergeCell ref="U56:U59"/>
    <mergeCell ref="V56:V59"/>
    <mergeCell ref="V61:V62"/>
  </mergeCells>
  <conditionalFormatting sqref="K1:K15 K17:K119">
    <cfRule type="containsText" dxfId="0" priority="1" operator="containsText" text="361">
      <formula>NOT(ISERROR(SEARCH(("361"),(K1))))</formula>
    </cfRule>
  </conditionalFormatting>
  <conditionalFormatting sqref="K1:K15 K17:K119">
    <cfRule type="containsText" dxfId="1" priority="2" operator="containsText" text="363">
      <formula>NOT(ISERROR(SEARCH(("363"),(K1))))</formula>
    </cfRule>
  </conditionalFormatting>
  <conditionalFormatting sqref="K1:K15 K17:K119">
    <cfRule type="containsText" dxfId="1" priority="3" operator="containsText" text="365">
      <formula>NOT(ISERROR(SEARCH(("365"),(K1))))</formula>
    </cfRule>
  </conditionalFormatting>
  <conditionalFormatting sqref="K1:K15 K17:K119">
    <cfRule type="containsText" dxfId="1" priority="4" operator="containsText" text="366">
      <formula>NOT(ISERROR(SEARCH(("366"),(K1))))</formula>
    </cfRule>
  </conditionalFormatting>
  <conditionalFormatting sqref="K1:K15 K17:K119">
    <cfRule type="containsText" dxfId="1" priority="5" operator="containsText" text="367">
      <formula>NOT(ISERROR(SEARCH(("367"),(K1))))</formula>
    </cfRule>
  </conditionalFormatting>
  <conditionalFormatting sqref="K61:T61 D62 C77 E77:F77 P77:P84 C79 E79:F79">
    <cfRule type="cellIs" dxfId="2" priority="6" operator="equal">
      <formula>"敵のみ"</formula>
    </cfRule>
  </conditionalFormatting>
  <conditionalFormatting sqref="C77:C84 E77:F77 E79:F79">
    <cfRule type="cellIs" dxfId="3" priority="7" operator="equal">
      <formula>"-"</formula>
    </cfRule>
  </conditionalFormatting>
  <conditionalFormatting sqref="O1:O143 K61:N61 P61:T61 D62 C77 E77:F77 K77:N77 P77:Q77 C79 E79:F79 K79:N79 P79:Q79">
    <cfRule type="cellIs" dxfId="4" priority="8" operator="greaterThan">
      <formula>0</formula>
    </cfRule>
  </conditionalFormatting>
  <conditionalFormatting sqref="P1:Q143 K61:O61 R61:T61 D62 C77 E77:F77 C79 E79:F79">
    <cfRule type="cellIs" dxfId="5" priority="9" operator="lessThan">
      <formula>1</formula>
    </cfRule>
  </conditionalFormatting>
  <conditionalFormatting sqref="P1:Q143 K61:O61 R61:T61 D62 C77 E77:F77 C79 E79:F79">
    <cfRule type="cellIs" dxfId="4" priority="10" operator="greaterThan">
      <formula>1</formula>
    </cfRule>
  </conditionalFormatting>
  <conditionalFormatting sqref="N25:N84 Q61">
    <cfRule type="cellIs" dxfId="6" priority="11" operator="greaterThan">
      <formula>0</formula>
    </cfRule>
  </conditionalFormatting>
  <conditionalFormatting sqref="N1:N15 N17:N143 Q61">
    <cfRule type="containsText" dxfId="6" priority="12" operator="containsText" text="/">
      <formula>NOT(ISERROR(SEARCH(("/"),(N1))))</formula>
    </cfRule>
  </conditionalFormatting>
  <drawing r:id="rId2"/>
  <legacyDrawing r:id="rId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9433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776">
        <v>36.0</v>
      </c>
      <c r="B1" s="1777"/>
      <c r="C1" s="1778" t="str">
        <f>IMAGE(VLOOKUP($A$1,Fighters!A2:AI114,12,FALSE),1)</f>
        <v>#REF!</v>
      </c>
      <c r="D1" s="1779"/>
      <c r="E1" s="1779"/>
      <c r="F1" s="1779"/>
      <c r="G1" s="1780"/>
      <c r="H1" s="1781"/>
      <c r="I1" s="1779"/>
      <c r="J1" s="1780"/>
      <c r="K1" s="1782"/>
      <c r="L1" s="1779"/>
      <c r="M1" s="1780"/>
      <c r="N1" s="1783"/>
      <c r="O1" s="1783"/>
      <c r="P1" s="1783"/>
      <c r="Q1" s="1783"/>
      <c r="R1" s="1784"/>
      <c r="S1" s="1784"/>
      <c r="T1" s="1784"/>
      <c r="U1" s="1784"/>
      <c r="V1" s="1784"/>
    </row>
    <row r="2">
      <c r="A2" s="1785" t="str">
        <f>VLOOKUP($A$1,Fighters!$A$2:$AI$81,6,FALSE)</f>
        <v>#a94338</v>
      </c>
      <c r="B2" s="1777"/>
      <c r="C2" s="1786"/>
      <c r="G2" s="1787"/>
      <c r="H2" s="1788"/>
      <c r="I2" s="1789"/>
      <c r="J2" s="1790"/>
      <c r="K2" s="1788"/>
      <c r="L2" s="1789"/>
      <c r="M2" s="1790"/>
      <c r="N2" s="1783"/>
      <c r="O2" s="1783"/>
      <c r="P2" s="1783"/>
      <c r="Q2" s="1783"/>
      <c r="R2" s="1784"/>
      <c r="S2" s="1784"/>
      <c r="T2" s="1784"/>
      <c r="U2" s="1784"/>
      <c r="V2" s="1784"/>
    </row>
    <row r="3">
      <c r="A3" s="1785" t="str">
        <f>VLOOKUP($A$1,Fighters!$A$2:$AI$81,14,FALSE)</f>
        <v>36. ディディーコング</v>
      </c>
      <c r="B3" s="1777"/>
      <c r="C3" s="1786"/>
      <c r="G3" s="1787"/>
      <c r="H3" s="1791"/>
      <c r="I3" s="1791"/>
      <c r="J3" s="1791"/>
      <c r="K3" s="1792"/>
      <c r="L3" s="1792"/>
      <c r="M3" s="1792"/>
      <c r="N3" s="1783"/>
      <c r="O3" s="1783"/>
      <c r="P3" s="1783"/>
      <c r="Q3" s="1783"/>
      <c r="R3" s="1793"/>
      <c r="S3" s="1784"/>
      <c r="T3" s="1784"/>
      <c r="U3" s="1784"/>
      <c r="V3" s="1784"/>
    </row>
    <row r="4">
      <c r="A4" s="1785" t="str">
        <f>VLOOKUP($A$1,Fighters!$A$2:$AI$81,13,FALSE)</f>
        <v>0</v>
      </c>
      <c r="B4" s="1777"/>
      <c r="C4" s="1786"/>
      <c r="G4" s="1787"/>
      <c r="H4" s="1794"/>
      <c r="I4" s="1794"/>
      <c r="J4" s="1791"/>
      <c r="K4" s="1792"/>
      <c r="L4" s="1792"/>
      <c r="M4" s="1792"/>
      <c r="N4" s="1783"/>
      <c r="O4" s="1783"/>
      <c r="P4" s="1783"/>
      <c r="Q4" s="1783"/>
      <c r="R4" s="1793"/>
      <c r="S4" s="1784"/>
      <c r="T4" s="1784"/>
      <c r="U4" s="1784"/>
      <c r="V4" s="1784"/>
    </row>
    <row r="5" ht="16.5" customHeight="1">
      <c r="A5" s="1776"/>
      <c r="B5" s="1777"/>
      <c r="C5" s="1786"/>
      <c r="G5" s="1787"/>
      <c r="H5" s="1795"/>
      <c r="I5" s="1795"/>
      <c r="J5" s="1796"/>
      <c r="K5" s="1797"/>
      <c r="L5" s="1798"/>
      <c r="M5" s="1798"/>
      <c r="N5" s="1783"/>
      <c r="O5" s="1783"/>
      <c r="P5" s="1783"/>
      <c r="Q5" s="1783"/>
      <c r="R5" s="1793"/>
      <c r="S5" s="1784"/>
      <c r="T5" s="1784"/>
      <c r="U5" s="1784"/>
      <c r="V5" s="1784"/>
    </row>
    <row r="6">
      <c r="A6" s="1777"/>
      <c r="B6" s="1777"/>
      <c r="C6" s="1786"/>
      <c r="G6" s="1787"/>
      <c r="H6" s="1794"/>
      <c r="I6" s="1799" t="s">
        <v>39</v>
      </c>
      <c r="J6" s="1797"/>
      <c r="K6" s="1800"/>
      <c r="L6" s="1798"/>
      <c r="M6" s="1798"/>
      <c r="N6" s="1783"/>
      <c r="O6" s="1783"/>
      <c r="P6" s="1783"/>
      <c r="Q6" s="1783"/>
      <c r="R6" s="1793"/>
      <c r="S6" s="1784"/>
      <c r="T6" s="1784"/>
      <c r="U6" s="1784"/>
      <c r="V6" s="1784"/>
    </row>
    <row r="7">
      <c r="A7" s="1777"/>
      <c r="B7" s="1777"/>
      <c r="C7" s="1786"/>
      <c r="G7" s="1787"/>
      <c r="H7" s="1795"/>
      <c r="I7" s="1795"/>
      <c r="J7" s="1797"/>
      <c r="K7" s="1800"/>
      <c r="L7" s="1798"/>
      <c r="M7" s="1798"/>
      <c r="N7" s="1783"/>
      <c r="O7" s="1783"/>
      <c r="P7" s="1783"/>
      <c r="Q7" s="1783"/>
      <c r="R7" s="1793"/>
      <c r="S7" s="1784"/>
      <c r="T7" s="1784"/>
      <c r="U7" s="1784"/>
      <c r="V7" s="1784"/>
    </row>
    <row r="8">
      <c r="A8" s="1777"/>
      <c r="B8" s="1777"/>
      <c r="C8" s="1786"/>
      <c r="G8" s="1787"/>
      <c r="H8" s="1801">
        <v>44379.844357905095</v>
      </c>
      <c r="I8" s="1779"/>
      <c r="J8" s="1780"/>
      <c r="K8" s="1797"/>
      <c r="L8" s="1798"/>
      <c r="M8" s="1798"/>
      <c r="N8" s="1783"/>
      <c r="O8" s="1783"/>
      <c r="P8" s="1783"/>
      <c r="Q8" s="1783"/>
      <c r="R8" s="1793"/>
      <c r="S8" s="1784"/>
      <c r="T8" s="1784"/>
      <c r="U8" s="1784"/>
      <c r="V8" s="1784"/>
    </row>
    <row r="9">
      <c r="A9" s="1777"/>
      <c r="B9" s="1777"/>
      <c r="C9" s="1786"/>
      <c r="G9" s="1787"/>
      <c r="H9" s="1788"/>
      <c r="I9" s="1789"/>
      <c r="J9" s="1790"/>
      <c r="K9" s="1784"/>
      <c r="L9" s="1783"/>
      <c r="M9" s="1783"/>
      <c r="N9" s="1783"/>
      <c r="O9" s="1783"/>
      <c r="P9" s="1783"/>
      <c r="Q9" s="1783"/>
      <c r="R9" s="1793"/>
      <c r="S9" s="1784"/>
      <c r="T9" s="1784"/>
      <c r="U9" s="1784"/>
      <c r="V9" s="1784"/>
    </row>
    <row r="10">
      <c r="A10" s="1777"/>
      <c r="B10" s="1777"/>
      <c r="C10" s="1786"/>
      <c r="G10" s="1787"/>
      <c r="H10" s="1802"/>
      <c r="I10" s="1802"/>
      <c r="J10" s="1784"/>
      <c r="K10" s="1784"/>
      <c r="L10" s="1783"/>
      <c r="M10" s="1783"/>
      <c r="N10" s="1783"/>
      <c r="O10" s="1783"/>
      <c r="P10" s="1783"/>
      <c r="Q10" s="1783"/>
      <c r="R10" s="1793"/>
      <c r="S10" s="1784"/>
      <c r="T10" s="1784"/>
      <c r="U10" s="1784"/>
      <c r="V10" s="1784"/>
    </row>
    <row r="11">
      <c r="A11" s="1803" t="s">
        <v>40</v>
      </c>
      <c r="B11" s="1780"/>
      <c r="C11" s="1786"/>
      <c r="G11" s="1787"/>
      <c r="H11" s="1795"/>
      <c r="I11" s="1795"/>
      <c r="J11" s="1784"/>
      <c r="K11" s="1784"/>
      <c r="L11" s="1783"/>
      <c r="M11" s="1783"/>
      <c r="N11" s="1783"/>
      <c r="O11" s="1783"/>
      <c r="P11" s="1783"/>
      <c r="Q11" s="1783"/>
      <c r="R11" s="1793"/>
      <c r="S11" s="1784"/>
      <c r="T11" s="1784"/>
      <c r="U11" s="1784"/>
      <c r="V11" s="1784"/>
    </row>
    <row r="12">
      <c r="A12" s="1788"/>
      <c r="B12" s="1790"/>
      <c r="C12" s="1788"/>
      <c r="D12" s="1789"/>
      <c r="E12" s="1789"/>
      <c r="F12" s="1789"/>
      <c r="G12" s="1790"/>
      <c r="H12" s="1804"/>
      <c r="I12" s="1804"/>
      <c r="J12" s="1777"/>
      <c r="K12" s="1777"/>
      <c r="L12" s="1783"/>
      <c r="M12" s="1783"/>
      <c r="N12" s="1783"/>
      <c r="O12" s="1783"/>
      <c r="P12" s="1783"/>
      <c r="Q12" s="1783"/>
      <c r="R12" s="1793"/>
      <c r="S12" s="1784"/>
      <c r="T12" s="1784"/>
      <c r="U12" s="1784"/>
      <c r="V12" s="178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90 [61st]</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36F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2.09 [18th]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1.313 [12th]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0.209 [2nd]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41.21 [5th]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2.006 [21st]</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0.093 [70th]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19.9 [5th]</v>
      </c>
      <c r="O19" s="99"/>
      <c r="P19" s="99"/>
      <c r="Q19" s="99"/>
      <c r="R19" s="99"/>
      <c r="S19" s="111"/>
      <c r="T19" s="111"/>
      <c r="U19" s="111"/>
      <c r="V19" s="111"/>
    </row>
    <row r="20" outlineLevel="1">
      <c r="A20" s="112" t="str">
        <f>'テンプレート'!A20</f>
        <v>カベ張りつき</v>
      </c>
      <c r="B20" s="115" t="b">
        <v>1</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0.924 [75th]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41.21 [11th]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1.75 [24th]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 [24th]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0.125 [13th]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204</v>
      </c>
      <c r="D26" s="139" t="s">
        <v>2688</v>
      </c>
      <c r="E26" s="139" t="s">
        <v>176</v>
      </c>
      <c r="F26" s="138">
        <v>2.4</v>
      </c>
      <c r="G26" s="139" t="s">
        <v>60</v>
      </c>
      <c r="H26" s="140" t="s">
        <v>2689</v>
      </c>
      <c r="I26" s="110"/>
      <c r="J26" s="109"/>
      <c r="K26" s="138"/>
      <c r="L26" s="282"/>
      <c r="M26" s="363"/>
      <c r="N26" s="363"/>
      <c r="O26" s="145">
        <v>0.0</v>
      </c>
      <c r="P26" s="145">
        <v>1.0</v>
      </c>
      <c r="Q26" s="145">
        <v>1.0</v>
      </c>
      <c r="R26" s="100"/>
      <c r="S26" s="100"/>
      <c r="T26" s="100"/>
      <c r="U26" s="145" t="s">
        <v>69</v>
      </c>
      <c r="V26" s="100"/>
    </row>
    <row r="27" outlineLevel="1">
      <c r="A27" s="146"/>
      <c r="B27" s="147" t="s">
        <v>63</v>
      </c>
      <c r="C27" s="216" t="s">
        <v>150</v>
      </c>
      <c r="D27" s="216" t="s">
        <v>718</v>
      </c>
      <c r="E27" s="216" t="s">
        <v>1024</v>
      </c>
      <c r="F27" s="138">
        <v>1.7999999999999998</v>
      </c>
      <c r="G27" s="139" t="s">
        <v>60</v>
      </c>
      <c r="H27" s="140" t="s">
        <v>2446</v>
      </c>
      <c r="I27" s="110"/>
      <c r="J27" s="109"/>
      <c r="K27" s="282"/>
      <c r="L27" s="282"/>
      <c r="M27" s="363"/>
      <c r="N27" s="363"/>
      <c r="O27" s="145">
        <v>0.0</v>
      </c>
      <c r="P27" s="145">
        <v>1.0</v>
      </c>
      <c r="Q27" s="145">
        <v>1.0</v>
      </c>
      <c r="R27" s="100"/>
      <c r="S27" s="100"/>
      <c r="T27" s="100"/>
      <c r="U27" s="145" t="s">
        <v>62</v>
      </c>
      <c r="V27" s="100"/>
    </row>
    <row r="28" outlineLevel="1">
      <c r="A28" s="156"/>
      <c r="B28" s="147" t="s">
        <v>70</v>
      </c>
      <c r="C28" s="216" t="s">
        <v>150</v>
      </c>
      <c r="D28" s="467" t="s">
        <v>218</v>
      </c>
      <c r="E28" s="216" t="s">
        <v>73</v>
      </c>
      <c r="F28" s="138">
        <v>4.8</v>
      </c>
      <c r="G28" s="139" t="s">
        <v>75</v>
      </c>
      <c r="H28" s="159"/>
      <c r="I28" s="110"/>
      <c r="J28" s="109"/>
      <c r="K28" s="282"/>
      <c r="L28" s="282"/>
      <c r="M28" s="363"/>
      <c r="N28" s="363"/>
      <c r="O28" s="145">
        <v>0.0</v>
      </c>
      <c r="P28" s="145">
        <v>1.0</v>
      </c>
      <c r="Q28" s="145">
        <v>1.0</v>
      </c>
      <c r="R28" s="100"/>
      <c r="S28" s="100"/>
      <c r="T28" s="100"/>
      <c r="U28" s="145" t="s">
        <v>62</v>
      </c>
      <c r="V28" s="100"/>
    </row>
    <row r="29" outlineLevel="1">
      <c r="A29" s="133" t="s">
        <v>77</v>
      </c>
      <c r="B29" s="147" t="s">
        <v>125</v>
      </c>
      <c r="C29" s="450" t="s">
        <v>518</v>
      </c>
      <c r="D29" s="379" t="s">
        <v>628</v>
      </c>
      <c r="E29" s="467" t="s">
        <v>176</v>
      </c>
      <c r="F29" s="138">
        <v>2.4</v>
      </c>
      <c r="G29" s="139" t="s">
        <v>60</v>
      </c>
      <c r="H29" s="163" t="s">
        <v>411</v>
      </c>
      <c r="I29" s="164"/>
      <c r="J29" s="104"/>
      <c r="K29" s="138"/>
      <c r="L29" s="282"/>
      <c r="M29" s="363"/>
      <c r="N29" s="363"/>
      <c r="O29" s="145">
        <v>0.0</v>
      </c>
      <c r="P29" s="145">
        <v>1.0</v>
      </c>
      <c r="Q29" s="145">
        <v>1.0</v>
      </c>
      <c r="R29" s="100"/>
      <c r="S29" s="100"/>
      <c r="T29" s="100"/>
      <c r="U29" s="166" t="s">
        <v>69</v>
      </c>
      <c r="V29" s="100"/>
    </row>
    <row r="30" outlineLevel="1">
      <c r="A30" s="146"/>
      <c r="B30" s="147" t="s">
        <v>131</v>
      </c>
      <c r="C30" s="450" t="s">
        <v>454</v>
      </c>
      <c r="D30" s="210"/>
      <c r="E30" s="467" t="s">
        <v>176</v>
      </c>
      <c r="F30" s="138">
        <v>2.4</v>
      </c>
      <c r="G30" s="139" t="s">
        <v>60</v>
      </c>
      <c r="H30" s="212"/>
      <c r="J30" s="210"/>
      <c r="K30" s="282"/>
      <c r="L30" s="282"/>
      <c r="M30" s="363"/>
      <c r="N30" s="363"/>
      <c r="O30" s="145">
        <v>0.0</v>
      </c>
      <c r="P30" s="145">
        <v>1.0</v>
      </c>
      <c r="Q30" s="145">
        <v>1.0</v>
      </c>
      <c r="R30" s="100"/>
      <c r="S30" s="100"/>
      <c r="T30" s="100"/>
      <c r="U30" s="146"/>
      <c r="V30" s="100"/>
    </row>
    <row r="31" outlineLevel="1">
      <c r="A31" s="156"/>
      <c r="B31" s="147" t="s">
        <v>434</v>
      </c>
      <c r="C31" s="450" t="s">
        <v>288</v>
      </c>
      <c r="D31" s="107"/>
      <c r="E31" s="467" t="s">
        <v>204</v>
      </c>
      <c r="F31" s="138">
        <v>3.5999999999999996</v>
      </c>
      <c r="G31" s="139" t="s">
        <v>147</v>
      </c>
      <c r="H31" s="106"/>
      <c r="I31" s="168"/>
      <c r="J31" s="107"/>
      <c r="K31" s="282"/>
      <c r="L31" s="282"/>
      <c r="M31" s="363"/>
      <c r="N31" s="363"/>
      <c r="O31" s="145">
        <v>0.0</v>
      </c>
      <c r="P31" s="145">
        <v>1.0</v>
      </c>
      <c r="Q31" s="145">
        <v>1.0</v>
      </c>
      <c r="R31" s="100"/>
      <c r="S31" s="100"/>
      <c r="T31" s="100"/>
      <c r="U31" s="156"/>
      <c r="V31" s="100"/>
    </row>
    <row r="32" outlineLevel="1">
      <c r="A32" s="133" t="s">
        <v>89</v>
      </c>
      <c r="B32" s="147" t="s">
        <v>90</v>
      </c>
      <c r="C32" s="450" t="s">
        <v>223</v>
      </c>
      <c r="D32" s="455" t="s">
        <v>224</v>
      </c>
      <c r="E32" s="467" t="s">
        <v>128</v>
      </c>
      <c r="F32" s="138">
        <v>12.0</v>
      </c>
      <c r="G32" s="139" t="s">
        <v>121</v>
      </c>
      <c r="H32" s="456"/>
      <c r="I32" s="164"/>
      <c r="J32" s="104"/>
      <c r="K32" s="138"/>
      <c r="L32" s="282"/>
      <c r="M32" s="363"/>
      <c r="N32" s="363"/>
      <c r="O32" s="145">
        <v>0.0</v>
      </c>
      <c r="P32" s="145">
        <v>1.0</v>
      </c>
      <c r="Q32" s="145">
        <v>1.0</v>
      </c>
      <c r="R32" s="100"/>
      <c r="S32" s="100"/>
      <c r="T32" s="100"/>
      <c r="U32" s="166" t="s">
        <v>96</v>
      </c>
      <c r="V32" s="100"/>
    </row>
    <row r="33" outlineLevel="1">
      <c r="A33" s="146"/>
      <c r="B33" s="147" t="s">
        <v>2690</v>
      </c>
      <c r="C33" s="450" t="s">
        <v>129</v>
      </c>
      <c r="D33" s="210"/>
      <c r="E33" s="467" t="s">
        <v>128</v>
      </c>
      <c r="F33" s="138">
        <v>12.0</v>
      </c>
      <c r="G33" s="139" t="s">
        <v>121</v>
      </c>
      <c r="H33" s="212"/>
      <c r="J33" s="210"/>
      <c r="K33" s="138"/>
      <c r="L33" s="282"/>
      <c r="M33" s="363"/>
      <c r="N33" s="363"/>
      <c r="O33" s="145"/>
      <c r="P33" s="145"/>
      <c r="Q33" s="145"/>
      <c r="R33" s="100"/>
      <c r="S33" s="100"/>
      <c r="T33" s="100"/>
      <c r="U33" s="146"/>
      <c r="V33" s="100"/>
    </row>
    <row r="34" outlineLevel="1">
      <c r="A34" s="156"/>
      <c r="B34" s="147" t="s">
        <v>2691</v>
      </c>
      <c r="C34" s="450" t="s">
        <v>1159</v>
      </c>
      <c r="D34" s="107"/>
      <c r="E34" s="467" t="s">
        <v>93</v>
      </c>
      <c r="F34" s="138">
        <v>8.4</v>
      </c>
      <c r="G34" s="139" t="s">
        <v>95</v>
      </c>
      <c r="H34" s="106"/>
      <c r="I34" s="168"/>
      <c r="J34" s="107"/>
      <c r="K34" s="138"/>
      <c r="L34" s="282"/>
      <c r="M34" s="363"/>
      <c r="N34" s="363"/>
      <c r="O34" s="145">
        <v>0.0</v>
      </c>
      <c r="P34" s="145">
        <v>1.0</v>
      </c>
      <c r="Q34" s="145">
        <v>1.0</v>
      </c>
      <c r="R34" s="100"/>
      <c r="S34" s="100"/>
      <c r="T34" s="100"/>
      <c r="U34" s="156"/>
      <c r="V34" s="100"/>
    </row>
    <row r="35" outlineLevel="1">
      <c r="A35" s="170" t="s">
        <v>97</v>
      </c>
      <c r="B35" s="160"/>
      <c r="C35" s="467" t="s">
        <v>2692</v>
      </c>
      <c r="D35" s="216" t="s">
        <v>99</v>
      </c>
      <c r="E35" s="467" t="s">
        <v>86</v>
      </c>
      <c r="F35" s="138">
        <v>7.199999999999999</v>
      </c>
      <c r="G35" s="139" t="s">
        <v>102</v>
      </c>
      <c r="H35" s="159"/>
      <c r="I35" s="110"/>
      <c r="J35" s="109"/>
      <c r="K35" s="282"/>
      <c r="L35" s="282"/>
      <c r="M35" s="363"/>
      <c r="N35" s="363"/>
      <c r="O35" s="145">
        <v>0.0</v>
      </c>
      <c r="P35" s="145">
        <v>1.0</v>
      </c>
      <c r="Q35" s="145">
        <v>1.5</v>
      </c>
      <c r="R35" s="100"/>
      <c r="S35" s="100"/>
      <c r="T35" s="100"/>
      <c r="U35" s="145" t="s">
        <v>62</v>
      </c>
      <c r="V35" s="100"/>
    </row>
    <row r="36" outlineLevel="1">
      <c r="A36" s="170" t="s">
        <v>103</v>
      </c>
      <c r="B36" s="160"/>
      <c r="C36" s="467" t="s">
        <v>717</v>
      </c>
      <c r="D36" s="467" t="s">
        <v>466</v>
      </c>
      <c r="E36" s="467" t="s">
        <v>100</v>
      </c>
      <c r="F36" s="138">
        <v>6.6</v>
      </c>
      <c r="G36" s="139" t="s">
        <v>102</v>
      </c>
      <c r="H36" s="159"/>
      <c r="I36" s="110"/>
      <c r="J36" s="109"/>
      <c r="K36" s="145"/>
      <c r="L36" s="363"/>
      <c r="M36" s="363"/>
      <c r="N36" s="363"/>
      <c r="O36" s="145">
        <v>0.0</v>
      </c>
      <c r="P36" s="145">
        <v>1.0</v>
      </c>
      <c r="Q36" s="145">
        <v>1.0</v>
      </c>
      <c r="R36" s="100"/>
      <c r="S36" s="100"/>
      <c r="T36" s="100"/>
      <c r="U36" s="145" t="s">
        <v>62</v>
      </c>
      <c r="V36" s="100"/>
    </row>
    <row r="37" outlineLevel="1">
      <c r="A37" s="133" t="s">
        <v>109</v>
      </c>
      <c r="B37" s="147" t="s">
        <v>125</v>
      </c>
      <c r="C37" s="467" t="s">
        <v>129</v>
      </c>
      <c r="D37" s="455" t="s">
        <v>413</v>
      </c>
      <c r="E37" s="467" t="s">
        <v>150</v>
      </c>
      <c r="F37" s="138">
        <v>6.0</v>
      </c>
      <c r="G37" s="139" t="s">
        <v>147</v>
      </c>
      <c r="H37" s="163" t="s">
        <v>442</v>
      </c>
      <c r="I37" s="164"/>
      <c r="J37" s="104"/>
      <c r="K37" s="282"/>
      <c r="L37" s="282"/>
      <c r="M37" s="363"/>
      <c r="N37" s="363"/>
      <c r="O37" s="145">
        <v>0.0</v>
      </c>
      <c r="P37" s="145">
        <v>1.0</v>
      </c>
      <c r="Q37" s="145">
        <v>1.0</v>
      </c>
      <c r="R37" s="100"/>
      <c r="S37" s="100"/>
      <c r="T37" s="100"/>
      <c r="U37" s="166" t="s">
        <v>102</v>
      </c>
      <c r="V37" s="100"/>
    </row>
    <row r="38" outlineLevel="1">
      <c r="A38" s="146"/>
      <c r="B38" s="147" t="s">
        <v>430</v>
      </c>
      <c r="C38" s="216" t="s">
        <v>228</v>
      </c>
      <c r="D38" s="210"/>
      <c r="E38" s="467" t="s">
        <v>150</v>
      </c>
      <c r="F38" s="138">
        <v>6.0</v>
      </c>
      <c r="G38" s="139" t="s">
        <v>147</v>
      </c>
      <c r="H38" s="212"/>
      <c r="J38" s="210"/>
      <c r="K38" s="282"/>
      <c r="L38" s="282"/>
      <c r="M38" s="363"/>
      <c r="N38" s="363"/>
      <c r="O38" s="145"/>
      <c r="P38" s="145"/>
      <c r="Q38" s="145"/>
      <c r="R38" s="100"/>
      <c r="S38" s="100"/>
      <c r="T38" s="100"/>
      <c r="U38" s="146"/>
      <c r="V38" s="100"/>
    </row>
    <row r="39" outlineLevel="1">
      <c r="A39" s="156"/>
      <c r="B39" s="147" t="s">
        <v>131</v>
      </c>
      <c r="C39" s="216" t="s">
        <v>314</v>
      </c>
      <c r="D39" s="107"/>
      <c r="E39" s="467" t="s">
        <v>2693</v>
      </c>
      <c r="F39" s="138" t="s">
        <v>2694</v>
      </c>
      <c r="G39" s="139" t="s">
        <v>716</v>
      </c>
      <c r="H39" s="106"/>
      <c r="I39" s="168"/>
      <c r="J39" s="107"/>
      <c r="K39" s="282"/>
      <c r="L39" s="282"/>
      <c r="M39" s="363"/>
      <c r="N39" s="363"/>
      <c r="O39" s="145">
        <v>0.0</v>
      </c>
      <c r="P39" s="145">
        <v>1.0</v>
      </c>
      <c r="Q39" s="145">
        <v>1.0</v>
      </c>
      <c r="R39" s="100"/>
      <c r="S39" s="100"/>
      <c r="T39" s="100"/>
      <c r="U39" s="156"/>
      <c r="V39" s="100"/>
    </row>
    <row r="40" outlineLevel="1">
      <c r="A40" s="133" t="s">
        <v>116</v>
      </c>
      <c r="B40" s="147" t="s">
        <v>125</v>
      </c>
      <c r="C40" s="467" t="s">
        <v>150</v>
      </c>
      <c r="D40" s="455" t="s">
        <v>892</v>
      </c>
      <c r="E40" s="467" t="s">
        <v>535</v>
      </c>
      <c r="F40" s="138">
        <v>3.0</v>
      </c>
      <c r="G40" s="139" t="s">
        <v>60</v>
      </c>
      <c r="H40" s="163" t="s">
        <v>1443</v>
      </c>
      <c r="I40" s="164"/>
      <c r="J40" s="104"/>
      <c r="K40" s="363"/>
      <c r="L40" s="363"/>
      <c r="M40" s="363"/>
      <c r="N40" s="363"/>
      <c r="O40" s="145">
        <v>0.0</v>
      </c>
      <c r="P40" s="145">
        <v>1.0</v>
      </c>
      <c r="Q40" s="145">
        <v>1.0</v>
      </c>
      <c r="R40" s="100"/>
      <c r="S40" s="100"/>
      <c r="T40" s="100"/>
      <c r="U40" s="166" t="s">
        <v>62</v>
      </c>
      <c r="V40" s="100"/>
    </row>
    <row r="41" outlineLevel="1">
      <c r="A41" s="146"/>
      <c r="B41" s="147" t="s">
        <v>430</v>
      </c>
      <c r="C41" s="216" t="s">
        <v>549</v>
      </c>
      <c r="D41" s="210"/>
      <c r="E41" s="467" t="s">
        <v>535</v>
      </c>
      <c r="F41" s="138">
        <v>3.0</v>
      </c>
      <c r="G41" s="139" t="s">
        <v>60</v>
      </c>
      <c r="H41" s="212"/>
      <c r="J41" s="210"/>
      <c r="K41" s="363"/>
      <c r="L41" s="363"/>
      <c r="M41" s="363"/>
      <c r="N41" s="363"/>
      <c r="O41" s="145"/>
      <c r="P41" s="145"/>
      <c r="Q41" s="145"/>
      <c r="R41" s="100"/>
      <c r="S41" s="100"/>
      <c r="T41" s="100"/>
      <c r="U41" s="146"/>
      <c r="V41" s="100"/>
    </row>
    <row r="42" outlineLevel="1">
      <c r="A42" s="146"/>
      <c r="B42" s="147" t="s">
        <v>131</v>
      </c>
      <c r="C42" s="216" t="s">
        <v>383</v>
      </c>
      <c r="D42" s="210"/>
      <c r="E42" s="467" t="s">
        <v>535</v>
      </c>
      <c r="F42" s="138">
        <v>3.0</v>
      </c>
      <c r="G42" s="139" t="s">
        <v>60</v>
      </c>
      <c r="H42" s="212"/>
      <c r="J42" s="210"/>
      <c r="K42" s="363"/>
      <c r="L42" s="363"/>
      <c r="M42" s="363"/>
      <c r="N42" s="363"/>
      <c r="O42" s="145">
        <v>0.0</v>
      </c>
      <c r="P42" s="145">
        <v>1.0</v>
      </c>
      <c r="Q42" s="145">
        <v>1.0</v>
      </c>
      <c r="R42" s="100"/>
      <c r="S42" s="100"/>
      <c r="T42" s="100"/>
      <c r="U42" s="146"/>
      <c r="V42" s="100"/>
    </row>
    <row r="43" outlineLevel="1">
      <c r="A43" s="146"/>
      <c r="B43" s="147" t="s">
        <v>432</v>
      </c>
      <c r="C43" s="216" t="s">
        <v>386</v>
      </c>
      <c r="D43" s="210"/>
      <c r="E43" s="467" t="s">
        <v>535</v>
      </c>
      <c r="F43" s="138">
        <v>3.0</v>
      </c>
      <c r="G43" s="139" t="s">
        <v>60</v>
      </c>
      <c r="H43" s="212"/>
      <c r="J43" s="210"/>
      <c r="K43" s="363"/>
      <c r="L43" s="363"/>
      <c r="M43" s="363"/>
      <c r="N43" s="363"/>
      <c r="O43" s="145"/>
      <c r="P43" s="145"/>
      <c r="Q43" s="145"/>
      <c r="R43" s="100"/>
      <c r="S43" s="100"/>
      <c r="T43" s="100"/>
      <c r="U43" s="146"/>
      <c r="V43" s="100"/>
    </row>
    <row r="44" outlineLevel="1">
      <c r="A44" s="156"/>
      <c r="B44" s="147" t="s">
        <v>434</v>
      </c>
      <c r="C44" s="216" t="s">
        <v>2695</v>
      </c>
      <c r="D44" s="107"/>
      <c r="E44" s="467" t="s">
        <v>86</v>
      </c>
      <c r="F44" s="138">
        <v>7.199999999999999</v>
      </c>
      <c r="G44" s="139" t="s">
        <v>75</v>
      </c>
      <c r="H44" s="106"/>
      <c r="I44" s="168"/>
      <c r="J44" s="107"/>
      <c r="K44" s="363"/>
      <c r="L44" s="363"/>
      <c r="M44" s="363"/>
      <c r="N44" s="363"/>
      <c r="O44" s="145">
        <v>0.0</v>
      </c>
      <c r="P44" s="145">
        <v>1.0</v>
      </c>
      <c r="Q44" s="145">
        <v>1.0</v>
      </c>
      <c r="R44" s="100"/>
      <c r="S44" s="100"/>
      <c r="T44" s="100"/>
      <c r="U44" s="156"/>
      <c r="V44" s="100"/>
    </row>
    <row r="45" outlineLevel="1">
      <c r="A45" s="133" t="s">
        <v>124</v>
      </c>
      <c r="B45" s="147" t="s">
        <v>125</v>
      </c>
      <c r="C45" s="450" t="s">
        <v>319</v>
      </c>
      <c r="D45" s="379" t="s">
        <v>413</v>
      </c>
      <c r="E45" s="467" t="s">
        <v>129</v>
      </c>
      <c r="F45" s="138">
        <v>14.399999999999999</v>
      </c>
      <c r="G45" s="139" t="s">
        <v>123</v>
      </c>
      <c r="H45" s="163" t="s">
        <v>130</v>
      </c>
      <c r="I45" s="164"/>
      <c r="J45" s="104"/>
      <c r="K45" s="282"/>
      <c r="L45" s="282"/>
      <c r="M45" s="363"/>
      <c r="N45" s="363"/>
      <c r="O45" s="145">
        <v>0.0</v>
      </c>
      <c r="P45" s="145">
        <v>1.0</v>
      </c>
      <c r="Q45" s="145">
        <v>1.0</v>
      </c>
      <c r="R45" s="100"/>
      <c r="S45" s="100"/>
      <c r="T45" s="100"/>
      <c r="U45" s="166" t="s">
        <v>62</v>
      </c>
      <c r="V45" s="100"/>
    </row>
    <row r="46" outlineLevel="1">
      <c r="A46" s="156"/>
      <c r="B46" s="147" t="s">
        <v>131</v>
      </c>
      <c r="C46" s="450" t="s">
        <v>373</v>
      </c>
      <c r="D46" s="107"/>
      <c r="E46" s="467" t="s">
        <v>386</v>
      </c>
      <c r="F46" s="138">
        <v>18.0</v>
      </c>
      <c r="G46" s="139" t="s">
        <v>121</v>
      </c>
      <c r="H46" s="106"/>
      <c r="I46" s="168"/>
      <c r="J46" s="107"/>
      <c r="K46" s="282"/>
      <c r="L46" s="282"/>
      <c r="M46" s="363"/>
      <c r="N46" s="363"/>
      <c r="O46" s="145">
        <v>0.0</v>
      </c>
      <c r="P46" s="145">
        <v>1.0</v>
      </c>
      <c r="Q46" s="145">
        <v>1.0</v>
      </c>
      <c r="R46" s="100"/>
      <c r="S46" s="100"/>
      <c r="T46" s="100"/>
      <c r="U46" s="156"/>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
        <v>133</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
        <v>48</v>
      </c>
      <c r="D49" s="183" t="s">
        <v>49</v>
      </c>
      <c r="E49" s="182" t="s">
        <v>50</v>
      </c>
      <c r="F49" s="184" t="s">
        <v>51</v>
      </c>
      <c r="G49" s="184" t="s">
        <v>134</v>
      </c>
      <c r="H49" s="185" t="s">
        <v>52</v>
      </c>
      <c r="I49" s="184" t="str">
        <f>'テンプレート'!I56</f>
        <v>着地隙</v>
      </c>
      <c r="J49" s="184" t="s">
        <v>136</v>
      </c>
      <c r="K49" s="184" t="str">
        <f>'テンプレート'!K56</f>
        <v>ベクトル</v>
      </c>
      <c r="L49" s="184" t="str">
        <f>'テンプレート'!L56</f>
        <v>KBG (R.E.)</v>
      </c>
      <c r="M49" s="184" t="str">
        <f>'テンプレート'!M56</f>
        <v>BKB (R.A.)</v>
      </c>
      <c r="N49" s="184" t="str">
        <f>'テンプレート'!N56</f>
        <v>FKB (R.F.)</v>
      </c>
      <c r="O49" s="186" t="str">
        <f>'テンプレート'!O56</f>
        <v>盾削り値</v>
      </c>
      <c r="P49" s="184" t="str">
        <f>'テンプレート'!P56</f>
        <v>ﾋｯﾄｽﾄｯﾌﾟ</v>
      </c>
      <c r="Q49" s="186" t="str">
        <f>'テンプレート'!Q56</f>
        <v>ずらし</v>
      </c>
      <c r="R49" s="187" t="str">
        <f>'テンプレート'!R56</f>
        <v>備考</v>
      </c>
      <c r="S49" s="110"/>
      <c r="T49" s="110"/>
      <c r="U49" s="110"/>
      <c r="V49" s="110"/>
    </row>
    <row r="50" outlineLevel="1">
      <c r="A50" s="213" t="s">
        <v>144</v>
      </c>
      <c r="B50" s="373"/>
      <c r="C50" s="239" t="s">
        <v>1168</v>
      </c>
      <c r="D50" s="774" t="s">
        <v>541</v>
      </c>
      <c r="E50" s="401" t="s">
        <v>86</v>
      </c>
      <c r="F50" s="193">
        <v>7.199999999999999</v>
      </c>
      <c r="G50" s="193">
        <v>6.12</v>
      </c>
      <c r="H50" s="138" t="s">
        <v>60</v>
      </c>
      <c r="I50" s="621" t="str">
        <f t="array" ref="I50">INDEX('空中攻撃'!$O$3:$AA$109, MATCH($A$1,'空中攻撃'!$A$3:$A$109,0), MATCH(A50,'空中攻撃'!$O$2:$S$2,0))</f>
        <v>8</v>
      </c>
      <c r="J50" s="450" t="s">
        <v>2696</v>
      </c>
      <c r="K50" s="138"/>
      <c r="L50" s="282"/>
      <c r="M50" s="363"/>
      <c r="N50" s="363"/>
      <c r="O50" s="145">
        <v>0.0</v>
      </c>
      <c r="P50" s="145">
        <v>1.0</v>
      </c>
      <c r="Q50" s="145">
        <v>1.0</v>
      </c>
      <c r="R50" s="622"/>
      <c r="S50" s="110"/>
      <c r="T50" s="110"/>
      <c r="U50" s="110"/>
      <c r="V50" s="109"/>
    </row>
    <row r="51" outlineLevel="1">
      <c r="A51" s="188" t="s">
        <v>151</v>
      </c>
      <c r="B51" s="373"/>
      <c r="C51" s="239" t="s">
        <v>543</v>
      </c>
      <c r="D51" s="452">
        <v>46.0</v>
      </c>
      <c r="E51" s="239" t="s">
        <v>128</v>
      </c>
      <c r="F51" s="138">
        <v>12.0</v>
      </c>
      <c r="G51" s="138">
        <v>10.2</v>
      </c>
      <c r="H51" s="138" t="s">
        <v>147</v>
      </c>
      <c r="I51" s="454" t="str">
        <f t="array" ref="I51">INDEX('空中攻撃'!$O$3:$AA$109, MATCH($A$1,'空中攻撃'!$A$3:$A$109,0), MATCH(A51,'空中攻撃'!$O$2:$S$2,0))</f>
        <v>16</v>
      </c>
      <c r="J51" s="455" t="s">
        <v>2697</v>
      </c>
      <c r="K51" s="138"/>
      <c r="L51" s="282"/>
      <c r="M51" s="363"/>
      <c r="N51" s="363"/>
      <c r="O51" s="145">
        <v>0.0</v>
      </c>
      <c r="P51" s="145">
        <v>1.0</v>
      </c>
      <c r="Q51" s="145">
        <v>1.0</v>
      </c>
      <c r="R51" s="619"/>
      <c r="S51" s="164"/>
      <c r="T51" s="164"/>
      <c r="U51" s="164"/>
      <c r="V51" s="104"/>
    </row>
    <row r="52" outlineLevel="1">
      <c r="A52" s="156"/>
      <c r="B52" s="373" t="s">
        <v>84</v>
      </c>
      <c r="C52" s="239" t="s">
        <v>1106</v>
      </c>
      <c r="D52" s="107"/>
      <c r="E52" s="239" t="s">
        <v>80</v>
      </c>
      <c r="F52" s="138">
        <v>9.6</v>
      </c>
      <c r="G52" s="138">
        <v>8.16</v>
      </c>
      <c r="H52" s="138" t="s">
        <v>147</v>
      </c>
      <c r="I52" s="156"/>
      <c r="J52" s="107"/>
      <c r="K52" s="138"/>
      <c r="L52" s="282"/>
      <c r="M52" s="363"/>
      <c r="N52" s="363"/>
      <c r="O52" s="145">
        <v>0.0</v>
      </c>
      <c r="P52" s="145">
        <v>1.0</v>
      </c>
      <c r="Q52" s="145">
        <v>1.0</v>
      </c>
      <c r="R52" s="106"/>
      <c r="S52" s="168"/>
      <c r="T52" s="168"/>
      <c r="U52" s="168"/>
      <c r="V52" s="107"/>
    </row>
    <row r="53" outlineLevel="1">
      <c r="A53" s="213" t="s">
        <v>157</v>
      </c>
      <c r="B53" s="373"/>
      <c r="C53" s="239" t="s">
        <v>713</v>
      </c>
      <c r="D53" s="774">
        <v>30.0</v>
      </c>
      <c r="E53" s="239" t="s">
        <v>274</v>
      </c>
      <c r="F53" s="138">
        <v>10.799999999999999</v>
      </c>
      <c r="G53" s="138">
        <v>9.18</v>
      </c>
      <c r="H53" s="138" t="s">
        <v>147</v>
      </c>
      <c r="I53" s="621">
        <f t="array" ref="I53">INDEX('空中攻撃'!$O$3:$AA$109, MATCH($A$1,'空中攻撃'!$A$3:$A$109,0), MATCH(A53,'空中攻撃'!$O$2:$S$2,0))</f>
        <v>7</v>
      </c>
      <c r="J53" s="467" t="s">
        <v>2698</v>
      </c>
      <c r="K53" s="138"/>
      <c r="L53" s="282"/>
      <c r="M53" s="363"/>
      <c r="N53" s="363"/>
      <c r="O53" s="145">
        <v>0.0</v>
      </c>
      <c r="P53" s="145">
        <v>1.0</v>
      </c>
      <c r="Q53" s="145">
        <v>1.0</v>
      </c>
      <c r="R53" s="622"/>
      <c r="S53" s="110"/>
      <c r="T53" s="110"/>
      <c r="U53" s="110"/>
      <c r="V53" s="109"/>
    </row>
    <row r="54" outlineLevel="1">
      <c r="A54" s="213" t="s">
        <v>162</v>
      </c>
      <c r="B54" s="373"/>
      <c r="C54" s="239" t="s">
        <v>163</v>
      </c>
      <c r="D54" s="450" t="s">
        <v>193</v>
      </c>
      <c r="E54" s="365" t="s">
        <v>93</v>
      </c>
      <c r="F54" s="138">
        <v>8.4</v>
      </c>
      <c r="G54" s="138">
        <v>7.14</v>
      </c>
      <c r="H54" s="138" t="s">
        <v>60</v>
      </c>
      <c r="I54" s="1768" t="str">
        <f t="array" ref="I54">INDEX('空中攻撃'!$O$3:$AA$109, MATCH($A$1,'空中攻撃'!$A$3:$A$109,0), MATCH(A54,'空中攻撃'!$O$2:$S$2,0))</f>
        <v>9</v>
      </c>
      <c r="J54" s="467" t="s">
        <v>2699</v>
      </c>
      <c r="K54" s="282"/>
      <c r="L54" s="282"/>
      <c r="M54" s="363"/>
      <c r="N54" s="363"/>
      <c r="O54" s="145">
        <v>0.0</v>
      </c>
      <c r="P54" s="145">
        <v>1.0</v>
      </c>
      <c r="Q54" s="145">
        <v>1.0</v>
      </c>
      <c r="R54" s="622"/>
      <c r="S54" s="110"/>
      <c r="T54" s="110"/>
      <c r="U54" s="110"/>
      <c r="V54" s="109"/>
    </row>
    <row r="55" outlineLevel="1">
      <c r="A55" s="188" t="s">
        <v>166</v>
      </c>
      <c r="B55" s="373" t="s">
        <v>2237</v>
      </c>
      <c r="C55" s="365" t="s">
        <v>561</v>
      </c>
      <c r="D55" s="379" t="s">
        <v>374</v>
      </c>
      <c r="E55" s="239" t="s">
        <v>228</v>
      </c>
      <c r="F55" s="138">
        <v>15.6</v>
      </c>
      <c r="G55" s="138">
        <v>13.26</v>
      </c>
      <c r="H55" s="138" t="s">
        <v>75</v>
      </c>
      <c r="I55" s="454">
        <f t="array" ref="I55">INDEX('空中攻撃'!$O$3:$AA$109, MATCH($A$1,'空中攻撃'!$A$3:$A$109,0), MATCH(A55,'空中攻撃'!$O$2:$S$2,0))</f>
        <v>17</v>
      </c>
      <c r="J55" s="379" t="s">
        <v>2700</v>
      </c>
      <c r="K55" s="282"/>
      <c r="L55" s="282"/>
      <c r="M55" s="363"/>
      <c r="N55" s="363"/>
      <c r="O55" s="145">
        <v>0.0</v>
      </c>
      <c r="P55" s="145">
        <v>1.0</v>
      </c>
      <c r="Q55" s="145">
        <v>1.0</v>
      </c>
      <c r="R55" s="163"/>
      <c r="S55" s="164"/>
      <c r="T55" s="164"/>
      <c r="U55" s="164"/>
      <c r="V55" s="104"/>
    </row>
    <row r="56" outlineLevel="1">
      <c r="A56" s="156"/>
      <c r="B56" s="373" t="s">
        <v>2701</v>
      </c>
      <c r="C56" s="365" t="s">
        <v>386</v>
      </c>
      <c r="D56" s="107"/>
      <c r="E56" s="239" t="s">
        <v>128</v>
      </c>
      <c r="F56" s="138">
        <v>12.0</v>
      </c>
      <c r="G56" s="138">
        <v>10.2</v>
      </c>
      <c r="H56" s="138" t="s">
        <v>147</v>
      </c>
      <c r="I56" s="156"/>
      <c r="J56" s="107"/>
      <c r="K56" s="227"/>
      <c r="L56" s="227"/>
      <c r="M56" s="228"/>
      <c r="N56" s="228"/>
      <c r="O56" s="117"/>
      <c r="P56" s="117"/>
      <c r="Q56" s="117"/>
      <c r="R56" s="106"/>
      <c r="S56" s="168"/>
      <c r="T56" s="168"/>
      <c r="U56" s="168"/>
      <c r="V56" s="107"/>
    </row>
    <row r="57">
      <c r="A57" s="223"/>
      <c r="B57" s="224"/>
      <c r="C57" s="225"/>
      <c r="D57" s="225"/>
      <c r="E57" s="226"/>
      <c r="F57" s="226"/>
      <c r="G57" s="226"/>
      <c r="H57" s="227"/>
      <c r="I57" s="227"/>
      <c r="J57" s="228"/>
      <c r="K57" s="228"/>
      <c r="L57" s="228"/>
      <c r="M57" s="228"/>
      <c r="N57" s="228"/>
      <c r="O57" s="228"/>
      <c r="P57" s="228"/>
      <c r="Q57" s="118"/>
      <c r="R57" s="118"/>
      <c r="S57" s="118"/>
      <c r="T57" s="118"/>
      <c r="U57" s="118"/>
      <c r="V57" s="118"/>
    </row>
    <row r="58">
      <c r="A58" s="229" t="s">
        <v>177</v>
      </c>
      <c r="B58" s="109"/>
      <c r="C58" s="225"/>
      <c r="D58" s="225"/>
      <c r="E58" s="226"/>
      <c r="F58" s="226"/>
      <c r="G58" s="226"/>
      <c r="H58" s="227"/>
      <c r="I58" s="227"/>
      <c r="J58" s="228"/>
      <c r="K58" s="228"/>
      <c r="L58" s="228"/>
      <c r="M58" s="228"/>
      <c r="N58" s="228"/>
      <c r="O58" s="228"/>
      <c r="P58" s="228"/>
      <c r="Q58" s="118"/>
      <c r="R58" s="118"/>
      <c r="S58" s="118"/>
      <c r="T58" s="118"/>
      <c r="U58" s="118"/>
      <c r="V58" s="118"/>
    </row>
    <row r="59" outlineLevel="1">
      <c r="A59" s="230" t="s">
        <v>2702</v>
      </c>
      <c r="B59" s="109"/>
      <c r="C59" s="231" t="s">
        <v>48</v>
      </c>
      <c r="D59" s="231" t="s">
        <v>49</v>
      </c>
      <c r="E59" s="232" t="s">
        <v>50</v>
      </c>
      <c r="F59" s="233" t="s">
        <v>51</v>
      </c>
      <c r="G59" s="232" t="s">
        <v>52</v>
      </c>
      <c r="H59" s="382" t="str">
        <f>'テンプレート'!H72</f>
        <v>備考</v>
      </c>
      <c r="I59" s="110"/>
      <c r="J59" s="109"/>
      <c r="K59" s="235" t="str">
        <f>'テンプレート'!K72</f>
        <v>ベクトル</v>
      </c>
      <c r="L59" s="235" t="str">
        <f>'テンプレート'!L72</f>
        <v>KBG (R.E.)</v>
      </c>
      <c r="M59" s="235" t="str">
        <f>'テンプレート'!M72</f>
        <v>BKB (R.A.)</v>
      </c>
      <c r="N59" s="235" t="str">
        <f>'テンプレート'!N72</f>
        <v>FKB (R.F.)</v>
      </c>
      <c r="O59" s="236" t="str">
        <f>'テンプレート'!O72</f>
        <v>盾削り値</v>
      </c>
      <c r="P59" s="235" t="str">
        <f>'テンプレート'!P72</f>
        <v>ﾋｯﾄｽﾄｯﾌﾟ</v>
      </c>
      <c r="Q59" s="236" t="str">
        <f>'テンプレート'!Q72</f>
        <v>ずらし</v>
      </c>
      <c r="R59" s="235" t="str">
        <f>'テンプレート'!R72</f>
        <v>相殺</v>
      </c>
      <c r="S59" s="236" t="str">
        <f>'テンプレート'!S72</f>
        <v>相殺ﾓｰｼｮﾝ</v>
      </c>
      <c r="T59" s="236" t="str">
        <f>'テンプレート'!T72</f>
        <v>飛び道具</v>
      </c>
      <c r="U59" s="236" t="str">
        <f>'テンプレート'!U72</f>
        <v>慣性反転</v>
      </c>
      <c r="V59" s="236" t="str">
        <f>'テンプレート'!V72</f>
        <v>向き反転</v>
      </c>
    </row>
    <row r="60" ht="44.25" customHeight="1" outlineLevel="1">
      <c r="A60" s="237" t="s">
        <v>184</v>
      </c>
      <c r="B60" s="243" t="s">
        <v>473</v>
      </c>
      <c r="C60" s="239" t="s">
        <v>2703</v>
      </c>
      <c r="D60" s="239" t="s">
        <v>541</v>
      </c>
      <c r="E60" s="365" t="s">
        <v>2704</v>
      </c>
      <c r="F60" s="138" t="s">
        <v>2705</v>
      </c>
      <c r="G60" s="139" t="s">
        <v>1483</v>
      </c>
      <c r="H60" s="386" t="s">
        <v>2706</v>
      </c>
      <c r="I60" s="164"/>
      <c r="J60" s="104"/>
      <c r="K60" s="282"/>
      <c r="L60" s="282"/>
      <c r="M60" s="363"/>
      <c r="N60" s="363"/>
      <c r="O60" s="138">
        <v>0.0</v>
      </c>
      <c r="P60" s="138">
        <v>1.0</v>
      </c>
      <c r="Q60" s="138">
        <v>1.0</v>
      </c>
      <c r="R60" s="145" t="b">
        <v>0</v>
      </c>
      <c r="S60" s="145" t="b">
        <v>0</v>
      </c>
      <c r="T60" s="145" t="b">
        <v>1</v>
      </c>
      <c r="U60" s="166" t="s">
        <v>186</v>
      </c>
      <c r="V60" s="166" t="b">
        <v>1</v>
      </c>
    </row>
    <row r="61" ht="44.25" customHeight="1" outlineLevel="1">
      <c r="A61" s="146"/>
      <c r="B61" s="663" t="s">
        <v>2707</v>
      </c>
      <c r="C61" s="365" t="s">
        <v>1541</v>
      </c>
      <c r="D61" s="365" t="s">
        <v>2708</v>
      </c>
      <c r="E61" s="239" t="s">
        <v>173</v>
      </c>
      <c r="F61" s="138">
        <v>27.599999999999998</v>
      </c>
      <c r="G61" s="139" t="s">
        <v>1865</v>
      </c>
      <c r="H61" s="106"/>
      <c r="I61" s="168"/>
      <c r="J61" s="107"/>
      <c r="K61" s="282"/>
      <c r="L61" s="282"/>
      <c r="M61" s="363"/>
      <c r="N61" s="363"/>
      <c r="O61" s="138">
        <v>0.0</v>
      </c>
      <c r="P61" s="138">
        <v>1.0</v>
      </c>
      <c r="Q61" s="138">
        <v>1.0</v>
      </c>
      <c r="R61" s="145" t="b">
        <v>0</v>
      </c>
      <c r="S61" s="145" t="b">
        <v>0</v>
      </c>
      <c r="T61" s="145"/>
      <c r="U61" s="156"/>
      <c r="V61" s="156"/>
    </row>
    <row r="62" outlineLevel="1">
      <c r="A62" s="230" t="s">
        <v>2709</v>
      </c>
      <c r="B62" s="109"/>
      <c r="C62" s="231" t="s">
        <v>48</v>
      </c>
      <c r="D62" s="231" t="s">
        <v>49</v>
      </c>
      <c r="E62" s="232" t="s">
        <v>50</v>
      </c>
      <c r="F62" s="233" t="s">
        <v>51</v>
      </c>
      <c r="G62" s="232" t="s">
        <v>52</v>
      </c>
      <c r="H62" s="382" t="str">
        <f>'テンプレート'!H75</f>
        <v>備考</v>
      </c>
      <c r="I62" s="110"/>
      <c r="J62" s="109"/>
      <c r="K62" s="235" t="str">
        <f>'テンプレート'!K75</f>
        <v>ベクトル</v>
      </c>
      <c r="L62" s="235" t="str">
        <f>'テンプレート'!L75</f>
        <v>KBG (R.E.)</v>
      </c>
      <c r="M62" s="235" t="str">
        <f>'テンプレート'!M75</f>
        <v>BKB (R.A.)</v>
      </c>
      <c r="N62" s="235" t="str">
        <f>'テンプレート'!N75</f>
        <v>FKB (R.F.)</v>
      </c>
      <c r="O62" s="236" t="str">
        <f>'テンプレート'!O75</f>
        <v>盾削り値</v>
      </c>
      <c r="P62" s="235" t="str">
        <f>'テンプレート'!P75</f>
        <v>ﾋｯﾄｽﾄｯﾌﾟ</v>
      </c>
      <c r="Q62" s="236" t="str">
        <f>'テンプレート'!Q75</f>
        <v>ずらし</v>
      </c>
      <c r="R62" s="235" t="str">
        <f>'テンプレート'!R75</f>
        <v>相殺</v>
      </c>
      <c r="S62" s="236" t="str">
        <f>'テンプレート'!S75</f>
        <v>相殺ﾓｰｼｮﾝ</v>
      </c>
      <c r="T62" s="236" t="str">
        <f>'テンプレート'!T75</f>
        <v>飛び道具</v>
      </c>
      <c r="U62" s="236" t="str">
        <f>'テンプレート'!U75</f>
        <v>慣性反転</v>
      </c>
      <c r="V62" s="236" t="str">
        <f>'テンプレート'!V75</f>
        <v>向き反転</v>
      </c>
    </row>
    <row r="63" outlineLevel="1">
      <c r="A63" s="237" t="s">
        <v>184</v>
      </c>
      <c r="B63" s="243" t="s">
        <v>2710</v>
      </c>
      <c r="C63" s="239" t="s">
        <v>2711</v>
      </c>
      <c r="D63" s="195" t="s">
        <v>111</v>
      </c>
      <c r="E63" s="409"/>
      <c r="F63" s="409"/>
      <c r="G63" s="409"/>
      <c r="H63" s="163" t="s">
        <v>2712</v>
      </c>
      <c r="I63" s="164"/>
      <c r="J63" s="104"/>
      <c r="K63" s="281"/>
      <c r="L63" s="281"/>
      <c r="M63" s="281"/>
      <c r="N63" s="281"/>
      <c r="O63" s="281"/>
      <c r="P63" s="281"/>
      <c r="Q63" s="281"/>
      <c r="R63" s="281"/>
      <c r="S63" s="281"/>
      <c r="T63" s="281"/>
      <c r="U63" s="166" t="s">
        <v>186</v>
      </c>
      <c r="V63" s="166" t="b">
        <v>1</v>
      </c>
    </row>
    <row r="64" outlineLevel="1">
      <c r="A64" s="146"/>
      <c r="B64" s="243" t="s">
        <v>2713</v>
      </c>
      <c r="C64" s="239" t="s">
        <v>1315</v>
      </c>
      <c r="D64" s="107"/>
      <c r="E64" s="409"/>
      <c r="F64" s="409"/>
      <c r="G64" s="409"/>
      <c r="H64" s="212"/>
      <c r="J64" s="210"/>
      <c r="K64" s="138"/>
      <c r="L64" s="138"/>
      <c r="M64" s="145"/>
      <c r="N64" s="145"/>
      <c r="O64" s="138"/>
      <c r="P64" s="138"/>
      <c r="Q64" s="138"/>
      <c r="R64" s="145" t="b">
        <v>0</v>
      </c>
      <c r="S64" s="145" t="b">
        <v>0</v>
      </c>
      <c r="T64" s="145" t="b">
        <v>0</v>
      </c>
      <c r="U64" s="146"/>
      <c r="V64" s="146"/>
    </row>
    <row r="65" outlineLevel="1">
      <c r="A65" s="146"/>
      <c r="B65" s="243" t="s">
        <v>2714</v>
      </c>
      <c r="C65" s="239" t="s">
        <v>322</v>
      </c>
      <c r="D65" s="367" t="s">
        <v>964</v>
      </c>
      <c r="E65" s="239" t="s">
        <v>967</v>
      </c>
      <c r="F65" s="138" t="s">
        <v>968</v>
      </c>
      <c r="G65" s="139" t="s">
        <v>502</v>
      </c>
      <c r="H65" s="212"/>
      <c r="J65" s="210"/>
      <c r="K65" s="138"/>
      <c r="L65" s="138"/>
      <c r="M65" s="145"/>
      <c r="N65" s="145"/>
      <c r="O65" s="138"/>
      <c r="P65" s="138"/>
      <c r="Q65" s="138"/>
      <c r="R65" s="145" t="b">
        <v>1</v>
      </c>
      <c r="S65" s="145"/>
      <c r="T65" s="145"/>
      <c r="U65" s="146"/>
      <c r="V65" s="146"/>
    </row>
    <row r="66" outlineLevel="1">
      <c r="A66" s="146"/>
      <c r="B66" s="243" t="s">
        <v>2715</v>
      </c>
      <c r="C66" s="244" t="s">
        <v>2716</v>
      </c>
      <c r="D66" s="156"/>
      <c r="E66" s="239" t="s">
        <v>640</v>
      </c>
      <c r="F66" s="138" t="s">
        <v>641</v>
      </c>
      <c r="G66" s="139" t="s">
        <v>1302</v>
      </c>
      <c r="H66" s="106"/>
      <c r="I66" s="168"/>
      <c r="J66" s="107"/>
      <c r="K66" s="138"/>
      <c r="L66" s="138"/>
      <c r="M66" s="145"/>
      <c r="N66" s="145"/>
      <c r="O66" s="138"/>
      <c r="P66" s="138"/>
      <c r="Q66" s="138"/>
      <c r="R66" s="145" t="b">
        <v>1</v>
      </c>
      <c r="S66" s="145"/>
      <c r="T66" s="145"/>
      <c r="U66" s="156"/>
      <c r="V66" s="156"/>
    </row>
    <row r="67" outlineLevel="1">
      <c r="A67" s="237" t="s">
        <v>2717</v>
      </c>
      <c r="B67" s="243" t="s">
        <v>227</v>
      </c>
      <c r="C67" s="244" t="s">
        <v>2718</v>
      </c>
      <c r="D67" s="1091" t="s">
        <v>146</v>
      </c>
      <c r="E67" s="239" t="s">
        <v>213</v>
      </c>
      <c r="F67" s="138">
        <v>1.2</v>
      </c>
      <c r="G67" s="409"/>
      <c r="H67" s="163" t="s">
        <v>2719</v>
      </c>
      <c r="I67" s="164"/>
      <c r="J67" s="104"/>
      <c r="K67" s="138"/>
      <c r="L67" s="138"/>
      <c r="M67" s="145"/>
      <c r="N67" s="145"/>
      <c r="O67" s="138"/>
      <c r="P67" s="138"/>
      <c r="Q67" s="138"/>
      <c r="R67" s="145"/>
      <c r="S67" s="145"/>
      <c r="T67" s="145"/>
      <c r="U67" s="166" t="s">
        <v>186</v>
      </c>
      <c r="V67" s="166" t="b">
        <v>1</v>
      </c>
    </row>
    <row r="68" outlineLevel="1">
      <c r="A68" s="146"/>
      <c r="B68" s="243" t="s">
        <v>2720</v>
      </c>
      <c r="C68" s="244" t="s">
        <v>312</v>
      </c>
      <c r="D68" s="455" t="s">
        <v>224</v>
      </c>
      <c r="E68" s="239" t="s">
        <v>204</v>
      </c>
      <c r="F68" s="138">
        <v>3.5999999999999996</v>
      </c>
      <c r="G68" s="409"/>
      <c r="H68" s="212"/>
      <c r="J68" s="210"/>
      <c r="K68" s="138"/>
      <c r="L68" s="138"/>
      <c r="M68" s="145"/>
      <c r="N68" s="145"/>
      <c r="O68" s="138"/>
      <c r="P68" s="138"/>
      <c r="Q68" s="138"/>
      <c r="R68" s="145"/>
      <c r="S68" s="145"/>
      <c r="T68" s="145"/>
      <c r="U68" s="146"/>
      <c r="V68" s="146"/>
    </row>
    <row r="69" outlineLevel="1">
      <c r="A69" s="146"/>
      <c r="B69" s="243" t="s">
        <v>2721</v>
      </c>
      <c r="C69" s="244" t="s">
        <v>65</v>
      </c>
      <c r="D69" s="107"/>
      <c r="E69" s="239" t="s">
        <v>93</v>
      </c>
      <c r="F69" s="138">
        <v>8.4</v>
      </c>
      <c r="G69" s="409"/>
      <c r="H69" s="212"/>
      <c r="J69" s="210"/>
      <c r="K69" s="138"/>
      <c r="L69" s="138"/>
      <c r="M69" s="145"/>
      <c r="N69" s="145"/>
      <c r="O69" s="138"/>
      <c r="P69" s="138"/>
      <c r="Q69" s="138"/>
      <c r="R69" s="145"/>
      <c r="S69" s="145"/>
      <c r="T69" s="145"/>
      <c r="U69" s="146"/>
      <c r="V69" s="146"/>
    </row>
    <row r="70" outlineLevel="1">
      <c r="A70" s="146"/>
      <c r="B70" s="243" t="s">
        <v>2722</v>
      </c>
      <c r="C70" s="244" t="s">
        <v>312</v>
      </c>
      <c r="D70" s="195" t="s">
        <v>221</v>
      </c>
      <c r="E70" s="239" t="s">
        <v>204</v>
      </c>
      <c r="F70" s="138">
        <v>3.5999999999999996</v>
      </c>
      <c r="G70" s="409"/>
      <c r="H70" s="212"/>
      <c r="J70" s="210"/>
      <c r="K70" s="138"/>
      <c r="L70" s="138"/>
      <c r="M70" s="145"/>
      <c r="N70" s="145"/>
      <c r="O70" s="138"/>
      <c r="P70" s="138"/>
      <c r="Q70" s="138"/>
      <c r="R70" s="145"/>
      <c r="S70" s="145"/>
      <c r="T70" s="145"/>
      <c r="U70" s="146"/>
      <c r="V70" s="146"/>
    </row>
    <row r="71" outlineLevel="1">
      <c r="A71" s="146"/>
      <c r="B71" s="243" t="s">
        <v>2723</v>
      </c>
      <c r="C71" s="239" t="s">
        <v>105</v>
      </c>
      <c r="D71" s="107"/>
      <c r="E71" s="239" t="s">
        <v>150</v>
      </c>
      <c r="F71" s="138">
        <v>6.0</v>
      </c>
      <c r="G71" s="409"/>
      <c r="H71" s="106"/>
      <c r="I71" s="168"/>
      <c r="J71" s="107"/>
      <c r="K71" s="138"/>
      <c r="L71" s="138"/>
      <c r="M71" s="145"/>
      <c r="N71" s="145"/>
      <c r="O71" s="138"/>
      <c r="P71" s="138"/>
      <c r="Q71" s="138"/>
      <c r="R71" s="145"/>
      <c r="S71" s="145"/>
      <c r="T71" s="145"/>
      <c r="U71" s="156"/>
      <c r="V71" s="156"/>
    </row>
    <row r="72" outlineLevel="1">
      <c r="A72" s="230" t="s">
        <v>2724</v>
      </c>
      <c r="B72" s="109"/>
      <c r="C72" s="231" t="s">
        <v>48</v>
      </c>
      <c r="D72" s="231" t="s">
        <v>49</v>
      </c>
      <c r="E72" s="232" t="s">
        <v>50</v>
      </c>
      <c r="F72" s="233" t="s">
        <v>51</v>
      </c>
      <c r="G72" s="232" t="s">
        <v>52</v>
      </c>
      <c r="H72" s="382" t="str">
        <f>'テンプレート'!H80</f>
        <v>備考</v>
      </c>
      <c r="I72" s="110"/>
      <c r="J72" s="109"/>
      <c r="K72" s="235" t="str">
        <f>'テンプレート'!K80</f>
        <v>ベクトル</v>
      </c>
      <c r="L72" s="235" t="str">
        <f>'テンプレート'!L80</f>
        <v>KBG (R.E.)</v>
      </c>
      <c r="M72" s="235" t="str">
        <f>'テンプレート'!M80</f>
        <v>BKB (R.A.)</v>
      </c>
      <c r="N72" s="235" t="str">
        <f>'テンプレート'!N80</f>
        <v>FKB (R.F.)</v>
      </c>
      <c r="O72" s="236" t="str">
        <f>'テンプレート'!O80</f>
        <v>盾削り値</v>
      </c>
      <c r="P72" s="235" t="str">
        <f>'テンプレート'!P80</f>
        <v>ﾋｯﾄｽﾄｯﾌﾟ</v>
      </c>
      <c r="Q72" s="236" t="str">
        <f>'テンプレート'!Q80</f>
        <v>ずらし</v>
      </c>
      <c r="R72" s="235" t="str">
        <f>'テンプレート'!R80</f>
        <v>相殺</v>
      </c>
      <c r="S72" s="236" t="str">
        <f>'テンプレート'!S80</f>
        <v>相殺ﾓｰｼｮﾝ</v>
      </c>
      <c r="T72" s="236" t="str">
        <f>'テンプレート'!T80</f>
        <v>飛び道具</v>
      </c>
      <c r="U72" s="236" t="str">
        <f>'テンプレート'!U80</f>
        <v>慣性反転</v>
      </c>
      <c r="V72" s="236" t="str">
        <f>'テンプレート'!V80</f>
        <v>向き反転</v>
      </c>
    </row>
    <row r="73" ht="16.5" customHeight="1" outlineLevel="1">
      <c r="A73" s="237" t="s">
        <v>184</v>
      </c>
      <c r="B73" s="402"/>
      <c r="C73" s="239" t="s">
        <v>518</v>
      </c>
      <c r="D73" s="400"/>
      <c r="E73" s="239" t="s">
        <v>128</v>
      </c>
      <c r="F73" s="138">
        <v>12.0</v>
      </c>
      <c r="G73" s="139" t="s">
        <v>121</v>
      </c>
      <c r="H73" s="283" t="s">
        <v>2725</v>
      </c>
      <c r="I73" s="164"/>
      <c r="J73" s="104"/>
      <c r="K73" s="138"/>
      <c r="L73" s="138"/>
      <c r="M73" s="145"/>
      <c r="N73" s="145"/>
      <c r="O73" s="138">
        <v>0.0</v>
      </c>
      <c r="P73" s="138">
        <v>1.0</v>
      </c>
      <c r="Q73" s="138">
        <v>1.0</v>
      </c>
      <c r="R73" s="145" t="b">
        <v>0</v>
      </c>
      <c r="S73" s="145" t="b">
        <v>0</v>
      </c>
      <c r="T73" s="145"/>
      <c r="U73" s="166" t="s">
        <v>186</v>
      </c>
      <c r="V73" s="166" t="b">
        <v>1</v>
      </c>
    </row>
    <row r="74" ht="16.5" customHeight="1" outlineLevel="1">
      <c r="A74" s="146"/>
      <c r="B74" s="402" t="s">
        <v>187</v>
      </c>
      <c r="C74" s="239" t="s">
        <v>1106</v>
      </c>
      <c r="D74" s="146"/>
      <c r="E74" s="239" t="s">
        <v>80</v>
      </c>
      <c r="F74" s="138">
        <v>9.6</v>
      </c>
      <c r="G74" s="139" t="s">
        <v>123</v>
      </c>
      <c r="H74" s="212"/>
      <c r="J74" s="210"/>
      <c r="K74" s="138"/>
      <c r="L74" s="138"/>
      <c r="M74" s="145"/>
      <c r="N74" s="145"/>
      <c r="O74" s="138">
        <v>0.0</v>
      </c>
      <c r="P74" s="138">
        <v>1.0</v>
      </c>
      <c r="Q74" s="138">
        <v>1.0</v>
      </c>
      <c r="R74" s="145" t="b">
        <v>0</v>
      </c>
      <c r="S74" s="145" t="b">
        <v>0</v>
      </c>
      <c r="T74" s="145"/>
      <c r="U74" s="146"/>
      <c r="V74" s="146"/>
    </row>
    <row r="75" ht="16.5" customHeight="1" outlineLevel="1">
      <c r="A75" s="146"/>
      <c r="B75" s="402" t="s">
        <v>189</v>
      </c>
      <c r="C75" s="239" t="s">
        <v>2726</v>
      </c>
      <c r="D75" s="146"/>
      <c r="E75" s="239" t="s">
        <v>86</v>
      </c>
      <c r="F75" s="138">
        <v>7.199999999999999</v>
      </c>
      <c r="G75" s="139" t="s">
        <v>102</v>
      </c>
      <c r="H75" s="212"/>
      <c r="J75" s="210"/>
      <c r="K75" s="138"/>
      <c r="L75" s="138"/>
      <c r="M75" s="145"/>
      <c r="N75" s="145"/>
      <c r="O75" s="138">
        <v>0.0</v>
      </c>
      <c r="P75" s="138">
        <v>1.0</v>
      </c>
      <c r="Q75" s="138">
        <v>1.0</v>
      </c>
      <c r="R75" s="145" t="b">
        <v>0</v>
      </c>
      <c r="S75" s="145" t="b">
        <v>0</v>
      </c>
      <c r="T75" s="145"/>
      <c r="U75" s="146"/>
      <c r="V75" s="146"/>
    </row>
    <row r="76" ht="16.5" customHeight="1" outlineLevel="1">
      <c r="A76" s="146"/>
      <c r="B76" s="402" t="s">
        <v>2727</v>
      </c>
      <c r="C76" s="239" t="s">
        <v>2485</v>
      </c>
      <c r="D76" s="146"/>
      <c r="E76" s="239" t="s">
        <v>485</v>
      </c>
      <c r="F76" s="138" t="s">
        <v>486</v>
      </c>
      <c r="G76" s="139" t="s">
        <v>1483</v>
      </c>
      <c r="H76" s="212"/>
      <c r="J76" s="210"/>
      <c r="K76" s="138"/>
      <c r="L76" s="138"/>
      <c r="M76" s="145"/>
      <c r="N76" s="145"/>
      <c r="O76" s="138">
        <v>0.0</v>
      </c>
      <c r="P76" s="138">
        <v>1.0</v>
      </c>
      <c r="Q76" s="138">
        <v>1.0</v>
      </c>
      <c r="R76" s="145" t="b">
        <v>1</v>
      </c>
      <c r="S76" s="145"/>
      <c r="T76" s="145" t="b">
        <v>1</v>
      </c>
      <c r="U76" s="146"/>
      <c r="V76" s="146"/>
    </row>
    <row r="77" ht="16.5" customHeight="1" outlineLevel="1">
      <c r="A77" s="146"/>
      <c r="B77" s="402" t="s">
        <v>2728</v>
      </c>
      <c r="C77" s="244" t="s">
        <v>175</v>
      </c>
      <c r="D77" s="156"/>
      <c r="E77" s="239" t="s">
        <v>466</v>
      </c>
      <c r="F77" s="138">
        <v>21.599999999999998</v>
      </c>
      <c r="G77" s="139" t="s">
        <v>102</v>
      </c>
      <c r="H77" s="212"/>
      <c r="J77" s="210"/>
      <c r="K77" s="138"/>
      <c r="L77" s="138"/>
      <c r="M77" s="145"/>
      <c r="N77" s="145"/>
      <c r="O77" s="138">
        <v>0.0</v>
      </c>
      <c r="P77" s="138">
        <v>1.0</v>
      </c>
      <c r="Q77" s="138">
        <v>1.0</v>
      </c>
      <c r="R77" s="145" t="b">
        <v>0</v>
      </c>
      <c r="S77" s="145"/>
      <c r="T77" s="145" t="b">
        <v>1</v>
      </c>
      <c r="U77" s="146"/>
      <c r="V77" s="146"/>
    </row>
    <row r="78" ht="16.5" customHeight="1" outlineLevel="1">
      <c r="A78" s="146"/>
      <c r="B78" s="402" t="s">
        <v>2729</v>
      </c>
      <c r="C78" s="409"/>
      <c r="D78" s="239" t="s">
        <v>462</v>
      </c>
      <c r="E78" s="409"/>
      <c r="F78" s="409"/>
      <c r="G78" s="409"/>
      <c r="H78" s="106"/>
      <c r="I78" s="168"/>
      <c r="J78" s="107"/>
      <c r="K78" s="281"/>
      <c r="L78" s="281"/>
      <c r="M78" s="281"/>
      <c r="N78" s="281"/>
      <c r="O78" s="281"/>
      <c r="P78" s="281"/>
      <c r="Q78" s="281"/>
      <c r="R78" s="281"/>
      <c r="S78" s="281"/>
      <c r="T78" s="281"/>
      <c r="U78" s="156"/>
      <c r="V78" s="156"/>
    </row>
    <row r="79" outlineLevel="1">
      <c r="A79" s="230" t="s">
        <v>2730</v>
      </c>
      <c r="B79" s="109"/>
      <c r="C79" s="231" t="s">
        <v>48</v>
      </c>
      <c r="D79" s="231" t="s">
        <v>49</v>
      </c>
      <c r="E79" s="232" t="s">
        <v>50</v>
      </c>
      <c r="F79" s="233" t="s">
        <v>51</v>
      </c>
      <c r="G79" s="232" t="s">
        <v>52</v>
      </c>
      <c r="H79" s="382" t="str">
        <f>'テンプレート'!H85</f>
        <v>備考</v>
      </c>
      <c r="I79" s="110"/>
      <c r="J79" s="109"/>
      <c r="K79" s="235" t="str">
        <f>'テンプレート'!K85</f>
        <v>ベクトル</v>
      </c>
      <c r="L79" s="235" t="str">
        <f>'テンプレート'!L85</f>
        <v>KBG (R.E.)</v>
      </c>
      <c r="M79" s="235" t="str">
        <f>'テンプレート'!M85</f>
        <v>BKB (R.A.)</v>
      </c>
      <c r="N79" s="235" t="str">
        <f>'テンプレート'!N85</f>
        <v>FKB (R.F.)</v>
      </c>
      <c r="O79" s="236" t="str">
        <f>'テンプレート'!O85</f>
        <v>盾削り値</v>
      </c>
      <c r="P79" s="235" t="str">
        <f>'テンプレート'!P85</f>
        <v>ﾋｯﾄｽﾄｯﾌﾟ</v>
      </c>
      <c r="Q79" s="236" t="str">
        <f>'テンプレート'!Q85</f>
        <v>ずらし</v>
      </c>
      <c r="R79" s="235" t="str">
        <f>'テンプレート'!R85</f>
        <v>相殺</v>
      </c>
      <c r="S79" s="236" t="str">
        <f>'テンプレート'!S85</f>
        <v>相殺ﾓｰｼｮﾝ</v>
      </c>
      <c r="T79" s="236" t="str">
        <f>'テンプレート'!T85</f>
        <v>飛び道具</v>
      </c>
      <c r="U79" s="236" t="str">
        <f>'テンプレート'!U85</f>
        <v>慣性反転</v>
      </c>
      <c r="V79" s="236" t="str">
        <f>'テンプレート'!V85</f>
        <v>向き反転</v>
      </c>
    </row>
    <row r="80" ht="30.0" customHeight="1" outlineLevel="1">
      <c r="A80" s="546" t="s">
        <v>184</v>
      </c>
      <c r="B80" s="870"/>
      <c r="C80" s="239" t="s">
        <v>2731</v>
      </c>
      <c r="D80" s="239" t="s">
        <v>118</v>
      </c>
      <c r="E80" s="409"/>
      <c r="F80" s="409"/>
      <c r="G80" s="409"/>
      <c r="H80" s="163" t="s">
        <v>2732</v>
      </c>
      <c r="I80" s="164"/>
      <c r="J80" s="104"/>
      <c r="K80" s="281"/>
      <c r="L80" s="281"/>
      <c r="M80" s="281"/>
      <c r="N80" s="281"/>
      <c r="O80" s="281"/>
      <c r="P80" s="281"/>
      <c r="Q80" s="281"/>
      <c r="R80" s="281"/>
      <c r="S80" s="281"/>
      <c r="T80" s="281"/>
      <c r="U80" s="166" t="s">
        <v>186</v>
      </c>
      <c r="V80" s="166" t="b">
        <v>1</v>
      </c>
    </row>
    <row r="81" ht="30.0" customHeight="1" outlineLevel="1">
      <c r="A81" s="146"/>
      <c r="B81" s="402" t="s">
        <v>1482</v>
      </c>
      <c r="C81" s="409"/>
      <c r="D81" s="239" t="s">
        <v>185</v>
      </c>
      <c r="E81" s="409"/>
      <c r="F81" s="409"/>
      <c r="G81" s="409"/>
      <c r="H81" s="212"/>
      <c r="J81" s="210"/>
      <c r="K81" s="281"/>
      <c r="L81" s="281"/>
      <c r="M81" s="281"/>
      <c r="N81" s="281"/>
      <c r="O81" s="281"/>
      <c r="P81" s="281"/>
      <c r="Q81" s="281"/>
      <c r="R81" s="281"/>
      <c r="S81" s="281"/>
      <c r="T81" s="281"/>
      <c r="U81" s="146"/>
      <c r="V81" s="146"/>
    </row>
    <row r="82" ht="30.0" customHeight="1" outlineLevel="1">
      <c r="A82" s="156"/>
      <c r="B82" s="402" t="s">
        <v>2733</v>
      </c>
      <c r="C82" s="409"/>
      <c r="D82" s="409"/>
      <c r="E82" s="239" t="s">
        <v>2734</v>
      </c>
      <c r="F82" s="239" t="s">
        <v>2734</v>
      </c>
      <c r="G82" s="239" t="s">
        <v>1483</v>
      </c>
      <c r="H82" s="106"/>
      <c r="I82" s="168"/>
      <c r="J82" s="107"/>
      <c r="K82" s="281"/>
      <c r="L82" s="281"/>
      <c r="M82" s="281"/>
      <c r="N82" s="281"/>
      <c r="O82" s="281"/>
      <c r="P82" s="281"/>
      <c r="Q82" s="281"/>
      <c r="R82" s="281"/>
      <c r="S82" s="281"/>
      <c r="T82" s="281"/>
      <c r="U82" s="156"/>
      <c r="V82" s="156"/>
    </row>
    <row r="83">
      <c r="A83" s="223"/>
      <c r="B83" s="224"/>
      <c r="C83" s="225"/>
      <c r="D83" s="225"/>
      <c r="E83" s="226"/>
      <c r="F83" s="226"/>
      <c r="G83" s="226"/>
      <c r="H83" s="227"/>
      <c r="I83" s="227"/>
      <c r="J83" s="228"/>
      <c r="K83" s="228"/>
      <c r="L83" s="228"/>
      <c r="M83" s="228"/>
      <c r="N83" s="228"/>
      <c r="O83" s="228"/>
      <c r="P83" s="228"/>
      <c r="Q83" s="118"/>
      <c r="R83" s="118"/>
      <c r="S83" s="118"/>
      <c r="T83" s="118"/>
      <c r="U83" s="118"/>
      <c r="V83" s="118"/>
    </row>
    <row r="84">
      <c r="A84" s="264" t="s">
        <v>211</v>
      </c>
      <c r="B84" s="104"/>
      <c r="C84" s="227"/>
      <c r="D84" s="227"/>
      <c r="E84" s="228"/>
      <c r="F84" s="265"/>
      <c r="G84" s="265"/>
      <c r="H84" s="228"/>
      <c r="I84" s="228"/>
      <c r="J84" s="228"/>
      <c r="K84" s="228"/>
      <c r="L84" s="228"/>
      <c r="M84" s="228"/>
      <c r="N84" s="118"/>
      <c r="O84" s="118"/>
      <c r="P84" s="118"/>
      <c r="Q84" s="228"/>
      <c r="R84" s="228"/>
      <c r="S84" s="228"/>
      <c r="T84" s="228"/>
      <c r="U84" s="228"/>
      <c r="V84" s="228"/>
    </row>
    <row r="85" outlineLevel="1">
      <c r="A85" s="106"/>
      <c r="B85" s="107"/>
      <c r="C85" s="266" t="s">
        <v>48</v>
      </c>
      <c r="D85" s="266" t="s">
        <v>49</v>
      </c>
      <c r="E85" s="266" t="s">
        <v>50</v>
      </c>
      <c r="F85" s="267" t="s">
        <v>51</v>
      </c>
      <c r="G85" s="227"/>
      <c r="H85" s="227"/>
      <c r="I85" s="227"/>
      <c r="J85" s="228"/>
      <c r="K85" s="228"/>
      <c r="L85" s="228"/>
      <c r="M85" s="228"/>
      <c r="N85" s="228"/>
      <c r="O85" s="228"/>
      <c r="P85" s="228"/>
      <c r="Q85" s="228"/>
      <c r="R85" s="228"/>
      <c r="S85" s="228"/>
      <c r="T85" s="228"/>
      <c r="U85" s="228"/>
      <c r="V85" s="228"/>
    </row>
    <row r="86" outlineLevel="1">
      <c r="A86" s="268" t="s">
        <v>212</v>
      </c>
      <c r="B86" s="269" t="s">
        <v>212</v>
      </c>
      <c r="C86" s="239" t="s">
        <v>213</v>
      </c>
      <c r="D86" s="239" t="s">
        <v>86</v>
      </c>
      <c r="E86" s="239" t="s">
        <v>213</v>
      </c>
      <c r="F86" s="138">
        <v>1.2</v>
      </c>
      <c r="G86" s="227"/>
      <c r="H86" s="227"/>
      <c r="I86" s="227"/>
      <c r="J86" s="228"/>
      <c r="K86" s="228"/>
      <c r="L86" s="228"/>
      <c r="M86" s="228"/>
      <c r="N86" s="228"/>
      <c r="O86" s="228"/>
      <c r="P86" s="228"/>
      <c r="Q86" s="228"/>
      <c r="R86" s="228"/>
      <c r="S86" s="228"/>
      <c r="T86" s="228"/>
      <c r="U86" s="228"/>
      <c r="V86" s="228"/>
    </row>
    <row r="87" outlineLevel="1">
      <c r="A87" s="270" t="s">
        <v>215</v>
      </c>
      <c r="B87" s="269" t="s">
        <v>216</v>
      </c>
      <c r="C87" s="239" t="s">
        <v>319</v>
      </c>
      <c r="D87" s="239" t="s">
        <v>224</v>
      </c>
      <c r="E87" s="271"/>
      <c r="F87" s="272"/>
      <c r="G87" s="272"/>
      <c r="H87" s="227"/>
      <c r="I87" s="227"/>
      <c r="J87" s="228"/>
      <c r="K87" s="228"/>
      <c r="L87" s="228"/>
      <c r="M87" s="228"/>
      <c r="N87" s="228"/>
      <c r="O87" s="228"/>
      <c r="P87" s="228"/>
      <c r="Q87" s="228"/>
      <c r="R87" s="228"/>
      <c r="S87" s="228"/>
      <c r="T87" s="228"/>
      <c r="U87" s="228"/>
      <c r="V87" s="228"/>
    </row>
    <row r="88" outlineLevel="1">
      <c r="A88" s="212"/>
      <c r="B88" s="269" t="s">
        <v>219</v>
      </c>
      <c r="C88" s="239" t="s">
        <v>223</v>
      </c>
      <c r="D88" s="239" t="s">
        <v>393</v>
      </c>
      <c r="E88" s="271"/>
      <c r="F88" s="272"/>
      <c r="G88" s="272"/>
      <c r="H88" s="227"/>
      <c r="I88" s="227"/>
      <c r="J88" s="228"/>
      <c r="K88" s="228"/>
      <c r="L88" s="228"/>
      <c r="M88" s="228"/>
      <c r="N88" s="228"/>
      <c r="O88" s="228"/>
      <c r="P88" s="228"/>
      <c r="Q88" s="228"/>
      <c r="R88" s="228"/>
      <c r="S88" s="228"/>
      <c r="T88" s="228"/>
      <c r="U88" s="228"/>
      <c r="V88" s="228"/>
    </row>
    <row r="89" outlineLevel="1">
      <c r="A89" s="106"/>
      <c r="B89" s="269" t="s">
        <v>222</v>
      </c>
      <c r="C89" s="239" t="s">
        <v>299</v>
      </c>
      <c r="D89" s="239" t="s">
        <v>118</v>
      </c>
      <c r="E89" s="227"/>
      <c r="F89" s="272"/>
      <c r="G89" s="272"/>
      <c r="H89" s="227"/>
      <c r="I89" s="227"/>
      <c r="J89" s="228"/>
      <c r="K89" s="228"/>
      <c r="L89" s="228"/>
      <c r="M89" s="228"/>
      <c r="N89" s="228"/>
      <c r="O89" s="228"/>
      <c r="P89" s="228"/>
      <c r="Q89" s="228"/>
      <c r="R89" s="228"/>
      <c r="S89" s="228"/>
      <c r="T89" s="228"/>
      <c r="U89" s="228"/>
      <c r="V89" s="228"/>
    </row>
    <row r="90" outlineLevel="1">
      <c r="A90" s="273" t="s">
        <v>225</v>
      </c>
      <c r="B90" s="109"/>
      <c r="C90" s="266" t="s">
        <v>48</v>
      </c>
      <c r="D90" s="266" t="s">
        <v>49</v>
      </c>
      <c r="E90" s="266" t="s">
        <v>50</v>
      </c>
      <c r="F90" s="267" t="s">
        <v>51</v>
      </c>
      <c r="G90" s="1168" t="s">
        <v>53</v>
      </c>
      <c r="H90" s="110"/>
      <c r="I90" s="110"/>
      <c r="J90" s="109"/>
      <c r="K90" s="275" t="str">
        <f>'テンプレート'!K97</f>
        <v>ベクトル</v>
      </c>
      <c r="L90" s="275" t="str">
        <f>'テンプレート'!L97</f>
        <v>KBG (R.E.)</v>
      </c>
      <c r="M90" s="275" t="str">
        <f>'テンプレート'!M97</f>
        <v>BKB (R.A.)</v>
      </c>
      <c r="N90" s="275" t="str">
        <f>'テンプレート'!N97</f>
        <v>FKB (R.F.)</v>
      </c>
      <c r="O90" s="276" t="str">
        <f>'テンプレート'!O97</f>
        <v>盾削り値</v>
      </c>
      <c r="P90" s="275" t="str">
        <f>'テンプレート'!P97</f>
        <v>ﾋｯﾄｽﾄｯﾌﾟ</v>
      </c>
      <c r="Q90" s="276" t="str">
        <f>'テンプレート'!Q97</f>
        <v>ずらし</v>
      </c>
      <c r="R90" s="277"/>
      <c r="S90" s="277"/>
      <c r="T90" s="277"/>
      <c r="U90" s="277"/>
      <c r="V90" s="277"/>
    </row>
    <row r="91" outlineLevel="1">
      <c r="A91" s="278" t="s">
        <v>226</v>
      </c>
      <c r="B91" s="269" t="s">
        <v>227</v>
      </c>
      <c r="C91" s="409"/>
      <c r="D91" s="279">
        <v>31.0</v>
      </c>
      <c r="E91" s="281"/>
      <c r="F91" s="281"/>
      <c r="G91" s="1170"/>
      <c r="H91" s="164"/>
      <c r="I91" s="164"/>
      <c r="J91" s="104"/>
      <c r="K91" s="281"/>
      <c r="L91" s="281"/>
      <c r="M91" s="281"/>
      <c r="N91" s="281"/>
      <c r="O91" s="281"/>
      <c r="P91" s="281"/>
      <c r="Q91" s="281"/>
      <c r="R91" s="277"/>
      <c r="S91" s="228"/>
      <c r="T91" s="228"/>
      <c r="U91" s="228"/>
      <c r="V91" s="228"/>
    </row>
    <row r="92" outlineLevel="1">
      <c r="A92" s="156"/>
      <c r="B92" s="269" t="s">
        <v>225</v>
      </c>
      <c r="C92" s="113">
        <v>21.0</v>
      </c>
      <c r="D92" s="156"/>
      <c r="E92" s="239" t="s">
        <v>274</v>
      </c>
      <c r="F92" s="138">
        <v>10.799999999999999</v>
      </c>
      <c r="G92" s="106"/>
      <c r="H92" s="168"/>
      <c r="I92" s="168"/>
      <c r="J92" s="107"/>
      <c r="K92" s="282"/>
      <c r="L92" s="282"/>
      <c r="M92" s="363"/>
      <c r="N92" s="363"/>
      <c r="O92" s="261"/>
      <c r="P92" s="261"/>
      <c r="Q92" s="261"/>
      <c r="R92" s="277"/>
      <c r="S92" s="228"/>
      <c r="T92" s="228"/>
      <c r="U92" s="228"/>
      <c r="V92" s="228"/>
    </row>
    <row r="93" outlineLevel="1">
      <c r="A93" s="278" t="s">
        <v>229</v>
      </c>
      <c r="B93" s="269" t="s">
        <v>227</v>
      </c>
      <c r="C93" s="409"/>
      <c r="D93" s="279">
        <v>51.0</v>
      </c>
      <c r="E93" s="281"/>
      <c r="F93" s="281"/>
      <c r="G93" s="1170"/>
      <c r="H93" s="164"/>
      <c r="I93" s="164"/>
      <c r="J93" s="104"/>
      <c r="K93" s="281"/>
      <c r="L93" s="281"/>
      <c r="M93" s="281"/>
      <c r="N93" s="281"/>
      <c r="O93" s="281"/>
      <c r="P93" s="281"/>
      <c r="Q93" s="281"/>
      <c r="R93" s="277"/>
      <c r="S93" s="228"/>
      <c r="T93" s="228"/>
      <c r="U93" s="228"/>
      <c r="V93" s="228"/>
    </row>
    <row r="94" outlineLevel="1">
      <c r="A94" s="156"/>
      <c r="B94" s="269" t="s">
        <v>225</v>
      </c>
      <c r="C94" s="113">
        <v>18.0</v>
      </c>
      <c r="D94" s="156"/>
      <c r="E94" s="239" t="s">
        <v>129</v>
      </c>
      <c r="F94" s="138">
        <v>14.399999999999999</v>
      </c>
      <c r="G94" s="106"/>
      <c r="H94" s="168"/>
      <c r="I94" s="168"/>
      <c r="J94" s="107"/>
      <c r="K94" s="282"/>
      <c r="L94" s="282"/>
      <c r="M94" s="363"/>
      <c r="N94" s="363"/>
      <c r="O94" s="261"/>
      <c r="P94" s="261"/>
      <c r="Q94" s="261"/>
      <c r="R94" s="277"/>
      <c r="S94" s="228"/>
      <c r="T94" s="228"/>
      <c r="U94" s="228"/>
      <c r="V94" s="228"/>
    </row>
    <row r="95" outlineLevel="1">
      <c r="A95" s="278" t="s">
        <v>233</v>
      </c>
      <c r="B95" s="269" t="s">
        <v>227</v>
      </c>
      <c r="C95" s="1091" t="s">
        <v>394</v>
      </c>
      <c r="D95" s="367" t="s">
        <v>876</v>
      </c>
      <c r="E95" s="239" t="s">
        <v>213</v>
      </c>
      <c r="F95" s="138">
        <v>1.2</v>
      </c>
      <c r="G95" s="1170"/>
      <c r="H95" s="164"/>
      <c r="I95" s="164"/>
      <c r="J95" s="104"/>
      <c r="K95" s="282"/>
      <c r="L95" s="282"/>
      <c r="M95" s="363"/>
      <c r="N95" s="363"/>
      <c r="O95" s="145">
        <v>0.0</v>
      </c>
      <c r="P95" s="145">
        <v>1.0</v>
      </c>
      <c r="Q95" s="145">
        <v>1.0</v>
      </c>
      <c r="R95" s="277"/>
      <c r="S95" s="228"/>
      <c r="T95" s="228"/>
      <c r="U95" s="228"/>
      <c r="V95" s="228"/>
    </row>
    <row r="96" outlineLevel="1">
      <c r="A96" s="156"/>
      <c r="B96" s="269" t="s">
        <v>225</v>
      </c>
      <c r="C96" s="239" t="s">
        <v>466</v>
      </c>
      <c r="D96" s="156"/>
      <c r="E96" s="239" t="s">
        <v>73</v>
      </c>
      <c r="F96" s="138">
        <v>4.8</v>
      </c>
      <c r="G96" s="106"/>
      <c r="H96" s="168"/>
      <c r="I96" s="168"/>
      <c r="J96" s="107"/>
      <c r="K96" s="282"/>
      <c r="L96" s="282"/>
      <c r="M96" s="363"/>
      <c r="N96" s="363"/>
      <c r="O96" s="261"/>
      <c r="P96" s="261"/>
      <c r="Q96" s="261"/>
      <c r="R96" s="277"/>
      <c r="S96" s="117"/>
      <c r="T96" s="117"/>
      <c r="U96" s="117"/>
      <c r="V96" s="117"/>
    </row>
    <row r="97" outlineLevel="1">
      <c r="A97" s="278" t="s">
        <v>234</v>
      </c>
      <c r="B97" s="269" t="s">
        <v>227</v>
      </c>
      <c r="C97" s="409"/>
      <c r="D97" s="279">
        <v>31.0</v>
      </c>
      <c r="E97" s="281"/>
      <c r="F97" s="281"/>
      <c r="G97" s="1170"/>
      <c r="H97" s="164"/>
      <c r="I97" s="164"/>
      <c r="J97" s="104"/>
      <c r="K97" s="281"/>
      <c r="L97" s="281"/>
      <c r="M97" s="281"/>
      <c r="N97" s="281"/>
      <c r="O97" s="281"/>
      <c r="P97" s="281"/>
      <c r="Q97" s="281"/>
      <c r="R97" s="277"/>
      <c r="S97" s="117"/>
      <c r="T97" s="117"/>
      <c r="U97" s="117"/>
      <c r="V97" s="117"/>
    </row>
    <row r="98" outlineLevel="1">
      <c r="A98" s="156"/>
      <c r="B98" s="269" t="s">
        <v>225</v>
      </c>
      <c r="C98" s="239" t="s">
        <v>1114</v>
      </c>
      <c r="D98" s="156"/>
      <c r="E98" s="239" t="s">
        <v>93</v>
      </c>
      <c r="F98" s="138">
        <v>8.4</v>
      </c>
      <c r="G98" s="106"/>
      <c r="H98" s="168"/>
      <c r="I98" s="168"/>
      <c r="J98" s="107"/>
      <c r="K98" s="282"/>
      <c r="L98" s="282"/>
      <c r="M98" s="363"/>
      <c r="N98" s="363"/>
      <c r="O98" s="261"/>
      <c r="P98" s="281"/>
      <c r="Q98" s="261"/>
      <c r="R98" s="277"/>
      <c r="S98" s="117"/>
      <c r="T98" s="117"/>
      <c r="U98" s="117"/>
      <c r="V98" s="117"/>
    </row>
    <row r="99">
      <c r="A99" s="223"/>
      <c r="B99" s="224"/>
      <c r="C99" s="225"/>
      <c r="D99" s="225"/>
      <c r="E99" s="227"/>
      <c r="F99" s="177"/>
      <c r="G99" s="177"/>
      <c r="H99" s="227"/>
      <c r="I99" s="227"/>
      <c r="J99" s="228"/>
      <c r="K99" s="228"/>
      <c r="L99" s="111"/>
      <c r="M99" s="111"/>
      <c r="N99" s="111"/>
      <c r="O99" s="117"/>
      <c r="P99" s="117"/>
      <c r="Q99" s="111"/>
      <c r="R99" s="111"/>
      <c r="S99" s="111"/>
      <c r="T99" s="111"/>
      <c r="U99" s="111"/>
      <c r="V99" s="111"/>
    </row>
    <row r="100">
      <c r="A100" s="284" t="s">
        <v>241</v>
      </c>
      <c r="B100" s="104"/>
      <c r="C100" s="265"/>
      <c r="D100" s="111"/>
      <c r="E100" s="111"/>
      <c r="F100" s="111"/>
      <c r="G100" s="111"/>
      <c r="H100" s="111"/>
      <c r="I100" s="111"/>
      <c r="J100" s="118"/>
      <c r="K100" s="111"/>
      <c r="L100" s="111"/>
      <c r="M100" s="111"/>
      <c r="N100" s="111"/>
      <c r="O100" s="111"/>
      <c r="P100" s="111"/>
      <c r="Q100" s="118"/>
      <c r="R100" s="111"/>
      <c r="S100" s="111"/>
      <c r="T100" s="111"/>
      <c r="U100" s="111"/>
      <c r="V100" s="111"/>
    </row>
    <row r="101" outlineLevel="1">
      <c r="A101" s="106"/>
      <c r="B101" s="107"/>
      <c r="C101" s="285" t="s">
        <v>235</v>
      </c>
      <c r="D101" s="285" t="s">
        <v>236</v>
      </c>
      <c r="E101" s="285" t="s">
        <v>49</v>
      </c>
      <c r="F101" s="285" t="s">
        <v>237</v>
      </c>
      <c r="G101" s="286"/>
      <c r="H101" s="227"/>
      <c r="I101" s="227"/>
      <c r="J101" s="228"/>
      <c r="K101" s="228"/>
      <c r="L101" s="111"/>
      <c r="M101" s="111"/>
      <c r="N101" s="111"/>
      <c r="O101" s="111"/>
      <c r="P101" s="111"/>
      <c r="Q101" s="111"/>
      <c r="R101" s="111"/>
      <c r="S101" s="111"/>
      <c r="T101" s="111"/>
      <c r="U101" s="111"/>
      <c r="V101" s="111"/>
    </row>
    <row r="102" outlineLevel="1">
      <c r="A102" s="287" t="s">
        <v>395</v>
      </c>
      <c r="B102" s="288" t="s">
        <v>216</v>
      </c>
      <c r="C102" s="113" t="str">
        <f t="array" ref="C102">INDEX('回避'!$C$3:$U$84, MATCH($A$1,'回避'!$A$3:$A$91,0), MATCH(C101,'回避'!$C$2:$F$2,0))</f>
        <v>3-16</v>
      </c>
      <c r="D102" s="113" t="str">
        <f t="array" ref="D102">INDEX('回避'!$C$3:$U$84, MATCH($A$1,'回避'!$A$3:$A$91,0), MATCH(D101,'回避'!$C$2:$F$2,0))</f>
        <v>6-16</v>
      </c>
      <c r="E102" s="113" t="str">
        <f t="array" ref="E102">INDEX('回避'!$C$3:$U$84, MATCH($A$1,'回避'!$A$3:$A$91,0), MATCH(E101,'回避'!$C$2:$F$2,0))</f>
        <v>24 (19)</v>
      </c>
      <c r="F102" s="113" t="str">
        <f t="array" ref="F102">INDEX('回避'!$C$3:$U$84, MATCH($A$1,'回避'!$A$3:$A$91,0), MATCH(F101,'回避'!$C$2:$F$2,0))</f>
        <v>32 (25)</v>
      </c>
      <c r="G102" s="272"/>
      <c r="H102" s="227"/>
      <c r="I102" s="227"/>
      <c r="J102" s="228"/>
      <c r="K102" s="228"/>
      <c r="L102" s="228"/>
      <c r="M102" s="111"/>
      <c r="N102" s="111"/>
      <c r="O102" s="111"/>
      <c r="P102" s="111"/>
      <c r="Q102" s="111"/>
      <c r="R102" s="111"/>
      <c r="S102" s="111"/>
      <c r="T102" s="111"/>
      <c r="U102" s="111"/>
      <c r="V102" s="111"/>
    </row>
    <row r="103" outlineLevel="1">
      <c r="A103" s="212"/>
      <c r="B103" s="288" t="s">
        <v>245</v>
      </c>
      <c r="C103" s="113" t="str">
        <f t="array" ref="C103">INDEX('回避'!$G$3:$U$84, MATCH($A$1,'回避'!$A$3:$A$91,0), MATCH(C101,'回避'!$G$2:$J$2,0))</f>
        <v>4-14</v>
      </c>
      <c r="D103" s="113" t="str">
        <f t="array" ref="D103">INDEX('回避'!$G$3:$U$84, MATCH($A$1,'回避'!$A$3:$A$91,0), MATCH(D101,'回避'!$G$2:$J$2,0))</f>
        <v>8-14</v>
      </c>
      <c r="E103" s="113" t="str">
        <f t="array" ref="E103">INDEX('回避'!$G$3:$U$84, MATCH($A$1,'回避'!$A$3:$A$91,0), MATCH(E101,'回避'!$G$2:$J$2,0))</f>
        <v>28</v>
      </c>
      <c r="F103" s="113">
        <f t="array" ref="F103">INDEX('回避'!$G$3:$U$84, MATCH($A$1,'回避'!$A$3:$A$91,0), MATCH(F101,'回避'!$G$2:$J$2,0))</f>
        <v>37</v>
      </c>
      <c r="G103" s="289"/>
      <c r="H103" s="227"/>
      <c r="I103" s="227"/>
      <c r="J103" s="228"/>
      <c r="K103" s="228"/>
      <c r="L103" s="228"/>
      <c r="M103" s="228"/>
      <c r="N103" s="228"/>
      <c r="O103" s="111"/>
      <c r="P103" s="111"/>
      <c r="Q103" s="111"/>
      <c r="R103" s="111"/>
      <c r="S103" s="111"/>
      <c r="T103" s="111"/>
      <c r="U103" s="111"/>
      <c r="V103" s="111"/>
    </row>
    <row r="104" outlineLevel="1">
      <c r="A104" s="106"/>
      <c r="B104" s="288" t="s">
        <v>246</v>
      </c>
      <c r="C104" s="113" t="str">
        <f t="array" ref="C104">INDEX('回避'!$K$3:$U$84, MATCH($A$1,'回避'!$A$3:$A$91,0), MATCH(C101,'回避'!$K$2:$N$2,0))</f>
        <v>4-15</v>
      </c>
      <c r="D104" s="113" t="str">
        <f t="array" ref="D104">INDEX('回避'!$K$3:$U$84, MATCH($A$1,'回避'!$A$3:$A$91,0), MATCH(D101,'回避'!$K$2:$N$2,0))</f>
        <v>8-13</v>
      </c>
      <c r="E104" s="113" t="str">
        <f t="array" ref="E104">INDEX('回避'!$K$3:$U$84, MATCH($A$1,'回避'!$A$3:$A$91,0), MATCH(E101,'回避'!$K$2:$N$2,0))</f>
        <v>33</v>
      </c>
      <c r="F104" s="113" t="str">
        <f t="array" ref="F104">INDEX('回避'!$K$3:$U$84, MATCH($A$1,'回避'!$A$3:$A$91,0), MATCH(F101,'回避'!$K$2:$N$2,0))</f>
        <v>50</v>
      </c>
      <c r="G104" s="289"/>
      <c r="H104" s="290"/>
      <c r="I104" s="290"/>
      <c r="J104" s="117"/>
      <c r="K104" s="117"/>
      <c r="L104" s="117"/>
      <c r="M104" s="117"/>
      <c r="N104" s="117"/>
      <c r="O104" s="111"/>
      <c r="P104" s="111"/>
      <c r="Q104" s="111"/>
      <c r="R104" s="111"/>
      <c r="S104" s="111"/>
      <c r="T104" s="111"/>
      <c r="U104" s="111"/>
      <c r="V104" s="111"/>
    </row>
    <row r="105" outlineLevel="1">
      <c r="A105" s="287" t="s">
        <v>396</v>
      </c>
      <c r="B105" s="288" t="s">
        <v>397</v>
      </c>
      <c r="C105" s="113" t="str">
        <f t="array" ref="C105">INDEX('回避'!$O$3:$U$84, MATCH($A$1,'回避'!$A$3:$A$91,0), MATCH(C101,'回避'!$O$2:$R$2,0))</f>
        <v>2-27</v>
      </c>
      <c r="D105" s="113" t="str">
        <f t="array" ref="D105">INDEX('回避'!$O$3:$U$84, MATCH($A$1,'回避'!$A$3:$A$91,0), MATCH(D101,'回避'!$O$2:$R$2,0))</f>
        <v>5-25</v>
      </c>
      <c r="E105" s="113" t="str">
        <f t="array" ref="E105">INDEX('回避'!$O$3:$U$84, MATCH($A$1,'回避'!$A$3:$A$91,0), MATCH(E101,'回避'!$O$2:$R$2,0))</f>
        <v>44</v>
      </c>
      <c r="F105" s="177"/>
      <c r="G105" s="177"/>
      <c r="H105" s="118"/>
      <c r="I105" s="118"/>
      <c r="J105" s="111"/>
      <c r="K105" s="111"/>
      <c r="L105" s="111"/>
      <c r="M105" s="111"/>
      <c r="N105" s="111"/>
      <c r="O105" s="228"/>
      <c r="P105" s="228"/>
      <c r="Q105" s="228"/>
      <c r="R105" s="228"/>
      <c r="S105" s="228"/>
      <c r="T105" s="228"/>
      <c r="U105" s="228"/>
      <c r="V105" s="228"/>
    </row>
    <row r="106" outlineLevel="1">
      <c r="A106" s="106"/>
      <c r="B106" s="288" t="s">
        <v>398</v>
      </c>
      <c r="C106" s="113" t="str">
        <f t="array" ref="C106">INDEX('回避'!$S$3:$U$84, MATCH($A$1,'回避'!$A$3:$A$91,0), MATCH(C101,'回避'!$S$2:$U$2,0))</f>
        <v>2-19</v>
      </c>
      <c r="D106" s="113" t="str">
        <f t="array" ref="D106">INDEX('回避'!$S$3:$U$84, MATCH($A$1,'回避'!$A$3:$A$91,0), MATCH(D101,'回避'!$S$2:$U$2,0))</f>
        <v>5-18</v>
      </c>
      <c r="E106" s="113" t="str">
        <f t="array" ref="E106">INDEX('回避'!$S$3:$U$84, MATCH($A$1,'回避'!$A$3:$A$91,0), MATCH(E101,'回避'!$S$2:$U$2,0))</f>
        <v>真横：74
真上：96
真下：62</v>
      </c>
      <c r="F106" s="289"/>
      <c r="G106" s="289"/>
      <c r="H106" s="118"/>
      <c r="I106" s="118"/>
      <c r="J106" s="117"/>
      <c r="K106" s="117"/>
      <c r="L106" s="117"/>
      <c r="M106" s="117"/>
      <c r="N106" s="111"/>
      <c r="O106" s="118"/>
      <c r="P106" s="118"/>
      <c r="Q106" s="118"/>
      <c r="R106" s="118"/>
      <c r="S106" s="118"/>
      <c r="T106" s="118"/>
      <c r="U106" s="118"/>
      <c r="V106" s="118"/>
    </row>
    <row r="107">
      <c r="A107" s="291"/>
      <c r="B107" s="292"/>
      <c r="C107" s="286"/>
      <c r="D107" s="286"/>
      <c r="E107" s="293"/>
      <c r="F107" s="286"/>
      <c r="G107" s="286"/>
      <c r="H107" s="286"/>
      <c r="I107" s="286"/>
      <c r="J107" s="111"/>
      <c r="K107" s="227"/>
      <c r="L107" s="227"/>
      <c r="M107" s="227"/>
      <c r="N107" s="227"/>
      <c r="O107" s="118"/>
      <c r="P107" s="118"/>
      <c r="Q107" s="118"/>
      <c r="R107" s="118"/>
      <c r="S107" s="118"/>
      <c r="T107" s="118"/>
      <c r="U107" s="118"/>
      <c r="V107" s="118"/>
    </row>
    <row r="108">
      <c r="A108" s="294" t="s">
        <v>238</v>
      </c>
      <c r="B108" s="104"/>
      <c r="C108" s="228"/>
      <c r="D108" s="117"/>
      <c r="E108" s="228"/>
      <c r="F108" s="114"/>
      <c r="G108" s="114"/>
      <c r="H108" s="117"/>
      <c r="I108" s="117"/>
      <c r="J108" s="118"/>
      <c r="K108" s="118"/>
      <c r="L108" s="118"/>
      <c r="M108" s="118"/>
      <c r="N108" s="118"/>
      <c r="O108" s="118"/>
      <c r="P108" s="118"/>
      <c r="Q108" s="118"/>
      <c r="R108" s="118"/>
      <c r="S108" s="118"/>
      <c r="T108" s="118"/>
      <c r="U108" s="118"/>
      <c r="V108" s="118"/>
    </row>
    <row r="109" outlineLevel="1">
      <c r="A109" s="106"/>
      <c r="B109" s="107"/>
      <c r="C109" s="295" t="s">
        <v>235</v>
      </c>
      <c r="D109" s="295" t="s">
        <v>49</v>
      </c>
      <c r="E109" s="295" t="s">
        <v>48</v>
      </c>
      <c r="F109" s="295" t="s">
        <v>50</v>
      </c>
      <c r="G109" s="296" t="s">
        <v>51</v>
      </c>
      <c r="H109" s="228"/>
      <c r="I109" s="228"/>
      <c r="J109" s="117"/>
      <c r="K109" s="297" t="str">
        <f>'テンプレート'!K116</f>
        <v>アイテム取得</v>
      </c>
      <c r="L109" s="109"/>
      <c r="M109" s="298" t="str">
        <f>'テンプレート'!M116</f>
        <v>取得フレーム</v>
      </c>
      <c r="N109" s="298" t="str">
        <f>'テンプレート'!N116</f>
        <v>全体フレーム</v>
      </c>
      <c r="O109" s="118"/>
      <c r="P109" s="118"/>
      <c r="Q109" s="118"/>
      <c r="R109" s="118"/>
      <c r="S109" s="118"/>
      <c r="T109" s="118"/>
      <c r="U109" s="118"/>
      <c r="V109" s="118"/>
    </row>
    <row r="110" outlineLevel="1">
      <c r="A110" s="299" t="s">
        <v>239</v>
      </c>
      <c r="B110" s="300" t="s">
        <v>240</v>
      </c>
      <c r="C110" s="301"/>
      <c r="D110" s="113">
        <f t="array" ref="D110">INDEX('崖行動・受け身'!$C$3:$C109, MATCH($A$1,'崖行動・受け身'!$A$3:$A$115,0), MATCH(D109,'崖行動・受け身'!$C$2,0))</f>
        <v>19</v>
      </c>
      <c r="E110" s="301"/>
      <c r="F110" s="301"/>
      <c r="G110" s="301"/>
      <c r="H110" s="228"/>
      <c r="I110" s="228"/>
      <c r="J110" s="111"/>
      <c r="K110" s="302" t="str">
        <f>'テンプレート'!K117</f>
        <v>小アイテム</v>
      </c>
      <c r="L110" s="303" t="str">
        <f>'テンプレート'!L117</f>
        <v>その場</v>
      </c>
      <c r="M110" s="113" t="s">
        <v>76</v>
      </c>
      <c r="N110" s="113">
        <v>7.0</v>
      </c>
      <c r="O110" s="118"/>
      <c r="P110" s="118"/>
      <c r="Q110" s="118"/>
      <c r="R110" s="118"/>
      <c r="S110" s="118"/>
      <c r="T110" s="118"/>
      <c r="U110" s="118"/>
      <c r="V110" s="118"/>
    </row>
    <row r="111" outlineLevel="1">
      <c r="A111" s="146"/>
      <c r="B111" s="300" t="s">
        <v>216</v>
      </c>
      <c r="C111" s="113" t="str">
        <f t="array" ref="C111">INDEX('崖行動・受け身'!$D$3:$E109, MATCH($A$1,'崖行動・受け身'!$A$3:$A$115,0), MATCH(C109,'崖行動・受け身'!$D$2:$E$2,0))</f>
        <v>1-33</v>
      </c>
      <c r="D111" s="113">
        <f t="array" ref="D111">INDEX('崖行動・受け身'!$D$3:$E109, MATCH($A$1,'崖行動・受け身'!$A$3:$A$115,0), MATCH(D109,'崖行動・受け身'!$D$2:$E$2,0))</f>
        <v>34</v>
      </c>
      <c r="E111" s="301"/>
      <c r="F111" s="301"/>
      <c r="G111" s="301"/>
      <c r="H111" s="228"/>
      <c r="I111" s="228"/>
      <c r="J111" s="117"/>
      <c r="K111" s="156"/>
      <c r="L111" s="303" t="str">
        <f>'テンプレート'!L118</f>
        <v>歩き</v>
      </c>
      <c r="M111" s="113" t="s">
        <v>76</v>
      </c>
      <c r="N111" s="113">
        <v>19.0</v>
      </c>
      <c r="O111" s="118"/>
      <c r="P111" s="118"/>
      <c r="Q111" s="118"/>
      <c r="R111" s="118"/>
      <c r="S111" s="118"/>
      <c r="T111" s="118"/>
      <c r="U111" s="118"/>
      <c r="V111" s="118"/>
    </row>
    <row r="112" outlineLevel="1">
      <c r="A112" s="146"/>
      <c r="B112" s="300" t="s">
        <v>241</v>
      </c>
      <c r="C112" s="113" t="str">
        <f t="array" ref="C112">INDEX('崖行動・受け身'!$F$3:$G$115, MATCH($A$1,'崖行動・受け身'!$A$3:$A$115,0), MATCH(C109,'崖行動・受け身'!$F$2:$G$2,0))</f>
        <v>1-26</v>
      </c>
      <c r="D112" s="113">
        <f t="array" ref="D112">INDEX('崖行動・受け身'!$F$3:$G$115, MATCH($A$1,'崖行動・受け身'!$A$3:$A$115,0), MATCH(D109,'崖行動・受け身'!$F$2:$G$2,0))</f>
        <v>45</v>
      </c>
      <c r="E112" s="301"/>
      <c r="F112" s="301"/>
      <c r="G112" s="301"/>
      <c r="H112" s="228"/>
      <c r="I112" s="228"/>
      <c r="J112" s="111"/>
      <c r="K112" s="304" t="str">
        <f>'テンプレート'!K119</f>
        <v>アイテム投擲</v>
      </c>
      <c r="L112" s="109"/>
      <c r="M112" s="298" t="str">
        <f>'テンプレート'!M119</f>
        <v>投擲フレーム</v>
      </c>
      <c r="N112" s="298" t="str">
        <f>'テンプレート'!N119</f>
        <v>全体フレーム</v>
      </c>
      <c r="O112" s="118"/>
      <c r="P112" s="118"/>
      <c r="Q112" s="118"/>
      <c r="R112" s="118"/>
      <c r="S112" s="118"/>
      <c r="T112" s="118"/>
      <c r="U112" s="118"/>
      <c r="V112" s="118"/>
    </row>
    <row r="113" outlineLevel="1">
      <c r="A113" s="146"/>
      <c r="B113" s="300" t="s">
        <v>242</v>
      </c>
      <c r="C113" s="113" t="str">
        <f t="array" ref="C113">INDEX('崖行動・受け身'!$H$3:$I$115, MATCH($A$1,'崖行動・受け身'!$A$3:$A$115,0), MATCH(C109,'崖行動・受け身'!$H$2:$I$2,0))</f>
        <v>1-12</v>
      </c>
      <c r="D113" s="113">
        <f t="array" ref="D113">INDEX('崖行動・受け身'!$H$3:$I$115, MATCH($A$1,'崖行動・受け身'!$A$3:$A$115,0), MATCH(D109,'崖行動・受け身'!$H$2:$I$2,0))</f>
        <v>14</v>
      </c>
      <c r="E113" s="301"/>
      <c r="F113" s="301"/>
      <c r="G113" s="301"/>
      <c r="H113" s="228"/>
      <c r="I113" s="228"/>
      <c r="J113" s="117"/>
      <c r="K113" s="305" t="str">
        <f>'テンプレート'!K120</f>
        <v>地上投擲</v>
      </c>
      <c r="L113" s="303" t="str">
        <f>'テンプレート'!L120</f>
        <v>前投げ</v>
      </c>
      <c r="M113" s="113" t="s">
        <v>93</v>
      </c>
      <c r="N113" s="113">
        <v>20.0</v>
      </c>
      <c r="O113" s="111"/>
      <c r="P113" s="111"/>
      <c r="Q113" s="111"/>
      <c r="R113" s="111"/>
      <c r="S113" s="111"/>
      <c r="T113" s="111"/>
      <c r="U113" s="111"/>
      <c r="V113" s="111"/>
    </row>
    <row r="114" outlineLevel="1">
      <c r="A114" s="156"/>
      <c r="B114" s="300" t="s">
        <v>243</v>
      </c>
      <c r="C114" s="113" t="str">
        <f t="array" ref="C114">INDEX('崖行動・受け身'!$J$3:$M$115, MATCH($A$1,'崖行動・受け身'!$A$3:$A$115,0), MATCH(C109,'崖行動・受け身'!$J$2:$M$2,0))</f>
        <v>1-25</v>
      </c>
      <c r="D114" s="113">
        <f t="array" ref="D114">INDEX('崖行動・受け身'!$J$3:$M$115, MATCH($A$1,'崖行動・受け身'!$A$3:$A$115,0), MATCH(D109,'崖行動・受け身'!$J$2:$M$2,0))</f>
        <v>55</v>
      </c>
      <c r="E114" s="113" t="str">
        <f t="array" ref="E114">INDEX('崖行動・受け身'!$J$3:$M$115, MATCH($A$1,'崖行動・受け身'!$A$3:$A$115,0), MATCH(E109,'崖行動・受け身'!$J$2:$M$2,0))</f>
        <v>23-25</v>
      </c>
      <c r="F114" s="113">
        <f t="array" ref="F114">INDEX('崖行動・受け身'!$J$3:$M$115, MATCH($A$1,'崖行動・受け身'!$A$3:$A$115,0), MATCH(F109,'崖行動・受け身'!$J$2:$M$2,0))</f>
        <v>9</v>
      </c>
      <c r="G114" s="113">
        <f>F114*1.2</f>
        <v>10.8</v>
      </c>
      <c r="H114" s="228"/>
      <c r="I114" s="228"/>
      <c r="J114" s="111"/>
      <c r="K114" s="146"/>
      <c r="L114" s="303" t="str">
        <f>'テンプレート'!L121</f>
        <v>後投げ</v>
      </c>
      <c r="M114" s="113" t="s">
        <v>274</v>
      </c>
      <c r="N114" s="113">
        <v>20.0</v>
      </c>
      <c r="O114" s="111"/>
      <c r="P114" s="111"/>
      <c r="Q114" s="111"/>
      <c r="R114" s="111"/>
      <c r="S114" s="111"/>
      <c r="T114" s="111"/>
      <c r="U114" s="111"/>
      <c r="V114" s="111"/>
    </row>
    <row r="115" outlineLevel="1">
      <c r="A115" s="299" t="s">
        <v>244</v>
      </c>
      <c r="B115" s="300" t="s">
        <v>216</v>
      </c>
      <c r="C115" s="113" t="str">
        <f t="array" ref="C115">INDEX('崖行動・受け身'!$N$3:$O$115, MATCH($A$1,'崖行動・受け身'!$A$3:$A$115,0), MATCH(C109,'崖行動・受け身'!$N$2:$O$2,0))</f>
        <v>1-20</v>
      </c>
      <c r="D115" s="113">
        <f t="array" ref="D115">INDEX('崖行動・受け身'!$N$3:$O$115, MATCH($A$1,'崖行動・受け身'!$A$3:$A$115,0), MATCH(D109,'崖行動・受け身'!$N$2:$O$2,0))</f>
        <v>26</v>
      </c>
      <c r="E115" s="301"/>
      <c r="F115" s="301"/>
      <c r="G115" s="301"/>
      <c r="H115" s="228"/>
      <c r="I115" s="228"/>
      <c r="J115" s="117"/>
      <c r="K115" s="146"/>
      <c r="L115" s="303" t="str">
        <f>'テンプレート'!L122</f>
        <v>上投げ</v>
      </c>
      <c r="M115" s="113" t="s">
        <v>232</v>
      </c>
      <c r="N115" s="113">
        <v>20.0</v>
      </c>
      <c r="O115" s="228"/>
      <c r="P115" s="228"/>
      <c r="Q115" s="228"/>
      <c r="R115" s="228"/>
      <c r="S115" s="228"/>
      <c r="T115" s="228"/>
      <c r="U115" s="228"/>
      <c r="V115" s="228"/>
    </row>
    <row r="116" outlineLevel="1">
      <c r="A116" s="146"/>
      <c r="B116" s="300" t="s">
        <v>245</v>
      </c>
      <c r="C116" s="113" t="str">
        <f t="array" ref="C116">INDEX('崖行動・受け身'!$P$3:$Q$115, MATCH($A$1,'崖行動・受け身'!$A$3:$A$115,0), MATCH(C109,'崖行動・受け身'!$P$2:$Q$2,0))</f>
        <v>1-20</v>
      </c>
      <c r="D116" s="113">
        <f t="array" ref="D116">INDEX('崖行動・受け身'!$P$3:$Q$115, MATCH($A$1,'崖行動・受け身'!$A$3:$A$115,0), MATCH(D109,'崖行動・受け身'!$P$2:$Q$2,0))</f>
        <v>40</v>
      </c>
      <c r="E116" s="301"/>
      <c r="F116" s="301"/>
      <c r="G116" s="301"/>
      <c r="H116" s="228"/>
      <c r="I116" s="228"/>
      <c r="J116" s="111"/>
      <c r="K116" s="146"/>
      <c r="L116" s="303" t="str">
        <f>'テンプレート'!L123</f>
        <v>下投げ</v>
      </c>
      <c r="M116" s="113" t="s">
        <v>86</v>
      </c>
      <c r="N116" s="113">
        <v>18.0</v>
      </c>
      <c r="O116" s="118"/>
      <c r="P116" s="118"/>
      <c r="Q116" s="118"/>
      <c r="R116" s="118"/>
      <c r="S116" s="118"/>
      <c r="T116" s="118"/>
      <c r="U116" s="118"/>
      <c r="V116" s="118"/>
    </row>
    <row r="117" outlineLevel="1">
      <c r="A117" s="156"/>
      <c r="B117" s="300" t="s">
        <v>246</v>
      </c>
      <c r="C117" s="113" t="str">
        <f t="array" ref="C117">INDEX('崖行動・受け身'!$R$3:$S$115, MATCH($A$1,'崖行動・受け身'!$A$3:$A$115,0), MATCH(C109,'崖行動・受け身'!$R$2:$S$2,0))</f>
        <v>1-20</v>
      </c>
      <c r="D117" s="113">
        <f t="array" ref="D117">INDEX('崖行動・受け身'!$R$3:$S$115, MATCH($A$1,'崖行動・受け身'!$A$3:$A$115,0), MATCH(D109,'崖行動・受け身'!$R$2:$S$2,0))</f>
        <v>40</v>
      </c>
      <c r="E117" s="301"/>
      <c r="F117" s="301"/>
      <c r="G117" s="301"/>
      <c r="H117" s="228"/>
      <c r="I117" s="228"/>
      <c r="J117" s="117"/>
      <c r="K117" s="146"/>
      <c r="L117" s="306" t="str">
        <f>'テンプレート'!L124</f>
        <v>ダッシュ</v>
      </c>
      <c r="M117" s="113" t="s">
        <v>73</v>
      </c>
      <c r="N117" s="113">
        <v>35.0</v>
      </c>
      <c r="O117" s="118"/>
      <c r="P117" s="118"/>
      <c r="Q117" s="118"/>
      <c r="R117" s="118"/>
      <c r="S117" s="118"/>
      <c r="T117" s="118"/>
      <c r="U117" s="118"/>
      <c r="V117" s="118"/>
    </row>
    <row r="118" outlineLevel="1">
      <c r="A118" s="299" t="s">
        <v>247</v>
      </c>
      <c r="B118" s="300" t="s">
        <v>248</v>
      </c>
      <c r="C118" s="301"/>
      <c r="D118" s="113" t="str">
        <f t="array" ref="D118">INDEX('起きあがり'!$C$3:$C109, MATCH($A$1,'起きあがり'!$A$3:$A$115,0), MATCH(D109,'起きあがり'!$C$2:$AD$2,0))</f>
        <v>25</v>
      </c>
      <c r="E118" s="301"/>
      <c r="F118" s="301"/>
      <c r="G118" s="301"/>
      <c r="H118" s="228"/>
      <c r="I118" s="228"/>
      <c r="J118" s="111"/>
      <c r="K118" s="156"/>
      <c r="L118" s="306" t="str">
        <f>'テンプレート'!L125</f>
        <v>その場捨て</v>
      </c>
      <c r="M118" s="113" t="s">
        <v>150</v>
      </c>
      <c r="N118" s="113">
        <v>23.0</v>
      </c>
      <c r="O118" s="118"/>
      <c r="P118" s="118"/>
      <c r="Q118" s="118"/>
      <c r="R118" s="118"/>
      <c r="S118" s="118"/>
      <c r="T118" s="118"/>
      <c r="U118" s="118"/>
      <c r="V118" s="118"/>
    </row>
    <row r="119" outlineLevel="1">
      <c r="A119" s="146"/>
      <c r="B119" s="300" t="s">
        <v>216</v>
      </c>
      <c r="C119" s="307" t="str">
        <f t="array" ref="C119">INDEX('起きあがり'!$D$3:$E109, MATCH($A$1,'起きあがり'!$A$3:$A$115,0), MATCH(C109,'起きあがり'!$D$2:$AD$2,0))</f>
        <v>1-22</v>
      </c>
      <c r="D119" s="308">
        <f t="array" ref="D119">INDEX('起きあがり'!$D$3:$E109, MATCH($A$1,'起きあがり'!$A$3:$A$115,0), MATCH(D109,'起きあがり'!$D$2:$AD$2,0))</f>
        <v>29</v>
      </c>
      <c r="E119" s="301"/>
      <c r="F119" s="301"/>
      <c r="G119" s="301"/>
      <c r="H119" s="228"/>
      <c r="I119" s="228"/>
      <c r="J119" s="117"/>
      <c r="K119" s="305" t="str">
        <f>'テンプレート'!K126</f>
        <v>空中投擲</v>
      </c>
      <c r="L119" s="303" t="str">
        <f>'テンプレート'!L126</f>
        <v>前投げ</v>
      </c>
      <c r="M119" s="113" t="s">
        <v>93</v>
      </c>
      <c r="N119" s="113">
        <v>20.0</v>
      </c>
      <c r="O119" s="118"/>
      <c r="P119" s="118"/>
      <c r="Q119" s="118"/>
      <c r="R119" s="118"/>
      <c r="S119" s="118"/>
      <c r="T119" s="118"/>
      <c r="U119" s="118"/>
      <c r="V119" s="118"/>
    </row>
    <row r="120" outlineLevel="1">
      <c r="A120" s="146"/>
      <c r="B120" s="300" t="s">
        <v>245</v>
      </c>
      <c r="C120" s="307" t="str">
        <f t="array" ref="C120">INDEX('起きあがり'!$F$3:$G$115, MATCH($A$1,'起きあがり'!$A$3:$A$115,0), MATCH(C109,'起きあがり'!$F$2:$AD$2,0))</f>
        <v>1-22</v>
      </c>
      <c r="D120" s="308">
        <f t="array" ref="D120">INDEX('起きあがり'!$F$3:$G$115, MATCH($A$1,'起きあがり'!$A$3:$A$115,0), MATCH(D109,'起きあがり'!$F$2:$AD$2,0))</f>
        <v>35</v>
      </c>
      <c r="E120" s="301"/>
      <c r="F120" s="301"/>
      <c r="G120" s="301"/>
      <c r="H120" s="228"/>
      <c r="I120" s="228"/>
      <c r="J120" s="111"/>
      <c r="K120" s="146"/>
      <c r="L120" s="303" t="str">
        <f>'テンプレート'!L127</f>
        <v>後投げ</v>
      </c>
      <c r="M120" s="113" t="s">
        <v>274</v>
      </c>
      <c r="N120" s="113">
        <v>20.0</v>
      </c>
      <c r="O120" s="118"/>
      <c r="P120" s="118"/>
      <c r="Q120" s="118"/>
      <c r="R120" s="118"/>
      <c r="S120" s="118"/>
      <c r="T120" s="118"/>
      <c r="U120" s="118"/>
      <c r="V120" s="118"/>
    </row>
    <row r="121" outlineLevel="1">
      <c r="A121" s="146"/>
      <c r="B121" s="300" t="s">
        <v>246</v>
      </c>
      <c r="C121" s="113" t="str">
        <f t="array" ref="C121">INDEX('起きあがり'!$H$3:$I$115, MATCH($A$1,'起きあがり'!$A$3:$A$115,0), MATCH(C109,'起きあがり'!$H$2:$AD$2,0))</f>
        <v>1-22</v>
      </c>
      <c r="D121" s="113">
        <f t="array" ref="D121">INDEX('起きあがり'!$H$3:$I$115, MATCH($A$1,'起きあがり'!$A$3:$A$115,0), MATCH(D109,'起きあがり'!$H$2:$AD$2,0))</f>
        <v>35</v>
      </c>
      <c r="E121" s="301"/>
      <c r="F121" s="301"/>
      <c r="G121" s="301"/>
      <c r="H121" s="228"/>
      <c r="I121" s="228"/>
      <c r="J121" s="117"/>
      <c r="K121" s="146"/>
      <c r="L121" s="303" t="str">
        <f>'テンプレート'!L128</f>
        <v>上投げ</v>
      </c>
      <c r="M121" s="113" t="s">
        <v>232</v>
      </c>
      <c r="N121" s="113">
        <v>20.0</v>
      </c>
      <c r="O121" s="118"/>
      <c r="P121" s="118"/>
      <c r="Q121" s="118"/>
      <c r="R121" s="118"/>
      <c r="S121" s="118"/>
      <c r="T121" s="118"/>
      <c r="U121" s="118"/>
      <c r="V121" s="118"/>
    </row>
    <row r="122" outlineLevel="1">
      <c r="A122" s="146"/>
      <c r="B122" s="300" t="s">
        <v>249</v>
      </c>
      <c r="C122" s="309" t="str">
        <f t="array" ref="C122">INDEX('起きあがり'!$J$3:$M$115, MATCH($A$1,'起きあがり'!$A$3:$A$115,0), MATCH(C109,'起きあがり'!$J$2:$AD$2,0))</f>
        <v>1-23</v>
      </c>
      <c r="D122" s="310">
        <f t="array" ref="D122">INDEX('起きあがり'!$J$3:$M$115, MATCH($A$1,'起きあがり'!$A$3:$A$115,0), MATCH(D109,'起きあがり'!$J$2:$AD$2,0))</f>
        <v>45</v>
      </c>
      <c r="E122" s="307" t="str">
        <f t="array" ref="E122">INDEX('起きあがり'!$J$3:$M$115, MATCH($A$1,'起きあがり'!$A$3:$A$115,0), MATCH(E109,'起きあがり'!$J$2:$AD$2,0))</f>
        <v>15-16</v>
      </c>
      <c r="F122" s="308">
        <f t="array" ref="F122">INDEX('起きあがり'!$J$3:$M$115, MATCH($A$1,'起きあがり'!$A$3:$A$115,0), MATCH(F109,'起きあがり'!$J$2:$AD$2,0))</f>
        <v>7</v>
      </c>
      <c r="G122" s="113">
        <f t="shared" ref="G122:G123" si="1">F122*1.2</f>
        <v>8.4</v>
      </c>
      <c r="H122" s="228"/>
      <c r="I122" s="228"/>
      <c r="J122" s="111"/>
      <c r="K122" s="156"/>
      <c r="L122" s="303" t="str">
        <f>'テンプレート'!L129</f>
        <v>下投げ</v>
      </c>
      <c r="M122" s="113" t="s">
        <v>86</v>
      </c>
      <c r="N122" s="113">
        <v>18.0</v>
      </c>
      <c r="O122" s="111"/>
      <c r="P122" s="111"/>
      <c r="Q122" s="111"/>
      <c r="R122" s="111"/>
      <c r="S122" s="111"/>
      <c r="T122" s="111"/>
      <c r="U122" s="111"/>
      <c r="V122" s="111"/>
    </row>
    <row r="123" outlineLevel="1">
      <c r="A123" s="156"/>
      <c r="B123" s="311" t="s">
        <v>250</v>
      </c>
      <c r="C123" s="156"/>
      <c r="D123" s="156"/>
      <c r="E123" s="307" t="str">
        <f t="array" ref="E123">INDEX('起きあがり'!$N$3:$O$115, MATCH($A$1,'起きあがり'!$A$3:$A$115,0), MATCH(E109,'起きあがり'!$N$2:$AD$2,0))</f>
        <v>22-23</v>
      </c>
      <c r="F123" s="308">
        <f t="array" ref="F123">INDEX('起きあがり'!$N$3:$O$115, MATCH($A$1,'起きあがり'!$A$3:$A$115,0), MATCH(F109,'起きあがり'!$N$2:$AD$2,0))</f>
        <v>7</v>
      </c>
      <c r="G123" s="113">
        <f t="shared" si="1"/>
        <v>8.4</v>
      </c>
      <c r="H123" s="228"/>
      <c r="I123" s="228"/>
      <c r="J123" s="111"/>
      <c r="K123" s="312" t="str">
        <f>'テンプレート'!K130</f>
        <v>踏み台ジャンプ</v>
      </c>
      <c r="L123" s="168"/>
      <c r="M123" s="298" t="str">
        <f>'テンプレート'!M130</f>
        <v>全体フレーム</v>
      </c>
      <c r="N123" s="114"/>
      <c r="O123" s="111"/>
      <c r="P123" s="111"/>
      <c r="Q123" s="111"/>
      <c r="R123" s="111"/>
      <c r="S123" s="111"/>
      <c r="T123" s="111"/>
      <c r="U123" s="111"/>
      <c r="V123" s="111"/>
    </row>
    <row r="124" outlineLevel="1">
      <c r="A124" s="299" t="s">
        <v>251</v>
      </c>
      <c r="B124" s="300" t="s">
        <v>248</v>
      </c>
      <c r="C124" s="301"/>
      <c r="D124" s="307" t="str">
        <f t="array" ref="D124">INDEX('起きあがり'!$C$3:$C109, MATCH($A$1,'起きあがり'!$A$3:$A$115,0), MATCH(D109,'起きあがり'!$C$2,0))</f>
        <v>25</v>
      </c>
      <c r="E124" s="301"/>
      <c r="F124" s="301"/>
      <c r="G124" s="301"/>
      <c r="H124" s="228"/>
      <c r="I124" s="228"/>
      <c r="J124" s="117"/>
      <c r="K124" s="313" t="str">
        <f>'テンプレート'!K131</f>
        <v>踏み</v>
      </c>
      <c r="L124" s="314" t="str">
        <f>'テンプレート'!L131</f>
        <v>踏み</v>
      </c>
      <c r="M124" s="113">
        <v>8.0</v>
      </c>
      <c r="N124" s="315"/>
      <c r="O124" s="111"/>
      <c r="P124" s="111"/>
      <c r="Q124" s="111"/>
      <c r="R124" s="111"/>
      <c r="S124" s="111"/>
      <c r="T124" s="111"/>
      <c r="U124" s="111"/>
      <c r="V124" s="111"/>
    </row>
    <row r="125" outlineLevel="1">
      <c r="A125" s="146"/>
      <c r="B125" s="300" t="s">
        <v>216</v>
      </c>
      <c r="C125" s="307" t="str">
        <f t="array" ref="C125">INDEX('起きあがり'!$P$3:$Q$115, MATCH($A$1,'起きあがり'!$A$3:$A$115,0), MATCH(C109,'起きあがり'!$P$2:$AD$2,0))</f>
        <v>1-22</v>
      </c>
      <c r="D125" s="308">
        <f t="array" ref="D125">INDEX('起きあがり'!$P$3:$Q$115, MATCH($A$1,'起きあがり'!$A$3:$A$115,0), MATCH(D109,'起きあがり'!$P$2:$AD$2,0))</f>
        <v>29</v>
      </c>
      <c r="E125" s="301"/>
      <c r="F125" s="301"/>
      <c r="G125" s="301"/>
      <c r="H125" s="228"/>
      <c r="I125" s="228"/>
      <c r="J125" s="111"/>
      <c r="K125" s="305" t="str">
        <f>'テンプレート'!K132</f>
        <v>踏まれ</v>
      </c>
      <c r="L125" s="314" t="str">
        <f>'テンプレート'!L132</f>
        <v>地上踏まれ</v>
      </c>
      <c r="M125" s="113" t="s">
        <v>76</v>
      </c>
      <c r="N125" s="315"/>
      <c r="O125" s="228"/>
      <c r="P125" s="228"/>
      <c r="Q125" s="228"/>
      <c r="R125" s="228"/>
      <c r="S125" s="228"/>
      <c r="T125" s="228"/>
      <c r="U125" s="228"/>
      <c r="V125" s="228"/>
    </row>
    <row r="126" outlineLevel="1">
      <c r="A126" s="146"/>
      <c r="B126" s="300" t="s">
        <v>245</v>
      </c>
      <c r="C126" s="307" t="str">
        <f t="array" ref="C126">INDEX('起きあがり'!$R$3:$S$115, MATCH($A$1,'起きあがり'!$A$3:$A$115,0), MATCH(C109,'起きあがり'!$R$2:$AD$2,0))</f>
        <v>1-22</v>
      </c>
      <c r="D126" s="308">
        <f t="array" ref="D126">INDEX('起きあがり'!$R$3:$S$115, MATCH($A$1,'起きあがり'!$A$3:$A$115,0), MATCH(D109,'起きあがり'!$R$2:$AD$2,0))</f>
        <v>35</v>
      </c>
      <c r="E126" s="301"/>
      <c r="F126" s="301"/>
      <c r="G126" s="301"/>
      <c r="H126" s="228"/>
      <c r="I126" s="228"/>
      <c r="J126" s="117"/>
      <c r="K126" s="146"/>
      <c r="L126" s="314" t="s">
        <v>693</v>
      </c>
      <c r="M126" s="113">
        <v>27.0</v>
      </c>
      <c r="N126" s="102"/>
      <c r="O126" s="118"/>
      <c r="P126" s="118"/>
      <c r="Q126" s="118"/>
      <c r="R126" s="118"/>
      <c r="S126" s="118"/>
      <c r="T126" s="118"/>
      <c r="U126" s="118"/>
      <c r="V126" s="118"/>
    </row>
    <row r="127" outlineLevel="1">
      <c r="A127" s="146"/>
      <c r="B127" s="300" t="s">
        <v>246</v>
      </c>
      <c r="C127" s="307" t="str">
        <f t="array" ref="C127">INDEX('起きあがり'!$T$3:$U$115, MATCH($A$1,'起きあがり'!$A$3:$A$115,0), MATCH(C109,'起きあがり'!$T$2:$AD$2,0))</f>
        <v>1-22</v>
      </c>
      <c r="D127" s="308">
        <f t="array" ref="D127">INDEX('起きあがり'!$T$3:$U$115, MATCH($A$1,'起きあがり'!$A$3:$A$115,0), MATCH(D109,'起きあがり'!$T$2:$AD$2,0))</f>
        <v>35</v>
      </c>
      <c r="E127" s="301"/>
      <c r="F127" s="301"/>
      <c r="G127" s="301"/>
      <c r="H127" s="228"/>
      <c r="I127" s="228"/>
      <c r="J127" s="111"/>
      <c r="K127" s="146"/>
      <c r="L127" s="314" t="str">
        <f>'テンプレート'!L134</f>
        <v>空中踏まれ</v>
      </c>
      <c r="M127" s="113">
        <v>8.0</v>
      </c>
      <c r="N127" s="102"/>
      <c r="O127" s="118"/>
      <c r="P127" s="118"/>
      <c r="Q127" s="118"/>
      <c r="R127" s="118"/>
      <c r="S127" s="118"/>
      <c r="T127" s="118"/>
      <c r="U127" s="118"/>
      <c r="V127" s="118"/>
    </row>
    <row r="128" outlineLevel="1">
      <c r="A128" s="146"/>
      <c r="B128" s="300" t="s">
        <v>249</v>
      </c>
      <c r="C128" s="309" t="str">
        <f t="array" ref="C128">INDEX('起きあがり'!$V$3:$Y$115, MATCH($A$1,'起きあがり'!$A$3:$A$115,0), MATCH(C109,'起きあがり'!$V$2:$AD$2,0))</f>
        <v>1-22</v>
      </c>
      <c r="D128" s="310">
        <f t="array" ref="D128">INDEX('起きあがり'!$V$3:$Y$115, MATCH($A$1,'起きあがり'!$A$3:$A$115,0), MATCH(D109,'起きあがり'!$V$2:$AD$2,0))</f>
        <v>45</v>
      </c>
      <c r="E128" s="307" t="str">
        <f t="array" ref="E128">INDEX('起きあがり'!$V$3:$Y$115, MATCH($A$1,'起きあがり'!$A$3:$A$115,0), MATCH(E109,'起きあがり'!$V$2:$AD$2,0))</f>
        <v>15-16</v>
      </c>
      <c r="F128" s="308">
        <f t="array" ref="F128">INDEX('起きあがり'!$V$3:$Y$115, MATCH($A$1,'起きあがり'!$A$3:$A$115,0), MATCH(F109,'起きあがり'!$V$2:$AD$2,0))</f>
        <v>7</v>
      </c>
      <c r="G128" s="113">
        <f t="shared" ref="G128:G129" si="2">F128*1.2</f>
        <v>8.4</v>
      </c>
      <c r="H128" s="228"/>
      <c r="I128" s="228"/>
      <c r="J128" s="117"/>
      <c r="K128" s="146"/>
      <c r="L128" s="314" t="str">
        <f>'テンプレート'!L135</f>
        <v>空中落下</v>
      </c>
      <c r="M128" s="113">
        <v>33.0</v>
      </c>
      <c r="N128" s="102"/>
      <c r="O128" s="118"/>
      <c r="P128" s="118"/>
      <c r="Q128" s="118"/>
      <c r="R128" s="118"/>
      <c r="S128" s="118"/>
      <c r="T128" s="118"/>
      <c r="U128" s="118"/>
      <c r="V128" s="118"/>
    </row>
    <row r="129" outlineLevel="1">
      <c r="A129" s="156"/>
      <c r="B129" s="311" t="s">
        <v>250</v>
      </c>
      <c r="C129" s="156"/>
      <c r="D129" s="156"/>
      <c r="E129" s="307" t="str">
        <f t="array" ref="E129">INDEX('起きあがり'!$Z$3:$AA$115, MATCH($A$1,'起きあがり'!$A$3:$A$115,0), MATCH(E109,'起きあがり'!$Z$2:$AD$2,0))</f>
        <v>21-22</v>
      </c>
      <c r="F129" s="308">
        <f t="array" ref="F129">INDEX('起きあがり'!$Z$3:$AA$115, MATCH($A$1,'起きあがり'!$A$3:$A$115,0), MATCH(F109,'起きあがり'!$Z$2:$AD$2,0))</f>
        <v>7</v>
      </c>
      <c r="G129" s="113">
        <f t="shared" si="2"/>
        <v>8.4</v>
      </c>
      <c r="H129" s="228"/>
      <c r="I129" s="228"/>
      <c r="J129" s="117"/>
      <c r="K129" s="304" t="str">
        <f>'テンプレート'!K136</f>
        <v>倒れダメージ</v>
      </c>
      <c r="L129" s="110"/>
      <c r="M129" s="298" t="str">
        <f>'テンプレート'!M136</f>
        <v>全体フレーム</v>
      </c>
      <c r="N129" s="102"/>
      <c r="O129" s="118"/>
      <c r="P129" s="118"/>
      <c r="Q129" s="118"/>
      <c r="R129" s="118"/>
      <c r="S129" s="118"/>
      <c r="T129" s="118"/>
      <c r="U129" s="118"/>
      <c r="V129" s="118"/>
    </row>
    <row r="130" outlineLevel="1">
      <c r="A130" s="299" t="s">
        <v>252</v>
      </c>
      <c r="B130" s="300" t="s">
        <v>253</v>
      </c>
      <c r="C130" s="307" t="str">
        <f t="array" ref="C130">INDEX('転倒'!$C$3:$D109, MATCH($A$1,'転倒'!$A$3:$A$115,0), MATCH(C109,'転倒'!$C$2:$AC$2,0))</f>
        <v>1-5</v>
      </c>
      <c r="D130" s="308">
        <f t="array" ref="D130">INDEX('転倒'!$C$3:$D109, MATCH($A$1,'転倒'!$A$3:$A$115,0), MATCH(D109,'転倒'!$C$2:$AC$2,0))</f>
        <v>29</v>
      </c>
      <c r="E130" s="301"/>
      <c r="F130" s="301"/>
      <c r="G130" s="301"/>
      <c r="H130" s="228"/>
      <c r="I130" s="228"/>
      <c r="J130" s="111"/>
      <c r="K130" s="313" t="str">
        <f>'テンプレート'!K137</f>
        <v>あお向け倒れ</v>
      </c>
      <c r="L130" s="306" t="str">
        <f>'テンプレート'!L137</f>
        <v>モーション大</v>
      </c>
      <c r="M130" s="113">
        <v>39.0</v>
      </c>
      <c r="N130" s="315"/>
      <c r="O130" s="118"/>
      <c r="P130" s="118"/>
      <c r="Q130" s="118"/>
      <c r="R130" s="118"/>
      <c r="S130" s="118"/>
      <c r="T130" s="118"/>
      <c r="U130" s="118"/>
      <c r="V130" s="118"/>
    </row>
    <row r="131" outlineLevel="1">
      <c r="A131" s="146"/>
      <c r="B131" s="300" t="s">
        <v>254</v>
      </c>
      <c r="C131" s="307" t="str">
        <f t="array" ref="C131">INDEX('転倒'!$E$3:$F109, MATCH($A$1,'転倒'!$A$3:$A$115,0), MATCH(C109,'転倒'!$E$2:$AC$2,0))</f>
        <v>1-5</v>
      </c>
      <c r="D131" s="308">
        <f t="array" ref="D131">INDEX('転倒'!$E$3:$F109, MATCH($A$1,'転倒'!$A$3:$A$115,0), MATCH(D109,'転倒'!$E$2:$AC$2,0))</f>
        <v>39</v>
      </c>
      <c r="E131" s="301"/>
      <c r="F131" s="301"/>
      <c r="G131" s="301"/>
      <c r="H131" s="228"/>
      <c r="I131" s="228"/>
      <c r="J131" s="117"/>
      <c r="K131" s="313" t="str">
        <f>'テンプレート'!K138</f>
        <v>うつ伏せ倒れ</v>
      </c>
      <c r="L131" s="306" t="str">
        <f>'テンプレート'!L138</f>
        <v>モーション大</v>
      </c>
      <c r="M131" s="113" t="s">
        <v>118</v>
      </c>
      <c r="N131" s="315"/>
      <c r="O131" s="118"/>
      <c r="P131" s="118"/>
      <c r="Q131" s="118"/>
      <c r="R131" s="118"/>
      <c r="S131" s="118"/>
      <c r="T131" s="118"/>
      <c r="U131" s="118"/>
      <c r="V131" s="118"/>
    </row>
    <row r="132" outlineLevel="1">
      <c r="A132" s="146"/>
      <c r="B132" s="300" t="s">
        <v>216</v>
      </c>
      <c r="C132" s="307" t="str">
        <f t="array" ref="C132">INDEX('転倒'!$G$3:$H$115, MATCH($A$1,'転倒'!$A$3:$A$115,0), MATCH(C109,'転倒'!$G$2:$AC$2,0))</f>
        <v>1-16</v>
      </c>
      <c r="D132" s="308">
        <f t="array" ref="D132">INDEX('転倒'!$G$3:$H$115, MATCH($A$1,'転倒'!$A$3:$A$115,0), MATCH(D109,'転倒'!$G$2:$AC$2,0))</f>
        <v>21</v>
      </c>
      <c r="E132" s="301"/>
      <c r="F132" s="301"/>
      <c r="G132" s="301"/>
      <c r="H132" s="228"/>
      <c r="I132" s="228"/>
      <c r="J132" s="111"/>
      <c r="K132" s="304" t="str">
        <f>'テンプレート'!K139</f>
        <v/>
      </c>
      <c r="L132" s="110"/>
      <c r="M132" s="298" t="str">
        <f>'テンプレート'!M139</f>
        <v/>
      </c>
      <c r="N132" s="102"/>
      <c r="O132" s="118"/>
      <c r="P132" s="118"/>
      <c r="Q132" s="118"/>
      <c r="R132" s="118"/>
      <c r="S132" s="118"/>
      <c r="T132" s="118"/>
      <c r="U132" s="118"/>
      <c r="V132" s="118"/>
    </row>
    <row r="133" outlineLevel="1">
      <c r="A133" s="146"/>
      <c r="B133" s="300" t="s">
        <v>245</v>
      </c>
      <c r="C133" s="307" t="str">
        <f t="array" ref="C133">INDEX('転倒'!$I$3:$J$115, MATCH($A$1,'転倒'!$A$3:$A$115,0), MATCH(C109,'転倒'!$I$2:$AC$2,0))</f>
        <v>1-9</v>
      </c>
      <c r="D133" s="308">
        <f t="array" ref="D133">INDEX('転倒'!$I$3:$J$115, MATCH($A$1,'転倒'!$A$3:$A$115,0), MATCH(D109,'転倒'!$I$2:$AC$2,0))</f>
        <v>28</v>
      </c>
      <c r="E133" s="301"/>
      <c r="F133" s="301"/>
      <c r="G133" s="301"/>
      <c r="H133" s="228"/>
      <c r="I133" s="228"/>
      <c r="J133" s="228"/>
      <c r="K133" s="316"/>
      <c r="L133" s="317" t="str">
        <f>'テンプレート'!L140</f>
        <v/>
      </c>
      <c r="M133" s="113" t="s">
        <v>76</v>
      </c>
      <c r="N133" s="102"/>
      <c r="O133" s="118"/>
      <c r="P133" s="118"/>
      <c r="Q133" s="118"/>
      <c r="R133" s="118"/>
      <c r="S133" s="118"/>
      <c r="T133" s="118"/>
      <c r="U133" s="118"/>
      <c r="V133" s="118"/>
    </row>
    <row r="134" outlineLevel="1">
      <c r="A134" s="146"/>
      <c r="B134" s="300" t="s">
        <v>246</v>
      </c>
      <c r="C134" s="307" t="str">
        <f t="array" ref="C134">INDEX('転倒'!$K$3:$L$115, MATCH($A$1,'転倒'!$A$3:$A$115,0), MATCH(C109,'転倒'!$K$2:$AC$2,0))</f>
        <v>1-9</v>
      </c>
      <c r="D134" s="308">
        <f t="array" ref="D134">INDEX('転倒'!$K$3:$L$115, MATCH($A$1,'転倒'!$A$3:$A$115,0), MATCH(D109,'転倒'!$K$2:$AC$2,0))</f>
        <v>28</v>
      </c>
      <c r="E134" s="301"/>
      <c r="F134" s="301"/>
      <c r="G134" s="301"/>
      <c r="H134" s="228"/>
      <c r="I134" s="228"/>
      <c r="J134" s="228"/>
      <c r="K134" s="318"/>
      <c r="L134" s="118"/>
      <c r="M134" s="118"/>
      <c r="N134" s="102"/>
      <c r="O134" s="118"/>
      <c r="P134" s="118"/>
      <c r="Q134" s="118"/>
      <c r="R134" s="118"/>
      <c r="S134" s="118"/>
      <c r="T134" s="118"/>
      <c r="U134" s="118"/>
      <c r="V134" s="118"/>
    </row>
    <row r="135" outlineLevel="1">
      <c r="A135" s="146"/>
      <c r="B135" s="300" t="s">
        <v>249</v>
      </c>
      <c r="C135" s="309" t="str">
        <f t="array" ref="C135">INDEX('転倒'!$M$3:$P$115, MATCH($A$1,'転倒'!$A$3:$A$115,0), MATCH(C109,'転倒'!$M$2:$AC$2,0))</f>
        <v>1-7</v>
      </c>
      <c r="D135" s="310">
        <f t="array" ref="D135">INDEX('転倒'!$M$3:$P$115, MATCH($A$1,'転倒'!$A$3:$A$115,0), MATCH(D109,'転倒'!$M$2:$AC$2,0))</f>
        <v>49</v>
      </c>
      <c r="E135" s="307" t="str">
        <f t="array" ref="E135">INDEX('転倒'!$M$3:$P$115, MATCH($A$1,'転倒'!$A$3:$A$115,0), MATCH(E109,'転倒'!$M$2:$AC$2,0))</f>
        <v>19-20</v>
      </c>
      <c r="F135" s="308">
        <f t="array" ref="F135">INDEX('転倒'!$M$3:$P$115, MATCH($A$1,'転倒'!$A$3:$A$115,0), MATCH(F109,'転倒'!$M$2:$AC$2,0))</f>
        <v>5</v>
      </c>
      <c r="G135" s="113">
        <f t="shared" ref="G135:G136" si="3">F135*1.2</f>
        <v>6</v>
      </c>
      <c r="H135" s="228"/>
      <c r="I135" s="228"/>
      <c r="J135" s="228"/>
      <c r="K135" s="118"/>
      <c r="L135" s="118"/>
      <c r="M135" s="118"/>
      <c r="N135" s="102"/>
      <c r="O135" s="102"/>
      <c r="P135" s="102"/>
      <c r="Q135" s="102"/>
      <c r="R135" s="118"/>
      <c r="S135" s="118"/>
      <c r="T135" s="118"/>
      <c r="U135" s="118"/>
      <c r="V135" s="118"/>
    </row>
    <row r="136" outlineLevel="1">
      <c r="A136" s="156"/>
      <c r="B136" s="311" t="s">
        <v>250</v>
      </c>
      <c r="C136" s="156"/>
      <c r="D136" s="156"/>
      <c r="E136" s="307" t="str">
        <f t="array" ref="E136">INDEX('転倒'!$Q$3:$R$115, MATCH($A$1,'転倒'!$A$3:$A$115,0), MATCH(E109,'転倒'!$Q$2:$AC$2,0))</f>
        <v>27-28</v>
      </c>
      <c r="F136" s="308">
        <f t="array" ref="F136">INDEX('転倒'!$Q$3:$R$115, MATCH($A$1,'転倒'!$A$3:$A$115,0), MATCH(F109,'転倒'!$Q$2:$AC$2,0))</f>
        <v>5</v>
      </c>
      <c r="G136" s="113">
        <f t="shared" si="3"/>
        <v>6</v>
      </c>
      <c r="H136" s="228"/>
      <c r="I136" s="228"/>
      <c r="J136" s="228"/>
      <c r="K136" s="118"/>
      <c r="L136" s="118"/>
      <c r="M136" s="118"/>
      <c r="N136" s="102"/>
      <c r="O136" s="102"/>
      <c r="P136" s="102"/>
      <c r="Q136" s="102"/>
      <c r="R136" s="118"/>
      <c r="S136" s="118"/>
      <c r="T136" s="118"/>
      <c r="U136" s="118"/>
      <c r="V136" s="118"/>
    </row>
    <row r="137" outlineLevel="1">
      <c r="A137" s="319"/>
      <c r="B137" s="320"/>
      <c r="C137" s="321"/>
      <c r="D137" s="321"/>
      <c r="E137" s="322"/>
      <c r="F137" s="322"/>
      <c r="G137" s="114"/>
      <c r="H137" s="228"/>
      <c r="I137" s="228"/>
      <c r="J137" s="228"/>
      <c r="K137" s="118"/>
      <c r="L137" s="118"/>
      <c r="M137" s="118"/>
      <c r="N137" s="102"/>
      <c r="O137" s="102"/>
      <c r="P137" s="102"/>
      <c r="Q137" s="102"/>
      <c r="R137" s="118"/>
      <c r="S137" s="118"/>
      <c r="T137" s="118"/>
      <c r="U137" s="118"/>
      <c r="V137" s="118"/>
    </row>
    <row r="138" outlineLevel="1">
      <c r="A138" s="323" t="s">
        <v>255</v>
      </c>
      <c r="B138" s="109"/>
      <c r="C138" s="321"/>
      <c r="D138" s="321"/>
      <c r="E138" s="322"/>
      <c r="F138" s="322"/>
      <c r="G138" s="114"/>
      <c r="H138" s="228"/>
      <c r="I138" s="228"/>
      <c r="J138" s="228"/>
      <c r="K138" s="118"/>
      <c r="L138" s="118"/>
      <c r="M138" s="118"/>
      <c r="N138" s="102"/>
      <c r="O138" s="102"/>
      <c r="P138" s="102"/>
      <c r="Q138" s="102"/>
      <c r="R138" s="118"/>
      <c r="S138" s="118"/>
      <c r="T138" s="118"/>
      <c r="U138" s="118"/>
      <c r="V138" s="118"/>
    </row>
    <row r="139" outlineLevel="1">
      <c r="A139" s="324" t="s">
        <v>256</v>
      </c>
      <c r="B139" s="109"/>
      <c r="C139" s="325" t="s">
        <v>257</v>
      </c>
      <c r="D139" s="325" t="s">
        <v>49</v>
      </c>
      <c r="E139" s="322"/>
      <c r="F139" s="322"/>
      <c r="G139" s="114"/>
      <c r="H139" s="228"/>
      <c r="I139" s="228"/>
      <c r="J139" s="228"/>
      <c r="K139" s="118"/>
      <c r="L139" s="118"/>
      <c r="M139" s="118"/>
      <c r="N139" s="102"/>
      <c r="O139" s="102"/>
      <c r="P139" s="102"/>
      <c r="Q139" s="102"/>
      <c r="R139" s="118"/>
      <c r="S139" s="118"/>
      <c r="T139" s="118"/>
      <c r="U139" s="118"/>
      <c r="V139" s="118"/>
    </row>
    <row r="140" outlineLevel="1">
      <c r="A140" s="326" t="s">
        <v>258</v>
      </c>
      <c r="B140" s="327" t="s">
        <v>216</v>
      </c>
      <c r="C140" s="328" t="str">
        <f t="array" ref="C140">INDEX('アイテム'!$C$3:$D$114, MATCH($A$1,'アイテム'!$A$3:$A$114,0), MATCH(C139,'アイテム'!$C$2:$AQ$2,0))</f>
        <v>2</v>
      </c>
      <c r="D140" s="328">
        <f t="array" ref="D140">INDEX('アイテム'!$C$3:$D$114, MATCH($A$1,'アイテム'!$A$3:$A$114,0), MATCH(D139,'アイテム'!$C$2:$AQ$2,0))</f>
        <v>7</v>
      </c>
      <c r="E140" s="322"/>
      <c r="F140" s="322"/>
      <c r="G140" s="114"/>
      <c r="H140" s="228"/>
      <c r="I140" s="228"/>
      <c r="J140" s="228"/>
      <c r="K140" s="118"/>
      <c r="L140" s="118"/>
      <c r="M140" s="118"/>
      <c r="N140" s="102"/>
      <c r="O140" s="102"/>
      <c r="P140" s="102"/>
      <c r="Q140" s="102"/>
      <c r="R140" s="118"/>
      <c r="S140" s="118"/>
      <c r="T140" s="118"/>
      <c r="U140" s="118"/>
      <c r="V140" s="118"/>
    </row>
    <row r="141" outlineLevel="1">
      <c r="A141" s="156"/>
      <c r="B141" s="327" t="s">
        <v>219</v>
      </c>
      <c r="C141" s="328" t="str">
        <f t="array" ref="C141">INDEX('アイテム'!$E$3:$F$114, MATCH($A$1,'アイテム'!$A$3:$A$114,0), MATCH(C139,'アイテム'!$C$2:$AQ$2,0))</f>
        <v>2</v>
      </c>
      <c r="D141" s="328">
        <f t="array" ref="D141">INDEX('アイテム'!$E$3:$F$114, MATCH($A$1,'アイテム'!$A$3:$A$114,0), MATCH(D139,'アイテム'!$C$2:$AQ$2,0))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329" t="s">
        <v>259</v>
      </c>
      <c r="B142" s="327" t="s">
        <v>216</v>
      </c>
      <c r="C142" s="328">
        <f t="array" ref="C142">INDEX('アイテム'!$AA$3:$AB$114, MATCH($A$1,'アイテム'!$A$3:$A$114,0), MATCH(C139,'アイテム'!$C$2:$AQ$2,0))</f>
        <v>2</v>
      </c>
      <c r="D142" s="328" t="str">
        <f t="array" ref="D142">INDEX('アイテム'!$AA$3:$AB$114, MATCH($A$1,'アイテム'!$A$3:$A$114,0), MATCH(D139,'アイテム'!$C$2:$AQ$2,0))</f>
        <v>12</v>
      </c>
      <c r="E142" s="322"/>
      <c r="F142" s="322"/>
      <c r="G142" s="114"/>
      <c r="H142" s="228"/>
      <c r="I142" s="228"/>
      <c r="J142" s="228"/>
      <c r="K142" s="118"/>
      <c r="L142" s="118"/>
      <c r="M142" s="118"/>
      <c r="N142" s="102"/>
      <c r="O142" s="102"/>
      <c r="P142" s="102"/>
      <c r="Q142" s="102"/>
      <c r="R142" s="118"/>
      <c r="S142" s="118"/>
      <c r="T142" s="118"/>
      <c r="U142" s="118"/>
      <c r="V142" s="118"/>
    </row>
    <row r="143" outlineLevel="1">
      <c r="A143" s="324" t="s">
        <v>260</v>
      </c>
      <c r="B143" s="109"/>
      <c r="C143" s="325" t="s">
        <v>261</v>
      </c>
      <c r="D143" s="325" t="s">
        <v>49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262</v>
      </c>
      <c r="B144" s="327" t="s">
        <v>226</v>
      </c>
      <c r="C144" s="328" t="str">
        <f t="array" ref="C144">INDEX('アイテム'!$G$3:$H$114, MATCH($A$1,'アイテム'!$A$3:$A$114,0), MATCH(C139,'アイテム'!$C$2:$AQ$2,0))</f>
        <v>7</v>
      </c>
      <c r="D144" s="328">
        <f t="array" ref="D144">INDEX('アイテム'!$G$3:$H$114, MATCH($A$1,'アイテム'!$A$3:$A$114,0), MATCH(D139,'アイテム'!$C$2:$AQ$2,0))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INDEX('アイテム'!$I$3:$J$114, MATCH($A$1,'アイテム'!$A$3:$A$114,0), MATCH(C139,'アイテム'!$C$2:$AQ$2,0))</f>
        <v>9</v>
      </c>
      <c r="D145" s="328">
        <f t="array" ref="D145">INDEX('アイテム'!$I$3:$J$114, MATCH($A$1,'アイテム'!$A$3:$A$114,0), MATCH(D139,'アイテム'!$C$2:$AQ$2,0))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INDEX('アイテム'!$K$3:$L$114, MATCH($A$1,'アイテム'!$A$3:$A$114,0), MATCH(C139,'アイテム'!$C$2:$AQ$2,0))</f>
        <v>11</v>
      </c>
      <c r="D146" s="328">
        <f t="array" ref="D146">INDEX('アイテム'!$K$3:$L$114, MATCH($A$1,'アイテム'!$A$3:$A$114,0), MATCH(D139,'アイテム'!$C$2:$AQ$2,0))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234</v>
      </c>
      <c r="C147" s="328" t="str">
        <f t="array" ref="C147">INDEX('アイテム'!$M$3:$N$114, MATCH($A$1,'アイテム'!$A$3:$A$114,0), MATCH(C139,'アイテム'!$C$2:$AQ$2,0))</f>
        <v>6</v>
      </c>
      <c r="D147" s="328">
        <f t="array" ref="D147">INDEX('アイテム'!$M$3:$N$114, MATCH($A$1,'アイテム'!$A$3:$A$114,0), MATCH(D139,'アイテム'!$C$2:$AQ$2,0))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219</v>
      </c>
      <c r="C148" s="328" t="str">
        <f t="array" ref="C148">INDEX('アイテム'!$O$3:$P$114, MATCH($A$1,'アイテム'!$A$3:$A$114,0), MATCH(C139,'アイテム'!$C$2:$AQ$2,0))</f>
        <v>4</v>
      </c>
      <c r="D148" s="328">
        <f t="array" ref="D148">INDEX('アイテム'!$O$3:$P$114, MATCH($A$1,'アイテム'!$A$3:$A$114,0), MATCH(D139,'アイテム'!$C$2:$AQ$2,0))</f>
        <v>29</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263</v>
      </c>
      <c r="C149" s="328" t="str">
        <f t="array" ref="C149">INDEX('アイテム'!$Q$3:$R$114, MATCH($A$1,'アイテム'!$A$3:$A$114,0), MATCH(C139,'アイテム'!$C$2:$AQ$2,0))</f>
        <v>5</v>
      </c>
      <c r="D149" s="328">
        <f t="array" ref="D149">INDEX('アイテム'!$Q$3:$R$114, MATCH($A$1,'アイテム'!$A$3:$A$114,0), MATCH(D139,'アイテム'!$C$2:$AQ$2,0))</f>
        <v>23</v>
      </c>
      <c r="E149" s="322"/>
      <c r="F149" s="322"/>
      <c r="G149" s="114"/>
      <c r="H149" s="228"/>
      <c r="I149" s="228"/>
      <c r="J149" s="228"/>
      <c r="K149" s="118"/>
      <c r="L149" s="118"/>
      <c r="M149" s="118"/>
      <c r="N149" s="102"/>
      <c r="O149" s="102"/>
      <c r="P149" s="102"/>
      <c r="Q149" s="102"/>
      <c r="R149" s="118"/>
      <c r="S149" s="118"/>
      <c r="T149" s="118"/>
      <c r="U149" s="118"/>
      <c r="V149" s="118"/>
    </row>
    <row r="150" outlineLevel="1">
      <c r="A150" s="326" t="s">
        <v>264</v>
      </c>
      <c r="B150" s="327" t="s">
        <v>226</v>
      </c>
      <c r="C150" s="328" t="str">
        <f t="array" ref="C150">INDEX('アイテム'!$S$3:$T$114, MATCH($A$1,'アイテム'!$A$3:$A$114,0), MATCH(C139,'アイテム'!$C$2:$AQ$2,0))</f>
        <v>7</v>
      </c>
      <c r="D150" s="328">
        <f t="array" ref="D150">INDEX('アイテム'!$S$3:$T$114, MATCH($A$1,'アイテム'!$A$3:$A$114,0), MATCH(D139,'アイテム'!$C$2:$AQ$2,0))</f>
        <v>24</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229</v>
      </c>
      <c r="C151" s="328" t="str">
        <f t="array" ref="C151">INDEX('アイテム'!$U$3:$V$114, MATCH($A$1,'アイテム'!$A$3:$A$114,0), MATCH(C139,'アイテム'!$C$2:$AQ$2,0))</f>
        <v>9</v>
      </c>
      <c r="D151" s="328">
        <f t="array" ref="D151">INDEX('アイテム'!$U$3:$V$114, MATCH($A$1,'アイテム'!$A$3:$A$114,0), MATCH(D139,'アイテム'!$C$2:$AQ$2,0))</f>
        <v>24</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233</v>
      </c>
      <c r="C152" s="328" t="str">
        <f t="array" ref="C152">INDEX('アイテム'!$W$3:$X$114, MATCH($A$1,'アイテム'!$A$3:$A$114,0), MATCH(C139,'アイテム'!$C$2:$AQ$2,0))</f>
        <v>11</v>
      </c>
      <c r="D152" s="328">
        <f t="array" ref="D152">INDEX('アイテム'!$W$3:$X$114, MATCH($A$1,'アイテム'!$A$3:$A$114,0), MATCH(D139,'アイテム'!$C$2:$AQ$2,0))</f>
        <v>23</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234</v>
      </c>
      <c r="C153" s="328" t="str">
        <f t="array" ref="C153">INDEX('アイテム'!$Y$3:$Z$114, MATCH($A$1,'アイテム'!$A$3:$A$114,0), MATCH(C139,'アイテム'!$C$2:$AQ$2,0))</f>
        <v>6</v>
      </c>
      <c r="D153" s="328">
        <f t="array" ref="D153">INDEX('アイテム'!$Y$3:$Z$114, MATCH($A$1,'アイテム'!$A$3:$A$114,0), MATCH(D139,'アイテム'!$C$2:$AQ$2,0))</f>
        <v>19</v>
      </c>
      <c r="E153" s="322"/>
      <c r="F153" s="322"/>
      <c r="G153" s="114"/>
      <c r="H153" s="228"/>
      <c r="I153" s="228"/>
      <c r="J153" s="228"/>
      <c r="K153" s="118"/>
      <c r="L153" s="118"/>
      <c r="M153" s="118"/>
      <c r="N153" s="102"/>
      <c r="O153" s="102"/>
      <c r="P153" s="102"/>
      <c r="Q153" s="102"/>
      <c r="R153" s="118"/>
      <c r="S153" s="118"/>
      <c r="T153" s="118"/>
      <c r="U153" s="118"/>
      <c r="V153" s="118"/>
    </row>
    <row r="154" outlineLevel="1">
      <c r="A154" s="326" t="s">
        <v>265</v>
      </c>
      <c r="B154" s="327" t="s">
        <v>226</v>
      </c>
      <c r="C154" s="328">
        <f t="array" ref="C154">INDEX('アイテム'!$AC$3:$AD$114, MATCH($A$1,'アイテム'!$A$3:$A$114,0), MATCH(C139,'アイテム'!$C$2:$AQ$2,0))</f>
        <v>16</v>
      </c>
      <c r="D154" s="328" t="str">
        <f t="array" ref="D154">INDEX('アイテム'!$AC$3:$AD$114, MATCH($A$1,'アイテム'!$A$3:$A$114,0), MATCH(D139,'アイテム'!$C$2:$AQ$2,0))</f>
        <v>30</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229</v>
      </c>
      <c r="C155" s="328">
        <f t="array" ref="C155">INDEX('アイテム'!$AE$3:$AF$114, MATCH($A$1,'アイテム'!$A$3:$A$114,0), MATCH(C139,'アイテム'!$C$2:$AQ$2,0))</f>
        <v>16</v>
      </c>
      <c r="D155" s="328" t="str">
        <f t="array" ref="D155">INDEX('アイテム'!$AE$3:$AF$114, MATCH($A$1,'アイテム'!$A$3:$A$114,0), MATCH(D139,'アイテム'!$C$2:$AQ$2,0))</f>
        <v>30</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233</v>
      </c>
      <c r="C156" s="328">
        <f t="array" ref="C156">INDEX('アイテム'!$AG$3:$AH$114, MATCH($A$1,'アイテム'!$A$3:$A$114,0), MATCH(C139,'アイテム'!$C$2:$AQ$2,0))</f>
        <v>11</v>
      </c>
      <c r="D156" s="328" t="str">
        <f t="array" ref="D156">INDEX('アイテム'!$AG$3:$AH$114, MATCH($A$1,'アイテム'!$A$3:$A$114,0), MATCH(D139,'アイテム'!$C$2:$AQ$2,0))</f>
        <v>22</v>
      </c>
      <c r="E156" s="322"/>
      <c r="F156" s="322"/>
      <c r="G156" s="114"/>
      <c r="H156" s="228"/>
      <c r="I156" s="228"/>
      <c r="J156" s="228"/>
      <c r="K156" s="118"/>
      <c r="L156" s="118"/>
      <c r="M156" s="118"/>
      <c r="N156" s="102"/>
      <c r="O156" s="102"/>
      <c r="P156" s="102"/>
      <c r="Q156" s="102"/>
      <c r="R156" s="118"/>
      <c r="S156" s="118"/>
      <c r="T156" s="118"/>
      <c r="U156" s="118"/>
      <c r="V156" s="118"/>
    </row>
    <row r="157" outlineLevel="1">
      <c r="A157" s="156"/>
      <c r="B157" s="327" t="s">
        <v>234</v>
      </c>
      <c r="C157" s="328">
        <f t="array" ref="C157">INDEX('アイテム'!$AI$3:$AJ$114, MATCH($A$1,'アイテム'!$A$3:$A$114,0), MATCH(C139,'アイテム'!$C$2:$AQ$2,0))</f>
        <v>11</v>
      </c>
      <c r="D157" s="328" t="str">
        <f t="array" ref="D157">INDEX('アイテム'!$AI$3:$AJ$114, MATCH($A$1,'アイテム'!$A$3:$A$114,0), MATCH(D139,'アイテム'!$C$2:$AQ$2,0))</f>
        <v>22</v>
      </c>
      <c r="E157" s="322"/>
      <c r="F157" s="322"/>
      <c r="G157" s="114"/>
      <c r="H157" s="228"/>
      <c r="I157" s="228"/>
      <c r="J157" s="228"/>
      <c r="K157" s="118"/>
      <c r="L157" s="118"/>
      <c r="M157" s="118"/>
      <c r="N157" s="102"/>
      <c r="O157" s="102"/>
      <c r="P157" s="102"/>
      <c r="Q157" s="102"/>
      <c r="R157" s="118"/>
      <c r="S157" s="118"/>
      <c r="T157" s="118"/>
      <c r="U157" s="118"/>
      <c r="V157" s="118"/>
    </row>
  </sheetData>
  <mergeCells count="140">
    <mergeCell ref="H26:J26"/>
    <mergeCell ref="H27:J27"/>
    <mergeCell ref="H28:J28"/>
    <mergeCell ref="H29:J31"/>
    <mergeCell ref="U29:U31"/>
    <mergeCell ref="H32:J34"/>
    <mergeCell ref="U32:U34"/>
    <mergeCell ref="H35:J35"/>
    <mergeCell ref="H36:J36"/>
    <mergeCell ref="H37:J39"/>
    <mergeCell ref="U37:U39"/>
    <mergeCell ref="H40:J44"/>
    <mergeCell ref="U40:U44"/>
    <mergeCell ref="H45:J46"/>
    <mergeCell ref="A37:A39"/>
    <mergeCell ref="A40:A44"/>
    <mergeCell ref="A45:A46"/>
    <mergeCell ref="A48:B49"/>
    <mergeCell ref="A51:A52"/>
    <mergeCell ref="A55:A56"/>
    <mergeCell ref="A58:B58"/>
    <mergeCell ref="A73:A78"/>
    <mergeCell ref="A80:A82"/>
    <mergeCell ref="A87:A89"/>
    <mergeCell ref="A91:A92"/>
    <mergeCell ref="A93:A94"/>
    <mergeCell ref="A95:A96"/>
    <mergeCell ref="A97:A98"/>
    <mergeCell ref="A59:B59"/>
    <mergeCell ref="A60:A61"/>
    <mergeCell ref="A62:B62"/>
    <mergeCell ref="A63:A66"/>
    <mergeCell ref="A67:A71"/>
    <mergeCell ref="A72:B72"/>
    <mergeCell ref="A79:B79"/>
    <mergeCell ref="A84:B85"/>
    <mergeCell ref="A90:B90"/>
    <mergeCell ref="A100:B101"/>
    <mergeCell ref="A102:A104"/>
    <mergeCell ref="A105:A106"/>
    <mergeCell ref="A108:B109"/>
    <mergeCell ref="A110:A114"/>
    <mergeCell ref="A138:B138"/>
    <mergeCell ref="A139:B139"/>
    <mergeCell ref="A140:A141"/>
    <mergeCell ref="A143:B143"/>
    <mergeCell ref="A144:A149"/>
    <mergeCell ref="A150:A153"/>
    <mergeCell ref="A154:A157"/>
    <mergeCell ref="A115:A117"/>
    <mergeCell ref="A118:A123"/>
    <mergeCell ref="C122:C123"/>
    <mergeCell ref="A124:A129"/>
    <mergeCell ref="C128:C129"/>
    <mergeCell ref="A130:A136"/>
    <mergeCell ref="C135:C136"/>
    <mergeCell ref="D40:D44"/>
    <mergeCell ref="D45:D46"/>
    <mergeCell ref="D51:D52"/>
    <mergeCell ref="I51:I52"/>
    <mergeCell ref="J51:J52"/>
    <mergeCell ref="D55:D56"/>
    <mergeCell ref="I55:I56"/>
    <mergeCell ref="H67:J71"/>
    <mergeCell ref="H72:J72"/>
    <mergeCell ref="J55:J56"/>
    <mergeCell ref="H59:J59"/>
    <mergeCell ref="H60:J61"/>
    <mergeCell ref="H62:J62"/>
    <mergeCell ref="D63:D64"/>
    <mergeCell ref="D70:D71"/>
    <mergeCell ref="D73:D77"/>
    <mergeCell ref="D95:D96"/>
    <mergeCell ref="G95:J96"/>
    <mergeCell ref="D97:D98"/>
    <mergeCell ref="G97:J98"/>
    <mergeCell ref="H63:J66"/>
    <mergeCell ref="H73:J78"/>
    <mergeCell ref="H79:J79"/>
    <mergeCell ref="H80:J82"/>
    <mergeCell ref="G90:J90"/>
    <mergeCell ref="D91:D92"/>
    <mergeCell ref="D93:D94"/>
    <mergeCell ref="K119:K122"/>
    <mergeCell ref="K123:L123"/>
    <mergeCell ref="K125:K128"/>
    <mergeCell ref="K132:L132"/>
    <mergeCell ref="D128:D129"/>
    <mergeCell ref="K129:L129"/>
    <mergeCell ref="D135:D136"/>
    <mergeCell ref="G91:J92"/>
    <mergeCell ref="G93:J94"/>
    <mergeCell ref="K109:L109"/>
    <mergeCell ref="K110:K111"/>
    <mergeCell ref="K112:L112"/>
    <mergeCell ref="K113:K118"/>
    <mergeCell ref="D122:D123"/>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A24:B25"/>
    <mergeCell ref="A26:A28"/>
    <mergeCell ref="A29:A31"/>
    <mergeCell ref="D29:D31"/>
    <mergeCell ref="A32:A34"/>
    <mergeCell ref="D32:D34"/>
    <mergeCell ref="D37:D39"/>
    <mergeCell ref="U45:U46"/>
    <mergeCell ref="R49:V49"/>
    <mergeCell ref="R50:V50"/>
    <mergeCell ref="R51:V52"/>
    <mergeCell ref="R53:V53"/>
    <mergeCell ref="R54:V54"/>
    <mergeCell ref="R55:V56"/>
    <mergeCell ref="D65:D66"/>
    <mergeCell ref="D68:D69"/>
    <mergeCell ref="U73:U78"/>
    <mergeCell ref="U80:U82"/>
    <mergeCell ref="U60:U61"/>
    <mergeCell ref="V60:V61"/>
    <mergeCell ref="U63:U66"/>
    <mergeCell ref="V63:V66"/>
    <mergeCell ref="U67:U71"/>
    <mergeCell ref="V67:V71"/>
    <mergeCell ref="V73:V78"/>
    <mergeCell ref="V80:V82"/>
  </mergeCells>
  <conditionalFormatting sqref="K1:K15 K17:K62 K64:K77 K79 K83:K90 K92 K94 K95:K96 K98:K133">
    <cfRule type="containsText" dxfId="0" priority="1" operator="containsText" text="361">
      <formula>NOT(ISERROR(SEARCH(("361"),(K1))))</formula>
    </cfRule>
  </conditionalFormatting>
  <conditionalFormatting sqref="K1:K15 K17:K62 K64:K77 K79 K83:K90 K92 K94 K95:K96 K98:K133">
    <cfRule type="containsText" dxfId="1" priority="2" operator="containsText" text="363">
      <formula>NOT(ISERROR(SEARCH(("363"),(K1))))</formula>
    </cfRule>
  </conditionalFormatting>
  <conditionalFormatting sqref="K1:K15 K17:K62 K64:K77 K79 K83:K90 K92 K94 K95:K96 K98:K133">
    <cfRule type="containsText" dxfId="1" priority="3" operator="containsText" text="365">
      <formula>NOT(ISERROR(SEARCH(("365"),(K1))))</formula>
    </cfRule>
  </conditionalFormatting>
  <conditionalFormatting sqref="K1:K15 K17:K62 K64:K77 K79 K83:K90 K92 K94 K95:K96 K98:K133">
    <cfRule type="containsText" dxfId="1" priority="4" operator="containsText" text="366">
      <formula>NOT(ISERROR(SEARCH(("366"),(K1))))</formula>
    </cfRule>
  </conditionalFormatting>
  <conditionalFormatting sqref="K1:K15 K17:K62 K64:K77 K79 K83:K90 K92 K94 K95:K96 K98:K133">
    <cfRule type="containsText" dxfId="1" priority="5" operator="containsText" text="367">
      <formula>NOT(ISERROR(SEARCH(("367"),(K1))))</formula>
    </cfRule>
  </conditionalFormatting>
  <conditionalFormatting sqref="P92 P94:P96">
    <cfRule type="cellIs" dxfId="2" priority="6" operator="equal">
      <formula>"敵のみ"</formula>
    </cfRule>
  </conditionalFormatting>
  <conditionalFormatting sqref="C92 C94:C96 C98">
    <cfRule type="cellIs" dxfId="3" priority="7" operator="equal">
      <formula>"-"</formula>
    </cfRule>
  </conditionalFormatting>
  <conditionalFormatting sqref="O1:O62 O64:O77 O79 O83:O90 O92 O94:O96 O98:O157">
    <cfRule type="cellIs" dxfId="4" priority="8" operator="greaterThan">
      <formula>0</formula>
    </cfRule>
  </conditionalFormatting>
  <conditionalFormatting sqref="P1:Q62 P64:Q77 P79:Q79 P83:Q90 P92:Q92 P94:Q96 Q98:Q157 P99:P157">
    <cfRule type="cellIs" dxfId="5" priority="9" operator="lessThan">
      <formula>1</formula>
    </cfRule>
  </conditionalFormatting>
  <conditionalFormatting sqref="P1:Q62 P64:Q77 P79:Q79 P83:Q90 P92:Q92 P94:Q96 Q98:Q157 P99:P157">
    <cfRule type="cellIs" dxfId="4" priority="10" operator="greaterThan">
      <formula>1</formula>
    </cfRule>
  </conditionalFormatting>
  <conditionalFormatting sqref="N25:N62 N64:N77 N79 N83:N90 N92 N94:N96 N98">
    <cfRule type="cellIs" dxfId="6" priority="11" operator="greaterThan">
      <formula>0</formula>
    </cfRule>
  </conditionalFormatting>
  <conditionalFormatting sqref="N1:N15 N17:N62 N64:N77 N79 N83:N90 N92 N94:N96 N98:N157">
    <cfRule type="containsText" dxfId="6" priority="12" operator="containsText" text="/">
      <formula>NOT(ISERROR(SEARCH(("/"),(N1))))</formula>
    </cfRule>
  </conditionalFormatting>
  <drawing r:id="rId2"/>
  <legacyDrawing r:id="rId3"/>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DD261"/>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805">
        <v>37.0</v>
      </c>
      <c r="B1" s="1806"/>
      <c r="C1" s="1807" t="str">
        <f>IMAGE(VLOOKUP($A$1,Fighters!A2:AI114,12,FALSE),1)</f>
        <v>#REF!</v>
      </c>
      <c r="D1" s="1808"/>
      <c r="E1" s="1808"/>
      <c r="F1" s="1808"/>
      <c r="G1" s="1809"/>
      <c r="H1" s="1810"/>
      <c r="I1" s="1808"/>
      <c r="J1" s="1809"/>
      <c r="K1" s="1811"/>
      <c r="L1" s="1808"/>
      <c r="M1" s="1809"/>
      <c r="N1" s="1812"/>
      <c r="O1" s="1812"/>
      <c r="P1" s="1812"/>
      <c r="Q1" s="1812"/>
      <c r="R1" s="1813"/>
      <c r="S1" s="1813"/>
      <c r="T1" s="1813"/>
      <c r="U1" s="1813"/>
      <c r="V1" s="1813"/>
    </row>
    <row r="2">
      <c r="A2" s="1814" t="str">
        <f>VLOOKUP($A$1,Fighters!$A$2:$AI$81,6,FALSE)</f>
        <v>#edd261</v>
      </c>
      <c r="B2" s="1806"/>
      <c r="C2" s="1815"/>
      <c r="G2" s="1816"/>
      <c r="H2" s="1817"/>
      <c r="I2" s="1818"/>
      <c r="J2" s="1819"/>
      <c r="K2" s="1817"/>
      <c r="L2" s="1818"/>
      <c r="M2" s="1819"/>
      <c r="N2" s="1812"/>
      <c r="O2" s="1812"/>
      <c r="P2" s="1812"/>
      <c r="Q2" s="1812"/>
      <c r="R2" s="1813"/>
      <c r="S2" s="1813"/>
      <c r="T2" s="1813"/>
      <c r="U2" s="1813"/>
      <c r="V2" s="1813"/>
    </row>
    <row r="3">
      <c r="A3" s="1814" t="str">
        <f>VLOOKUP($A$1,Fighters!$A$2:$AI$81,14,FALSE)</f>
        <v>37. リュカ</v>
      </c>
      <c r="B3" s="1806"/>
      <c r="C3" s="1815"/>
      <c r="G3" s="1816"/>
      <c r="H3" s="1820"/>
      <c r="I3" s="1820"/>
      <c r="J3" s="1820"/>
      <c r="K3" s="1821"/>
      <c r="L3" s="1821"/>
      <c r="M3" s="1821"/>
      <c r="N3" s="1812"/>
      <c r="O3" s="1812"/>
      <c r="P3" s="1812"/>
      <c r="Q3" s="1812"/>
      <c r="R3" s="1822"/>
      <c r="S3" s="1813"/>
      <c r="T3" s="1813"/>
      <c r="U3" s="1813"/>
      <c r="V3" s="1813"/>
    </row>
    <row r="4">
      <c r="A4" s="1814" t="str">
        <f>VLOOKUP($A$1,Fighters!$A$2:$AI$81,13,FALSE)</f>
        <v>0</v>
      </c>
      <c r="B4" s="1806"/>
      <c r="C4" s="1815"/>
      <c r="G4" s="1816"/>
      <c r="H4" s="1823"/>
      <c r="I4" s="1823"/>
      <c r="J4" s="1820"/>
      <c r="K4" s="1821"/>
      <c r="L4" s="1821"/>
      <c r="M4" s="1821"/>
      <c r="N4" s="1812"/>
      <c r="O4" s="1812"/>
      <c r="P4" s="1812"/>
      <c r="Q4" s="1812"/>
      <c r="R4" s="1822"/>
      <c r="S4" s="1813"/>
      <c r="T4" s="1813"/>
      <c r="U4" s="1813"/>
      <c r="V4" s="1813"/>
    </row>
    <row r="5" ht="16.5" customHeight="1">
      <c r="A5" s="1805"/>
      <c r="B5" s="1806"/>
      <c r="C5" s="1815"/>
      <c r="G5" s="1816"/>
      <c r="H5" s="1824"/>
      <c r="I5" s="1824"/>
      <c r="J5" s="1825"/>
      <c r="K5" s="1826"/>
      <c r="L5" s="1827"/>
      <c r="M5" s="1827"/>
      <c r="N5" s="1812"/>
      <c r="O5" s="1812"/>
      <c r="P5" s="1812"/>
      <c r="Q5" s="1812"/>
      <c r="R5" s="1822"/>
      <c r="S5" s="1813"/>
      <c r="T5" s="1813"/>
      <c r="U5" s="1813"/>
      <c r="V5" s="1813"/>
    </row>
    <row r="6">
      <c r="A6" s="1806"/>
      <c r="B6" s="1806"/>
      <c r="C6" s="1815"/>
      <c r="G6" s="1816"/>
      <c r="H6" s="1823"/>
      <c r="I6" s="1828" t="s">
        <v>39</v>
      </c>
      <c r="J6" s="1826"/>
      <c r="K6" s="1829"/>
      <c r="L6" s="1827"/>
      <c r="M6" s="1827"/>
      <c r="N6" s="1812"/>
      <c r="O6" s="1812"/>
      <c r="P6" s="1812"/>
      <c r="Q6" s="1812"/>
      <c r="R6" s="1822"/>
      <c r="S6" s="1813"/>
      <c r="T6" s="1813"/>
      <c r="U6" s="1813"/>
      <c r="V6" s="1813"/>
    </row>
    <row r="7">
      <c r="A7" s="1806"/>
      <c r="B7" s="1806"/>
      <c r="C7" s="1815"/>
      <c r="G7" s="1816"/>
      <c r="H7" s="1824"/>
      <c r="I7" s="1824"/>
      <c r="J7" s="1826"/>
      <c r="K7" s="1829"/>
      <c r="L7" s="1827"/>
      <c r="M7" s="1827"/>
      <c r="N7" s="1812"/>
      <c r="O7" s="1812"/>
      <c r="P7" s="1812"/>
      <c r="Q7" s="1812"/>
      <c r="R7" s="1822"/>
      <c r="S7" s="1813"/>
      <c r="T7" s="1813"/>
      <c r="U7" s="1813"/>
      <c r="V7" s="1813"/>
    </row>
    <row r="8">
      <c r="A8" s="1806"/>
      <c r="B8" s="1806"/>
      <c r="C8" s="1815"/>
      <c r="G8" s="1816"/>
      <c r="H8" s="1830">
        <v>44379.84442193287</v>
      </c>
      <c r="I8" s="1808"/>
      <c r="J8" s="1809"/>
      <c r="K8" s="1826"/>
      <c r="L8" s="1827"/>
      <c r="M8" s="1827"/>
      <c r="N8" s="1812"/>
      <c r="O8" s="1812"/>
      <c r="P8" s="1812"/>
      <c r="Q8" s="1812"/>
      <c r="R8" s="1822"/>
      <c r="S8" s="1813"/>
      <c r="T8" s="1813"/>
      <c r="U8" s="1813"/>
      <c r="V8" s="1813"/>
    </row>
    <row r="9">
      <c r="A9" s="1806"/>
      <c r="B9" s="1806"/>
      <c r="C9" s="1815"/>
      <c r="G9" s="1816"/>
      <c r="H9" s="1817"/>
      <c r="I9" s="1818"/>
      <c r="J9" s="1819"/>
      <c r="K9" s="1813"/>
      <c r="L9" s="1812"/>
      <c r="M9" s="1812"/>
      <c r="N9" s="1812"/>
      <c r="O9" s="1812"/>
      <c r="P9" s="1812"/>
      <c r="Q9" s="1812"/>
      <c r="R9" s="1822"/>
      <c r="S9" s="1813"/>
      <c r="T9" s="1813"/>
      <c r="U9" s="1813"/>
      <c r="V9" s="1813"/>
    </row>
    <row r="10">
      <c r="A10" s="1806"/>
      <c r="B10" s="1806"/>
      <c r="C10" s="1815"/>
      <c r="G10" s="1816"/>
      <c r="H10" s="1831"/>
      <c r="I10" s="1831"/>
      <c r="J10" s="1813"/>
      <c r="K10" s="1813"/>
      <c r="L10" s="1812"/>
      <c r="M10" s="1812"/>
      <c r="N10" s="1812"/>
      <c r="O10" s="1812"/>
      <c r="P10" s="1812"/>
      <c r="Q10" s="1812"/>
      <c r="R10" s="1822"/>
      <c r="S10" s="1813"/>
      <c r="T10" s="1813"/>
      <c r="U10" s="1813"/>
      <c r="V10" s="1813"/>
    </row>
    <row r="11">
      <c r="A11" s="1832" t="s">
        <v>40</v>
      </c>
      <c r="B11" s="1809"/>
      <c r="C11" s="1815"/>
      <c r="G11" s="1816"/>
      <c r="H11" s="1824"/>
      <c r="I11" s="1824"/>
      <c r="J11" s="1813"/>
      <c r="K11" s="1813"/>
      <c r="L11" s="1812"/>
      <c r="M11" s="1812"/>
      <c r="N11" s="1812"/>
      <c r="O11" s="1812"/>
      <c r="P11" s="1812"/>
      <c r="Q11" s="1812"/>
      <c r="R11" s="1822"/>
      <c r="S11" s="1813"/>
      <c r="T11" s="1813"/>
      <c r="U11" s="1813"/>
      <c r="V11" s="1813"/>
    </row>
    <row r="12">
      <c r="A12" s="1817"/>
      <c r="B12" s="1819"/>
      <c r="C12" s="1817"/>
      <c r="D12" s="1818"/>
      <c r="E12" s="1818"/>
      <c r="F12" s="1818"/>
      <c r="G12" s="1819"/>
      <c r="H12" s="1833"/>
      <c r="I12" s="1833"/>
      <c r="J12" s="1806"/>
      <c r="K12" s="1806"/>
      <c r="L12" s="1812"/>
      <c r="M12" s="1812"/>
      <c r="N12" s="1812"/>
      <c r="O12" s="1812"/>
      <c r="P12" s="1812"/>
      <c r="Q12" s="1812"/>
      <c r="R12" s="1822"/>
      <c r="S12" s="1813"/>
      <c r="T12" s="1813"/>
      <c r="U12" s="1813"/>
      <c r="V12" s="181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94 [48th]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1.815 [62nd]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0.893 [74th]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50F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[84th]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29.41 [73rd]</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1.65 [52nd]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 [78th]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1.155 [20th]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0.095 [16th]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44.13 [8th]</v>
      </c>
      <c r="O20" s="99"/>
      <c r="P20" s="99"/>
      <c r="Q20" s="99"/>
      <c r="R20" s="99"/>
      <c r="S20" s="100"/>
      <c r="T20" s="100"/>
      <c r="U20" s="100"/>
      <c r="V20" s="100"/>
    </row>
    <row r="21" outlineLevel="1">
      <c r="A21" s="112" t="str">
        <f>'テンプレート'!A21</f>
        <v>空中ワイヤー</v>
      </c>
      <c r="B21" s="115" t="b">
        <v>1</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1.37 [70th]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0.014 [30th]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2.192 [70th]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 [45th]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616" t="s">
        <v>176</v>
      </c>
      <c r="D26" s="616" t="s">
        <v>2735</v>
      </c>
      <c r="E26" s="616" t="s">
        <v>535</v>
      </c>
      <c r="F26" s="246">
        <v>3.0</v>
      </c>
      <c r="G26" s="616" t="s">
        <v>147</v>
      </c>
      <c r="H26" s="362" t="s">
        <v>2736</v>
      </c>
      <c r="I26" s="110"/>
      <c r="J26" s="109"/>
      <c r="K26" s="138"/>
      <c r="L26" s="282"/>
      <c r="M26" s="363"/>
      <c r="N26" s="363"/>
      <c r="O26" s="145">
        <v>0.0</v>
      </c>
      <c r="P26" s="145">
        <v>1.0</v>
      </c>
      <c r="Q26" s="145">
        <v>1.0</v>
      </c>
      <c r="R26" s="100"/>
      <c r="S26" s="100"/>
      <c r="T26" s="100"/>
      <c r="U26" s="145" t="s">
        <v>69</v>
      </c>
      <c r="V26" s="100"/>
    </row>
    <row r="27" outlineLevel="1">
      <c r="A27" s="146"/>
      <c r="B27" s="147" t="s">
        <v>63</v>
      </c>
      <c r="C27" s="214" t="s">
        <v>204</v>
      </c>
      <c r="D27" s="616" t="s">
        <v>296</v>
      </c>
      <c r="E27" s="214" t="s">
        <v>1024</v>
      </c>
      <c r="F27" s="246">
        <v>1.7999999999999998</v>
      </c>
      <c r="G27" s="616" t="s">
        <v>60</v>
      </c>
      <c r="H27" s="362" t="s">
        <v>2737</v>
      </c>
      <c r="I27" s="110"/>
      <c r="J27" s="109"/>
      <c r="K27" s="282"/>
      <c r="L27" s="282"/>
      <c r="M27" s="363"/>
      <c r="N27" s="363"/>
      <c r="O27" s="145">
        <v>0.0</v>
      </c>
      <c r="P27" s="145">
        <v>1.0</v>
      </c>
      <c r="Q27" s="145">
        <v>1.0</v>
      </c>
      <c r="R27" s="100"/>
      <c r="S27" s="100"/>
      <c r="T27" s="100"/>
      <c r="U27" s="145" t="s">
        <v>76</v>
      </c>
      <c r="V27" s="100"/>
    </row>
    <row r="28" outlineLevel="1">
      <c r="A28" s="156"/>
      <c r="B28" s="147" t="s">
        <v>70</v>
      </c>
      <c r="C28" s="214" t="s">
        <v>217</v>
      </c>
      <c r="D28" s="214" t="s">
        <v>99</v>
      </c>
      <c r="E28" s="214" t="s">
        <v>651</v>
      </c>
      <c r="F28" s="246">
        <v>4.2</v>
      </c>
      <c r="G28" s="616" t="s">
        <v>147</v>
      </c>
      <c r="H28" s="362"/>
      <c r="I28" s="110"/>
      <c r="J28" s="109"/>
      <c r="K28" s="282"/>
      <c r="L28" s="282"/>
      <c r="M28" s="363"/>
      <c r="N28" s="363"/>
      <c r="O28" s="145">
        <v>0.0</v>
      </c>
      <c r="P28" s="145">
        <v>1.0</v>
      </c>
      <c r="Q28" s="145">
        <v>1.0</v>
      </c>
      <c r="R28" s="100"/>
      <c r="S28" s="100"/>
      <c r="T28" s="100"/>
      <c r="U28" s="145" t="s">
        <v>76</v>
      </c>
      <c r="V28" s="100"/>
    </row>
    <row r="29" outlineLevel="1">
      <c r="A29" s="170" t="s">
        <v>77</v>
      </c>
      <c r="B29" s="147"/>
      <c r="C29" s="780" t="s">
        <v>1734</v>
      </c>
      <c r="D29" s="214" t="s">
        <v>79</v>
      </c>
      <c r="E29" s="214" t="s">
        <v>2738</v>
      </c>
      <c r="F29" s="246" t="s">
        <v>2739</v>
      </c>
      <c r="G29" s="616" t="s">
        <v>2740</v>
      </c>
      <c r="H29" s="362"/>
      <c r="I29" s="110"/>
      <c r="J29" s="109"/>
      <c r="K29" s="246"/>
      <c r="L29" s="1834"/>
      <c r="M29" s="1835"/>
      <c r="N29" s="1835"/>
      <c r="O29" s="790">
        <v>1.0</v>
      </c>
      <c r="P29" s="790">
        <v>1.0</v>
      </c>
      <c r="Q29" s="790">
        <v>1.0</v>
      </c>
      <c r="R29" s="1836"/>
      <c r="S29" s="1836"/>
      <c r="T29" s="1836"/>
      <c r="U29" s="790" t="s">
        <v>69</v>
      </c>
      <c r="V29" s="1836"/>
    </row>
    <row r="30" outlineLevel="1">
      <c r="A30" s="170" t="s">
        <v>89</v>
      </c>
      <c r="B30" s="147" t="s">
        <v>90</v>
      </c>
      <c r="C30" s="214" t="s">
        <v>277</v>
      </c>
      <c r="D30" s="214" t="s">
        <v>92</v>
      </c>
      <c r="E30" s="214" t="s">
        <v>2741</v>
      </c>
      <c r="F30" s="246" t="s">
        <v>2742</v>
      </c>
      <c r="G30" s="616" t="s">
        <v>1211</v>
      </c>
      <c r="H30" s="362" t="s">
        <v>2743</v>
      </c>
      <c r="I30" s="110"/>
      <c r="J30" s="109"/>
      <c r="K30" s="138"/>
      <c r="L30" s="282"/>
      <c r="M30" s="363"/>
      <c r="N30" s="363"/>
      <c r="O30" s="145">
        <v>0.0</v>
      </c>
      <c r="P30" s="145">
        <v>1.0</v>
      </c>
      <c r="Q30" s="145">
        <v>1.0</v>
      </c>
      <c r="R30" s="100"/>
      <c r="S30" s="100"/>
      <c r="T30" s="100"/>
      <c r="U30" s="145" t="s">
        <v>96</v>
      </c>
      <c r="V30" s="100"/>
    </row>
    <row r="31" outlineLevel="1">
      <c r="A31" s="133" t="s">
        <v>97</v>
      </c>
      <c r="B31" s="147" t="s">
        <v>125</v>
      </c>
      <c r="C31" s="214" t="s">
        <v>73</v>
      </c>
      <c r="D31" s="191" t="s">
        <v>72</v>
      </c>
      <c r="E31" s="214" t="s">
        <v>1024</v>
      </c>
      <c r="F31" s="246">
        <v>1.7999999999999998</v>
      </c>
      <c r="G31" s="616" t="s">
        <v>60</v>
      </c>
      <c r="H31" s="395" t="s">
        <v>2744</v>
      </c>
      <c r="I31" s="164"/>
      <c r="J31" s="104"/>
      <c r="K31" s="282"/>
      <c r="L31" s="282"/>
      <c r="M31" s="363"/>
      <c r="N31" s="363"/>
      <c r="O31" s="145">
        <v>0.0</v>
      </c>
      <c r="P31" s="145">
        <v>0.5</v>
      </c>
      <c r="Q31" s="145">
        <v>1.0</v>
      </c>
      <c r="R31" s="100"/>
      <c r="S31" s="100"/>
      <c r="T31" s="100"/>
      <c r="U31" s="166" t="s">
        <v>62</v>
      </c>
      <c r="V31" s="100"/>
    </row>
    <row r="32" outlineLevel="1">
      <c r="A32" s="146"/>
      <c r="B32" s="147" t="s">
        <v>131</v>
      </c>
      <c r="C32" s="214" t="s">
        <v>975</v>
      </c>
      <c r="D32" s="210"/>
      <c r="E32" s="214" t="s">
        <v>80</v>
      </c>
      <c r="F32" s="246">
        <v>9.6</v>
      </c>
      <c r="G32" s="616" t="s">
        <v>123</v>
      </c>
      <c r="H32" s="212"/>
      <c r="J32" s="210"/>
      <c r="K32" s="145"/>
      <c r="L32" s="363"/>
      <c r="M32" s="363"/>
      <c r="N32" s="363"/>
      <c r="O32" s="145">
        <v>0.0</v>
      </c>
      <c r="P32" s="145">
        <v>1.0</v>
      </c>
      <c r="Q32" s="145">
        <v>0.5</v>
      </c>
      <c r="R32" s="100"/>
      <c r="S32" s="100"/>
      <c r="T32" s="100"/>
      <c r="U32" s="146"/>
      <c r="V32" s="100"/>
    </row>
    <row r="33" outlineLevel="1">
      <c r="A33" s="146"/>
      <c r="B33" s="147" t="s">
        <v>1235</v>
      </c>
      <c r="C33" s="214" t="s">
        <v>580</v>
      </c>
      <c r="D33" s="210"/>
      <c r="E33" s="214" t="s">
        <v>150</v>
      </c>
      <c r="F33" s="246">
        <v>6.0</v>
      </c>
      <c r="G33" s="616" t="s">
        <v>102</v>
      </c>
      <c r="H33" s="212"/>
      <c r="J33" s="210"/>
      <c r="K33" s="145"/>
      <c r="L33" s="363"/>
      <c r="M33" s="363"/>
      <c r="N33" s="363"/>
      <c r="O33" s="145">
        <v>0.0</v>
      </c>
      <c r="P33" s="145">
        <v>0.5</v>
      </c>
      <c r="Q33" s="145">
        <v>1.0</v>
      </c>
      <c r="R33" s="100"/>
      <c r="S33" s="100"/>
      <c r="T33" s="100"/>
      <c r="U33" s="146"/>
      <c r="V33" s="100"/>
    </row>
    <row r="34" outlineLevel="1">
      <c r="A34" s="156"/>
      <c r="B34" s="147" t="s">
        <v>1234</v>
      </c>
      <c r="C34" s="214" t="s">
        <v>561</v>
      </c>
      <c r="D34" s="107"/>
      <c r="E34" s="214" t="s">
        <v>150</v>
      </c>
      <c r="F34" s="246">
        <v>6.0</v>
      </c>
      <c r="G34" s="616" t="s">
        <v>102</v>
      </c>
      <c r="H34" s="106"/>
      <c r="I34" s="168"/>
      <c r="J34" s="107"/>
      <c r="K34" s="145"/>
      <c r="L34" s="363"/>
      <c r="M34" s="363"/>
      <c r="N34" s="363"/>
      <c r="O34" s="145"/>
      <c r="P34" s="145"/>
      <c r="Q34" s="145"/>
      <c r="R34" s="100"/>
      <c r="S34" s="100"/>
      <c r="T34" s="100"/>
      <c r="U34" s="156"/>
      <c r="V34" s="100"/>
    </row>
    <row r="35" outlineLevel="1">
      <c r="A35" s="170" t="s">
        <v>103</v>
      </c>
      <c r="B35" s="160"/>
      <c r="C35" s="214" t="s">
        <v>71</v>
      </c>
      <c r="D35" s="214" t="s">
        <v>386</v>
      </c>
      <c r="E35" s="214" t="s">
        <v>150</v>
      </c>
      <c r="F35" s="246">
        <v>6.0</v>
      </c>
      <c r="G35" s="616" t="s">
        <v>102</v>
      </c>
      <c r="H35" s="362"/>
      <c r="I35" s="110"/>
      <c r="J35" s="109"/>
      <c r="K35" s="145"/>
      <c r="L35" s="363"/>
      <c r="M35" s="363"/>
      <c r="N35" s="363"/>
      <c r="O35" s="145">
        <v>0.0</v>
      </c>
      <c r="P35" s="145">
        <v>0.7</v>
      </c>
      <c r="Q35" s="145">
        <v>0.4</v>
      </c>
      <c r="R35" s="100"/>
      <c r="S35" s="100"/>
      <c r="T35" s="100"/>
      <c r="U35" s="145" t="s">
        <v>69</v>
      </c>
      <c r="V35" s="100"/>
    </row>
    <row r="36" outlineLevel="1">
      <c r="A36" s="170" t="s">
        <v>109</v>
      </c>
      <c r="B36" s="147"/>
      <c r="C36" s="214" t="s">
        <v>2745</v>
      </c>
      <c r="D36" s="214" t="s">
        <v>146</v>
      </c>
      <c r="E36" s="214" t="s">
        <v>1228</v>
      </c>
      <c r="F36" s="246" t="s">
        <v>1229</v>
      </c>
      <c r="G36" s="616" t="s">
        <v>637</v>
      </c>
      <c r="H36" s="362" t="s">
        <v>2746</v>
      </c>
      <c r="I36" s="110"/>
      <c r="J36" s="109"/>
      <c r="K36" s="282"/>
      <c r="L36" s="282"/>
      <c r="M36" s="363"/>
      <c r="N36" s="363"/>
      <c r="O36" s="145">
        <v>0.0</v>
      </c>
      <c r="P36" s="145">
        <v>1.0</v>
      </c>
      <c r="Q36" s="145">
        <v>1.0</v>
      </c>
      <c r="R36" s="100"/>
      <c r="S36" s="100"/>
      <c r="T36" s="100"/>
      <c r="U36" s="145" t="s">
        <v>102</v>
      </c>
      <c r="V36" s="100"/>
    </row>
    <row r="37" outlineLevel="1">
      <c r="A37" s="133" t="s">
        <v>116</v>
      </c>
      <c r="B37" s="147" t="s">
        <v>125</v>
      </c>
      <c r="C37" s="245" t="s">
        <v>593</v>
      </c>
      <c r="D37" s="823" t="s">
        <v>2747</v>
      </c>
      <c r="E37" s="245" t="s">
        <v>176</v>
      </c>
      <c r="F37" s="138">
        <v>2.4</v>
      </c>
      <c r="G37" s="616" t="s">
        <v>60</v>
      </c>
      <c r="H37" s="386" t="s">
        <v>2748</v>
      </c>
      <c r="I37" s="164"/>
      <c r="J37" s="104"/>
      <c r="K37" s="363"/>
      <c r="L37" s="363"/>
      <c r="M37" s="363"/>
      <c r="N37" s="363"/>
      <c r="O37" s="145">
        <v>0.0</v>
      </c>
      <c r="P37" s="145">
        <v>1.0</v>
      </c>
      <c r="Q37" s="145">
        <v>1.0</v>
      </c>
      <c r="R37" s="100"/>
      <c r="S37" s="100"/>
      <c r="T37" s="100"/>
      <c r="U37" s="166" t="s">
        <v>62</v>
      </c>
      <c r="V37" s="100"/>
    </row>
    <row r="38" outlineLevel="1">
      <c r="A38" s="146"/>
      <c r="B38" s="147" t="s">
        <v>131</v>
      </c>
      <c r="C38" s="214" t="s">
        <v>2749</v>
      </c>
      <c r="D38" s="210"/>
      <c r="E38" s="214" t="s">
        <v>65</v>
      </c>
      <c r="F38" s="138">
        <v>25.2</v>
      </c>
      <c r="G38" s="616" t="s">
        <v>82</v>
      </c>
      <c r="H38" s="212"/>
      <c r="J38" s="210"/>
      <c r="K38" s="363"/>
      <c r="L38" s="363"/>
      <c r="M38" s="363"/>
      <c r="N38" s="363"/>
      <c r="O38" s="145">
        <v>0.0</v>
      </c>
      <c r="P38" s="145">
        <v>1.0</v>
      </c>
      <c r="Q38" s="145">
        <v>1.0</v>
      </c>
      <c r="R38" s="100"/>
      <c r="S38" s="100"/>
      <c r="T38" s="100"/>
      <c r="U38" s="146"/>
      <c r="V38" s="100"/>
    </row>
    <row r="39" outlineLevel="1">
      <c r="A39" s="146"/>
      <c r="B39" s="147" t="s">
        <v>1235</v>
      </c>
      <c r="C39" s="1457" t="s">
        <v>2750</v>
      </c>
      <c r="D39" s="210"/>
      <c r="E39" s="214" t="s">
        <v>718</v>
      </c>
      <c r="F39" s="138">
        <v>24.0</v>
      </c>
      <c r="G39" s="616" t="s">
        <v>297</v>
      </c>
      <c r="H39" s="212"/>
      <c r="J39" s="210"/>
      <c r="K39" s="363"/>
      <c r="L39" s="363"/>
      <c r="M39" s="363"/>
      <c r="N39" s="363"/>
      <c r="O39" s="145">
        <v>0.0</v>
      </c>
      <c r="P39" s="145">
        <v>1.0</v>
      </c>
      <c r="Q39" s="145">
        <v>1.0</v>
      </c>
      <c r="R39" s="100"/>
      <c r="S39" s="100"/>
      <c r="T39" s="100"/>
      <c r="U39" s="146"/>
      <c r="V39" s="100"/>
    </row>
    <row r="40" outlineLevel="1">
      <c r="A40" s="146"/>
      <c r="B40" s="147" t="s">
        <v>1234</v>
      </c>
      <c r="C40" s="1457" t="s">
        <v>2751</v>
      </c>
      <c r="D40" s="210"/>
      <c r="E40" s="214" t="s">
        <v>466</v>
      </c>
      <c r="F40" s="138">
        <v>21.599999999999998</v>
      </c>
      <c r="G40" s="616" t="s">
        <v>407</v>
      </c>
      <c r="H40" s="212"/>
      <c r="J40" s="210"/>
      <c r="K40" s="363"/>
      <c r="L40" s="363"/>
      <c r="M40" s="363"/>
      <c r="N40" s="363"/>
      <c r="O40" s="145">
        <v>0.0</v>
      </c>
      <c r="P40" s="145">
        <v>1.0</v>
      </c>
      <c r="Q40" s="145">
        <v>1.0</v>
      </c>
      <c r="R40" s="100"/>
      <c r="S40" s="100"/>
      <c r="T40" s="100"/>
      <c r="U40" s="146"/>
      <c r="V40" s="100"/>
    </row>
    <row r="41" outlineLevel="1">
      <c r="A41" s="146"/>
      <c r="B41" s="147" t="s">
        <v>2584</v>
      </c>
      <c r="C41" s="1457" t="s">
        <v>2752</v>
      </c>
      <c r="D41" s="210"/>
      <c r="E41" s="214" t="s">
        <v>153</v>
      </c>
      <c r="F41" s="138">
        <v>19.2</v>
      </c>
      <c r="G41" s="616" t="s">
        <v>88</v>
      </c>
      <c r="H41" s="212"/>
      <c r="J41" s="210"/>
      <c r="K41" s="363"/>
      <c r="L41" s="363"/>
      <c r="M41" s="363"/>
      <c r="N41" s="363"/>
      <c r="O41" s="145">
        <v>0.0</v>
      </c>
      <c r="P41" s="145">
        <v>1.0</v>
      </c>
      <c r="Q41" s="145">
        <v>1.0</v>
      </c>
      <c r="R41" s="100"/>
      <c r="S41" s="100"/>
      <c r="T41" s="100"/>
      <c r="U41" s="146"/>
      <c r="V41" s="100"/>
    </row>
    <row r="42" outlineLevel="1">
      <c r="A42" s="146"/>
      <c r="B42" s="147" t="s">
        <v>2585</v>
      </c>
      <c r="C42" s="1457" t="s">
        <v>2753</v>
      </c>
      <c r="D42" s="210"/>
      <c r="E42" s="214" t="s">
        <v>119</v>
      </c>
      <c r="F42" s="138">
        <v>16.8</v>
      </c>
      <c r="G42" s="822"/>
      <c r="H42" s="212"/>
      <c r="J42" s="210"/>
      <c r="K42" s="363"/>
      <c r="L42" s="363"/>
      <c r="M42" s="363"/>
      <c r="N42" s="363"/>
      <c r="O42" s="145"/>
      <c r="P42" s="145"/>
      <c r="Q42" s="145"/>
      <c r="R42" s="100"/>
      <c r="S42" s="100"/>
      <c r="T42" s="100"/>
      <c r="U42" s="146"/>
      <c r="V42" s="100"/>
    </row>
    <row r="43" outlineLevel="1">
      <c r="A43" s="156"/>
      <c r="B43" s="147" t="s">
        <v>2586</v>
      </c>
      <c r="C43" s="1457" t="s">
        <v>2754</v>
      </c>
      <c r="D43" s="107"/>
      <c r="E43" s="214" t="s">
        <v>119</v>
      </c>
      <c r="F43" s="138">
        <v>16.8</v>
      </c>
      <c r="G43" s="822"/>
      <c r="H43" s="106"/>
      <c r="I43" s="168"/>
      <c r="J43" s="107"/>
      <c r="K43" s="363"/>
      <c r="L43" s="363"/>
      <c r="M43" s="363"/>
      <c r="N43" s="363"/>
      <c r="O43" s="145">
        <v>0.0</v>
      </c>
      <c r="P43" s="145">
        <v>1.0</v>
      </c>
      <c r="Q43" s="145">
        <v>1.0</v>
      </c>
      <c r="R43" s="100"/>
      <c r="S43" s="100"/>
      <c r="T43" s="100"/>
      <c r="U43" s="156"/>
      <c r="V43" s="100"/>
    </row>
    <row r="44" outlineLevel="1">
      <c r="A44" s="133" t="s">
        <v>124</v>
      </c>
      <c r="B44" s="147" t="s">
        <v>125</v>
      </c>
      <c r="C44" s="214" t="s">
        <v>2755</v>
      </c>
      <c r="D44" s="823" t="s">
        <v>462</v>
      </c>
      <c r="E44" s="245" t="s">
        <v>394</v>
      </c>
      <c r="F44" s="138">
        <v>20.4</v>
      </c>
      <c r="G44" s="616" t="s">
        <v>88</v>
      </c>
      <c r="H44" s="175" t="s">
        <v>2756</v>
      </c>
      <c r="I44" s="164"/>
      <c r="J44" s="104"/>
      <c r="K44" s="282"/>
      <c r="L44" s="282"/>
      <c r="M44" s="363"/>
      <c r="N44" s="363"/>
      <c r="O44" s="145">
        <v>0.0</v>
      </c>
      <c r="P44" s="145">
        <v>1.0</v>
      </c>
      <c r="Q44" s="145">
        <v>1.0</v>
      </c>
      <c r="R44" s="100"/>
      <c r="S44" s="100"/>
      <c r="T44" s="100"/>
      <c r="U44" s="166" t="s">
        <v>62</v>
      </c>
      <c r="V44" s="100"/>
    </row>
    <row r="45" outlineLevel="1">
      <c r="A45" s="146"/>
      <c r="B45" s="147" t="s">
        <v>131</v>
      </c>
      <c r="C45" s="214" t="s">
        <v>2757</v>
      </c>
      <c r="D45" s="210"/>
      <c r="E45" s="245" t="s">
        <v>119</v>
      </c>
      <c r="F45" s="138">
        <v>16.8</v>
      </c>
      <c r="G45" s="616" t="s">
        <v>121</v>
      </c>
      <c r="H45" s="212"/>
      <c r="J45" s="210"/>
      <c r="K45" s="282"/>
      <c r="L45" s="282"/>
      <c r="M45" s="363"/>
      <c r="N45" s="363"/>
      <c r="O45" s="145">
        <v>0.0</v>
      </c>
      <c r="P45" s="145">
        <v>1.0</v>
      </c>
      <c r="Q45" s="145">
        <v>1.0</v>
      </c>
      <c r="R45" s="100"/>
      <c r="S45" s="100"/>
      <c r="T45" s="100"/>
      <c r="U45" s="146"/>
      <c r="V45" s="100"/>
    </row>
    <row r="46" outlineLevel="1">
      <c r="A46" s="156"/>
      <c r="B46" s="147" t="s">
        <v>434</v>
      </c>
      <c r="C46" s="214" t="s">
        <v>2758</v>
      </c>
      <c r="D46" s="107"/>
      <c r="E46" s="245" t="s">
        <v>232</v>
      </c>
      <c r="F46" s="138">
        <v>13.2</v>
      </c>
      <c r="G46" s="616" t="s">
        <v>123</v>
      </c>
      <c r="H46" s="106"/>
      <c r="I46" s="168"/>
      <c r="J46" s="107"/>
      <c r="K46" s="282"/>
      <c r="L46" s="282"/>
      <c r="M46" s="363"/>
      <c r="N46" s="363"/>
      <c r="O46" s="145">
        <v>0.0</v>
      </c>
      <c r="P46" s="145">
        <v>1.0</v>
      </c>
      <c r="Q46" s="145">
        <v>1.0</v>
      </c>
      <c r="R46" s="100"/>
      <c r="S46" s="100"/>
      <c r="T46" s="100"/>
      <c r="U46" s="156"/>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
        <v>133</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
        <v>48</v>
      </c>
      <c r="D49" s="183" t="s">
        <v>49</v>
      </c>
      <c r="E49" s="182" t="s">
        <v>50</v>
      </c>
      <c r="F49" s="184" t="s">
        <v>51</v>
      </c>
      <c r="G49" s="184" t="s">
        <v>134</v>
      </c>
      <c r="H49" s="185" t="str">
        <f>'テンプレート'!H56</f>
        <v>ガード硬直</v>
      </c>
      <c r="I49" s="184" t="str">
        <f>'テンプレート'!I56</f>
        <v>着地隙</v>
      </c>
      <c r="J49" s="184" t="s">
        <v>136</v>
      </c>
      <c r="K49" s="184" t="str">
        <f>'テンプレート'!K56</f>
        <v>ベクトル</v>
      </c>
      <c r="L49" s="184" t="str">
        <f>'テンプレート'!L56</f>
        <v>KBG (R.E.)</v>
      </c>
      <c r="M49" s="184" t="str">
        <f>'テンプレート'!M56</f>
        <v>BKB (R.A.)</v>
      </c>
      <c r="N49" s="184" t="str">
        <f>'テンプレート'!N56</f>
        <v>FKB (R.F.)</v>
      </c>
      <c r="O49" s="186" t="str">
        <f>'テンプレート'!O56</f>
        <v>盾削り値</v>
      </c>
      <c r="P49" s="184" t="str">
        <f>'テンプレート'!P56</f>
        <v>ﾋｯﾄｽﾄｯﾌﾟ</v>
      </c>
      <c r="Q49" s="186" t="str">
        <f>'テンプレート'!Q56</f>
        <v>ずらし</v>
      </c>
      <c r="R49" s="372" t="str">
        <f>'テンプレート'!R56</f>
        <v>備考</v>
      </c>
      <c r="S49" s="110"/>
      <c r="T49" s="110"/>
      <c r="U49" s="110"/>
      <c r="V49" s="110"/>
    </row>
    <row r="50" outlineLevel="1">
      <c r="A50" s="188" t="s">
        <v>144</v>
      </c>
      <c r="B50" s="373" t="s">
        <v>199</v>
      </c>
      <c r="C50" s="244" t="s">
        <v>2759</v>
      </c>
      <c r="D50" s="207" t="s">
        <v>393</v>
      </c>
      <c r="E50" s="617" t="s">
        <v>176</v>
      </c>
      <c r="F50" s="618">
        <v>2.4</v>
      </c>
      <c r="G50" s="618">
        <v>2.04</v>
      </c>
      <c r="H50" s="246" t="s">
        <v>170</v>
      </c>
      <c r="I50" s="1393" t="str">
        <f t="array" ref="I50">INDEX('空中攻撃'!$O$3:$AA$109, MATCH($A$1,'空中攻撃'!$A$3:$A$109,0), MATCH(A50,'空中攻撃'!$O$2:$S$2,0))</f>
        <v>12</v>
      </c>
      <c r="J50" s="455" t="s">
        <v>905</v>
      </c>
      <c r="K50" s="376"/>
      <c r="L50" s="377"/>
      <c r="M50" s="825"/>
      <c r="N50" s="825"/>
      <c r="O50" s="199">
        <v>0.0</v>
      </c>
      <c r="P50" s="199">
        <v>1.0</v>
      </c>
      <c r="Q50" s="199">
        <v>2.0</v>
      </c>
      <c r="R50" s="163" t="s">
        <v>411</v>
      </c>
      <c r="S50" s="164"/>
      <c r="T50" s="164"/>
      <c r="U50" s="164"/>
      <c r="V50" s="104"/>
    </row>
    <row r="51" outlineLevel="1">
      <c r="A51" s="156"/>
      <c r="B51" s="373" t="s">
        <v>202</v>
      </c>
      <c r="C51" s="244" t="s">
        <v>876</v>
      </c>
      <c r="D51" s="107"/>
      <c r="E51" s="244" t="s">
        <v>73</v>
      </c>
      <c r="F51" s="246">
        <v>4.8</v>
      </c>
      <c r="G51" s="246">
        <v>4.08</v>
      </c>
      <c r="H51" s="246" t="s">
        <v>60</v>
      </c>
      <c r="I51" s="156"/>
      <c r="J51" s="107"/>
      <c r="K51" s="376"/>
      <c r="L51" s="377"/>
      <c r="M51" s="825"/>
      <c r="N51" s="825"/>
      <c r="O51" s="199">
        <v>0.0</v>
      </c>
      <c r="P51" s="199">
        <v>1.5</v>
      </c>
      <c r="Q51" s="199">
        <v>1.0</v>
      </c>
      <c r="R51" s="106"/>
      <c r="S51" s="168"/>
      <c r="T51" s="168"/>
      <c r="U51" s="168"/>
      <c r="V51" s="107"/>
    </row>
    <row r="52" outlineLevel="1">
      <c r="A52" s="188" t="s">
        <v>151</v>
      </c>
      <c r="B52" s="373" t="s">
        <v>152</v>
      </c>
      <c r="C52" s="244" t="s">
        <v>220</v>
      </c>
      <c r="D52" s="207">
        <v>41.0</v>
      </c>
      <c r="E52" s="244" t="s">
        <v>2760</v>
      </c>
      <c r="F52" s="246" t="s">
        <v>2761</v>
      </c>
      <c r="G52" s="246" t="s">
        <v>2762</v>
      </c>
      <c r="H52" s="246" t="s">
        <v>1808</v>
      </c>
      <c r="I52" s="454" t="str">
        <f t="array" ref="I52">INDEX('空中攻撃'!$O$3:$AA$109, MATCH($A$1,'空中攻撃'!$A$3:$A$109,0), MATCH(A52,'空中攻撃'!$O$2:$S$2,0))</f>
        <v>7</v>
      </c>
      <c r="J52" s="195" t="s">
        <v>2763</v>
      </c>
      <c r="K52" s="376"/>
      <c r="L52" s="377"/>
      <c r="M52" s="825"/>
      <c r="N52" s="825"/>
      <c r="O52" s="199">
        <v>0.0</v>
      </c>
      <c r="P52" s="199">
        <v>1.0</v>
      </c>
      <c r="Q52" s="199">
        <v>1.0</v>
      </c>
      <c r="R52" s="163" t="s">
        <v>2743</v>
      </c>
      <c r="S52" s="164"/>
      <c r="T52" s="164"/>
      <c r="U52" s="164"/>
      <c r="V52" s="104"/>
    </row>
    <row r="53" outlineLevel="1">
      <c r="A53" s="156"/>
      <c r="B53" s="373"/>
      <c r="C53" s="244" t="s">
        <v>299</v>
      </c>
      <c r="D53" s="107"/>
      <c r="E53" s="244" t="s">
        <v>2764</v>
      </c>
      <c r="F53" s="246">
        <v>15.0</v>
      </c>
      <c r="G53" s="246">
        <v>12.75</v>
      </c>
      <c r="H53" s="246" t="s">
        <v>75</v>
      </c>
      <c r="I53" s="156"/>
      <c r="J53" s="107"/>
      <c r="K53" s="376"/>
      <c r="L53" s="377"/>
      <c r="M53" s="825"/>
      <c r="N53" s="825"/>
      <c r="O53" s="199"/>
      <c r="P53" s="199"/>
      <c r="Q53" s="199"/>
      <c r="R53" s="106"/>
      <c r="S53" s="168"/>
      <c r="T53" s="168"/>
      <c r="U53" s="168"/>
      <c r="V53" s="107"/>
    </row>
    <row r="54" outlineLevel="1">
      <c r="A54" s="188" t="s">
        <v>157</v>
      </c>
      <c r="B54" s="373" t="s">
        <v>350</v>
      </c>
      <c r="C54" s="244" t="s">
        <v>2529</v>
      </c>
      <c r="D54" s="207">
        <v>39.0</v>
      </c>
      <c r="E54" s="244" t="s">
        <v>2765</v>
      </c>
      <c r="F54" s="138" t="s">
        <v>2766</v>
      </c>
      <c r="G54" s="138" t="s">
        <v>2767</v>
      </c>
      <c r="H54" s="246" t="s">
        <v>2768</v>
      </c>
      <c r="I54" s="454">
        <f t="array" ref="I54">INDEX('空中攻撃'!$O$3:$AA$109, MATCH($A$1,'空中攻撃'!$A$3:$A$109,0), MATCH(A54,'空中攻撃'!$O$2:$S$2,0))</f>
        <v>9</v>
      </c>
      <c r="J54" s="195" t="s">
        <v>581</v>
      </c>
      <c r="K54" s="376"/>
      <c r="L54" s="377"/>
      <c r="M54" s="825"/>
      <c r="N54" s="825"/>
      <c r="O54" s="199">
        <v>0.0</v>
      </c>
      <c r="P54" s="199">
        <v>1.0</v>
      </c>
      <c r="Q54" s="199">
        <v>1.0</v>
      </c>
      <c r="R54" s="456"/>
      <c r="S54" s="164"/>
      <c r="T54" s="164"/>
      <c r="U54" s="164"/>
      <c r="V54" s="104"/>
    </row>
    <row r="55" outlineLevel="1">
      <c r="A55" s="146"/>
      <c r="B55" s="373" t="s">
        <v>356</v>
      </c>
      <c r="C55" s="239" t="s">
        <v>943</v>
      </c>
      <c r="D55" s="210"/>
      <c r="E55" s="244" t="s">
        <v>2765</v>
      </c>
      <c r="F55" s="138" t="s">
        <v>2766</v>
      </c>
      <c r="G55" s="138" t="s">
        <v>2767</v>
      </c>
      <c r="H55" s="822"/>
      <c r="I55" s="146"/>
      <c r="J55" s="210"/>
      <c r="K55" s="376"/>
      <c r="L55" s="377"/>
      <c r="M55" s="825"/>
      <c r="N55" s="825"/>
      <c r="O55" s="199">
        <v>0.0</v>
      </c>
      <c r="P55" s="199">
        <v>1.0</v>
      </c>
      <c r="Q55" s="199">
        <v>1.0</v>
      </c>
      <c r="R55" s="212"/>
      <c r="V55" s="210"/>
    </row>
    <row r="56" outlineLevel="1">
      <c r="A56" s="156"/>
      <c r="B56" s="373" t="s">
        <v>2769</v>
      </c>
      <c r="C56" s="239" t="s">
        <v>2159</v>
      </c>
      <c r="D56" s="107"/>
      <c r="E56" s="244" t="s">
        <v>1031</v>
      </c>
      <c r="F56" s="138" t="s">
        <v>1032</v>
      </c>
      <c r="G56" s="138" t="s">
        <v>2770</v>
      </c>
      <c r="H56" s="822"/>
      <c r="I56" s="156"/>
      <c r="J56" s="107"/>
      <c r="K56" s="376"/>
      <c r="L56" s="377"/>
      <c r="M56" s="825"/>
      <c r="N56" s="825"/>
      <c r="O56" s="199"/>
      <c r="P56" s="199"/>
      <c r="Q56" s="199"/>
      <c r="R56" s="106"/>
      <c r="S56" s="168"/>
      <c r="T56" s="168"/>
      <c r="U56" s="168"/>
      <c r="V56" s="107"/>
    </row>
    <row r="57" outlineLevel="1">
      <c r="A57" s="213" t="s">
        <v>162</v>
      </c>
      <c r="B57" s="373"/>
      <c r="C57" s="244" t="s">
        <v>975</v>
      </c>
      <c r="D57" s="780" t="s">
        <v>271</v>
      </c>
      <c r="E57" s="244" t="s">
        <v>232</v>
      </c>
      <c r="F57" s="138">
        <v>13.2</v>
      </c>
      <c r="G57" s="138">
        <v>11.22</v>
      </c>
      <c r="H57" s="246" t="s">
        <v>147</v>
      </c>
      <c r="I57" s="621" t="str">
        <f t="array" ref="I57">INDEX('空中攻撃'!$O$3:$AA$109, MATCH($A$1,'空中攻撃'!$A$3:$A$109,0), MATCH(A57,'空中攻撃'!$O$2:$S$2,0))</f>
        <v>7</v>
      </c>
      <c r="J57" s="216" t="s">
        <v>2763</v>
      </c>
      <c r="K57" s="377"/>
      <c r="L57" s="377"/>
      <c r="M57" s="825"/>
      <c r="N57" s="825"/>
      <c r="O57" s="199">
        <v>0.0</v>
      </c>
      <c r="P57" s="199">
        <v>1.0</v>
      </c>
      <c r="Q57" s="199">
        <v>1.0</v>
      </c>
      <c r="R57" s="159"/>
      <c r="S57" s="110"/>
      <c r="T57" s="110"/>
      <c r="U57" s="110"/>
      <c r="V57" s="109"/>
    </row>
    <row r="58" outlineLevel="1">
      <c r="A58" s="188" t="s">
        <v>166</v>
      </c>
      <c r="B58" s="373" t="s">
        <v>903</v>
      </c>
      <c r="C58" s="244" t="s">
        <v>2771</v>
      </c>
      <c r="D58" s="207">
        <v>56.0</v>
      </c>
      <c r="E58" s="244" t="s">
        <v>651</v>
      </c>
      <c r="F58" s="138">
        <v>4.2</v>
      </c>
      <c r="G58" s="138">
        <v>3.5700000000000003</v>
      </c>
      <c r="H58" s="246" t="s">
        <v>170</v>
      </c>
      <c r="I58" s="454">
        <f t="array" ref="I58">INDEX('空中攻撃'!$O$3:$AA$109, MATCH($A$1,'空中攻撃'!$A$3:$A$109,0), MATCH(A58,'空中攻撃'!$O$2:$S$2,0))</f>
        <v>16</v>
      </c>
      <c r="J58" s="455" t="s">
        <v>570</v>
      </c>
      <c r="K58" s="377"/>
      <c r="L58" s="377"/>
      <c r="M58" s="825"/>
      <c r="N58" s="825"/>
      <c r="O58" s="199">
        <v>0.0</v>
      </c>
      <c r="P58" s="199">
        <v>1.0</v>
      </c>
      <c r="Q58" s="199">
        <v>1.0</v>
      </c>
      <c r="R58" s="456"/>
      <c r="S58" s="164"/>
      <c r="T58" s="164"/>
      <c r="U58" s="164"/>
      <c r="V58" s="104"/>
    </row>
    <row r="59" outlineLevel="1">
      <c r="A59" s="156"/>
      <c r="B59" s="373" t="s">
        <v>520</v>
      </c>
      <c r="C59" s="244" t="s">
        <v>1281</v>
      </c>
      <c r="D59" s="107"/>
      <c r="E59" s="244" t="s">
        <v>150</v>
      </c>
      <c r="F59" s="138">
        <v>6.0</v>
      </c>
      <c r="G59" s="138">
        <v>5.1</v>
      </c>
      <c r="H59" s="246" t="s">
        <v>60</v>
      </c>
      <c r="I59" s="156"/>
      <c r="J59" s="107"/>
      <c r="K59" s="377"/>
      <c r="L59" s="377"/>
      <c r="M59" s="825"/>
      <c r="N59" s="825"/>
      <c r="O59" s="199">
        <v>0.0</v>
      </c>
      <c r="P59" s="199">
        <v>1.0</v>
      </c>
      <c r="Q59" s="199">
        <v>1.0</v>
      </c>
      <c r="R59" s="106"/>
      <c r="S59" s="168"/>
      <c r="T59" s="168"/>
      <c r="U59" s="168"/>
      <c r="V59" s="107"/>
    </row>
    <row r="60" outlineLevel="1">
      <c r="A60" s="188" t="s">
        <v>587</v>
      </c>
      <c r="B60" s="373"/>
      <c r="C60" s="239" t="s">
        <v>272</v>
      </c>
      <c r="D60" s="367" t="s">
        <v>455</v>
      </c>
      <c r="E60" s="239" t="s">
        <v>2772</v>
      </c>
      <c r="F60" s="138" t="s">
        <v>2773</v>
      </c>
      <c r="G60" s="138" t="s">
        <v>2773</v>
      </c>
      <c r="H60" s="246" t="s">
        <v>2774</v>
      </c>
      <c r="I60" s="279" t="s">
        <v>80</v>
      </c>
      <c r="J60" s="279" t="s">
        <v>2775</v>
      </c>
      <c r="K60" s="377"/>
      <c r="L60" s="377"/>
      <c r="M60" s="825"/>
      <c r="N60" s="825"/>
      <c r="O60" s="199">
        <v>0.0</v>
      </c>
      <c r="P60" s="199">
        <v>1.0</v>
      </c>
      <c r="Q60" s="199">
        <v>1.0</v>
      </c>
      <c r="R60" s="163" t="s">
        <v>2776</v>
      </c>
      <c r="S60" s="164"/>
      <c r="T60" s="164"/>
      <c r="U60" s="164"/>
      <c r="V60" s="104"/>
    </row>
    <row r="61" outlineLevel="1">
      <c r="A61" s="156"/>
      <c r="B61" s="373" t="s">
        <v>84</v>
      </c>
      <c r="C61" s="239" t="s">
        <v>2777</v>
      </c>
      <c r="D61" s="156"/>
      <c r="E61" s="239" t="s">
        <v>204</v>
      </c>
      <c r="F61" s="138">
        <v>3.5999999999999996</v>
      </c>
      <c r="G61" s="138">
        <v>3.6</v>
      </c>
      <c r="H61" s="246" t="s">
        <v>147</v>
      </c>
      <c r="I61" s="156"/>
      <c r="J61" s="156"/>
      <c r="K61" s="377"/>
      <c r="L61" s="377"/>
      <c r="M61" s="825"/>
      <c r="N61" s="825"/>
      <c r="O61" s="199">
        <v>0.0</v>
      </c>
      <c r="P61" s="199">
        <v>1.0</v>
      </c>
      <c r="Q61" s="199">
        <v>1.0</v>
      </c>
      <c r="R61" s="106"/>
      <c r="S61" s="168"/>
      <c r="T61" s="168"/>
      <c r="U61" s="168"/>
      <c r="V61" s="107"/>
    </row>
    <row r="62">
      <c r="A62" s="223"/>
      <c r="B62" s="224"/>
      <c r="C62" s="225"/>
      <c r="D62" s="225"/>
      <c r="E62" s="226"/>
      <c r="F62" s="226"/>
      <c r="G62" s="226"/>
      <c r="H62" s="227"/>
      <c r="I62" s="227"/>
      <c r="J62" s="228"/>
      <c r="K62" s="228"/>
      <c r="L62" s="228"/>
      <c r="M62" s="228"/>
      <c r="N62" s="228"/>
      <c r="O62" s="228"/>
      <c r="P62" s="228"/>
      <c r="Q62" s="118"/>
      <c r="R62" s="118"/>
      <c r="S62" s="118"/>
      <c r="T62" s="118"/>
      <c r="U62" s="118"/>
      <c r="V62" s="118"/>
    </row>
    <row r="63">
      <c r="A63" s="229" t="s">
        <v>177</v>
      </c>
      <c r="B63" s="109"/>
      <c r="C63" s="225"/>
      <c r="D63" s="225"/>
      <c r="E63" s="226"/>
      <c r="F63" s="226"/>
      <c r="G63" s="226"/>
      <c r="H63" s="227"/>
      <c r="I63" s="227"/>
      <c r="J63" s="228"/>
      <c r="K63" s="228"/>
      <c r="L63" s="228"/>
      <c r="M63" s="228"/>
      <c r="N63" s="228"/>
      <c r="O63" s="228"/>
      <c r="P63" s="228"/>
      <c r="Q63" s="118"/>
      <c r="R63" s="118"/>
      <c r="S63" s="118"/>
      <c r="T63" s="118"/>
      <c r="U63" s="118"/>
      <c r="V63" s="118"/>
    </row>
    <row r="64" outlineLevel="1">
      <c r="A64" s="230" t="s">
        <v>2778</v>
      </c>
      <c r="B64" s="109"/>
      <c r="C64" s="231" t="s">
        <v>48</v>
      </c>
      <c r="D64" s="231" t="s">
        <v>49</v>
      </c>
      <c r="E64" s="232" t="s">
        <v>50</v>
      </c>
      <c r="F64" s="233" t="s">
        <v>51</v>
      </c>
      <c r="G64" s="232" t="s">
        <v>52</v>
      </c>
      <c r="H64" s="382" t="str">
        <f>'テンプレート'!H72</f>
        <v>備考</v>
      </c>
      <c r="I64" s="110"/>
      <c r="J64" s="109"/>
      <c r="K64" s="235" t="str">
        <f>'テンプレート'!K72</f>
        <v>ベクトル</v>
      </c>
      <c r="L64" s="235" t="str">
        <f>'テンプレート'!L72</f>
        <v>KBG (R.E.)</v>
      </c>
      <c r="M64" s="235" t="str">
        <f>'テンプレート'!M72</f>
        <v>BKB (R.A.)</v>
      </c>
      <c r="N64" s="235" t="str">
        <f>'テンプレート'!N72</f>
        <v>FKB (R.F.)</v>
      </c>
      <c r="O64" s="236" t="str">
        <f>'テンプレート'!O72</f>
        <v>盾削り値</v>
      </c>
      <c r="P64" s="235" t="str">
        <f>'テンプレート'!P72</f>
        <v>ﾋｯﾄｽﾄｯﾌﾟ</v>
      </c>
      <c r="Q64" s="236" t="str">
        <f>'テンプレート'!Q72</f>
        <v>ずらし</v>
      </c>
      <c r="R64" s="235" t="str">
        <f>'テンプレート'!R72</f>
        <v>相殺</v>
      </c>
      <c r="S64" s="236" t="str">
        <f>'テンプレート'!S72</f>
        <v>相殺ﾓｰｼｮﾝ</v>
      </c>
      <c r="T64" s="236" t="str">
        <f>'テンプレート'!T72</f>
        <v>飛び道具</v>
      </c>
      <c r="U64" s="236" t="str">
        <f>'テンプレート'!U72</f>
        <v>慣性反転</v>
      </c>
      <c r="V64" s="236" t="str">
        <f>'テンプレート'!V72</f>
        <v>向き反転</v>
      </c>
    </row>
    <row r="65" ht="19.5" customHeight="1" outlineLevel="1">
      <c r="A65" s="237" t="s">
        <v>184</v>
      </c>
      <c r="B65" s="243" t="s">
        <v>473</v>
      </c>
      <c r="C65" s="244" t="s">
        <v>1563</v>
      </c>
      <c r="D65" s="244" t="s">
        <v>1577</v>
      </c>
      <c r="E65" s="244" t="s">
        <v>128</v>
      </c>
      <c r="F65" s="246">
        <v>12.0</v>
      </c>
      <c r="G65" s="244" t="s">
        <v>147</v>
      </c>
      <c r="H65" s="283" t="s">
        <v>2779</v>
      </c>
      <c r="I65" s="164"/>
      <c r="J65" s="104"/>
      <c r="K65" s="282"/>
      <c r="L65" s="282"/>
      <c r="M65" s="363"/>
      <c r="N65" s="363"/>
      <c r="O65" s="138">
        <v>0.0</v>
      </c>
      <c r="P65" s="138">
        <v>1.0</v>
      </c>
      <c r="Q65" s="138">
        <v>1.0</v>
      </c>
      <c r="R65" s="145" t="b">
        <v>0</v>
      </c>
      <c r="S65" s="145" t="b">
        <v>0</v>
      </c>
      <c r="T65" s="145" t="b">
        <v>1</v>
      </c>
      <c r="U65" s="166" t="s">
        <v>186</v>
      </c>
      <c r="V65" s="166" t="b">
        <v>1</v>
      </c>
    </row>
    <row r="66" ht="19.5" customHeight="1" outlineLevel="1">
      <c r="A66" s="146"/>
      <c r="B66" s="663" t="s">
        <v>340</v>
      </c>
      <c r="C66" s="244" t="s">
        <v>2780</v>
      </c>
      <c r="D66" s="244" t="s">
        <v>2781</v>
      </c>
      <c r="E66" s="244" t="s">
        <v>173</v>
      </c>
      <c r="F66" s="246">
        <v>27.599999999999998</v>
      </c>
      <c r="G66" s="244" t="s">
        <v>95</v>
      </c>
      <c r="H66" s="212"/>
      <c r="J66" s="210"/>
      <c r="K66" s="282"/>
      <c r="L66" s="282"/>
      <c r="M66" s="363"/>
      <c r="N66" s="363"/>
      <c r="O66" s="138">
        <v>0.0</v>
      </c>
      <c r="P66" s="138">
        <v>1.0</v>
      </c>
      <c r="Q66" s="138">
        <v>1.0</v>
      </c>
      <c r="R66" s="145" t="b">
        <v>0</v>
      </c>
      <c r="S66" s="145" t="b">
        <v>0</v>
      </c>
      <c r="T66" s="145" t="b">
        <v>1</v>
      </c>
      <c r="U66" s="146"/>
      <c r="V66" s="146"/>
    </row>
    <row r="67" ht="19.5" customHeight="1" outlineLevel="1">
      <c r="A67" s="146"/>
      <c r="B67" s="663" t="s">
        <v>677</v>
      </c>
      <c r="C67" s="244" t="s">
        <v>2782</v>
      </c>
      <c r="D67" s="244" t="s">
        <v>271</v>
      </c>
      <c r="E67" s="822"/>
      <c r="F67" s="822"/>
      <c r="G67" s="822"/>
      <c r="H67" s="212"/>
      <c r="J67" s="210"/>
      <c r="K67" s="261"/>
      <c r="L67" s="261"/>
      <c r="M67" s="261"/>
      <c r="N67" s="261"/>
      <c r="O67" s="261"/>
      <c r="P67" s="261"/>
      <c r="Q67" s="261"/>
      <c r="R67" s="261"/>
      <c r="S67" s="261"/>
      <c r="T67" s="261"/>
      <c r="U67" s="146"/>
      <c r="V67" s="146"/>
    </row>
    <row r="68" ht="19.5" customHeight="1" outlineLevel="1">
      <c r="A68" s="146"/>
      <c r="B68" s="663" t="s">
        <v>2783</v>
      </c>
      <c r="C68" s="822"/>
      <c r="D68" s="244" t="s">
        <v>118</v>
      </c>
      <c r="E68" s="822"/>
      <c r="F68" s="822"/>
      <c r="G68" s="822"/>
      <c r="H68" s="106"/>
      <c r="I68" s="168"/>
      <c r="J68" s="107"/>
      <c r="K68" s="261"/>
      <c r="L68" s="261"/>
      <c r="M68" s="261"/>
      <c r="N68" s="261"/>
      <c r="O68" s="261"/>
      <c r="P68" s="261"/>
      <c r="Q68" s="261"/>
      <c r="R68" s="261"/>
      <c r="S68" s="261"/>
      <c r="T68" s="261"/>
      <c r="U68" s="156"/>
      <c r="V68" s="156"/>
    </row>
    <row r="69" outlineLevel="1">
      <c r="A69" s="230" t="s">
        <v>1071</v>
      </c>
      <c r="B69" s="109"/>
      <c r="C69" s="231" t="s">
        <v>48</v>
      </c>
      <c r="D69" s="231" t="s">
        <v>49</v>
      </c>
      <c r="E69" s="232" t="s">
        <v>50</v>
      </c>
      <c r="F69" s="233" t="s">
        <v>51</v>
      </c>
      <c r="G69" s="232" t="s">
        <v>52</v>
      </c>
      <c r="H69" s="382" t="str">
        <f>'テンプレート'!H75</f>
        <v>備考</v>
      </c>
      <c r="I69" s="110"/>
      <c r="J69" s="109"/>
      <c r="K69" s="235" t="str">
        <f>'テンプレート'!K75</f>
        <v>ベクトル</v>
      </c>
      <c r="L69" s="235" t="str">
        <f>'テンプレート'!L75</f>
        <v>KBG (R.E.)</v>
      </c>
      <c r="M69" s="235" t="str">
        <f>'テンプレート'!M75</f>
        <v>BKB (R.A.)</v>
      </c>
      <c r="N69" s="235" t="str">
        <f>'テンプレート'!N75</f>
        <v>FKB (R.F.)</v>
      </c>
      <c r="O69" s="236" t="str">
        <f>'テンプレート'!O75</f>
        <v>盾削り値</v>
      </c>
      <c r="P69" s="235" t="str">
        <f>'テンプレート'!P75</f>
        <v>ﾋｯﾄｽﾄｯﾌﾟ</v>
      </c>
      <c r="Q69" s="236" t="str">
        <f>'テンプレート'!Q75</f>
        <v>ずらし</v>
      </c>
      <c r="R69" s="235" t="str">
        <f>'テンプレート'!R75</f>
        <v>相殺</v>
      </c>
      <c r="S69" s="236" t="str">
        <f>'テンプレート'!S75</f>
        <v>相殺ﾓｰｼｮﾝ</v>
      </c>
      <c r="T69" s="236" t="str">
        <f>'テンプレート'!T75</f>
        <v>飛び道具</v>
      </c>
      <c r="U69" s="236" t="str">
        <f>'テンプレート'!U75</f>
        <v>慣性反転</v>
      </c>
      <c r="V69" s="236" t="str">
        <f>'テンプレート'!V75</f>
        <v>向き反転</v>
      </c>
    </row>
    <row r="70" outlineLevel="1">
      <c r="A70" s="237" t="s">
        <v>184</v>
      </c>
      <c r="B70" s="243" t="s">
        <v>1072</v>
      </c>
      <c r="C70" s="244" t="s">
        <v>2784</v>
      </c>
      <c r="D70" s="823" t="s">
        <v>634</v>
      </c>
      <c r="E70" s="244" t="s">
        <v>204</v>
      </c>
      <c r="F70" s="246">
        <v>3.5999999999999996</v>
      </c>
      <c r="G70" s="244" t="s">
        <v>170</v>
      </c>
      <c r="H70" s="660" t="s">
        <v>2785</v>
      </c>
      <c r="I70" s="164"/>
      <c r="J70" s="104"/>
      <c r="K70" s="282"/>
      <c r="L70" s="282"/>
      <c r="M70" s="363"/>
      <c r="N70" s="363"/>
      <c r="O70" s="138">
        <v>0.0</v>
      </c>
      <c r="P70" s="138">
        <v>1.0</v>
      </c>
      <c r="Q70" s="138">
        <v>0.0</v>
      </c>
      <c r="R70" s="145" t="b">
        <v>1</v>
      </c>
      <c r="S70" s="145" t="b">
        <v>0</v>
      </c>
      <c r="T70" s="145" t="b">
        <v>1</v>
      </c>
      <c r="U70" s="166" t="s">
        <v>186</v>
      </c>
      <c r="V70" s="166" t="b">
        <v>1</v>
      </c>
    </row>
    <row r="71" outlineLevel="1">
      <c r="A71" s="146"/>
      <c r="B71" s="243" t="s">
        <v>1075</v>
      </c>
      <c r="C71" s="244" t="s">
        <v>878</v>
      </c>
      <c r="D71" s="107"/>
      <c r="E71" s="244" t="s">
        <v>2786</v>
      </c>
      <c r="F71" s="246" t="s">
        <v>2787</v>
      </c>
      <c r="G71" s="244" t="s">
        <v>926</v>
      </c>
      <c r="H71" s="106"/>
      <c r="I71" s="168"/>
      <c r="J71" s="107"/>
      <c r="K71" s="138"/>
      <c r="L71" s="138"/>
      <c r="M71" s="145"/>
      <c r="N71" s="145"/>
      <c r="O71" s="138">
        <v>0.0</v>
      </c>
      <c r="P71" s="138">
        <v>1.0</v>
      </c>
      <c r="Q71" s="138">
        <v>1.0</v>
      </c>
      <c r="R71" s="145" t="b">
        <v>0</v>
      </c>
      <c r="S71" s="145" t="b">
        <v>0</v>
      </c>
      <c r="T71" s="145" t="b">
        <v>1</v>
      </c>
      <c r="U71" s="156"/>
      <c r="V71" s="156"/>
    </row>
    <row r="72" outlineLevel="1">
      <c r="A72" s="230" t="s">
        <v>1077</v>
      </c>
      <c r="B72" s="109"/>
      <c r="C72" s="231" t="s">
        <v>48</v>
      </c>
      <c r="D72" s="231" t="s">
        <v>49</v>
      </c>
      <c r="E72" s="232" t="s">
        <v>50</v>
      </c>
      <c r="F72" s="233" t="s">
        <v>51</v>
      </c>
      <c r="G72" s="232" t="s">
        <v>52</v>
      </c>
      <c r="H72" s="382" t="str">
        <f>'テンプレート'!H80</f>
        <v>備考</v>
      </c>
      <c r="I72" s="110"/>
      <c r="J72" s="109"/>
      <c r="K72" s="235" t="str">
        <f>'テンプレート'!K80</f>
        <v>ベクトル</v>
      </c>
      <c r="L72" s="235" t="str">
        <f>'テンプレート'!L80</f>
        <v>KBG (R.E.)</v>
      </c>
      <c r="M72" s="235" t="str">
        <f>'テンプレート'!M80</f>
        <v>BKB (R.A.)</v>
      </c>
      <c r="N72" s="235" t="str">
        <f>'テンプレート'!N80</f>
        <v>FKB (R.F.)</v>
      </c>
      <c r="O72" s="236" t="str">
        <f>'テンプレート'!O80</f>
        <v>盾削り値</v>
      </c>
      <c r="P72" s="235" t="str">
        <f>'テンプレート'!P80</f>
        <v>ﾋｯﾄｽﾄｯﾌﾟ</v>
      </c>
      <c r="Q72" s="236" t="str">
        <f>'テンプレート'!Q80</f>
        <v>ずらし</v>
      </c>
      <c r="R72" s="235" t="str">
        <f>'テンプレート'!R80</f>
        <v>相殺</v>
      </c>
      <c r="S72" s="236" t="str">
        <f>'テンプレート'!S80</f>
        <v>相殺ﾓｰｼｮﾝ</v>
      </c>
      <c r="T72" s="236" t="str">
        <f>'テンプレート'!T80</f>
        <v>飛び道具</v>
      </c>
      <c r="U72" s="236" t="str">
        <f>'テンプレート'!U80</f>
        <v>慣性反転</v>
      </c>
      <c r="V72" s="236" t="str">
        <f>'テンプレート'!V80</f>
        <v>向き反転</v>
      </c>
    </row>
    <row r="73" outlineLevel="1">
      <c r="A73" s="237" t="s">
        <v>184</v>
      </c>
      <c r="B73" s="402" t="s">
        <v>1078</v>
      </c>
      <c r="C73" s="244" t="s">
        <v>1079</v>
      </c>
      <c r="D73" s="400"/>
      <c r="E73" s="244" t="s">
        <v>535</v>
      </c>
      <c r="F73" s="246">
        <v>3.0</v>
      </c>
      <c r="G73" s="244" t="s">
        <v>170</v>
      </c>
      <c r="H73" s="175" t="s">
        <v>2788</v>
      </c>
      <c r="I73" s="164"/>
      <c r="J73" s="104"/>
      <c r="K73" s="138"/>
      <c r="L73" s="138"/>
      <c r="M73" s="145"/>
      <c r="N73" s="145"/>
      <c r="O73" s="138">
        <v>0.0</v>
      </c>
      <c r="P73" s="138">
        <v>1.0</v>
      </c>
      <c r="Q73" s="138">
        <v>2.0</v>
      </c>
      <c r="R73" s="145" t="b">
        <v>1</v>
      </c>
      <c r="S73" s="145" t="b">
        <v>0</v>
      </c>
      <c r="T73" s="145" t="b">
        <v>1</v>
      </c>
      <c r="U73" s="166" t="b">
        <v>0</v>
      </c>
      <c r="V73" s="166" t="b">
        <v>0</v>
      </c>
    </row>
    <row r="74" outlineLevel="1">
      <c r="A74" s="146"/>
      <c r="B74" s="402" t="s">
        <v>1081</v>
      </c>
      <c r="C74" s="244" t="s">
        <v>2789</v>
      </c>
      <c r="D74" s="400"/>
      <c r="E74" s="244" t="s">
        <v>2790</v>
      </c>
      <c r="F74" s="246">
        <v>0.8999999999999999</v>
      </c>
      <c r="G74" s="244" t="s">
        <v>170</v>
      </c>
      <c r="H74" s="212"/>
      <c r="J74" s="210"/>
      <c r="K74" s="138"/>
      <c r="L74" s="138"/>
      <c r="M74" s="145"/>
      <c r="N74" s="145"/>
      <c r="O74" s="145">
        <v>0.0</v>
      </c>
      <c r="P74" s="138">
        <v>0.5</v>
      </c>
      <c r="Q74" s="138">
        <v>2.0</v>
      </c>
      <c r="R74" s="145" t="b">
        <v>1</v>
      </c>
      <c r="S74" s="145" t="b">
        <v>0</v>
      </c>
      <c r="T74" s="145" t="b">
        <v>1</v>
      </c>
      <c r="U74" s="146"/>
      <c r="V74" s="146"/>
    </row>
    <row r="75" outlineLevel="1">
      <c r="A75" s="146"/>
      <c r="B75" s="402" t="s">
        <v>2791</v>
      </c>
      <c r="C75" s="553"/>
      <c r="D75" s="1837" t="s">
        <v>393</v>
      </c>
      <c r="E75" s="822"/>
      <c r="F75" s="822"/>
      <c r="G75" s="822"/>
      <c r="H75" s="212"/>
      <c r="J75" s="210"/>
      <c r="K75" s="261"/>
      <c r="L75" s="261"/>
      <c r="M75" s="261"/>
      <c r="N75" s="261"/>
      <c r="O75" s="261"/>
      <c r="P75" s="261"/>
      <c r="Q75" s="261"/>
      <c r="R75" s="261"/>
      <c r="S75" s="261"/>
      <c r="T75" s="261"/>
      <c r="U75" s="146"/>
      <c r="V75" s="146"/>
    </row>
    <row r="76" outlineLevel="1">
      <c r="A76" s="146"/>
      <c r="B76" s="402" t="s">
        <v>2792</v>
      </c>
      <c r="C76" s="553"/>
      <c r="D76" s="1837" t="s">
        <v>218</v>
      </c>
      <c r="E76" s="822"/>
      <c r="F76" s="822"/>
      <c r="G76" s="822"/>
      <c r="H76" s="212"/>
      <c r="J76" s="210"/>
      <c r="K76" s="138"/>
      <c r="L76" s="138"/>
      <c r="M76" s="145"/>
      <c r="N76" s="145"/>
      <c r="O76" s="138"/>
      <c r="P76" s="138"/>
      <c r="Q76" s="138"/>
      <c r="R76" s="145" t="b">
        <v>0</v>
      </c>
      <c r="S76" s="145" t="b">
        <v>0</v>
      </c>
      <c r="T76" s="145" t="b">
        <v>0</v>
      </c>
      <c r="U76" s="146"/>
      <c r="V76" s="146"/>
    </row>
    <row r="77" outlineLevel="1">
      <c r="A77" s="146"/>
      <c r="B77" s="402" t="s">
        <v>2793</v>
      </c>
      <c r="C77" s="244" t="s">
        <v>175</v>
      </c>
      <c r="D77" s="369" t="s">
        <v>2794</v>
      </c>
      <c r="E77" s="244" t="s">
        <v>150</v>
      </c>
      <c r="F77" s="246">
        <v>6.0</v>
      </c>
      <c r="G77" s="244" t="s">
        <v>102</v>
      </c>
      <c r="H77" s="212"/>
      <c r="J77" s="210"/>
      <c r="K77" s="138"/>
      <c r="L77" s="138"/>
      <c r="M77" s="145"/>
      <c r="N77" s="145"/>
      <c r="O77" s="138">
        <v>0.0</v>
      </c>
      <c r="P77" s="138">
        <v>1.0</v>
      </c>
      <c r="Q77" s="138">
        <v>0.3</v>
      </c>
      <c r="R77" s="145" t="b">
        <v>1</v>
      </c>
      <c r="S77" s="145" t="b">
        <v>1</v>
      </c>
      <c r="T77" s="145" t="b">
        <v>0</v>
      </c>
      <c r="U77" s="146"/>
      <c r="V77" s="146"/>
    </row>
    <row r="78" outlineLevel="1">
      <c r="A78" s="146"/>
      <c r="B78" s="402" t="s">
        <v>2795</v>
      </c>
      <c r="C78" s="244" t="s">
        <v>2796</v>
      </c>
      <c r="D78" s="146"/>
      <c r="E78" s="244" t="s">
        <v>176</v>
      </c>
      <c r="F78" s="246">
        <v>2.4</v>
      </c>
      <c r="G78" s="244" t="s">
        <v>60</v>
      </c>
      <c r="H78" s="212"/>
      <c r="J78" s="210"/>
      <c r="K78" s="138"/>
      <c r="L78" s="138"/>
      <c r="M78" s="145"/>
      <c r="N78" s="145"/>
      <c r="O78" s="138">
        <v>0.0</v>
      </c>
      <c r="P78" s="138">
        <v>0.5</v>
      </c>
      <c r="Q78" s="138">
        <v>2.5</v>
      </c>
      <c r="R78" s="145" t="b">
        <v>1</v>
      </c>
      <c r="S78" s="145"/>
      <c r="T78" s="145"/>
      <c r="U78" s="146"/>
      <c r="V78" s="146"/>
    </row>
    <row r="79" outlineLevel="1">
      <c r="A79" s="146"/>
      <c r="B79" s="402" t="s">
        <v>2797</v>
      </c>
      <c r="C79" s="244" t="s">
        <v>2798</v>
      </c>
      <c r="D79" s="146"/>
      <c r="E79" s="244" t="s">
        <v>1024</v>
      </c>
      <c r="F79" s="246">
        <v>1.7999999999999998</v>
      </c>
      <c r="G79" s="244" t="s">
        <v>60</v>
      </c>
      <c r="H79" s="212"/>
      <c r="J79" s="210"/>
      <c r="K79" s="138"/>
      <c r="L79" s="138"/>
      <c r="M79" s="145"/>
      <c r="N79" s="145"/>
      <c r="O79" s="138">
        <v>0.0</v>
      </c>
      <c r="P79" s="138">
        <v>0.5</v>
      </c>
      <c r="Q79" s="138">
        <v>2.5</v>
      </c>
      <c r="R79" s="145" t="b">
        <v>1</v>
      </c>
      <c r="S79" s="145"/>
      <c r="T79" s="145"/>
      <c r="U79" s="146"/>
      <c r="V79" s="146"/>
    </row>
    <row r="80" outlineLevel="1">
      <c r="A80" s="146"/>
      <c r="B80" s="402" t="s">
        <v>2799</v>
      </c>
      <c r="C80" s="244" t="s">
        <v>433</v>
      </c>
      <c r="D80" s="156"/>
      <c r="E80" s="244" t="s">
        <v>128</v>
      </c>
      <c r="F80" s="246">
        <v>12.0</v>
      </c>
      <c r="G80" s="244" t="s">
        <v>121</v>
      </c>
      <c r="H80" s="212"/>
      <c r="J80" s="210"/>
      <c r="K80" s="138"/>
      <c r="L80" s="138"/>
      <c r="M80" s="145"/>
      <c r="N80" s="145"/>
      <c r="O80" s="138">
        <v>0.0</v>
      </c>
      <c r="P80" s="138">
        <v>1.3</v>
      </c>
      <c r="Q80" s="138">
        <v>0.5</v>
      </c>
      <c r="R80" s="145" t="b">
        <v>1</v>
      </c>
      <c r="S80" s="145" t="b">
        <v>1</v>
      </c>
      <c r="T80" s="145"/>
      <c r="U80" s="146"/>
      <c r="V80" s="146"/>
    </row>
    <row r="81" outlineLevel="1">
      <c r="A81" s="146"/>
      <c r="B81" s="402" t="s">
        <v>2800</v>
      </c>
      <c r="C81" s="1091" t="s">
        <v>213</v>
      </c>
      <c r="D81" s="1091" t="s">
        <v>72</v>
      </c>
      <c r="E81" s="244" t="s">
        <v>128</v>
      </c>
      <c r="F81" s="246">
        <v>12.0</v>
      </c>
      <c r="G81" s="244" t="s">
        <v>121</v>
      </c>
      <c r="H81" s="106"/>
      <c r="I81" s="168"/>
      <c r="J81" s="107"/>
      <c r="K81" s="261"/>
      <c r="L81" s="261"/>
      <c r="M81" s="261"/>
      <c r="N81" s="261"/>
      <c r="O81" s="261"/>
      <c r="P81" s="261"/>
      <c r="Q81" s="261"/>
      <c r="R81" s="261"/>
      <c r="S81" s="261"/>
      <c r="T81" s="261"/>
      <c r="U81" s="156"/>
      <c r="V81" s="156"/>
    </row>
    <row r="82" outlineLevel="1">
      <c r="A82" s="230" t="s">
        <v>1088</v>
      </c>
      <c r="B82" s="109"/>
      <c r="C82" s="231" t="s">
        <v>48</v>
      </c>
      <c r="D82" s="231" t="s">
        <v>49</v>
      </c>
      <c r="E82" s="232" t="s">
        <v>50</v>
      </c>
      <c r="F82" s="233" t="s">
        <v>51</v>
      </c>
      <c r="G82" s="232" t="s">
        <v>52</v>
      </c>
      <c r="H82" s="382" t="str">
        <f>'テンプレート'!H85</f>
        <v>備考</v>
      </c>
      <c r="I82" s="110"/>
      <c r="J82" s="109"/>
      <c r="K82" s="235" t="str">
        <f>'テンプレート'!K85</f>
        <v>ベクトル</v>
      </c>
      <c r="L82" s="235" t="str">
        <f>'テンプレート'!L85</f>
        <v>KBG (R.E.)</v>
      </c>
      <c r="M82" s="235" t="str">
        <f>'テンプレート'!M85</f>
        <v>BKB (R.A.)</v>
      </c>
      <c r="N82" s="235" t="str">
        <f>'テンプレート'!N85</f>
        <v>FKB (R.F.)</v>
      </c>
      <c r="O82" s="236" t="str">
        <f>'テンプレート'!O85</f>
        <v>盾削り値</v>
      </c>
      <c r="P82" s="235" t="str">
        <f>'テンプレート'!P85</f>
        <v>ﾋｯﾄｽﾄｯﾌﾟ</v>
      </c>
      <c r="Q82" s="236" t="str">
        <f>'テンプレート'!Q85</f>
        <v>ずらし</v>
      </c>
      <c r="R82" s="235" t="str">
        <f>'テンプレート'!R85</f>
        <v>相殺</v>
      </c>
      <c r="S82" s="236" t="str">
        <f>'テンプレート'!S85</f>
        <v>相殺ﾓｰｼｮﾝ</v>
      </c>
      <c r="T82" s="236" t="str">
        <f>'テンプレート'!T85</f>
        <v>飛び道具</v>
      </c>
      <c r="U82" s="236" t="str">
        <f>'テンプレート'!U85</f>
        <v>慣性反転</v>
      </c>
      <c r="V82" s="236" t="str">
        <f>'テンプレート'!V85</f>
        <v>向き反転</v>
      </c>
    </row>
    <row r="83" outlineLevel="1">
      <c r="A83" s="546" t="s">
        <v>184</v>
      </c>
      <c r="B83" s="624" t="s">
        <v>2801</v>
      </c>
      <c r="C83" s="244" t="s">
        <v>93</v>
      </c>
      <c r="D83" s="369" t="s">
        <v>105</v>
      </c>
      <c r="E83" s="244" t="s">
        <v>209</v>
      </c>
      <c r="F83" s="246">
        <v>0.0</v>
      </c>
      <c r="G83" s="822"/>
      <c r="H83" s="395" t="s">
        <v>2802</v>
      </c>
      <c r="I83" s="164"/>
      <c r="J83" s="104"/>
      <c r="K83" s="138"/>
      <c r="L83" s="138"/>
      <c r="M83" s="145"/>
      <c r="N83" s="145"/>
      <c r="O83" s="138">
        <v>0.0</v>
      </c>
      <c r="P83" s="138">
        <v>1.0</v>
      </c>
      <c r="Q83" s="138">
        <v>1.0</v>
      </c>
      <c r="R83" s="145" t="b">
        <v>0</v>
      </c>
      <c r="S83" s="145" t="b">
        <v>0</v>
      </c>
      <c r="T83" s="145"/>
      <c r="U83" s="166" t="s">
        <v>186</v>
      </c>
      <c r="V83" s="166" t="b">
        <v>1</v>
      </c>
    </row>
    <row r="84" outlineLevel="1">
      <c r="A84" s="146"/>
      <c r="B84" s="624" t="s">
        <v>2803</v>
      </c>
      <c r="C84" s="244" t="s">
        <v>296</v>
      </c>
      <c r="D84" s="156"/>
      <c r="E84" s="369" t="s">
        <v>80</v>
      </c>
      <c r="F84" s="866">
        <v>9.6</v>
      </c>
      <c r="G84" s="369" t="s">
        <v>123</v>
      </c>
      <c r="H84" s="212"/>
      <c r="J84" s="210"/>
      <c r="K84" s="138"/>
      <c r="L84" s="138"/>
      <c r="M84" s="145"/>
      <c r="N84" s="145"/>
      <c r="O84" s="138"/>
      <c r="P84" s="138"/>
      <c r="Q84" s="138"/>
      <c r="R84" s="145" t="b">
        <v>0</v>
      </c>
      <c r="S84" s="145" t="b">
        <v>0</v>
      </c>
      <c r="T84" s="145" t="b">
        <v>0</v>
      </c>
      <c r="U84" s="146"/>
      <c r="V84" s="146"/>
    </row>
    <row r="85" outlineLevel="1">
      <c r="A85" s="146"/>
      <c r="B85" s="624" t="s">
        <v>677</v>
      </c>
      <c r="C85" s="244" t="s">
        <v>213</v>
      </c>
      <c r="D85" s="244" t="s">
        <v>274</v>
      </c>
      <c r="E85" s="146"/>
      <c r="F85" s="146"/>
      <c r="G85" s="146"/>
      <c r="H85" s="106"/>
      <c r="I85" s="168"/>
      <c r="J85" s="107"/>
      <c r="K85" s="138"/>
      <c r="L85" s="138"/>
      <c r="M85" s="145"/>
      <c r="N85" s="145"/>
      <c r="O85" s="138"/>
      <c r="P85" s="138"/>
      <c r="Q85" s="138"/>
      <c r="R85" s="145" t="b">
        <v>0</v>
      </c>
      <c r="S85" s="145" t="b">
        <v>0</v>
      </c>
      <c r="T85" s="145" t="b">
        <v>0</v>
      </c>
      <c r="U85" s="146"/>
      <c r="V85" s="146"/>
    </row>
    <row r="86" outlineLevel="1">
      <c r="A86" s="156"/>
      <c r="B86" s="624" t="s">
        <v>1093</v>
      </c>
      <c r="C86" s="822"/>
      <c r="D86" s="244" t="s">
        <v>2804</v>
      </c>
      <c r="E86" s="822"/>
      <c r="F86" s="822"/>
      <c r="G86" s="822"/>
      <c r="H86" s="362" t="s">
        <v>2805</v>
      </c>
      <c r="I86" s="110"/>
      <c r="J86" s="109"/>
      <c r="K86" s="138"/>
      <c r="L86" s="138"/>
      <c r="M86" s="145"/>
      <c r="N86" s="145"/>
      <c r="O86" s="138">
        <v>0.0</v>
      </c>
      <c r="P86" s="138">
        <v>1.0</v>
      </c>
      <c r="Q86" s="138">
        <v>1.0</v>
      </c>
      <c r="R86" s="145" t="b">
        <v>0</v>
      </c>
      <c r="S86" s="145" t="b">
        <v>0</v>
      </c>
      <c r="T86" s="145"/>
      <c r="U86" s="156"/>
      <c r="V86" s="156"/>
    </row>
    <row r="87">
      <c r="A87" s="223"/>
      <c r="B87" s="224"/>
      <c r="C87" s="225"/>
      <c r="D87" s="225"/>
      <c r="E87" s="226"/>
      <c r="F87" s="226"/>
      <c r="G87" s="226"/>
      <c r="H87" s="227"/>
      <c r="I87" s="227"/>
      <c r="J87" s="228"/>
      <c r="K87" s="228"/>
      <c r="L87" s="228"/>
      <c r="M87" s="228"/>
      <c r="N87" s="228"/>
      <c r="O87" s="228"/>
      <c r="P87" s="228"/>
      <c r="Q87" s="118"/>
      <c r="R87" s="118"/>
      <c r="S87" s="118"/>
      <c r="T87" s="118"/>
      <c r="U87" s="118"/>
      <c r="V87" s="118"/>
    </row>
    <row r="88">
      <c r="A88" s="264" t="s">
        <v>211</v>
      </c>
      <c r="B88" s="104"/>
      <c r="C88" s="227"/>
      <c r="D88" s="227"/>
      <c r="E88" s="228"/>
      <c r="F88" s="265"/>
      <c r="G88" s="265"/>
      <c r="H88" s="228"/>
      <c r="I88" s="228"/>
      <c r="J88" s="228"/>
      <c r="K88" s="228"/>
      <c r="L88" s="228"/>
      <c r="M88" s="228"/>
      <c r="N88" s="118"/>
      <c r="O88" s="118"/>
      <c r="P88" s="118"/>
      <c r="Q88" s="228"/>
      <c r="R88" s="228"/>
      <c r="S88" s="228"/>
      <c r="T88" s="228"/>
      <c r="U88" s="228"/>
      <c r="V88" s="228"/>
    </row>
    <row r="89" outlineLevel="1">
      <c r="A89" s="106"/>
      <c r="B89" s="107"/>
      <c r="C89" s="266" t="s">
        <v>48</v>
      </c>
      <c r="D89" s="266" t="s">
        <v>49</v>
      </c>
      <c r="E89" s="266" t="s">
        <v>50</v>
      </c>
      <c r="F89" s="267" t="s">
        <v>51</v>
      </c>
      <c r="G89" s="227"/>
      <c r="H89" s="227"/>
      <c r="I89" s="227"/>
      <c r="J89" s="228"/>
      <c r="K89" s="228"/>
      <c r="L89" s="228"/>
      <c r="M89" s="228"/>
      <c r="N89" s="228"/>
      <c r="O89" s="228"/>
      <c r="P89" s="228"/>
      <c r="Q89" s="228"/>
      <c r="R89" s="228"/>
      <c r="S89" s="228"/>
      <c r="T89" s="228"/>
      <c r="U89" s="228"/>
      <c r="V89" s="228"/>
    </row>
    <row r="90" outlineLevel="1">
      <c r="A90" s="268" t="s">
        <v>212</v>
      </c>
      <c r="B90" s="269" t="s">
        <v>212</v>
      </c>
      <c r="C90" s="1091" t="s">
        <v>213</v>
      </c>
      <c r="D90" s="1091" t="s">
        <v>86</v>
      </c>
      <c r="E90" s="113" t="s">
        <v>214</v>
      </c>
      <c r="F90" s="138">
        <v>1.56</v>
      </c>
      <c r="G90" s="227"/>
      <c r="H90" s="227"/>
      <c r="I90" s="227"/>
      <c r="J90" s="228"/>
      <c r="K90" s="228"/>
      <c r="L90" s="228"/>
      <c r="M90" s="228"/>
      <c r="N90" s="228"/>
      <c r="O90" s="228"/>
      <c r="P90" s="228"/>
      <c r="Q90" s="228"/>
      <c r="R90" s="228"/>
      <c r="S90" s="228"/>
      <c r="T90" s="228"/>
      <c r="U90" s="228"/>
      <c r="V90" s="228"/>
    </row>
    <row r="91" outlineLevel="1">
      <c r="A91" s="270" t="s">
        <v>215</v>
      </c>
      <c r="B91" s="269" t="s">
        <v>216</v>
      </c>
      <c r="C91" s="244" t="s">
        <v>2806</v>
      </c>
      <c r="D91" s="244" t="s">
        <v>374</v>
      </c>
      <c r="E91" s="271"/>
      <c r="F91" s="272"/>
      <c r="G91" s="272"/>
      <c r="H91" s="227"/>
      <c r="I91" s="227"/>
      <c r="J91" s="228"/>
      <c r="K91" s="228"/>
      <c r="L91" s="228"/>
      <c r="M91" s="228"/>
      <c r="N91" s="228"/>
      <c r="O91" s="228"/>
      <c r="P91" s="228"/>
      <c r="Q91" s="228"/>
      <c r="R91" s="228"/>
      <c r="S91" s="228"/>
      <c r="T91" s="228"/>
      <c r="U91" s="228"/>
      <c r="V91" s="228"/>
    </row>
    <row r="92" outlineLevel="1">
      <c r="A92" s="212"/>
      <c r="B92" s="269" t="s">
        <v>219</v>
      </c>
      <c r="C92" s="244" t="s">
        <v>2807</v>
      </c>
      <c r="D92" s="244" t="s">
        <v>289</v>
      </c>
      <c r="E92" s="271"/>
      <c r="F92" s="272"/>
      <c r="G92" s="272"/>
      <c r="H92" s="227"/>
      <c r="I92" s="227"/>
      <c r="J92" s="228"/>
      <c r="K92" s="228"/>
      <c r="L92" s="228"/>
      <c r="M92" s="228"/>
      <c r="N92" s="228"/>
      <c r="O92" s="228"/>
      <c r="P92" s="228"/>
      <c r="Q92" s="228"/>
      <c r="R92" s="228"/>
      <c r="S92" s="228"/>
      <c r="T92" s="228"/>
      <c r="U92" s="228"/>
      <c r="V92" s="228"/>
    </row>
    <row r="93" outlineLevel="1">
      <c r="A93" s="106"/>
      <c r="B93" s="269" t="s">
        <v>222</v>
      </c>
      <c r="C93" s="244" t="s">
        <v>2808</v>
      </c>
      <c r="D93" s="244" t="s">
        <v>185</v>
      </c>
      <c r="E93" s="227"/>
      <c r="F93" s="272"/>
      <c r="G93" s="272"/>
      <c r="H93" s="227"/>
      <c r="I93" s="227"/>
      <c r="J93" s="228"/>
      <c r="K93" s="228"/>
      <c r="L93" s="228"/>
      <c r="M93" s="228"/>
      <c r="N93" s="228"/>
      <c r="O93" s="228"/>
      <c r="P93" s="228"/>
      <c r="Q93" s="228"/>
      <c r="R93" s="228"/>
      <c r="S93" s="228"/>
      <c r="T93" s="228"/>
      <c r="U93" s="228"/>
      <c r="V93" s="228"/>
    </row>
    <row r="94" outlineLevel="1">
      <c r="A94" s="273" t="s">
        <v>225</v>
      </c>
      <c r="B94" s="109"/>
      <c r="C94" s="266" t="s">
        <v>48</v>
      </c>
      <c r="D94" s="266" t="s">
        <v>49</v>
      </c>
      <c r="E94" s="266" t="s">
        <v>50</v>
      </c>
      <c r="F94" s="267" t="s">
        <v>51</v>
      </c>
      <c r="G94" s="274" t="s">
        <v>53</v>
      </c>
      <c r="H94" s="110"/>
      <c r="I94" s="110"/>
      <c r="J94" s="109"/>
      <c r="K94" s="275" t="str">
        <f>'テンプレート'!K97</f>
        <v>ベクトル</v>
      </c>
      <c r="L94" s="275" t="str">
        <f>'テンプレート'!L97</f>
        <v>KBG (R.E.)</v>
      </c>
      <c r="M94" s="275" t="str">
        <f>'テンプレート'!M97</f>
        <v>BKB (R.A.)</v>
      </c>
      <c r="N94" s="275" t="str">
        <f>'テンプレート'!N97</f>
        <v>FKB (R.F.)</v>
      </c>
      <c r="O94" s="276" t="str">
        <f>'テンプレート'!O97</f>
        <v>盾削り値</v>
      </c>
      <c r="P94" s="275" t="str">
        <f>'テンプレート'!P97</f>
        <v>ﾋｯﾄｽﾄｯﾌﾟ</v>
      </c>
      <c r="Q94" s="276" t="str">
        <f>'テンプレート'!Q97</f>
        <v>ずらし</v>
      </c>
      <c r="R94" s="277"/>
      <c r="S94" s="277"/>
      <c r="T94" s="277"/>
      <c r="U94" s="277"/>
      <c r="V94" s="277"/>
    </row>
    <row r="95" outlineLevel="1">
      <c r="A95" s="278" t="s">
        <v>226</v>
      </c>
      <c r="B95" s="269" t="s">
        <v>227</v>
      </c>
      <c r="C95" s="822"/>
      <c r="D95" s="1397">
        <v>52.0</v>
      </c>
      <c r="E95" s="822"/>
      <c r="F95" s="822"/>
      <c r="G95" s="416"/>
      <c r="H95" s="164"/>
      <c r="I95" s="164"/>
      <c r="J95" s="104"/>
      <c r="K95" s="261"/>
      <c r="L95" s="261"/>
      <c r="M95" s="261"/>
      <c r="N95" s="261"/>
      <c r="O95" s="261"/>
      <c r="P95" s="261"/>
      <c r="Q95" s="261"/>
      <c r="R95" s="277"/>
      <c r="S95" s="228"/>
      <c r="T95" s="228"/>
      <c r="U95" s="228"/>
      <c r="V95" s="228"/>
    </row>
    <row r="96" outlineLevel="1">
      <c r="A96" s="156"/>
      <c r="B96" s="269" t="s">
        <v>225</v>
      </c>
      <c r="C96" s="1091">
        <v>23.0</v>
      </c>
      <c r="D96" s="156"/>
      <c r="E96" s="244" t="s">
        <v>128</v>
      </c>
      <c r="F96" s="246">
        <v>12.0</v>
      </c>
      <c r="G96" s="106"/>
      <c r="H96" s="168"/>
      <c r="I96" s="168"/>
      <c r="J96" s="107"/>
      <c r="K96" s="282"/>
      <c r="L96" s="282"/>
      <c r="M96" s="363"/>
      <c r="N96" s="363"/>
      <c r="O96" s="261"/>
      <c r="P96" s="261"/>
      <c r="Q96" s="261"/>
      <c r="R96" s="277"/>
      <c r="S96" s="228"/>
      <c r="T96" s="228"/>
      <c r="U96" s="228"/>
      <c r="V96" s="228"/>
    </row>
    <row r="97" outlineLevel="1">
      <c r="A97" s="278" t="s">
        <v>229</v>
      </c>
      <c r="B97" s="269" t="s">
        <v>227</v>
      </c>
      <c r="C97" s="822"/>
      <c r="D97" s="1397">
        <v>52.0</v>
      </c>
      <c r="E97" s="822"/>
      <c r="F97" s="822"/>
      <c r="G97" s="416"/>
      <c r="H97" s="164"/>
      <c r="I97" s="164"/>
      <c r="J97" s="104"/>
      <c r="K97" s="261"/>
      <c r="L97" s="261"/>
      <c r="M97" s="261"/>
      <c r="N97" s="261"/>
      <c r="O97" s="261"/>
      <c r="P97" s="261"/>
      <c r="Q97" s="261"/>
      <c r="R97" s="277"/>
      <c r="S97" s="228"/>
      <c r="T97" s="228"/>
      <c r="U97" s="228"/>
      <c r="V97" s="228"/>
    </row>
    <row r="98" outlineLevel="1">
      <c r="A98" s="156"/>
      <c r="B98" s="269" t="s">
        <v>225</v>
      </c>
      <c r="C98" s="1091">
        <v>20.0</v>
      </c>
      <c r="D98" s="156"/>
      <c r="E98" s="244" t="s">
        <v>128</v>
      </c>
      <c r="F98" s="246">
        <v>12.0</v>
      </c>
      <c r="G98" s="106"/>
      <c r="H98" s="168"/>
      <c r="I98" s="168"/>
      <c r="J98" s="107"/>
      <c r="K98" s="282"/>
      <c r="L98" s="282"/>
      <c r="M98" s="363"/>
      <c r="N98" s="363"/>
      <c r="O98" s="261"/>
      <c r="P98" s="261"/>
      <c r="Q98" s="261"/>
      <c r="R98" s="277"/>
      <c r="S98" s="228"/>
      <c r="T98" s="228"/>
      <c r="U98" s="228"/>
      <c r="V98" s="228"/>
    </row>
    <row r="99" outlineLevel="1">
      <c r="A99" s="278" t="s">
        <v>233</v>
      </c>
      <c r="B99" s="269" t="s">
        <v>227</v>
      </c>
      <c r="C99" s="822"/>
      <c r="D99" s="1397">
        <v>55.0</v>
      </c>
      <c r="E99" s="822"/>
      <c r="F99" s="822"/>
      <c r="G99" s="416"/>
      <c r="H99" s="164"/>
      <c r="I99" s="164"/>
      <c r="J99" s="104"/>
      <c r="K99" s="261"/>
      <c r="L99" s="261"/>
      <c r="M99" s="261"/>
      <c r="N99" s="261"/>
      <c r="O99" s="261"/>
      <c r="P99" s="261"/>
      <c r="Q99" s="261"/>
      <c r="R99" s="277"/>
      <c r="S99" s="228"/>
      <c r="T99" s="228"/>
      <c r="U99" s="228"/>
      <c r="V99" s="228"/>
    </row>
    <row r="100" outlineLevel="1">
      <c r="A100" s="156"/>
      <c r="B100" s="269" t="s">
        <v>225</v>
      </c>
      <c r="C100" s="1091">
        <v>25.0</v>
      </c>
      <c r="D100" s="156"/>
      <c r="E100" s="244" t="s">
        <v>128</v>
      </c>
      <c r="F100" s="246">
        <v>12.0</v>
      </c>
      <c r="G100" s="106"/>
      <c r="H100" s="168"/>
      <c r="I100" s="168"/>
      <c r="J100" s="107"/>
      <c r="K100" s="282"/>
      <c r="L100" s="282"/>
      <c r="M100" s="363"/>
      <c r="N100" s="363"/>
      <c r="O100" s="261"/>
      <c r="P100" s="261"/>
      <c r="Q100" s="261"/>
      <c r="R100" s="277"/>
      <c r="S100" s="117"/>
      <c r="T100" s="117"/>
      <c r="U100" s="117"/>
      <c r="V100" s="117"/>
    </row>
    <row r="101" outlineLevel="1">
      <c r="A101" s="278" t="s">
        <v>234</v>
      </c>
      <c r="B101" s="269" t="s">
        <v>227</v>
      </c>
      <c r="C101" s="822"/>
      <c r="D101" s="1397" t="s">
        <v>600</v>
      </c>
      <c r="E101" s="822"/>
      <c r="F101" s="822"/>
      <c r="G101" s="416"/>
      <c r="H101" s="164"/>
      <c r="I101" s="164"/>
      <c r="J101" s="104"/>
      <c r="K101" s="261"/>
      <c r="L101" s="261"/>
      <c r="M101" s="261"/>
      <c r="N101" s="261"/>
      <c r="O101" s="261"/>
      <c r="P101" s="261"/>
      <c r="Q101" s="261"/>
      <c r="R101" s="277"/>
      <c r="S101" s="117"/>
      <c r="T101" s="117"/>
      <c r="U101" s="117"/>
      <c r="V101" s="117"/>
    </row>
    <row r="102" outlineLevel="1">
      <c r="A102" s="156"/>
      <c r="B102" s="269" t="s">
        <v>225</v>
      </c>
      <c r="C102" s="1091">
        <v>41.0</v>
      </c>
      <c r="D102" s="156"/>
      <c r="E102" s="244" t="s">
        <v>232</v>
      </c>
      <c r="F102" s="246">
        <v>13.2</v>
      </c>
      <c r="G102" s="106"/>
      <c r="H102" s="168"/>
      <c r="I102" s="168"/>
      <c r="J102" s="107"/>
      <c r="K102" s="282"/>
      <c r="L102" s="282"/>
      <c r="M102" s="363"/>
      <c r="N102" s="363"/>
      <c r="O102" s="261"/>
      <c r="P102" s="261"/>
      <c r="Q102" s="261"/>
      <c r="R102" s="277"/>
      <c r="S102" s="117"/>
      <c r="T102" s="117"/>
      <c r="U102" s="117"/>
      <c r="V102" s="117"/>
    </row>
    <row r="103">
      <c r="A103" s="223"/>
      <c r="B103" s="224"/>
      <c r="C103" s="225"/>
      <c r="D103" s="225"/>
      <c r="E103" s="227"/>
      <c r="F103" s="177"/>
      <c r="G103" s="177"/>
      <c r="H103" s="227"/>
      <c r="I103" s="227"/>
      <c r="J103" s="228"/>
      <c r="K103" s="228"/>
      <c r="L103" s="111"/>
      <c r="M103" s="111"/>
      <c r="N103" s="111"/>
      <c r="O103" s="117"/>
      <c r="P103" s="117"/>
      <c r="Q103" s="111"/>
      <c r="R103" s="111"/>
      <c r="S103" s="111"/>
      <c r="T103" s="111"/>
      <c r="U103" s="111"/>
      <c r="V103" s="111"/>
    </row>
    <row r="104">
      <c r="A104" s="284" t="s">
        <v>241</v>
      </c>
      <c r="B104" s="104"/>
      <c r="C104" s="265"/>
      <c r="D104" s="111"/>
      <c r="E104" s="111"/>
      <c r="F104" s="111"/>
      <c r="G104" s="111"/>
      <c r="H104" s="111"/>
      <c r="I104" s="111"/>
      <c r="J104" s="118"/>
      <c r="K104" s="111"/>
      <c r="L104" s="111"/>
      <c r="M104" s="111"/>
      <c r="N104" s="111"/>
      <c r="O104" s="111"/>
      <c r="P104" s="111"/>
      <c r="Q104" s="118"/>
      <c r="R104" s="111"/>
      <c r="S104" s="111"/>
      <c r="T104" s="111"/>
      <c r="U104" s="111"/>
      <c r="V104" s="111"/>
    </row>
    <row r="105" outlineLevel="1">
      <c r="A105" s="106"/>
      <c r="B105" s="107"/>
      <c r="C105" s="285" t="s">
        <v>235</v>
      </c>
      <c r="D105" s="285" t="s">
        <v>236</v>
      </c>
      <c r="E105" s="285" t="s">
        <v>49</v>
      </c>
      <c r="F105" s="285" t="s">
        <v>237</v>
      </c>
      <c r="G105" s="286"/>
      <c r="H105" s="227"/>
      <c r="I105" s="227"/>
      <c r="J105" s="228"/>
      <c r="K105" s="228"/>
      <c r="L105" s="111"/>
      <c r="M105" s="111"/>
      <c r="N105" s="111"/>
      <c r="O105" s="111"/>
      <c r="P105" s="111"/>
      <c r="Q105" s="111"/>
      <c r="R105" s="111"/>
      <c r="S105" s="111"/>
      <c r="T105" s="111"/>
      <c r="U105" s="111"/>
      <c r="V105" s="111"/>
    </row>
    <row r="106" outlineLevel="1">
      <c r="A106" s="287" t="s">
        <v>395</v>
      </c>
      <c r="B106" s="288" t="s">
        <v>216</v>
      </c>
      <c r="C106" s="113" t="str">
        <f t="array" ref="C106">INDEX('回避'!$C$3:$U$84, MATCH($A$1,'回避'!$A$3:$A$91,0), MATCH(C105,'回避'!$C$2:$F$2,0))</f>
        <v>3-17</v>
      </c>
      <c r="D106" s="113" t="str">
        <f t="array" ref="D106">INDEX('回避'!$C$3:$U$84, MATCH($A$1,'回避'!$A$3:$A$91,0), MATCH(D105,'回避'!$C$2:$F$2,0))</f>
        <v>6-17</v>
      </c>
      <c r="E106" s="113" t="str">
        <f t="array" ref="E106">INDEX('回避'!$C$3:$U$84, MATCH($A$1,'回避'!$A$3:$A$91,0), MATCH(E105,'回避'!$C$2:$F$2,0))</f>
        <v>25 (20)</v>
      </c>
      <c r="F106" s="113" t="str">
        <f t="array" ref="F106">INDEX('回避'!$C$3:$U$84, MATCH($A$1,'回避'!$A$3:$A$91,0), MATCH(F105,'回避'!$C$2:$F$2,0))</f>
        <v>33 (27)</v>
      </c>
      <c r="G106" s="272"/>
      <c r="H106" s="227"/>
      <c r="I106" s="227"/>
      <c r="J106" s="228"/>
      <c r="K106" s="228"/>
      <c r="L106" s="228"/>
      <c r="M106" s="111"/>
      <c r="N106" s="111"/>
      <c r="O106" s="111"/>
      <c r="P106" s="111"/>
      <c r="Q106" s="111"/>
      <c r="R106" s="111"/>
      <c r="S106" s="111"/>
      <c r="T106" s="111"/>
      <c r="U106" s="111"/>
      <c r="V106" s="111"/>
    </row>
    <row r="107" outlineLevel="1">
      <c r="A107" s="212"/>
      <c r="B107" s="288" t="s">
        <v>245</v>
      </c>
      <c r="C107" s="113" t="str">
        <f t="array" ref="C107">INDEX('回避'!$G$3:$U$84, MATCH($A$1,'回避'!$A$3:$A$91,0), MATCH(C105,'回避'!$G$2:$J$2,0))</f>
        <v>4-15</v>
      </c>
      <c r="D107" s="113" t="str">
        <f t="array" ref="D107">INDEX('回避'!$G$3:$U$84, MATCH($A$1,'回避'!$A$3:$A$91,0), MATCH(D105,'回避'!$G$2:$J$2,0))</f>
        <v>8-14</v>
      </c>
      <c r="E107" s="113" t="str">
        <f t="array" ref="E107">INDEX('回避'!$G$3:$U$84, MATCH($A$1,'回避'!$A$3:$A$91,0), MATCH(E105,'回避'!$G$2:$J$2,0))</f>
        <v>29</v>
      </c>
      <c r="F107" s="113">
        <f t="array" ref="F107">INDEX('回避'!$G$3:$U$84, MATCH($A$1,'回避'!$A$3:$A$91,0), MATCH(F105,'回避'!$G$2:$J$2,0))</f>
        <v>38</v>
      </c>
      <c r="G107" s="289"/>
      <c r="H107" s="227"/>
      <c r="I107" s="227"/>
      <c r="J107" s="228"/>
      <c r="K107" s="228"/>
      <c r="L107" s="228"/>
      <c r="M107" s="228"/>
      <c r="N107" s="228"/>
      <c r="O107" s="111"/>
      <c r="P107" s="111"/>
      <c r="Q107" s="111"/>
      <c r="R107" s="111"/>
      <c r="S107" s="111"/>
      <c r="T107" s="111"/>
      <c r="U107" s="111"/>
      <c r="V107" s="111"/>
    </row>
    <row r="108" outlineLevel="1">
      <c r="A108" s="106"/>
      <c r="B108" s="288" t="s">
        <v>246</v>
      </c>
      <c r="C108" s="113" t="str">
        <f t="array" ref="C108">INDEX('回避'!$K$3:$U$84, MATCH($A$1,'回避'!$A$3:$A$91,0), MATCH(C105,'回避'!$K$2:$N$2,0))</f>
        <v>5-16</v>
      </c>
      <c r="D108" s="113" t="str">
        <f t="array" ref="D108">INDEX('回避'!$K$3:$U$84, MATCH($A$1,'回避'!$A$3:$A$91,0), MATCH(D105,'回避'!$K$2:$N$2,0))</f>
        <v>9-14</v>
      </c>
      <c r="E108" s="113" t="str">
        <f t="array" ref="E108">INDEX('回避'!$K$3:$U$84, MATCH($A$1,'回避'!$A$3:$A$91,0), MATCH(E105,'回避'!$K$2:$N$2,0))</f>
        <v>34</v>
      </c>
      <c r="F108" s="113" t="str">
        <f t="array" ref="F108">INDEX('回避'!$K$3:$U$84, MATCH($A$1,'回避'!$A$3:$A$91,0), MATCH(F105,'回避'!$K$2:$N$2,0))</f>
        <v>51</v>
      </c>
      <c r="G108" s="289"/>
      <c r="H108" s="290"/>
      <c r="I108" s="290"/>
      <c r="J108" s="117"/>
      <c r="K108" s="117"/>
      <c r="L108" s="117"/>
      <c r="M108" s="117"/>
      <c r="N108" s="117"/>
      <c r="O108" s="111"/>
      <c r="P108" s="111"/>
      <c r="Q108" s="111"/>
      <c r="R108" s="111"/>
      <c r="S108" s="111"/>
      <c r="T108" s="111"/>
      <c r="U108" s="111"/>
      <c r="V108" s="111"/>
    </row>
    <row r="109" outlineLevel="1">
      <c r="A109" s="287" t="s">
        <v>396</v>
      </c>
      <c r="B109" s="288" t="s">
        <v>397</v>
      </c>
      <c r="C109" s="113" t="str">
        <f t="array" ref="C109">INDEX('回避'!$O$3:$U$84, MATCH($A$1,'回避'!$A$3:$A$91,0), MATCH(C105,'回避'!$O$2:$R$2,0))</f>
        <v>3-30</v>
      </c>
      <c r="D109" s="113" t="str">
        <f t="array" ref="D109">INDEX('回避'!$O$3:$U$84, MATCH($A$1,'回避'!$A$3:$A$91,0), MATCH(D105,'回避'!$O$2:$R$2,0))</f>
        <v>6-27</v>
      </c>
      <c r="E109" s="113" t="str">
        <f t="array" ref="E109">INDEX('回避'!$O$3:$U$84, MATCH($A$1,'回避'!$A$3:$A$91,0), MATCH(E105,'回避'!$O$2:$R$2,0))</f>
        <v>56</v>
      </c>
      <c r="F109" s="177"/>
      <c r="G109" s="177"/>
      <c r="H109" s="118"/>
      <c r="I109" s="118"/>
      <c r="J109" s="111"/>
      <c r="K109" s="111"/>
      <c r="L109" s="111"/>
      <c r="M109" s="111"/>
      <c r="N109" s="111"/>
      <c r="O109" s="228"/>
      <c r="P109" s="228"/>
      <c r="Q109" s="228"/>
      <c r="R109" s="228"/>
      <c r="S109" s="228"/>
      <c r="T109" s="228"/>
      <c r="U109" s="228"/>
      <c r="V109" s="228"/>
    </row>
    <row r="110" outlineLevel="1">
      <c r="A110" s="106"/>
      <c r="B110" s="288" t="s">
        <v>398</v>
      </c>
      <c r="C110" s="113" t="str">
        <f t="array" ref="C110">INDEX('回避'!$S$3:$U$84, MATCH($A$1,'回避'!$A$3:$A$91,0), MATCH(C105,'回避'!$S$2:$U$2,0))</f>
        <v>3-21</v>
      </c>
      <c r="D110" s="113" t="str">
        <f t="array" ref="D110">INDEX('回避'!$S$3:$U$84, MATCH($A$1,'回避'!$A$3:$A$91,0), MATCH(D105,'回避'!$S$2:$U$2,0))</f>
        <v>6-20</v>
      </c>
      <c r="E110" s="113" t="str">
        <f t="array" ref="E110">INDEX('回避'!$S$3:$U$84, MATCH($A$1,'回避'!$A$3:$A$91,0), MATCH(E105,'回避'!$S$2:$U$2,0))</f>
        <v>真横：95
真上：126
真下：75</v>
      </c>
      <c r="F110" s="289"/>
      <c r="G110" s="289"/>
      <c r="H110" s="118"/>
      <c r="I110" s="118"/>
      <c r="J110" s="117"/>
      <c r="K110" s="117"/>
      <c r="L110" s="117"/>
      <c r="M110" s="117"/>
      <c r="N110" s="111"/>
      <c r="O110" s="118"/>
      <c r="P110" s="118"/>
      <c r="Q110" s="118"/>
      <c r="R110" s="118"/>
      <c r="S110" s="118"/>
      <c r="T110" s="118"/>
      <c r="U110" s="118"/>
      <c r="V110" s="118"/>
    </row>
    <row r="111">
      <c r="A111" s="291"/>
      <c r="B111" s="292"/>
      <c r="C111" s="286"/>
      <c r="D111" s="286"/>
      <c r="E111" s="293"/>
      <c r="F111" s="286"/>
      <c r="G111" s="286"/>
      <c r="H111" s="286"/>
      <c r="I111" s="286"/>
      <c r="J111" s="111"/>
      <c r="K111" s="227"/>
      <c r="L111" s="227"/>
      <c r="M111" s="227"/>
      <c r="N111" s="227"/>
      <c r="O111" s="118"/>
      <c r="P111" s="118"/>
      <c r="Q111" s="118"/>
      <c r="R111" s="118"/>
      <c r="S111" s="118"/>
      <c r="T111" s="118"/>
      <c r="U111" s="118"/>
      <c r="V111" s="118"/>
    </row>
    <row r="112">
      <c r="A112" s="294" t="s">
        <v>238</v>
      </c>
      <c r="B112" s="104"/>
      <c r="C112" s="228"/>
      <c r="D112" s="117"/>
      <c r="E112" s="228"/>
      <c r="F112" s="114"/>
      <c r="G112" s="114"/>
      <c r="H112" s="117"/>
      <c r="I112" s="117"/>
      <c r="J112" s="118"/>
      <c r="K112" s="118"/>
      <c r="L112" s="118"/>
      <c r="M112" s="118"/>
      <c r="N112" s="118"/>
      <c r="O112" s="118"/>
      <c r="P112" s="118"/>
      <c r="Q112" s="118"/>
      <c r="R112" s="118"/>
      <c r="S112" s="118"/>
      <c r="T112" s="118"/>
      <c r="U112" s="118"/>
      <c r="V112" s="118"/>
    </row>
    <row r="113" outlineLevel="1">
      <c r="A113" s="106"/>
      <c r="B113" s="107"/>
      <c r="C113" s="295" t="s">
        <v>235</v>
      </c>
      <c r="D113" s="295" t="s">
        <v>49</v>
      </c>
      <c r="E113" s="295" t="s">
        <v>48</v>
      </c>
      <c r="F113" s="295" t="s">
        <v>50</v>
      </c>
      <c r="G113" s="296" t="s">
        <v>51</v>
      </c>
      <c r="H113" s="228"/>
      <c r="I113" s="228"/>
      <c r="J113" s="117"/>
      <c r="K113" s="297" t="str">
        <f>'テンプレート'!K116</f>
        <v>アイテム取得</v>
      </c>
      <c r="L113" s="109"/>
      <c r="M113" s="298" t="str">
        <f>'テンプレート'!M116</f>
        <v>取得フレーム</v>
      </c>
      <c r="N113" s="298" t="str">
        <f>'テンプレート'!N116</f>
        <v>全体フレーム</v>
      </c>
      <c r="O113" s="118"/>
      <c r="P113" s="118"/>
      <c r="Q113" s="118"/>
      <c r="R113" s="118"/>
      <c r="S113" s="118"/>
      <c r="T113" s="118"/>
      <c r="U113" s="118"/>
      <c r="V113" s="118"/>
    </row>
    <row r="114" outlineLevel="1">
      <c r="A114" s="299" t="s">
        <v>239</v>
      </c>
      <c r="B114" s="300" t="s">
        <v>240</v>
      </c>
      <c r="C114" s="301"/>
      <c r="D114" s="113">
        <f t="array" ref="D114">INDEX('崖行動・受け身'!$C$3:$C114, MATCH($A$1,'崖行動・受け身'!$A$3:$A$115,0), MATCH(D113,'崖行動・受け身'!$C$2,0))</f>
        <v>19</v>
      </c>
      <c r="E114" s="301"/>
      <c r="F114" s="301"/>
      <c r="G114" s="301"/>
      <c r="H114" s="228"/>
      <c r="I114" s="228"/>
      <c r="J114" s="111"/>
      <c r="K114" s="302" t="str">
        <f>'テンプレート'!K117</f>
        <v>小アイテム</v>
      </c>
      <c r="L114" s="303" t="str">
        <f>'テンプレート'!L117</f>
        <v>その場</v>
      </c>
      <c r="M114" s="113" t="s">
        <v>76</v>
      </c>
      <c r="N114" s="113">
        <v>7.0</v>
      </c>
      <c r="O114" s="118"/>
      <c r="P114" s="118"/>
      <c r="Q114" s="118"/>
      <c r="R114" s="118"/>
      <c r="S114" s="118"/>
      <c r="T114" s="118"/>
      <c r="U114" s="118"/>
      <c r="V114" s="118"/>
    </row>
    <row r="115" outlineLevel="1">
      <c r="A115" s="146"/>
      <c r="B115" s="300" t="s">
        <v>216</v>
      </c>
      <c r="C115" s="113" t="str">
        <f t="array" ref="C115">INDEX('崖行動・受け身'!$D$3:$E114, MATCH($A$1,'崖行動・受け身'!$A$3:$A$115,0), MATCH(C113,'崖行動・受け身'!$D$2:$E$2,0))</f>
        <v>1-33</v>
      </c>
      <c r="D115" s="113">
        <f t="array" ref="D115">INDEX('崖行動・受け身'!$D$3:$E114, MATCH($A$1,'崖行動・受け身'!$A$3:$A$115,0), MATCH(D113,'崖行動・受け身'!$D$2:$E$2,0))</f>
        <v>34</v>
      </c>
      <c r="E115" s="301"/>
      <c r="F115" s="301"/>
      <c r="G115" s="301"/>
      <c r="H115" s="228"/>
      <c r="I115" s="228"/>
      <c r="J115" s="117"/>
      <c r="K115" s="156"/>
      <c r="L115" s="303" t="str">
        <f>'テンプレート'!L118</f>
        <v>歩き</v>
      </c>
      <c r="M115" s="113" t="s">
        <v>76</v>
      </c>
      <c r="N115" s="113">
        <v>19.0</v>
      </c>
      <c r="O115" s="118"/>
      <c r="P115" s="118"/>
      <c r="Q115" s="118"/>
      <c r="R115" s="118"/>
      <c r="S115" s="118"/>
      <c r="T115" s="118"/>
      <c r="U115" s="118"/>
      <c r="V115" s="118"/>
    </row>
    <row r="116" outlineLevel="1">
      <c r="A116" s="146"/>
      <c r="B116" s="300" t="s">
        <v>241</v>
      </c>
      <c r="C116" s="113" t="str">
        <f t="array" ref="C116">INDEX('崖行動・受け身'!$F$3:$G$115, MATCH($A$1,'崖行動・受け身'!$A$3:$A$115,0), MATCH(C113,'崖行動・受け身'!$F$2:$G$2,0))</f>
        <v>1-20</v>
      </c>
      <c r="D116" s="113">
        <f t="array" ref="D116">INDEX('崖行動・受け身'!$F$3:$G$115, MATCH($A$1,'崖行動・受け身'!$A$3:$A$115,0), MATCH(D113,'崖行動・受け身'!$F$2:$G$2,0))</f>
        <v>45</v>
      </c>
      <c r="E116" s="301"/>
      <c r="F116" s="301"/>
      <c r="G116" s="301"/>
      <c r="H116" s="228"/>
      <c r="I116" s="228"/>
      <c r="J116" s="111"/>
      <c r="K116" s="304" t="str">
        <f>'テンプレート'!K119</f>
        <v>アイテム投擲</v>
      </c>
      <c r="L116" s="109"/>
      <c r="M116" s="298" t="str">
        <f>'テンプレート'!M119</f>
        <v>投擲フレーム</v>
      </c>
      <c r="N116" s="298" t="str">
        <f>'テンプレート'!N119</f>
        <v>全体フレーム</v>
      </c>
      <c r="O116" s="118"/>
      <c r="P116" s="118"/>
      <c r="Q116" s="118"/>
      <c r="R116" s="118"/>
      <c r="S116" s="118"/>
      <c r="T116" s="118"/>
      <c r="U116" s="118"/>
      <c r="V116" s="118"/>
    </row>
    <row r="117" outlineLevel="1">
      <c r="A117" s="146"/>
      <c r="B117" s="300" t="s">
        <v>242</v>
      </c>
      <c r="C117" s="113" t="str">
        <f t="array" ref="C117">INDEX('崖行動・受け身'!$H$3:$I$115, MATCH($A$1,'崖行動・受け身'!$A$3:$A$115,0), MATCH(C113,'崖行動・受け身'!$H$2:$I$2,0))</f>
        <v>1-12</v>
      </c>
      <c r="D117" s="113">
        <f t="array" ref="D117">INDEX('崖行動・受け身'!$H$3:$I$115, MATCH($A$1,'崖行動・受け身'!$A$3:$A$115,0), MATCH(D113,'崖行動・受け身'!$H$2:$I$2,0))</f>
        <v>14</v>
      </c>
      <c r="E117" s="301"/>
      <c r="F117" s="301"/>
      <c r="G117" s="301"/>
      <c r="H117" s="228"/>
      <c r="I117" s="228"/>
      <c r="J117" s="117"/>
      <c r="K117" s="305" t="str">
        <f>'テンプレート'!K120</f>
        <v>地上投擲</v>
      </c>
      <c r="L117" s="303" t="str">
        <f>'テンプレート'!L120</f>
        <v>前投げ</v>
      </c>
      <c r="M117" s="113" t="s">
        <v>93</v>
      </c>
      <c r="N117" s="113">
        <v>24.0</v>
      </c>
      <c r="O117" s="111"/>
      <c r="P117" s="111"/>
      <c r="Q117" s="111"/>
      <c r="R117" s="111"/>
      <c r="S117" s="111"/>
      <c r="T117" s="111"/>
      <c r="U117" s="111"/>
      <c r="V117" s="111"/>
    </row>
    <row r="118" outlineLevel="1">
      <c r="A118" s="156"/>
      <c r="B118" s="300" t="s">
        <v>243</v>
      </c>
      <c r="C118" s="113" t="str">
        <f t="array" ref="C118">INDEX('崖行動・受け身'!$J$3:$M$115, MATCH($A$1,'崖行動・受け身'!$A$3:$A$115,0), MATCH(C113,'崖行動・受け身'!$J$2:$M$2,0))</f>
        <v>1-24</v>
      </c>
      <c r="D118" s="113">
        <f t="array" ref="D118">INDEX('崖行動・受け身'!$J$3:$M$115, MATCH($A$1,'崖行動・受け身'!$A$3:$A$115,0), MATCH(D113,'崖行動・受け身'!$J$2:$M$2,0))</f>
        <v>55</v>
      </c>
      <c r="E118" s="113" t="str">
        <f t="array" ref="E118">INDEX('崖行動・受け身'!$J$3:$M$115, MATCH($A$1,'崖行動・受け身'!$A$3:$A$115,0), MATCH(E113,'崖行動・受け身'!$J$2:$M$2,0))</f>
        <v>22-24</v>
      </c>
      <c r="F118" s="113">
        <f t="array" ref="F118">INDEX('崖行動・受け身'!$J$3:$M$115, MATCH($A$1,'崖行動・受け身'!$A$3:$A$115,0), MATCH(F113,'崖行動・受け身'!$J$2:$M$2,0))</f>
        <v>9</v>
      </c>
      <c r="G118" s="113">
        <f>F118*1.2</f>
        <v>10.8</v>
      </c>
      <c r="H118" s="228"/>
      <c r="I118" s="228"/>
      <c r="J118" s="111"/>
      <c r="K118" s="146"/>
      <c r="L118" s="303" t="str">
        <f>'テンプレート'!L121</f>
        <v>後投げ</v>
      </c>
      <c r="M118" s="113" t="s">
        <v>232</v>
      </c>
      <c r="N118" s="113">
        <v>24.0</v>
      </c>
      <c r="O118" s="111"/>
      <c r="P118" s="111"/>
      <c r="Q118" s="111"/>
      <c r="R118" s="111"/>
      <c r="S118" s="111"/>
      <c r="T118" s="111"/>
      <c r="U118" s="111"/>
      <c r="V118" s="111"/>
    </row>
    <row r="119" outlineLevel="1">
      <c r="A119" s="299" t="s">
        <v>244</v>
      </c>
      <c r="B119" s="300" t="s">
        <v>216</v>
      </c>
      <c r="C119" s="113" t="str">
        <f t="array" ref="C119">INDEX('崖行動・受け身'!$N$3:$O$115, MATCH($A$1,'崖行動・受け身'!$A$3:$A$115,0), MATCH(C113,'崖行動・受け身'!$N$2:$O$2,0))</f>
        <v>1-20</v>
      </c>
      <c r="D119" s="113">
        <f t="array" ref="D119">INDEX('崖行動・受け身'!$N$3:$O$115, MATCH($A$1,'崖行動・受け身'!$A$3:$A$115,0), MATCH(D113,'崖行動・受け身'!$N$2:$O$2,0))</f>
        <v>26</v>
      </c>
      <c r="E119" s="301"/>
      <c r="F119" s="301"/>
      <c r="G119" s="301"/>
      <c r="H119" s="228"/>
      <c r="I119" s="228"/>
      <c r="J119" s="117"/>
      <c r="K119" s="146"/>
      <c r="L119" s="303" t="str">
        <f>'テンプレート'!L122</f>
        <v>上投げ</v>
      </c>
      <c r="M119" s="113" t="s">
        <v>129</v>
      </c>
      <c r="N119" s="113">
        <v>23.0</v>
      </c>
      <c r="O119" s="228"/>
      <c r="P119" s="228"/>
      <c r="Q119" s="228"/>
      <c r="R119" s="228"/>
      <c r="S119" s="228"/>
      <c r="T119" s="228"/>
      <c r="U119" s="228"/>
      <c r="V119" s="228"/>
    </row>
    <row r="120" outlineLevel="1">
      <c r="A120" s="146"/>
      <c r="B120" s="300" t="s">
        <v>245</v>
      </c>
      <c r="C120" s="113" t="str">
        <f t="array" ref="C120">INDEX('崖行動・受け身'!$P$3:$Q$115, MATCH($A$1,'崖行動・受け身'!$A$3:$A$115,0), MATCH(C113,'崖行動・受け身'!$P$2:$Q$2,0))</f>
        <v>1-20</v>
      </c>
      <c r="D120" s="113">
        <f t="array" ref="D120">INDEX('崖行動・受け身'!$P$3:$Q$115, MATCH($A$1,'崖行動・受け身'!$A$3:$A$115,0), MATCH(D113,'崖行動・受け身'!$P$2:$Q$2,0))</f>
        <v>40</v>
      </c>
      <c r="E120" s="301"/>
      <c r="F120" s="301"/>
      <c r="G120" s="301"/>
      <c r="H120" s="228"/>
      <c r="I120" s="228"/>
      <c r="J120" s="111"/>
      <c r="K120" s="146"/>
      <c r="L120" s="303" t="str">
        <f>'テンプレート'!L123</f>
        <v>下投げ</v>
      </c>
      <c r="M120" s="113" t="s">
        <v>93</v>
      </c>
      <c r="N120" s="113">
        <v>19.0</v>
      </c>
      <c r="O120" s="118"/>
      <c r="P120" s="118"/>
      <c r="Q120" s="118"/>
      <c r="R120" s="118"/>
      <c r="S120" s="118"/>
      <c r="T120" s="118"/>
      <c r="U120" s="118"/>
      <c r="V120" s="118"/>
    </row>
    <row r="121" outlineLevel="1">
      <c r="A121" s="156"/>
      <c r="B121" s="300" t="s">
        <v>246</v>
      </c>
      <c r="C121" s="113" t="str">
        <f t="array" ref="C121">INDEX('崖行動・受け身'!$R$3:$S$115, MATCH($A$1,'崖行動・受け身'!$A$3:$A$115,0), MATCH(C113,'崖行動・受け身'!$R$2:$S$2,0))</f>
        <v>1-20</v>
      </c>
      <c r="D121" s="113">
        <f t="array" ref="D121">INDEX('崖行動・受け身'!$R$3:$S$115, MATCH($A$1,'崖行動・受け身'!$A$3:$A$115,0), MATCH(D113,'崖行動・受け身'!$R$2:$S$2,0))</f>
        <v>40</v>
      </c>
      <c r="E121" s="301"/>
      <c r="F121" s="301"/>
      <c r="G121" s="301"/>
      <c r="H121" s="228"/>
      <c r="I121" s="228"/>
      <c r="J121" s="117"/>
      <c r="K121" s="146"/>
      <c r="L121" s="306" t="str">
        <f>'テンプレート'!L124</f>
        <v>ダッシュ</v>
      </c>
      <c r="M121" s="113" t="s">
        <v>150</v>
      </c>
      <c r="N121" s="113">
        <v>37.0</v>
      </c>
      <c r="O121" s="118"/>
      <c r="P121" s="118"/>
      <c r="Q121" s="118"/>
      <c r="R121" s="118"/>
      <c r="S121" s="118"/>
      <c r="T121" s="118"/>
      <c r="U121" s="118"/>
      <c r="V121" s="118"/>
    </row>
    <row r="122" outlineLevel="1">
      <c r="A122" s="299" t="s">
        <v>247</v>
      </c>
      <c r="B122" s="300" t="s">
        <v>248</v>
      </c>
      <c r="C122" s="301"/>
      <c r="D122" s="113" t="str">
        <f t="array" ref="D122">INDEX('起きあがり'!$C$3:$C114, MATCH($A$1,'起きあがり'!$A$3:$A$115,0), MATCH(D113,'起きあがり'!$C$2:$AD$2,0))</f>
        <v>25</v>
      </c>
      <c r="E122" s="301"/>
      <c r="F122" s="301"/>
      <c r="G122" s="301"/>
      <c r="H122" s="228"/>
      <c r="I122" s="228"/>
      <c r="J122" s="111"/>
      <c r="K122" s="156"/>
      <c r="L122" s="306" t="str">
        <f>'テンプレート'!L125</f>
        <v>その場捨て</v>
      </c>
      <c r="M122" s="113" t="s">
        <v>86</v>
      </c>
      <c r="N122" s="113">
        <v>23.0</v>
      </c>
      <c r="O122" s="118"/>
      <c r="P122" s="118"/>
      <c r="Q122" s="118"/>
      <c r="R122" s="118"/>
      <c r="S122" s="118"/>
      <c r="T122" s="118"/>
      <c r="U122" s="118"/>
      <c r="V122" s="118"/>
    </row>
    <row r="123" outlineLevel="1">
      <c r="A123" s="146"/>
      <c r="B123" s="300" t="s">
        <v>216</v>
      </c>
      <c r="C123" s="307" t="str">
        <f t="array" ref="C123">INDEX('起きあがり'!$D$3:$E114, MATCH($A$1,'起きあがり'!$A$3:$A$115,0), MATCH(C113,'起きあがり'!$D$2:$AD$2,0))</f>
        <v>1-22</v>
      </c>
      <c r="D123" s="308">
        <f t="array" ref="D123">INDEX('起きあがり'!$D$3:$E114, MATCH($A$1,'起きあがり'!$A$3:$A$115,0), MATCH(D113,'起きあがり'!$D$2:$AD$2,0))</f>
        <v>29</v>
      </c>
      <c r="E123" s="301"/>
      <c r="F123" s="301"/>
      <c r="G123" s="301"/>
      <c r="H123" s="228"/>
      <c r="I123" s="228"/>
      <c r="J123" s="117"/>
      <c r="K123" s="305" t="str">
        <f>'テンプレート'!K126</f>
        <v>空中投擲</v>
      </c>
      <c r="L123" s="303" t="str">
        <f>'テンプレート'!L126</f>
        <v>前投げ</v>
      </c>
      <c r="M123" s="113" t="s">
        <v>80</v>
      </c>
      <c r="N123" s="113">
        <v>24.0</v>
      </c>
      <c r="O123" s="118"/>
      <c r="P123" s="118"/>
      <c r="Q123" s="118"/>
      <c r="R123" s="118"/>
      <c r="S123" s="118"/>
      <c r="T123" s="118"/>
      <c r="U123" s="118"/>
      <c r="V123" s="118"/>
    </row>
    <row r="124" outlineLevel="1">
      <c r="A124" s="146"/>
      <c r="B124" s="300" t="s">
        <v>245</v>
      </c>
      <c r="C124" s="307" t="str">
        <f t="array" ref="C124">INDEX('起きあがり'!$F$3:$G$115, MATCH($A$1,'起きあがり'!$A$3:$A$115,0), MATCH(C113,'起きあがり'!$F$2:$AD$2,0))</f>
        <v>1-22</v>
      </c>
      <c r="D124" s="308">
        <f t="array" ref="D124">INDEX('起きあがり'!$F$3:$G$115, MATCH($A$1,'起きあがり'!$A$3:$A$115,0), MATCH(D113,'起きあがり'!$F$2:$AD$2,0))</f>
        <v>35</v>
      </c>
      <c r="E124" s="301"/>
      <c r="F124" s="301"/>
      <c r="G124" s="301"/>
      <c r="H124" s="228"/>
      <c r="I124" s="228"/>
      <c r="J124" s="111"/>
      <c r="K124" s="146"/>
      <c r="L124" s="303" t="str">
        <f>'テンプレート'!L127</f>
        <v>後投げ</v>
      </c>
      <c r="M124" s="113" t="s">
        <v>232</v>
      </c>
      <c r="N124" s="113">
        <v>24.0</v>
      </c>
      <c r="O124" s="118"/>
      <c r="P124" s="118"/>
      <c r="Q124" s="118"/>
      <c r="R124" s="118"/>
      <c r="S124" s="118"/>
      <c r="T124" s="118"/>
      <c r="U124" s="118"/>
      <c r="V124" s="118"/>
    </row>
    <row r="125" outlineLevel="1">
      <c r="A125" s="146"/>
      <c r="B125" s="300" t="s">
        <v>246</v>
      </c>
      <c r="C125" s="113" t="str">
        <f t="array" ref="C125">INDEX('起きあがり'!$H$3:$I$115, MATCH($A$1,'起きあがり'!$A$3:$A$115,0), MATCH(C113,'起きあがり'!$H$2:$AD$2,0))</f>
        <v>1-22</v>
      </c>
      <c r="D125" s="113">
        <f t="array" ref="D125">INDEX('起きあがり'!$H$3:$I$115, MATCH($A$1,'起きあがり'!$A$3:$A$115,0), MATCH(D113,'起きあがり'!$H$2:$AD$2,0))</f>
        <v>35</v>
      </c>
      <c r="E125" s="301"/>
      <c r="F125" s="301"/>
      <c r="G125" s="301"/>
      <c r="H125" s="228"/>
      <c r="I125" s="228"/>
      <c r="J125" s="117"/>
      <c r="K125" s="146"/>
      <c r="L125" s="303" t="str">
        <f>'テンプレート'!L128</f>
        <v>上投げ</v>
      </c>
      <c r="M125" s="113" t="s">
        <v>228</v>
      </c>
      <c r="N125" s="113">
        <v>23.0</v>
      </c>
      <c r="O125" s="118"/>
      <c r="P125" s="118"/>
      <c r="Q125" s="118"/>
      <c r="R125" s="118"/>
      <c r="S125" s="118"/>
      <c r="T125" s="118"/>
      <c r="U125" s="118"/>
      <c r="V125" s="118"/>
    </row>
    <row r="126" outlineLevel="1">
      <c r="A126" s="146"/>
      <c r="B126" s="300" t="s">
        <v>249</v>
      </c>
      <c r="C126" s="309" t="str">
        <f t="array" ref="C126">INDEX('起きあがり'!$J$3:$M$115, MATCH($A$1,'起きあがり'!$A$3:$A$115,0), MATCH(C113,'起きあがり'!$J$2:$AD$2,0))</f>
        <v>1-22</v>
      </c>
      <c r="D126" s="310">
        <f t="array" ref="D126">INDEX('起きあがり'!$J$3:$M$115, MATCH($A$1,'起きあがり'!$A$3:$A$115,0), MATCH(D113,'起きあがり'!$J$2:$AD$2,0))</f>
        <v>45</v>
      </c>
      <c r="E126" s="307" t="str">
        <f t="array" ref="E126">INDEX('起きあがり'!$J$3:$M$115, MATCH($A$1,'起きあがり'!$A$3:$A$115,0), MATCH(E113,'起きあがり'!$J$2:$AD$2,0))</f>
        <v>17-18</v>
      </c>
      <c r="F126" s="308">
        <f t="array" ref="F126">INDEX('起きあがり'!$J$3:$M$115, MATCH($A$1,'起きあがり'!$A$3:$A$115,0), MATCH(F113,'起きあがり'!$J$2:$AD$2,0))</f>
        <v>7</v>
      </c>
      <c r="G126" s="113">
        <f t="shared" ref="G126:G127" si="1">F126*1.2</f>
        <v>8.4</v>
      </c>
      <c r="H126" s="228"/>
      <c r="I126" s="228"/>
      <c r="J126" s="111"/>
      <c r="K126" s="156"/>
      <c r="L126" s="303" t="str">
        <f>'テンプレート'!L129</f>
        <v>下投げ</v>
      </c>
      <c r="M126" s="113" t="s">
        <v>93</v>
      </c>
      <c r="N126" s="113">
        <v>19.0</v>
      </c>
      <c r="O126" s="111"/>
      <c r="P126" s="111"/>
      <c r="Q126" s="111"/>
      <c r="R126" s="111"/>
      <c r="S126" s="111"/>
      <c r="T126" s="111"/>
      <c r="U126" s="111"/>
      <c r="V126" s="111"/>
    </row>
    <row r="127" outlineLevel="1">
      <c r="A127" s="156"/>
      <c r="B127" s="311" t="s">
        <v>250</v>
      </c>
      <c r="C127" s="156"/>
      <c r="D127" s="156"/>
      <c r="E127" s="307" t="str">
        <f t="array" ref="E127">INDEX('起きあがり'!$N$3:$O$115, MATCH($A$1,'起きあがり'!$A$3:$A$115,0), MATCH(E113,'起きあがり'!$N$2:$AD$2,0))</f>
        <v>21-22</v>
      </c>
      <c r="F127" s="308">
        <f t="array" ref="F127">INDEX('起きあがり'!$N$3:$O$115, MATCH($A$1,'起きあがり'!$A$3:$A$115,0), MATCH(F113,'起きあがり'!$N$2:$AD$2,0))</f>
        <v>7</v>
      </c>
      <c r="G127" s="113">
        <f t="shared" si="1"/>
        <v>8.4</v>
      </c>
      <c r="H127" s="228"/>
      <c r="I127" s="228"/>
      <c r="J127" s="111"/>
      <c r="K127" s="312" t="str">
        <f>'テンプレート'!K130</f>
        <v>踏み台ジャンプ</v>
      </c>
      <c r="L127" s="168"/>
      <c r="M127" s="298" t="str">
        <f>'テンプレート'!M130</f>
        <v>全体フレーム</v>
      </c>
      <c r="N127" s="114"/>
      <c r="O127" s="111"/>
      <c r="P127" s="111"/>
      <c r="Q127" s="111"/>
      <c r="R127" s="111"/>
      <c r="S127" s="111"/>
      <c r="T127" s="111"/>
      <c r="U127" s="111"/>
      <c r="V127" s="111"/>
    </row>
    <row r="128" outlineLevel="1">
      <c r="A128" s="299" t="s">
        <v>251</v>
      </c>
      <c r="B128" s="300" t="s">
        <v>248</v>
      </c>
      <c r="C128" s="301"/>
      <c r="D128" s="307" t="str">
        <f t="array" ref="D128">INDEX('起きあがり'!$C$3:$C114, MATCH($A$1,'起きあがり'!$A$3:$A$115,0), MATCH(D113,'起きあがり'!$C$2,0))</f>
        <v>25</v>
      </c>
      <c r="E128" s="301"/>
      <c r="F128" s="301"/>
      <c r="G128" s="301"/>
      <c r="H128" s="228"/>
      <c r="I128" s="228"/>
      <c r="J128" s="117"/>
      <c r="K128" s="313" t="str">
        <f>'テンプレート'!K131</f>
        <v>踏み</v>
      </c>
      <c r="L128" s="314" t="str">
        <f>'テンプレート'!L131</f>
        <v>踏み</v>
      </c>
      <c r="M128" s="113">
        <v>8.0</v>
      </c>
      <c r="N128" s="315"/>
      <c r="O128" s="111"/>
      <c r="P128" s="111"/>
      <c r="Q128" s="111"/>
      <c r="R128" s="111"/>
      <c r="S128" s="111"/>
      <c r="T128" s="111"/>
      <c r="U128" s="111"/>
      <c r="V128" s="111"/>
    </row>
    <row r="129" outlineLevel="1">
      <c r="A129" s="146"/>
      <c r="B129" s="300" t="s">
        <v>216</v>
      </c>
      <c r="C129" s="307" t="str">
        <f t="array" ref="C129">INDEX('起きあがり'!$P$3:$Q$115, MATCH($A$1,'起きあがり'!$A$3:$A$115,0), MATCH(C113,'起きあがり'!$P$2:$AD$2,0))</f>
        <v>1-22</v>
      </c>
      <c r="D129" s="308">
        <f t="array" ref="D129">INDEX('起きあがり'!$P$3:$Q$115, MATCH($A$1,'起きあがり'!$A$3:$A$115,0), MATCH(D113,'起きあがり'!$P$2:$AD$2,0))</f>
        <v>29</v>
      </c>
      <c r="E129" s="301"/>
      <c r="F129" s="301"/>
      <c r="G129" s="301"/>
      <c r="H129" s="228"/>
      <c r="I129" s="228"/>
      <c r="J129" s="111"/>
      <c r="K129" s="305" t="str">
        <f>'テンプレート'!K132</f>
        <v>踏まれ</v>
      </c>
      <c r="L129" s="314" t="str">
        <f>'テンプレート'!L132</f>
        <v>地上踏まれ</v>
      </c>
      <c r="M129" s="113" t="s">
        <v>76</v>
      </c>
      <c r="N129" s="315"/>
      <c r="O129" s="228"/>
      <c r="P129" s="228"/>
      <c r="Q129" s="228"/>
      <c r="R129" s="228"/>
      <c r="S129" s="228"/>
      <c r="T129" s="228"/>
      <c r="U129" s="228"/>
      <c r="V129" s="228"/>
    </row>
    <row r="130" outlineLevel="1">
      <c r="A130" s="146"/>
      <c r="B130" s="300" t="s">
        <v>245</v>
      </c>
      <c r="C130" s="307" t="str">
        <f t="array" ref="C130">INDEX('起きあがり'!$R$3:$S$115, MATCH($A$1,'起きあがり'!$A$3:$A$115,0), MATCH(C113,'起きあがり'!$R$2:$AD$2,0))</f>
        <v>1-22</v>
      </c>
      <c r="D130" s="308">
        <f t="array" ref="D130">INDEX('起きあがり'!$R$3:$S$115, MATCH($A$1,'起きあがり'!$A$3:$A$115,0), MATCH(D113,'起きあがり'!$R$2:$AD$2,0))</f>
        <v>35</v>
      </c>
      <c r="E130" s="301"/>
      <c r="F130" s="301"/>
      <c r="G130" s="301"/>
      <c r="H130" s="228"/>
      <c r="I130" s="228"/>
      <c r="J130" s="117"/>
      <c r="K130" s="146"/>
      <c r="L130" s="314" t="s">
        <v>693</v>
      </c>
      <c r="M130" s="113">
        <v>27.0</v>
      </c>
      <c r="N130" s="102"/>
      <c r="O130" s="118"/>
      <c r="P130" s="118"/>
      <c r="Q130" s="118"/>
      <c r="R130" s="118"/>
      <c r="S130" s="118"/>
      <c r="T130" s="118"/>
      <c r="U130" s="118"/>
      <c r="V130" s="118"/>
    </row>
    <row r="131" outlineLevel="1">
      <c r="A131" s="146"/>
      <c r="B131" s="300" t="s">
        <v>246</v>
      </c>
      <c r="C131" s="307" t="str">
        <f t="array" ref="C131">INDEX('起きあがり'!$T$3:$U$115, MATCH($A$1,'起きあがり'!$A$3:$A$115,0), MATCH(C113,'起きあがり'!$T$2:$AD$2,0))</f>
        <v>1-22</v>
      </c>
      <c r="D131" s="308">
        <f t="array" ref="D131">INDEX('起きあがり'!$T$3:$U$115, MATCH($A$1,'起きあがり'!$A$3:$A$115,0), MATCH(D113,'起きあがり'!$T$2:$AD$2,0))</f>
        <v>35</v>
      </c>
      <c r="E131" s="301"/>
      <c r="F131" s="301"/>
      <c r="G131" s="301"/>
      <c r="H131" s="228"/>
      <c r="I131" s="228"/>
      <c r="J131" s="111"/>
      <c r="K131" s="146"/>
      <c r="L131" s="314" t="str">
        <f>'テンプレート'!L134</f>
        <v>空中踏まれ</v>
      </c>
      <c r="M131" s="113">
        <v>8.0</v>
      </c>
      <c r="N131" s="102"/>
      <c r="O131" s="118"/>
      <c r="P131" s="118"/>
      <c r="Q131" s="118"/>
      <c r="R131" s="118"/>
      <c r="S131" s="118"/>
      <c r="T131" s="118"/>
      <c r="U131" s="118"/>
      <c r="V131" s="118"/>
    </row>
    <row r="132" outlineLevel="1">
      <c r="A132" s="146"/>
      <c r="B132" s="300" t="s">
        <v>249</v>
      </c>
      <c r="C132" s="309" t="str">
        <f t="array" ref="C132">INDEX('起きあがり'!$V$3:$Y$115, MATCH($A$1,'起きあがり'!$A$3:$A$115,0), MATCH(C113,'起きあがり'!$V$2:$AD$2,0))</f>
        <v>1-22</v>
      </c>
      <c r="D132" s="310">
        <f t="array" ref="D132">INDEX('起きあがり'!$V$3:$Y$115, MATCH($A$1,'起きあがり'!$A$3:$A$115,0), MATCH(D113,'起きあがり'!$V$2:$AD$2,0))</f>
        <v>45</v>
      </c>
      <c r="E132" s="307" t="str">
        <f t="array" ref="E132">INDEX('起きあがり'!$V$3:$Y$115, MATCH($A$1,'起きあがり'!$A$3:$A$115,0), MATCH(E113,'起きあがり'!$V$2:$AD$2,0))</f>
        <v>17-18</v>
      </c>
      <c r="F132" s="308">
        <f t="array" ref="F132">INDEX('起きあがり'!$V$3:$Y$115, MATCH($A$1,'起きあがり'!$A$3:$A$115,0), MATCH(F113,'起きあがり'!$V$2:$AD$2,0))</f>
        <v>7</v>
      </c>
      <c r="G132" s="113">
        <f t="shared" ref="G132:G133" si="2">F132*1.2</f>
        <v>8.4</v>
      </c>
      <c r="H132" s="228"/>
      <c r="I132" s="228"/>
      <c r="J132" s="117"/>
      <c r="K132" s="146"/>
      <c r="L132" s="314" t="str">
        <f>'テンプレート'!L135</f>
        <v>空中落下</v>
      </c>
      <c r="M132" s="113">
        <v>39.0</v>
      </c>
      <c r="N132" s="102"/>
      <c r="O132" s="118"/>
      <c r="P132" s="118"/>
      <c r="Q132" s="118"/>
      <c r="R132" s="118"/>
      <c r="S132" s="118"/>
      <c r="T132" s="118"/>
      <c r="U132" s="118"/>
      <c r="V132" s="118"/>
    </row>
    <row r="133" outlineLevel="1">
      <c r="A133" s="156"/>
      <c r="B133" s="311" t="s">
        <v>250</v>
      </c>
      <c r="C133" s="156"/>
      <c r="D133" s="156"/>
      <c r="E133" s="307" t="str">
        <f t="array" ref="E133">INDEX('起きあがり'!$Z$3:$AA$115, MATCH($A$1,'起きあがり'!$A$3:$A$115,0), MATCH(E113,'起きあがり'!$Z$2:$AD$2,0))</f>
        <v>21-22</v>
      </c>
      <c r="F133" s="308">
        <f t="array" ref="F133">INDEX('起きあがり'!$Z$3:$AA$115, MATCH($A$1,'起きあがり'!$A$3:$A$115,0), MATCH(F113,'起きあがり'!$Z$2:$AD$2,0))</f>
        <v>7</v>
      </c>
      <c r="G133" s="113">
        <f t="shared" si="2"/>
        <v>8.4</v>
      </c>
      <c r="H133" s="228"/>
      <c r="I133" s="228"/>
      <c r="J133" s="117"/>
      <c r="K133" s="304" t="str">
        <f>'テンプレート'!K136</f>
        <v>倒れダメージ</v>
      </c>
      <c r="L133" s="110"/>
      <c r="M133" s="298" t="str">
        <f>'テンプレート'!M136</f>
        <v>全体フレーム</v>
      </c>
      <c r="N133" s="102"/>
      <c r="O133" s="118"/>
      <c r="P133" s="118"/>
      <c r="Q133" s="118"/>
      <c r="R133" s="118"/>
      <c r="S133" s="118"/>
      <c r="T133" s="118"/>
      <c r="U133" s="118"/>
      <c r="V133" s="118"/>
    </row>
    <row r="134" outlineLevel="1">
      <c r="A134" s="299" t="s">
        <v>252</v>
      </c>
      <c r="B134" s="300" t="s">
        <v>253</v>
      </c>
      <c r="C134" s="307" t="str">
        <f t="array" ref="C134">INDEX('転倒'!$C$3:$D114, MATCH($A$1,'転倒'!$A$3:$A$115,0), MATCH(C113,'転倒'!$C$2:$AC$2,0))</f>
        <v>1-5</v>
      </c>
      <c r="D134" s="308">
        <f t="array" ref="D134">INDEX('転倒'!$C$3:$D114, MATCH($A$1,'転倒'!$A$3:$A$115,0), MATCH(D113,'転倒'!$C$2:$AC$2,0))</f>
        <v>29</v>
      </c>
      <c r="E134" s="301"/>
      <c r="F134" s="301"/>
      <c r="G134" s="301"/>
      <c r="H134" s="228"/>
      <c r="I134" s="228"/>
      <c r="J134" s="111"/>
      <c r="K134" s="313" t="str">
        <f>'テンプレート'!K137</f>
        <v>あお向け倒れ</v>
      </c>
      <c r="L134" s="306" t="str">
        <f>'テンプレート'!L137</f>
        <v>モーション大</v>
      </c>
      <c r="M134" s="113">
        <v>39.0</v>
      </c>
      <c r="N134" s="315"/>
      <c r="O134" s="118"/>
      <c r="P134" s="118"/>
      <c r="Q134" s="118"/>
      <c r="R134" s="118"/>
      <c r="S134" s="118"/>
      <c r="T134" s="118"/>
      <c r="U134" s="118"/>
      <c r="V134" s="118"/>
    </row>
    <row r="135" outlineLevel="1">
      <c r="A135" s="146"/>
      <c r="B135" s="300" t="s">
        <v>254</v>
      </c>
      <c r="C135" s="307" t="str">
        <f t="array" ref="C135">INDEX('転倒'!$E$3:$F114, MATCH($A$1,'転倒'!$A$3:$A$115,0), MATCH(C113,'転倒'!$E$2:$AC$2,0))</f>
        <v>1-5</v>
      </c>
      <c r="D135" s="308">
        <f t="array" ref="D135">INDEX('転倒'!$E$3:$F114, MATCH($A$1,'転倒'!$A$3:$A$115,0), MATCH(D113,'転倒'!$E$2:$AC$2,0))</f>
        <v>39</v>
      </c>
      <c r="E135" s="301"/>
      <c r="F135" s="301"/>
      <c r="G135" s="301"/>
      <c r="H135" s="228"/>
      <c r="I135" s="228"/>
      <c r="J135" s="117"/>
      <c r="K135" s="313" t="str">
        <f>'テンプレート'!K138</f>
        <v>うつ伏せ倒れ</v>
      </c>
      <c r="L135" s="306" t="str">
        <f>'テンプレート'!L138</f>
        <v>モーション大</v>
      </c>
      <c r="M135" s="113" t="s">
        <v>118</v>
      </c>
      <c r="N135" s="315"/>
      <c r="O135" s="118"/>
      <c r="P135" s="118"/>
      <c r="Q135" s="118"/>
      <c r="R135" s="118"/>
      <c r="S135" s="118"/>
      <c r="T135" s="118"/>
      <c r="U135" s="118"/>
      <c r="V135" s="118"/>
    </row>
    <row r="136" outlineLevel="1">
      <c r="A136" s="146"/>
      <c r="B136" s="300" t="s">
        <v>216</v>
      </c>
      <c r="C136" s="307" t="str">
        <f t="array" ref="C136">INDEX('転倒'!$G$3:$H$115, MATCH($A$1,'転倒'!$A$3:$A$115,0), MATCH(C113,'転倒'!$G$2:$AC$2,0))</f>
        <v>1-16</v>
      </c>
      <c r="D136" s="308">
        <f t="array" ref="D136">INDEX('転倒'!$G$3:$H$115, MATCH($A$1,'転倒'!$A$3:$A$115,0), MATCH(D113,'転倒'!$G$2:$AC$2,0))</f>
        <v>21</v>
      </c>
      <c r="E136" s="301"/>
      <c r="F136" s="301"/>
      <c r="G136" s="301"/>
      <c r="H136" s="228"/>
      <c r="I136" s="228"/>
      <c r="J136" s="111"/>
      <c r="K136" s="304" t="str">
        <f>'テンプレート'!K139</f>
        <v/>
      </c>
      <c r="L136" s="110"/>
      <c r="M136" s="298" t="str">
        <f>'テンプレート'!M139</f>
        <v/>
      </c>
      <c r="N136" s="102"/>
      <c r="O136" s="118"/>
      <c r="P136" s="118"/>
      <c r="Q136" s="118"/>
      <c r="R136" s="118"/>
      <c r="S136" s="118"/>
      <c r="T136" s="118"/>
      <c r="U136" s="118"/>
      <c r="V136" s="118"/>
    </row>
    <row r="137" outlineLevel="1">
      <c r="A137" s="146"/>
      <c r="B137" s="300" t="s">
        <v>245</v>
      </c>
      <c r="C137" s="307" t="str">
        <f t="array" ref="C137">INDEX('転倒'!$I$3:$J$115, MATCH($A$1,'転倒'!$A$3:$A$115,0), MATCH(C113,'転倒'!$I$2:$AC$2,0))</f>
        <v>1-9</v>
      </c>
      <c r="D137" s="308">
        <f t="array" ref="D137">INDEX('転倒'!$I$3:$J$115, MATCH($A$1,'転倒'!$A$3:$A$115,0), MATCH(D113,'転倒'!$I$2:$AC$2,0))</f>
        <v>28</v>
      </c>
      <c r="E137" s="301"/>
      <c r="F137" s="301"/>
      <c r="G137" s="301"/>
      <c r="H137" s="228"/>
      <c r="I137" s="228"/>
      <c r="J137" s="228"/>
      <c r="K137" s="316"/>
      <c r="L137" s="317" t="str">
        <f>'テンプレート'!L140</f>
        <v/>
      </c>
      <c r="M137" s="113" t="s">
        <v>76</v>
      </c>
      <c r="N137" s="102"/>
      <c r="O137" s="118"/>
      <c r="P137" s="118"/>
      <c r="Q137" s="118"/>
      <c r="R137" s="118"/>
      <c r="S137" s="118"/>
      <c r="T137" s="118"/>
      <c r="U137" s="118"/>
      <c r="V137" s="118"/>
    </row>
    <row r="138" outlineLevel="1">
      <c r="A138" s="146"/>
      <c r="B138" s="300" t="s">
        <v>246</v>
      </c>
      <c r="C138" s="307" t="str">
        <f t="array" ref="C138">INDEX('転倒'!$K$3:$L$115, MATCH($A$1,'転倒'!$A$3:$A$115,0), MATCH(C113,'転倒'!$K$2:$AC$2,0))</f>
        <v>1-9</v>
      </c>
      <c r="D138" s="308">
        <f t="array" ref="D138">INDEX('転倒'!$K$3:$L$115, MATCH($A$1,'転倒'!$A$3:$A$115,0), MATCH(D113,'転倒'!$K$2:$AC$2,0))</f>
        <v>28</v>
      </c>
      <c r="E138" s="301"/>
      <c r="F138" s="301"/>
      <c r="G138" s="301"/>
      <c r="H138" s="228"/>
      <c r="I138" s="228"/>
      <c r="J138" s="228"/>
      <c r="K138" s="318"/>
      <c r="L138" s="118"/>
      <c r="M138" s="118"/>
      <c r="N138" s="102"/>
      <c r="O138" s="118"/>
      <c r="P138" s="118"/>
      <c r="Q138" s="118"/>
      <c r="R138" s="118"/>
      <c r="S138" s="118"/>
      <c r="T138" s="118"/>
      <c r="U138" s="118"/>
      <c r="V138" s="118"/>
    </row>
    <row r="139" outlineLevel="1">
      <c r="A139" s="146"/>
      <c r="B139" s="300" t="s">
        <v>249</v>
      </c>
      <c r="C139" s="309" t="str">
        <f t="array" ref="C139">INDEX('転倒'!$M$3:$P$115, MATCH($A$1,'転倒'!$A$3:$A$115,0), MATCH(C113,'転倒'!$M$2:$AC$2,0))</f>
        <v>1-7</v>
      </c>
      <c r="D139" s="310">
        <f t="array" ref="D139">INDEX('転倒'!$M$3:$P$115, MATCH($A$1,'転倒'!$A$3:$A$115,0), MATCH(D113,'転倒'!$M$2:$AC$2,0))</f>
        <v>49</v>
      </c>
      <c r="E139" s="307" t="str">
        <f t="array" ref="E139">INDEX('転倒'!$M$3:$P$115, MATCH($A$1,'転倒'!$A$3:$A$115,0), MATCH(E113,'転倒'!$M$2:$AC$2,0))</f>
        <v>19-20</v>
      </c>
      <c r="F139" s="308">
        <f t="array" ref="F139">INDEX('転倒'!$M$3:$P$115, MATCH($A$1,'転倒'!$A$3:$A$115,0), MATCH(F113,'転倒'!$M$2:$AC$2,0))</f>
        <v>5</v>
      </c>
      <c r="G139" s="113">
        <f t="shared" ref="G139:G140" si="3">F139*1.2</f>
        <v>6</v>
      </c>
      <c r="H139" s="228"/>
      <c r="I139" s="228"/>
      <c r="J139" s="228"/>
      <c r="K139" s="118"/>
      <c r="L139" s="118"/>
      <c r="M139" s="118"/>
      <c r="N139" s="102"/>
      <c r="O139" s="102"/>
      <c r="P139" s="102"/>
      <c r="Q139" s="102"/>
      <c r="R139" s="118"/>
      <c r="S139" s="118"/>
      <c r="T139" s="118"/>
      <c r="U139" s="118"/>
      <c r="V139" s="118"/>
    </row>
    <row r="140" outlineLevel="1">
      <c r="A140" s="156"/>
      <c r="B140" s="311" t="s">
        <v>250</v>
      </c>
      <c r="C140" s="156"/>
      <c r="D140" s="156"/>
      <c r="E140" s="307" t="str">
        <f t="array" ref="E140">INDEX('転倒'!$Q$3:$R$115, MATCH($A$1,'転倒'!$A$3:$A$115,0), MATCH(E113,'転倒'!$Q$2:$AC$2,0))</f>
        <v>29-30</v>
      </c>
      <c r="F140" s="308">
        <f t="array" ref="F140">INDEX('転倒'!$Q$3:$R$115, MATCH($A$1,'転倒'!$A$3:$A$115,0), MATCH(F113,'転倒'!$Q$2:$AC$2,0))</f>
        <v>5</v>
      </c>
      <c r="G140" s="113">
        <f t="shared" si="3"/>
        <v>6</v>
      </c>
      <c r="H140" s="228"/>
      <c r="I140" s="228"/>
      <c r="J140" s="228"/>
      <c r="K140" s="118"/>
      <c r="L140" s="118"/>
      <c r="M140" s="118"/>
      <c r="N140" s="102"/>
      <c r="O140" s="102"/>
      <c r="P140" s="102"/>
      <c r="Q140" s="102"/>
      <c r="R140" s="118"/>
      <c r="S140" s="118"/>
      <c r="T140" s="118"/>
      <c r="U140" s="118"/>
      <c r="V140" s="118"/>
    </row>
    <row r="141" outlineLevel="1">
      <c r="A141" s="319"/>
      <c r="B141" s="320"/>
      <c r="C141" s="321"/>
      <c r="D141" s="321"/>
      <c r="E141" s="322"/>
      <c r="F141" s="322"/>
      <c r="G141" s="114"/>
      <c r="H141" s="228"/>
      <c r="I141" s="228"/>
      <c r="J141" s="228"/>
      <c r="K141" s="118"/>
      <c r="L141" s="118"/>
      <c r="M141" s="118"/>
      <c r="N141" s="102"/>
      <c r="O141" s="102"/>
      <c r="P141" s="102"/>
      <c r="Q141" s="102"/>
      <c r="R141" s="118"/>
      <c r="S141" s="118"/>
      <c r="T141" s="118"/>
      <c r="U141" s="118"/>
      <c r="V141" s="118"/>
    </row>
    <row r="142" outlineLevel="1">
      <c r="A142" s="323" t="s">
        <v>255</v>
      </c>
      <c r="B142" s="109"/>
      <c r="C142" s="321"/>
      <c r="D142" s="321"/>
      <c r="E142" s="322"/>
      <c r="F142" s="322"/>
      <c r="G142" s="114"/>
      <c r="H142" s="228"/>
      <c r="I142" s="228"/>
      <c r="J142" s="228"/>
      <c r="K142" s="118"/>
      <c r="L142" s="118"/>
      <c r="M142" s="118"/>
      <c r="N142" s="102"/>
      <c r="O142" s="102"/>
      <c r="P142" s="102"/>
      <c r="Q142" s="102"/>
      <c r="R142" s="118"/>
      <c r="S142" s="118"/>
      <c r="T142" s="118"/>
      <c r="U142" s="118"/>
      <c r="V142" s="118"/>
    </row>
    <row r="143" outlineLevel="1">
      <c r="A143" s="324" t="s">
        <v>256</v>
      </c>
      <c r="B143" s="109"/>
      <c r="C143" s="325" t="s">
        <v>257</v>
      </c>
      <c r="D143" s="325" t="s">
        <v>49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258</v>
      </c>
      <c r="B144" s="327" t="s">
        <v>216</v>
      </c>
      <c r="C144" s="328" t="str">
        <f t="array" ref="C144">INDEX('アイテム'!$C$3:$D$114, MATCH($A$1,'アイテム'!$A$3:$A$114,0), MATCH(C143,'アイテム'!$C$2:$AQ$2,0))</f>
        <v>2</v>
      </c>
      <c r="D144" s="328">
        <f t="array" ref="D144">INDEX('アイテム'!$C$3:$D$114, MATCH($A$1,'アイテム'!$A$3:$A$114,0), MATCH(D143,'アイテム'!$C$2:$AQ$2,0))</f>
        <v>7</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219</v>
      </c>
      <c r="C145" s="328" t="str">
        <f t="array" ref="C145">INDEX('アイテム'!$E$3:$F$114, MATCH($A$1,'アイテム'!$A$3:$A$114,0), MATCH(C143,'アイテム'!$C$2:$AQ$2,0))</f>
        <v>2</v>
      </c>
      <c r="D145" s="328">
        <f t="array" ref="D145">INDEX('アイテム'!$E$3:$F$114, MATCH($A$1,'アイテム'!$A$3:$A$114,0), MATCH(D143,'アイテム'!$C$2:$AQ$2,0))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329" t="s">
        <v>259</v>
      </c>
      <c r="B146" s="327" t="s">
        <v>216</v>
      </c>
      <c r="C146" s="328">
        <f t="array" ref="C146">INDEX('アイテム'!$AA$3:$AB$114, MATCH($A$1,'アイテム'!$A$3:$A$114,0), MATCH(C143,'アイテム'!$C$2:$AQ$2,0))</f>
        <v>2</v>
      </c>
      <c r="D146" s="328" t="str">
        <f t="array" ref="D146">INDEX('アイテム'!$AA$3:$AB$114, MATCH($A$1,'アイテム'!$A$3:$A$114,0), MATCH(D143,'アイテム'!$C$2:$AQ$2,0))</f>
        <v>12</v>
      </c>
      <c r="E146" s="322"/>
      <c r="F146" s="322"/>
      <c r="G146" s="114"/>
      <c r="H146" s="228"/>
      <c r="I146" s="228"/>
      <c r="J146" s="228"/>
      <c r="K146" s="118"/>
      <c r="L146" s="118"/>
      <c r="M146" s="118"/>
      <c r="N146" s="102"/>
      <c r="O146" s="102"/>
      <c r="P146" s="102"/>
      <c r="Q146" s="102"/>
      <c r="R146" s="118"/>
      <c r="S146" s="118"/>
      <c r="T146" s="118"/>
      <c r="U146" s="118"/>
      <c r="V146" s="118"/>
    </row>
    <row r="147" outlineLevel="1">
      <c r="A147" s="324" t="s">
        <v>260</v>
      </c>
      <c r="B147" s="109"/>
      <c r="C147" s="325" t="s">
        <v>261</v>
      </c>
      <c r="D147" s="325" t="s">
        <v>49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262</v>
      </c>
      <c r="B148" s="327" t="s">
        <v>226</v>
      </c>
      <c r="C148" s="328" t="str">
        <f t="array" ref="C148">INDEX('アイテム'!$G$3:$H$114, MATCH($A$1,'アイテム'!$A$3:$A$114,0), MATCH(C143,'アイテム'!$C$2:$AQ$2,0))</f>
        <v>7</v>
      </c>
      <c r="D148" s="328">
        <f t="array" ref="D148">INDEX('アイテム'!$G$3:$H$114, MATCH($A$1,'アイテム'!$A$3:$A$114,0), MATCH(D143,'アイテム'!$C$2:$AQ$2,0))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INDEX('アイテム'!$I$3:$J$114, MATCH($A$1,'アイテム'!$A$3:$A$114,0), MATCH(C143,'アイテム'!$C$2:$AQ$2,0))</f>
        <v>11</v>
      </c>
      <c r="D149" s="328">
        <f t="array" ref="D149">INDEX('アイテム'!$I$3:$J$114, MATCH($A$1,'アイテム'!$A$3:$A$114,0), MATCH(D143,'アイテム'!$C$2:$AQ$2,0))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INDEX('アイテム'!$K$3:$L$114, MATCH($A$1,'アイテム'!$A$3:$A$114,0), MATCH(C143,'アイテム'!$C$2:$AQ$2,0))</f>
        <v>12</v>
      </c>
      <c r="D150" s="328">
        <f t="array" ref="D150">INDEX('アイテム'!$K$3:$L$114, MATCH($A$1,'アイテム'!$A$3:$A$114,0), MATCH(D143,'アイテム'!$C$2:$AQ$2,0))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234</v>
      </c>
      <c r="C151" s="328" t="str">
        <f t="array" ref="C151">INDEX('アイテム'!$M$3:$N$114, MATCH($A$1,'アイテム'!$A$3:$A$114,0), MATCH(C143,'アイテム'!$C$2:$AQ$2,0))</f>
        <v>7</v>
      </c>
      <c r="D151" s="328">
        <f t="array" ref="D151">INDEX('アイテム'!$M$3:$N$114, MATCH($A$1,'アイテム'!$A$3:$A$114,0), MATCH(D143,'アイテム'!$C$2:$AQ$2,0))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219</v>
      </c>
      <c r="C152" s="328" t="str">
        <f t="array" ref="C152">INDEX('アイテム'!$O$3:$P$114, MATCH($A$1,'アイテム'!$A$3:$A$114,0), MATCH(C143,'アイテム'!$C$2:$AQ$2,0))</f>
        <v>5</v>
      </c>
      <c r="D152" s="328">
        <f t="array" ref="D152">INDEX('アイテム'!$O$3:$P$114, MATCH($A$1,'アイテム'!$A$3:$A$114,0), MATCH(D143,'アイテム'!$C$2:$AQ$2,0))</f>
        <v>29</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263</v>
      </c>
      <c r="C153" s="328" t="str">
        <f t="array" ref="C153">INDEX('アイテム'!$Q$3:$R$114, MATCH($A$1,'アイテム'!$A$3:$A$114,0), MATCH(C143,'アイテム'!$C$2:$AQ$2,0))</f>
        <v>6</v>
      </c>
      <c r="D153" s="328">
        <f t="array" ref="D153">INDEX('アイテム'!$Q$3:$R$114, MATCH($A$1,'アイテム'!$A$3:$A$114,0), MATCH(D143,'アイテム'!$C$2:$AQ$2,0))</f>
        <v>23</v>
      </c>
      <c r="E153" s="322"/>
      <c r="F153" s="322"/>
      <c r="G153" s="114"/>
      <c r="H153" s="228"/>
      <c r="I153" s="228"/>
      <c r="J153" s="228"/>
      <c r="K153" s="118"/>
      <c r="L153" s="118"/>
      <c r="M153" s="118"/>
      <c r="N153" s="102"/>
      <c r="O153" s="102"/>
      <c r="P153" s="102"/>
      <c r="Q153" s="102"/>
      <c r="R153" s="118"/>
      <c r="S153" s="118"/>
      <c r="T153" s="118"/>
      <c r="U153" s="118"/>
      <c r="V153" s="118"/>
    </row>
    <row r="154" outlineLevel="1">
      <c r="A154" s="326" t="s">
        <v>264</v>
      </c>
      <c r="B154" s="327" t="s">
        <v>226</v>
      </c>
      <c r="C154" s="328" t="str">
        <f t="array" ref="C154">INDEX('アイテム'!$S$3:$T$114, MATCH($A$1,'アイテム'!$A$3:$A$114,0), MATCH(C143,'アイテム'!$C$2:$AQ$2,0))</f>
        <v>7</v>
      </c>
      <c r="D154" s="328">
        <f t="array" ref="D154">INDEX('アイテム'!$S$3:$T$114, MATCH($A$1,'アイテム'!$A$3:$A$114,0), MATCH(D143,'アイテム'!$C$2:$AQ$2,0))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229</v>
      </c>
      <c r="C155" s="328" t="str">
        <f t="array" ref="C155">INDEX('アイテム'!$U$3:$V$114, MATCH($A$1,'アイテム'!$A$3:$A$114,0), MATCH(C143,'アイテム'!$C$2:$AQ$2,0))</f>
        <v>11</v>
      </c>
      <c r="D155" s="328">
        <f t="array" ref="D155">INDEX('アイテム'!$U$3:$V$114, MATCH($A$1,'アイテム'!$A$3:$A$114,0), MATCH(D143,'アイテム'!$C$2:$AQ$2,0))</f>
        <v>24</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233</v>
      </c>
      <c r="C156" s="328" t="str">
        <f t="array" ref="C156">INDEX('アイテム'!$W$3:$X$114, MATCH($A$1,'アイテム'!$A$3:$A$114,0), MATCH(C143,'アイテム'!$C$2:$AQ$2,0))</f>
        <v>12</v>
      </c>
      <c r="D156" s="328">
        <f t="array" ref="D156">INDEX('アイテム'!$W$3:$X$114, MATCH($A$1,'アイテム'!$A$3:$A$114,0), MATCH(D143,'アイテム'!$C$2:$AQ$2,0))</f>
        <v>23</v>
      </c>
      <c r="E156" s="322"/>
      <c r="F156" s="322"/>
      <c r="G156" s="114"/>
      <c r="H156" s="228"/>
      <c r="I156" s="228"/>
      <c r="J156" s="228"/>
      <c r="K156" s="118"/>
      <c r="L156" s="118"/>
      <c r="M156" s="118"/>
      <c r="N156" s="102"/>
      <c r="O156" s="102"/>
      <c r="P156" s="102"/>
      <c r="Q156" s="102"/>
      <c r="R156" s="118"/>
      <c r="S156" s="118"/>
      <c r="T156" s="118"/>
      <c r="U156" s="118"/>
      <c r="V156" s="118"/>
    </row>
    <row r="157" outlineLevel="1">
      <c r="A157" s="156"/>
      <c r="B157" s="327" t="s">
        <v>234</v>
      </c>
      <c r="C157" s="328" t="str">
        <f t="array" ref="C157">INDEX('アイテム'!$Y$3:$Z$114, MATCH($A$1,'アイテム'!$A$3:$A$114,0), MATCH(C143,'アイテム'!$C$2:$AQ$2,0))</f>
        <v>7</v>
      </c>
      <c r="D157" s="328">
        <f t="array" ref="D157">INDEX('アイテム'!$Y$3:$Z$114, MATCH($A$1,'アイテム'!$A$3:$A$114,0), MATCH(D143,'アイテム'!$C$2:$AQ$2,0))</f>
        <v>19</v>
      </c>
      <c r="E157" s="322"/>
      <c r="F157" s="322"/>
      <c r="G157" s="114"/>
      <c r="H157" s="228"/>
      <c r="I157" s="228"/>
      <c r="J157" s="228"/>
      <c r="K157" s="118"/>
      <c r="L157" s="118"/>
      <c r="M157" s="118"/>
      <c r="N157" s="102"/>
      <c r="O157" s="102"/>
      <c r="P157" s="102"/>
      <c r="Q157" s="102"/>
      <c r="R157" s="118"/>
      <c r="S157" s="118"/>
      <c r="T157" s="118"/>
      <c r="U157" s="118"/>
      <c r="V157" s="118"/>
    </row>
    <row r="158" outlineLevel="1">
      <c r="A158" s="326" t="s">
        <v>265</v>
      </c>
      <c r="B158" s="327" t="s">
        <v>226</v>
      </c>
      <c r="C158" s="328">
        <f t="array" ref="C158">INDEX('アイテム'!$AC$3:$AD$114, MATCH($A$1,'アイテム'!$A$3:$A$114,0), MATCH(C143,'アイテム'!$C$2:$AQ$2,0))</f>
        <v>14</v>
      </c>
      <c r="D158" s="328" t="str">
        <f t="array" ref="D158">INDEX('アイテム'!$AC$3:$AD$114, MATCH($A$1,'アイテム'!$A$3:$A$114,0), MATCH(D143,'アイテム'!$C$2:$AQ$2,0))</f>
        <v>30</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229</v>
      </c>
      <c r="C159" s="328">
        <f t="array" ref="C159">INDEX('アイテム'!$AE$3:$AF$114, MATCH($A$1,'アイテム'!$A$3:$A$114,0), MATCH(C143,'アイテム'!$C$2:$AQ$2,0))</f>
        <v>14</v>
      </c>
      <c r="D159" s="328" t="str">
        <f t="array" ref="D159">INDEX('アイテム'!$AE$3:$AF$114, MATCH($A$1,'アイテム'!$A$3:$A$114,0), MATCH(D143,'アイテム'!$C$2:$AQ$2,0))</f>
        <v>30</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233</v>
      </c>
      <c r="C160" s="328">
        <f t="array" ref="C160">INDEX('アイテム'!$AG$3:$AH$114, MATCH($A$1,'アイテム'!$A$3:$A$114,0), MATCH(C143,'アイテム'!$C$2:$AQ$2,0))</f>
        <v>11</v>
      </c>
      <c r="D160" s="328" t="str">
        <f t="array" ref="D160">INDEX('アイテム'!$AG$3:$AH$114, MATCH($A$1,'アイテム'!$A$3:$A$114,0), MATCH(D143,'アイテム'!$C$2:$AQ$2,0))</f>
        <v>22</v>
      </c>
      <c r="E160" s="322"/>
      <c r="F160" s="322"/>
      <c r="G160" s="114"/>
      <c r="H160" s="228"/>
      <c r="I160" s="228"/>
      <c r="J160" s="228"/>
      <c r="K160" s="118"/>
      <c r="L160" s="118"/>
      <c r="M160" s="118"/>
      <c r="N160" s="102"/>
      <c r="O160" s="102"/>
      <c r="P160" s="102"/>
      <c r="Q160" s="102"/>
      <c r="R160" s="118"/>
      <c r="S160" s="118"/>
      <c r="T160" s="118"/>
      <c r="U160" s="118"/>
      <c r="V160" s="118"/>
    </row>
    <row r="161" outlineLevel="1">
      <c r="A161" s="156"/>
      <c r="B161" s="327" t="s">
        <v>234</v>
      </c>
      <c r="C161" s="328">
        <f t="array" ref="C161">INDEX('アイテム'!$AI$3:$AJ$114, MATCH($A$1,'アイテム'!$A$3:$A$114,0), MATCH(C143,'アイテム'!$C$2:$AQ$2,0))</f>
        <v>9</v>
      </c>
      <c r="D161" s="328" t="str">
        <f t="array" ref="D161">INDEX('アイテム'!$AI$3:$AJ$114, MATCH($A$1,'アイテム'!$A$3:$A$114,0), MATCH(D143,'アイテム'!$C$2:$AQ$2,0))</f>
        <v>22</v>
      </c>
      <c r="E161" s="322"/>
      <c r="F161" s="322"/>
      <c r="G161" s="114"/>
      <c r="H161" s="228"/>
      <c r="I161" s="228"/>
      <c r="J161" s="228"/>
      <c r="K161" s="118"/>
      <c r="L161" s="118"/>
      <c r="M161" s="118"/>
      <c r="N161" s="102"/>
      <c r="O161" s="102"/>
      <c r="P161" s="102"/>
      <c r="Q161" s="102"/>
      <c r="R161" s="118"/>
      <c r="S161" s="118"/>
      <c r="T161" s="118"/>
      <c r="U161" s="118"/>
      <c r="V161" s="118"/>
    </row>
  </sheetData>
  <mergeCells count="145">
    <mergeCell ref="R52:V53"/>
    <mergeCell ref="R54:V56"/>
    <mergeCell ref="R57:V57"/>
    <mergeCell ref="I50:I51"/>
    <mergeCell ref="J50:J51"/>
    <mergeCell ref="R50:V51"/>
    <mergeCell ref="I52:I53"/>
    <mergeCell ref="J52:J53"/>
    <mergeCell ref="I54:I56"/>
    <mergeCell ref="J54:J56"/>
    <mergeCell ref="U70:U71"/>
    <mergeCell ref="V70:V71"/>
    <mergeCell ref="U73:U81"/>
    <mergeCell ref="V73:V81"/>
    <mergeCell ref="U83:U86"/>
    <mergeCell ref="V83:V86"/>
    <mergeCell ref="J60:J61"/>
    <mergeCell ref="H64:J64"/>
    <mergeCell ref="H65:J68"/>
    <mergeCell ref="U65:U68"/>
    <mergeCell ref="V65:V68"/>
    <mergeCell ref="H69:J69"/>
    <mergeCell ref="H70:J71"/>
    <mergeCell ref="H72:J72"/>
    <mergeCell ref="H73:J81"/>
    <mergeCell ref="H82:J82"/>
    <mergeCell ref="H83:J85"/>
    <mergeCell ref="F84:F85"/>
    <mergeCell ref="G84:G85"/>
    <mergeCell ref="H86:J86"/>
    <mergeCell ref="K114:K115"/>
    <mergeCell ref="K117:K122"/>
    <mergeCell ref="K123:K126"/>
    <mergeCell ref="K127:L127"/>
    <mergeCell ref="K129:K132"/>
    <mergeCell ref="K133:L133"/>
    <mergeCell ref="K136:L136"/>
    <mergeCell ref="G94:J94"/>
    <mergeCell ref="G95:J96"/>
    <mergeCell ref="G97:J98"/>
    <mergeCell ref="G99:J100"/>
    <mergeCell ref="G101:J102"/>
    <mergeCell ref="K113:L113"/>
    <mergeCell ref="K116:L116"/>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4"/>
    <mergeCell ref="U31:U34"/>
    <mergeCell ref="H35:J35"/>
    <mergeCell ref="H36:J36"/>
    <mergeCell ref="H37:J43"/>
    <mergeCell ref="U37:U43"/>
    <mergeCell ref="H44:J46"/>
    <mergeCell ref="U44:U46"/>
    <mergeCell ref="R49:V49"/>
    <mergeCell ref="A52:A53"/>
    <mergeCell ref="A60:A61"/>
    <mergeCell ref="D60:D61"/>
    <mergeCell ref="A54:A56"/>
    <mergeCell ref="A58:A59"/>
    <mergeCell ref="I58:I59"/>
    <mergeCell ref="J58:J59"/>
    <mergeCell ref="R58:V59"/>
    <mergeCell ref="I60:I61"/>
    <mergeCell ref="R60:V61"/>
    <mergeCell ref="A88:B89"/>
    <mergeCell ref="A94:B94"/>
    <mergeCell ref="D95:D96"/>
    <mergeCell ref="D97:D98"/>
    <mergeCell ref="D99:D100"/>
    <mergeCell ref="D101:D102"/>
    <mergeCell ref="A104:B105"/>
    <mergeCell ref="A106:A108"/>
    <mergeCell ref="A109:A110"/>
    <mergeCell ref="A112:B113"/>
    <mergeCell ref="A114:A118"/>
    <mergeCell ref="A119:A121"/>
    <mergeCell ref="C126:C127"/>
    <mergeCell ref="D126:D127"/>
    <mergeCell ref="A24:B25"/>
    <mergeCell ref="A26:A28"/>
    <mergeCell ref="A31:A34"/>
    <mergeCell ref="D31:D34"/>
    <mergeCell ref="A37:A43"/>
    <mergeCell ref="D37:D43"/>
    <mergeCell ref="D44:D46"/>
    <mergeCell ref="A44:A46"/>
    <mergeCell ref="A48:B49"/>
    <mergeCell ref="A50:A51"/>
    <mergeCell ref="D50:D51"/>
    <mergeCell ref="D52:D53"/>
    <mergeCell ref="D54:D56"/>
    <mergeCell ref="D58:D59"/>
    <mergeCell ref="D70:D71"/>
    <mergeCell ref="D77:D80"/>
    <mergeCell ref="D83:D84"/>
    <mergeCell ref="E84:E85"/>
    <mergeCell ref="A63:B63"/>
    <mergeCell ref="A64:B64"/>
    <mergeCell ref="A65:A68"/>
    <mergeCell ref="A69:B69"/>
    <mergeCell ref="A70:A71"/>
    <mergeCell ref="A72:B72"/>
    <mergeCell ref="A82:B82"/>
    <mergeCell ref="A73:A81"/>
    <mergeCell ref="A83:A86"/>
    <mergeCell ref="A91:A93"/>
    <mergeCell ref="A95:A96"/>
    <mergeCell ref="A97:A98"/>
    <mergeCell ref="A99:A100"/>
    <mergeCell ref="A101:A102"/>
    <mergeCell ref="C132:C133"/>
    <mergeCell ref="D132:D133"/>
    <mergeCell ref="C139:C140"/>
    <mergeCell ref="D139:D140"/>
    <mergeCell ref="A148:A153"/>
    <mergeCell ref="A154:A157"/>
    <mergeCell ref="A158:A161"/>
    <mergeCell ref="A122:A127"/>
    <mergeCell ref="A128:A133"/>
    <mergeCell ref="A134:A140"/>
    <mergeCell ref="A142:B142"/>
    <mergeCell ref="A143:B143"/>
    <mergeCell ref="A144:A145"/>
    <mergeCell ref="A147:B147"/>
  </mergeCells>
  <conditionalFormatting sqref="K1:K15 K17:K100 K102:K137">
    <cfRule type="containsText" dxfId="0" priority="1" operator="containsText" text="361">
      <formula>NOT(ISERROR(SEARCH(("361"),(K1))))</formula>
    </cfRule>
  </conditionalFormatting>
  <conditionalFormatting sqref="K1:K15 K17:K100 K102:K137">
    <cfRule type="containsText" dxfId="1" priority="2" operator="containsText" text="363">
      <formula>NOT(ISERROR(SEARCH(("363"),(K1))))</formula>
    </cfRule>
  </conditionalFormatting>
  <conditionalFormatting sqref="K1:K15 K17:K100 K102:K137">
    <cfRule type="containsText" dxfId="1" priority="3" operator="containsText" text="365">
      <formula>NOT(ISERROR(SEARCH(("365"),(K1))))</formula>
    </cfRule>
  </conditionalFormatting>
  <conditionalFormatting sqref="K1:K15 K17:K100 K102:K137">
    <cfRule type="containsText" dxfId="1" priority="4" operator="containsText" text="366">
      <formula>NOT(ISERROR(SEARCH(("366"),(K1))))</formula>
    </cfRule>
  </conditionalFormatting>
  <conditionalFormatting sqref="K1:K15 K17:K100 K102:K137">
    <cfRule type="containsText" dxfId="1" priority="5" operator="containsText" text="367">
      <formula>NOT(ISERROR(SEARCH(("367"),(K1))))</formula>
    </cfRule>
  </conditionalFormatting>
  <conditionalFormatting sqref="C95:C100 C102">
    <cfRule type="cellIs" dxfId="3" priority="6" operator="equal">
      <formula>"-"</formula>
    </cfRule>
  </conditionalFormatting>
  <conditionalFormatting sqref="P1:Q100 G42:G43 H55:H56 E67:G68 K67:O68 R67:T68 C68 K74:N75 R74:T75 C75:C76 E75:G76 O75 K81:O81 R81:T81 G83 C86 E86:G86 P102:Q161">
    <cfRule type="cellIs" dxfId="5" priority="7" operator="lessThan">
      <formula>1</formula>
    </cfRule>
  </conditionalFormatting>
  <conditionalFormatting sqref="P1:Q100 G42:G43 H55:H56 K67:O68 R67:T68 C68 K74:N75 R74:T75 C75:C76 E75:G76 O75 K81:O81 R81:T81 G83 C86 E86:G86 P102:Q161">
    <cfRule type="cellIs" dxfId="4" priority="8" operator="greaterThan">
      <formula>1</formula>
    </cfRule>
  </conditionalFormatting>
  <conditionalFormatting sqref="N25:N100 N102">
    <cfRule type="cellIs" dxfId="6" priority="9" operator="greaterThan">
      <formula>0</formula>
    </cfRule>
  </conditionalFormatting>
  <conditionalFormatting sqref="N1:N15 N17:N100 N102:N161">
    <cfRule type="containsText" dxfId="6" priority="10" operator="containsText" text="/">
      <formula>NOT(ISERROR(SEARCH(("/"),(N1))))</formula>
    </cfRule>
  </conditionalFormatting>
  <conditionalFormatting sqref="O1:O73 O75:O161">
    <cfRule type="cellIs" dxfId="7" priority="11" operator="greaterThan">
      <formula>0</formula>
    </cfRule>
  </conditionalFormatting>
  <conditionalFormatting sqref="O1:O73 O75:O161">
    <cfRule type="containsText" dxfId="7" priority="12" operator="containsText" text="/">
      <formula>NOT(ISERROR(SEARCH(("/"),(O1))))</formula>
    </cfRule>
  </conditionalFormatting>
  <drawing r:id="rId2"/>
  <legacyDrawing r:id="rId3"/>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764D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838">
        <v>38.0</v>
      </c>
      <c r="B1" s="1839"/>
      <c r="C1" s="1840" t="str">
        <f>IMAGE(VLOOKUP($A$1,Fighters!A2:AI114,12,FALSE),1)</f>
        <v>#REF!</v>
      </c>
      <c r="D1" s="1841"/>
      <c r="E1" s="1841"/>
      <c r="F1" s="1841"/>
      <c r="G1" s="1842"/>
      <c r="H1" s="1843"/>
      <c r="I1" s="1841"/>
      <c r="J1" s="1842"/>
      <c r="K1" s="1844"/>
      <c r="L1" s="1841"/>
      <c r="M1" s="1842"/>
      <c r="N1" s="1845"/>
      <c r="O1" s="1845"/>
      <c r="P1" s="1845"/>
      <c r="Q1" s="1845"/>
      <c r="R1" s="1846"/>
      <c r="S1" s="1846"/>
      <c r="T1" s="1846"/>
      <c r="U1" s="1846"/>
      <c r="V1" s="1846"/>
    </row>
    <row r="2">
      <c r="A2" s="1847" t="str">
        <f>VLOOKUP($A$1,Fighters!$A$2:$AI$81,6,FALSE)</f>
        <v>#5764db</v>
      </c>
      <c r="B2" s="1839"/>
      <c r="C2" s="1848"/>
      <c r="G2" s="1849"/>
      <c r="H2" s="1850"/>
      <c r="I2" s="1851"/>
      <c r="J2" s="1852"/>
      <c r="K2" s="1850"/>
      <c r="L2" s="1851"/>
      <c r="M2" s="1852"/>
      <c r="N2" s="1845"/>
      <c r="O2" s="1845"/>
      <c r="P2" s="1845"/>
      <c r="Q2" s="1845"/>
      <c r="R2" s="1846"/>
      <c r="S2" s="1846"/>
      <c r="T2" s="1846"/>
      <c r="U2" s="1846"/>
      <c r="V2" s="1846"/>
    </row>
    <row r="3">
      <c r="A3" s="1847" t="str">
        <f>VLOOKUP($A$1,Fighters!$A$2:$AI$81,14,FALSE)</f>
        <v>38. ソニック</v>
      </c>
      <c r="B3" s="1839"/>
      <c r="C3" s="1848"/>
      <c r="G3" s="1849"/>
      <c r="H3" s="1853"/>
      <c r="I3" s="1853"/>
      <c r="J3" s="1853"/>
      <c r="K3" s="1854"/>
      <c r="L3" s="1854"/>
      <c r="M3" s="1854"/>
      <c r="N3" s="1845"/>
      <c r="O3" s="1845"/>
      <c r="P3" s="1845"/>
      <c r="Q3" s="1845"/>
      <c r="R3" s="1855"/>
      <c r="S3" s="1846"/>
      <c r="T3" s="1846"/>
      <c r="U3" s="1846"/>
      <c r="V3" s="1846"/>
    </row>
    <row r="4">
      <c r="A4" s="1847" t="str">
        <f>VLOOKUP($A$1,Fighters!$A$2:$AI$81,13,FALSE)</f>
        <v>1</v>
      </c>
      <c r="B4" s="1839"/>
      <c r="C4" s="1848"/>
      <c r="G4" s="1849"/>
      <c r="H4" s="1856"/>
      <c r="I4" s="1856"/>
      <c r="J4" s="1853"/>
      <c r="K4" s="1854"/>
      <c r="L4" s="1854"/>
      <c r="M4" s="1854"/>
      <c r="N4" s="1845"/>
      <c r="O4" s="1845"/>
      <c r="P4" s="1845"/>
      <c r="Q4" s="1845"/>
      <c r="R4" s="1855"/>
      <c r="S4" s="1846"/>
      <c r="T4" s="1846"/>
      <c r="U4" s="1846"/>
      <c r="V4" s="1846"/>
    </row>
    <row r="5" ht="16.5" customHeight="1">
      <c r="A5" s="1838"/>
      <c r="B5" s="1839"/>
      <c r="C5" s="1848"/>
      <c r="G5" s="1849"/>
      <c r="H5" s="1857"/>
      <c r="I5" s="1857"/>
      <c r="J5" s="1858"/>
      <c r="K5" s="1859"/>
      <c r="L5" s="1860"/>
      <c r="M5" s="1860"/>
      <c r="N5" s="1845"/>
      <c r="O5" s="1845"/>
      <c r="P5" s="1845"/>
      <c r="Q5" s="1845"/>
      <c r="R5" s="1855"/>
      <c r="S5" s="1846"/>
      <c r="T5" s="1846"/>
      <c r="U5" s="1846"/>
      <c r="V5" s="1846"/>
    </row>
    <row r="6">
      <c r="A6" s="1839"/>
      <c r="B6" s="1839"/>
      <c r="C6" s="1848"/>
      <c r="G6" s="1849"/>
      <c r="H6" s="1856"/>
      <c r="I6" s="1861" t="s">
        <v>39</v>
      </c>
      <c r="J6" s="1859"/>
      <c r="K6" s="1862"/>
      <c r="L6" s="1860"/>
      <c r="M6" s="1860"/>
      <c r="N6" s="1845"/>
      <c r="O6" s="1845"/>
      <c r="P6" s="1845"/>
      <c r="Q6" s="1845"/>
      <c r="R6" s="1855"/>
      <c r="S6" s="1846"/>
      <c r="T6" s="1846"/>
      <c r="U6" s="1846"/>
      <c r="V6" s="1846"/>
    </row>
    <row r="7">
      <c r="A7" s="1839"/>
      <c r="B7" s="1839"/>
      <c r="C7" s="1848"/>
      <c r="G7" s="1849"/>
      <c r="H7" s="1857"/>
      <c r="I7" s="1857"/>
      <c r="J7" s="1859"/>
      <c r="K7" s="1862"/>
      <c r="L7" s="1860"/>
      <c r="M7" s="1860"/>
      <c r="N7" s="1845"/>
      <c r="O7" s="1845"/>
      <c r="P7" s="1845"/>
      <c r="Q7" s="1845"/>
      <c r="R7" s="1855"/>
      <c r="S7" s="1846"/>
      <c r="T7" s="1846"/>
      <c r="U7" s="1846"/>
      <c r="V7" s="1846"/>
    </row>
    <row r="8">
      <c r="A8" s="1839"/>
      <c r="B8" s="1839"/>
      <c r="C8" s="1848"/>
      <c r="G8" s="1849"/>
      <c r="H8" s="1863">
        <v>44489.75573884259</v>
      </c>
      <c r="I8" s="1841"/>
      <c r="J8" s="1842"/>
      <c r="K8" s="1859"/>
      <c r="L8" s="1860"/>
      <c r="M8" s="1860"/>
      <c r="N8" s="1845"/>
      <c r="O8" s="1845"/>
      <c r="P8" s="1845"/>
      <c r="Q8" s="1845"/>
      <c r="R8" s="1855"/>
      <c r="S8" s="1846"/>
      <c r="T8" s="1846"/>
      <c r="U8" s="1846"/>
      <c r="V8" s="1846"/>
    </row>
    <row r="9">
      <c r="A9" s="1839"/>
      <c r="B9" s="1839"/>
      <c r="C9" s="1848"/>
      <c r="G9" s="1849"/>
      <c r="H9" s="1850"/>
      <c r="I9" s="1851"/>
      <c r="J9" s="1852"/>
      <c r="K9" s="1846"/>
      <c r="L9" s="1845"/>
      <c r="M9" s="1845"/>
      <c r="N9" s="1845"/>
      <c r="O9" s="1845"/>
      <c r="P9" s="1845"/>
      <c r="Q9" s="1845"/>
      <c r="R9" s="1855"/>
      <c r="S9" s="1846"/>
      <c r="T9" s="1846"/>
      <c r="U9" s="1846"/>
      <c r="V9" s="1846"/>
    </row>
    <row r="10">
      <c r="A10" s="1839"/>
      <c r="B10" s="1839"/>
      <c r="C10" s="1848"/>
      <c r="G10" s="1849"/>
      <c r="H10" s="1864"/>
      <c r="I10" s="1864"/>
      <c r="J10" s="1846"/>
      <c r="K10" s="1846"/>
      <c r="L10" s="1845"/>
      <c r="M10" s="1845"/>
      <c r="N10" s="1845"/>
      <c r="O10" s="1845"/>
      <c r="P10" s="1845"/>
      <c r="Q10" s="1845"/>
      <c r="R10" s="1855"/>
      <c r="S10" s="1846"/>
      <c r="T10" s="1846"/>
      <c r="U10" s="1846"/>
      <c r="V10" s="1846"/>
    </row>
    <row r="11">
      <c r="A11" s="1865" t="s">
        <v>40</v>
      </c>
      <c r="B11" s="1842"/>
      <c r="C11" s="1848"/>
      <c r="G11" s="1849"/>
      <c r="H11" s="1857"/>
      <c r="I11" s="1857"/>
      <c r="J11" s="1846"/>
      <c r="K11" s="1846"/>
      <c r="L11" s="1845"/>
      <c r="M11" s="1845"/>
      <c r="N11" s="1845"/>
      <c r="O11" s="1845"/>
      <c r="P11" s="1845"/>
      <c r="Q11" s="1845"/>
      <c r="R11" s="1855"/>
      <c r="S11" s="1846"/>
      <c r="T11" s="1846"/>
      <c r="U11" s="1846"/>
      <c r="V11" s="1846"/>
    </row>
    <row r="12">
      <c r="A12" s="1850"/>
      <c r="B12" s="1852"/>
      <c r="C12" s="1850"/>
      <c r="D12" s="1851"/>
      <c r="E12" s="1851"/>
      <c r="F12" s="1851"/>
      <c r="G12" s="1852"/>
      <c r="H12" s="1866"/>
      <c r="I12" s="1866"/>
      <c r="J12" s="1839"/>
      <c r="K12" s="1839"/>
      <c r="L12" s="1845"/>
      <c r="M12" s="1845"/>
      <c r="N12" s="1845"/>
      <c r="O12" s="1845"/>
      <c r="P12" s="1845"/>
      <c r="Q12" s="1845"/>
      <c r="R12" s="1855"/>
      <c r="S12" s="1846"/>
      <c r="T12" s="1846"/>
      <c r="U12" s="1846"/>
      <c r="V12" s="184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86 [70th]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2.31 [4th]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1.444 [7th]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53F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0.209 [2nd]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35 [22nd]</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3.85 [1st]</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0.138 [1st]</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16.89 [30th]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1.208 [13th]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35 [31st]</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1.65 [33rd]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2.64 [34th]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 [45th]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204</v>
      </c>
      <c r="D26" s="139" t="s">
        <v>2688</v>
      </c>
      <c r="E26" s="139" t="s">
        <v>176</v>
      </c>
      <c r="F26" s="138">
        <v>2.4</v>
      </c>
      <c r="G26" s="139" t="s">
        <v>60</v>
      </c>
      <c r="H26" s="140" t="s">
        <v>2809</v>
      </c>
      <c r="I26" s="110"/>
      <c r="J26" s="109"/>
      <c r="K26" s="138"/>
      <c r="L26" s="282"/>
      <c r="M26" s="363"/>
      <c r="N26" s="363"/>
      <c r="O26" s="145">
        <v>0.0</v>
      </c>
      <c r="P26" s="145">
        <v>1.0</v>
      </c>
      <c r="Q26" s="145">
        <v>1.0</v>
      </c>
      <c r="R26" s="100"/>
      <c r="S26" s="100"/>
      <c r="T26" s="100"/>
      <c r="U26" s="145" t="s">
        <v>69</v>
      </c>
      <c r="V26" s="100"/>
    </row>
    <row r="27" outlineLevel="1">
      <c r="A27" s="146"/>
      <c r="B27" s="147" t="s">
        <v>63</v>
      </c>
      <c r="C27" s="216" t="s">
        <v>176</v>
      </c>
      <c r="D27" s="216" t="s">
        <v>65</v>
      </c>
      <c r="E27" s="216" t="s">
        <v>1024</v>
      </c>
      <c r="F27" s="138">
        <v>1.7999999999999998</v>
      </c>
      <c r="G27" s="139" t="s">
        <v>60</v>
      </c>
      <c r="H27" s="140" t="s">
        <v>68</v>
      </c>
      <c r="I27" s="110"/>
      <c r="J27" s="109"/>
      <c r="K27" s="282"/>
      <c r="L27" s="282"/>
      <c r="M27" s="363"/>
      <c r="N27" s="363"/>
      <c r="O27" s="145">
        <v>0.0</v>
      </c>
      <c r="P27" s="145">
        <v>1.0</v>
      </c>
      <c r="Q27" s="145">
        <v>1.0</v>
      </c>
      <c r="R27" s="100"/>
      <c r="S27" s="100"/>
      <c r="T27" s="100"/>
      <c r="U27" s="145" t="s">
        <v>76</v>
      </c>
      <c r="V27" s="100"/>
    </row>
    <row r="28" outlineLevel="1">
      <c r="A28" s="156"/>
      <c r="B28" s="147" t="s">
        <v>70</v>
      </c>
      <c r="C28" s="216" t="s">
        <v>717</v>
      </c>
      <c r="D28" s="216" t="s">
        <v>193</v>
      </c>
      <c r="E28" s="216" t="s">
        <v>73</v>
      </c>
      <c r="F28" s="138">
        <v>4.8</v>
      </c>
      <c r="G28" s="139" t="s">
        <v>75</v>
      </c>
      <c r="H28" s="159"/>
      <c r="I28" s="110"/>
      <c r="J28" s="109"/>
      <c r="K28" s="282"/>
      <c r="L28" s="282"/>
      <c r="M28" s="363"/>
      <c r="N28" s="363"/>
      <c r="O28" s="145">
        <v>0.0</v>
      </c>
      <c r="P28" s="145">
        <v>1.0</v>
      </c>
      <c r="Q28" s="145">
        <v>1.0</v>
      </c>
      <c r="R28" s="100"/>
      <c r="S28" s="100"/>
      <c r="T28" s="100"/>
      <c r="U28" s="145" t="s">
        <v>76</v>
      </c>
      <c r="V28" s="100"/>
    </row>
    <row r="29" outlineLevel="1">
      <c r="A29" s="133" t="s">
        <v>77</v>
      </c>
      <c r="B29" s="147"/>
      <c r="C29" s="216" t="s">
        <v>713</v>
      </c>
      <c r="D29" s="379" t="s">
        <v>185</v>
      </c>
      <c r="E29" s="450" t="s">
        <v>80</v>
      </c>
      <c r="F29" s="138">
        <v>9.6</v>
      </c>
      <c r="G29" s="162" t="s">
        <v>102</v>
      </c>
      <c r="H29" s="386" t="s">
        <v>2810</v>
      </c>
      <c r="I29" s="164"/>
      <c r="J29" s="104"/>
      <c r="K29" s="138"/>
      <c r="L29" s="282"/>
      <c r="M29" s="363"/>
      <c r="N29" s="363"/>
      <c r="O29" s="145">
        <v>0.0</v>
      </c>
      <c r="P29" s="145">
        <v>1.0</v>
      </c>
      <c r="Q29" s="145">
        <v>1.0</v>
      </c>
      <c r="R29" s="100"/>
      <c r="S29" s="100"/>
      <c r="T29" s="100"/>
      <c r="U29" s="166" t="s">
        <v>69</v>
      </c>
      <c r="V29" s="100"/>
    </row>
    <row r="30" outlineLevel="1">
      <c r="A30" s="156"/>
      <c r="B30" s="147" t="s">
        <v>84</v>
      </c>
      <c r="C30" s="216" t="s">
        <v>2811</v>
      </c>
      <c r="D30" s="107"/>
      <c r="E30" s="450" t="s">
        <v>86</v>
      </c>
      <c r="F30" s="138">
        <v>7.199999999999999</v>
      </c>
      <c r="G30" s="162" t="s">
        <v>95</v>
      </c>
      <c r="H30" s="106"/>
      <c r="I30" s="168"/>
      <c r="J30" s="107"/>
      <c r="K30" s="282"/>
      <c r="L30" s="282"/>
      <c r="M30" s="363"/>
      <c r="N30" s="363"/>
      <c r="O30" s="145">
        <v>0.0</v>
      </c>
      <c r="P30" s="145">
        <v>1.0</v>
      </c>
      <c r="Q30" s="145">
        <v>1.0</v>
      </c>
      <c r="R30" s="100"/>
      <c r="S30" s="100"/>
      <c r="T30" s="100"/>
      <c r="U30" s="156"/>
      <c r="V30" s="100"/>
    </row>
    <row r="31" outlineLevel="1">
      <c r="A31" s="133" t="s">
        <v>89</v>
      </c>
      <c r="B31" s="147" t="s">
        <v>2812</v>
      </c>
      <c r="C31" s="467" t="s">
        <v>86</v>
      </c>
      <c r="D31" s="455" t="s">
        <v>193</v>
      </c>
      <c r="E31" s="467" t="s">
        <v>73</v>
      </c>
      <c r="F31" s="138">
        <v>4.8</v>
      </c>
      <c r="G31" s="139" t="s">
        <v>75</v>
      </c>
      <c r="H31" s="163" t="s">
        <v>2813</v>
      </c>
      <c r="I31" s="164"/>
      <c r="J31" s="104"/>
      <c r="K31" s="138"/>
      <c r="L31" s="282"/>
      <c r="M31" s="363"/>
      <c r="N31" s="363"/>
      <c r="O31" s="145">
        <v>0.0</v>
      </c>
      <c r="P31" s="145">
        <v>1.0</v>
      </c>
      <c r="Q31" s="145">
        <v>1.0</v>
      </c>
      <c r="R31" s="100"/>
      <c r="S31" s="100"/>
      <c r="T31" s="100"/>
      <c r="U31" s="166" t="s">
        <v>96</v>
      </c>
      <c r="V31" s="100"/>
    </row>
    <row r="32" outlineLevel="1">
      <c r="A32" s="156"/>
      <c r="B32" s="147" t="s">
        <v>2814</v>
      </c>
      <c r="C32" s="467" t="s">
        <v>563</v>
      </c>
      <c r="D32" s="107"/>
      <c r="E32" s="467" t="s">
        <v>2815</v>
      </c>
      <c r="F32" s="138" t="s">
        <v>2816</v>
      </c>
      <c r="G32" s="139" t="s">
        <v>2817</v>
      </c>
      <c r="H32" s="106"/>
      <c r="I32" s="168"/>
      <c r="J32" s="107"/>
      <c r="K32" s="138"/>
      <c r="L32" s="282"/>
      <c r="M32" s="363"/>
      <c r="N32" s="363"/>
      <c r="O32" s="145">
        <v>0.0</v>
      </c>
      <c r="P32" s="145">
        <v>1.0</v>
      </c>
      <c r="Q32" s="145">
        <v>1.0</v>
      </c>
      <c r="R32" s="100"/>
      <c r="S32" s="100"/>
      <c r="T32" s="100"/>
      <c r="U32" s="156"/>
      <c r="V32" s="100"/>
    </row>
    <row r="33" outlineLevel="1">
      <c r="A33" s="133" t="s">
        <v>97</v>
      </c>
      <c r="B33" s="147" t="s">
        <v>683</v>
      </c>
      <c r="C33" s="216" t="s">
        <v>549</v>
      </c>
      <c r="D33" s="379" t="s">
        <v>193</v>
      </c>
      <c r="E33" s="467" t="s">
        <v>176</v>
      </c>
      <c r="F33" s="138">
        <v>2.4</v>
      </c>
      <c r="G33" s="139" t="s">
        <v>60</v>
      </c>
      <c r="H33" s="456"/>
      <c r="I33" s="164"/>
      <c r="J33" s="104"/>
      <c r="K33" s="282"/>
      <c r="L33" s="282"/>
      <c r="M33" s="363"/>
      <c r="N33" s="363"/>
      <c r="O33" s="145">
        <v>0.0</v>
      </c>
      <c r="P33" s="145">
        <v>1.0</v>
      </c>
      <c r="Q33" s="145">
        <v>1.0</v>
      </c>
      <c r="R33" s="100"/>
      <c r="S33" s="100"/>
      <c r="T33" s="100"/>
      <c r="U33" s="166" t="s">
        <v>62</v>
      </c>
      <c r="V33" s="100"/>
    </row>
    <row r="34" outlineLevel="1">
      <c r="A34" s="146"/>
      <c r="B34" s="147" t="s">
        <v>125</v>
      </c>
      <c r="C34" s="216" t="s">
        <v>319</v>
      </c>
      <c r="D34" s="210"/>
      <c r="E34" s="467" t="s">
        <v>176</v>
      </c>
      <c r="F34" s="138">
        <v>2.4</v>
      </c>
      <c r="G34" s="139" t="s">
        <v>60</v>
      </c>
      <c r="H34" s="212"/>
      <c r="J34" s="210"/>
      <c r="K34" s="145"/>
      <c r="L34" s="363"/>
      <c r="M34" s="363"/>
      <c r="N34" s="363"/>
      <c r="O34" s="145">
        <v>0.0</v>
      </c>
      <c r="P34" s="145">
        <v>1.0</v>
      </c>
      <c r="Q34" s="145">
        <v>1.0</v>
      </c>
      <c r="R34" s="100"/>
      <c r="S34" s="100"/>
      <c r="T34" s="100"/>
      <c r="U34" s="146"/>
      <c r="V34" s="100"/>
    </row>
    <row r="35" outlineLevel="1">
      <c r="A35" s="156"/>
      <c r="B35" s="147" t="s">
        <v>131</v>
      </c>
      <c r="C35" s="216" t="s">
        <v>305</v>
      </c>
      <c r="D35" s="107"/>
      <c r="E35" s="467" t="s">
        <v>86</v>
      </c>
      <c r="F35" s="138">
        <v>7.199999999999999</v>
      </c>
      <c r="G35" s="139" t="s">
        <v>102</v>
      </c>
      <c r="H35" s="106"/>
      <c r="I35" s="168"/>
      <c r="J35" s="107"/>
      <c r="K35" s="145"/>
      <c r="L35" s="363"/>
      <c r="M35" s="363"/>
      <c r="N35" s="363"/>
      <c r="O35" s="145">
        <v>0.0</v>
      </c>
      <c r="P35" s="145">
        <v>1.0</v>
      </c>
      <c r="Q35" s="145">
        <v>1.0</v>
      </c>
      <c r="R35" s="100"/>
      <c r="S35" s="100"/>
      <c r="T35" s="100"/>
      <c r="U35" s="156"/>
      <c r="V35" s="100"/>
    </row>
    <row r="36" outlineLevel="1">
      <c r="A36" s="170" t="s">
        <v>103</v>
      </c>
      <c r="B36" s="160"/>
      <c r="C36" s="216" t="s">
        <v>217</v>
      </c>
      <c r="D36" s="467" t="s">
        <v>105</v>
      </c>
      <c r="E36" s="467" t="s">
        <v>86</v>
      </c>
      <c r="F36" s="138">
        <v>7.199999999999999</v>
      </c>
      <c r="G36" s="139" t="s">
        <v>102</v>
      </c>
      <c r="H36" s="151" t="s">
        <v>2818</v>
      </c>
      <c r="I36" s="110"/>
      <c r="J36" s="109"/>
      <c r="K36" s="145"/>
      <c r="L36" s="363"/>
      <c r="M36" s="363"/>
      <c r="N36" s="363"/>
      <c r="O36" s="145">
        <v>0.0</v>
      </c>
      <c r="P36" s="145">
        <v>1.0</v>
      </c>
      <c r="Q36" s="145">
        <v>1.0</v>
      </c>
      <c r="R36" s="100"/>
      <c r="S36" s="100"/>
      <c r="T36" s="100"/>
      <c r="U36" s="145" t="s">
        <v>69</v>
      </c>
      <c r="V36" s="100"/>
    </row>
    <row r="37" outlineLevel="1">
      <c r="A37" s="170" t="s">
        <v>109</v>
      </c>
      <c r="B37" s="147" t="s">
        <v>90</v>
      </c>
      <c r="C37" s="216" t="s">
        <v>312</v>
      </c>
      <c r="D37" s="467" t="s">
        <v>111</v>
      </c>
      <c r="E37" s="467" t="s">
        <v>119</v>
      </c>
      <c r="F37" s="138">
        <v>16.8</v>
      </c>
      <c r="G37" s="139" t="s">
        <v>121</v>
      </c>
      <c r="H37" s="151" t="s">
        <v>2819</v>
      </c>
      <c r="I37" s="110"/>
      <c r="J37" s="109"/>
      <c r="K37" s="282"/>
      <c r="L37" s="282"/>
      <c r="M37" s="363"/>
      <c r="N37" s="363"/>
      <c r="O37" s="145">
        <v>0.0</v>
      </c>
      <c r="P37" s="145">
        <v>1.0</v>
      </c>
      <c r="Q37" s="145">
        <v>1.0</v>
      </c>
      <c r="R37" s="100"/>
      <c r="S37" s="100"/>
      <c r="T37" s="100"/>
      <c r="U37" s="145" t="s">
        <v>82</v>
      </c>
      <c r="V37" s="100"/>
    </row>
    <row r="38" outlineLevel="1">
      <c r="A38" s="133" t="s">
        <v>116</v>
      </c>
      <c r="B38" s="147" t="s">
        <v>125</v>
      </c>
      <c r="C38" s="450" t="s">
        <v>119</v>
      </c>
      <c r="D38" s="379" t="s">
        <v>601</v>
      </c>
      <c r="E38" s="467" t="s">
        <v>150</v>
      </c>
      <c r="F38" s="138">
        <v>6.0</v>
      </c>
      <c r="G38" s="139" t="s">
        <v>147</v>
      </c>
      <c r="H38" s="386" t="s">
        <v>2820</v>
      </c>
      <c r="I38" s="164"/>
      <c r="J38" s="104"/>
      <c r="K38" s="363"/>
      <c r="L38" s="363"/>
      <c r="M38" s="363"/>
      <c r="N38" s="363"/>
      <c r="O38" s="145">
        <v>0.0</v>
      </c>
      <c r="P38" s="145">
        <v>1.0</v>
      </c>
      <c r="Q38" s="145">
        <v>1.0</v>
      </c>
      <c r="R38" s="100"/>
      <c r="S38" s="100"/>
      <c r="T38" s="100"/>
      <c r="U38" s="166" t="s">
        <v>62</v>
      </c>
      <c r="V38" s="100"/>
    </row>
    <row r="39" outlineLevel="1">
      <c r="A39" s="146"/>
      <c r="B39" s="147" t="s">
        <v>2821</v>
      </c>
      <c r="C39" s="450" t="s">
        <v>2822</v>
      </c>
      <c r="D39" s="210"/>
      <c r="E39" s="467" t="s">
        <v>213</v>
      </c>
      <c r="F39" s="138">
        <v>1.2</v>
      </c>
      <c r="G39" s="139" t="s">
        <v>170</v>
      </c>
      <c r="H39" s="212"/>
      <c r="J39" s="210"/>
      <c r="K39" s="363"/>
      <c r="L39" s="363"/>
      <c r="M39" s="363"/>
      <c r="N39" s="363"/>
      <c r="O39" s="145">
        <v>0.0</v>
      </c>
      <c r="P39" s="145">
        <v>1.0</v>
      </c>
      <c r="Q39" s="145">
        <v>1.0</v>
      </c>
      <c r="R39" s="100"/>
      <c r="S39" s="100"/>
      <c r="T39" s="100"/>
      <c r="U39" s="146"/>
      <c r="V39" s="100"/>
    </row>
    <row r="40" outlineLevel="1">
      <c r="A40" s="156"/>
      <c r="B40" s="147" t="s">
        <v>524</v>
      </c>
      <c r="C40" s="450" t="s">
        <v>433</v>
      </c>
      <c r="D40" s="107"/>
      <c r="E40" s="467" t="s">
        <v>204</v>
      </c>
      <c r="F40" s="138">
        <v>3.5999999999999996</v>
      </c>
      <c r="G40" s="139" t="s">
        <v>60</v>
      </c>
      <c r="H40" s="106"/>
      <c r="I40" s="168"/>
      <c r="J40" s="107"/>
      <c r="K40" s="363"/>
      <c r="L40" s="363"/>
      <c r="M40" s="363"/>
      <c r="N40" s="363"/>
      <c r="O40" s="145">
        <v>0.0</v>
      </c>
      <c r="P40" s="145">
        <v>1.0</v>
      </c>
      <c r="Q40" s="145">
        <v>1.0</v>
      </c>
      <c r="R40" s="100"/>
      <c r="S40" s="100"/>
      <c r="T40" s="100"/>
      <c r="U40" s="156"/>
      <c r="V40" s="100"/>
    </row>
    <row r="41" outlineLevel="1">
      <c r="A41" s="170" t="s">
        <v>124</v>
      </c>
      <c r="B41" s="147"/>
      <c r="C41" s="216" t="s">
        <v>373</v>
      </c>
      <c r="D41" s="467" t="s">
        <v>289</v>
      </c>
      <c r="E41" s="467" t="s">
        <v>129</v>
      </c>
      <c r="F41" s="138">
        <v>14.399999999999999</v>
      </c>
      <c r="G41" s="139" t="s">
        <v>123</v>
      </c>
      <c r="H41" s="151" t="s">
        <v>1214</v>
      </c>
      <c r="I41" s="110"/>
      <c r="J41" s="109"/>
      <c r="K41" s="282"/>
      <c r="L41" s="282"/>
      <c r="M41" s="363"/>
      <c r="N41" s="363"/>
      <c r="O41" s="145">
        <v>0.0</v>
      </c>
      <c r="P41" s="145">
        <v>1.0</v>
      </c>
      <c r="Q41" s="145">
        <v>1.0</v>
      </c>
      <c r="R41" s="100"/>
      <c r="S41" s="100"/>
      <c r="T41" s="100"/>
      <c r="U41" s="145" t="s">
        <v>69</v>
      </c>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tr">
        <f>'テンプレート'!H56</f>
        <v>ガード硬直</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187" t="str">
        <f>'テンプレート'!R56</f>
        <v>備考</v>
      </c>
      <c r="S44" s="110"/>
      <c r="T44" s="110"/>
      <c r="U44" s="110"/>
      <c r="V44" s="110"/>
    </row>
    <row r="45" outlineLevel="1">
      <c r="A45" s="188" t="s">
        <v>144</v>
      </c>
      <c r="B45" s="373"/>
      <c r="C45" s="239" t="s">
        <v>543</v>
      </c>
      <c r="D45" s="452" t="s">
        <v>185</v>
      </c>
      <c r="E45" s="401" t="s">
        <v>129</v>
      </c>
      <c r="F45" s="193">
        <v>14.399999999999999</v>
      </c>
      <c r="G45" s="193">
        <v>12.24</v>
      </c>
      <c r="H45" s="138" t="s">
        <v>75</v>
      </c>
      <c r="I45" s="454" t="str">
        <f t="array" ref="I45">INDEX('空中攻撃'!$O$3:$AA$109, MATCH($A$1,'空中攻撃'!$A$3:$A$109,0), MATCH(A45,'空中攻撃'!$O$2:$S$2,0))</f>
        <v>10</v>
      </c>
      <c r="J45" s="455" t="s">
        <v>2823</v>
      </c>
      <c r="K45" s="376"/>
      <c r="L45" s="377"/>
      <c r="M45" s="825"/>
      <c r="N45" s="825"/>
      <c r="O45" s="199">
        <v>0.0</v>
      </c>
      <c r="P45" s="199">
        <v>1.0</v>
      </c>
      <c r="Q45" s="199">
        <v>1.0</v>
      </c>
      <c r="R45" s="1124"/>
      <c r="S45" s="164"/>
      <c r="T45" s="164"/>
      <c r="U45" s="164"/>
      <c r="V45" s="104"/>
    </row>
    <row r="46" outlineLevel="1">
      <c r="A46" s="146"/>
      <c r="B46" s="373" t="s">
        <v>187</v>
      </c>
      <c r="C46" s="239" t="s">
        <v>2157</v>
      </c>
      <c r="D46" s="210"/>
      <c r="E46" s="401" t="s">
        <v>80</v>
      </c>
      <c r="F46" s="193">
        <v>9.6</v>
      </c>
      <c r="G46" s="193">
        <v>8.16</v>
      </c>
      <c r="H46" s="138" t="s">
        <v>147</v>
      </c>
      <c r="I46" s="146"/>
      <c r="J46" s="210"/>
      <c r="K46" s="376"/>
      <c r="L46" s="377"/>
      <c r="M46" s="825"/>
      <c r="N46" s="825"/>
      <c r="O46" s="199"/>
      <c r="P46" s="199"/>
      <c r="Q46" s="199"/>
      <c r="R46" s="212"/>
      <c r="V46" s="210"/>
    </row>
    <row r="47" outlineLevel="1">
      <c r="A47" s="156"/>
      <c r="B47" s="373" t="s">
        <v>189</v>
      </c>
      <c r="C47" s="239" t="s">
        <v>1064</v>
      </c>
      <c r="D47" s="107"/>
      <c r="E47" s="239" t="s">
        <v>150</v>
      </c>
      <c r="F47" s="138">
        <v>6.0</v>
      </c>
      <c r="G47" s="138">
        <v>5.1</v>
      </c>
      <c r="H47" s="138" t="s">
        <v>60</v>
      </c>
      <c r="I47" s="156"/>
      <c r="J47" s="107"/>
      <c r="K47" s="376"/>
      <c r="L47" s="377"/>
      <c r="M47" s="825"/>
      <c r="N47" s="825"/>
      <c r="O47" s="199">
        <v>0.0</v>
      </c>
      <c r="P47" s="199">
        <v>1.0</v>
      </c>
      <c r="Q47" s="199">
        <v>1.0</v>
      </c>
      <c r="R47" s="106"/>
      <c r="S47" s="168"/>
      <c r="T47" s="168"/>
      <c r="U47" s="168"/>
      <c r="V47" s="107"/>
    </row>
    <row r="48" outlineLevel="1">
      <c r="A48" s="188" t="s">
        <v>151</v>
      </c>
      <c r="B48" s="373" t="s">
        <v>167</v>
      </c>
      <c r="C48" s="239" t="s">
        <v>168</v>
      </c>
      <c r="D48" s="452">
        <v>45.0</v>
      </c>
      <c r="E48" s="239" t="s">
        <v>1375</v>
      </c>
      <c r="F48" s="138">
        <v>0.96</v>
      </c>
      <c r="G48" s="138">
        <v>0.8160000000000001</v>
      </c>
      <c r="H48" s="138" t="s">
        <v>170</v>
      </c>
      <c r="I48" s="454" t="str">
        <f t="array" ref="I48">INDEX('空中攻撃'!$O$3:$AA$109, MATCH($A$1,'空中攻撃'!$A$3:$A$109,0), MATCH(A48,'空中攻撃'!$O$2:$S$2,0))</f>
        <v>16</v>
      </c>
      <c r="J48" s="455" t="s">
        <v>581</v>
      </c>
      <c r="K48" s="376"/>
      <c r="L48" s="377"/>
      <c r="M48" s="825"/>
      <c r="N48" s="825"/>
      <c r="O48" s="199">
        <v>0.0</v>
      </c>
      <c r="P48" s="199">
        <v>1.0</v>
      </c>
      <c r="Q48" s="199">
        <v>1.0</v>
      </c>
      <c r="R48" s="1124"/>
      <c r="S48" s="164"/>
      <c r="T48" s="164"/>
      <c r="U48" s="164"/>
      <c r="V48" s="104"/>
    </row>
    <row r="49" outlineLevel="1">
      <c r="A49" s="156"/>
      <c r="B49" s="373" t="s">
        <v>172</v>
      </c>
      <c r="C49" s="239" t="s">
        <v>386</v>
      </c>
      <c r="D49" s="107"/>
      <c r="E49" s="239" t="s">
        <v>204</v>
      </c>
      <c r="F49" s="138">
        <v>3.5999999999999996</v>
      </c>
      <c r="G49" s="138">
        <v>3.06</v>
      </c>
      <c r="H49" s="138" t="s">
        <v>170</v>
      </c>
      <c r="I49" s="156"/>
      <c r="J49" s="107"/>
      <c r="K49" s="376"/>
      <c r="L49" s="377"/>
      <c r="M49" s="825"/>
      <c r="N49" s="825"/>
      <c r="O49" s="199">
        <v>0.0</v>
      </c>
      <c r="P49" s="199">
        <v>1.0</v>
      </c>
      <c r="Q49" s="199">
        <v>1.0</v>
      </c>
      <c r="R49" s="106"/>
      <c r="S49" s="168"/>
      <c r="T49" s="168"/>
      <c r="U49" s="168"/>
      <c r="V49" s="107"/>
    </row>
    <row r="50" outlineLevel="1">
      <c r="A50" s="188" t="s">
        <v>157</v>
      </c>
      <c r="B50" s="373"/>
      <c r="C50" s="239" t="s">
        <v>305</v>
      </c>
      <c r="D50" s="452">
        <v>37.0</v>
      </c>
      <c r="E50" s="239" t="s">
        <v>119</v>
      </c>
      <c r="F50" s="138">
        <v>16.8</v>
      </c>
      <c r="G50" s="138">
        <v>14.280000000000001</v>
      </c>
      <c r="H50" s="138" t="s">
        <v>75</v>
      </c>
      <c r="I50" s="1523">
        <f t="array" ref="I50">INDEX('空中攻撃'!$O$3:$AA$109, MATCH($A$1,'空中攻撃'!$A$3:$A$109,0), MATCH(A50,'空中攻撃'!$O$2:$S$2,0))</f>
        <v>15</v>
      </c>
      <c r="J50" s="455" t="s">
        <v>171</v>
      </c>
      <c r="K50" s="376"/>
      <c r="L50" s="377"/>
      <c r="M50" s="825"/>
      <c r="N50" s="825"/>
      <c r="O50" s="199">
        <v>0.0</v>
      </c>
      <c r="P50" s="199">
        <v>1.0</v>
      </c>
      <c r="Q50" s="199">
        <v>1.0</v>
      </c>
      <c r="R50" s="1124"/>
      <c r="S50" s="164"/>
      <c r="T50" s="164"/>
      <c r="U50" s="164"/>
      <c r="V50" s="104"/>
    </row>
    <row r="51" outlineLevel="1">
      <c r="A51" s="156"/>
      <c r="B51" s="373" t="s">
        <v>84</v>
      </c>
      <c r="C51" s="239" t="s">
        <v>943</v>
      </c>
      <c r="D51" s="107"/>
      <c r="E51" s="239" t="s">
        <v>128</v>
      </c>
      <c r="F51" s="138">
        <v>12.0</v>
      </c>
      <c r="G51" s="138">
        <v>10.2</v>
      </c>
      <c r="H51" s="138" t="s">
        <v>147</v>
      </c>
      <c r="I51" s="156"/>
      <c r="J51" s="107"/>
      <c r="K51" s="376"/>
      <c r="L51" s="377"/>
      <c r="M51" s="825"/>
      <c r="N51" s="825"/>
      <c r="O51" s="199">
        <v>0.0</v>
      </c>
      <c r="P51" s="199">
        <v>1.0</v>
      </c>
      <c r="Q51" s="199">
        <v>1.0</v>
      </c>
      <c r="R51" s="106"/>
      <c r="S51" s="168"/>
      <c r="T51" s="168"/>
      <c r="U51" s="168"/>
      <c r="V51" s="107"/>
    </row>
    <row r="52" outlineLevel="1">
      <c r="A52" s="188" t="s">
        <v>162</v>
      </c>
      <c r="B52" s="373" t="s">
        <v>125</v>
      </c>
      <c r="C52" s="239" t="s">
        <v>91</v>
      </c>
      <c r="D52" s="452" t="s">
        <v>118</v>
      </c>
      <c r="E52" s="239" t="s">
        <v>204</v>
      </c>
      <c r="F52" s="138">
        <v>3.5999999999999996</v>
      </c>
      <c r="G52" s="138">
        <v>3.06</v>
      </c>
      <c r="H52" s="138" t="s">
        <v>170</v>
      </c>
      <c r="I52" s="454" t="str">
        <f t="array" ref="I52">INDEX('空中攻撃'!$O$3:$AA$109, MATCH($A$1,'空中攻撃'!$A$3:$A$109,0), MATCH(A52,'空中攻撃'!$O$2:$S$2,0))</f>
        <v>13</v>
      </c>
      <c r="J52" s="455" t="s">
        <v>2824</v>
      </c>
      <c r="K52" s="377"/>
      <c r="L52" s="377"/>
      <c r="M52" s="825"/>
      <c r="N52" s="825"/>
      <c r="O52" s="199">
        <v>0.0</v>
      </c>
      <c r="P52" s="199">
        <v>1.0</v>
      </c>
      <c r="Q52" s="199">
        <v>1.0</v>
      </c>
      <c r="R52" s="1124"/>
      <c r="S52" s="164"/>
      <c r="T52" s="164"/>
      <c r="U52" s="164"/>
      <c r="V52" s="104"/>
    </row>
    <row r="53" outlineLevel="1">
      <c r="A53" s="156"/>
      <c r="B53" s="373" t="s">
        <v>131</v>
      </c>
      <c r="C53" s="239" t="s">
        <v>295</v>
      </c>
      <c r="D53" s="107"/>
      <c r="E53" s="239" t="s">
        <v>80</v>
      </c>
      <c r="F53" s="138">
        <v>9.6</v>
      </c>
      <c r="G53" s="138">
        <v>8.16</v>
      </c>
      <c r="H53" s="138" t="s">
        <v>147</v>
      </c>
      <c r="I53" s="156"/>
      <c r="J53" s="107"/>
      <c r="K53" s="377"/>
      <c r="L53" s="377"/>
      <c r="M53" s="825"/>
      <c r="N53" s="825"/>
      <c r="O53" s="199">
        <v>0.0</v>
      </c>
      <c r="P53" s="199">
        <v>1.0</v>
      </c>
      <c r="Q53" s="199">
        <v>1.0</v>
      </c>
      <c r="R53" s="106"/>
      <c r="S53" s="168"/>
      <c r="T53" s="168"/>
      <c r="U53" s="168"/>
      <c r="V53" s="107"/>
    </row>
    <row r="54" outlineLevel="1">
      <c r="A54" s="188" t="s">
        <v>166</v>
      </c>
      <c r="B54" s="373" t="s">
        <v>155</v>
      </c>
      <c r="C54" s="239" t="s">
        <v>894</v>
      </c>
      <c r="D54" s="452">
        <v>45.0</v>
      </c>
      <c r="E54" s="239" t="s">
        <v>80</v>
      </c>
      <c r="F54" s="138">
        <v>9.6</v>
      </c>
      <c r="G54" s="138">
        <v>8.16</v>
      </c>
      <c r="H54" s="138" t="s">
        <v>147</v>
      </c>
      <c r="I54" s="454">
        <f t="array" ref="I54">INDEX('空中攻撃'!$O$3:$AA$109, MATCH($A$1,'空中攻撃'!$A$3:$A$109,0), MATCH(A54,'空中攻撃'!$O$2:$S$2,0))</f>
        <v>21</v>
      </c>
      <c r="J54" s="455" t="s">
        <v>1311</v>
      </c>
      <c r="K54" s="377"/>
      <c r="L54" s="377"/>
      <c r="M54" s="825"/>
      <c r="N54" s="825"/>
      <c r="O54" s="199">
        <v>0.0</v>
      </c>
      <c r="P54" s="199">
        <v>1.0</v>
      </c>
      <c r="Q54" s="199">
        <v>1.0</v>
      </c>
      <c r="R54" s="456"/>
      <c r="S54" s="164"/>
      <c r="T54" s="164"/>
      <c r="U54" s="164"/>
      <c r="V54" s="104"/>
    </row>
    <row r="55" outlineLevel="1">
      <c r="A55" s="156"/>
      <c r="B55" s="373" t="s">
        <v>84</v>
      </c>
      <c r="C55" s="239" t="s">
        <v>843</v>
      </c>
      <c r="D55" s="107"/>
      <c r="E55" s="239" t="s">
        <v>106</v>
      </c>
      <c r="F55" s="138" t="s">
        <v>107</v>
      </c>
      <c r="G55" s="138" t="s">
        <v>2825</v>
      </c>
      <c r="H55" s="138" t="s">
        <v>923</v>
      </c>
      <c r="I55" s="156"/>
      <c r="J55" s="107"/>
      <c r="K55" s="377"/>
      <c r="L55" s="377"/>
      <c r="M55" s="825"/>
      <c r="N55" s="825"/>
      <c r="O55" s="199">
        <v>0.0</v>
      </c>
      <c r="P55" s="199">
        <v>1.0</v>
      </c>
      <c r="Q55" s="199">
        <v>1.0</v>
      </c>
      <c r="R55" s="106"/>
      <c r="S55" s="168"/>
      <c r="T55" s="168"/>
      <c r="U55" s="168"/>
      <c r="V55" s="107"/>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tr">
        <f>'テンプレート'!A71</f>
        <v>必殺ワザ</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tr">
        <f>"NB ("&amp;VLOOKUP($A$1,Fighters!$A$2:$AI$81,15,FALSE)&amp;")"</f>
        <v>NB (ホーミングアタック)</v>
      </c>
      <c r="B58" s="109"/>
      <c r="C58" s="231" t="str">
        <f>'テンプレート'!C72</f>
        <v>判定持続</v>
      </c>
      <c r="D58" s="231" t="str">
        <f>'テンプレート'!D72</f>
        <v>全体フレーム</v>
      </c>
      <c r="E58" s="232" t="str">
        <f>'テンプレート'!E72</f>
        <v>基礎ダメージ</v>
      </c>
      <c r="F58" s="233" t="str">
        <f>'テンプレート'!F72</f>
        <v>ダメージ (1v1)</v>
      </c>
      <c r="G58" s="232" t="str">
        <f>'テンプレート'!G72</f>
        <v>ガード硬直</v>
      </c>
      <c r="H58" s="382" t="str">
        <f>'テンプレート'!H72</f>
        <v>備考</v>
      </c>
      <c r="I58" s="110"/>
      <c r="J58" s="109"/>
      <c r="K58" s="235" t="str">
        <f>'テンプレート'!K72</f>
        <v>ベクトル</v>
      </c>
      <c r="L58" s="235" t="str">
        <f>'テンプレート'!L72</f>
        <v>KBG (R.E.)</v>
      </c>
      <c r="M58" s="235" t="str">
        <f>'テンプレート'!M72</f>
        <v>BKB (R.A.)</v>
      </c>
      <c r="N58" s="235" t="str">
        <f>'テンプレート'!N72</f>
        <v>FKB (R.F.)</v>
      </c>
      <c r="O58" s="236" t="str">
        <f>'テンプレート'!O72</f>
        <v>盾削り値</v>
      </c>
      <c r="P58" s="235" t="str">
        <f>'テンプレート'!P72</f>
        <v>ﾋｯﾄｽﾄｯﾌﾟ</v>
      </c>
      <c r="Q58" s="236" t="str">
        <f>'テンプレート'!Q72</f>
        <v>ずらし</v>
      </c>
      <c r="R58" s="235" t="str">
        <f>'テンプレート'!R72</f>
        <v>相殺</v>
      </c>
      <c r="S58" s="236" t="str">
        <f>'テンプレート'!S72</f>
        <v>相殺ﾓｰｼｮﾝ</v>
      </c>
      <c r="T58" s="236" t="str">
        <f>'テンプレート'!T72</f>
        <v>飛び道具</v>
      </c>
      <c r="U58" s="236" t="str">
        <f>'テンプレート'!U72</f>
        <v>慣性反転</v>
      </c>
      <c r="V58" s="236" t="str">
        <f>'テンプレート'!V72</f>
        <v>向き反転</v>
      </c>
    </row>
    <row r="59" outlineLevel="1">
      <c r="A59" s="237" t="s">
        <v>184</v>
      </c>
      <c r="B59" s="243" t="s">
        <v>1089</v>
      </c>
      <c r="C59" s="239" t="s">
        <v>1126</v>
      </c>
      <c r="D59" s="239" t="s">
        <v>462</v>
      </c>
      <c r="E59" s="239" t="s">
        <v>93</v>
      </c>
      <c r="F59" s="138">
        <f t="shared" ref="F59:F60" si="1">IFERROR(IFS(E59="-","-",LEN(E59)-LEN(SUBSTITUTE(E59,"/",""))=0,MULTIPLY(E59,1.2),LEN(E59)-LEN(SUBSTITUTE(E59,"/",""))=1,MULTIPLY(LEFT(E59,FIND("/",E59)-1),1.2)&amp;"/"&amp;MULTIPLY(MID(E59,FIND("/",E59)+1,10),1.2),LEN(E59)-LEN(SUBSTITUTE(E59,"/",""))=2,MULTIPLY(LEFT(E59,FIND("!",SUBSTITUTE(E59,"/","!",1))-1),1.2)&amp;"/"&amp;MULTIPLY(MID(E59,FIND("!",SUBSTITUTE(E59,"/","!",1))+1,FIND("!",SUBSTITUTE(E59,"/","!",2))-FIND("!",SUBSTITUTE(E59,"/","!",1))-1),1.2)&amp;"/"&amp;MULTIPLY(RIGHT(E59,LEN(E59)-FIND("!",SUBSTITUTE(E59,"/","!",2))),1.2),LEN(E59)-LEN(SUBSTITUTE(E59,"/",""))=3,MULTIPLY(LEFT(E59,FIND("!",SUBSTITUTE(E59,"/","!",1))-1),1.2)&amp;"/"&amp;MULTIPLY(MID(E59,FIND("!",SUBSTITUTE(E59,"/","!",1))+1,FIND("!",SUBSTITUTE(E59,"/","!",2))-FIND("!",SUBSTITUTE(E59,"/","!",1))-1),1.2)&amp;"/"&amp;MULTIPLY(MID(E59,FIND("!",SUBSTITUTE(E59,"/","!",2))+1,FIND("!",SUBSTITUTE(E59,"/","!",3))-FIND("!",SUBSTITUTE(E59,"/","!",2))-1),1.2)&amp;"/"&amp;MULTIPLY(RIGHT(E59,LEN(E59)-FIND("!",SUBSTITUTE(E59,"/","!",3))),1.2),LEN(E59)-LEN(SUBSTITUTE(E59,"/",""))=4,MULTIPLY(LEFT(E59,FIND("!",SUBSTITUTE(E59,"/","!",1))-1),1.2)&amp;"/"&amp;MULTIPLY(MID(E59,FIND("!",SUBSTITUTE(E59,"/","!",1))+1,FIND("!",SUBSTITUTE(E59,"/","!",2))-FIND("!",SUBSTITUTE(E59,"/","!",1))-1),1.2)&amp;"/"&amp;MULTIPLY(MID(E59,FIND("!",SUBSTITUTE(E59,"/","!",2))+1,FIND("!",SUBSTITUTE(E59,"/","!",3))-FIND("!",SUBSTITUTE(E59,"/","!",2))-1),1.2)&amp;"/"&amp;MULTIPLY(MID(E59,FIND("!",SUBSTITUTE(E59,"/","!",3))+1,FIND("!",SUBSTITUTE(E59,"/","!",4))-FIND("!",SUBSTITUTE(E59,"/","!",3))-1),1.2)&amp;"/"&amp;MULTIPLY(RIGHT(E59,LEN(E59)-FIND("!",SUBSTITUTE(E59,"/","!",4))),1.2)),"")</f>
        <v>8.4</v>
      </c>
      <c r="G59" s="162" t="s">
        <v>147</v>
      </c>
      <c r="H59" s="163" t="s">
        <v>2826</v>
      </c>
      <c r="I59" s="164"/>
      <c r="J59" s="104"/>
      <c r="K59" s="282"/>
      <c r="L59" s="282"/>
      <c r="M59" s="363"/>
      <c r="N59" s="363"/>
      <c r="O59" s="138">
        <v>0.0</v>
      </c>
      <c r="P59" s="138">
        <v>1.0</v>
      </c>
      <c r="Q59" s="138">
        <v>1.0</v>
      </c>
      <c r="R59" s="145" t="b">
        <v>1</v>
      </c>
      <c r="S59" s="145" t="b">
        <v>1</v>
      </c>
      <c r="T59" s="145"/>
      <c r="U59" s="166" t="b">
        <v>0</v>
      </c>
      <c r="V59" s="166" t="b">
        <v>1</v>
      </c>
    </row>
    <row r="60" outlineLevel="1">
      <c r="A60" s="146"/>
      <c r="B60" s="663" t="s">
        <v>1499</v>
      </c>
      <c r="C60" s="239" t="s">
        <v>2827</v>
      </c>
      <c r="D60" s="239" t="s">
        <v>2828</v>
      </c>
      <c r="E60" s="239" t="s">
        <v>718</v>
      </c>
      <c r="F60" s="138">
        <f t="shared" si="1"/>
        <v>24</v>
      </c>
      <c r="G60" s="162" t="s">
        <v>121</v>
      </c>
      <c r="H60" s="212"/>
      <c r="J60" s="210"/>
      <c r="K60" s="282"/>
      <c r="L60" s="282"/>
      <c r="M60" s="363"/>
      <c r="N60" s="363"/>
      <c r="O60" s="138">
        <v>0.0</v>
      </c>
      <c r="P60" s="138">
        <v>1.0</v>
      </c>
      <c r="Q60" s="138">
        <v>1.0</v>
      </c>
      <c r="R60" s="145" t="b">
        <v>1</v>
      </c>
      <c r="S60" s="145" t="b">
        <v>1</v>
      </c>
      <c r="T60" s="145"/>
      <c r="U60" s="146"/>
      <c r="V60" s="146"/>
    </row>
    <row r="61" outlineLevel="1">
      <c r="A61" s="146"/>
      <c r="B61" s="663" t="s">
        <v>2601</v>
      </c>
      <c r="C61" s="553"/>
      <c r="D61" s="239" t="s">
        <v>876</v>
      </c>
      <c r="E61" s="553"/>
      <c r="F61" s="553"/>
      <c r="G61" s="553"/>
      <c r="H61" s="212"/>
      <c r="J61" s="210"/>
      <c r="K61" s="261"/>
      <c r="L61" s="261"/>
      <c r="M61" s="261"/>
      <c r="N61" s="261"/>
      <c r="O61" s="261"/>
      <c r="P61" s="261"/>
      <c r="Q61" s="261"/>
      <c r="R61" s="261"/>
      <c r="S61" s="261"/>
      <c r="T61" s="261"/>
      <c r="U61" s="146"/>
      <c r="V61" s="146"/>
    </row>
    <row r="62" outlineLevel="1">
      <c r="A62" s="146"/>
      <c r="B62" s="663" t="s">
        <v>2829</v>
      </c>
      <c r="C62" s="553"/>
      <c r="D62" s="239" t="s">
        <v>146</v>
      </c>
      <c r="E62" s="553"/>
      <c r="F62" s="553"/>
      <c r="G62" s="553"/>
      <c r="H62" s="212"/>
      <c r="J62" s="210"/>
      <c r="K62" s="261"/>
      <c r="L62" s="261"/>
      <c r="M62" s="261"/>
      <c r="N62" s="261"/>
      <c r="O62" s="261"/>
      <c r="P62" s="261"/>
      <c r="Q62" s="261"/>
      <c r="R62" s="261"/>
      <c r="S62" s="261"/>
      <c r="T62" s="261"/>
      <c r="U62" s="146"/>
      <c r="V62" s="146"/>
    </row>
    <row r="63" outlineLevel="1">
      <c r="A63" s="146"/>
      <c r="B63" s="663" t="s">
        <v>174</v>
      </c>
      <c r="C63" s="553"/>
      <c r="D63" s="239" t="s">
        <v>271</v>
      </c>
      <c r="E63" s="553"/>
      <c r="F63" s="553"/>
      <c r="G63" s="553"/>
      <c r="H63" s="106"/>
      <c r="I63" s="168"/>
      <c r="J63" s="107"/>
      <c r="K63" s="261"/>
      <c r="L63" s="261"/>
      <c r="M63" s="261"/>
      <c r="N63" s="261"/>
      <c r="O63" s="261"/>
      <c r="P63" s="261"/>
      <c r="Q63" s="261"/>
      <c r="R63" s="261"/>
      <c r="S63" s="261"/>
      <c r="T63" s="261"/>
      <c r="U63" s="156"/>
      <c r="V63" s="156"/>
    </row>
    <row r="64" outlineLevel="1">
      <c r="A64" s="230" t="str">
        <f>"横B ("&amp;VLOOKUP($A$1,Fighters!$A$2:$AI$81,16,FALSE)&amp;")"</f>
        <v>横B (スピンダッシュ)</v>
      </c>
      <c r="B64" s="109"/>
      <c r="C64" s="231" t="str">
        <f>'テンプレート'!C75</f>
        <v>判定持続</v>
      </c>
      <c r="D64" s="231" t="str">
        <f>'テンプレート'!D75</f>
        <v>全体フレーム</v>
      </c>
      <c r="E64" s="232" t="str">
        <f>'テンプレート'!E75</f>
        <v>基礎ダメージ</v>
      </c>
      <c r="F64" s="233" t="str">
        <f>'テンプレート'!F75</f>
        <v>ダメージ (1v1)</v>
      </c>
      <c r="G64" s="232" t="str">
        <f>'テンプレート'!G75</f>
        <v>ガード硬直</v>
      </c>
      <c r="H64" s="382" t="str">
        <f>'テンプレート'!H75</f>
        <v>備考</v>
      </c>
      <c r="I64" s="110"/>
      <c r="J64" s="109"/>
      <c r="K64" s="235" t="str">
        <f>'テンプレート'!K75</f>
        <v>ベクトル</v>
      </c>
      <c r="L64" s="235" t="str">
        <f>'テンプレート'!L75</f>
        <v>KBG (R.E.)</v>
      </c>
      <c r="M64" s="235" t="str">
        <f>'テンプレート'!M75</f>
        <v>BKB (R.A.)</v>
      </c>
      <c r="N64" s="235" t="str">
        <f>'テンプレート'!N75</f>
        <v>FKB (R.F.)</v>
      </c>
      <c r="O64" s="236" t="str">
        <f>'テンプレート'!O75</f>
        <v>盾削り値</v>
      </c>
      <c r="P64" s="235" t="str">
        <f>'テンプレート'!P75</f>
        <v>ﾋｯﾄｽﾄｯﾌﾟ</v>
      </c>
      <c r="Q64" s="236" t="str">
        <f>'テンプレート'!Q75</f>
        <v>ずらし</v>
      </c>
      <c r="R64" s="235" t="str">
        <f>'テンプレート'!R75</f>
        <v>相殺</v>
      </c>
      <c r="S64" s="236" t="str">
        <f>'テンプレート'!S75</f>
        <v>相殺ﾓｰｼｮﾝ</v>
      </c>
      <c r="T64" s="236" t="str">
        <f>'テンプレート'!T75</f>
        <v>飛び道具</v>
      </c>
      <c r="U64" s="236" t="str">
        <f>'テンプレート'!U75</f>
        <v>慣性反転</v>
      </c>
      <c r="V64" s="236" t="str">
        <f>'テンプレート'!V75</f>
        <v>向き反転</v>
      </c>
    </row>
    <row r="65" outlineLevel="1">
      <c r="A65" s="237" t="s">
        <v>184</v>
      </c>
      <c r="B65" s="243" t="s">
        <v>2830</v>
      </c>
      <c r="C65" s="244" t="s">
        <v>2831</v>
      </c>
      <c r="D65" s="409"/>
      <c r="E65" s="239" t="s">
        <v>150</v>
      </c>
      <c r="F65" s="138">
        <f>IFERROR(IFS(E65="-","-",LEN(E65)-LEN(SUBSTITUTE(E65,"/",""))=0,MULTIPLY(E65,1.2),LEN(E65)-LEN(SUBSTITUTE(E65,"/",""))=1,MULTIPLY(LEFT(E65,FIND("/",E65)-1),1.2)&amp;"/"&amp;MULTIPLY(MID(E65,FIND("/",E65)+1,10),1.2),LEN(E65)-LEN(SUBSTITUTE(E65,"/",""))=2,MULTIPLY(LEFT(E65,FIND("!",SUBSTITUTE(E65,"/","!",1))-1),1.2)&amp;"/"&amp;MULTIPLY(MID(E65,FIND("!",SUBSTITUTE(E65,"/","!",1))+1,FIND("!",SUBSTITUTE(E65,"/","!",2))-FIND("!",SUBSTITUTE(E65,"/","!",1))-1),1.2)&amp;"/"&amp;MULTIPLY(RIGHT(E65,LEN(E65)-FIND("!",SUBSTITUTE(E65,"/","!",2))),1.2),LEN(E65)-LEN(SUBSTITUTE(E65,"/",""))=3,MULTIPLY(LEFT(E65,FIND("!",SUBSTITUTE(E65,"/","!",1))-1),1.2)&amp;"/"&amp;MULTIPLY(MID(E65,FIND("!",SUBSTITUTE(E65,"/","!",1))+1,FIND("!",SUBSTITUTE(E65,"/","!",2))-FIND("!",SUBSTITUTE(E65,"/","!",1))-1),1.2)&amp;"/"&amp;MULTIPLY(MID(E65,FIND("!",SUBSTITUTE(E65,"/","!",2))+1,FIND("!",SUBSTITUTE(E65,"/","!",3))-FIND("!",SUBSTITUTE(E65,"/","!",2))-1),1.2)&amp;"/"&amp;MULTIPLY(RIGHT(E65,LEN(E65)-FIND("!",SUBSTITUTE(E65,"/","!",3))),1.2),LEN(E65)-LEN(SUBSTITUTE(E65,"/",""))=4,MULTIPLY(LEFT(E65,FIND("!",SUBSTITUTE(E65,"/","!",1))-1),1.2)&amp;"/"&amp;MULTIPLY(MID(E65,FIND("!",SUBSTITUTE(E65,"/","!",1))+1,FIND("!",SUBSTITUTE(E65,"/","!",2))-FIND("!",SUBSTITUTE(E65,"/","!",1))-1),1.2)&amp;"/"&amp;MULTIPLY(MID(E65,FIND("!",SUBSTITUTE(E65,"/","!",2))+1,FIND("!",SUBSTITUTE(E65,"/","!",3))-FIND("!",SUBSTITUTE(E65,"/","!",2))-1),1.2)&amp;"/"&amp;MULTIPLY(MID(E65,FIND("!",SUBSTITUTE(E65,"/","!",3))+1,FIND("!",SUBSTITUTE(E65,"/","!",4))-FIND("!",SUBSTITUTE(E65,"/","!",3))-1),1.2)&amp;"/"&amp;MULTIPLY(RIGHT(E65,LEN(E65)-FIND("!",SUBSTITUTE(E65,"/","!",4))),1.2)),"")</f>
        <v>6</v>
      </c>
      <c r="G65" s="139" t="s">
        <v>102</v>
      </c>
      <c r="H65" s="163" t="s">
        <v>2832</v>
      </c>
      <c r="I65" s="164"/>
      <c r="J65" s="104"/>
      <c r="K65" s="282"/>
      <c r="L65" s="282"/>
      <c r="M65" s="363"/>
      <c r="N65" s="363"/>
      <c r="O65" s="138">
        <v>0.0</v>
      </c>
      <c r="P65" s="138">
        <v>1.0</v>
      </c>
      <c r="Q65" s="138">
        <v>1.0</v>
      </c>
      <c r="R65" s="145" t="b">
        <v>1</v>
      </c>
      <c r="S65" s="145" t="b">
        <v>1</v>
      </c>
      <c r="T65" s="145"/>
      <c r="U65" s="166" t="s">
        <v>2424</v>
      </c>
      <c r="V65" s="166" t="b">
        <v>1</v>
      </c>
    </row>
    <row r="66" outlineLevel="1">
      <c r="A66" s="146"/>
      <c r="B66" s="243" t="s">
        <v>2833</v>
      </c>
      <c r="C66" s="244" t="s">
        <v>2485</v>
      </c>
      <c r="D66" s="1867"/>
      <c r="E66" s="239" t="s">
        <v>2834</v>
      </c>
      <c r="F66" s="138" t="s">
        <v>2835</v>
      </c>
      <c r="G66" s="239" t="s">
        <v>2836</v>
      </c>
      <c r="H66" s="212"/>
      <c r="J66" s="210"/>
      <c r="K66" s="138"/>
      <c r="L66" s="138"/>
      <c r="M66" s="145"/>
      <c r="N66" s="145"/>
      <c r="O66" s="138">
        <v>0.0</v>
      </c>
      <c r="P66" s="138">
        <v>1.0</v>
      </c>
      <c r="Q66" s="138">
        <v>1.0</v>
      </c>
      <c r="R66" s="145" t="b">
        <v>1</v>
      </c>
      <c r="S66" s="145" t="b">
        <v>1</v>
      </c>
      <c r="T66" s="145"/>
      <c r="U66" s="146"/>
      <c r="V66" s="146"/>
    </row>
    <row r="67" outlineLevel="1">
      <c r="A67" s="146"/>
      <c r="B67" s="243" t="s">
        <v>2837</v>
      </c>
      <c r="C67" s="244" t="s">
        <v>2485</v>
      </c>
      <c r="D67" s="1867"/>
      <c r="E67" s="239" t="s">
        <v>2838</v>
      </c>
      <c r="F67" s="138" t="s">
        <v>2839</v>
      </c>
      <c r="G67" s="239" t="s">
        <v>2836</v>
      </c>
      <c r="H67" s="212"/>
      <c r="J67" s="210"/>
      <c r="K67" s="138"/>
      <c r="L67" s="138"/>
      <c r="M67" s="145"/>
      <c r="N67" s="145"/>
      <c r="O67" s="138"/>
      <c r="P67" s="138"/>
      <c r="Q67" s="138"/>
      <c r="R67" s="145" t="b">
        <v>0</v>
      </c>
      <c r="S67" s="145" t="b">
        <v>0</v>
      </c>
      <c r="T67" s="145" t="b">
        <v>0</v>
      </c>
      <c r="U67" s="146"/>
      <c r="V67" s="146"/>
    </row>
    <row r="68" outlineLevel="1">
      <c r="A68" s="146"/>
      <c r="B68" s="243" t="s">
        <v>2840</v>
      </c>
      <c r="C68" s="1867"/>
      <c r="D68" s="1867"/>
      <c r="E68" s="239" t="s">
        <v>73</v>
      </c>
      <c r="F68" s="138">
        <v>4.8</v>
      </c>
      <c r="G68" s="139" t="s">
        <v>75</v>
      </c>
      <c r="H68" s="212"/>
      <c r="J68" s="210"/>
      <c r="K68" s="138"/>
      <c r="L68" s="138"/>
      <c r="M68" s="145"/>
      <c r="N68" s="145"/>
      <c r="O68" s="138"/>
      <c r="P68" s="138"/>
      <c r="Q68" s="138"/>
      <c r="R68" s="145" t="b">
        <v>0</v>
      </c>
      <c r="S68" s="145" t="b">
        <v>0</v>
      </c>
      <c r="T68" s="145" t="b">
        <v>0</v>
      </c>
      <c r="U68" s="146"/>
      <c r="V68" s="146"/>
    </row>
    <row r="69" outlineLevel="1">
      <c r="A69" s="146"/>
      <c r="B69" s="243" t="s">
        <v>242</v>
      </c>
      <c r="C69" s="244" t="s">
        <v>1624</v>
      </c>
      <c r="D69" s="467" t="s">
        <v>424</v>
      </c>
      <c r="E69" s="239" t="s">
        <v>204</v>
      </c>
      <c r="F69" s="138">
        <f>IFERROR(IFS(E69="-","-",LEN(E69)-LEN(SUBSTITUTE(E69,"/",""))=0,MULTIPLY(E69,1.2),LEN(E69)-LEN(SUBSTITUTE(E69,"/",""))=1,MULTIPLY(LEFT(E69,FIND("/",E69)-1),1.2)&amp;"/"&amp;MULTIPLY(MID(E69,FIND("/",E69)+1,10),1.2),LEN(E69)-LEN(SUBSTITUTE(E69,"/",""))=2,MULTIPLY(LEFT(E69,FIND("!",SUBSTITUTE(E69,"/","!",1))-1),1.2)&amp;"/"&amp;MULTIPLY(MID(E69,FIND("!",SUBSTITUTE(E69,"/","!",1))+1,FIND("!",SUBSTITUTE(E69,"/","!",2))-FIND("!",SUBSTITUTE(E69,"/","!",1))-1),1.2)&amp;"/"&amp;MULTIPLY(RIGHT(E69,LEN(E69)-FIND("!",SUBSTITUTE(E69,"/","!",2))),1.2),LEN(E69)-LEN(SUBSTITUTE(E69,"/",""))=3,MULTIPLY(LEFT(E69,FIND("!",SUBSTITUTE(E69,"/","!",1))-1),1.2)&amp;"/"&amp;MULTIPLY(MID(E69,FIND("!",SUBSTITUTE(E69,"/","!",1))+1,FIND("!",SUBSTITUTE(E69,"/","!",2))-FIND("!",SUBSTITUTE(E69,"/","!",1))-1),1.2)&amp;"/"&amp;MULTIPLY(MID(E69,FIND("!",SUBSTITUTE(E69,"/","!",2))+1,FIND("!",SUBSTITUTE(E69,"/","!",3))-FIND("!",SUBSTITUTE(E69,"/","!",2))-1),1.2)&amp;"/"&amp;MULTIPLY(RIGHT(E69,LEN(E69)-FIND("!",SUBSTITUTE(E69,"/","!",3))),1.2),LEN(E69)-LEN(SUBSTITUTE(E69,"/",""))=4,MULTIPLY(LEFT(E69,FIND("!",SUBSTITUTE(E69,"/","!",1))-1),1.2)&amp;"/"&amp;MULTIPLY(MID(E69,FIND("!",SUBSTITUTE(E69,"/","!",1))+1,FIND("!",SUBSTITUTE(E69,"/","!",2))-FIND("!",SUBSTITUTE(E69,"/","!",1))-1),1.2)&amp;"/"&amp;MULTIPLY(MID(E69,FIND("!",SUBSTITUTE(E69,"/","!",2))+1,FIND("!",SUBSTITUTE(E69,"/","!",3))-FIND("!",SUBSTITUTE(E69,"/","!",2))-1),1.2)&amp;"/"&amp;MULTIPLY(MID(E69,FIND("!",SUBSTITUTE(E69,"/","!",3))+1,FIND("!",SUBSTITUTE(E69,"/","!",4))-FIND("!",SUBSTITUTE(E69,"/","!",3))-1),1.2)&amp;"/"&amp;MULTIPLY(RIGHT(E69,LEN(E69)-FIND("!",SUBSTITUTE(E69,"/","!",4))),1.2)),"")</f>
        <v>3.6</v>
      </c>
      <c r="G69" s="139" t="s">
        <v>147</v>
      </c>
      <c r="H69" s="212"/>
      <c r="J69" s="210"/>
      <c r="K69" s="138"/>
      <c r="L69" s="138"/>
      <c r="M69" s="145"/>
      <c r="N69" s="145"/>
      <c r="O69" s="138">
        <v>0.0</v>
      </c>
      <c r="P69" s="138">
        <v>1.0</v>
      </c>
      <c r="Q69" s="138">
        <v>1.0</v>
      </c>
      <c r="R69" s="145" t="b">
        <v>1</v>
      </c>
      <c r="S69" s="145" t="b">
        <v>1</v>
      </c>
      <c r="T69" s="145"/>
      <c r="U69" s="146"/>
      <c r="V69" s="146"/>
    </row>
    <row r="70" outlineLevel="1">
      <c r="A70" s="146"/>
      <c r="B70" s="243" t="s">
        <v>2410</v>
      </c>
      <c r="C70" s="553"/>
      <c r="D70" s="467" t="s">
        <v>193</v>
      </c>
      <c r="E70" s="553"/>
      <c r="F70" s="553"/>
      <c r="G70" s="553"/>
      <c r="H70" s="212"/>
      <c r="J70" s="210"/>
      <c r="K70" s="138"/>
      <c r="L70" s="138"/>
      <c r="M70" s="145"/>
      <c r="N70" s="145"/>
      <c r="O70" s="138">
        <v>0.0</v>
      </c>
      <c r="P70" s="138">
        <v>1.0</v>
      </c>
      <c r="Q70" s="138">
        <v>1.0</v>
      </c>
      <c r="R70" s="145" t="b">
        <v>1</v>
      </c>
      <c r="S70" s="145" t="b">
        <v>1</v>
      </c>
      <c r="T70" s="145"/>
      <c r="U70" s="146"/>
      <c r="V70" s="146"/>
    </row>
    <row r="71" outlineLevel="1">
      <c r="A71" s="146"/>
      <c r="B71" s="243" t="s">
        <v>2841</v>
      </c>
      <c r="C71" s="553"/>
      <c r="D71" s="467" t="s">
        <v>271</v>
      </c>
      <c r="E71" s="553"/>
      <c r="F71" s="553"/>
      <c r="G71" s="553"/>
      <c r="H71" s="212"/>
      <c r="J71" s="210"/>
      <c r="K71" s="261"/>
      <c r="L71" s="261"/>
      <c r="M71" s="261"/>
      <c r="N71" s="261"/>
      <c r="O71" s="261"/>
      <c r="P71" s="261"/>
      <c r="Q71" s="261"/>
      <c r="R71" s="261"/>
      <c r="S71" s="261"/>
      <c r="T71" s="261"/>
      <c r="U71" s="146"/>
      <c r="V71" s="146"/>
    </row>
    <row r="72" outlineLevel="1">
      <c r="A72" s="146"/>
      <c r="B72" s="243" t="s">
        <v>2842</v>
      </c>
      <c r="C72" s="553"/>
      <c r="D72" s="467" t="s">
        <v>268</v>
      </c>
      <c r="E72" s="553"/>
      <c r="F72" s="553"/>
      <c r="G72" s="553"/>
      <c r="H72" s="212"/>
      <c r="J72" s="210"/>
      <c r="K72" s="261"/>
      <c r="L72" s="261"/>
      <c r="M72" s="261"/>
      <c r="N72" s="261"/>
      <c r="O72" s="261"/>
      <c r="P72" s="261"/>
      <c r="Q72" s="261"/>
      <c r="R72" s="261"/>
      <c r="S72" s="261"/>
      <c r="T72" s="261"/>
      <c r="U72" s="146"/>
      <c r="V72" s="146"/>
    </row>
    <row r="73" outlineLevel="1">
      <c r="A73" s="146"/>
      <c r="B73" s="243" t="s">
        <v>2843</v>
      </c>
      <c r="C73" s="553"/>
      <c r="D73" s="467" t="s">
        <v>634</v>
      </c>
      <c r="E73" s="553"/>
      <c r="F73" s="553"/>
      <c r="G73" s="553"/>
      <c r="H73" s="106"/>
      <c r="I73" s="168"/>
      <c r="J73" s="107"/>
      <c r="K73" s="261"/>
      <c r="L73" s="261"/>
      <c r="M73" s="261"/>
      <c r="N73" s="261"/>
      <c r="O73" s="261"/>
      <c r="P73" s="261"/>
      <c r="Q73" s="261"/>
      <c r="R73" s="261"/>
      <c r="S73" s="261"/>
      <c r="T73" s="261"/>
      <c r="U73" s="156"/>
      <c r="V73" s="156"/>
    </row>
    <row r="74" outlineLevel="1">
      <c r="A74" s="230" t="str">
        <f>"上B ("&amp;VLOOKUP($A$1,Fighters!$A$2:$AI$81,17,FALSE)&amp;")"</f>
        <v>上B (スプリングジャンプ)</v>
      </c>
      <c r="B74" s="109"/>
      <c r="C74" s="231" t="str">
        <f>'テンプレート'!C80</f>
        <v>判定持続</v>
      </c>
      <c r="D74" s="231" t="str">
        <f>'テンプレート'!D80</f>
        <v>全体フレーム</v>
      </c>
      <c r="E74" s="232" t="str">
        <f>'テンプレート'!E80</f>
        <v>基礎ダメージ</v>
      </c>
      <c r="F74" s="233" t="str">
        <f>'テンプレート'!F80</f>
        <v>ダメージ (1v1)</v>
      </c>
      <c r="G74" s="232" t="str">
        <f>'テンプレート'!G80</f>
        <v>ガード硬直</v>
      </c>
      <c r="H74" s="382" t="str">
        <f>'テンプレート'!H80</f>
        <v>備考</v>
      </c>
      <c r="I74" s="110"/>
      <c r="J74" s="109"/>
      <c r="K74" s="235" t="str">
        <f>'テンプレート'!K80</f>
        <v>ベクトル</v>
      </c>
      <c r="L74" s="235" t="str">
        <f>'テンプレート'!L80</f>
        <v>KBG (R.E.)</v>
      </c>
      <c r="M74" s="235" t="str">
        <f>'テンプレート'!M80</f>
        <v>BKB (R.A.)</v>
      </c>
      <c r="N74" s="235" t="str">
        <f>'テンプレート'!N80</f>
        <v>FKB (R.F.)</v>
      </c>
      <c r="O74" s="236" t="str">
        <f>'テンプレート'!O80</f>
        <v>盾削り値</v>
      </c>
      <c r="P74" s="235" t="str">
        <f>'テンプレート'!P80</f>
        <v>ﾋｯﾄｽﾄｯﾌﾟ</v>
      </c>
      <c r="Q74" s="236" t="str">
        <f>'テンプレート'!Q80</f>
        <v>ずらし</v>
      </c>
      <c r="R74" s="235" t="str">
        <f>'テンプレート'!R80</f>
        <v>相殺</v>
      </c>
      <c r="S74" s="236" t="str">
        <f>'テンプレート'!S80</f>
        <v>相殺ﾓｰｼｮﾝ</v>
      </c>
      <c r="T74" s="236" t="str">
        <f>'テンプレート'!T80</f>
        <v>飛び道具</v>
      </c>
      <c r="U74" s="236" t="str">
        <f>'テンプレート'!U80</f>
        <v>慣性反転</v>
      </c>
      <c r="V74" s="236" t="str">
        <f>'テンプレート'!V80</f>
        <v>向き反転</v>
      </c>
    </row>
    <row r="75" outlineLevel="1">
      <c r="A75" s="1202" t="s">
        <v>184</v>
      </c>
      <c r="B75" s="870"/>
      <c r="C75" s="239" t="s">
        <v>2844</v>
      </c>
      <c r="D75" s="239" t="s">
        <v>466</v>
      </c>
      <c r="E75" s="239" t="s">
        <v>73</v>
      </c>
      <c r="F75" s="138">
        <f>IFERROR(IFS(E75="-","-",LEN(E75)-LEN(SUBSTITUTE(E75,"/",""))=0,MULTIPLY(E75,1.2),LEN(E75)-LEN(SUBSTITUTE(E75,"/",""))=1,MULTIPLY(LEFT(E75,FIND("/",E75)-1),1.2)&amp;"/"&amp;MULTIPLY(MID(E75,FIND("/",E75)+1,10),1.2),LEN(E75)-LEN(SUBSTITUTE(E75,"/",""))=2,MULTIPLY(LEFT(E75,FIND("!",SUBSTITUTE(E75,"/","!",1))-1),1.2)&amp;"/"&amp;MULTIPLY(MID(E75,FIND("!",SUBSTITUTE(E75,"/","!",1))+1,FIND("!",SUBSTITUTE(E75,"/","!",2))-FIND("!",SUBSTITUTE(E75,"/","!",1))-1),1.2)&amp;"/"&amp;MULTIPLY(RIGHT(E75,LEN(E75)-FIND("!",SUBSTITUTE(E75,"/","!",2))),1.2),LEN(E75)-LEN(SUBSTITUTE(E75,"/",""))=3,MULTIPLY(LEFT(E75,FIND("!",SUBSTITUTE(E75,"/","!",1))-1),1.2)&amp;"/"&amp;MULTIPLY(MID(E75,FIND("!",SUBSTITUTE(E75,"/","!",1))+1,FIND("!",SUBSTITUTE(E75,"/","!",2))-FIND("!",SUBSTITUTE(E75,"/","!",1))-1),1.2)&amp;"/"&amp;MULTIPLY(MID(E75,FIND("!",SUBSTITUTE(E75,"/","!",2))+1,FIND("!",SUBSTITUTE(E75,"/","!",3))-FIND("!",SUBSTITUTE(E75,"/","!",2))-1),1.2)&amp;"/"&amp;MULTIPLY(RIGHT(E75,LEN(E75)-FIND("!",SUBSTITUTE(E75,"/","!",3))),1.2),LEN(E75)-LEN(SUBSTITUTE(E75,"/",""))=4,MULTIPLY(LEFT(E75,FIND("!",SUBSTITUTE(E75,"/","!",1))-1),1.2)&amp;"/"&amp;MULTIPLY(MID(E75,FIND("!",SUBSTITUTE(E75,"/","!",1))+1,FIND("!",SUBSTITUTE(E75,"/","!",2))-FIND("!",SUBSTITUTE(E75,"/","!",1))-1),1.2)&amp;"/"&amp;MULTIPLY(MID(E75,FIND("!",SUBSTITUTE(E75,"/","!",2))+1,FIND("!",SUBSTITUTE(E75,"/","!",3))-FIND("!",SUBSTITUTE(E75,"/","!",2))-1),1.2)&amp;"/"&amp;MULTIPLY(MID(E75,FIND("!",SUBSTITUTE(E75,"/","!",3))+1,FIND("!",SUBSTITUTE(E75,"/","!",4))-FIND("!",SUBSTITUTE(E75,"/","!",3))-1),1.2)&amp;"/"&amp;MULTIPLY(RIGHT(E75,LEN(E75)-FIND("!",SUBSTITUTE(E75,"/","!",4))),1.2)),"")</f>
        <v>4.8</v>
      </c>
      <c r="G75" s="139" t="s">
        <v>170</v>
      </c>
      <c r="H75" s="151" t="s">
        <v>2845</v>
      </c>
      <c r="I75" s="110"/>
      <c r="J75" s="109"/>
      <c r="K75" s="138"/>
      <c r="L75" s="138"/>
      <c r="M75" s="145"/>
      <c r="N75" s="145"/>
      <c r="O75" s="138">
        <v>0.0</v>
      </c>
      <c r="P75" s="138">
        <v>1.0</v>
      </c>
      <c r="Q75" s="138">
        <v>1.0</v>
      </c>
      <c r="R75" s="145" t="b">
        <v>1</v>
      </c>
      <c r="S75" s="145" t="b">
        <v>0</v>
      </c>
      <c r="T75" s="145" t="b">
        <v>1</v>
      </c>
      <c r="U75" s="145" t="b">
        <v>0</v>
      </c>
      <c r="V75" s="145" t="b">
        <v>1</v>
      </c>
    </row>
    <row r="76" outlineLevel="1">
      <c r="A76" s="230" t="str">
        <f>"下B ("&amp;VLOOKUP($A$1,Fighters!$A$2:$AI$81,18,FALSE)&amp;")"</f>
        <v>下B (スピンチャージ)</v>
      </c>
      <c r="B76" s="109"/>
      <c r="C76" s="231" t="str">
        <f>'テンプレート'!C85</f>
        <v>判定持続</v>
      </c>
      <c r="D76" s="231" t="str">
        <f>'テンプレート'!D85</f>
        <v>全体フレーム</v>
      </c>
      <c r="E76" s="232" t="str">
        <f>'テンプレート'!E85</f>
        <v>基礎ダメージ</v>
      </c>
      <c r="F76" s="233" t="str">
        <f>'テンプレート'!F85</f>
        <v>ダメージ (1v1)</v>
      </c>
      <c r="G76" s="232" t="str">
        <f>'テンプレート'!G85</f>
        <v>ガード硬直</v>
      </c>
      <c r="H76" s="382" t="str">
        <f>'テンプレート'!H85</f>
        <v>備考</v>
      </c>
      <c r="I76" s="110"/>
      <c r="J76" s="109"/>
      <c r="K76" s="235" t="str">
        <f>'テンプレート'!K85</f>
        <v>ベクトル</v>
      </c>
      <c r="L76" s="235" t="str">
        <f>'テンプレート'!L85</f>
        <v>KBG (R.E.)</v>
      </c>
      <c r="M76" s="235" t="str">
        <f>'テンプレート'!M85</f>
        <v>BKB (R.A.)</v>
      </c>
      <c r="N76" s="235" t="str">
        <f>'テンプレート'!N85</f>
        <v>FKB (R.F.)</v>
      </c>
      <c r="O76" s="236" t="str">
        <f>'テンプレート'!O85</f>
        <v>盾削り値</v>
      </c>
      <c r="P76" s="235" t="str">
        <f>'テンプレート'!P85</f>
        <v>ﾋｯﾄｽﾄｯﾌﾟ</v>
      </c>
      <c r="Q76" s="236" t="str">
        <f>'テンプレート'!Q85</f>
        <v>ずらし</v>
      </c>
      <c r="R76" s="235" t="str">
        <f>'テンプレート'!R85</f>
        <v>相殺</v>
      </c>
      <c r="S76" s="236" t="str">
        <f>'テンプレート'!S85</f>
        <v>相殺ﾓｰｼｮﾝ</v>
      </c>
      <c r="T76" s="236" t="str">
        <f>'テンプレート'!T85</f>
        <v>飛び道具</v>
      </c>
      <c r="U76" s="236" t="str">
        <f>'テンプレート'!U85</f>
        <v>慣性反転</v>
      </c>
      <c r="V76" s="236" t="str">
        <f>'テンプレート'!V85</f>
        <v>向き反転</v>
      </c>
    </row>
    <row r="77" outlineLevel="1">
      <c r="A77" s="237" t="s">
        <v>184</v>
      </c>
      <c r="B77" s="243" t="s">
        <v>2833</v>
      </c>
      <c r="C77" s="244" t="s">
        <v>2846</v>
      </c>
      <c r="D77" s="409"/>
      <c r="E77" s="239" t="s">
        <v>2847</v>
      </c>
      <c r="F77" s="138" t="s">
        <v>2848</v>
      </c>
      <c r="G77" s="239" t="s">
        <v>2289</v>
      </c>
      <c r="H77" s="456" t="s">
        <v>2849</v>
      </c>
      <c r="I77" s="164"/>
      <c r="J77" s="104"/>
      <c r="K77" s="138"/>
      <c r="L77" s="138"/>
      <c r="M77" s="145"/>
      <c r="N77" s="145"/>
      <c r="O77" s="138">
        <v>0.0</v>
      </c>
      <c r="P77" s="138">
        <v>1.0</v>
      </c>
      <c r="Q77" s="138">
        <v>1.0</v>
      </c>
      <c r="R77" s="145" t="b">
        <v>1</v>
      </c>
      <c r="S77" s="145" t="b">
        <v>1</v>
      </c>
      <c r="T77" s="145"/>
      <c r="U77" s="166" t="b">
        <v>0</v>
      </c>
      <c r="V77" s="166" t="b">
        <v>0</v>
      </c>
    </row>
    <row r="78" outlineLevel="1">
      <c r="A78" s="146"/>
      <c r="B78" s="624" t="s">
        <v>2837</v>
      </c>
      <c r="C78" s="244" t="s">
        <v>2850</v>
      </c>
      <c r="D78" s="409"/>
      <c r="E78" s="239" t="s">
        <v>2851</v>
      </c>
      <c r="F78" s="138" t="s">
        <v>2852</v>
      </c>
      <c r="G78" s="239" t="s">
        <v>2853</v>
      </c>
      <c r="H78" s="212"/>
      <c r="J78" s="210"/>
      <c r="K78" s="138"/>
      <c r="L78" s="138"/>
      <c r="M78" s="145"/>
      <c r="N78" s="145"/>
      <c r="O78" s="138"/>
      <c r="P78" s="138"/>
      <c r="Q78" s="138"/>
      <c r="R78" s="145" t="b">
        <v>0</v>
      </c>
      <c r="S78" s="145" t="b">
        <v>0</v>
      </c>
      <c r="T78" s="145" t="b">
        <v>0</v>
      </c>
      <c r="U78" s="146"/>
      <c r="V78" s="146"/>
    </row>
    <row r="79" outlineLevel="1">
      <c r="A79" s="146"/>
      <c r="B79" s="624" t="s">
        <v>2840</v>
      </c>
      <c r="C79" s="1867"/>
      <c r="D79" s="1867"/>
      <c r="E79" s="239" t="s">
        <v>73</v>
      </c>
      <c r="F79" s="138">
        <v>4.8</v>
      </c>
      <c r="G79" s="239" t="s">
        <v>75</v>
      </c>
      <c r="H79" s="212"/>
      <c r="J79" s="210"/>
      <c r="K79" s="138"/>
      <c r="L79" s="138"/>
      <c r="M79" s="145"/>
      <c r="N79" s="145"/>
      <c r="O79" s="138">
        <v>0.0</v>
      </c>
      <c r="P79" s="138">
        <v>1.0</v>
      </c>
      <c r="Q79" s="138">
        <v>1.0</v>
      </c>
      <c r="R79" s="145" t="b">
        <v>1</v>
      </c>
      <c r="S79" s="145" t="b">
        <v>1</v>
      </c>
      <c r="T79" s="145"/>
      <c r="U79" s="146"/>
      <c r="V79" s="146"/>
    </row>
    <row r="80" outlineLevel="1">
      <c r="A80" s="146"/>
      <c r="B80" s="624" t="s">
        <v>2854</v>
      </c>
      <c r="C80" s="244" t="s">
        <v>1177</v>
      </c>
      <c r="D80" s="239" t="s">
        <v>424</v>
      </c>
      <c r="E80" s="467" t="s">
        <v>86</v>
      </c>
      <c r="F80" s="138">
        <v>7.2</v>
      </c>
      <c r="G80" s="239" t="s">
        <v>102</v>
      </c>
      <c r="H80" s="212"/>
      <c r="J80" s="210"/>
      <c r="K80" s="138"/>
      <c r="L80" s="138"/>
      <c r="M80" s="145"/>
      <c r="N80" s="145"/>
      <c r="O80" s="138">
        <v>0.0</v>
      </c>
      <c r="P80" s="138">
        <v>1.0</v>
      </c>
      <c r="Q80" s="138">
        <v>1.0</v>
      </c>
      <c r="R80" s="145" t="b">
        <v>1</v>
      </c>
      <c r="S80" s="145" t="b">
        <v>1</v>
      </c>
      <c r="T80" s="145"/>
      <c r="U80" s="146"/>
      <c r="V80" s="146"/>
    </row>
    <row r="81" outlineLevel="1">
      <c r="A81" s="146"/>
      <c r="B81" s="624" t="s">
        <v>2855</v>
      </c>
      <c r="C81" s="244" t="s">
        <v>581</v>
      </c>
      <c r="D81" s="239" t="s">
        <v>424</v>
      </c>
      <c r="E81" s="239" t="s">
        <v>204</v>
      </c>
      <c r="F81" s="138">
        <v>3.6</v>
      </c>
      <c r="G81" s="239" t="s">
        <v>147</v>
      </c>
      <c r="H81" s="212"/>
      <c r="J81" s="210"/>
      <c r="K81" s="138"/>
      <c r="L81" s="138"/>
      <c r="M81" s="145"/>
      <c r="N81" s="145"/>
      <c r="O81" s="138">
        <v>0.0</v>
      </c>
      <c r="P81" s="138">
        <v>1.0</v>
      </c>
      <c r="Q81" s="138">
        <v>1.0</v>
      </c>
      <c r="R81" s="145" t="b">
        <v>1</v>
      </c>
      <c r="S81" s="145" t="b">
        <v>1</v>
      </c>
      <c r="T81" s="145"/>
      <c r="U81" s="146"/>
      <c r="V81" s="146"/>
    </row>
    <row r="82" outlineLevel="1">
      <c r="A82" s="146"/>
      <c r="B82" s="243" t="s">
        <v>2410</v>
      </c>
      <c r="C82" s="553"/>
      <c r="D82" s="467" t="s">
        <v>193</v>
      </c>
      <c r="E82" s="553"/>
      <c r="F82" s="553"/>
      <c r="G82" s="553"/>
      <c r="H82" s="212"/>
      <c r="J82" s="210"/>
      <c r="K82" s="261"/>
      <c r="L82" s="261"/>
      <c r="M82" s="261"/>
      <c r="N82" s="261"/>
      <c r="O82" s="261"/>
      <c r="P82" s="261"/>
      <c r="Q82" s="261"/>
      <c r="R82" s="261"/>
      <c r="S82" s="261"/>
      <c r="T82" s="261"/>
      <c r="U82" s="146"/>
      <c r="V82" s="146"/>
    </row>
    <row r="83" outlineLevel="1">
      <c r="A83" s="146"/>
      <c r="B83" s="243" t="s">
        <v>2841</v>
      </c>
      <c r="C83" s="553"/>
      <c r="D83" s="467" t="s">
        <v>271</v>
      </c>
      <c r="E83" s="553"/>
      <c r="F83" s="553"/>
      <c r="G83" s="553"/>
      <c r="H83" s="212"/>
      <c r="J83" s="210"/>
      <c r="K83" s="261"/>
      <c r="L83" s="261"/>
      <c r="M83" s="261"/>
      <c r="N83" s="261"/>
      <c r="O83" s="261"/>
      <c r="P83" s="261"/>
      <c r="Q83" s="261"/>
      <c r="R83" s="261"/>
      <c r="S83" s="261"/>
      <c r="T83" s="261"/>
      <c r="U83" s="146"/>
      <c r="V83" s="146"/>
    </row>
    <row r="84" outlineLevel="1">
      <c r="A84" s="146"/>
      <c r="B84" s="243" t="s">
        <v>2842</v>
      </c>
      <c r="C84" s="553"/>
      <c r="D84" s="467" t="s">
        <v>268</v>
      </c>
      <c r="E84" s="553"/>
      <c r="F84" s="553"/>
      <c r="G84" s="553"/>
      <c r="H84" s="212"/>
      <c r="J84" s="210"/>
      <c r="K84" s="261"/>
      <c r="L84" s="261"/>
      <c r="M84" s="261"/>
      <c r="N84" s="261"/>
      <c r="O84" s="261"/>
      <c r="P84" s="261"/>
      <c r="Q84" s="261"/>
      <c r="R84" s="261"/>
      <c r="S84" s="261"/>
      <c r="T84" s="261"/>
      <c r="U84" s="146"/>
      <c r="V84" s="146"/>
    </row>
    <row r="85" outlineLevel="1">
      <c r="A85" s="156"/>
      <c r="B85" s="243" t="s">
        <v>2843</v>
      </c>
      <c r="C85" s="553"/>
      <c r="D85" s="467" t="s">
        <v>634</v>
      </c>
      <c r="E85" s="553"/>
      <c r="F85" s="553"/>
      <c r="G85" s="553"/>
      <c r="H85" s="106"/>
      <c r="I85" s="168"/>
      <c r="J85" s="107"/>
      <c r="K85" s="261"/>
      <c r="L85" s="261"/>
      <c r="M85" s="261"/>
      <c r="N85" s="261"/>
      <c r="O85" s="261"/>
      <c r="P85" s="261"/>
      <c r="Q85" s="261"/>
      <c r="R85" s="261"/>
      <c r="S85" s="261"/>
      <c r="T85" s="261"/>
      <c r="U85" s="156"/>
      <c r="V85" s="156"/>
    </row>
    <row r="86">
      <c r="A86" s="223"/>
      <c r="B86" s="224"/>
      <c r="C86" s="225"/>
      <c r="D86" s="225"/>
      <c r="E86" s="226"/>
      <c r="F86" s="226"/>
      <c r="G86" s="226"/>
      <c r="H86" s="227"/>
      <c r="I86" s="227"/>
      <c r="J86" s="228"/>
      <c r="K86" s="228"/>
      <c r="L86" s="228"/>
      <c r="M86" s="228"/>
      <c r="N86" s="228"/>
      <c r="O86" s="228"/>
      <c r="P86" s="228"/>
      <c r="Q86" s="118"/>
      <c r="R86" s="118"/>
      <c r="S86" s="118"/>
      <c r="T86" s="118"/>
      <c r="U86" s="118"/>
      <c r="V86" s="118"/>
    </row>
    <row r="87">
      <c r="A87" s="264" t="s">
        <v>211</v>
      </c>
      <c r="B87" s="104"/>
      <c r="C87" s="227"/>
      <c r="D87" s="227"/>
      <c r="E87" s="228"/>
      <c r="F87" s="265"/>
      <c r="G87" s="265"/>
      <c r="H87" s="228"/>
      <c r="I87" s="228"/>
      <c r="J87" s="228"/>
      <c r="K87" s="228"/>
      <c r="L87" s="228"/>
      <c r="M87" s="228"/>
      <c r="N87" s="118"/>
      <c r="O87" s="118"/>
      <c r="P87" s="118"/>
      <c r="Q87" s="228"/>
      <c r="R87" s="228"/>
      <c r="S87" s="228"/>
      <c r="T87" s="228"/>
      <c r="U87" s="228"/>
      <c r="V87" s="228"/>
    </row>
    <row r="88" outlineLevel="1">
      <c r="A88" s="106"/>
      <c r="B88" s="107"/>
      <c r="C88" s="266" t="s">
        <v>48</v>
      </c>
      <c r="D88" s="266" t="s">
        <v>49</v>
      </c>
      <c r="E88" s="266" t="s">
        <v>50</v>
      </c>
      <c r="F88" s="267" t="s">
        <v>51</v>
      </c>
      <c r="G88" s="227"/>
      <c r="H88" s="227"/>
      <c r="I88" s="227"/>
      <c r="J88" s="228"/>
      <c r="K88" s="228"/>
      <c r="L88" s="228"/>
      <c r="M88" s="228"/>
      <c r="N88" s="228"/>
      <c r="O88" s="228"/>
      <c r="P88" s="228"/>
      <c r="Q88" s="228"/>
      <c r="R88" s="228"/>
      <c r="S88" s="228"/>
      <c r="T88" s="228"/>
      <c r="U88" s="228"/>
      <c r="V88" s="228"/>
    </row>
    <row r="89" outlineLevel="1">
      <c r="A89" s="268" t="s">
        <v>212</v>
      </c>
      <c r="B89" s="269" t="s">
        <v>212</v>
      </c>
      <c r="C89" s="239" t="s">
        <v>213</v>
      </c>
      <c r="D89" s="239" t="s">
        <v>86</v>
      </c>
      <c r="E89" s="239" t="s">
        <v>214</v>
      </c>
      <c r="F89" s="138">
        <v>1.56</v>
      </c>
      <c r="G89" s="227"/>
      <c r="H89" s="227"/>
      <c r="I89" s="227"/>
      <c r="J89" s="228"/>
      <c r="K89" s="228"/>
      <c r="L89" s="228"/>
      <c r="M89" s="228"/>
      <c r="N89" s="228"/>
      <c r="O89" s="228"/>
      <c r="P89" s="228"/>
      <c r="Q89" s="228"/>
      <c r="R89" s="228"/>
      <c r="S89" s="228"/>
      <c r="T89" s="228"/>
      <c r="U89" s="228"/>
      <c r="V89" s="228"/>
    </row>
    <row r="90" outlineLevel="1">
      <c r="A90" s="270" t="s">
        <v>215</v>
      </c>
      <c r="B90" s="269" t="s">
        <v>216</v>
      </c>
      <c r="C90" s="239" t="s">
        <v>319</v>
      </c>
      <c r="D90" s="239" t="s">
        <v>79</v>
      </c>
      <c r="E90" s="271"/>
      <c r="F90" s="272"/>
      <c r="G90" s="272"/>
      <c r="H90" s="227"/>
      <c r="I90" s="227"/>
      <c r="J90" s="228"/>
      <c r="K90" s="228"/>
      <c r="L90" s="228"/>
      <c r="M90" s="228"/>
      <c r="N90" s="228"/>
      <c r="O90" s="228"/>
      <c r="P90" s="228"/>
      <c r="Q90" s="228"/>
      <c r="R90" s="228"/>
      <c r="S90" s="228"/>
      <c r="T90" s="228"/>
      <c r="U90" s="228"/>
      <c r="V90" s="228"/>
    </row>
    <row r="91" outlineLevel="1">
      <c r="A91" s="212"/>
      <c r="B91" s="269" t="s">
        <v>219</v>
      </c>
      <c r="C91" s="239" t="s">
        <v>223</v>
      </c>
      <c r="D91" s="239" t="s">
        <v>111</v>
      </c>
      <c r="E91" s="271"/>
      <c r="F91" s="272"/>
      <c r="G91" s="272"/>
      <c r="H91" s="227"/>
      <c r="I91" s="227"/>
      <c r="J91" s="228"/>
      <c r="K91" s="228"/>
      <c r="L91" s="228"/>
      <c r="M91" s="228"/>
      <c r="N91" s="228"/>
      <c r="O91" s="228"/>
      <c r="P91" s="228"/>
      <c r="Q91" s="228"/>
      <c r="R91" s="228"/>
      <c r="S91" s="228"/>
      <c r="T91" s="228"/>
      <c r="U91" s="228"/>
      <c r="V91" s="228"/>
    </row>
    <row r="92" outlineLevel="1">
      <c r="A92" s="106"/>
      <c r="B92" s="269" t="s">
        <v>222</v>
      </c>
      <c r="C92" s="239" t="s">
        <v>299</v>
      </c>
      <c r="D92" s="239" t="s">
        <v>118</v>
      </c>
      <c r="E92" s="227"/>
      <c r="F92" s="272"/>
      <c r="G92" s="272"/>
      <c r="H92" s="227"/>
      <c r="I92" s="227"/>
      <c r="J92" s="228"/>
      <c r="K92" s="228"/>
      <c r="L92" s="228"/>
      <c r="M92" s="228"/>
      <c r="N92" s="228"/>
      <c r="O92" s="228"/>
      <c r="P92" s="228"/>
      <c r="Q92" s="228"/>
      <c r="R92" s="228"/>
      <c r="S92" s="228"/>
      <c r="T92" s="228"/>
      <c r="U92" s="228"/>
      <c r="V92" s="228"/>
    </row>
    <row r="93" outlineLevel="1">
      <c r="A93" s="273" t="s">
        <v>225</v>
      </c>
      <c r="B93" s="109"/>
      <c r="C93" s="266" t="s">
        <v>48</v>
      </c>
      <c r="D93" s="266" t="s">
        <v>49</v>
      </c>
      <c r="E93" s="266" t="s">
        <v>50</v>
      </c>
      <c r="F93" s="267" t="s">
        <v>51</v>
      </c>
      <c r="G93" s="1168" t="s">
        <v>53</v>
      </c>
      <c r="H93" s="110"/>
      <c r="I93" s="110"/>
      <c r="J93" s="109"/>
      <c r="K93" s="275" t="str">
        <f>'テンプレート'!K97</f>
        <v>ベクトル</v>
      </c>
      <c r="L93" s="275" t="str">
        <f>'テンプレート'!L97</f>
        <v>KBG (R.E.)</v>
      </c>
      <c r="M93" s="275" t="str">
        <f>'テンプレート'!M97</f>
        <v>BKB (R.A.)</v>
      </c>
      <c r="N93" s="275" t="str">
        <f>'テンプレート'!N97</f>
        <v>FKB (R.F.)</v>
      </c>
      <c r="O93" s="276" t="str">
        <f>'テンプレート'!O97</f>
        <v>盾削り値</v>
      </c>
      <c r="P93" s="275" t="str">
        <f>'テンプレート'!P97</f>
        <v>ﾋｯﾄｽﾄｯﾌﾟ</v>
      </c>
      <c r="Q93" s="276" t="str">
        <f>'テンプレート'!Q97</f>
        <v>ずらし</v>
      </c>
      <c r="R93" s="277"/>
      <c r="S93" s="277"/>
      <c r="T93" s="277"/>
      <c r="U93" s="277"/>
      <c r="V93" s="277"/>
    </row>
    <row r="94" outlineLevel="1">
      <c r="A94" s="278" t="s">
        <v>226</v>
      </c>
      <c r="B94" s="269" t="s">
        <v>227</v>
      </c>
      <c r="C94" s="113" t="s">
        <v>128</v>
      </c>
      <c r="D94" s="279">
        <v>37.0</v>
      </c>
      <c r="E94" s="239" t="s">
        <v>213</v>
      </c>
      <c r="F94" s="138">
        <v>1.2</v>
      </c>
      <c r="G94" s="1170"/>
      <c r="H94" s="164"/>
      <c r="I94" s="164"/>
      <c r="J94" s="104"/>
      <c r="K94" s="282"/>
      <c r="L94" s="282"/>
      <c r="M94" s="363"/>
      <c r="N94" s="363"/>
      <c r="O94" s="145">
        <v>0.0</v>
      </c>
      <c r="P94" s="145">
        <v>1.0</v>
      </c>
      <c r="Q94" s="145">
        <v>1.0</v>
      </c>
      <c r="R94" s="277"/>
      <c r="S94" s="228"/>
      <c r="T94" s="228"/>
      <c r="U94" s="228"/>
      <c r="V94" s="228"/>
    </row>
    <row r="95" outlineLevel="1">
      <c r="A95" s="156"/>
      <c r="B95" s="269" t="s">
        <v>225</v>
      </c>
      <c r="C95" s="239" t="s">
        <v>232</v>
      </c>
      <c r="D95" s="156"/>
      <c r="E95" s="239" t="s">
        <v>86</v>
      </c>
      <c r="F95" s="138">
        <v>7.199999999999999</v>
      </c>
      <c r="G95" s="106"/>
      <c r="H95" s="168"/>
      <c r="I95" s="168"/>
      <c r="J95" s="107"/>
      <c r="K95" s="282"/>
      <c r="L95" s="282"/>
      <c r="M95" s="363"/>
      <c r="N95" s="363"/>
      <c r="O95" s="261"/>
      <c r="P95" s="261"/>
      <c r="Q95" s="261"/>
      <c r="R95" s="277"/>
      <c r="S95" s="228"/>
      <c r="T95" s="228"/>
      <c r="U95" s="228"/>
      <c r="V95" s="228"/>
    </row>
    <row r="96" outlineLevel="1">
      <c r="A96" s="278" t="s">
        <v>229</v>
      </c>
      <c r="B96" s="269" t="s">
        <v>227</v>
      </c>
      <c r="C96" s="553"/>
      <c r="D96" s="279">
        <v>66.0</v>
      </c>
      <c r="E96" s="261"/>
      <c r="F96" s="261"/>
      <c r="G96" s="1170"/>
      <c r="H96" s="164"/>
      <c r="I96" s="164"/>
      <c r="J96" s="104"/>
      <c r="K96" s="261"/>
      <c r="L96" s="261"/>
      <c r="M96" s="261"/>
      <c r="N96" s="261"/>
      <c r="O96" s="261"/>
      <c r="P96" s="261"/>
      <c r="Q96" s="261"/>
      <c r="R96" s="277"/>
      <c r="S96" s="228"/>
      <c r="T96" s="228"/>
      <c r="U96" s="228"/>
      <c r="V96" s="228"/>
    </row>
    <row r="97" outlineLevel="1">
      <c r="A97" s="156"/>
      <c r="B97" s="269" t="s">
        <v>225</v>
      </c>
      <c r="C97" s="113">
        <v>43.0</v>
      </c>
      <c r="D97" s="156"/>
      <c r="E97" s="239" t="s">
        <v>93</v>
      </c>
      <c r="F97" s="138">
        <v>8.4</v>
      </c>
      <c r="G97" s="106"/>
      <c r="H97" s="168"/>
      <c r="I97" s="168"/>
      <c r="J97" s="107"/>
      <c r="K97" s="282"/>
      <c r="L97" s="282"/>
      <c r="M97" s="363"/>
      <c r="N97" s="363"/>
      <c r="O97" s="261"/>
      <c r="P97" s="261"/>
      <c r="Q97" s="261"/>
      <c r="R97" s="277"/>
      <c r="S97" s="228"/>
      <c r="T97" s="228"/>
      <c r="U97" s="228"/>
      <c r="V97" s="228"/>
    </row>
    <row r="98" outlineLevel="1">
      <c r="A98" s="278" t="s">
        <v>233</v>
      </c>
      <c r="B98" s="269" t="s">
        <v>227</v>
      </c>
      <c r="C98" s="1091" t="s">
        <v>1114</v>
      </c>
      <c r="D98" s="279">
        <v>42.0</v>
      </c>
      <c r="E98" s="239" t="s">
        <v>213</v>
      </c>
      <c r="F98" s="138">
        <v>1.2</v>
      </c>
      <c r="G98" s="1170"/>
      <c r="H98" s="164"/>
      <c r="I98" s="164"/>
      <c r="J98" s="104"/>
      <c r="K98" s="282"/>
      <c r="L98" s="282"/>
      <c r="M98" s="363"/>
      <c r="N98" s="363"/>
      <c r="O98" s="145">
        <v>0.0</v>
      </c>
      <c r="P98" s="145">
        <v>1.0</v>
      </c>
      <c r="Q98" s="145">
        <v>1.0</v>
      </c>
      <c r="R98" s="277"/>
      <c r="S98" s="228"/>
      <c r="T98" s="228"/>
      <c r="U98" s="228"/>
      <c r="V98" s="228"/>
    </row>
    <row r="99" outlineLevel="1">
      <c r="A99" s="156"/>
      <c r="B99" s="269" t="s">
        <v>225</v>
      </c>
      <c r="C99" s="239" t="s">
        <v>173</v>
      </c>
      <c r="D99" s="156"/>
      <c r="E99" s="239" t="s">
        <v>150</v>
      </c>
      <c r="F99" s="138">
        <v>6.0</v>
      </c>
      <c r="G99" s="106"/>
      <c r="H99" s="168"/>
      <c r="I99" s="168"/>
      <c r="J99" s="107"/>
      <c r="K99" s="282"/>
      <c r="L99" s="282"/>
      <c r="M99" s="363"/>
      <c r="N99" s="363"/>
      <c r="O99" s="261"/>
      <c r="P99" s="261"/>
      <c r="Q99" s="261"/>
      <c r="R99" s="277"/>
      <c r="S99" s="117"/>
      <c r="T99" s="117"/>
      <c r="U99" s="117"/>
      <c r="V99" s="117"/>
    </row>
    <row r="100" outlineLevel="1">
      <c r="A100" s="278" t="s">
        <v>234</v>
      </c>
      <c r="B100" s="269" t="s">
        <v>227</v>
      </c>
      <c r="C100" s="1091" t="s">
        <v>2856</v>
      </c>
      <c r="D100" s="279">
        <v>74.0</v>
      </c>
      <c r="E100" s="239" t="s">
        <v>213</v>
      </c>
      <c r="F100" s="138">
        <v>1.2</v>
      </c>
      <c r="G100" s="1170"/>
      <c r="H100" s="164"/>
      <c r="I100" s="164"/>
      <c r="J100" s="104"/>
      <c r="K100" s="282"/>
      <c r="L100" s="282"/>
      <c r="M100" s="363"/>
      <c r="N100" s="363"/>
      <c r="O100" s="145">
        <v>0.0</v>
      </c>
      <c r="P100" s="145">
        <v>1.0</v>
      </c>
      <c r="Q100" s="145">
        <v>1.0</v>
      </c>
      <c r="R100" s="277"/>
      <c r="S100" s="117"/>
      <c r="T100" s="117"/>
      <c r="U100" s="117"/>
      <c r="V100" s="117"/>
    </row>
    <row r="101" outlineLevel="1">
      <c r="A101" s="156"/>
      <c r="B101" s="269" t="s">
        <v>225</v>
      </c>
      <c r="C101" s="113">
        <v>42.0</v>
      </c>
      <c r="D101" s="156"/>
      <c r="E101" s="239" t="s">
        <v>73</v>
      </c>
      <c r="F101" s="138">
        <v>4.8</v>
      </c>
      <c r="G101" s="106"/>
      <c r="H101" s="168"/>
      <c r="I101" s="168"/>
      <c r="J101" s="107"/>
      <c r="K101" s="282"/>
      <c r="L101" s="282"/>
      <c r="M101" s="363"/>
      <c r="N101" s="363"/>
      <c r="O101" s="261"/>
      <c r="P101" s="261"/>
      <c r="Q101" s="261"/>
      <c r="R101" s="277"/>
      <c r="S101" s="117"/>
      <c r="T101" s="117"/>
      <c r="U101" s="117"/>
      <c r="V101" s="117"/>
    </row>
    <row r="102">
      <c r="A102" s="223"/>
      <c r="B102" s="224"/>
      <c r="C102" s="225"/>
      <c r="D102" s="225"/>
      <c r="E102" s="227"/>
      <c r="F102" s="177"/>
      <c r="G102" s="177"/>
      <c r="H102" s="227"/>
      <c r="I102" s="227"/>
      <c r="J102" s="228"/>
      <c r="K102" s="228"/>
      <c r="L102" s="111"/>
      <c r="M102" s="111"/>
      <c r="N102" s="111"/>
      <c r="O102" s="117"/>
      <c r="P102" s="117"/>
      <c r="Q102" s="111"/>
      <c r="R102" s="111"/>
      <c r="S102" s="111"/>
      <c r="T102" s="111"/>
      <c r="U102" s="111"/>
      <c r="V102" s="111"/>
    </row>
    <row r="103">
      <c r="A103" s="284" t="s">
        <v>241</v>
      </c>
      <c r="B103" s="104"/>
      <c r="C103" s="265"/>
      <c r="D103" s="111"/>
      <c r="E103" s="111"/>
      <c r="F103" s="111"/>
      <c r="G103" s="111"/>
      <c r="H103" s="111"/>
      <c r="I103" s="111"/>
      <c r="J103" s="118"/>
      <c r="K103" s="111"/>
      <c r="L103" s="111"/>
      <c r="M103" s="111"/>
      <c r="N103" s="111"/>
      <c r="O103" s="111"/>
      <c r="P103" s="111"/>
      <c r="Q103" s="118"/>
      <c r="R103" s="111"/>
      <c r="S103" s="111"/>
      <c r="T103" s="111"/>
      <c r="U103" s="111"/>
      <c r="V103" s="111"/>
    </row>
    <row r="104" outlineLevel="1">
      <c r="A104" s="106"/>
      <c r="B104" s="107"/>
      <c r="C104" s="285" t="s">
        <v>235</v>
      </c>
      <c r="D104" s="285" t="s">
        <v>236</v>
      </c>
      <c r="E104" s="285" t="s">
        <v>49</v>
      </c>
      <c r="F104" s="285" t="s">
        <v>237</v>
      </c>
      <c r="G104" s="286"/>
      <c r="H104" s="227"/>
      <c r="I104" s="227"/>
      <c r="J104" s="228"/>
      <c r="K104" s="228"/>
      <c r="L104" s="111"/>
      <c r="M104" s="111"/>
      <c r="N104" s="111"/>
      <c r="O104" s="111"/>
      <c r="P104" s="111"/>
      <c r="Q104" s="111"/>
      <c r="R104" s="111"/>
      <c r="S104" s="111"/>
      <c r="T104" s="111"/>
      <c r="U104" s="111"/>
      <c r="V104" s="111"/>
    </row>
    <row r="105" outlineLevel="1">
      <c r="A105" s="287" t="s">
        <v>395</v>
      </c>
      <c r="B105" s="288" t="s">
        <v>216</v>
      </c>
      <c r="C105" s="113" t="str">
        <f t="array" ref="C105">INDEX('回避'!$C$3:$U$84, MATCH($A$1,'回避'!$A$3:$A$91,0), MATCH(C104,'回避'!$C$2:$F$2,0))</f>
        <v>3-16</v>
      </c>
      <c r="D105" s="113" t="str">
        <f t="array" ref="D105">INDEX('回避'!$C$3:$U$84, MATCH($A$1,'回避'!$A$3:$A$91,0), MATCH(D104,'回避'!$C$2:$F$2,0))</f>
        <v>6-16</v>
      </c>
      <c r="E105" s="113" t="str">
        <f t="array" ref="E105">INDEX('回避'!$C$3:$U$84, MATCH($A$1,'回避'!$A$3:$A$91,0), MATCH(E104,'回避'!$C$2:$F$2,0))</f>
        <v>24 (19)</v>
      </c>
      <c r="F105" s="113" t="str">
        <f t="array" ref="F105">INDEX('回避'!$C$3:$U$84, MATCH($A$1,'回避'!$A$3:$A$91,0), MATCH(F104,'回避'!$C$2:$F$2,0))</f>
        <v>32 (25)</v>
      </c>
      <c r="G105" s="272"/>
      <c r="H105" s="227"/>
      <c r="I105" s="227"/>
      <c r="J105" s="228"/>
      <c r="K105" s="228"/>
      <c r="L105" s="228"/>
      <c r="M105" s="111"/>
      <c r="N105" s="111"/>
      <c r="O105" s="111"/>
      <c r="P105" s="111"/>
      <c r="Q105" s="111"/>
      <c r="R105" s="111"/>
      <c r="S105" s="111"/>
      <c r="T105" s="111"/>
      <c r="U105" s="111"/>
      <c r="V105" s="111"/>
    </row>
    <row r="106" outlineLevel="1">
      <c r="A106" s="212"/>
      <c r="B106" s="288" t="s">
        <v>245</v>
      </c>
      <c r="C106" s="113" t="str">
        <f t="array" ref="C106">INDEX('回避'!$G$3:$U$84, MATCH($A$1,'回避'!$A$3:$A$91,0), MATCH(C104,'回避'!$G$2:$J$2,0))</f>
        <v>4-14</v>
      </c>
      <c r="D106" s="113" t="str">
        <f t="array" ref="D106">INDEX('回避'!$G$3:$U$84, MATCH($A$1,'回避'!$A$3:$A$91,0), MATCH(D104,'回避'!$G$2:$J$2,0))</f>
        <v>8-14</v>
      </c>
      <c r="E106" s="113" t="str">
        <f t="array" ref="E106">INDEX('回避'!$G$3:$U$84, MATCH($A$1,'回避'!$A$3:$A$91,0), MATCH(E104,'回避'!$G$2:$J$2,0))</f>
        <v>28</v>
      </c>
      <c r="F106" s="113">
        <f t="array" ref="F106">INDEX('回避'!$G$3:$U$84, MATCH($A$1,'回避'!$A$3:$A$91,0), MATCH(F104,'回避'!$G$2:$J$2,0))</f>
        <v>37</v>
      </c>
      <c r="G106" s="289"/>
      <c r="H106" s="227"/>
      <c r="I106" s="227"/>
      <c r="J106" s="228"/>
      <c r="K106" s="228"/>
      <c r="L106" s="228"/>
      <c r="M106" s="228"/>
      <c r="N106" s="228"/>
      <c r="O106" s="111"/>
      <c r="P106" s="111"/>
      <c r="Q106" s="111"/>
      <c r="R106" s="111"/>
      <c r="S106" s="111"/>
      <c r="T106" s="111"/>
      <c r="U106" s="111"/>
      <c r="V106" s="111"/>
    </row>
    <row r="107" outlineLevel="1">
      <c r="A107" s="106"/>
      <c r="B107" s="288" t="s">
        <v>246</v>
      </c>
      <c r="C107" s="113" t="str">
        <f t="array" ref="C107">INDEX('回避'!$K$3:$U$84, MATCH($A$1,'回避'!$A$3:$A$91,0), MATCH(C104,'回避'!$K$2:$N$2,0))</f>
        <v>4-15</v>
      </c>
      <c r="D107" s="113" t="str">
        <f t="array" ref="D107">INDEX('回避'!$K$3:$U$84, MATCH($A$1,'回避'!$A$3:$A$91,0), MATCH(D104,'回避'!$K$2:$N$2,0))</f>
        <v>8-13</v>
      </c>
      <c r="E107" s="113" t="str">
        <f t="array" ref="E107">INDEX('回避'!$K$3:$U$84, MATCH($A$1,'回避'!$A$3:$A$91,0), MATCH(E104,'回避'!$K$2:$N$2,0))</f>
        <v>33</v>
      </c>
      <c r="F107" s="113" t="str">
        <f t="array" ref="F107">INDEX('回避'!$K$3:$U$84, MATCH($A$1,'回避'!$A$3:$A$91,0), MATCH(F104,'回避'!$K$2:$N$2,0))</f>
        <v>50</v>
      </c>
      <c r="G107" s="289"/>
      <c r="H107" s="290"/>
      <c r="I107" s="290"/>
      <c r="J107" s="117"/>
      <c r="K107" s="117"/>
      <c r="L107" s="117"/>
      <c r="M107" s="117"/>
      <c r="N107" s="117"/>
      <c r="O107" s="111"/>
      <c r="P107" s="111"/>
      <c r="Q107" s="111"/>
      <c r="R107" s="111"/>
      <c r="S107" s="111"/>
      <c r="T107" s="111"/>
      <c r="U107" s="111"/>
      <c r="V107" s="111"/>
    </row>
    <row r="108" outlineLevel="1">
      <c r="A108" s="287" t="s">
        <v>396</v>
      </c>
      <c r="B108" s="288" t="s">
        <v>397</v>
      </c>
      <c r="C108" s="113" t="str">
        <f t="array" ref="C108">INDEX('回避'!$O$3:$U$84, MATCH($A$1,'回避'!$A$3:$A$91,0), MATCH(C104,'回避'!$O$2:$R$2,0))</f>
        <v>2-26</v>
      </c>
      <c r="D108" s="113" t="str">
        <f t="array" ref="D108">INDEX('回避'!$O$3:$U$84, MATCH($A$1,'回避'!$A$3:$A$91,0), MATCH(D104,'回避'!$O$2:$R$2,0))</f>
        <v>5-24</v>
      </c>
      <c r="E108" s="113" t="str">
        <f t="array" ref="E108">INDEX('回避'!$O$3:$U$84, MATCH($A$1,'回避'!$A$3:$A$91,0), MATCH(E104,'回避'!$O$2:$R$2,0))</f>
        <v>50</v>
      </c>
      <c r="F108" s="177"/>
      <c r="G108" s="177"/>
      <c r="H108" s="118"/>
      <c r="I108" s="118"/>
      <c r="J108" s="111"/>
      <c r="K108" s="111"/>
      <c r="L108" s="111"/>
      <c r="M108" s="111"/>
      <c r="N108" s="111"/>
      <c r="O108" s="228"/>
      <c r="P108" s="228"/>
      <c r="Q108" s="228"/>
      <c r="R108" s="228"/>
      <c r="S108" s="228"/>
      <c r="T108" s="228"/>
      <c r="U108" s="228"/>
      <c r="V108" s="228"/>
    </row>
    <row r="109" outlineLevel="1">
      <c r="A109" s="106"/>
      <c r="B109" s="288" t="s">
        <v>398</v>
      </c>
      <c r="C109" s="113" t="str">
        <f t="array" ref="C109">INDEX('回避'!$S$3:$U$84, MATCH($A$1,'回避'!$A$3:$A$91,0), MATCH(C104,'回避'!$S$2:$U$2,0))</f>
        <v>2-19</v>
      </c>
      <c r="D109" s="113" t="str">
        <f t="array" ref="D109">INDEX('回避'!$S$3:$U$84, MATCH($A$1,'回避'!$A$3:$A$91,0), MATCH(D104,'回避'!$S$2:$U$2,0))</f>
        <v>5-18</v>
      </c>
      <c r="E109" s="113" t="str">
        <f t="array" ref="E109">INDEX('回避'!$S$3:$U$84, MATCH($A$1,'回避'!$A$3:$A$91,0), MATCH(E104,'回避'!$S$2:$U$2,0))</f>
        <v>真横：81
真上：107
真下：66</v>
      </c>
      <c r="F109" s="289"/>
      <c r="G109" s="289"/>
      <c r="H109" s="118"/>
      <c r="I109" s="118"/>
      <c r="J109" s="117"/>
      <c r="K109" s="117"/>
      <c r="L109" s="117"/>
      <c r="M109" s="117"/>
      <c r="N109" s="111"/>
      <c r="O109" s="118"/>
      <c r="P109" s="118"/>
      <c r="Q109" s="118"/>
      <c r="R109" s="118"/>
      <c r="S109" s="118"/>
      <c r="T109" s="118"/>
      <c r="U109" s="118"/>
      <c r="V109" s="118"/>
    </row>
    <row r="110">
      <c r="A110" s="291"/>
      <c r="B110" s="292"/>
      <c r="C110" s="286"/>
      <c r="D110" s="286"/>
      <c r="E110" s="293"/>
      <c r="F110" s="286"/>
      <c r="G110" s="286"/>
      <c r="H110" s="286"/>
      <c r="I110" s="286"/>
      <c r="J110" s="111"/>
      <c r="K110" s="227"/>
      <c r="L110" s="227"/>
      <c r="M110" s="227"/>
      <c r="N110" s="227"/>
      <c r="O110" s="118"/>
      <c r="P110" s="118"/>
      <c r="Q110" s="118"/>
      <c r="R110" s="118"/>
      <c r="S110" s="118"/>
      <c r="T110" s="118"/>
      <c r="U110" s="118"/>
      <c r="V110" s="118"/>
    </row>
    <row r="111">
      <c r="A111" s="294" t="s">
        <v>238</v>
      </c>
      <c r="B111" s="104"/>
      <c r="C111" s="228"/>
      <c r="D111" s="117"/>
      <c r="E111" s="228"/>
      <c r="F111" s="114"/>
      <c r="G111" s="114"/>
      <c r="H111" s="117"/>
      <c r="I111" s="117"/>
      <c r="J111" s="118"/>
      <c r="K111" s="118"/>
      <c r="L111" s="118"/>
      <c r="M111" s="118"/>
      <c r="N111" s="118"/>
      <c r="O111" s="118"/>
      <c r="P111" s="118"/>
      <c r="Q111" s="118"/>
      <c r="R111" s="118"/>
      <c r="S111" s="118"/>
      <c r="T111" s="118"/>
      <c r="U111" s="118"/>
      <c r="V111" s="118"/>
    </row>
    <row r="112" outlineLevel="1">
      <c r="A112" s="106"/>
      <c r="B112" s="107"/>
      <c r="C112" s="295" t="s">
        <v>235</v>
      </c>
      <c r="D112" s="295" t="s">
        <v>49</v>
      </c>
      <c r="E112" s="295" t="s">
        <v>48</v>
      </c>
      <c r="F112" s="295" t="s">
        <v>50</v>
      </c>
      <c r="G112" s="296" t="s">
        <v>51</v>
      </c>
      <c r="H112" s="228"/>
      <c r="I112" s="228"/>
      <c r="J112" s="117"/>
      <c r="K112" s="297" t="str">
        <f>'テンプレート'!K116</f>
        <v>アイテム取得</v>
      </c>
      <c r="L112" s="109"/>
      <c r="M112" s="298" t="str">
        <f>'テンプレート'!M116</f>
        <v>取得フレーム</v>
      </c>
      <c r="N112" s="298" t="str">
        <f>'テンプレート'!N116</f>
        <v>全体フレーム</v>
      </c>
      <c r="O112" s="118"/>
      <c r="P112" s="118"/>
      <c r="Q112" s="118"/>
      <c r="R112" s="118"/>
      <c r="S112" s="118"/>
      <c r="T112" s="118"/>
      <c r="U112" s="118"/>
      <c r="V112" s="118"/>
    </row>
    <row r="113" outlineLevel="1">
      <c r="A113" s="299" t="s">
        <v>239</v>
      </c>
      <c r="B113" s="300" t="s">
        <v>240</v>
      </c>
      <c r="C113" s="301"/>
      <c r="D113" s="113">
        <f t="array" ref="D113">INDEX('崖行動・受け身'!$C$3:$C118, MATCH($A$1,'崖行動・受け身'!$A$3:$A$115,0), MATCH(D112,'崖行動・受け身'!$C$2,0))</f>
        <v>19</v>
      </c>
      <c r="E113" s="301"/>
      <c r="F113" s="301"/>
      <c r="G113" s="301"/>
      <c r="H113" s="228"/>
      <c r="I113" s="228"/>
      <c r="J113" s="111"/>
      <c r="K113" s="302" t="str">
        <f>'テンプレート'!K117</f>
        <v>小アイテム</v>
      </c>
      <c r="L113" s="303" t="str">
        <f>'テンプレート'!L117</f>
        <v>その場</v>
      </c>
      <c r="M113" s="113" t="s">
        <v>76</v>
      </c>
      <c r="N113" s="113">
        <v>7.0</v>
      </c>
      <c r="O113" s="118"/>
      <c r="P113" s="118"/>
      <c r="Q113" s="118"/>
      <c r="R113" s="118"/>
      <c r="S113" s="118"/>
      <c r="T113" s="118"/>
      <c r="U113" s="118"/>
      <c r="V113" s="118"/>
    </row>
    <row r="114" outlineLevel="1">
      <c r="A114" s="146"/>
      <c r="B114" s="300" t="s">
        <v>216</v>
      </c>
      <c r="C114" s="113" t="str">
        <f t="array" ref="C114">INDEX('崖行動・受け身'!$D$3:$E118, MATCH($A$1,'崖行動・受け身'!$A$3:$A$115,0), MATCH(C112,'崖行動・受け身'!$D$2:$E$2,0))</f>
        <v>1-33</v>
      </c>
      <c r="D114" s="113">
        <f t="array" ref="D114">INDEX('崖行動・受け身'!$D$3:$E118, MATCH($A$1,'崖行動・受け身'!$A$3:$A$115,0), MATCH(D112,'崖行動・受け身'!$D$2:$E$2,0))</f>
        <v>34</v>
      </c>
      <c r="E114" s="301"/>
      <c r="F114" s="301"/>
      <c r="G114" s="301"/>
      <c r="H114" s="228"/>
      <c r="I114" s="228"/>
      <c r="J114" s="117"/>
      <c r="K114" s="156"/>
      <c r="L114" s="303" t="str">
        <f>'テンプレート'!L118</f>
        <v>歩き</v>
      </c>
      <c r="M114" s="113" t="s">
        <v>76</v>
      </c>
      <c r="N114" s="113">
        <v>19.0</v>
      </c>
      <c r="O114" s="118"/>
      <c r="P114" s="118"/>
      <c r="Q114" s="118"/>
      <c r="R114" s="118"/>
      <c r="S114" s="118"/>
      <c r="T114" s="118"/>
      <c r="U114" s="118"/>
      <c r="V114" s="118"/>
    </row>
    <row r="115" outlineLevel="1">
      <c r="A115" s="146"/>
      <c r="B115" s="300" t="s">
        <v>241</v>
      </c>
      <c r="C115" s="113" t="str">
        <f t="array" ref="C115">INDEX('崖行動・受け身'!$F$3:$G$115, MATCH($A$1,'崖行動・受け身'!$A$3:$A$115,0), MATCH(C112,'崖行動・受け身'!$F$2:$G$2,0))</f>
        <v>1-27</v>
      </c>
      <c r="D115" s="113">
        <f t="array" ref="D115">INDEX('崖行動・受け身'!$F$3:$G$115, MATCH($A$1,'崖行動・受け身'!$A$3:$A$115,0), MATCH(D112,'崖行動・受け身'!$F$2:$G$2,0))</f>
        <v>45</v>
      </c>
      <c r="E115" s="301"/>
      <c r="F115" s="301"/>
      <c r="G115" s="301"/>
      <c r="H115" s="228"/>
      <c r="I115" s="228"/>
      <c r="J115" s="111"/>
      <c r="K115" s="304" t="str">
        <f>'テンプレート'!K119</f>
        <v>アイテム投擲</v>
      </c>
      <c r="L115" s="109"/>
      <c r="M115" s="298" t="str">
        <f>'テンプレート'!M119</f>
        <v>投擲フレーム</v>
      </c>
      <c r="N115" s="298" t="str">
        <f>'テンプレート'!N119</f>
        <v>全体フレーム</v>
      </c>
      <c r="O115" s="118"/>
      <c r="P115" s="118"/>
      <c r="Q115" s="118"/>
      <c r="R115" s="118"/>
      <c r="S115" s="118"/>
      <c r="T115" s="118"/>
      <c r="U115" s="118"/>
      <c r="V115" s="118"/>
    </row>
    <row r="116" outlineLevel="1">
      <c r="A116" s="146"/>
      <c r="B116" s="300" t="s">
        <v>242</v>
      </c>
      <c r="C116" s="113" t="str">
        <f t="array" ref="C116">INDEX('崖行動・受け身'!$H$3:$I$115, MATCH($A$1,'崖行動・受け身'!$A$3:$A$115,0), MATCH(C112,'崖行動・受け身'!$H$2:$I$2,0))</f>
        <v>1-12</v>
      </c>
      <c r="D116" s="113">
        <f t="array" ref="D116">INDEX('崖行動・受け身'!$H$3:$I$115, MATCH($A$1,'崖行動・受け身'!$A$3:$A$115,0), MATCH(D112,'崖行動・受け身'!$H$2:$I$2,0))</f>
        <v>14</v>
      </c>
      <c r="E116" s="301"/>
      <c r="F116" s="301"/>
      <c r="G116" s="301"/>
      <c r="H116" s="228"/>
      <c r="I116" s="228"/>
      <c r="J116" s="117"/>
      <c r="K116" s="305" t="str">
        <f>'テンプレート'!K120</f>
        <v>地上投擲</v>
      </c>
      <c r="L116" s="303" t="str">
        <f>'テンプレート'!L120</f>
        <v>前投げ</v>
      </c>
      <c r="M116" s="113" t="s">
        <v>80</v>
      </c>
      <c r="N116" s="113">
        <v>24.0</v>
      </c>
      <c r="O116" s="111"/>
      <c r="P116" s="111"/>
      <c r="Q116" s="111"/>
      <c r="R116" s="111"/>
      <c r="S116" s="111"/>
      <c r="T116" s="111"/>
      <c r="U116" s="111"/>
      <c r="V116" s="111"/>
    </row>
    <row r="117" outlineLevel="1">
      <c r="A117" s="156"/>
      <c r="B117" s="300" t="s">
        <v>243</v>
      </c>
      <c r="C117" s="113" t="str">
        <f t="array" ref="C117">INDEX('崖行動・受け身'!$J$3:$M$115, MATCH($A$1,'崖行動・受け身'!$A$3:$A$115,0), MATCH(C112,'崖行動・受け身'!$J$2:$M$2,0))</f>
        <v>1-21</v>
      </c>
      <c r="D117" s="113">
        <f t="array" ref="D117">INDEX('崖行動・受け身'!$J$3:$M$115, MATCH($A$1,'崖行動・受け身'!$A$3:$A$115,0), MATCH(D112,'崖行動・受け身'!$J$2:$M$2,0))</f>
        <v>55</v>
      </c>
      <c r="E117" s="113" t="str">
        <f t="array" ref="E117">INDEX('崖行動・受け身'!$J$3:$M$115, MATCH($A$1,'崖行動・受け身'!$A$3:$A$115,0), MATCH(E112,'崖行動・受け身'!$J$2:$M$2,0))</f>
        <v>19-21</v>
      </c>
      <c r="F117" s="113">
        <f t="array" ref="F117">INDEX('崖行動・受け身'!$J$3:$M$115, MATCH($A$1,'崖行動・受け身'!$A$3:$A$115,0), MATCH(F112,'崖行動・受け身'!$J$2:$M$2,0))</f>
        <v>9</v>
      </c>
      <c r="G117" s="113">
        <f>F117*1.2</f>
        <v>10.8</v>
      </c>
      <c r="H117" s="228"/>
      <c r="I117" s="228"/>
      <c r="J117" s="111"/>
      <c r="K117" s="146"/>
      <c r="L117" s="303" t="str">
        <f>'テンプレート'!L121</f>
        <v>後投げ</v>
      </c>
      <c r="M117" s="113" t="s">
        <v>232</v>
      </c>
      <c r="N117" s="113">
        <v>24.0</v>
      </c>
      <c r="O117" s="111"/>
      <c r="P117" s="111"/>
      <c r="Q117" s="111"/>
      <c r="R117" s="111"/>
      <c r="S117" s="111"/>
      <c r="T117" s="111"/>
      <c r="U117" s="111"/>
      <c r="V117" s="111"/>
    </row>
    <row r="118" outlineLevel="1">
      <c r="A118" s="299" t="s">
        <v>244</v>
      </c>
      <c r="B118" s="300" t="s">
        <v>216</v>
      </c>
      <c r="C118" s="113" t="str">
        <f t="array" ref="C118">INDEX('崖行動・受け身'!$N$3:$O$115, MATCH($A$1,'崖行動・受け身'!$A$3:$A$115,0), MATCH(C112,'崖行動・受け身'!$N$2:$O$2,0))</f>
        <v>1-20</v>
      </c>
      <c r="D118" s="113">
        <f t="array" ref="D118">INDEX('崖行動・受け身'!$N$3:$O$115, MATCH($A$1,'崖行動・受け身'!$A$3:$A$115,0), MATCH(D112,'崖行動・受け身'!$N$2:$O$2,0))</f>
        <v>26</v>
      </c>
      <c r="E118" s="301"/>
      <c r="F118" s="301"/>
      <c r="G118" s="301"/>
      <c r="H118" s="228"/>
      <c r="I118" s="228"/>
      <c r="J118" s="117"/>
      <c r="K118" s="146"/>
      <c r="L118" s="303" t="str">
        <f>'テンプレート'!L122</f>
        <v>上投げ</v>
      </c>
      <c r="M118" s="113" t="s">
        <v>129</v>
      </c>
      <c r="N118" s="113">
        <v>23.0</v>
      </c>
      <c r="O118" s="228"/>
      <c r="P118" s="228"/>
      <c r="Q118" s="228"/>
      <c r="R118" s="228"/>
      <c r="S118" s="228"/>
      <c r="T118" s="228"/>
      <c r="U118" s="228"/>
      <c r="V118" s="228"/>
    </row>
    <row r="119" outlineLevel="1">
      <c r="A119" s="146"/>
      <c r="B119" s="300" t="s">
        <v>245</v>
      </c>
      <c r="C119" s="113" t="str">
        <f t="array" ref="C119">INDEX('崖行動・受け身'!$P$3:$Q$115, MATCH($A$1,'崖行動・受け身'!$A$3:$A$115,0), MATCH(C112,'崖行動・受け身'!$P$2:$Q$2,0))</f>
        <v>1-20</v>
      </c>
      <c r="D119" s="113">
        <f t="array" ref="D119">INDEX('崖行動・受け身'!$P$3:$Q$115, MATCH($A$1,'崖行動・受け身'!$A$3:$A$115,0), MATCH(D112,'崖行動・受け身'!$P$2:$Q$2,0))</f>
        <v>40</v>
      </c>
      <c r="E119" s="301"/>
      <c r="F119" s="301"/>
      <c r="G119" s="301"/>
      <c r="H119" s="228"/>
      <c r="I119" s="228"/>
      <c r="J119" s="111"/>
      <c r="K119" s="146"/>
      <c r="L119" s="303" t="str">
        <f>'テンプレート'!L123</f>
        <v>下投げ</v>
      </c>
      <c r="M119" s="113" t="s">
        <v>93</v>
      </c>
      <c r="N119" s="113">
        <v>19.0</v>
      </c>
      <c r="O119" s="118"/>
      <c r="P119" s="118"/>
      <c r="Q119" s="118"/>
      <c r="R119" s="118"/>
      <c r="S119" s="118"/>
      <c r="T119" s="118"/>
      <c r="U119" s="118"/>
      <c r="V119" s="118"/>
    </row>
    <row r="120" outlineLevel="1">
      <c r="A120" s="156"/>
      <c r="B120" s="300" t="s">
        <v>246</v>
      </c>
      <c r="C120" s="113" t="str">
        <f t="array" ref="C120">INDEX('崖行動・受け身'!$R$3:$S$115, MATCH($A$1,'崖行動・受け身'!$A$3:$A$115,0), MATCH(C112,'崖行動・受け身'!$R$2:$S$2,0))</f>
        <v>1-20</v>
      </c>
      <c r="D120" s="113">
        <f t="array" ref="D120">INDEX('崖行動・受け身'!$R$3:$S$115, MATCH($A$1,'崖行動・受け身'!$A$3:$A$115,0), MATCH(D112,'崖行動・受け身'!$R$2:$S$2,0))</f>
        <v>40</v>
      </c>
      <c r="E120" s="301"/>
      <c r="F120" s="301"/>
      <c r="G120" s="301"/>
      <c r="H120" s="228"/>
      <c r="I120" s="228"/>
      <c r="J120" s="117"/>
      <c r="K120" s="146"/>
      <c r="L120" s="306" t="str">
        <f>'テンプレート'!L124</f>
        <v>ダッシュ</v>
      </c>
      <c r="M120" s="113" t="s">
        <v>150</v>
      </c>
      <c r="N120" s="113">
        <v>37.0</v>
      </c>
      <c r="O120" s="118"/>
      <c r="P120" s="118"/>
      <c r="Q120" s="118"/>
      <c r="R120" s="118"/>
      <c r="S120" s="118"/>
      <c r="T120" s="118"/>
      <c r="U120" s="118"/>
      <c r="V120" s="118"/>
    </row>
    <row r="121" outlineLevel="1">
      <c r="A121" s="299" t="s">
        <v>247</v>
      </c>
      <c r="B121" s="300" t="s">
        <v>248</v>
      </c>
      <c r="C121" s="301"/>
      <c r="D121" s="113" t="str">
        <f t="array" ref="D121">INDEX('起きあがり'!$C$3:$C118, MATCH($A$1,'起きあがり'!$A$3:$A$115,0), MATCH(D112,'起きあがり'!$C$2:$AD$2,0))</f>
        <v>25</v>
      </c>
      <c r="E121" s="301"/>
      <c r="F121" s="301"/>
      <c r="G121" s="301"/>
      <c r="H121" s="228"/>
      <c r="I121" s="228"/>
      <c r="J121" s="111"/>
      <c r="K121" s="156"/>
      <c r="L121" s="306" t="str">
        <f>'テンプレート'!L125</f>
        <v>その場捨て</v>
      </c>
      <c r="M121" s="113" t="s">
        <v>86</v>
      </c>
      <c r="N121" s="113">
        <v>23.0</v>
      </c>
      <c r="O121" s="118"/>
      <c r="P121" s="118"/>
      <c r="Q121" s="118"/>
      <c r="R121" s="118"/>
      <c r="S121" s="118"/>
      <c r="T121" s="118"/>
      <c r="U121" s="118"/>
      <c r="V121" s="118"/>
    </row>
    <row r="122" outlineLevel="1">
      <c r="A122" s="146"/>
      <c r="B122" s="300" t="s">
        <v>216</v>
      </c>
      <c r="C122" s="307" t="str">
        <f t="array" ref="C122">INDEX('起きあがり'!$D$3:$E118, MATCH($A$1,'起きあがり'!$A$3:$A$115,0), MATCH(C112,'起きあがり'!$D$2:$AD$2,0))</f>
        <v>1-22</v>
      </c>
      <c r="D122" s="308">
        <f t="array" ref="D122">INDEX('起きあがり'!$D$3:$E118, MATCH($A$1,'起きあがり'!$A$3:$A$115,0), MATCH(D112,'起きあがり'!$D$2:$AD$2,0))</f>
        <v>29</v>
      </c>
      <c r="E122" s="301"/>
      <c r="F122" s="301"/>
      <c r="G122" s="301"/>
      <c r="H122" s="228"/>
      <c r="I122" s="228"/>
      <c r="J122" s="117"/>
      <c r="K122" s="305" t="str">
        <f>'テンプレート'!K126</f>
        <v>空中投擲</v>
      </c>
      <c r="L122" s="303" t="str">
        <f>'テンプレート'!L126</f>
        <v>前投げ</v>
      </c>
      <c r="M122" s="113" t="s">
        <v>80</v>
      </c>
      <c r="N122" s="113">
        <v>24.0</v>
      </c>
      <c r="O122" s="118"/>
      <c r="P122" s="118"/>
      <c r="Q122" s="118"/>
      <c r="R122" s="118"/>
      <c r="S122" s="118"/>
      <c r="T122" s="118"/>
      <c r="U122" s="118"/>
      <c r="V122" s="118"/>
    </row>
    <row r="123" outlineLevel="1">
      <c r="A123" s="146"/>
      <c r="B123" s="300" t="s">
        <v>245</v>
      </c>
      <c r="C123" s="307" t="str">
        <f t="array" ref="C123">INDEX('起きあがり'!$F$3:$G$115, MATCH($A$1,'起きあがり'!$A$3:$A$115,0), MATCH(C112,'起きあがり'!$F$2:$AD$2,0))</f>
        <v>1-21</v>
      </c>
      <c r="D123" s="308">
        <f t="array" ref="D123">INDEX('起きあがり'!$F$3:$G$115, MATCH($A$1,'起きあがり'!$A$3:$A$115,0), MATCH(D112,'起きあがり'!$F$2:$AD$2,0))</f>
        <v>35</v>
      </c>
      <c r="E123" s="301"/>
      <c r="F123" s="301"/>
      <c r="G123" s="301"/>
      <c r="H123" s="228"/>
      <c r="I123" s="228"/>
      <c r="J123" s="111"/>
      <c r="K123" s="146"/>
      <c r="L123" s="303" t="str">
        <f>'テンプレート'!L127</f>
        <v>後投げ</v>
      </c>
      <c r="M123" s="113" t="s">
        <v>232</v>
      </c>
      <c r="N123" s="113">
        <v>24.0</v>
      </c>
      <c r="O123" s="118"/>
      <c r="P123" s="118"/>
      <c r="Q123" s="118"/>
      <c r="R123" s="118"/>
      <c r="S123" s="118"/>
      <c r="T123" s="118"/>
      <c r="U123" s="118"/>
      <c r="V123" s="118"/>
    </row>
    <row r="124" outlineLevel="1">
      <c r="A124" s="146"/>
      <c r="B124" s="300" t="s">
        <v>246</v>
      </c>
      <c r="C124" s="113" t="str">
        <f t="array" ref="C124">INDEX('起きあがり'!$H$3:$I$115, MATCH($A$1,'起きあがり'!$A$3:$A$115,0), MATCH(C112,'起きあがり'!$H$2:$AD$2,0))</f>
        <v>1-22</v>
      </c>
      <c r="D124" s="113">
        <f t="array" ref="D124">INDEX('起きあがり'!$H$3:$I$115, MATCH($A$1,'起きあがり'!$A$3:$A$115,0), MATCH(D112,'起きあがり'!$H$2:$AD$2,0))</f>
        <v>35</v>
      </c>
      <c r="E124" s="301"/>
      <c r="F124" s="301"/>
      <c r="G124" s="301"/>
      <c r="H124" s="228"/>
      <c r="I124" s="228"/>
      <c r="J124" s="117"/>
      <c r="K124" s="146"/>
      <c r="L124" s="303" t="str">
        <f>'テンプレート'!L128</f>
        <v>上投げ</v>
      </c>
      <c r="M124" s="113" t="s">
        <v>129</v>
      </c>
      <c r="N124" s="113">
        <v>23.0</v>
      </c>
      <c r="O124" s="118"/>
      <c r="P124" s="118"/>
      <c r="Q124" s="118"/>
      <c r="R124" s="118"/>
      <c r="S124" s="118"/>
      <c r="T124" s="118"/>
      <c r="U124" s="118"/>
      <c r="V124" s="118"/>
    </row>
    <row r="125" outlineLevel="1">
      <c r="A125" s="146"/>
      <c r="B125" s="300" t="s">
        <v>249</v>
      </c>
      <c r="C125" s="309" t="str">
        <f t="array" ref="C125">INDEX('起きあがり'!$J$3:$M$115, MATCH($A$1,'起きあがり'!$A$3:$A$115,0), MATCH(C112,'起きあがり'!$J$2:$AD$2,0))</f>
        <v>1-21</v>
      </c>
      <c r="D125" s="310">
        <f t="array" ref="D125">INDEX('起きあがり'!$J$3:$M$115, MATCH($A$1,'起きあがり'!$A$3:$A$115,0), MATCH(D112,'起きあがり'!$J$2:$AD$2,0))</f>
        <v>45</v>
      </c>
      <c r="E125" s="307" t="str">
        <f t="array" ref="E125">INDEX('起きあがり'!$J$3:$M$115, MATCH($A$1,'起きあがり'!$A$3:$A$115,0), MATCH(E112,'起きあがり'!$J$2:$AD$2,0))</f>
        <v>16-17</v>
      </c>
      <c r="F125" s="308">
        <f t="array" ref="F125">INDEX('起きあがり'!$J$3:$M$115, MATCH($A$1,'起きあがり'!$A$3:$A$115,0), MATCH(F112,'起きあがり'!$J$2:$AD$2,0))</f>
        <v>7</v>
      </c>
      <c r="G125" s="113">
        <f t="shared" ref="G125:G126" si="2">F125*1.2</f>
        <v>8.4</v>
      </c>
      <c r="H125" s="228"/>
      <c r="I125" s="228"/>
      <c r="J125" s="111"/>
      <c r="K125" s="156"/>
      <c r="L125" s="303" t="str">
        <f>'テンプレート'!L129</f>
        <v>下投げ</v>
      </c>
      <c r="M125" s="113" t="s">
        <v>93</v>
      </c>
      <c r="N125" s="113">
        <v>19.0</v>
      </c>
      <c r="O125" s="111"/>
      <c r="P125" s="111"/>
      <c r="Q125" s="111"/>
      <c r="R125" s="111"/>
      <c r="S125" s="111"/>
      <c r="T125" s="111"/>
      <c r="U125" s="111"/>
      <c r="V125" s="111"/>
    </row>
    <row r="126" outlineLevel="1">
      <c r="A126" s="156"/>
      <c r="B126" s="311" t="s">
        <v>250</v>
      </c>
      <c r="C126" s="156"/>
      <c r="D126" s="156"/>
      <c r="E126" s="307" t="str">
        <f t="array" ref="E126">INDEX('起きあがり'!$N$3:$O$115, MATCH($A$1,'起きあがり'!$A$3:$A$115,0), MATCH(E112,'起きあがり'!$N$2:$AD$2,0))</f>
        <v>20-21</v>
      </c>
      <c r="F126" s="308">
        <f t="array" ref="F126">INDEX('起きあがり'!$N$3:$O$115, MATCH($A$1,'起きあがり'!$A$3:$A$115,0), MATCH(F112,'起きあがり'!$N$2:$AD$2,0))</f>
        <v>7</v>
      </c>
      <c r="G126" s="113">
        <f t="shared" si="2"/>
        <v>8.4</v>
      </c>
      <c r="H126" s="228"/>
      <c r="I126" s="228"/>
      <c r="J126" s="111"/>
      <c r="K126" s="312" t="str">
        <f>'テンプレート'!K130</f>
        <v>踏み台ジャンプ</v>
      </c>
      <c r="L126" s="168"/>
      <c r="M126" s="298" t="str">
        <f>'テンプレート'!M130</f>
        <v>全体フレーム</v>
      </c>
      <c r="N126" s="114"/>
      <c r="O126" s="111"/>
      <c r="P126" s="111"/>
      <c r="Q126" s="111"/>
      <c r="R126" s="111"/>
      <c r="S126" s="111"/>
      <c r="T126" s="111"/>
      <c r="U126" s="111"/>
      <c r="V126" s="111"/>
    </row>
    <row r="127" outlineLevel="1">
      <c r="A127" s="299" t="s">
        <v>251</v>
      </c>
      <c r="B127" s="300" t="s">
        <v>248</v>
      </c>
      <c r="C127" s="301"/>
      <c r="D127" s="307" t="str">
        <f t="array" ref="D127">INDEX('起きあがり'!$C$3:$C118, MATCH($A$1,'起きあがり'!$A$3:$A$115,0), MATCH(D112,'起きあがり'!$C$2,0))</f>
        <v>25</v>
      </c>
      <c r="E127" s="301"/>
      <c r="F127" s="301"/>
      <c r="G127" s="301"/>
      <c r="H127" s="228"/>
      <c r="I127" s="228"/>
      <c r="J127" s="117"/>
      <c r="K127" s="313" t="str">
        <f>'テンプレート'!K131</f>
        <v>踏み</v>
      </c>
      <c r="L127" s="314" t="str">
        <f>'テンプレート'!L131</f>
        <v>踏み</v>
      </c>
      <c r="M127" s="113">
        <v>7.0</v>
      </c>
      <c r="N127" s="315"/>
      <c r="O127" s="111"/>
      <c r="P127" s="111"/>
      <c r="Q127" s="111"/>
      <c r="R127" s="111"/>
      <c r="S127" s="111"/>
      <c r="T127" s="111"/>
      <c r="U127" s="111"/>
      <c r="V127" s="111"/>
    </row>
    <row r="128" outlineLevel="1">
      <c r="A128" s="146"/>
      <c r="B128" s="300" t="s">
        <v>216</v>
      </c>
      <c r="C128" s="307" t="str">
        <f t="array" ref="C128">INDEX('起きあがり'!$P$3:$Q$115, MATCH($A$1,'起きあがり'!$A$3:$A$115,0), MATCH(C112,'起きあがり'!$P$2:$AD$2,0))</f>
        <v>1-22</v>
      </c>
      <c r="D128" s="308">
        <f t="array" ref="D128">INDEX('起きあがり'!$P$3:$Q$115, MATCH($A$1,'起きあがり'!$A$3:$A$115,0), MATCH(D112,'起きあがり'!$P$2:$AD$2,0))</f>
        <v>29</v>
      </c>
      <c r="E128" s="301"/>
      <c r="F128" s="301"/>
      <c r="G128" s="301"/>
      <c r="H128" s="228"/>
      <c r="I128" s="228"/>
      <c r="J128" s="111"/>
      <c r="K128" s="305" t="str">
        <f>'テンプレート'!K132</f>
        <v>踏まれ</v>
      </c>
      <c r="L128" s="314" t="str">
        <f>'テンプレート'!L132</f>
        <v>地上踏まれ</v>
      </c>
      <c r="M128" s="113" t="s">
        <v>76</v>
      </c>
      <c r="N128" s="315"/>
      <c r="O128" s="228"/>
      <c r="P128" s="228"/>
      <c r="Q128" s="228"/>
      <c r="R128" s="228"/>
      <c r="S128" s="228"/>
      <c r="T128" s="228"/>
      <c r="U128" s="228"/>
      <c r="V128" s="228"/>
    </row>
    <row r="129" outlineLevel="1">
      <c r="A129" s="146"/>
      <c r="B129" s="300" t="s">
        <v>245</v>
      </c>
      <c r="C129" s="307" t="str">
        <f t="array" ref="C129">INDEX('起きあがり'!$R$3:$S$115, MATCH($A$1,'起きあがり'!$A$3:$A$115,0), MATCH(C112,'起きあがり'!$R$2:$AD$2,0))</f>
        <v>1-19</v>
      </c>
      <c r="D129" s="308">
        <f t="array" ref="D129">INDEX('起きあがり'!$R$3:$S$115, MATCH($A$1,'起きあがり'!$A$3:$A$115,0), MATCH(D112,'起きあがり'!$R$2:$AD$2,0))</f>
        <v>35</v>
      </c>
      <c r="E129" s="301"/>
      <c r="F129" s="301"/>
      <c r="G129" s="301"/>
      <c r="H129" s="228"/>
      <c r="I129" s="228"/>
      <c r="J129" s="117"/>
      <c r="K129" s="146"/>
      <c r="L129" s="314" t="s">
        <v>693</v>
      </c>
      <c r="M129" s="113">
        <v>28.0</v>
      </c>
      <c r="N129" s="102"/>
      <c r="O129" s="118"/>
      <c r="P129" s="118"/>
      <c r="Q129" s="118"/>
      <c r="R129" s="118"/>
      <c r="S129" s="118"/>
      <c r="T129" s="118"/>
      <c r="U129" s="118"/>
      <c r="V129" s="118"/>
    </row>
    <row r="130" outlineLevel="1">
      <c r="A130" s="146"/>
      <c r="B130" s="300" t="s">
        <v>246</v>
      </c>
      <c r="C130" s="307" t="str">
        <f t="array" ref="C130">INDEX('起きあがり'!$T$3:$U$115, MATCH($A$1,'起きあがり'!$A$3:$A$115,0), MATCH(C112,'起きあがり'!$T$2:$AD$2,0))</f>
        <v>1-24</v>
      </c>
      <c r="D130" s="308">
        <f t="array" ref="D130">INDEX('起きあがり'!$T$3:$U$115, MATCH($A$1,'起きあがり'!$A$3:$A$115,0), MATCH(D112,'起きあがり'!$T$2:$AD$2,0))</f>
        <v>35</v>
      </c>
      <c r="E130" s="301"/>
      <c r="F130" s="301"/>
      <c r="G130" s="301"/>
      <c r="H130" s="228"/>
      <c r="I130" s="228"/>
      <c r="J130" s="111"/>
      <c r="K130" s="146"/>
      <c r="L130" s="314" t="str">
        <f>'テンプレート'!L134</f>
        <v>空中踏まれ</v>
      </c>
      <c r="M130" s="113">
        <v>8.0</v>
      </c>
      <c r="N130" s="102"/>
      <c r="O130" s="118"/>
      <c r="P130" s="118"/>
      <c r="Q130" s="118"/>
      <c r="R130" s="118"/>
      <c r="S130" s="118"/>
      <c r="T130" s="118"/>
      <c r="U130" s="118"/>
      <c r="V130" s="118"/>
    </row>
    <row r="131" outlineLevel="1">
      <c r="A131" s="146"/>
      <c r="B131" s="300" t="s">
        <v>249</v>
      </c>
      <c r="C131" s="309" t="str">
        <f t="array" ref="C131">INDEX('起きあがり'!$V$3:$Y$115, MATCH($A$1,'起きあがり'!$A$3:$A$115,0), MATCH(C112,'起きあがり'!$V$2:$AD$2,0))</f>
        <v>1-21</v>
      </c>
      <c r="D131" s="310">
        <f t="array" ref="D131">INDEX('起きあがり'!$V$3:$Y$115, MATCH($A$1,'起きあがり'!$A$3:$A$115,0), MATCH(D112,'起きあがり'!$V$2:$AD$2,0))</f>
        <v>45</v>
      </c>
      <c r="E131" s="307" t="str">
        <f t="array" ref="E131">INDEX('起きあがり'!$V$3:$Y$115, MATCH($A$1,'起きあがり'!$A$3:$A$115,0), MATCH(E112,'起きあがり'!$V$2:$AD$2,0))</f>
        <v>15-21</v>
      </c>
      <c r="F131" s="308">
        <f t="array" ref="F131">INDEX('起きあがり'!$V$3:$Y$115, MATCH($A$1,'起きあがり'!$A$3:$A$115,0), MATCH(F112,'起きあがり'!$V$2:$AD$2,0))</f>
        <v>6</v>
      </c>
      <c r="G131" s="113">
        <f>F131*1.2</f>
        <v>7.2</v>
      </c>
      <c r="H131" s="228"/>
      <c r="I131" s="228"/>
      <c r="J131" s="117"/>
      <c r="K131" s="146"/>
      <c r="L131" s="314" t="str">
        <f>'テンプレート'!L135</f>
        <v>空中落下</v>
      </c>
      <c r="M131" s="113">
        <v>38.0</v>
      </c>
      <c r="N131" s="102"/>
      <c r="O131" s="118"/>
      <c r="P131" s="118"/>
      <c r="Q131" s="118"/>
      <c r="R131" s="118"/>
      <c r="S131" s="118"/>
      <c r="T131" s="118"/>
      <c r="U131" s="118"/>
      <c r="V131" s="118"/>
    </row>
    <row r="132" outlineLevel="1">
      <c r="A132" s="156"/>
      <c r="B132" s="311" t="s">
        <v>250</v>
      </c>
      <c r="C132" s="156"/>
      <c r="D132" s="156"/>
      <c r="E132" s="301"/>
      <c r="F132" s="301"/>
      <c r="G132" s="301"/>
      <c r="H132" s="228"/>
      <c r="I132" s="228"/>
      <c r="J132" s="117"/>
      <c r="K132" s="304" t="str">
        <f>'テンプレート'!K136</f>
        <v>倒れダメージ</v>
      </c>
      <c r="L132" s="110"/>
      <c r="M132" s="298" t="str">
        <f>'テンプレート'!M136</f>
        <v>全体フレーム</v>
      </c>
      <c r="N132" s="102"/>
      <c r="O132" s="118"/>
      <c r="P132" s="118"/>
      <c r="Q132" s="118"/>
      <c r="R132" s="118"/>
      <c r="S132" s="118"/>
      <c r="T132" s="118"/>
      <c r="U132" s="118"/>
      <c r="V132" s="118"/>
    </row>
    <row r="133" outlineLevel="1">
      <c r="A133" s="299" t="s">
        <v>252</v>
      </c>
      <c r="B133" s="300" t="s">
        <v>253</v>
      </c>
      <c r="C133" s="307" t="str">
        <f t="array" ref="C133">INDEX('転倒'!$C$3:$D118, MATCH($A$1,'転倒'!$A$3:$A$115,0), MATCH(C112,'転倒'!$C$2:$AC$2,0))</f>
        <v>1-5</v>
      </c>
      <c r="D133" s="308">
        <f t="array" ref="D133">INDEX('転倒'!$C$3:$D118, MATCH($A$1,'転倒'!$A$3:$A$115,0), MATCH(D112,'転倒'!$C$2:$AC$2,0))</f>
        <v>29</v>
      </c>
      <c r="E133" s="301"/>
      <c r="F133" s="301"/>
      <c r="G133" s="301"/>
      <c r="H133" s="228"/>
      <c r="I133" s="228"/>
      <c r="J133" s="111"/>
      <c r="K133" s="313" t="str">
        <f>'テンプレート'!K137</f>
        <v>あお向け倒れ</v>
      </c>
      <c r="L133" s="306" t="str">
        <f>'テンプレート'!L137</f>
        <v>モーション大</v>
      </c>
      <c r="M133" s="113">
        <v>39.0</v>
      </c>
      <c r="N133" s="315"/>
      <c r="O133" s="118"/>
      <c r="P133" s="118"/>
      <c r="Q133" s="118"/>
      <c r="R133" s="118"/>
      <c r="S133" s="118"/>
      <c r="T133" s="118"/>
      <c r="U133" s="118"/>
      <c r="V133" s="118"/>
    </row>
    <row r="134" outlineLevel="1">
      <c r="A134" s="146"/>
      <c r="B134" s="300" t="s">
        <v>254</v>
      </c>
      <c r="C134" s="307" t="str">
        <f t="array" ref="C134">INDEX('転倒'!$E$3:$F118, MATCH($A$1,'転倒'!$A$3:$A$115,0), MATCH(C112,'転倒'!$E$2:$AC$2,0))</f>
        <v>1-5</v>
      </c>
      <c r="D134" s="308">
        <f t="array" ref="D134">INDEX('転倒'!$E$3:$F118, MATCH($A$1,'転倒'!$A$3:$A$115,0), MATCH(D112,'転倒'!$E$2:$AC$2,0))</f>
        <v>39</v>
      </c>
      <c r="E134" s="301"/>
      <c r="F134" s="301"/>
      <c r="G134" s="301"/>
      <c r="H134" s="228"/>
      <c r="I134" s="228"/>
      <c r="J134" s="117"/>
      <c r="K134" s="313" t="str">
        <f>'テンプレート'!K138</f>
        <v>うつ伏せ倒れ</v>
      </c>
      <c r="L134" s="306" t="str">
        <f>'テンプレート'!L138</f>
        <v>モーション大</v>
      </c>
      <c r="M134" s="113" t="s">
        <v>118</v>
      </c>
      <c r="N134" s="315"/>
      <c r="O134" s="118"/>
      <c r="P134" s="118"/>
      <c r="Q134" s="118"/>
      <c r="R134" s="118"/>
      <c r="S134" s="118"/>
      <c r="T134" s="118"/>
      <c r="U134" s="118"/>
      <c r="V134" s="118"/>
    </row>
    <row r="135" outlineLevel="1">
      <c r="A135" s="146"/>
      <c r="B135" s="300" t="s">
        <v>216</v>
      </c>
      <c r="C135" s="307" t="str">
        <f t="array" ref="C135">INDEX('転倒'!$G$3:$H$115, MATCH($A$1,'転倒'!$A$3:$A$115,0), MATCH(C112,'転倒'!$G$2:$AC$2,0))</f>
        <v>1-16</v>
      </c>
      <c r="D135" s="308">
        <f t="array" ref="D135">INDEX('転倒'!$G$3:$H$115, MATCH($A$1,'転倒'!$A$3:$A$115,0), MATCH(D112,'転倒'!$G$2:$AC$2,0))</f>
        <v>21</v>
      </c>
      <c r="E135" s="301"/>
      <c r="F135" s="301"/>
      <c r="G135" s="301"/>
      <c r="H135" s="228"/>
      <c r="I135" s="228"/>
      <c r="J135" s="111"/>
      <c r="K135" s="304" t="str">
        <f>'テンプレート'!K139</f>
        <v/>
      </c>
      <c r="L135" s="110"/>
      <c r="M135" s="298" t="str">
        <f>'テンプレート'!M139</f>
        <v/>
      </c>
      <c r="N135" s="102"/>
      <c r="O135" s="118"/>
      <c r="P135" s="118"/>
      <c r="Q135" s="118"/>
      <c r="R135" s="118"/>
      <c r="S135" s="118"/>
      <c r="T135" s="118"/>
      <c r="U135" s="118"/>
      <c r="V135" s="118"/>
    </row>
    <row r="136" outlineLevel="1">
      <c r="A136" s="146"/>
      <c r="B136" s="300" t="s">
        <v>245</v>
      </c>
      <c r="C136" s="307" t="str">
        <f t="array" ref="C136">INDEX('転倒'!$I$3:$J$115, MATCH($A$1,'転倒'!$A$3:$A$115,0), MATCH(C112,'転倒'!$I$2:$AC$2,0))</f>
        <v>1-9</v>
      </c>
      <c r="D136" s="308">
        <f t="array" ref="D136">INDEX('転倒'!$I$3:$J$115, MATCH($A$1,'転倒'!$A$3:$A$115,0), MATCH(D112,'転倒'!$I$2:$AC$2,0))</f>
        <v>28</v>
      </c>
      <c r="E136" s="301"/>
      <c r="F136" s="301"/>
      <c r="G136" s="301"/>
      <c r="H136" s="228"/>
      <c r="I136" s="228"/>
      <c r="J136" s="228"/>
      <c r="K136" s="316"/>
      <c r="L136" s="317" t="str">
        <f>'テンプレート'!L140</f>
        <v/>
      </c>
      <c r="M136" s="113" t="s">
        <v>76</v>
      </c>
      <c r="N136" s="102"/>
      <c r="O136" s="118"/>
      <c r="P136" s="118"/>
      <c r="Q136" s="118"/>
      <c r="R136" s="118"/>
      <c r="S136" s="118"/>
      <c r="T136" s="118"/>
      <c r="U136" s="118"/>
      <c r="V136" s="118"/>
    </row>
    <row r="137" outlineLevel="1">
      <c r="A137" s="146"/>
      <c r="B137" s="300" t="s">
        <v>246</v>
      </c>
      <c r="C137" s="307" t="str">
        <f t="array" ref="C137">INDEX('転倒'!$K$3:$L$115, MATCH($A$1,'転倒'!$A$3:$A$115,0), MATCH(C112,'転倒'!$K$2:$AC$2,0))</f>
        <v>1-9</v>
      </c>
      <c r="D137" s="308">
        <f t="array" ref="D137">INDEX('転倒'!$K$3:$L$115, MATCH($A$1,'転倒'!$A$3:$A$115,0), MATCH(D112,'転倒'!$K$2:$AC$2,0))</f>
        <v>28</v>
      </c>
      <c r="E137" s="301"/>
      <c r="F137" s="301"/>
      <c r="G137" s="301"/>
      <c r="H137" s="228"/>
      <c r="I137" s="228"/>
      <c r="J137" s="228"/>
      <c r="K137" s="318"/>
      <c r="L137" s="118"/>
      <c r="M137" s="118"/>
      <c r="N137" s="102"/>
      <c r="O137" s="118"/>
      <c r="P137" s="118"/>
      <c r="Q137" s="118"/>
      <c r="R137" s="118"/>
      <c r="S137" s="118"/>
      <c r="T137" s="118"/>
      <c r="U137" s="118"/>
      <c r="V137" s="118"/>
    </row>
    <row r="138" outlineLevel="1">
      <c r="A138" s="146"/>
      <c r="B138" s="300" t="s">
        <v>249</v>
      </c>
      <c r="C138" s="309" t="str">
        <f t="array" ref="C138">INDEX('転倒'!$M$3:$P$115, MATCH($A$1,'転倒'!$A$3:$A$115,0), MATCH(C112,'転倒'!$M$2:$AC$2,0))</f>
        <v>1-7</v>
      </c>
      <c r="D138" s="310">
        <f t="array" ref="D138">INDEX('転倒'!$M$3:$P$115, MATCH($A$1,'転倒'!$A$3:$A$115,0), MATCH(D112,'転倒'!$M$2:$AC$2,0))</f>
        <v>49</v>
      </c>
      <c r="E138" s="307" t="str">
        <f t="array" ref="E138">INDEX('転倒'!$M$3:$P$115, MATCH($A$1,'転倒'!$A$3:$A$115,0), MATCH(E112,'転倒'!$M$2:$AC$2,0))</f>
        <v>19-20</v>
      </c>
      <c r="F138" s="308">
        <f t="array" ref="F138">INDEX('転倒'!$M$3:$P$115, MATCH($A$1,'転倒'!$A$3:$A$115,0), MATCH(F112,'転倒'!$M$2:$AC$2,0))</f>
        <v>5</v>
      </c>
      <c r="G138" s="113">
        <f t="shared" ref="G138:G139" si="3">F138*1.2</f>
        <v>6</v>
      </c>
      <c r="H138" s="228"/>
      <c r="I138" s="228"/>
      <c r="J138" s="228"/>
      <c r="K138" s="118"/>
      <c r="L138" s="118"/>
      <c r="M138" s="118"/>
      <c r="N138" s="102"/>
      <c r="O138" s="102"/>
      <c r="P138" s="102"/>
      <c r="Q138" s="102"/>
      <c r="R138" s="118"/>
      <c r="S138" s="118"/>
      <c r="T138" s="118"/>
      <c r="U138" s="118"/>
      <c r="V138" s="118"/>
    </row>
    <row r="139" outlineLevel="1">
      <c r="A139" s="156"/>
      <c r="B139" s="311" t="s">
        <v>250</v>
      </c>
      <c r="C139" s="156"/>
      <c r="D139" s="156"/>
      <c r="E139" s="307" t="str">
        <f t="array" ref="E139">INDEX('転倒'!$Q$3:$R$115, MATCH($A$1,'転倒'!$A$3:$A$115,0), MATCH(E112,'転倒'!$Q$2:$AC$2,0))</f>
        <v>26-27</v>
      </c>
      <c r="F139" s="308">
        <f t="array" ref="F139">INDEX('転倒'!$Q$3:$R$115, MATCH($A$1,'転倒'!$A$3:$A$115,0), MATCH(F112,'転倒'!$Q$2:$AC$2,0))</f>
        <v>5</v>
      </c>
      <c r="G139" s="113">
        <f t="shared" si="3"/>
        <v>6</v>
      </c>
      <c r="H139" s="228"/>
      <c r="I139" s="228"/>
      <c r="J139" s="228"/>
      <c r="K139" s="118"/>
      <c r="L139" s="118"/>
      <c r="M139" s="118"/>
      <c r="N139" s="102"/>
      <c r="O139" s="102"/>
      <c r="P139" s="102"/>
      <c r="Q139" s="102"/>
      <c r="R139" s="118"/>
      <c r="S139" s="118"/>
      <c r="T139" s="118"/>
      <c r="U139" s="118"/>
      <c r="V139" s="118"/>
    </row>
    <row r="140" outlineLevel="1">
      <c r="A140" s="319"/>
      <c r="B140" s="320"/>
      <c r="C140" s="321"/>
      <c r="D140" s="321"/>
      <c r="E140" s="322"/>
      <c r="F140" s="322"/>
      <c r="G140" s="114"/>
      <c r="H140" s="228"/>
      <c r="I140" s="228"/>
      <c r="J140" s="228"/>
      <c r="K140" s="118"/>
      <c r="L140" s="118"/>
      <c r="M140" s="118"/>
      <c r="N140" s="102"/>
      <c r="O140" s="102"/>
      <c r="P140" s="102"/>
      <c r="Q140" s="102"/>
      <c r="R140" s="118"/>
      <c r="S140" s="118"/>
      <c r="T140" s="118"/>
      <c r="U140" s="118"/>
      <c r="V140" s="118"/>
    </row>
    <row r="141" outlineLevel="1">
      <c r="A141" s="323" t="s">
        <v>255</v>
      </c>
      <c r="B141" s="109"/>
      <c r="C141" s="321"/>
      <c r="D141" s="321"/>
      <c r="E141" s="322"/>
      <c r="F141" s="322"/>
      <c r="G141" s="114"/>
      <c r="H141" s="228"/>
      <c r="I141" s="228"/>
      <c r="J141" s="228"/>
      <c r="K141" s="118"/>
      <c r="L141" s="118"/>
      <c r="M141" s="118"/>
      <c r="N141" s="102"/>
      <c r="O141" s="102"/>
      <c r="P141" s="102"/>
      <c r="Q141" s="102"/>
      <c r="R141" s="118"/>
      <c r="S141" s="118"/>
      <c r="T141" s="118"/>
      <c r="U141" s="118"/>
      <c r="V141" s="118"/>
    </row>
    <row r="142" outlineLevel="1">
      <c r="A142" s="324" t="s">
        <v>256</v>
      </c>
      <c r="B142" s="109"/>
      <c r="C142" s="325" t="s">
        <v>257</v>
      </c>
      <c r="D142" s="325" t="s">
        <v>49</v>
      </c>
      <c r="E142" s="322"/>
      <c r="F142" s="322"/>
      <c r="G142" s="114"/>
      <c r="H142" s="228"/>
      <c r="I142" s="228"/>
      <c r="J142" s="228"/>
      <c r="K142" s="118"/>
      <c r="L142" s="118"/>
      <c r="M142" s="118"/>
      <c r="N142" s="102"/>
      <c r="O142" s="102"/>
      <c r="P142" s="102"/>
      <c r="Q142" s="102"/>
      <c r="R142" s="118"/>
      <c r="S142" s="118"/>
      <c r="T142" s="118"/>
      <c r="U142" s="118"/>
      <c r="V142" s="118"/>
    </row>
    <row r="143" outlineLevel="1">
      <c r="A143" s="326" t="s">
        <v>258</v>
      </c>
      <c r="B143" s="327" t="s">
        <v>216</v>
      </c>
      <c r="C143" s="328" t="str">
        <f t="array" ref="C143">INDEX('アイテム'!$C$3:$D$114, MATCH($A$1,'アイテム'!$A$3:$A$114,0), MATCH(C142,'アイテム'!$C$2:$AQ$2,0))</f>
        <v>2</v>
      </c>
      <c r="D143" s="328">
        <f t="array" ref="D143">INDEX('アイテム'!$C$3:$D$114, MATCH($A$1,'アイテム'!$A$3:$A$114,0), MATCH(D142,'アイテム'!$C$2:$AQ$2,0))</f>
        <v>7</v>
      </c>
      <c r="E143" s="322"/>
      <c r="F143" s="322"/>
      <c r="G143" s="114"/>
      <c r="H143" s="228"/>
      <c r="I143" s="228"/>
      <c r="J143" s="228"/>
      <c r="K143" s="118"/>
      <c r="L143" s="118"/>
      <c r="M143" s="118"/>
      <c r="N143" s="102"/>
      <c r="O143" s="102"/>
      <c r="P143" s="102"/>
      <c r="Q143" s="102"/>
      <c r="R143" s="118"/>
      <c r="S143" s="118"/>
      <c r="T143" s="118"/>
      <c r="U143" s="118"/>
      <c r="V143" s="118"/>
    </row>
    <row r="144" outlineLevel="1">
      <c r="A144" s="156"/>
      <c r="B144" s="327" t="s">
        <v>219</v>
      </c>
      <c r="C144" s="328" t="str">
        <f t="array" ref="C144">INDEX('アイテム'!$E$3:$F$114, MATCH($A$1,'アイテム'!$A$3:$A$114,0), MATCH(C142,'アイテム'!$C$2:$AQ$2,0))</f>
        <v>2</v>
      </c>
      <c r="D144" s="328">
        <f t="array" ref="D144">INDEX('アイテム'!$E$3:$F$114, MATCH($A$1,'アイテム'!$A$3:$A$114,0), MATCH(D142,'アイテム'!$C$2:$AQ$2,0))</f>
        <v>19</v>
      </c>
      <c r="E144" s="322"/>
      <c r="F144" s="322"/>
      <c r="G144" s="114"/>
      <c r="H144" s="228"/>
      <c r="I144" s="228"/>
      <c r="J144" s="228"/>
      <c r="K144" s="118"/>
      <c r="L144" s="118"/>
      <c r="M144" s="118"/>
      <c r="N144" s="102"/>
      <c r="O144" s="102"/>
      <c r="P144" s="102"/>
      <c r="Q144" s="102"/>
      <c r="R144" s="118"/>
      <c r="S144" s="118"/>
      <c r="T144" s="118"/>
      <c r="U144" s="118"/>
      <c r="V144" s="118"/>
    </row>
    <row r="145" outlineLevel="1">
      <c r="A145" s="329" t="s">
        <v>259</v>
      </c>
      <c r="B145" s="327" t="s">
        <v>216</v>
      </c>
      <c r="C145" s="328">
        <f t="array" ref="C145">INDEX('アイテム'!$AA$3:$AB$114, MATCH($A$1,'アイテム'!$A$3:$A$114,0), MATCH(C142,'アイテム'!$C$2:$AQ$2,0))</f>
        <v>3</v>
      </c>
      <c r="D145" s="328" t="str">
        <f t="array" ref="D145">INDEX('アイテム'!$AA$3:$AB$114, MATCH($A$1,'アイテム'!$A$3:$A$114,0), MATCH(D142,'アイテム'!$C$2:$AQ$2,0))</f>
        <v>12</v>
      </c>
      <c r="E145" s="322"/>
      <c r="F145" s="322"/>
      <c r="G145" s="114"/>
      <c r="H145" s="228"/>
      <c r="I145" s="228"/>
      <c r="J145" s="228"/>
      <c r="K145" s="118"/>
      <c r="L145" s="118"/>
      <c r="M145" s="118"/>
      <c r="N145" s="102"/>
      <c r="O145" s="102"/>
      <c r="P145" s="102"/>
      <c r="Q145" s="102"/>
      <c r="R145" s="118"/>
      <c r="S145" s="118"/>
      <c r="T145" s="118"/>
      <c r="U145" s="118"/>
      <c r="V145" s="118"/>
    </row>
    <row r="146" outlineLevel="1">
      <c r="A146" s="324" t="s">
        <v>260</v>
      </c>
      <c r="B146" s="109"/>
      <c r="C146" s="325" t="s">
        <v>261</v>
      </c>
      <c r="D146" s="325" t="s">
        <v>49</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262</v>
      </c>
      <c r="B147" s="327" t="s">
        <v>226</v>
      </c>
      <c r="C147" s="328" t="str">
        <f t="array" ref="C147">INDEX('アイテム'!$G$3:$H$114, MATCH($A$1,'アイテム'!$A$3:$A$114,0), MATCH(C142,'アイテム'!$C$2:$AQ$2,0))</f>
        <v>8</v>
      </c>
      <c r="D147" s="328">
        <f t="array" ref="D147">INDEX('アイテム'!$G$3:$H$114, MATCH($A$1,'アイテム'!$A$3:$A$114,0), MATCH(D142,'アイテム'!$C$2:$AQ$2,0))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229</v>
      </c>
      <c r="C148" s="328" t="str">
        <f t="array" ref="C148">INDEX('アイテム'!$I$3:$J$114, MATCH($A$1,'アイテム'!$A$3:$A$114,0), MATCH(C142,'アイテム'!$C$2:$AQ$2,0))</f>
        <v>11</v>
      </c>
      <c r="D148" s="328">
        <f t="array" ref="D148">INDEX('アイテム'!$I$3:$J$114, MATCH($A$1,'アイテム'!$A$3:$A$114,0), MATCH(D142,'アイテム'!$C$2:$AQ$2,0))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233</v>
      </c>
      <c r="C149" s="328" t="str">
        <f t="array" ref="C149">INDEX('アイテム'!$K$3:$L$114, MATCH($A$1,'アイテム'!$A$3:$A$114,0), MATCH(C142,'アイテム'!$C$2:$AQ$2,0))</f>
        <v>12</v>
      </c>
      <c r="D149" s="328">
        <f t="array" ref="D149">INDEX('アイテム'!$K$3:$L$114, MATCH($A$1,'アイテム'!$A$3:$A$114,0), MATCH(D142,'アイテム'!$C$2:$AQ$2,0))</f>
        <v>23</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234</v>
      </c>
      <c r="C150" s="328" t="str">
        <f t="array" ref="C150">INDEX('アイテム'!$M$3:$N$114, MATCH($A$1,'アイテム'!$A$3:$A$114,0), MATCH(C142,'アイテム'!$C$2:$AQ$2,0))</f>
        <v>7</v>
      </c>
      <c r="D150" s="328">
        <f t="array" ref="D150">INDEX('アイテム'!$M$3:$N$114, MATCH($A$1,'アイテム'!$A$3:$A$114,0), MATCH(D142,'アイテム'!$C$2:$AQ$2,0))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219</v>
      </c>
      <c r="C151" s="328" t="str">
        <f t="array" ref="C151">INDEX('アイテム'!$O$3:$P$114, MATCH($A$1,'アイテム'!$A$3:$A$114,0), MATCH(C142,'アイテム'!$C$2:$AQ$2,0))</f>
        <v>5</v>
      </c>
      <c r="D151" s="328">
        <f t="array" ref="D151">INDEX('アイテム'!$O$3:$P$114, MATCH($A$1,'アイテム'!$A$3:$A$114,0), MATCH(D142,'アイテム'!$C$2:$AQ$2,0))</f>
        <v>29</v>
      </c>
      <c r="E151" s="322"/>
      <c r="F151" s="322"/>
      <c r="G151" s="114"/>
      <c r="H151" s="228"/>
      <c r="I151" s="228"/>
      <c r="J151" s="228"/>
      <c r="K151" s="118"/>
      <c r="L151" s="118"/>
      <c r="M151" s="118"/>
      <c r="N151" s="102"/>
      <c r="O151" s="102"/>
      <c r="P151" s="102"/>
      <c r="Q151" s="102"/>
      <c r="R151" s="118"/>
      <c r="S151" s="118"/>
      <c r="T151" s="118"/>
      <c r="U151" s="118"/>
      <c r="V151" s="118"/>
    </row>
    <row r="152" outlineLevel="1">
      <c r="A152" s="156"/>
      <c r="B152" s="327" t="s">
        <v>263</v>
      </c>
      <c r="C152" s="328" t="str">
        <f t="array" ref="C152">INDEX('アイテム'!$Q$3:$R$114, MATCH($A$1,'アイテム'!$A$3:$A$114,0), MATCH(C142,'アイテム'!$C$2:$AQ$2,0))</f>
        <v>6</v>
      </c>
      <c r="D152" s="328">
        <f t="array" ref="D152">INDEX('アイテム'!$Q$3:$R$114, MATCH($A$1,'アイテム'!$A$3:$A$114,0), MATCH(D142,'アイテム'!$C$2:$AQ$2,0))</f>
        <v>23</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264</v>
      </c>
      <c r="B153" s="327" t="s">
        <v>226</v>
      </c>
      <c r="C153" s="328" t="str">
        <f t="array" ref="C153">INDEX('アイテム'!$S$3:$T$114, MATCH($A$1,'アイテム'!$A$3:$A$114,0), MATCH(C142,'アイテム'!$C$2:$AQ$2,0))</f>
        <v>8</v>
      </c>
      <c r="D153" s="328">
        <f t="array" ref="D153">INDEX('アイテム'!$S$3:$T$114, MATCH($A$1,'アイテム'!$A$3:$A$114,0), MATCH(D142,'アイテム'!$C$2:$AQ$2,0))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t="str">
        <f t="array" ref="C154">INDEX('アイテム'!$U$3:$V$114, MATCH($A$1,'アイテム'!$A$3:$A$114,0), MATCH(C142,'アイテム'!$C$2:$AQ$2,0))</f>
        <v>11</v>
      </c>
      <c r="D154" s="328">
        <f t="array" ref="D154">INDEX('アイテム'!$U$3:$V$114, MATCH($A$1,'アイテム'!$A$3:$A$114,0), MATCH(D142,'アイテム'!$C$2:$AQ$2,0))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t="str">
        <f t="array" ref="C155">INDEX('アイテム'!$W$3:$X$114, MATCH($A$1,'アイテム'!$A$3:$A$114,0), MATCH(C142,'アイテム'!$C$2:$AQ$2,0))</f>
        <v>12</v>
      </c>
      <c r="D155" s="328">
        <f t="array" ref="D155">INDEX('アイテム'!$W$3:$X$114, MATCH($A$1,'アイテム'!$A$3:$A$114,0), MATCH(D142,'アイテム'!$C$2:$AQ$2,0))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156"/>
      <c r="B156" s="327" t="s">
        <v>234</v>
      </c>
      <c r="C156" s="328" t="str">
        <f t="array" ref="C156">INDEX('アイテム'!$Y$3:$Z$114, MATCH($A$1,'アイテム'!$A$3:$A$114,0), MATCH(C142,'アイテム'!$C$2:$AQ$2,0))</f>
        <v>7</v>
      </c>
      <c r="D156" s="328">
        <f t="array" ref="D156">INDEX('アイテム'!$Y$3:$Z$114, MATCH($A$1,'アイテム'!$A$3:$A$114,0), MATCH(D142,'アイテム'!$C$2:$AQ$2,0))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326" t="s">
        <v>265</v>
      </c>
      <c r="B157" s="327" t="s">
        <v>226</v>
      </c>
      <c r="C157" s="328">
        <f t="array" ref="C157">INDEX('アイテム'!$AC$3:$AD$114, MATCH($A$1,'アイテム'!$A$3:$A$114,0), MATCH(C142,'アイテム'!$C$2:$AQ$2,0))</f>
        <v>14</v>
      </c>
      <c r="D157" s="328" t="str">
        <f t="array" ref="D157">INDEX('アイテム'!$AC$3:$AD$114, MATCH($A$1,'アイテム'!$A$3:$A$114,0), MATCH(D142,'アイテム'!$C$2:$AQ$2,0))</f>
        <v>30</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229</v>
      </c>
      <c r="C158" s="328">
        <f t="array" ref="C158">INDEX('アイテム'!$AE$3:$AF$114, MATCH($A$1,'アイテム'!$A$3:$A$114,0), MATCH(C142,'アイテム'!$C$2:$AQ$2,0))</f>
        <v>16</v>
      </c>
      <c r="D158" s="328" t="str">
        <f t="array" ref="D158">INDEX('アイテム'!$AE$3:$AF$114, MATCH($A$1,'アイテム'!$A$3:$A$114,0), MATCH(D142,'アイテム'!$C$2:$AQ$2,0))</f>
        <v>30</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233</v>
      </c>
      <c r="C159" s="328">
        <f t="array" ref="C159">INDEX('アイテム'!$AG$3:$AH$114, MATCH($A$1,'アイテム'!$A$3:$A$114,0), MATCH(C142,'アイテム'!$C$2:$AQ$2,0))</f>
        <v>11</v>
      </c>
      <c r="D159" s="328" t="str">
        <f t="array" ref="D159">INDEX('アイテム'!$AG$3:$AH$114, MATCH($A$1,'アイテム'!$A$3:$A$114,0), MATCH(D142,'アイテム'!$C$2:$AQ$2,0))</f>
        <v>22</v>
      </c>
      <c r="E159" s="322"/>
      <c r="F159" s="322"/>
      <c r="G159" s="114"/>
      <c r="H159" s="228"/>
      <c r="I159" s="228"/>
      <c r="J159" s="228"/>
      <c r="K159" s="118"/>
      <c r="L159" s="118"/>
      <c r="M159" s="118"/>
      <c r="N159" s="102"/>
      <c r="O159" s="102"/>
      <c r="P159" s="102"/>
      <c r="Q159" s="102"/>
      <c r="R159" s="118"/>
      <c r="S159" s="118"/>
      <c r="T159" s="118"/>
      <c r="U159" s="118"/>
      <c r="V159" s="118"/>
    </row>
    <row r="160" outlineLevel="1">
      <c r="A160" s="156"/>
      <c r="B160" s="327" t="s">
        <v>234</v>
      </c>
      <c r="C160" s="328">
        <f t="array" ref="C160">INDEX('アイテム'!$AI$3:$AJ$114, MATCH($A$1,'アイテム'!$A$3:$A$114,0), MATCH(C142,'アイテム'!$C$2:$AQ$2,0))</f>
        <v>9</v>
      </c>
      <c r="D160" s="328" t="str">
        <f t="array" ref="D160">INDEX('アイテム'!$AI$3:$AJ$114, MATCH($A$1,'アイテム'!$A$3:$A$114,0), MATCH(D142,'アイテム'!$C$2:$AQ$2,0))</f>
        <v>22</v>
      </c>
      <c r="E160" s="322"/>
      <c r="F160" s="322"/>
      <c r="G160" s="114"/>
      <c r="H160" s="228"/>
      <c r="I160" s="228"/>
      <c r="J160" s="228"/>
      <c r="K160" s="118"/>
      <c r="L160" s="118"/>
      <c r="M160" s="118"/>
      <c r="N160" s="102"/>
      <c r="O160" s="102"/>
      <c r="P160" s="102"/>
      <c r="Q160" s="102"/>
      <c r="R160" s="118"/>
      <c r="S160" s="118"/>
      <c r="T160" s="118"/>
      <c r="U160" s="118"/>
      <c r="V160" s="118"/>
    </row>
  </sheetData>
  <mergeCells count="137">
    <mergeCell ref="R52:V53"/>
    <mergeCell ref="R54:V55"/>
    <mergeCell ref="V59:V63"/>
    <mergeCell ref="V65:V73"/>
    <mergeCell ref="U77:U85"/>
    <mergeCell ref="V77:V85"/>
    <mergeCell ref="U31:U32"/>
    <mergeCell ref="U33:U35"/>
    <mergeCell ref="U38:U40"/>
    <mergeCell ref="R44:V44"/>
    <mergeCell ref="R45:V47"/>
    <mergeCell ref="R48:V49"/>
    <mergeCell ref="R50:V51"/>
    <mergeCell ref="H36:J36"/>
    <mergeCell ref="H37:J37"/>
    <mergeCell ref="H38:J40"/>
    <mergeCell ref="H41:J41"/>
    <mergeCell ref="I45:I47"/>
    <mergeCell ref="J45:J47"/>
    <mergeCell ref="J48:J49"/>
    <mergeCell ref="I48:I49"/>
    <mergeCell ref="I50:I51"/>
    <mergeCell ref="J50:J51"/>
    <mergeCell ref="I52:I53"/>
    <mergeCell ref="J52:J53"/>
    <mergeCell ref="I54:I55"/>
    <mergeCell ref="J54:J55"/>
    <mergeCell ref="K113:K114"/>
    <mergeCell ref="K115:L115"/>
    <mergeCell ref="K116:K121"/>
    <mergeCell ref="K122:K125"/>
    <mergeCell ref="K126:L126"/>
    <mergeCell ref="K128:K131"/>
    <mergeCell ref="K132:L132"/>
    <mergeCell ref="K135:L135"/>
    <mergeCell ref="H77:J85"/>
    <mergeCell ref="G93:J93"/>
    <mergeCell ref="G94:J95"/>
    <mergeCell ref="G96:J97"/>
    <mergeCell ref="G98:J99"/>
    <mergeCell ref="G100:J101"/>
    <mergeCell ref="K112:L112"/>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30"/>
    <mergeCell ref="U29:U30"/>
    <mergeCell ref="H31:J32"/>
    <mergeCell ref="H33:J35"/>
    <mergeCell ref="A33:A35"/>
    <mergeCell ref="A38:A40"/>
    <mergeCell ref="H58:J58"/>
    <mergeCell ref="H59:J63"/>
    <mergeCell ref="U59:U63"/>
    <mergeCell ref="H64:J64"/>
    <mergeCell ref="U65:U73"/>
    <mergeCell ref="H65:J73"/>
    <mergeCell ref="H74:J74"/>
    <mergeCell ref="H75:J75"/>
    <mergeCell ref="H76:J76"/>
    <mergeCell ref="C125:C126"/>
    <mergeCell ref="C138:C139"/>
    <mergeCell ref="A133:A139"/>
    <mergeCell ref="A141:B141"/>
    <mergeCell ref="A142:B142"/>
    <mergeCell ref="A143:A144"/>
    <mergeCell ref="A146:B146"/>
    <mergeCell ref="A147:A152"/>
    <mergeCell ref="A153:A156"/>
    <mergeCell ref="A157:A160"/>
    <mergeCell ref="A108:A109"/>
    <mergeCell ref="A113:A117"/>
    <mergeCell ref="A118:A120"/>
    <mergeCell ref="A121:A126"/>
    <mergeCell ref="D125:D126"/>
    <mergeCell ref="A127:A132"/>
    <mergeCell ref="D138:D139"/>
    <mergeCell ref="A24:B25"/>
    <mergeCell ref="A26:A28"/>
    <mergeCell ref="A29:A30"/>
    <mergeCell ref="D29:D30"/>
    <mergeCell ref="A31:A32"/>
    <mergeCell ref="D31:D32"/>
    <mergeCell ref="D33:D35"/>
    <mergeCell ref="D52:D53"/>
    <mergeCell ref="D54:D55"/>
    <mergeCell ref="D94:D95"/>
    <mergeCell ref="D96:D97"/>
    <mergeCell ref="D98:D99"/>
    <mergeCell ref="D100:D101"/>
    <mergeCell ref="D38:D40"/>
    <mergeCell ref="A43:B44"/>
    <mergeCell ref="A45:A47"/>
    <mergeCell ref="D45:D47"/>
    <mergeCell ref="A48:A49"/>
    <mergeCell ref="D48:D49"/>
    <mergeCell ref="D50:D51"/>
    <mergeCell ref="A50:A51"/>
    <mergeCell ref="A52:A53"/>
    <mergeCell ref="A54:A55"/>
    <mergeCell ref="A57:B57"/>
    <mergeCell ref="A58:B58"/>
    <mergeCell ref="A59:A63"/>
    <mergeCell ref="A64:B64"/>
    <mergeCell ref="A65:A73"/>
    <mergeCell ref="A74:B74"/>
    <mergeCell ref="A76:B76"/>
    <mergeCell ref="A77:A85"/>
    <mergeCell ref="A87:B88"/>
    <mergeCell ref="A90:A92"/>
    <mergeCell ref="A93:B93"/>
    <mergeCell ref="A94:A95"/>
    <mergeCell ref="A96:A97"/>
    <mergeCell ref="A98:A99"/>
    <mergeCell ref="A100:A101"/>
    <mergeCell ref="A103:B104"/>
    <mergeCell ref="A105:A107"/>
    <mergeCell ref="A111:B112"/>
    <mergeCell ref="C131:C132"/>
    <mergeCell ref="D131:D132"/>
  </mergeCells>
  <conditionalFormatting sqref="K1:K15 K17:K136 C61:C63 E61:G63 L61:T63">
    <cfRule type="containsText" dxfId="0" priority="1" operator="containsText" text="361">
      <formula>NOT(ISERROR(SEARCH(("361"),(K1))))</formula>
    </cfRule>
  </conditionalFormatting>
  <conditionalFormatting sqref="K1:K15 K17:K136 C61:C63 E61:G63 L61:T63">
    <cfRule type="containsText" dxfId="1" priority="2" operator="containsText" text="363">
      <formula>NOT(ISERROR(SEARCH(("363"),(K1))))</formula>
    </cfRule>
  </conditionalFormatting>
  <conditionalFormatting sqref="K1:K15 K17:K136 C61:C63 E61:G63 L61:T63">
    <cfRule type="containsText" dxfId="1" priority="3" operator="containsText" text="365">
      <formula>NOT(ISERROR(SEARCH(("365"),(K1))))</formula>
    </cfRule>
  </conditionalFormatting>
  <conditionalFormatting sqref="K1:K15 K17:K136 C61:C63 E61:G63 L61:T63">
    <cfRule type="containsText" dxfId="1" priority="4" operator="containsText" text="366">
      <formula>NOT(ISERROR(SEARCH(("366"),(K1))))</formula>
    </cfRule>
  </conditionalFormatting>
  <conditionalFormatting sqref="K1:K15 K17:K136 C61:C63 E61:G63 L61:T63">
    <cfRule type="containsText" dxfId="1" priority="5" operator="containsText" text="367">
      <formula>NOT(ISERROR(SEARCH(("367"),(K1))))</formula>
    </cfRule>
  </conditionalFormatting>
  <conditionalFormatting sqref="P94:P101">
    <cfRule type="cellIs" dxfId="2" priority="6" operator="equal">
      <formula>"敵のみ"</formula>
    </cfRule>
  </conditionalFormatting>
  <conditionalFormatting sqref="C94:C101">
    <cfRule type="cellIs" dxfId="3" priority="7" operator="equal">
      <formula>"-"</formula>
    </cfRule>
  </conditionalFormatting>
  <conditionalFormatting sqref="O1:O160 C61:C63 E61:G63 K61:N63 P61:T63 C70:C73 E70:G73 K71:N73 P71:T73 C82:C85 E82:G85 K82:N85 P82:T85 C96 E96:F96 K96:N96 P96:Q96 P101">
    <cfRule type="cellIs" dxfId="4" priority="8" operator="greaterThan">
      <formula>0</formula>
    </cfRule>
  </conditionalFormatting>
  <conditionalFormatting sqref="P1:Q160">
    <cfRule type="cellIs" dxfId="5" priority="9" operator="lessThan">
      <formula>1</formula>
    </cfRule>
  </conditionalFormatting>
  <conditionalFormatting sqref="P1:Q160">
    <cfRule type="cellIs" dxfId="4" priority="10" operator="greaterThan">
      <formula>1</formula>
    </cfRule>
  </conditionalFormatting>
  <conditionalFormatting sqref="N25:N101">
    <cfRule type="cellIs" dxfId="6" priority="11" operator="greaterThan">
      <formula>0</formula>
    </cfRule>
  </conditionalFormatting>
  <conditionalFormatting sqref="N1:N15 N17:N160">
    <cfRule type="containsText" dxfId="6" priority="12" operator="containsText" text="/">
      <formula>NOT(ISERROR(SEARCH(("/"),(N1))))</formula>
    </cfRule>
  </conditionalFormatting>
  <drawing r:id="rId2"/>
  <legacyDrawing r:id="rId3"/>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EA6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868">
        <v>39.0</v>
      </c>
      <c r="B1" s="1869"/>
      <c r="C1" s="1870" t="str">
        <f>IMAGE(VLOOKUP($A$1,Fighters!A2:AI114,12,FALSE),1)</f>
        <v>#REF!</v>
      </c>
      <c r="D1" s="1871"/>
      <c r="E1" s="1871"/>
      <c r="F1" s="1871"/>
      <c r="G1" s="1872"/>
      <c r="H1" s="1873"/>
      <c r="I1" s="1871"/>
      <c r="J1" s="1872"/>
      <c r="K1" s="1874"/>
      <c r="L1" s="1871"/>
      <c r="M1" s="1872"/>
      <c r="N1" s="1875"/>
      <c r="O1" s="1875"/>
      <c r="P1" s="1875"/>
      <c r="Q1" s="1875"/>
      <c r="R1" s="1876"/>
      <c r="S1" s="1876"/>
      <c r="T1" s="1876"/>
      <c r="U1" s="1876"/>
      <c r="V1" s="1876"/>
    </row>
    <row r="2">
      <c r="A2" s="1877" t="str">
        <f>VLOOKUP($A$1,Fighters!$A$2:$AI$81,6,FALSE)</f>
        <v>#eaea68</v>
      </c>
      <c r="B2" s="1869"/>
      <c r="C2" s="1878"/>
      <c r="G2" s="1879"/>
      <c r="H2" s="1880"/>
      <c r="I2" s="1881"/>
      <c r="J2" s="1882"/>
      <c r="K2" s="1880"/>
      <c r="L2" s="1881"/>
      <c r="M2" s="1882"/>
      <c r="N2" s="1875"/>
      <c r="O2" s="1875"/>
      <c r="P2" s="1875"/>
      <c r="Q2" s="1875"/>
      <c r="R2" s="1876"/>
      <c r="S2" s="1876"/>
      <c r="T2" s="1876"/>
      <c r="U2" s="1876"/>
      <c r="V2" s="1876"/>
    </row>
    <row r="3">
      <c r="A3" s="1877" t="str">
        <f>VLOOKUP($A$1,Fighters!$A$2:$AI$81,14,FALSE)</f>
        <v>39. デデデ</v>
      </c>
      <c r="B3" s="1869"/>
      <c r="C3" s="1878"/>
      <c r="G3" s="1879"/>
      <c r="H3" s="1883"/>
      <c r="I3" s="1883"/>
      <c r="J3" s="1883"/>
      <c r="K3" s="1884"/>
      <c r="L3" s="1884"/>
      <c r="M3" s="1884"/>
      <c r="N3" s="1875"/>
      <c r="O3" s="1875"/>
      <c r="P3" s="1875"/>
      <c r="Q3" s="1875"/>
      <c r="R3" s="1885"/>
      <c r="S3" s="1876"/>
      <c r="T3" s="1876"/>
      <c r="U3" s="1876"/>
      <c r="V3" s="1876"/>
    </row>
    <row r="4">
      <c r="A4" s="1877" t="str">
        <f>VLOOKUP($A$1,Fighters!$A$2:$AI$81,13,FALSE)</f>
        <v>0</v>
      </c>
      <c r="B4" s="1869"/>
      <c r="C4" s="1878"/>
      <c r="G4" s="1879"/>
      <c r="H4" s="1886"/>
      <c r="I4" s="1886"/>
      <c r="J4" s="1883"/>
      <c r="K4" s="1884"/>
      <c r="L4" s="1884"/>
      <c r="M4" s="1884"/>
      <c r="N4" s="1875"/>
      <c r="O4" s="1875"/>
      <c r="P4" s="1875"/>
      <c r="Q4" s="1875"/>
      <c r="R4" s="1885"/>
      <c r="S4" s="1876"/>
      <c r="T4" s="1876"/>
      <c r="U4" s="1876"/>
      <c r="V4" s="1876"/>
    </row>
    <row r="5" ht="16.5" customHeight="1">
      <c r="A5" s="1868"/>
      <c r="B5" s="1869"/>
      <c r="C5" s="1878"/>
      <c r="G5" s="1879"/>
      <c r="H5" s="1887"/>
      <c r="I5" s="1887"/>
      <c r="J5" s="1888"/>
      <c r="K5" s="1889"/>
      <c r="L5" s="1890"/>
      <c r="M5" s="1890"/>
      <c r="N5" s="1875"/>
      <c r="O5" s="1875"/>
      <c r="P5" s="1875"/>
      <c r="Q5" s="1875"/>
      <c r="R5" s="1885"/>
      <c r="S5" s="1876"/>
      <c r="T5" s="1876"/>
      <c r="U5" s="1876"/>
      <c r="V5" s="1876"/>
    </row>
    <row r="6">
      <c r="A6" s="1869"/>
      <c r="B6" s="1869"/>
      <c r="C6" s="1878"/>
      <c r="G6" s="1879"/>
      <c r="H6" s="1886"/>
      <c r="I6" s="1891" t="s">
        <v>39</v>
      </c>
      <c r="J6" s="1889"/>
      <c r="K6" s="1892"/>
      <c r="L6" s="1890"/>
      <c r="M6" s="1890"/>
      <c r="N6" s="1875"/>
      <c r="O6" s="1875"/>
      <c r="P6" s="1875"/>
      <c r="Q6" s="1875"/>
      <c r="R6" s="1885"/>
      <c r="S6" s="1876"/>
      <c r="T6" s="1876"/>
      <c r="U6" s="1876"/>
      <c r="V6" s="1876"/>
    </row>
    <row r="7">
      <c r="A7" s="1869"/>
      <c r="B7" s="1869"/>
      <c r="C7" s="1878"/>
      <c r="G7" s="1879"/>
      <c r="H7" s="1887"/>
      <c r="I7" s="1887"/>
      <c r="J7" s="1889"/>
      <c r="K7" s="1892"/>
      <c r="L7" s="1890"/>
      <c r="M7" s="1890"/>
      <c r="N7" s="1875"/>
      <c r="O7" s="1875"/>
      <c r="P7" s="1875"/>
      <c r="Q7" s="1875"/>
      <c r="R7" s="1885"/>
      <c r="S7" s="1876"/>
      <c r="T7" s="1876"/>
      <c r="U7" s="1876"/>
      <c r="V7" s="1876"/>
    </row>
    <row r="8">
      <c r="A8" s="1869"/>
      <c r="B8" s="1869"/>
      <c r="C8" s="1878"/>
      <c r="G8" s="1879"/>
      <c r="H8" s="1893">
        <v>44379.83860668982</v>
      </c>
      <c r="I8" s="1871"/>
      <c r="J8" s="1872"/>
      <c r="K8" s="1889"/>
      <c r="L8" s="1890"/>
      <c r="M8" s="1890"/>
      <c r="N8" s="1875"/>
      <c r="O8" s="1875"/>
      <c r="P8" s="1875"/>
      <c r="Q8" s="1875"/>
      <c r="R8" s="1885"/>
      <c r="S8" s="1876"/>
      <c r="T8" s="1876"/>
      <c r="U8" s="1876"/>
      <c r="V8" s="1876"/>
    </row>
    <row r="9">
      <c r="A9" s="1869"/>
      <c r="B9" s="1869"/>
      <c r="C9" s="1878"/>
      <c r="G9" s="1879"/>
      <c r="H9" s="1880"/>
      <c r="I9" s="1881"/>
      <c r="J9" s="1882"/>
      <c r="K9" s="1876"/>
      <c r="L9" s="1875"/>
      <c r="M9" s="1875"/>
      <c r="N9" s="1875"/>
      <c r="O9" s="1875"/>
      <c r="P9" s="1875"/>
      <c r="Q9" s="1875"/>
      <c r="R9" s="1885"/>
      <c r="S9" s="1876"/>
      <c r="T9" s="1876"/>
      <c r="U9" s="1876"/>
      <c r="V9" s="1876"/>
    </row>
    <row r="10">
      <c r="A10" s="1869"/>
      <c r="B10" s="1869"/>
      <c r="C10" s="1878"/>
      <c r="G10" s="1879"/>
      <c r="H10" s="1894"/>
      <c r="I10" s="1894"/>
      <c r="J10" s="1876"/>
      <c r="K10" s="1876"/>
      <c r="L10" s="1875"/>
      <c r="M10" s="1875"/>
      <c r="N10" s="1875"/>
      <c r="O10" s="1875"/>
      <c r="P10" s="1875"/>
      <c r="Q10" s="1875"/>
      <c r="R10" s="1885"/>
      <c r="S10" s="1876"/>
      <c r="T10" s="1876"/>
      <c r="U10" s="1876"/>
      <c r="V10" s="1876"/>
    </row>
    <row r="11">
      <c r="A11" s="1895" t="s">
        <v>40</v>
      </c>
      <c r="B11" s="1872"/>
      <c r="C11" s="1878"/>
      <c r="G11" s="1879"/>
      <c r="H11" s="1887"/>
      <c r="I11" s="1887"/>
      <c r="J11" s="1876"/>
      <c r="K11" s="1876"/>
      <c r="L11" s="1875"/>
      <c r="M11" s="1875"/>
      <c r="N11" s="1875"/>
      <c r="O11" s="1875"/>
      <c r="P11" s="1875"/>
      <c r="Q11" s="1875"/>
      <c r="R11" s="1885"/>
      <c r="S11" s="1876"/>
      <c r="T11" s="1876"/>
      <c r="U11" s="1876"/>
      <c r="V11" s="1876"/>
    </row>
    <row r="12">
      <c r="A12" s="1880"/>
      <c r="B12" s="1882"/>
      <c r="C12" s="1880"/>
      <c r="D12" s="1881"/>
      <c r="E12" s="1881"/>
      <c r="F12" s="1881"/>
      <c r="G12" s="1882"/>
      <c r="H12" s="1896"/>
      <c r="I12" s="1896"/>
      <c r="J12" s="1869"/>
      <c r="K12" s="1869"/>
      <c r="L12" s="1875"/>
      <c r="M12" s="1875"/>
      <c r="N12" s="1875"/>
      <c r="O12" s="1875"/>
      <c r="P12" s="1875"/>
      <c r="Q12" s="1875"/>
      <c r="R12" s="1885"/>
      <c r="S12" s="1876"/>
      <c r="T12" s="1876"/>
      <c r="U12" s="1876"/>
      <c r="V12" s="187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2857</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127 [3rd]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36F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1.815 [62nd]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1.029 [54th]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48F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0.13838 [60th]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32.85 [43rd]</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6F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1.496 [76th]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0.085 [79th]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16.02 [43rd]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0.735 [89th]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32F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28.5 [73rd]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1.95 [2nd]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0.006 [77th]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3.12 [2nd]</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0.097 [37th]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128</v>
      </c>
      <c r="D26" s="139" t="s">
        <v>964</v>
      </c>
      <c r="E26" s="139" t="s">
        <v>535</v>
      </c>
      <c r="F26" s="138">
        <v>3.0</v>
      </c>
      <c r="G26" s="139" t="s">
        <v>147</v>
      </c>
      <c r="H26" s="140" t="s">
        <v>2858</v>
      </c>
      <c r="I26" s="110"/>
      <c r="J26" s="109"/>
      <c r="K26" s="138"/>
      <c r="L26" s="282"/>
      <c r="M26" s="363"/>
      <c r="N26" s="363"/>
      <c r="O26" s="145">
        <v>0.0</v>
      </c>
      <c r="P26" s="145">
        <v>1.0</v>
      </c>
      <c r="Q26" s="145">
        <v>1.0</v>
      </c>
      <c r="R26" s="100"/>
      <c r="S26" s="100"/>
      <c r="T26" s="100"/>
      <c r="U26" s="145" t="s">
        <v>69</v>
      </c>
      <c r="V26" s="100"/>
    </row>
    <row r="27" outlineLevel="1">
      <c r="A27" s="146"/>
      <c r="B27" s="147" t="s">
        <v>63</v>
      </c>
      <c r="C27" s="216" t="s">
        <v>299</v>
      </c>
      <c r="D27" s="216" t="s">
        <v>105</v>
      </c>
      <c r="E27" s="216" t="s">
        <v>58</v>
      </c>
      <c r="F27" s="138">
        <v>2.64</v>
      </c>
      <c r="G27" s="139" t="s">
        <v>60</v>
      </c>
      <c r="H27" s="140" t="s">
        <v>2859</v>
      </c>
      <c r="I27" s="110"/>
      <c r="J27" s="109"/>
      <c r="K27" s="282"/>
      <c r="L27" s="282"/>
      <c r="M27" s="363"/>
      <c r="N27" s="363"/>
      <c r="O27" s="145">
        <v>0.0</v>
      </c>
      <c r="P27" s="145">
        <v>1.0</v>
      </c>
      <c r="Q27" s="145">
        <v>1.0</v>
      </c>
      <c r="R27" s="100"/>
      <c r="S27" s="100"/>
      <c r="T27" s="100"/>
      <c r="U27" s="145" t="s">
        <v>76</v>
      </c>
      <c r="V27" s="100"/>
    </row>
    <row r="28" outlineLevel="1">
      <c r="A28" s="146"/>
      <c r="B28" s="147" t="s">
        <v>703</v>
      </c>
      <c r="C28" s="657"/>
      <c r="D28" s="216" t="s">
        <v>176</v>
      </c>
      <c r="E28" s="657"/>
      <c r="F28" s="658"/>
      <c r="G28" s="659"/>
      <c r="H28" s="159"/>
      <c r="I28" s="110"/>
      <c r="J28" s="109"/>
      <c r="K28" s="261"/>
      <c r="L28" s="261"/>
      <c r="M28" s="261"/>
      <c r="N28" s="261"/>
      <c r="O28" s="261"/>
      <c r="P28" s="261"/>
      <c r="Q28" s="261"/>
      <c r="R28" s="100"/>
      <c r="S28" s="100"/>
      <c r="T28" s="100"/>
      <c r="U28" s="145" t="s">
        <v>76</v>
      </c>
      <c r="V28" s="100"/>
    </row>
    <row r="29" outlineLevel="1">
      <c r="A29" s="146"/>
      <c r="B29" s="147" t="s">
        <v>704</v>
      </c>
      <c r="C29" s="216" t="s">
        <v>2860</v>
      </c>
      <c r="D29" s="467" t="s">
        <v>1114</v>
      </c>
      <c r="E29" s="216" t="s">
        <v>1098</v>
      </c>
      <c r="F29" s="138">
        <v>0.6</v>
      </c>
      <c r="G29" s="450" t="s">
        <v>147</v>
      </c>
      <c r="H29" s="140" t="s">
        <v>2861</v>
      </c>
      <c r="I29" s="110"/>
      <c r="J29" s="109"/>
      <c r="K29" s="282"/>
      <c r="L29" s="282"/>
      <c r="M29" s="363"/>
      <c r="N29" s="363"/>
      <c r="O29" s="145">
        <v>0.0</v>
      </c>
      <c r="P29" s="145">
        <v>1.0</v>
      </c>
      <c r="Q29" s="145">
        <v>1.0</v>
      </c>
      <c r="R29" s="100"/>
      <c r="S29" s="100"/>
      <c r="T29" s="100"/>
      <c r="U29" s="145" t="s">
        <v>76</v>
      </c>
      <c r="V29" s="100"/>
    </row>
    <row r="30" outlineLevel="1">
      <c r="A30" s="156"/>
      <c r="B30" s="147" t="s">
        <v>708</v>
      </c>
      <c r="C30" s="216" t="s">
        <v>73</v>
      </c>
      <c r="D30" s="216" t="s">
        <v>185</v>
      </c>
      <c r="E30" s="467" t="s">
        <v>204</v>
      </c>
      <c r="F30" s="138">
        <v>3.5999999999999996</v>
      </c>
      <c r="G30" s="467" t="s">
        <v>147</v>
      </c>
      <c r="H30" s="140" t="s">
        <v>411</v>
      </c>
      <c r="I30" s="110"/>
      <c r="J30" s="109"/>
      <c r="K30" s="282"/>
      <c r="L30" s="282"/>
      <c r="M30" s="363"/>
      <c r="N30" s="363"/>
      <c r="O30" s="145">
        <v>0.0</v>
      </c>
      <c r="P30" s="145">
        <v>1.0</v>
      </c>
      <c r="Q30" s="145">
        <v>1.0</v>
      </c>
      <c r="R30" s="100"/>
      <c r="S30" s="100"/>
      <c r="T30" s="100"/>
      <c r="U30" s="145" t="s">
        <v>76</v>
      </c>
      <c r="V30" s="100"/>
    </row>
    <row r="31" outlineLevel="1">
      <c r="A31" s="133" t="s">
        <v>77</v>
      </c>
      <c r="B31" s="160"/>
      <c r="C31" s="467" t="s">
        <v>522</v>
      </c>
      <c r="D31" s="455" t="s">
        <v>1577</v>
      </c>
      <c r="E31" s="467" t="s">
        <v>153</v>
      </c>
      <c r="F31" s="138">
        <v>19.2</v>
      </c>
      <c r="G31" s="139" t="s">
        <v>82</v>
      </c>
      <c r="H31" s="163" t="s">
        <v>411</v>
      </c>
      <c r="I31" s="164"/>
      <c r="J31" s="104"/>
      <c r="K31" s="138"/>
      <c r="L31" s="282"/>
      <c r="M31" s="363"/>
      <c r="N31" s="363"/>
      <c r="O31" s="145">
        <v>3.0</v>
      </c>
      <c r="P31" s="145">
        <v>1.0</v>
      </c>
      <c r="Q31" s="145">
        <v>1.0</v>
      </c>
      <c r="R31" s="100"/>
      <c r="S31" s="100"/>
      <c r="T31" s="100"/>
      <c r="U31" s="166" t="s">
        <v>69</v>
      </c>
      <c r="V31" s="100"/>
    </row>
    <row r="32" outlineLevel="1">
      <c r="A32" s="156"/>
      <c r="B32" s="147" t="s">
        <v>84</v>
      </c>
      <c r="C32" s="216" t="s">
        <v>2862</v>
      </c>
      <c r="D32" s="107"/>
      <c r="E32" s="467" t="s">
        <v>228</v>
      </c>
      <c r="F32" s="138">
        <v>15.6</v>
      </c>
      <c r="G32" s="139" t="s">
        <v>407</v>
      </c>
      <c r="H32" s="106"/>
      <c r="I32" s="168"/>
      <c r="J32" s="107"/>
      <c r="K32" s="282"/>
      <c r="L32" s="282"/>
      <c r="M32" s="363"/>
      <c r="N32" s="363"/>
      <c r="O32" s="145">
        <v>3.0</v>
      </c>
      <c r="P32" s="145">
        <v>1.0</v>
      </c>
      <c r="Q32" s="145">
        <v>1.0</v>
      </c>
      <c r="R32" s="100"/>
      <c r="S32" s="100"/>
      <c r="T32" s="100"/>
      <c r="U32" s="156"/>
      <c r="V32" s="100"/>
    </row>
    <row r="33" outlineLevel="1">
      <c r="A33" s="133" t="s">
        <v>89</v>
      </c>
      <c r="B33" s="147" t="s">
        <v>199</v>
      </c>
      <c r="C33" s="467" t="s">
        <v>2863</v>
      </c>
      <c r="D33" s="455" t="s">
        <v>541</v>
      </c>
      <c r="E33" s="467" t="s">
        <v>176</v>
      </c>
      <c r="F33" s="138">
        <v>2.4</v>
      </c>
      <c r="G33" s="139" t="s">
        <v>60</v>
      </c>
      <c r="H33" s="163" t="s">
        <v>411</v>
      </c>
      <c r="I33" s="164"/>
      <c r="J33" s="104"/>
      <c r="K33" s="138"/>
      <c r="L33" s="282"/>
      <c r="M33" s="363"/>
      <c r="N33" s="363"/>
      <c r="O33" s="145">
        <v>0.0</v>
      </c>
      <c r="P33" s="145">
        <v>1.0</v>
      </c>
      <c r="Q33" s="145">
        <v>1.0</v>
      </c>
      <c r="R33" s="100"/>
      <c r="S33" s="100"/>
      <c r="T33" s="100"/>
      <c r="U33" s="166" t="s">
        <v>96</v>
      </c>
      <c r="V33" s="100"/>
    </row>
    <row r="34" outlineLevel="1">
      <c r="A34" s="156"/>
      <c r="B34" s="147" t="s">
        <v>202</v>
      </c>
      <c r="C34" s="467" t="s">
        <v>173</v>
      </c>
      <c r="D34" s="107"/>
      <c r="E34" s="467" t="s">
        <v>204</v>
      </c>
      <c r="F34" s="138">
        <v>3.5999999999999996</v>
      </c>
      <c r="G34" s="139" t="s">
        <v>147</v>
      </c>
      <c r="H34" s="106"/>
      <c r="I34" s="168"/>
      <c r="J34" s="107"/>
      <c r="K34" s="138"/>
      <c r="L34" s="282"/>
      <c r="M34" s="363"/>
      <c r="N34" s="363"/>
      <c r="O34" s="145">
        <v>0.0</v>
      </c>
      <c r="P34" s="145">
        <v>1.0</v>
      </c>
      <c r="Q34" s="145">
        <v>1.0</v>
      </c>
      <c r="R34" s="100"/>
      <c r="S34" s="100"/>
      <c r="T34" s="100"/>
      <c r="U34" s="156"/>
      <c r="V34" s="100"/>
    </row>
    <row r="35" outlineLevel="1">
      <c r="A35" s="170" t="s">
        <v>97</v>
      </c>
      <c r="B35" s="160"/>
      <c r="C35" s="216" t="s">
        <v>890</v>
      </c>
      <c r="D35" s="216" t="s">
        <v>282</v>
      </c>
      <c r="E35" s="450" t="s">
        <v>2864</v>
      </c>
      <c r="F35" s="138" t="s">
        <v>2865</v>
      </c>
      <c r="G35" s="139" t="s">
        <v>1511</v>
      </c>
      <c r="H35" s="140" t="s">
        <v>2866</v>
      </c>
      <c r="I35" s="110"/>
      <c r="J35" s="109"/>
      <c r="K35" s="282"/>
      <c r="L35" s="282"/>
      <c r="M35" s="363"/>
      <c r="N35" s="363"/>
      <c r="O35" s="145">
        <v>0.0</v>
      </c>
      <c r="P35" s="145">
        <v>1.0</v>
      </c>
      <c r="Q35" s="145">
        <v>1.0</v>
      </c>
      <c r="R35" s="100"/>
      <c r="S35" s="100"/>
      <c r="T35" s="100"/>
      <c r="U35" s="145" t="s">
        <v>69</v>
      </c>
      <c r="V35" s="100"/>
    </row>
    <row r="36" outlineLevel="1">
      <c r="A36" s="133" t="s">
        <v>103</v>
      </c>
      <c r="B36" s="160"/>
      <c r="C36" s="216" t="s">
        <v>217</v>
      </c>
      <c r="D36" s="195" t="s">
        <v>79</v>
      </c>
      <c r="E36" s="216" t="s">
        <v>128</v>
      </c>
      <c r="F36" s="138">
        <v>12.0</v>
      </c>
      <c r="G36" s="139" t="s">
        <v>121</v>
      </c>
      <c r="H36" s="456"/>
      <c r="I36" s="164"/>
      <c r="J36" s="104"/>
      <c r="K36" s="145"/>
      <c r="L36" s="363"/>
      <c r="M36" s="363"/>
      <c r="N36" s="363"/>
      <c r="O36" s="145">
        <v>0.0</v>
      </c>
      <c r="P36" s="145">
        <v>1.0</v>
      </c>
      <c r="Q36" s="145">
        <v>1.0</v>
      </c>
      <c r="R36" s="100"/>
      <c r="S36" s="100"/>
      <c r="T36" s="100"/>
      <c r="U36" s="166" t="s">
        <v>69</v>
      </c>
      <c r="V36" s="100"/>
    </row>
    <row r="37" outlineLevel="1">
      <c r="A37" s="156"/>
      <c r="B37" s="147" t="s">
        <v>84</v>
      </c>
      <c r="C37" s="216" t="s">
        <v>563</v>
      </c>
      <c r="D37" s="107"/>
      <c r="E37" s="216" t="s">
        <v>86</v>
      </c>
      <c r="F37" s="138">
        <v>7.199999999999999</v>
      </c>
      <c r="G37" s="139" t="s">
        <v>102</v>
      </c>
      <c r="H37" s="106"/>
      <c r="I37" s="168"/>
      <c r="J37" s="107"/>
      <c r="K37" s="363"/>
      <c r="L37" s="363"/>
      <c r="M37" s="363"/>
      <c r="N37" s="363"/>
      <c r="O37" s="145">
        <v>0.0</v>
      </c>
      <c r="P37" s="145">
        <v>1.0</v>
      </c>
      <c r="Q37" s="145">
        <v>1.0</v>
      </c>
      <c r="R37" s="100"/>
      <c r="S37" s="100"/>
      <c r="T37" s="100"/>
      <c r="U37" s="156"/>
      <c r="V37" s="100"/>
    </row>
    <row r="38" outlineLevel="1">
      <c r="A38" s="133" t="s">
        <v>109</v>
      </c>
      <c r="B38" s="147" t="s">
        <v>2867</v>
      </c>
      <c r="C38" s="195" t="s">
        <v>2868</v>
      </c>
      <c r="D38" s="195" t="s">
        <v>428</v>
      </c>
      <c r="E38" s="216" t="s">
        <v>2869</v>
      </c>
      <c r="F38" s="138" t="s">
        <v>2870</v>
      </c>
      <c r="G38" s="139" t="s">
        <v>88</v>
      </c>
      <c r="H38" s="283" t="s">
        <v>2871</v>
      </c>
      <c r="I38" s="164"/>
      <c r="J38" s="104"/>
      <c r="K38" s="282"/>
      <c r="L38" s="282"/>
      <c r="M38" s="363"/>
      <c r="N38" s="363"/>
      <c r="O38" s="145">
        <v>0.0</v>
      </c>
      <c r="P38" s="145">
        <v>1.0</v>
      </c>
      <c r="Q38" s="145">
        <v>1.0</v>
      </c>
      <c r="R38" s="100"/>
      <c r="S38" s="100"/>
      <c r="T38" s="100"/>
      <c r="U38" s="166" t="s">
        <v>62</v>
      </c>
      <c r="V38" s="100"/>
    </row>
    <row r="39" outlineLevel="1">
      <c r="A39" s="146"/>
      <c r="B39" s="147" t="s">
        <v>350</v>
      </c>
      <c r="C39" s="107"/>
      <c r="D39" s="210"/>
      <c r="E39" s="216" t="s">
        <v>153</v>
      </c>
      <c r="F39" s="138">
        <v>19.2</v>
      </c>
      <c r="G39" s="139" t="s">
        <v>88</v>
      </c>
      <c r="H39" s="212"/>
      <c r="J39" s="210"/>
      <c r="K39" s="282"/>
      <c r="L39" s="282"/>
      <c r="M39" s="363"/>
      <c r="N39" s="363"/>
      <c r="O39" s="145"/>
      <c r="P39" s="145"/>
      <c r="Q39" s="145"/>
      <c r="R39" s="100"/>
      <c r="S39" s="100"/>
      <c r="T39" s="100"/>
      <c r="U39" s="146"/>
      <c r="V39" s="100"/>
    </row>
    <row r="40" outlineLevel="1">
      <c r="A40" s="146"/>
      <c r="B40" s="147"/>
      <c r="C40" s="216" t="s">
        <v>789</v>
      </c>
      <c r="D40" s="210"/>
      <c r="E40" s="216" t="s">
        <v>2872</v>
      </c>
      <c r="F40" s="138" t="s">
        <v>2873</v>
      </c>
      <c r="G40" s="139" t="s">
        <v>2874</v>
      </c>
      <c r="H40" s="212"/>
      <c r="J40" s="210"/>
      <c r="K40" s="282"/>
      <c r="L40" s="282"/>
      <c r="M40" s="363"/>
      <c r="N40" s="363"/>
      <c r="O40" s="145">
        <v>4.0</v>
      </c>
      <c r="P40" s="145">
        <v>1.0</v>
      </c>
      <c r="Q40" s="145">
        <v>1.0</v>
      </c>
      <c r="R40" s="100"/>
      <c r="S40" s="100"/>
      <c r="T40" s="100"/>
      <c r="U40" s="146"/>
      <c r="V40" s="100"/>
    </row>
    <row r="41" outlineLevel="1">
      <c r="A41" s="156"/>
      <c r="B41" s="147" t="s">
        <v>2875</v>
      </c>
      <c r="C41" s="216" t="s">
        <v>393</v>
      </c>
      <c r="D41" s="107"/>
      <c r="E41" s="216" t="s">
        <v>232</v>
      </c>
      <c r="F41" s="138">
        <v>13.2</v>
      </c>
      <c r="G41" s="139" t="s">
        <v>123</v>
      </c>
      <c r="H41" s="106"/>
      <c r="I41" s="168"/>
      <c r="J41" s="107"/>
      <c r="K41" s="282"/>
      <c r="L41" s="282"/>
      <c r="M41" s="363"/>
      <c r="N41" s="363"/>
      <c r="O41" s="145">
        <v>0.0</v>
      </c>
      <c r="P41" s="145">
        <v>1.0</v>
      </c>
      <c r="Q41" s="145">
        <v>1.0</v>
      </c>
      <c r="R41" s="100"/>
      <c r="S41" s="100"/>
      <c r="T41" s="100"/>
      <c r="U41" s="156"/>
      <c r="V41" s="100"/>
    </row>
    <row r="42" outlineLevel="1">
      <c r="A42" s="170" t="s">
        <v>116</v>
      </c>
      <c r="B42" s="160"/>
      <c r="C42" s="216" t="s">
        <v>2876</v>
      </c>
      <c r="D42" s="216" t="s">
        <v>208</v>
      </c>
      <c r="E42" s="216" t="s">
        <v>2877</v>
      </c>
      <c r="F42" s="138" t="s">
        <v>2878</v>
      </c>
      <c r="G42" s="139" t="s">
        <v>2057</v>
      </c>
      <c r="H42" s="140" t="s">
        <v>2879</v>
      </c>
      <c r="I42" s="110"/>
      <c r="J42" s="109"/>
      <c r="K42" s="363"/>
      <c r="L42" s="363"/>
      <c r="M42" s="363"/>
      <c r="N42" s="363"/>
      <c r="O42" s="145">
        <v>0.0</v>
      </c>
      <c r="P42" s="145">
        <v>1.0</v>
      </c>
      <c r="Q42" s="145">
        <v>1.0</v>
      </c>
      <c r="R42" s="100"/>
      <c r="S42" s="100"/>
      <c r="T42" s="100"/>
      <c r="U42" s="145" t="s">
        <v>62</v>
      </c>
      <c r="V42" s="100"/>
    </row>
    <row r="43" outlineLevel="1">
      <c r="A43" s="170" t="s">
        <v>124</v>
      </c>
      <c r="B43" s="147"/>
      <c r="C43" s="216" t="s">
        <v>2880</v>
      </c>
      <c r="D43" s="467" t="s">
        <v>634</v>
      </c>
      <c r="E43" s="467" t="s">
        <v>228</v>
      </c>
      <c r="F43" s="138">
        <v>15.6</v>
      </c>
      <c r="G43" s="139" t="s">
        <v>275</v>
      </c>
      <c r="H43" s="140" t="s">
        <v>2881</v>
      </c>
      <c r="I43" s="110"/>
      <c r="J43" s="109"/>
      <c r="K43" s="282"/>
      <c r="L43" s="282"/>
      <c r="M43" s="363"/>
      <c r="N43" s="363"/>
      <c r="O43" s="145">
        <v>0.0</v>
      </c>
      <c r="P43" s="145">
        <v>1.0</v>
      </c>
      <c r="Q43" s="145">
        <v>1.0</v>
      </c>
      <c r="R43" s="100"/>
      <c r="S43" s="100"/>
      <c r="T43" s="100"/>
      <c r="U43" s="145" t="s">
        <v>69</v>
      </c>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
        <v>133</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
        <v>48</v>
      </c>
      <c r="D46" s="183" t="s">
        <v>49</v>
      </c>
      <c r="E46" s="182" t="s">
        <v>50</v>
      </c>
      <c r="F46" s="184" t="s">
        <v>51</v>
      </c>
      <c r="G46" s="184" t="s">
        <v>134</v>
      </c>
      <c r="H46" s="185" t="str">
        <f>'テンプレート'!H56</f>
        <v>ガード硬直</v>
      </c>
      <c r="I46" s="184" t="str">
        <f>'テンプレート'!I56</f>
        <v>着地隙</v>
      </c>
      <c r="J46" s="184" t="s">
        <v>136</v>
      </c>
      <c r="K46" s="184" t="str">
        <f>'テンプレート'!K56</f>
        <v>ベクトル</v>
      </c>
      <c r="L46" s="184" t="str">
        <f>'テンプレート'!L56</f>
        <v>KBG (R.E.)</v>
      </c>
      <c r="M46" s="184" t="str">
        <f>'テンプレート'!M56</f>
        <v>BKB (R.A.)</v>
      </c>
      <c r="N46" s="184" t="str">
        <f>'テンプレート'!N56</f>
        <v>FKB (R.F.)</v>
      </c>
      <c r="O46" s="186" t="str">
        <f>'テンプレート'!O56</f>
        <v>盾削り値</v>
      </c>
      <c r="P46" s="184" t="str">
        <f>'テンプレート'!P56</f>
        <v>ﾋｯﾄｽﾄｯﾌﾟ</v>
      </c>
      <c r="Q46" s="186" t="str">
        <f>'テンプレート'!Q56</f>
        <v>ずらし</v>
      </c>
      <c r="R46" s="187" t="str">
        <f>'テンプレート'!R56</f>
        <v>備考</v>
      </c>
      <c r="S46" s="110"/>
      <c r="T46" s="110"/>
      <c r="U46" s="110"/>
      <c r="V46" s="110"/>
    </row>
    <row r="47" outlineLevel="1">
      <c r="A47" s="188" t="s">
        <v>144</v>
      </c>
      <c r="B47" s="373"/>
      <c r="C47" s="239" t="s">
        <v>319</v>
      </c>
      <c r="D47" s="374" t="s">
        <v>118</v>
      </c>
      <c r="E47" s="401" t="s">
        <v>129</v>
      </c>
      <c r="F47" s="193">
        <v>14.399999999999999</v>
      </c>
      <c r="G47" s="193">
        <v>12.24</v>
      </c>
      <c r="H47" s="138" t="s">
        <v>75</v>
      </c>
      <c r="I47" s="454" t="str">
        <f t="array" ref="I47">INDEX('空中攻撃'!$O$3:$AA$109, MATCH($A$1,'空中攻撃'!$A$3:$A$109,0), MATCH(A47,'空中攻撃'!$O$2:$S$2,0))</f>
        <v>9</v>
      </c>
      <c r="J47" s="455" t="s">
        <v>1624</v>
      </c>
      <c r="K47" s="376"/>
      <c r="L47" s="377"/>
      <c r="M47" s="825"/>
      <c r="N47" s="825"/>
      <c r="O47" s="199">
        <v>0.0</v>
      </c>
      <c r="P47" s="199">
        <v>1.0</v>
      </c>
      <c r="Q47" s="199">
        <v>1.0</v>
      </c>
      <c r="R47" s="1124"/>
      <c r="S47" s="164"/>
      <c r="T47" s="164"/>
      <c r="U47" s="164"/>
      <c r="V47" s="104"/>
    </row>
    <row r="48" outlineLevel="1">
      <c r="A48" s="156"/>
      <c r="B48" s="373" t="s">
        <v>84</v>
      </c>
      <c r="C48" s="239" t="s">
        <v>2882</v>
      </c>
      <c r="D48" s="107"/>
      <c r="E48" s="239" t="s">
        <v>93</v>
      </c>
      <c r="F48" s="138">
        <v>8.4</v>
      </c>
      <c r="G48" s="138">
        <v>7.140000000000001</v>
      </c>
      <c r="H48" s="138" t="s">
        <v>60</v>
      </c>
      <c r="I48" s="156"/>
      <c r="J48" s="107"/>
      <c r="K48" s="376"/>
      <c r="L48" s="377"/>
      <c r="M48" s="825"/>
      <c r="N48" s="825"/>
      <c r="O48" s="199">
        <v>0.0</v>
      </c>
      <c r="P48" s="199">
        <v>1.0</v>
      </c>
      <c r="Q48" s="199">
        <v>1.0</v>
      </c>
      <c r="R48" s="106"/>
      <c r="S48" s="168"/>
      <c r="T48" s="168"/>
      <c r="U48" s="168"/>
      <c r="V48" s="107"/>
    </row>
    <row r="49" outlineLevel="1">
      <c r="A49" s="213" t="s">
        <v>151</v>
      </c>
      <c r="B49" s="373"/>
      <c r="C49" s="239" t="s">
        <v>721</v>
      </c>
      <c r="D49" s="380">
        <v>41.0</v>
      </c>
      <c r="E49" s="239" t="s">
        <v>129</v>
      </c>
      <c r="F49" s="138">
        <v>14.399999999999999</v>
      </c>
      <c r="G49" s="138">
        <v>12.24</v>
      </c>
      <c r="H49" s="138" t="s">
        <v>75</v>
      </c>
      <c r="I49" s="621" t="str">
        <f t="array" ref="I49">INDEX('空中攻撃'!$O$3:$AA$109, MATCH($A$1,'空中攻撃'!$A$3:$A$109,0), MATCH(A49,'空中攻撃'!$O$2:$S$2,0))</f>
        <v>18</v>
      </c>
      <c r="J49" s="467" t="s">
        <v>2883</v>
      </c>
      <c r="K49" s="376"/>
      <c r="L49" s="377"/>
      <c r="M49" s="825"/>
      <c r="N49" s="825"/>
      <c r="O49" s="199">
        <v>0.0</v>
      </c>
      <c r="P49" s="199">
        <v>1.0</v>
      </c>
      <c r="Q49" s="199">
        <v>1.0</v>
      </c>
      <c r="R49" s="1127"/>
      <c r="S49" s="110"/>
      <c r="T49" s="110"/>
      <c r="U49" s="110"/>
      <c r="V49" s="109"/>
    </row>
    <row r="50" outlineLevel="1">
      <c r="A50" s="213" t="s">
        <v>157</v>
      </c>
      <c r="B50" s="373"/>
      <c r="C50" s="239" t="s">
        <v>894</v>
      </c>
      <c r="D50" s="380">
        <v>37.0</v>
      </c>
      <c r="E50" s="239" t="s">
        <v>153</v>
      </c>
      <c r="F50" s="138">
        <v>19.2</v>
      </c>
      <c r="G50" s="138">
        <v>16.32</v>
      </c>
      <c r="H50" s="138" t="s">
        <v>102</v>
      </c>
      <c r="I50" s="621">
        <f t="array" ref="I50">INDEX('空中攻撃'!$O$3:$AA$109, MATCH($A$1,'空中攻撃'!$A$3:$A$109,0), MATCH(A50,'空中攻撃'!$O$2:$S$2,0))</f>
        <v>13</v>
      </c>
      <c r="J50" s="467" t="s">
        <v>171</v>
      </c>
      <c r="K50" s="376"/>
      <c r="L50" s="377"/>
      <c r="M50" s="825"/>
      <c r="N50" s="825"/>
      <c r="O50" s="199">
        <v>0.0</v>
      </c>
      <c r="P50" s="199">
        <v>1.0</v>
      </c>
      <c r="Q50" s="199">
        <v>1.0</v>
      </c>
      <c r="R50" s="1127"/>
      <c r="S50" s="110"/>
      <c r="T50" s="110"/>
      <c r="U50" s="110"/>
      <c r="V50" s="109"/>
    </row>
    <row r="51" outlineLevel="1">
      <c r="A51" s="188" t="s">
        <v>162</v>
      </c>
      <c r="B51" s="373" t="s">
        <v>852</v>
      </c>
      <c r="C51" s="239" t="s">
        <v>2884</v>
      </c>
      <c r="D51" s="374" t="s">
        <v>393</v>
      </c>
      <c r="E51" s="239" t="s">
        <v>213</v>
      </c>
      <c r="F51" s="138">
        <v>1.2</v>
      </c>
      <c r="G51" s="138">
        <v>1.02</v>
      </c>
      <c r="H51" s="138" t="s">
        <v>170</v>
      </c>
      <c r="I51" s="454" t="str">
        <f t="array" ref="I51">INDEX('空中攻撃'!$O$3:$AA$109, MATCH($A$1,'空中攻撃'!$A$3:$A$109,0), MATCH(A51,'空中攻撃'!$O$2:$S$2,0))</f>
        <v>13</v>
      </c>
      <c r="J51" s="455" t="s">
        <v>1124</v>
      </c>
      <c r="K51" s="377"/>
      <c r="L51" s="377"/>
      <c r="M51" s="825"/>
      <c r="N51" s="825"/>
      <c r="O51" s="199">
        <v>0.0</v>
      </c>
      <c r="P51" s="199">
        <v>1.0</v>
      </c>
      <c r="Q51" s="199">
        <v>1.0</v>
      </c>
      <c r="R51" s="1124"/>
      <c r="S51" s="164"/>
      <c r="T51" s="164"/>
      <c r="U51" s="164"/>
      <c r="V51" s="104"/>
    </row>
    <row r="52" outlineLevel="1">
      <c r="A52" s="156"/>
      <c r="B52" s="373" t="s">
        <v>524</v>
      </c>
      <c r="C52" s="239" t="s">
        <v>443</v>
      </c>
      <c r="D52" s="107"/>
      <c r="E52" s="239" t="s">
        <v>150</v>
      </c>
      <c r="F52" s="138">
        <v>6.0</v>
      </c>
      <c r="G52" s="138">
        <v>5.1</v>
      </c>
      <c r="H52" s="138" t="s">
        <v>60</v>
      </c>
      <c r="I52" s="156"/>
      <c r="J52" s="107"/>
      <c r="K52" s="377"/>
      <c r="L52" s="377"/>
      <c r="M52" s="825"/>
      <c r="N52" s="825"/>
      <c r="O52" s="199">
        <v>0.0</v>
      </c>
      <c r="P52" s="199">
        <v>1.0</v>
      </c>
      <c r="Q52" s="199">
        <v>1.0</v>
      </c>
      <c r="R52" s="106"/>
      <c r="S52" s="168"/>
      <c r="T52" s="168"/>
      <c r="U52" s="168"/>
      <c r="V52" s="107"/>
    </row>
    <row r="53" outlineLevel="1">
      <c r="A53" s="213" t="s">
        <v>166</v>
      </c>
      <c r="B53" s="373"/>
      <c r="C53" s="239" t="s">
        <v>1918</v>
      </c>
      <c r="D53" s="380">
        <v>47.0</v>
      </c>
      <c r="E53" s="239" t="s">
        <v>2885</v>
      </c>
      <c r="F53" s="138" t="s">
        <v>2886</v>
      </c>
      <c r="G53" s="138" t="s">
        <v>2887</v>
      </c>
      <c r="H53" s="138" t="s">
        <v>1321</v>
      </c>
      <c r="I53" s="621">
        <f t="array" ref="I53">INDEX('空中攻撃'!$O$3:$AA$109, MATCH($A$1,'空中攻撃'!$A$3:$A$109,0), MATCH(A53,'空中攻撃'!$O$2:$S$2,0))</f>
        <v>18</v>
      </c>
      <c r="J53" s="467" t="s">
        <v>2888</v>
      </c>
      <c r="K53" s="282"/>
      <c r="L53" s="282"/>
      <c r="M53" s="363"/>
      <c r="N53" s="363"/>
      <c r="O53" s="145">
        <v>0.0</v>
      </c>
      <c r="P53" s="145">
        <v>1.0</v>
      </c>
      <c r="Q53" s="145">
        <v>1.0</v>
      </c>
      <c r="R53" s="151"/>
      <c r="S53" s="110"/>
      <c r="T53" s="110"/>
      <c r="U53" s="110"/>
      <c r="V53" s="109"/>
    </row>
    <row r="54">
      <c r="A54" s="223"/>
      <c r="B54" s="224"/>
      <c r="C54" s="225"/>
      <c r="D54" s="225"/>
      <c r="E54" s="226"/>
      <c r="F54" s="226"/>
      <c r="G54" s="226"/>
      <c r="H54" s="227"/>
      <c r="I54" s="227"/>
      <c r="J54" s="228"/>
      <c r="K54" s="228"/>
      <c r="L54" s="228"/>
      <c r="M54" s="228"/>
      <c r="N54" s="228"/>
      <c r="O54" s="228"/>
      <c r="P54" s="228"/>
      <c r="Q54" s="118"/>
      <c r="R54" s="118"/>
      <c r="S54" s="118"/>
      <c r="T54" s="118"/>
      <c r="U54" s="118"/>
      <c r="V54" s="118"/>
    </row>
    <row r="55">
      <c r="A55" s="229" t="str">
        <f>'テンプレート'!A71</f>
        <v>必殺ワザ</v>
      </c>
      <c r="B55" s="109"/>
      <c r="C55" s="225"/>
      <c r="D55" s="225"/>
      <c r="E55" s="226"/>
      <c r="F55" s="226"/>
      <c r="G55" s="226"/>
      <c r="H55" s="227"/>
      <c r="I55" s="227"/>
      <c r="J55" s="228"/>
      <c r="K55" s="228"/>
      <c r="L55" s="228"/>
      <c r="M55" s="228"/>
      <c r="N55" s="228"/>
      <c r="O55" s="228"/>
      <c r="P55" s="228"/>
      <c r="Q55" s="118"/>
      <c r="R55" s="118"/>
      <c r="S55" s="118"/>
      <c r="T55" s="118"/>
      <c r="U55" s="118"/>
      <c r="V55" s="118"/>
    </row>
    <row r="56" outlineLevel="1">
      <c r="A56" s="230" t="s">
        <v>745</v>
      </c>
      <c r="B56" s="109"/>
      <c r="C56" s="231" t="s">
        <v>48</v>
      </c>
      <c r="D56" s="231" t="s">
        <v>49</v>
      </c>
      <c r="E56" s="232" t="s">
        <v>50</v>
      </c>
      <c r="F56" s="233" t="s">
        <v>51</v>
      </c>
      <c r="G56" s="232" t="s">
        <v>52</v>
      </c>
      <c r="H56" s="382" t="str">
        <f>'テンプレート'!H72</f>
        <v>備考</v>
      </c>
      <c r="I56" s="110"/>
      <c r="J56" s="109"/>
      <c r="K56" s="235" t="str">
        <f>'テンプレート'!K72</f>
        <v>ベクトル</v>
      </c>
      <c r="L56" s="235" t="str">
        <f>'テンプレート'!L72</f>
        <v>KBG (R.E.)</v>
      </c>
      <c r="M56" s="235" t="str">
        <f>'テンプレート'!M72</f>
        <v>BKB (R.A.)</v>
      </c>
      <c r="N56" s="235" t="str">
        <f>'テンプレート'!N72</f>
        <v>FKB (R.F.)</v>
      </c>
      <c r="O56" s="236" t="str">
        <f>'テンプレート'!O72</f>
        <v>盾削り値</v>
      </c>
      <c r="P56" s="235" t="str">
        <f>'テンプレート'!P72</f>
        <v>ﾋｯﾄｽﾄｯﾌﾟ</v>
      </c>
      <c r="Q56" s="236" t="str">
        <f>'テンプレート'!Q72</f>
        <v>ずらし</v>
      </c>
      <c r="R56" s="235" t="str">
        <f>'テンプレート'!R72</f>
        <v>相殺</v>
      </c>
      <c r="S56" s="236" t="str">
        <f>'テンプレート'!S72</f>
        <v>相殺ﾓｰｼｮﾝ</v>
      </c>
      <c r="T56" s="236" t="str">
        <f>'テンプレート'!T72</f>
        <v>飛び道具</v>
      </c>
      <c r="U56" s="236" t="str">
        <f>'テンプレート'!U72</f>
        <v>慣性反転</v>
      </c>
      <c r="V56" s="236" t="str">
        <f>'テンプレート'!V72</f>
        <v>向き反転</v>
      </c>
    </row>
    <row r="57" outlineLevel="1">
      <c r="A57" s="237" t="s">
        <v>184</v>
      </c>
      <c r="B57" s="243" t="s">
        <v>750</v>
      </c>
      <c r="C57" s="365" t="s">
        <v>2889</v>
      </c>
      <c r="D57" s="901" t="s">
        <v>936</v>
      </c>
      <c r="E57" s="409"/>
      <c r="F57" s="409"/>
      <c r="G57" s="409"/>
      <c r="H57" s="163" t="s">
        <v>2890</v>
      </c>
      <c r="I57" s="164"/>
      <c r="J57" s="104"/>
      <c r="K57" s="281"/>
      <c r="L57" s="281"/>
      <c r="M57" s="281"/>
      <c r="N57" s="281"/>
      <c r="O57" s="281"/>
      <c r="P57" s="281"/>
      <c r="Q57" s="281"/>
      <c r="R57" s="281"/>
      <c r="S57" s="281"/>
      <c r="T57" s="281"/>
      <c r="U57" s="166" t="s">
        <v>186</v>
      </c>
      <c r="V57" s="166" t="b">
        <v>1</v>
      </c>
    </row>
    <row r="58" outlineLevel="1">
      <c r="A58" s="146"/>
      <c r="B58" s="243" t="s">
        <v>746</v>
      </c>
      <c r="C58" s="365" t="s">
        <v>2891</v>
      </c>
      <c r="D58" s="156"/>
      <c r="E58" s="239" t="s">
        <v>209</v>
      </c>
      <c r="F58" s="138">
        <v>0.0</v>
      </c>
      <c r="G58" s="409"/>
      <c r="H58" s="212"/>
      <c r="J58" s="210"/>
      <c r="K58" s="282"/>
      <c r="L58" s="282"/>
      <c r="M58" s="363"/>
      <c r="N58" s="363"/>
      <c r="O58" s="138">
        <v>0.0</v>
      </c>
      <c r="P58" s="138">
        <v>0.0</v>
      </c>
      <c r="Q58" s="138">
        <v>0.0</v>
      </c>
      <c r="R58" s="145"/>
      <c r="S58" s="145"/>
      <c r="T58" s="145"/>
      <c r="U58" s="146"/>
      <c r="V58" s="146"/>
    </row>
    <row r="59" outlineLevel="1">
      <c r="A59" s="146"/>
      <c r="B59" s="663" t="s">
        <v>752</v>
      </c>
      <c r="C59" s="409"/>
      <c r="D59" s="239" t="s">
        <v>296</v>
      </c>
      <c r="E59" s="281"/>
      <c r="F59" s="281"/>
      <c r="G59" s="409"/>
      <c r="H59" s="212"/>
      <c r="J59" s="210"/>
      <c r="K59" s="281"/>
      <c r="L59" s="281"/>
      <c r="M59" s="281"/>
      <c r="N59" s="281"/>
      <c r="O59" s="281"/>
      <c r="P59" s="281"/>
      <c r="Q59" s="281"/>
      <c r="R59" s="281"/>
      <c r="S59" s="281"/>
      <c r="T59" s="281"/>
      <c r="U59" s="146"/>
      <c r="V59" s="146"/>
    </row>
    <row r="60" outlineLevel="1">
      <c r="A60" s="146"/>
      <c r="B60" s="663" t="s">
        <v>753</v>
      </c>
      <c r="C60" s="409"/>
      <c r="D60" s="239" t="s">
        <v>386</v>
      </c>
      <c r="E60" s="281"/>
      <c r="F60" s="281"/>
      <c r="G60" s="409"/>
      <c r="H60" s="212"/>
      <c r="J60" s="210"/>
      <c r="K60" s="281"/>
      <c r="L60" s="281"/>
      <c r="M60" s="281"/>
      <c r="N60" s="281"/>
      <c r="O60" s="281"/>
      <c r="P60" s="281"/>
      <c r="Q60" s="281"/>
      <c r="R60" s="281"/>
      <c r="S60" s="281"/>
      <c r="T60" s="281"/>
      <c r="U60" s="146"/>
      <c r="V60" s="146"/>
    </row>
    <row r="61" outlineLevel="1">
      <c r="A61" s="146"/>
      <c r="B61" s="1897" t="s">
        <v>760</v>
      </c>
      <c r="C61" s="244" t="s">
        <v>761</v>
      </c>
      <c r="D61" s="244" t="s">
        <v>282</v>
      </c>
      <c r="E61" s="281"/>
      <c r="F61" s="281"/>
      <c r="G61" s="409"/>
      <c r="H61" s="212"/>
      <c r="J61" s="210"/>
      <c r="K61" s="281"/>
      <c r="L61" s="281"/>
      <c r="M61" s="281"/>
      <c r="N61" s="281"/>
      <c r="O61" s="281"/>
      <c r="P61" s="281"/>
      <c r="Q61" s="281"/>
      <c r="R61" s="281"/>
      <c r="S61" s="281"/>
      <c r="T61" s="281"/>
      <c r="U61" s="146"/>
      <c r="V61" s="146"/>
    </row>
    <row r="62" outlineLevel="1">
      <c r="A62" s="146"/>
      <c r="B62" s="1898" t="s">
        <v>762</v>
      </c>
      <c r="C62" s="244" t="s">
        <v>761</v>
      </c>
      <c r="D62" s="244" t="s">
        <v>634</v>
      </c>
      <c r="E62" s="281"/>
      <c r="F62" s="281"/>
      <c r="G62" s="409"/>
      <c r="H62" s="212"/>
      <c r="J62" s="210"/>
      <c r="K62" s="281"/>
      <c r="L62" s="281"/>
      <c r="M62" s="281"/>
      <c r="N62" s="281"/>
      <c r="O62" s="281"/>
      <c r="P62" s="281"/>
      <c r="Q62" s="281"/>
      <c r="R62" s="281"/>
      <c r="S62" s="281"/>
      <c r="T62" s="281"/>
      <c r="U62" s="146"/>
      <c r="V62" s="146"/>
    </row>
    <row r="63" outlineLevel="1">
      <c r="A63" s="146"/>
      <c r="B63" s="1898" t="s">
        <v>259</v>
      </c>
      <c r="C63" s="244" t="s">
        <v>761</v>
      </c>
      <c r="D63" s="244" t="s">
        <v>951</v>
      </c>
      <c r="E63" s="281"/>
      <c r="F63" s="281"/>
      <c r="G63" s="409"/>
      <c r="H63" s="212"/>
      <c r="J63" s="210"/>
      <c r="K63" s="281"/>
      <c r="L63" s="281"/>
      <c r="M63" s="281"/>
      <c r="N63" s="281"/>
      <c r="O63" s="281"/>
      <c r="P63" s="281"/>
      <c r="Q63" s="281"/>
      <c r="R63" s="281"/>
      <c r="S63" s="281"/>
      <c r="T63" s="281"/>
      <c r="U63" s="146"/>
      <c r="V63" s="146"/>
    </row>
    <row r="64" outlineLevel="1">
      <c r="A64" s="146"/>
      <c r="B64" s="1898" t="s">
        <v>764</v>
      </c>
      <c r="C64" s="244" t="s">
        <v>761</v>
      </c>
      <c r="D64" s="244" t="s">
        <v>2892</v>
      </c>
      <c r="E64" s="281"/>
      <c r="F64" s="281"/>
      <c r="G64" s="409"/>
      <c r="H64" s="212"/>
      <c r="J64" s="210"/>
      <c r="K64" s="281"/>
      <c r="L64" s="281"/>
      <c r="M64" s="281"/>
      <c r="N64" s="281"/>
      <c r="O64" s="281"/>
      <c r="P64" s="281"/>
      <c r="Q64" s="281"/>
      <c r="R64" s="281"/>
      <c r="S64" s="281"/>
      <c r="T64" s="281"/>
      <c r="U64" s="146"/>
      <c r="V64" s="146"/>
    </row>
    <row r="65" outlineLevel="1">
      <c r="A65" s="146"/>
      <c r="B65" s="663" t="s">
        <v>2893</v>
      </c>
      <c r="C65" s="239" t="s">
        <v>86</v>
      </c>
      <c r="D65" s="239" t="s">
        <v>99</v>
      </c>
      <c r="E65" s="239" t="s">
        <v>129</v>
      </c>
      <c r="F65" s="138">
        <v>14.399999999999999</v>
      </c>
      <c r="G65" s="409"/>
      <c r="H65" s="212"/>
      <c r="J65" s="210"/>
      <c r="K65" s="281"/>
      <c r="L65" s="281"/>
      <c r="M65" s="281"/>
      <c r="N65" s="281"/>
      <c r="O65" s="281"/>
      <c r="P65" s="281"/>
      <c r="Q65" s="281"/>
      <c r="R65" s="281"/>
      <c r="S65" s="281"/>
      <c r="T65" s="281"/>
      <c r="U65" s="146"/>
      <c r="V65" s="146"/>
    </row>
    <row r="66" outlineLevel="1">
      <c r="A66" s="146"/>
      <c r="B66" s="663" t="s">
        <v>758</v>
      </c>
      <c r="C66" s="244" t="s">
        <v>2894</v>
      </c>
      <c r="D66" s="902"/>
      <c r="E66" s="239" t="s">
        <v>494</v>
      </c>
      <c r="F66" s="138"/>
      <c r="G66" s="902"/>
      <c r="H66" s="212"/>
      <c r="J66" s="210"/>
      <c r="K66" s="282"/>
      <c r="L66" s="282"/>
      <c r="M66" s="363"/>
      <c r="N66" s="363"/>
      <c r="O66" s="138">
        <v>0.0</v>
      </c>
      <c r="P66" s="138">
        <v>1.0</v>
      </c>
      <c r="Q66" s="138">
        <v>1.0</v>
      </c>
      <c r="R66" s="145" t="b">
        <v>0</v>
      </c>
      <c r="S66" s="145" t="b">
        <v>0</v>
      </c>
      <c r="T66" s="145" t="b">
        <v>1</v>
      </c>
      <c r="U66" s="146"/>
      <c r="V66" s="146"/>
    </row>
    <row r="67" outlineLevel="1">
      <c r="A67" s="146"/>
      <c r="B67" s="663" t="s">
        <v>2895</v>
      </c>
      <c r="C67" s="113" t="s">
        <v>2896</v>
      </c>
      <c r="D67" s="239" t="s">
        <v>964</v>
      </c>
      <c r="E67" s="664"/>
      <c r="F67" s="1899"/>
      <c r="G67" s="664"/>
      <c r="H67" s="106"/>
      <c r="I67" s="168"/>
      <c r="J67" s="107"/>
      <c r="K67" s="282"/>
      <c r="L67" s="282"/>
      <c r="M67" s="363"/>
      <c r="N67" s="363"/>
      <c r="O67" s="138"/>
      <c r="P67" s="138"/>
      <c r="Q67" s="138"/>
      <c r="R67" s="145" t="b">
        <v>0</v>
      </c>
      <c r="S67" s="145" t="b">
        <v>0</v>
      </c>
      <c r="T67" s="145" t="b">
        <v>1</v>
      </c>
      <c r="U67" s="156"/>
      <c r="V67" s="156"/>
    </row>
    <row r="68" outlineLevel="1">
      <c r="A68" s="230" t="s">
        <v>2897</v>
      </c>
      <c r="B68" s="109"/>
      <c r="C68" s="231" t="s">
        <v>48</v>
      </c>
      <c r="D68" s="231" t="s">
        <v>49</v>
      </c>
      <c r="E68" s="232" t="s">
        <v>50</v>
      </c>
      <c r="F68" s="233" t="s">
        <v>51</v>
      </c>
      <c r="G68" s="232" t="s">
        <v>52</v>
      </c>
      <c r="H68" s="382" t="str">
        <f>'テンプレート'!H75</f>
        <v>備考</v>
      </c>
      <c r="I68" s="110"/>
      <c r="J68" s="109"/>
      <c r="K68" s="235" t="str">
        <f>'テンプレート'!K75</f>
        <v>ベクトル</v>
      </c>
      <c r="L68" s="235" t="str">
        <f>'テンプレート'!L75</f>
        <v>KBG (R.E.)</v>
      </c>
      <c r="M68" s="235" t="str">
        <f>'テンプレート'!M75</f>
        <v>BKB (R.A.)</v>
      </c>
      <c r="N68" s="235" t="str">
        <f>'テンプレート'!N75</f>
        <v>FKB (R.F.)</v>
      </c>
      <c r="O68" s="236" t="str">
        <f>'テンプレート'!O75</f>
        <v>盾削り値</v>
      </c>
      <c r="P68" s="235" t="str">
        <f>'テンプレート'!P75</f>
        <v>ﾋｯﾄｽﾄｯﾌﾟ</v>
      </c>
      <c r="Q68" s="236" t="str">
        <f>'テンプレート'!Q75</f>
        <v>ずらし</v>
      </c>
      <c r="R68" s="235" t="str">
        <f>'テンプレート'!R75</f>
        <v>相殺</v>
      </c>
      <c r="S68" s="236" t="str">
        <f>'テンプレート'!S75</f>
        <v>相殺ﾓｰｼｮﾝ</v>
      </c>
      <c r="T68" s="236" t="str">
        <f>'テンプレート'!T75</f>
        <v>飛び道具</v>
      </c>
      <c r="U68" s="236" t="str">
        <f>'テンプレート'!U75</f>
        <v>慣性反転</v>
      </c>
      <c r="V68" s="236" t="str">
        <f>'テンプレート'!V75</f>
        <v>向き反転</v>
      </c>
    </row>
    <row r="69" outlineLevel="1">
      <c r="A69" s="237" t="s">
        <v>184</v>
      </c>
      <c r="B69" s="243" t="s">
        <v>1377</v>
      </c>
      <c r="C69" s="239" t="s">
        <v>433</v>
      </c>
      <c r="D69" s="901" t="s">
        <v>810</v>
      </c>
      <c r="E69" s="239" t="s">
        <v>128</v>
      </c>
      <c r="F69" s="138">
        <v>12.0</v>
      </c>
      <c r="G69" s="239" t="s">
        <v>121</v>
      </c>
      <c r="H69" s="386" t="s">
        <v>2898</v>
      </c>
      <c r="I69" s="164"/>
      <c r="J69" s="104"/>
      <c r="K69" s="282"/>
      <c r="L69" s="282"/>
      <c r="M69" s="363"/>
      <c r="N69" s="363"/>
      <c r="O69" s="138">
        <v>0.0</v>
      </c>
      <c r="P69" s="138">
        <v>1.0</v>
      </c>
      <c r="Q69" s="138">
        <v>1.0</v>
      </c>
      <c r="R69" s="145" t="b">
        <v>0</v>
      </c>
      <c r="S69" s="145" t="b">
        <v>0</v>
      </c>
      <c r="T69" s="145"/>
      <c r="U69" s="166" t="b">
        <v>0</v>
      </c>
      <c r="V69" s="166" t="b">
        <v>1</v>
      </c>
    </row>
    <row r="70" outlineLevel="1">
      <c r="A70" s="146"/>
      <c r="B70" s="243" t="s">
        <v>2899</v>
      </c>
      <c r="C70" s="239" t="s">
        <v>2900</v>
      </c>
      <c r="D70" s="146"/>
      <c r="E70" s="239" t="s">
        <v>119</v>
      </c>
      <c r="F70" s="138">
        <v>16.8</v>
      </c>
      <c r="G70" s="239" t="s">
        <v>75</v>
      </c>
      <c r="H70" s="212"/>
      <c r="J70" s="210"/>
      <c r="K70" s="138"/>
      <c r="L70" s="138"/>
      <c r="M70" s="145"/>
      <c r="N70" s="145"/>
      <c r="O70" s="138">
        <v>0.0</v>
      </c>
      <c r="P70" s="138">
        <v>1.0</v>
      </c>
      <c r="Q70" s="138">
        <v>1.0</v>
      </c>
      <c r="R70" s="145" t="b">
        <v>0</v>
      </c>
      <c r="S70" s="145" t="b">
        <v>0</v>
      </c>
      <c r="T70" s="145" t="b">
        <v>1</v>
      </c>
      <c r="U70" s="146"/>
      <c r="V70" s="146"/>
    </row>
    <row r="71" outlineLevel="1">
      <c r="A71" s="146"/>
      <c r="B71" s="243" t="s">
        <v>2901</v>
      </c>
      <c r="C71" s="239" t="s">
        <v>2902</v>
      </c>
      <c r="D71" s="146"/>
      <c r="E71" s="239" t="s">
        <v>2764</v>
      </c>
      <c r="F71" s="138">
        <v>15.0</v>
      </c>
      <c r="G71" s="239" t="s">
        <v>147</v>
      </c>
      <c r="H71" s="212"/>
      <c r="J71" s="210"/>
      <c r="K71" s="138"/>
      <c r="L71" s="138"/>
      <c r="M71" s="145"/>
      <c r="N71" s="145"/>
      <c r="O71" s="138">
        <v>0.0</v>
      </c>
      <c r="P71" s="138">
        <v>1.0</v>
      </c>
      <c r="Q71" s="138">
        <v>1.0</v>
      </c>
      <c r="R71" s="145" t="b">
        <v>0</v>
      </c>
      <c r="S71" s="145" t="b">
        <v>0</v>
      </c>
      <c r="T71" s="145" t="b">
        <v>1</v>
      </c>
      <c r="U71" s="146"/>
      <c r="V71" s="146"/>
    </row>
    <row r="72" outlineLevel="1">
      <c r="A72" s="146"/>
      <c r="B72" s="243" t="s">
        <v>2903</v>
      </c>
      <c r="C72" s="239" t="s">
        <v>2904</v>
      </c>
      <c r="D72" s="146"/>
      <c r="E72" s="239" t="s">
        <v>232</v>
      </c>
      <c r="F72" s="138">
        <v>13.2</v>
      </c>
      <c r="G72" s="239" t="s">
        <v>147</v>
      </c>
      <c r="H72" s="212"/>
      <c r="J72" s="210"/>
      <c r="K72" s="138"/>
      <c r="L72" s="138"/>
      <c r="M72" s="145"/>
      <c r="N72" s="145"/>
      <c r="O72" s="138">
        <v>0.0</v>
      </c>
      <c r="P72" s="138">
        <v>1.0</v>
      </c>
      <c r="Q72" s="138">
        <v>1.0</v>
      </c>
      <c r="R72" s="145" t="b">
        <v>0</v>
      </c>
      <c r="S72" s="145" t="b">
        <v>0</v>
      </c>
      <c r="T72" s="145" t="b">
        <v>1</v>
      </c>
      <c r="U72" s="146"/>
      <c r="V72" s="146"/>
    </row>
    <row r="73" outlineLevel="1">
      <c r="A73" s="146"/>
      <c r="B73" s="243" t="s">
        <v>2905</v>
      </c>
      <c r="C73" s="239" t="s">
        <v>2906</v>
      </c>
      <c r="D73" s="156"/>
      <c r="E73" s="239" t="s">
        <v>1858</v>
      </c>
      <c r="F73" s="138">
        <v>11.4</v>
      </c>
      <c r="G73" s="239" t="s">
        <v>147</v>
      </c>
      <c r="H73" s="212"/>
      <c r="J73" s="210"/>
      <c r="K73" s="138"/>
      <c r="L73" s="138"/>
      <c r="M73" s="145"/>
      <c r="N73" s="145"/>
      <c r="O73" s="138">
        <v>0.0</v>
      </c>
      <c r="P73" s="138">
        <v>1.0</v>
      </c>
      <c r="Q73" s="138">
        <v>1.0</v>
      </c>
      <c r="R73" s="145" t="b">
        <v>0</v>
      </c>
      <c r="S73" s="145" t="b">
        <v>0</v>
      </c>
      <c r="T73" s="145" t="b">
        <v>1</v>
      </c>
      <c r="U73" s="146"/>
      <c r="V73" s="146"/>
    </row>
    <row r="74" outlineLevel="1">
      <c r="A74" s="146"/>
      <c r="B74" s="243" t="s">
        <v>2907</v>
      </c>
      <c r="C74" s="239" t="s">
        <v>2908</v>
      </c>
      <c r="D74" s="409"/>
      <c r="E74" s="239" t="s">
        <v>128</v>
      </c>
      <c r="F74" s="138">
        <v>12.0</v>
      </c>
      <c r="G74" s="239" t="s">
        <v>147</v>
      </c>
      <c r="H74" s="212"/>
      <c r="J74" s="210"/>
      <c r="K74" s="138"/>
      <c r="L74" s="138"/>
      <c r="M74" s="145"/>
      <c r="N74" s="145"/>
      <c r="O74" s="138">
        <v>0.0</v>
      </c>
      <c r="P74" s="138">
        <v>1.0</v>
      </c>
      <c r="Q74" s="138">
        <v>1.0</v>
      </c>
      <c r="R74" s="145" t="b">
        <v>0</v>
      </c>
      <c r="S74" s="145" t="b">
        <v>0</v>
      </c>
      <c r="T74" s="145" t="b">
        <v>1</v>
      </c>
      <c r="U74" s="146"/>
      <c r="V74" s="146"/>
    </row>
    <row r="75" outlineLevel="1">
      <c r="A75" s="146"/>
      <c r="B75" s="243" t="s">
        <v>2909</v>
      </c>
      <c r="C75" s="364" t="s">
        <v>2910</v>
      </c>
      <c r="D75" s="364" t="s">
        <v>289</v>
      </c>
      <c r="E75" s="409"/>
      <c r="F75" s="409"/>
      <c r="G75" s="409"/>
      <c r="H75" s="106"/>
      <c r="I75" s="168"/>
      <c r="J75" s="107"/>
      <c r="K75" s="281"/>
      <c r="L75" s="281"/>
      <c r="M75" s="281"/>
      <c r="N75" s="281"/>
      <c r="O75" s="281"/>
      <c r="P75" s="281"/>
      <c r="Q75" s="281"/>
      <c r="R75" s="281"/>
      <c r="S75" s="281"/>
      <c r="T75" s="281"/>
      <c r="U75" s="156"/>
      <c r="V75" s="156"/>
    </row>
    <row r="76" outlineLevel="1">
      <c r="A76" s="230" t="s">
        <v>2911</v>
      </c>
      <c r="B76" s="109"/>
      <c r="C76" s="231" t="s">
        <v>48</v>
      </c>
      <c r="D76" s="231" t="s">
        <v>49</v>
      </c>
      <c r="E76" s="232" t="s">
        <v>50</v>
      </c>
      <c r="F76" s="233" t="s">
        <v>51</v>
      </c>
      <c r="G76" s="232" t="s">
        <v>52</v>
      </c>
      <c r="H76" s="382" t="str">
        <f>'テンプレート'!H80</f>
        <v>備考</v>
      </c>
      <c r="I76" s="110"/>
      <c r="J76" s="109"/>
      <c r="K76" s="235" t="str">
        <f>'テンプレート'!K80</f>
        <v>ベクトル</v>
      </c>
      <c r="L76" s="235" t="str">
        <f>'テンプレート'!L80</f>
        <v>KBG (R.E.)</v>
      </c>
      <c r="M76" s="235" t="str">
        <f>'テンプレート'!M80</f>
        <v>BKB (R.A.)</v>
      </c>
      <c r="N76" s="235" t="str">
        <f>'テンプレート'!N80</f>
        <v>FKB (R.F.)</v>
      </c>
      <c r="O76" s="236" t="str">
        <f>'テンプレート'!O80</f>
        <v>盾削り値</v>
      </c>
      <c r="P76" s="235" t="str">
        <f>'テンプレート'!P80</f>
        <v>ﾋｯﾄｽﾄｯﾌﾟ</v>
      </c>
      <c r="Q76" s="236" t="str">
        <f>'テンプレート'!Q80</f>
        <v>ずらし</v>
      </c>
      <c r="R76" s="235" t="str">
        <f>'テンプレート'!R80</f>
        <v>相殺</v>
      </c>
      <c r="S76" s="236" t="str">
        <f>'テンプレート'!S80</f>
        <v>相殺ﾓｰｼｮﾝ</v>
      </c>
      <c r="T76" s="236" t="str">
        <f>'テンプレート'!T80</f>
        <v>飛び道具</v>
      </c>
      <c r="U76" s="236" t="str">
        <f>'テンプレート'!U80</f>
        <v>慣性反転</v>
      </c>
      <c r="V76" s="236" t="str">
        <f>'テンプレート'!V80</f>
        <v>向き反転</v>
      </c>
    </row>
    <row r="77" ht="52.5" customHeight="1" outlineLevel="1">
      <c r="A77" s="546" t="s">
        <v>184</v>
      </c>
      <c r="B77" s="402" t="s">
        <v>2912</v>
      </c>
      <c r="C77" s="244" t="s">
        <v>1392</v>
      </c>
      <c r="D77" s="400"/>
      <c r="E77" s="239" t="s">
        <v>386</v>
      </c>
      <c r="F77" s="138">
        <v>18.0</v>
      </c>
      <c r="G77" s="239" t="s">
        <v>82</v>
      </c>
      <c r="H77" s="283" t="s">
        <v>2913</v>
      </c>
      <c r="I77" s="164"/>
      <c r="J77" s="104"/>
      <c r="K77" s="138"/>
      <c r="L77" s="138"/>
      <c r="M77" s="145"/>
      <c r="N77" s="145"/>
      <c r="O77" s="138">
        <v>3.0</v>
      </c>
      <c r="P77" s="138">
        <v>1.0</v>
      </c>
      <c r="Q77" s="138">
        <v>1.0</v>
      </c>
      <c r="R77" s="145" t="b">
        <v>1</v>
      </c>
      <c r="S77" s="145" t="b">
        <v>0</v>
      </c>
      <c r="T77" s="145"/>
      <c r="U77" s="166" t="b">
        <v>0</v>
      </c>
      <c r="V77" s="166" t="b">
        <v>0</v>
      </c>
    </row>
    <row r="78" ht="52.5" customHeight="1" outlineLevel="1">
      <c r="A78" s="146"/>
      <c r="B78" s="402" t="s">
        <v>174</v>
      </c>
      <c r="C78" s="239" t="s">
        <v>71</v>
      </c>
      <c r="D78" s="369" t="s">
        <v>424</v>
      </c>
      <c r="E78" s="239" t="s">
        <v>129</v>
      </c>
      <c r="F78" s="138">
        <v>14.399999999999999</v>
      </c>
      <c r="G78" s="239" t="s">
        <v>88</v>
      </c>
      <c r="H78" s="212"/>
      <c r="J78" s="210"/>
      <c r="K78" s="138"/>
      <c r="L78" s="138"/>
      <c r="M78" s="145"/>
      <c r="N78" s="145"/>
      <c r="O78" s="138">
        <v>3.0</v>
      </c>
      <c r="P78" s="138">
        <v>1.0</v>
      </c>
      <c r="Q78" s="138">
        <v>1.0</v>
      </c>
      <c r="R78" s="145" t="b">
        <v>0</v>
      </c>
      <c r="S78" s="145" t="b">
        <v>0</v>
      </c>
      <c r="T78" s="145"/>
      <c r="U78" s="146"/>
      <c r="V78" s="146"/>
    </row>
    <row r="79" ht="52.5" customHeight="1" outlineLevel="1">
      <c r="A79" s="156"/>
      <c r="B79" s="402" t="s">
        <v>2914</v>
      </c>
      <c r="C79" s="239" t="s">
        <v>2588</v>
      </c>
      <c r="D79" s="156"/>
      <c r="E79" s="239" t="s">
        <v>150</v>
      </c>
      <c r="F79" s="138">
        <v>6.0</v>
      </c>
      <c r="G79" s="239" t="s">
        <v>60</v>
      </c>
      <c r="H79" s="106"/>
      <c r="I79" s="168"/>
      <c r="J79" s="107"/>
      <c r="K79" s="138"/>
      <c r="L79" s="138"/>
      <c r="M79" s="145"/>
      <c r="N79" s="145"/>
      <c r="O79" s="138">
        <v>0.0</v>
      </c>
      <c r="P79" s="138">
        <v>1.0</v>
      </c>
      <c r="Q79" s="138">
        <v>1.0</v>
      </c>
      <c r="R79" s="145" t="b">
        <v>1</v>
      </c>
      <c r="S79" s="145" t="b">
        <v>0</v>
      </c>
      <c r="T79" s="145" t="b">
        <v>1</v>
      </c>
      <c r="U79" s="156"/>
      <c r="V79" s="156"/>
    </row>
    <row r="80" outlineLevel="1">
      <c r="A80" s="230" t="s">
        <v>2915</v>
      </c>
      <c r="B80" s="109"/>
      <c r="C80" s="231" t="s">
        <v>48</v>
      </c>
      <c r="D80" s="231" t="s">
        <v>49</v>
      </c>
      <c r="E80" s="232" t="s">
        <v>50</v>
      </c>
      <c r="F80" s="233" t="s">
        <v>51</v>
      </c>
      <c r="G80" s="232" t="s">
        <v>52</v>
      </c>
      <c r="H80" s="382" t="str">
        <f>'テンプレート'!H85</f>
        <v>備考</v>
      </c>
      <c r="I80" s="110"/>
      <c r="J80" s="109"/>
      <c r="K80" s="235" t="str">
        <f>'テンプレート'!K85</f>
        <v>ベクトル</v>
      </c>
      <c r="L80" s="235" t="str">
        <f>'テンプレート'!L85</f>
        <v>KBG (R.E.)</v>
      </c>
      <c r="M80" s="235" t="str">
        <f>'テンプレート'!M85</f>
        <v>BKB (R.A.)</v>
      </c>
      <c r="N80" s="235" t="str">
        <f>'テンプレート'!N85</f>
        <v>FKB (R.F.)</v>
      </c>
      <c r="O80" s="236" t="str">
        <f>'テンプレート'!O85</f>
        <v>盾削り値</v>
      </c>
      <c r="P80" s="235" t="str">
        <f>'テンプレート'!P85</f>
        <v>ﾋｯﾄｽﾄｯﾌﾟ</v>
      </c>
      <c r="Q80" s="236" t="str">
        <f>'テンプレート'!Q85</f>
        <v>ずらし</v>
      </c>
      <c r="R80" s="235" t="str">
        <f>'テンプレート'!R85</f>
        <v>相殺</v>
      </c>
      <c r="S80" s="236" t="str">
        <f>'テンプレート'!S85</f>
        <v>相殺ﾓｰｼｮﾝ</v>
      </c>
      <c r="T80" s="236" t="str">
        <f>'テンプレート'!T85</f>
        <v>飛び道具</v>
      </c>
      <c r="U80" s="236" t="str">
        <f>'テンプレート'!U85</f>
        <v>慣性反転</v>
      </c>
      <c r="V80" s="236" t="str">
        <f>'テンプレート'!V85</f>
        <v>向き反転</v>
      </c>
    </row>
    <row r="81" ht="17.25" customHeight="1" outlineLevel="1">
      <c r="A81" s="396" t="s">
        <v>332</v>
      </c>
      <c r="B81" s="402" t="s">
        <v>473</v>
      </c>
      <c r="C81" s="239" t="s">
        <v>562</v>
      </c>
      <c r="D81" s="239" t="s">
        <v>499</v>
      </c>
      <c r="E81" s="239" t="s">
        <v>674</v>
      </c>
      <c r="F81" s="138" t="s">
        <v>2916</v>
      </c>
      <c r="G81" s="239" t="s">
        <v>2917</v>
      </c>
      <c r="H81" s="163" t="s">
        <v>2918</v>
      </c>
      <c r="I81" s="164"/>
      <c r="J81" s="104"/>
      <c r="K81" s="138"/>
      <c r="L81" s="138"/>
      <c r="M81" s="145"/>
      <c r="N81" s="145"/>
      <c r="O81" s="138">
        <v>0.0</v>
      </c>
      <c r="P81" s="138">
        <v>1.0</v>
      </c>
      <c r="Q81" s="138">
        <v>1.0</v>
      </c>
      <c r="R81" s="145" t="b">
        <v>0</v>
      </c>
      <c r="S81" s="145" t="b">
        <v>0</v>
      </c>
      <c r="T81" s="145"/>
      <c r="U81" s="166" t="b">
        <v>0</v>
      </c>
      <c r="V81" s="166" t="b">
        <v>0</v>
      </c>
    </row>
    <row r="82" ht="17.25" customHeight="1" outlineLevel="1">
      <c r="A82" s="146"/>
      <c r="B82" s="402" t="s">
        <v>340</v>
      </c>
      <c r="C82" s="239" t="s">
        <v>835</v>
      </c>
      <c r="D82" s="239" t="s">
        <v>777</v>
      </c>
      <c r="E82" s="239" t="s">
        <v>2919</v>
      </c>
      <c r="F82" s="138" t="s">
        <v>2920</v>
      </c>
      <c r="G82" s="239" t="s">
        <v>2921</v>
      </c>
      <c r="H82" s="212"/>
      <c r="J82" s="210"/>
      <c r="K82" s="138"/>
      <c r="L82" s="138"/>
      <c r="M82" s="145"/>
      <c r="N82" s="145"/>
      <c r="O82" s="138">
        <v>0.0</v>
      </c>
      <c r="P82" s="138">
        <v>1.0</v>
      </c>
      <c r="Q82" s="138">
        <v>1.0</v>
      </c>
      <c r="R82" s="145" t="b">
        <v>0</v>
      </c>
      <c r="S82" s="145" t="b">
        <v>0</v>
      </c>
      <c r="T82" s="145"/>
      <c r="U82" s="146"/>
      <c r="V82" s="146"/>
    </row>
    <row r="83" ht="17.25" customHeight="1" outlineLevel="1">
      <c r="A83" s="146"/>
      <c r="B83" s="402" t="s">
        <v>2922</v>
      </c>
      <c r="C83" s="409"/>
      <c r="D83" s="244" t="s">
        <v>93</v>
      </c>
      <c r="E83" s="281"/>
      <c r="F83" s="281"/>
      <c r="G83" s="281"/>
      <c r="H83" s="212"/>
      <c r="J83" s="210"/>
      <c r="K83" s="281"/>
      <c r="L83" s="281"/>
      <c r="M83" s="281"/>
      <c r="N83" s="281"/>
      <c r="O83" s="281"/>
      <c r="P83" s="281"/>
      <c r="Q83" s="281"/>
      <c r="R83" s="281"/>
      <c r="S83" s="281"/>
      <c r="T83" s="281"/>
      <c r="U83" s="146"/>
      <c r="V83" s="146"/>
    </row>
    <row r="84" ht="17.25" customHeight="1" outlineLevel="1">
      <c r="A84" s="156"/>
      <c r="B84" s="402" t="s">
        <v>1143</v>
      </c>
      <c r="C84" s="409"/>
      <c r="D84" s="244" t="s">
        <v>173</v>
      </c>
      <c r="E84" s="281"/>
      <c r="F84" s="281"/>
      <c r="G84" s="281"/>
      <c r="H84" s="212"/>
      <c r="J84" s="210"/>
      <c r="K84" s="281"/>
      <c r="L84" s="281"/>
      <c r="M84" s="281"/>
      <c r="N84" s="281"/>
      <c r="O84" s="281"/>
      <c r="P84" s="281"/>
      <c r="Q84" s="281"/>
      <c r="R84" s="281"/>
      <c r="S84" s="281"/>
      <c r="T84" s="281"/>
      <c r="U84" s="146"/>
      <c r="V84" s="146"/>
    </row>
    <row r="85" ht="17.25" customHeight="1" outlineLevel="1">
      <c r="A85" s="396" t="s">
        <v>344</v>
      </c>
      <c r="B85" s="402" t="s">
        <v>473</v>
      </c>
      <c r="C85" s="239" t="s">
        <v>562</v>
      </c>
      <c r="D85" s="239" t="s">
        <v>499</v>
      </c>
      <c r="E85" s="239" t="s">
        <v>2923</v>
      </c>
      <c r="F85" s="138" t="s">
        <v>2924</v>
      </c>
      <c r="G85" s="239" t="s">
        <v>675</v>
      </c>
      <c r="H85" s="212"/>
      <c r="J85" s="210"/>
      <c r="K85" s="138"/>
      <c r="L85" s="138"/>
      <c r="M85" s="145"/>
      <c r="N85" s="145"/>
      <c r="O85" s="1900">
        <v>0.0</v>
      </c>
      <c r="P85" s="779">
        <v>1.0</v>
      </c>
      <c r="Q85" s="779">
        <v>1.0</v>
      </c>
      <c r="R85" s="1490" t="b">
        <v>0</v>
      </c>
      <c r="S85" s="1490" t="b">
        <v>0</v>
      </c>
      <c r="T85" s="1490"/>
      <c r="U85" s="146"/>
      <c r="V85" s="146"/>
    </row>
    <row r="86" ht="17.25" customHeight="1" outlineLevel="1">
      <c r="A86" s="156"/>
      <c r="B86" s="402" t="s">
        <v>340</v>
      </c>
      <c r="C86" s="239" t="s">
        <v>835</v>
      </c>
      <c r="D86" s="239" t="s">
        <v>777</v>
      </c>
      <c r="E86" s="239" t="s">
        <v>2925</v>
      </c>
      <c r="F86" s="138" t="s">
        <v>2926</v>
      </c>
      <c r="G86" s="239" t="s">
        <v>2927</v>
      </c>
      <c r="H86" s="106"/>
      <c r="I86" s="168"/>
      <c r="J86" s="107"/>
      <c r="K86" s="138"/>
      <c r="L86" s="282"/>
      <c r="M86" s="363"/>
      <c r="N86" s="363"/>
      <c r="O86" s="1900">
        <v>0.0</v>
      </c>
      <c r="P86" s="779">
        <v>1.0</v>
      </c>
      <c r="Q86" s="779">
        <v>1.0</v>
      </c>
      <c r="R86" s="1490" t="b">
        <v>0</v>
      </c>
      <c r="S86" s="1490" t="b">
        <v>0</v>
      </c>
      <c r="T86" s="1490"/>
      <c r="U86" s="156"/>
      <c r="V86" s="156"/>
    </row>
    <row r="87">
      <c r="A87" s="223"/>
      <c r="B87" s="224"/>
      <c r="C87" s="225"/>
      <c r="D87" s="225"/>
      <c r="E87" s="226"/>
      <c r="F87" s="226"/>
      <c r="G87" s="226"/>
      <c r="H87" s="227"/>
      <c r="I87" s="227"/>
      <c r="J87" s="228"/>
      <c r="K87" s="228"/>
      <c r="L87" s="228"/>
      <c r="M87" s="228"/>
      <c r="N87" s="228"/>
      <c r="O87" s="228"/>
      <c r="P87" s="228"/>
      <c r="Q87" s="118"/>
      <c r="R87" s="118"/>
      <c r="S87" s="118"/>
      <c r="T87" s="118"/>
      <c r="U87" s="118"/>
      <c r="V87" s="118"/>
    </row>
    <row r="88">
      <c r="A88" s="264" t="s">
        <v>211</v>
      </c>
      <c r="B88" s="104"/>
      <c r="C88" s="227"/>
      <c r="D88" s="227"/>
      <c r="E88" s="228"/>
      <c r="F88" s="265"/>
      <c r="G88" s="265"/>
      <c r="H88" s="228"/>
      <c r="I88" s="228"/>
      <c r="J88" s="228"/>
      <c r="K88" s="228"/>
      <c r="L88" s="228"/>
      <c r="M88" s="228"/>
      <c r="N88" s="118"/>
      <c r="O88" s="118"/>
      <c r="P88" s="118"/>
      <c r="Q88" s="228"/>
      <c r="R88" s="228"/>
      <c r="S88" s="228"/>
      <c r="T88" s="228"/>
      <c r="U88" s="228"/>
      <c r="V88" s="228"/>
    </row>
    <row r="89" outlineLevel="1">
      <c r="A89" s="106"/>
      <c r="B89" s="107"/>
      <c r="C89" s="266" t="s">
        <v>48</v>
      </c>
      <c r="D89" s="266" t="s">
        <v>49</v>
      </c>
      <c r="E89" s="266" t="s">
        <v>50</v>
      </c>
      <c r="F89" s="267" t="s">
        <v>51</v>
      </c>
      <c r="G89" s="227"/>
      <c r="H89" s="227"/>
      <c r="I89" s="227"/>
      <c r="J89" s="228"/>
      <c r="K89" s="228"/>
      <c r="L89" s="228"/>
      <c r="M89" s="228"/>
      <c r="N89" s="228"/>
      <c r="O89" s="228"/>
      <c r="P89" s="228"/>
      <c r="Q89" s="228"/>
      <c r="R89" s="228"/>
      <c r="S89" s="228"/>
      <c r="T89" s="228"/>
      <c r="U89" s="228"/>
      <c r="V89" s="228"/>
    </row>
    <row r="90" outlineLevel="1">
      <c r="A90" s="268" t="s">
        <v>212</v>
      </c>
      <c r="B90" s="269" t="s">
        <v>212</v>
      </c>
      <c r="C90" s="239" t="s">
        <v>176</v>
      </c>
      <c r="D90" s="239" t="s">
        <v>93</v>
      </c>
      <c r="E90" s="239" t="s">
        <v>381</v>
      </c>
      <c r="F90" s="138">
        <v>1.92</v>
      </c>
      <c r="G90" s="227"/>
      <c r="H90" s="227"/>
      <c r="I90" s="227"/>
      <c r="J90" s="228"/>
      <c r="K90" s="228"/>
      <c r="L90" s="228"/>
      <c r="M90" s="228"/>
      <c r="N90" s="228"/>
      <c r="O90" s="228"/>
      <c r="P90" s="228"/>
      <c r="Q90" s="228"/>
      <c r="R90" s="228"/>
      <c r="S90" s="228"/>
      <c r="T90" s="228"/>
      <c r="U90" s="228"/>
      <c r="V90" s="228"/>
    </row>
    <row r="91" outlineLevel="1">
      <c r="A91" s="270" t="s">
        <v>215</v>
      </c>
      <c r="B91" s="269" t="s">
        <v>216</v>
      </c>
      <c r="C91" s="239" t="s">
        <v>161</v>
      </c>
      <c r="D91" s="239" t="s">
        <v>118</v>
      </c>
      <c r="E91" s="271"/>
      <c r="F91" s="272"/>
      <c r="G91" s="272"/>
      <c r="H91" s="227"/>
      <c r="I91" s="227"/>
      <c r="J91" s="228"/>
      <c r="K91" s="228"/>
      <c r="L91" s="228"/>
      <c r="M91" s="228"/>
      <c r="N91" s="228"/>
      <c r="O91" s="228"/>
      <c r="P91" s="228"/>
      <c r="Q91" s="228"/>
      <c r="R91" s="228"/>
      <c r="S91" s="228"/>
      <c r="T91" s="228"/>
      <c r="U91" s="228"/>
      <c r="V91" s="228"/>
    </row>
    <row r="92" outlineLevel="1">
      <c r="A92" s="212"/>
      <c r="B92" s="269" t="s">
        <v>219</v>
      </c>
      <c r="C92" s="239" t="s">
        <v>382</v>
      </c>
      <c r="D92" s="239" t="s">
        <v>111</v>
      </c>
      <c r="E92" s="271"/>
      <c r="F92" s="272"/>
      <c r="G92" s="272"/>
      <c r="H92" s="227"/>
      <c r="I92" s="227"/>
      <c r="J92" s="228"/>
      <c r="K92" s="228"/>
      <c r="L92" s="228"/>
      <c r="M92" s="228"/>
      <c r="N92" s="228"/>
      <c r="O92" s="228"/>
      <c r="P92" s="228"/>
      <c r="Q92" s="228"/>
      <c r="R92" s="228"/>
      <c r="S92" s="228"/>
      <c r="T92" s="228"/>
      <c r="U92" s="228"/>
      <c r="V92" s="228"/>
    </row>
    <row r="93" outlineLevel="1">
      <c r="A93" s="106"/>
      <c r="B93" s="269" t="s">
        <v>222</v>
      </c>
      <c r="C93" s="239" t="s">
        <v>383</v>
      </c>
      <c r="D93" s="239" t="s">
        <v>221</v>
      </c>
      <c r="E93" s="227"/>
      <c r="F93" s="272"/>
      <c r="G93" s="272"/>
      <c r="H93" s="227"/>
      <c r="I93" s="227"/>
      <c r="J93" s="228"/>
      <c r="K93" s="228"/>
      <c r="L93" s="228"/>
      <c r="M93" s="228"/>
      <c r="N93" s="228"/>
      <c r="O93" s="228"/>
      <c r="P93" s="228"/>
      <c r="Q93" s="228"/>
      <c r="R93" s="228"/>
      <c r="S93" s="228"/>
      <c r="T93" s="228"/>
      <c r="U93" s="228"/>
      <c r="V93" s="228"/>
    </row>
    <row r="94" outlineLevel="1">
      <c r="A94" s="273" t="s">
        <v>225</v>
      </c>
      <c r="B94" s="109"/>
      <c r="C94" s="266" t="s">
        <v>48</v>
      </c>
      <c r="D94" s="266" t="s">
        <v>49</v>
      </c>
      <c r="E94" s="266" t="s">
        <v>50</v>
      </c>
      <c r="F94" s="267" t="s">
        <v>51</v>
      </c>
      <c r="G94" s="1168" t="s">
        <v>53</v>
      </c>
      <c r="H94" s="110"/>
      <c r="I94" s="110"/>
      <c r="J94" s="109"/>
      <c r="K94" s="275" t="str">
        <f>'テンプレート'!K97</f>
        <v>ベクトル</v>
      </c>
      <c r="L94" s="275" t="str">
        <f>'テンプレート'!L97</f>
        <v>KBG (R.E.)</v>
      </c>
      <c r="M94" s="275" t="str">
        <f>'テンプレート'!M97</f>
        <v>BKB (R.A.)</v>
      </c>
      <c r="N94" s="275" t="str">
        <f>'テンプレート'!N97</f>
        <v>FKB (R.F.)</v>
      </c>
      <c r="O94" s="276" t="str">
        <f>'テンプレート'!O97</f>
        <v>盾削り値</v>
      </c>
      <c r="P94" s="275" t="str">
        <f>'テンプレート'!P97</f>
        <v>ﾋｯﾄｽﾄｯﾌﾟ</v>
      </c>
      <c r="Q94" s="276" t="str">
        <f>'テンプレート'!Q97</f>
        <v>ずらし</v>
      </c>
      <c r="R94" s="277"/>
      <c r="S94" s="277"/>
      <c r="T94" s="277"/>
      <c r="U94" s="277"/>
      <c r="V94" s="277"/>
    </row>
    <row r="95" outlineLevel="1">
      <c r="A95" s="278" t="s">
        <v>226</v>
      </c>
      <c r="B95" s="269" t="s">
        <v>227</v>
      </c>
      <c r="C95" s="1901">
        <v>43812.0</v>
      </c>
      <c r="D95" s="279">
        <v>37.0</v>
      </c>
      <c r="E95" s="239" t="s">
        <v>73</v>
      </c>
      <c r="F95" s="138">
        <v>4.8</v>
      </c>
      <c r="G95" s="1170"/>
      <c r="H95" s="164"/>
      <c r="I95" s="164"/>
      <c r="J95" s="104"/>
      <c r="K95" s="282"/>
      <c r="L95" s="282"/>
      <c r="M95" s="363"/>
      <c r="N95" s="363"/>
      <c r="O95" s="145">
        <v>0.0</v>
      </c>
      <c r="P95" s="145">
        <v>1.0</v>
      </c>
      <c r="Q95" s="145">
        <v>1.0</v>
      </c>
      <c r="R95" s="277"/>
      <c r="S95" s="228"/>
      <c r="T95" s="228"/>
      <c r="U95" s="228"/>
      <c r="V95" s="228"/>
    </row>
    <row r="96" outlineLevel="1">
      <c r="A96" s="156"/>
      <c r="B96" s="269" t="s">
        <v>225</v>
      </c>
      <c r="C96" s="113">
        <v>14.0</v>
      </c>
      <c r="D96" s="156"/>
      <c r="E96" s="239" t="s">
        <v>86</v>
      </c>
      <c r="F96" s="138">
        <v>7.199999999999999</v>
      </c>
      <c r="G96" s="106"/>
      <c r="H96" s="168"/>
      <c r="I96" s="168"/>
      <c r="J96" s="107"/>
      <c r="K96" s="282"/>
      <c r="L96" s="282"/>
      <c r="M96" s="363"/>
      <c r="N96" s="363"/>
      <c r="O96" s="261"/>
      <c r="P96" s="261"/>
      <c r="Q96" s="261"/>
      <c r="R96" s="277"/>
      <c r="S96" s="228"/>
      <c r="T96" s="228"/>
      <c r="U96" s="228"/>
      <c r="V96" s="228"/>
    </row>
    <row r="97" outlineLevel="1">
      <c r="A97" s="278" t="s">
        <v>229</v>
      </c>
      <c r="B97" s="269" t="s">
        <v>227</v>
      </c>
      <c r="C97" s="239" t="s">
        <v>1137</v>
      </c>
      <c r="D97" s="279">
        <v>41.0</v>
      </c>
      <c r="E97" s="239" t="s">
        <v>73</v>
      </c>
      <c r="F97" s="138">
        <v>4.8</v>
      </c>
      <c r="G97" s="1170"/>
      <c r="H97" s="164"/>
      <c r="I97" s="164"/>
      <c r="J97" s="104"/>
      <c r="K97" s="282"/>
      <c r="L97" s="282"/>
      <c r="M97" s="363"/>
      <c r="N97" s="363"/>
      <c r="O97" s="145">
        <v>0.0</v>
      </c>
      <c r="P97" s="145">
        <v>1.0</v>
      </c>
      <c r="Q97" s="145">
        <v>1.0</v>
      </c>
      <c r="R97" s="277"/>
      <c r="S97" s="228"/>
      <c r="T97" s="228"/>
      <c r="U97" s="228"/>
      <c r="V97" s="228"/>
    </row>
    <row r="98" outlineLevel="1">
      <c r="A98" s="156"/>
      <c r="B98" s="269" t="s">
        <v>225</v>
      </c>
      <c r="C98" s="113">
        <v>19.0</v>
      </c>
      <c r="D98" s="156"/>
      <c r="E98" s="239" t="s">
        <v>274</v>
      </c>
      <c r="F98" s="138">
        <v>10.799999999999999</v>
      </c>
      <c r="G98" s="106"/>
      <c r="H98" s="168"/>
      <c r="I98" s="168"/>
      <c r="J98" s="107"/>
      <c r="K98" s="282"/>
      <c r="L98" s="282"/>
      <c r="M98" s="363"/>
      <c r="N98" s="363"/>
      <c r="O98" s="261"/>
      <c r="P98" s="261"/>
      <c r="Q98" s="261"/>
      <c r="R98" s="277"/>
      <c r="S98" s="228"/>
      <c r="T98" s="228"/>
      <c r="U98" s="228"/>
      <c r="V98" s="228"/>
    </row>
    <row r="99" outlineLevel="1">
      <c r="A99" s="278" t="s">
        <v>233</v>
      </c>
      <c r="B99" s="269" t="s">
        <v>227</v>
      </c>
      <c r="C99" s="1091" t="s">
        <v>1137</v>
      </c>
      <c r="D99" s="279">
        <v>39.0</v>
      </c>
      <c r="E99" s="239" t="s">
        <v>73</v>
      </c>
      <c r="F99" s="138">
        <v>4.8</v>
      </c>
      <c r="G99" s="283" t="s">
        <v>2928</v>
      </c>
      <c r="H99" s="164"/>
      <c r="I99" s="164"/>
      <c r="J99" s="104"/>
      <c r="K99" s="282"/>
      <c r="L99" s="282"/>
      <c r="M99" s="363"/>
      <c r="N99" s="363"/>
      <c r="O99" s="145">
        <v>0.0</v>
      </c>
      <c r="P99" s="145">
        <v>1.0</v>
      </c>
      <c r="Q99" s="145">
        <v>1.0</v>
      </c>
      <c r="R99" s="277"/>
      <c r="S99" s="228"/>
      <c r="T99" s="228"/>
      <c r="U99" s="228"/>
      <c r="V99" s="228"/>
    </row>
    <row r="100" outlineLevel="1">
      <c r="A100" s="156"/>
      <c r="B100" s="269" t="s">
        <v>225</v>
      </c>
      <c r="C100" s="113">
        <v>19.0</v>
      </c>
      <c r="D100" s="156"/>
      <c r="E100" s="239" t="s">
        <v>150</v>
      </c>
      <c r="F100" s="138">
        <v>6.0</v>
      </c>
      <c r="G100" s="212"/>
      <c r="J100" s="210"/>
      <c r="K100" s="282"/>
      <c r="L100" s="282"/>
      <c r="M100" s="363"/>
      <c r="N100" s="363"/>
      <c r="O100" s="261"/>
      <c r="P100" s="261"/>
      <c r="Q100" s="261"/>
      <c r="R100" s="277"/>
      <c r="S100" s="117"/>
      <c r="T100" s="117"/>
      <c r="U100" s="117"/>
      <c r="V100" s="117"/>
    </row>
    <row r="101" outlineLevel="1">
      <c r="A101" s="278" t="s">
        <v>234</v>
      </c>
      <c r="B101" s="269" t="s">
        <v>227</v>
      </c>
      <c r="C101" s="553"/>
      <c r="D101" s="367" t="s">
        <v>384</v>
      </c>
      <c r="E101" s="261"/>
      <c r="F101" s="261"/>
      <c r="G101" s="212"/>
      <c r="J101" s="210"/>
      <c r="K101" s="261"/>
      <c r="L101" s="261"/>
      <c r="M101" s="261"/>
      <c r="N101" s="261"/>
      <c r="O101" s="261"/>
      <c r="P101" s="261"/>
      <c r="Q101" s="261"/>
      <c r="R101" s="277"/>
      <c r="S101" s="117"/>
      <c r="T101" s="117"/>
      <c r="U101" s="117"/>
      <c r="V101" s="117"/>
    </row>
    <row r="102" outlineLevel="1">
      <c r="A102" s="156"/>
      <c r="B102" s="269" t="s">
        <v>225</v>
      </c>
      <c r="C102" s="239" t="s">
        <v>876</v>
      </c>
      <c r="D102" s="156"/>
      <c r="E102" s="239" t="s">
        <v>86</v>
      </c>
      <c r="F102" s="138">
        <v>7.199999999999999</v>
      </c>
      <c r="G102" s="106"/>
      <c r="H102" s="168"/>
      <c r="I102" s="168"/>
      <c r="J102" s="107"/>
      <c r="K102" s="282"/>
      <c r="L102" s="282"/>
      <c r="M102" s="363"/>
      <c r="N102" s="363"/>
      <c r="O102" s="261"/>
      <c r="P102" s="261"/>
      <c r="Q102" s="261"/>
      <c r="R102" s="277"/>
      <c r="S102" s="117"/>
      <c r="T102" s="117"/>
      <c r="U102" s="117"/>
      <c r="V102" s="117"/>
    </row>
    <row r="103">
      <c r="A103" s="223"/>
      <c r="B103" s="224"/>
      <c r="C103" s="225"/>
      <c r="D103" s="225"/>
      <c r="E103" s="227"/>
      <c r="F103" s="177"/>
      <c r="G103" s="177"/>
      <c r="H103" s="227"/>
      <c r="I103" s="227"/>
      <c r="J103" s="228"/>
      <c r="K103" s="228"/>
      <c r="L103" s="111"/>
      <c r="M103" s="111"/>
      <c r="N103" s="111"/>
      <c r="O103" s="117"/>
      <c r="P103" s="117"/>
      <c r="Q103" s="111"/>
      <c r="R103" s="111"/>
      <c r="S103" s="111"/>
      <c r="T103" s="111"/>
      <c r="U103" s="111"/>
      <c r="V103" s="111"/>
    </row>
    <row r="104">
      <c r="A104" s="284" t="s">
        <v>241</v>
      </c>
      <c r="B104" s="104"/>
      <c r="C104" s="265"/>
      <c r="D104" s="111"/>
      <c r="E104" s="111"/>
      <c r="F104" s="111"/>
      <c r="G104" s="111"/>
      <c r="H104" s="111"/>
      <c r="I104" s="111"/>
      <c r="J104" s="118"/>
      <c r="K104" s="111"/>
      <c r="L104" s="111"/>
      <c r="M104" s="111"/>
      <c r="N104" s="111"/>
      <c r="O104" s="111"/>
      <c r="P104" s="111"/>
      <c r="Q104" s="118"/>
      <c r="R104" s="111"/>
      <c r="S104" s="111"/>
      <c r="T104" s="111"/>
      <c r="U104" s="111"/>
      <c r="V104" s="111"/>
    </row>
    <row r="105" outlineLevel="1">
      <c r="A105" s="106"/>
      <c r="B105" s="107"/>
      <c r="C105" s="285" t="s">
        <v>235</v>
      </c>
      <c r="D105" s="285" t="s">
        <v>236</v>
      </c>
      <c r="E105" s="285" t="s">
        <v>49</v>
      </c>
      <c r="F105" s="285" t="s">
        <v>237</v>
      </c>
      <c r="G105" s="286"/>
      <c r="H105" s="227"/>
      <c r="I105" s="227"/>
      <c r="J105" s="228"/>
      <c r="K105" s="228"/>
      <c r="L105" s="111"/>
      <c r="M105" s="111"/>
      <c r="N105" s="111"/>
      <c r="O105" s="111"/>
      <c r="P105" s="111"/>
      <c r="Q105" s="111"/>
      <c r="R105" s="111"/>
      <c r="S105" s="111"/>
      <c r="T105" s="111"/>
      <c r="U105" s="111"/>
      <c r="V105" s="111"/>
    </row>
    <row r="106" outlineLevel="1">
      <c r="A106" s="287" t="s">
        <v>395</v>
      </c>
      <c r="B106" s="288" t="s">
        <v>216</v>
      </c>
      <c r="C106" s="113" t="str">
        <f t="array" ref="C106">INDEX('回避'!$C$3:$U$84, MATCH($A$1,'回避'!$A$3:$A$91,0), MATCH(C105,'回避'!$C$2:$F$2,0))</f>
        <v>3-18</v>
      </c>
      <c r="D106" s="113" t="str">
        <f t="array" ref="D106">INDEX('回避'!$C$3:$U$84, MATCH($A$1,'回避'!$A$3:$A$91,0), MATCH(D105,'回避'!$C$2:$F$2,0))</f>
        <v>6-18</v>
      </c>
      <c r="E106" s="113" t="str">
        <f t="array" ref="E106">INDEX('回避'!$C$3:$U$84, MATCH($A$1,'回避'!$A$3:$A$91,0), MATCH(E105,'回避'!$C$2:$F$2,0))</f>
        <v>28 (23)</v>
      </c>
      <c r="F106" s="113" t="str">
        <f t="array" ref="F106">INDEX('回避'!$C$3:$U$84, MATCH($A$1,'回避'!$A$3:$A$91,0), MATCH(F105,'回避'!$C$2:$F$2,0))</f>
        <v>37 (31)</v>
      </c>
      <c r="G106" s="272"/>
      <c r="H106" s="227"/>
      <c r="I106" s="227"/>
      <c r="J106" s="228"/>
      <c r="K106" s="228"/>
      <c r="L106" s="228"/>
      <c r="M106" s="111"/>
      <c r="N106" s="111"/>
      <c r="O106" s="111"/>
      <c r="P106" s="111"/>
      <c r="Q106" s="111"/>
      <c r="R106" s="111"/>
      <c r="S106" s="111"/>
      <c r="T106" s="111"/>
      <c r="U106" s="111"/>
      <c r="V106" s="111"/>
    </row>
    <row r="107" outlineLevel="1">
      <c r="A107" s="212"/>
      <c r="B107" s="288" t="s">
        <v>245</v>
      </c>
      <c r="C107" s="113" t="str">
        <f t="array" ref="C107">INDEX('回避'!$G$3:$U$84, MATCH($A$1,'回避'!$A$3:$A$91,0), MATCH(C105,'回避'!$G$2:$J$2,0))</f>
        <v>4-16</v>
      </c>
      <c r="D107" s="113" t="str">
        <f t="array" ref="D107">INDEX('回避'!$G$3:$U$84, MATCH($A$1,'回避'!$A$3:$A$91,0), MATCH(D105,'回避'!$G$2:$J$2,0))</f>
        <v>8-15</v>
      </c>
      <c r="E107" s="113" t="str">
        <f t="array" ref="E107">INDEX('回避'!$G$3:$U$84, MATCH($A$1,'回避'!$A$3:$A$91,0), MATCH(E105,'回避'!$G$2:$J$2,0))</f>
        <v>32</v>
      </c>
      <c r="F107" s="113">
        <f t="array" ref="F107">INDEX('回避'!$G$3:$U$84, MATCH($A$1,'回避'!$A$3:$A$91,0), MATCH(F105,'回避'!$G$2:$J$2,0))</f>
        <v>42</v>
      </c>
      <c r="G107" s="289"/>
      <c r="H107" s="227"/>
      <c r="I107" s="227"/>
      <c r="J107" s="228"/>
      <c r="K107" s="228"/>
      <c r="L107" s="228"/>
      <c r="M107" s="228"/>
      <c r="N107" s="228"/>
      <c r="O107" s="111"/>
      <c r="P107" s="111"/>
      <c r="Q107" s="111"/>
      <c r="R107" s="111"/>
      <c r="S107" s="111"/>
      <c r="T107" s="111"/>
      <c r="U107" s="111"/>
      <c r="V107" s="111"/>
    </row>
    <row r="108" outlineLevel="1">
      <c r="A108" s="106"/>
      <c r="B108" s="288" t="s">
        <v>246</v>
      </c>
      <c r="C108" s="113" t="str">
        <f t="array" ref="C108">INDEX('回避'!$K$3:$U$84, MATCH($A$1,'回避'!$A$3:$A$91,0), MATCH(C105,'回避'!$K$2:$N$2,0))</f>
        <v>5-17</v>
      </c>
      <c r="D108" s="113" t="str">
        <f t="array" ref="D108">INDEX('回避'!$K$3:$U$84, MATCH($A$1,'回避'!$A$3:$A$91,0), MATCH(D105,'回避'!$K$2:$N$2,0))</f>
        <v>9-15</v>
      </c>
      <c r="E108" s="113" t="str">
        <f t="array" ref="E108">INDEX('回避'!$K$3:$U$84, MATCH($A$1,'回避'!$A$3:$A$91,0), MATCH(E105,'回避'!$K$2:$N$2,0))</f>
        <v>37</v>
      </c>
      <c r="F108" s="113" t="str">
        <f t="array" ref="F108">INDEX('回避'!$K$3:$U$84, MATCH($A$1,'回避'!$A$3:$A$91,0), MATCH(F105,'回避'!$K$2:$N$2,0))</f>
        <v>56</v>
      </c>
      <c r="G108" s="289"/>
      <c r="H108" s="290"/>
      <c r="I108" s="290"/>
      <c r="J108" s="117"/>
      <c r="K108" s="117"/>
      <c r="L108" s="117"/>
      <c r="M108" s="117"/>
      <c r="N108" s="117"/>
      <c r="O108" s="111"/>
      <c r="P108" s="111"/>
      <c r="Q108" s="111"/>
      <c r="R108" s="111"/>
      <c r="S108" s="111"/>
      <c r="T108" s="111"/>
      <c r="U108" s="111"/>
      <c r="V108" s="111"/>
    </row>
    <row r="109" outlineLevel="1">
      <c r="A109" s="287" t="s">
        <v>396</v>
      </c>
      <c r="B109" s="288" t="s">
        <v>397</v>
      </c>
      <c r="C109" s="113" t="str">
        <f t="array" ref="C109">INDEX('回避'!$O$3:$U$84, MATCH($A$1,'回避'!$A$3:$A$91,0), MATCH(C105,'回避'!$O$2:$R$2,0))</f>
        <v>4-32</v>
      </c>
      <c r="D109" s="113" t="str">
        <f t="array" ref="D109">INDEX('回避'!$O$3:$U$84, MATCH($A$1,'回避'!$A$3:$A$91,0), MATCH(D105,'回避'!$O$2:$R$2,0))</f>
        <v>7-29</v>
      </c>
      <c r="E109" s="113" t="str">
        <f t="array" ref="E109">INDEX('回避'!$O$3:$U$84, MATCH($A$1,'回避'!$A$3:$A$91,0), MATCH(E105,'回避'!$O$2:$R$2,0))</f>
        <v>43</v>
      </c>
      <c r="F109" s="177"/>
      <c r="G109" s="177"/>
      <c r="H109" s="118"/>
      <c r="I109" s="118"/>
      <c r="J109" s="111"/>
      <c r="K109" s="111"/>
      <c r="L109" s="111"/>
      <c r="M109" s="111"/>
      <c r="N109" s="111"/>
      <c r="O109" s="228"/>
      <c r="P109" s="228"/>
      <c r="Q109" s="228"/>
      <c r="R109" s="228"/>
      <c r="S109" s="228"/>
      <c r="T109" s="228"/>
      <c r="U109" s="228"/>
      <c r="V109" s="228"/>
    </row>
    <row r="110" outlineLevel="1">
      <c r="A110" s="106"/>
      <c r="B110" s="288" t="s">
        <v>398</v>
      </c>
      <c r="C110" s="113" t="str">
        <f t="array" ref="C110">INDEX('回避'!$S$3:$U$84, MATCH($A$1,'回避'!$A$3:$A$91,0), MATCH(C105,'回避'!$S$2:$U$2,0))</f>
        <v>4-23</v>
      </c>
      <c r="D110" s="113" t="str">
        <f t="array" ref="D110">INDEX('回避'!$S$3:$U$84, MATCH($A$1,'回避'!$A$3:$A$91,0), MATCH(D105,'回避'!$S$2:$U$2,0))</f>
        <v>7-22</v>
      </c>
      <c r="E110" s="113" t="str">
        <f t="array" ref="E110">INDEX('回避'!$S$3:$U$84, MATCH($A$1,'回避'!$A$3:$A$91,0), MATCH(E105,'回避'!$S$2:$U$2,0))</f>
        <v>真横：72
真上：96
真下：58</v>
      </c>
      <c r="F110" s="289"/>
      <c r="G110" s="289"/>
      <c r="H110" s="118"/>
      <c r="I110" s="118"/>
      <c r="J110" s="117"/>
      <c r="K110" s="117"/>
      <c r="L110" s="117"/>
      <c r="M110" s="117"/>
      <c r="N110" s="111"/>
      <c r="O110" s="118"/>
      <c r="P110" s="118"/>
      <c r="Q110" s="118"/>
      <c r="R110" s="118"/>
      <c r="S110" s="118"/>
      <c r="T110" s="118"/>
      <c r="U110" s="118"/>
      <c r="V110" s="118"/>
    </row>
    <row r="111">
      <c r="A111" s="291"/>
      <c r="B111" s="292"/>
      <c r="C111" s="286"/>
      <c r="D111" s="286"/>
      <c r="E111" s="293"/>
      <c r="F111" s="286"/>
      <c r="G111" s="286"/>
      <c r="H111" s="286"/>
      <c r="I111" s="286"/>
      <c r="J111" s="111"/>
      <c r="K111" s="227"/>
      <c r="L111" s="227"/>
      <c r="M111" s="227"/>
      <c r="N111" s="227"/>
      <c r="O111" s="118"/>
      <c r="P111" s="118"/>
      <c r="Q111" s="118"/>
      <c r="R111" s="118"/>
      <c r="S111" s="118"/>
      <c r="T111" s="118"/>
      <c r="U111" s="118"/>
      <c r="V111" s="118"/>
    </row>
    <row r="112">
      <c r="A112" s="294" t="s">
        <v>238</v>
      </c>
      <c r="B112" s="104"/>
      <c r="C112" s="228"/>
      <c r="D112" s="117"/>
      <c r="E112" s="228"/>
      <c r="F112" s="114"/>
      <c r="G112" s="114"/>
      <c r="H112" s="117"/>
      <c r="I112" s="117"/>
      <c r="J112" s="118"/>
      <c r="K112" s="118"/>
      <c r="L112" s="118"/>
      <c r="M112" s="118"/>
      <c r="N112" s="118"/>
      <c r="O112" s="118"/>
      <c r="P112" s="118"/>
      <c r="Q112" s="118"/>
      <c r="R112" s="118"/>
      <c r="S112" s="118"/>
      <c r="T112" s="118"/>
      <c r="U112" s="118"/>
      <c r="V112" s="118"/>
    </row>
    <row r="113" outlineLevel="1">
      <c r="A113" s="106"/>
      <c r="B113" s="107"/>
      <c r="C113" s="295" t="s">
        <v>235</v>
      </c>
      <c r="D113" s="295" t="s">
        <v>49</v>
      </c>
      <c r="E113" s="295" t="s">
        <v>48</v>
      </c>
      <c r="F113" s="295" t="s">
        <v>50</v>
      </c>
      <c r="G113" s="296" t="s">
        <v>51</v>
      </c>
      <c r="H113" s="228"/>
      <c r="I113" s="228"/>
      <c r="J113" s="117"/>
      <c r="K113" s="297" t="str">
        <f>'テンプレート'!K116</f>
        <v>アイテム取得</v>
      </c>
      <c r="L113" s="109"/>
      <c r="M113" s="298" t="str">
        <f>'テンプレート'!M116</f>
        <v>取得フレーム</v>
      </c>
      <c r="N113" s="298" t="str">
        <f>'テンプレート'!N116</f>
        <v>全体フレーム</v>
      </c>
      <c r="O113" s="118"/>
      <c r="P113" s="118"/>
      <c r="Q113" s="118"/>
      <c r="R113" s="118"/>
      <c r="S113" s="118"/>
      <c r="T113" s="118"/>
      <c r="U113" s="118"/>
      <c r="V113" s="118"/>
    </row>
    <row r="114" outlineLevel="1">
      <c r="A114" s="299" t="s">
        <v>239</v>
      </c>
      <c r="B114" s="300" t="s">
        <v>240</v>
      </c>
      <c r="C114" s="301"/>
      <c r="D114" s="113">
        <f t="array" ref="D114">INDEX('崖行動・受け身'!$C$3:$C120, MATCH($A$1,'崖行動・受け身'!$A$3:$A$115,0), MATCH(D113,'崖行動・受け身'!$C$2,0))</f>
        <v>19</v>
      </c>
      <c r="E114" s="301"/>
      <c r="F114" s="301"/>
      <c r="G114" s="301"/>
      <c r="H114" s="228"/>
      <c r="I114" s="228"/>
      <c r="J114" s="111"/>
      <c r="K114" s="302" t="str">
        <f>'テンプレート'!K117</f>
        <v>小アイテム</v>
      </c>
      <c r="L114" s="303" t="str">
        <f>'テンプレート'!L117</f>
        <v>その場</v>
      </c>
      <c r="M114" s="113" t="s">
        <v>76</v>
      </c>
      <c r="N114" s="113">
        <v>7.0</v>
      </c>
      <c r="O114" s="118"/>
      <c r="P114" s="118"/>
      <c r="Q114" s="118"/>
      <c r="R114" s="118"/>
      <c r="S114" s="118"/>
      <c r="T114" s="118"/>
      <c r="U114" s="118"/>
      <c r="V114" s="118"/>
    </row>
    <row r="115" outlineLevel="1">
      <c r="A115" s="146"/>
      <c r="B115" s="300" t="s">
        <v>216</v>
      </c>
      <c r="C115" s="113" t="str">
        <f t="array" ref="C115">INDEX('崖行動・受け身'!$D$3:$E120, MATCH($A$1,'崖行動・受け身'!$A$3:$A$115,0), MATCH(C113,'崖行動・受け身'!$D$2:$E$2,0))</f>
        <v>1-33</v>
      </c>
      <c r="D115" s="113">
        <f t="array" ref="D115">INDEX('崖行動・受け身'!$D$3:$E120, MATCH($A$1,'崖行動・受け身'!$A$3:$A$115,0), MATCH(D113,'崖行動・受け身'!$D$2:$E$2,0))</f>
        <v>34</v>
      </c>
      <c r="E115" s="301"/>
      <c r="F115" s="301"/>
      <c r="G115" s="301"/>
      <c r="H115" s="228"/>
      <c r="I115" s="228"/>
      <c r="J115" s="117"/>
      <c r="K115" s="156"/>
      <c r="L115" s="303" t="str">
        <f>'テンプレート'!L118</f>
        <v>歩き</v>
      </c>
      <c r="M115" s="113" t="s">
        <v>76</v>
      </c>
      <c r="N115" s="113">
        <v>19.0</v>
      </c>
      <c r="O115" s="118"/>
      <c r="P115" s="118"/>
      <c r="Q115" s="118"/>
      <c r="R115" s="118"/>
      <c r="S115" s="118"/>
      <c r="T115" s="118"/>
      <c r="U115" s="118"/>
      <c r="V115" s="118"/>
    </row>
    <row r="116" outlineLevel="1">
      <c r="A116" s="146"/>
      <c r="B116" s="300" t="s">
        <v>241</v>
      </c>
      <c r="C116" s="113" t="str">
        <f t="array" ref="C116">INDEX('崖行動・受け身'!$F$3:$G$115, MATCH($A$1,'崖行動・受け身'!$A$3:$A$115,0), MATCH(C113,'崖行動・受け身'!$F$2:$G$2,0))</f>
        <v>1-28</v>
      </c>
      <c r="D116" s="113">
        <f t="array" ref="D116">INDEX('崖行動・受け身'!$F$3:$G$115, MATCH($A$1,'崖行動・受け身'!$A$3:$A$115,0), MATCH(D113,'崖行動・受け身'!$F$2:$G$2,0))</f>
        <v>45</v>
      </c>
      <c r="E116" s="301"/>
      <c r="F116" s="301"/>
      <c r="G116" s="301"/>
      <c r="H116" s="228"/>
      <c r="I116" s="228"/>
      <c r="J116" s="111"/>
      <c r="K116" s="304" t="str">
        <f>'テンプレート'!K119</f>
        <v>アイテム投擲</v>
      </c>
      <c r="L116" s="109"/>
      <c r="M116" s="298" t="str">
        <f>'テンプレート'!M119</f>
        <v>投擲フレーム</v>
      </c>
      <c r="N116" s="298" t="str">
        <f>'テンプレート'!N119</f>
        <v>全体フレーム</v>
      </c>
      <c r="O116" s="118"/>
      <c r="P116" s="118"/>
      <c r="Q116" s="118"/>
      <c r="R116" s="118"/>
      <c r="S116" s="118"/>
      <c r="T116" s="118"/>
      <c r="U116" s="118"/>
      <c r="V116" s="118"/>
    </row>
    <row r="117" outlineLevel="1">
      <c r="A117" s="146"/>
      <c r="B117" s="300" t="s">
        <v>242</v>
      </c>
      <c r="C117" s="113" t="str">
        <f t="array" ref="C117">INDEX('崖行動・受け身'!$H$3:$I$115, MATCH($A$1,'崖行動・受け身'!$A$3:$A$115,0), MATCH(C113,'崖行動・受け身'!$H$2:$I$2,0))</f>
        <v>1-12</v>
      </c>
      <c r="D117" s="113">
        <f t="array" ref="D117">INDEX('崖行動・受け身'!$H$3:$I$115, MATCH($A$1,'崖行動・受け身'!$A$3:$A$115,0), MATCH(D113,'崖行動・受け身'!$H$2:$I$2,0))</f>
        <v>14</v>
      </c>
      <c r="E117" s="301"/>
      <c r="F117" s="301"/>
      <c r="G117" s="301"/>
      <c r="H117" s="228"/>
      <c r="I117" s="228"/>
      <c r="J117" s="117"/>
      <c r="K117" s="305" t="str">
        <f>'テンプレート'!K120</f>
        <v>地上投擲</v>
      </c>
      <c r="L117" s="303" t="str">
        <f>'テンプレート'!L120</f>
        <v>前投げ</v>
      </c>
      <c r="M117" s="113" t="s">
        <v>128</v>
      </c>
      <c r="N117" s="113">
        <v>29.0</v>
      </c>
      <c r="O117" s="111"/>
      <c r="P117" s="111"/>
      <c r="Q117" s="111"/>
      <c r="R117" s="111"/>
      <c r="S117" s="111"/>
      <c r="T117" s="111"/>
      <c r="U117" s="111"/>
      <c r="V117" s="111"/>
    </row>
    <row r="118" outlineLevel="1">
      <c r="A118" s="156"/>
      <c r="B118" s="300" t="s">
        <v>243</v>
      </c>
      <c r="C118" s="113" t="str">
        <f t="array" ref="C118">INDEX('崖行動・受け身'!$J$3:$M$115, MATCH($A$1,'崖行動・受け身'!$A$3:$A$115,0), MATCH(C113,'崖行動・受け身'!$J$2:$M$2,0))</f>
        <v>1-26</v>
      </c>
      <c r="D118" s="113">
        <f t="array" ref="D118">INDEX('崖行動・受け身'!$J$3:$M$115, MATCH($A$1,'崖行動・受け身'!$A$3:$A$115,0), MATCH(D113,'崖行動・受け身'!$J$2:$M$2,0))</f>
        <v>55</v>
      </c>
      <c r="E118" s="113" t="str">
        <f t="array" ref="E118">INDEX('崖行動・受け身'!$J$3:$M$115, MATCH($A$1,'崖行動・受け身'!$A$3:$A$115,0), MATCH(E113,'崖行動・受け身'!$J$2:$M$2,0))</f>
        <v>24-26</v>
      </c>
      <c r="F118" s="113">
        <f t="array" ref="F118">INDEX('崖行動・受け身'!$J$3:$M$115, MATCH($A$1,'崖行動・受け身'!$A$3:$A$115,0), MATCH(F113,'崖行動・受け身'!$J$2:$M$2,0))</f>
        <v>10</v>
      </c>
      <c r="G118" s="113">
        <f>F118*1.2</f>
        <v>12</v>
      </c>
      <c r="H118" s="228"/>
      <c r="I118" s="228"/>
      <c r="J118" s="111"/>
      <c r="K118" s="146"/>
      <c r="L118" s="303" t="str">
        <f>'テンプレート'!L121</f>
        <v>後投げ</v>
      </c>
      <c r="M118" s="113" t="s">
        <v>119</v>
      </c>
      <c r="N118" s="113">
        <v>29.0</v>
      </c>
      <c r="O118" s="111"/>
      <c r="P118" s="111"/>
      <c r="Q118" s="111"/>
      <c r="R118" s="111"/>
      <c r="S118" s="111"/>
      <c r="T118" s="111"/>
      <c r="U118" s="111"/>
      <c r="V118" s="111"/>
    </row>
    <row r="119" outlineLevel="1">
      <c r="A119" s="299" t="s">
        <v>244</v>
      </c>
      <c r="B119" s="300" t="s">
        <v>216</v>
      </c>
      <c r="C119" s="113" t="str">
        <f t="array" ref="C119">INDEX('崖行動・受け身'!$N$3:$O$115, MATCH($A$1,'崖行動・受け身'!$A$3:$A$115,0), MATCH(C113,'崖行動・受け身'!$N$2:$O$2,0))</f>
        <v>1-20</v>
      </c>
      <c r="D119" s="113">
        <f t="array" ref="D119">INDEX('崖行動・受け身'!$N$3:$O$115, MATCH($A$1,'崖行動・受け身'!$A$3:$A$115,0), MATCH(D113,'崖行動・受け身'!$N$2:$O$2,0))</f>
        <v>26</v>
      </c>
      <c r="E119" s="301"/>
      <c r="F119" s="301"/>
      <c r="G119" s="301"/>
      <c r="H119" s="228"/>
      <c r="I119" s="228"/>
      <c r="J119" s="117"/>
      <c r="K119" s="146"/>
      <c r="L119" s="303" t="str">
        <f>'テンプレート'!L122</f>
        <v>上投げ</v>
      </c>
      <c r="M119" s="113" t="s">
        <v>386</v>
      </c>
      <c r="N119" s="113">
        <v>29.0</v>
      </c>
      <c r="O119" s="228"/>
      <c r="P119" s="228"/>
      <c r="Q119" s="228"/>
      <c r="R119" s="228"/>
      <c r="S119" s="228"/>
      <c r="T119" s="228"/>
      <c r="U119" s="228"/>
      <c r="V119" s="228"/>
    </row>
    <row r="120" outlineLevel="1">
      <c r="A120" s="146"/>
      <c r="B120" s="300" t="s">
        <v>245</v>
      </c>
      <c r="C120" s="113" t="str">
        <f t="array" ref="C120">INDEX('崖行動・受け身'!$P$3:$Q$115, MATCH($A$1,'崖行動・受け身'!$A$3:$A$115,0), MATCH(C113,'崖行動・受け身'!$P$2:$Q$2,0))</f>
        <v>1-20</v>
      </c>
      <c r="D120" s="113">
        <f t="array" ref="D120">INDEX('崖行動・受け身'!$P$3:$Q$115, MATCH($A$1,'崖行動・受け身'!$A$3:$A$115,0), MATCH(D113,'崖行動・受け身'!$P$2:$Q$2,0))</f>
        <v>40</v>
      </c>
      <c r="E120" s="301"/>
      <c r="F120" s="301"/>
      <c r="G120" s="301"/>
      <c r="H120" s="228"/>
      <c r="I120" s="228"/>
      <c r="J120" s="111"/>
      <c r="K120" s="146"/>
      <c r="L120" s="303" t="str">
        <f>'テンプレート'!L123</f>
        <v>下投げ</v>
      </c>
      <c r="M120" s="113" t="s">
        <v>80</v>
      </c>
      <c r="N120" s="113">
        <v>21.0</v>
      </c>
      <c r="O120" s="118"/>
      <c r="P120" s="118"/>
      <c r="Q120" s="118"/>
      <c r="R120" s="118"/>
      <c r="S120" s="118"/>
      <c r="T120" s="118"/>
      <c r="U120" s="118"/>
      <c r="V120" s="118"/>
    </row>
    <row r="121" outlineLevel="1">
      <c r="A121" s="156"/>
      <c r="B121" s="300" t="s">
        <v>246</v>
      </c>
      <c r="C121" s="113" t="str">
        <f t="array" ref="C121">INDEX('崖行動・受け身'!$R$3:$S$115, MATCH($A$1,'崖行動・受け身'!$A$3:$A$115,0), MATCH(C113,'崖行動・受け身'!$R$2:$S$2,0))</f>
        <v>1-20</v>
      </c>
      <c r="D121" s="113">
        <f t="array" ref="D121">INDEX('崖行動・受け身'!$R$3:$S$115, MATCH($A$1,'崖行動・受け身'!$A$3:$A$115,0), MATCH(D113,'崖行動・受け身'!$R$2:$S$2,0))</f>
        <v>40</v>
      </c>
      <c r="E121" s="301"/>
      <c r="F121" s="301"/>
      <c r="G121" s="301"/>
      <c r="H121" s="228"/>
      <c r="I121" s="228"/>
      <c r="J121" s="117"/>
      <c r="K121" s="146"/>
      <c r="L121" s="306" t="str">
        <f>'テンプレート'!L124</f>
        <v>ダッシュ</v>
      </c>
      <c r="M121" s="113" t="s">
        <v>86</v>
      </c>
      <c r="N121" s="113">
        <v>39.0</v>
      </c>
      <c r="O121" s="118"/>
      <c r="P121" s="118"/>
      <c r="Q121" s="118"/>
      <c r="R121" s="118"/>
      <c r="S121" s="118"/>
      <c r="T121" s="118"/>
      <c r="U121" s="118"/>
      <c r="V121" s="118"/>
    </row>
    <row r="122" outlineLevel="1">
      <c r="A122" s="299" t="s">
        <v>247</v>
      </c>
      <c r="B122" s="300" t="s">
        <v>248</v>
      </c>
      <c r="C122" s="301"/>
      <c r="D122" s="113" t="str">
        <f t="array" ref="D122">INDEX('起きあがり'!$C$3:$C120, MATCH($A$1,'起きあがり'!$A$3:$A$115,0), MATCH(D113,'起きあがり'!$C$2:$AD$2,0))</f>
        <v>25</v>
      </c>
      <c r="E122" s="301"/>
      <c r="F122" s="301"/>
      <c r="G122" s="301"/>
      <c r="H122" s="228"/>
      <c r="I122" s="228"/>
      <c r="J122" s="111"/>
      <c r="K122" s="156"/>
      <c r="L122" s="306" t="str">
        <f>'テンプレート'!L125</f>
        <v>その場捨て</v>
      </c>
      <c r="M122" s="113" t="s">
        <v>93</v>
      </c>
      <c r="N122" s="113">
        <v>23.0</v>
      </c>
      <c r="O122" s="118"/>
      <c r="P122" s="118"/>
      <c r="Q122" s="118"/>
      <c r="R122" s="118"/>
      <c r="S122" s="118"/>
      <c r="T122" s="118"/>
      <c r="U122" s="118"/>
      <c r="V122" s="118"/>
    </row>
    <row r="123" outlineLevel="1">
      <c r="A123" s="146"/>
      <c r="B123" s="300" t="s">
        <v>216</v>
      </c>
      <c r="C123" s="307" t="str">
        <f t="array" ref="C123">INDEX('起きあがり'!$D$3:$E120, MATCH($A$1,'起きあがり'!$A$3:$A$115,0), MATCH(C113,'起きあがり'!$D$2:$AD$2,0))</f>
        <v>1-22</v>
      </c>
      <c r="D123" s="308">
        <f t="array" ref="D123">INDEX('起きあがり'!$D$3:$E120, MATCH($A$1,'起きあがり'!$A$3:$A$115,0), MATCH(D113,'起きあがり'!$D$2:$AD$2,0))</f>
        <v>29</v>
      </c>
      <c r="E123" s="301"/>
      <c r="F123" s="301"/>
      <c r="G123" s="301"/>
      <c r="H123" s="228"/>
      <c r="I123" s="228"/>
      <c r="J123" s="117"/>
      <c r="K123" s="305" t="str">
        <f>'テンプレート'!K126</f>
        <v>空中投擲</v>
      </c>
      <c r="L123" s="303" t="str">
        <f>'テンプレート'!L126</f>
        <v>前投げ</v>
      </c>
      <c r="M123" s="113" t="s">
        <v>128</v>
      </c>
      <c r="N123" s="113">
        <v>29.0</v>
      </c>
      <c r="O123" s="118"/>
      <c r="P123" s="118"/>
      <c r="Q123" s="118"/>
      <c r="R123" s="118"/>
      <c r="S123" s="118"/>
      <c r="T123" s="118"/>
      <c r="U123" s="118"/>
      <c r="V123" s="118"/>
    </row>
    <row r="124" outlineLevel="1">
      <c r="A124" s="146"/>
      <c r="B124" s="300" t="s">
        <v>245</v>
      </c>
      <c r="C124" s="307" t="str">
        <f t="array" ref="C124">INDEX('起きあがり'!$F$3:$G$115, MATCH($A$1,'起きあがり'!$A$3:$A$115,0), MATCH(C113,'起きあがり'!$F$2:$AD$2,0))</f>
        <v>1-22</v>
      </c>
      <c r="D124" s="308">
        <f t="array" ref="D124">INDEX('起きあがり'!$F$3:$G$115, MATCH($A$1,'起きあがり'!$A$3:$A$115,0), MATCH(D113,'起きあがり'!$F$2:$AD$2,0))</f>
        <v>35</v>
      </c>
      <c r="E124" s="301"/>
      <c r="F124" s="301"/>
      <c r="G124" s="301"/>
      <c r="H124" s="228"/>
      <c r="I124" s="228"/>
      <c r="J124" s="111"/>
      <c r="K124" s="146"/>
      <c r="L124" s="303" t="str">
        <f>'テンプレート'!L127</f>
        <v>後投げ</v>
      </c>
      <c r="M124" s="113" t="s">
        <v>119</v>
      </c>
      <c r="N124" s="113">
        <v>29.0</v>
      </c>
      <c r="O124" s="118"/>
      <c r="P124" s="118"/>
      <c r="Q124" s="118"/>
      <c r="R124" s="118"/>
      <c r="S124" s="118"/>
      <c r="T124" s="118"/>
      <c r="U124" s="118"/>
      <c r="V124" s="118"/>
    </row>
    <row r="125" outlineLevel="1">
      <c r="A125" s="146"/>
      <c r="B125" s="300" t="s">
        <v>246</v>
      </c>
      <c r="C125" s="113" t="str">
        <f t="array" ref="C125">INDEX('起きあがり'!$H$3:$I$115, MATCH($A$1,'起きあがり'!$A$3:$A$115,0), MATCH(C113,'起きあがり'!$H$2:$AD$2,0))</f>
        <v>1-22</v>
      </c>
      <c r="D125" s="113">
        <f t="array" ref="D125">INDEX('起きあがり'!$H$3:$I$115, MATCH($A$1,'起きあがり'!$A$3:$A$115,0), MATCH(D113,'起きあがり'!$H$2:$AD$2,0))</f>
        <v>35</v>
      </c>
      <c r="E125" s="301"/>
      <c r="F125" s="301"/>
      <c r="G125" s="301"/>
      <c r="H125" s="228"/>
      <c r="I125" s="228"/>
      <c r="J125" s="117"/>
      <c r="K125" s="146"/>
      <c r="L125" s="303" t="str">
        <f>'テンプレート'!L128</f>
        <v>上投げ</v>
      </c>
      <c r="M125" s="113" t="s">
        <v>386</v>
      </c>
      <c r="N125" s="113">
        <v>29.0</v>
      </c>
      <c r="O125" s="118"/>
      <c r="P125" s="118"/>
      <c r="Q125" s="118"/>
      <c r="R125" s="118"/>
      <c r="S125" s="118"/>
      <c r="T125" s="118"/>
      <c r="U125" s="118"/>
      <c r="V125" s="118"/>
    </row>
    <row r="126" outlineLevel="1">
      <c r="A126" s="146"/>
      <c r="B126" s="300" t="s">
        <v>249</v>
      </c>
      <c r="C126" s="309" t="str">
        <f t="array" ref="C126">INDEX('起きあがり'!$J$3:$M$115, MATCH($A$1,'起きあがり'!$A$3:$A$115,0), MATCH(C113,'起きあがり'!$J$2:$AD$2,0))</f>
        <v>1-24</v>
      </c>
      <c r="D126" s="310">
        <f t="array" ref="D126">INDEX('起きあがり'!$J$3:$M$115, MATCH($A$1,'起きあがり'!$A$3:$A$115,0), MATCH(D113,'起きあがり'!$J$2:$AD$2,0))</f>
        <v>45</v>
      </c>
      <c r="E126" s="307" t="str">
        <f t="array" ref="E126">INDEX('起きあがり'!$J$3:$M$115, MATCH($A$1,'起きあがり'!$A$3:$A$115,0), MATCH(E113,'起きあがり'!$J$2:$AD$2,0))</f>
        <v>18-19</v>
      </c>
      <c r="F126" s="308">
        <f t="array" ref="F126">INDEX('起きあがり'!$J$3:$M$115, MATCH($A$1,'起きあがり'!$A$3:$A$115,0), MATCH(F113,'起きあがり'!$J$2:$AD$2,0))</f>
        <v>7</v>
      </c>
      <c r="G126" s="113">
        <f t="shared" ref="G126:G127" si="1">F126*1.2</f>
        <v>8.4</v>
      </c>
      <c r="H126" s="228"/>
      <c r="I126" s="228"/>
      <c r="J126" s="111"/>
      <c r="K126" s="156"/>
      <c r="L126" s="303" t="str">
        <f>'テンプレート'!L129</f>
        <v>下投げ</v>
      </c>
      <c r="M126" s="113" t="s">
        <v>80</v>
      </c>
      <c r="N126" s="113">
        <v>23.0</v>
      </c>
      <c r="O126" s="111"/>
      <c r="P126" s="111"/>
      <c r="Q126" s="111"/>
      <c r="R126" s="111"/>
      <c r="S126" s="111"/>
      <c r="T126" s="111"/>
      <c r="U126" s="111"/>
      <c r="V126" s="111"/>
    </row>
    <row r="127" outlineLevel="1">
      <c r="A127" s="156"/>
      <c r="B127" s="311" t="s">
        <v>250</v>
      </c>
      <c r="C127" s="156"/>
      <c r="D127" s="156"/>
      <c r="E127" s="307" t="str">
        <f t="array" ref="E127">INDEX('起きあがり'!$N$3:$O$115, MATCH($A$1,'起きあがり'!$A$3:$A$115,0), MATCH(E113,'起きあがり'!$N$2:$AD$2,0))</f>
        <v>23-24</v>
      </c>
      <c r="F127" s="308">
        <f t="array" ref="F127">INDEX('起きあがり'!$N$3:$O$115, MATCH($A$1,'起きあがり'!$A$3:$A$115,0), MATCH(F113,'起きあがり'!$N$2:$AD$2,0))</f>
        <v>7</v>
      </c>
      <c r="G127" s="113">
        <f t="shared" si="1"/>
        <v>8.4</v>
      </c>
      <c r="H127" s="228"/>
      <c r="I127" s="228"/>
      <c r="J127" s="111"/>
      <c r="K127" s="312" t="str">
        <f>'テンプレート'!K130</f>
        <v>踏み台ジャンプ</v>
      </c>
      <c r="L127" s="168"/>
      <c r="M127" s="298" t="str">
        <f>'テンプレート'!M130</f>
        <v>全体フレーム</v>
      </c>
      <c r="N127" s="114"/>
      <c r="O127" s="111"/>
      <c r="P127" s="111"/>
      <c r="Q127" s="111"/>
      <c r="R127" s="111"/>
      <c r="S127" s="111"/>
      <c r="T127" s="111"/>
      <c r="U127" s="111"/>
      <c r="V127" s="111"/>
    </row>
    <row r="128" outlineLevel="1">
      <c r="A128" s="299" t="s">
        <v>251</v>
      </c>
      <c r="B128" s="300" t="s">
        <v>248</v>
      </c>
      <c r="C128" s="301"/>
      <c r="D128" s="307" t="str">
        <f t="array" ref="D128">INDEX('起きあがり'!$C$3:$C120, MATCH($A$1,'起きあがり'!$A$3:$A$115,0), MATCH(D113,'起きあがり'!$C$2,0))</f>
        <v>25</v>
      </c>
      <c r="E128" s="301"/>
      <c r="F128" s="301"/>
      <c r="G128" s="301"/>
      <c r="H128" s="228"/>
      <c r="I128" s="228"/>
      <c r="J128" s="117"/>
      <c r="K128" s="313" t="str">
        <f>'テンプレート'!K131</f>
        <v>踏み</v>
      </c>
      <c r="L128" s="314" t="str">
        <f>'テンプレート'!L131</f>
        <v>踏み</v>
      </c>
      <c r="M128" s="113">
        <v>8.0</v>
      </c>
      <c r="N128" s="315"/>
      <c r="O128" s="111"/>
      <c r="P128" s="111"/>
      <c r="Q128" s="111"/>
      <c r="R128" s="111"/>
      <c r="S128" s="111"/>
      <c r="T128" s="111"/>
      <c r="U128" s="111"/>
      <c r="V128" s="111"/>
    </row>
    <row r="129" outlineLevel="1">
      <c r="A129" s="146"/>
      <c r="B129" s="300" t="s">
        <v>216</v>
      </c>
      <c r="C129" s="307" t="str">
        <f t="array" ref="C129">INDEX('起きあがり'!$P$3:$Q$115, MATCH($A$1,'起きあがり'!$A$3:$A$115,0), MATCH(C113,'起きあがり'!$P$2:$AD$2,0))</f>
        <v>1-22</v>
      </c>
      <c r="D129" s="308">
        <f t="array" ref="D129">INDEX('起きあがり'!$P$3:$Q$115, MATCH($A$1,'起きあがり'!$A$3:$A$115,0), MATCH(D113,'起きあがり'!$P$2:$AD$2,0))</f>
        <v>29</v>
      </c>
      <c r="E129" s="301"/>
      <c r="F129" s="301"/>
      <c r="G129" s="301"/>
      <c r="H129" s="228"/>
      <c r="I129" s="228"/>
      <c r="J129" s="111"/>
      <c r="K129" s="305" t="str">
        <f>'テンプレート'!K132</f>
        <v>踏まれ</v>
      </c>
      <c r="L129" s="314" t="str">
        <f>'テンプレート'!L132</f>
        <v>地上踏まれ</v>
      </c>
      <c r="M129" s="113" t="s">
        <v>76</v>
      </c>
      <c r="N129" s="315"/>
      <c r="O129" s="228"/>
      <c r="P129" s="228"/>
      <c r="Q129" s="228"/>
      <c r="R129" s="228"/>
      <c r="S129" s="228"/>
      <c r="T129" s="228"/>
      <c r="U129" s="228"/>
      <c r="V129" s="228"/>
    </row>
    <row r="130" outlineLevel="1">
      <c r="A130" s="146"/>
      <c r="B130" s="300" t="s">
        <v>245</v>
      </c>
      <c r="C130" s="307" t="str">
        <f t="array" ref="C130">INDEX('起きあがり'!$R$3:$S$115, MATCH($A$1,'起きあがり'!$A$3:$A$115,0), MATCH(C113,'起きあがり'!$R$2:$AD$2,0))</f>
        <v>1-22</v>
      </c>
      <c r="D130" s="308">
        <f t="array" ref="D130">INDEX('起きあがり'!$R$3:$S$115, MATCH($A$1,'起きあがり'!$A$3:$A$115,0), MATCH(D113,'起きあがり'!$R$2:$AD$2,0))</f>
        <v>35</v>
      </c>
      <c r="E130" s="301"/>
      <c r="F130" s="301"/>
      <c r="G130" s="301"/>
      <c r="H130" s="228"/>
      <c r="I130" s="228"/>
      <c r="J130" s="117"/>
      <c r="K130" s="146"/>
      <c r="L130" s="314" t="str">
        <f>'テンプレート'!L133</f>
        <v>地上硬直</v>
      </c>
      <c r="M130" s="113">
        <v>27.0</v>
      </c>
      <c r="N130" s="102"/>
      <c r="O130" s="118"/>
      <c r="P130" s="118"/>
      <c r="Q130" s="118"/>
      <c r="R130" s="118"/>
      <c r="S130" s="118"/>
      <c r="T130" s="118"/>
      <c r="U130" s="118"/>
      <c r="V130" s="118"/>
    </row>
    <row r="131" outlineLevel="1">
      <c r="A131" s="146"/>
      <c r="B131" s="300" t="s">
        <v>246</v>
      </c>
      <c r="C131" s="307" t="str">
        <f t="array" ref="C131">INDEX('起きあがり'!$T$3:$U$115, MATCH($A$1,'起きあがり'!$A$3:$A$115,0), MATCH(C113,'起きあがり'!$T$2:$AD$2,0))</f>
        <v>1-22</v>
      </c>
      <c r="D131" s="308">
        <f t="array" ref="D131">INDEX('起きあがり'!$T$3:$U$115, MATCH($A$1,'起きあがり'!$A$3:$A$115,0), MATCH(D113,'起きあがり'!$T$2:$AD$2,0))</f>
        <v>35</v>
      </c>
      <c r="E131" s="301"/>
      <c r="F131" s="301"/>
      <c r="G131" s="301"/>
      <c r="H131" s="228"/>
      <c r="I131" s="228"/>
      <c r="J131" s="111"/>
      <c r="K131" s="146"/>
      <c r="L131" s="314" t="str">
        <f>'テンプレート'!L134</f>
        <v>空中踏まれ</v>
      </c>
      <c r="M131" s="113">
        <v>8.0</v>
      </c>
      <c r="N131" s="102"/>
      <c r="O131" s="118"/>
      <c r="P131" s="118"/>
      <c r="Q131" s="118"/>
      <c r="R131" s="118"/>
      <c r="S131" s="118"/>
      <c r="T131" s="118"/>
      <c r="U131" s="118"/>
      <c r="V131" s="118"/>
    </row>
    <row r="132" outlineLevel="1">
      <c r="A132" s="146"/>
      <c r="B132" s="300" t="s">
        <v>249</v>
      </c>
      <c r="C132" s="309" t="str">
        <f t="array" ref="C132">INDEX('起きあがり'!$V$3:$Y$115, MATCH($A$1,'起きあがり'!$A$3:$A$115,0), MATCH(C113,'起きあがり'!$V$2:$AD$2,0))</f>
        <v>1-24</v>
      </c>
      <c r="D132" s="310">
        <f t="array" ref="D132">INDEX('起きあがり'!$V$3:$Y$115, MATCH($A$1,'起きあがり'!$A$3:$A$115,0), MATCH(D113,'起きあがり'!$V$2:$AD$2,0))</f>
        <v>45</v>
      </c>
      <c r="E132" s="307" t="str">
        <f t="array" ref="E132">INDEX('起きあがり'!$V$3:$Y$115, MATCH($A$1,'起きあがり'!$A$3:$A$115,0), MATCH(E113,'起きあがり'!$V$2:$AD$2,0))</f>
        <v>18-19</v>
      </c>
      <c r="F132" s="308">
        <f t="array" ref="F132">INDEX('起きあがり'!$V$3:$Y$115, MATCH($A$1,'起きあがり'!$A$3:$A$115,0), MATCH(F113,'起きあがり'!$V$2:$AD$2,0))</f>
        <v>7</v>
      </c>
      <c r="G132" s="113">
        <f t="shared" ref="G132:G133" si="2">F132*1.2</f>
        <v>8.4</v>
      </c>
      <c r="H132" s="228"/>
      <c r="I132" s="228"/>
      <c r="J132" s="117"/>
      <c r="K132" s="146"/>
      <c r="L132" s="314" t="str">
        <f>'テンプレート'!L135</f>
        <v>空中落下</v>
      </c>
      <c r="M132" s="113">
        <v>30.0</v>
      </c>
      <c r="N132" s="102"/>
      <c r="O132" s="118"/>
      <c r="P132" s="118"/>
      <c r="Q132" s="118"/>
      <c r="R132" s="118"/>
      <c r="S132" s="118"/>
      <c r="T132" s="118"/>
      <c r="U132" s="118"/>
      <c r="V132" s="118"/>
    </row>
    <row r="133" outlineLevel="1">
      <c r="A133" s="156"/>
      <c r="B133" s="311" t="s">
        <v>250</v>
      </c>
      <c r="C133" s="156"/>
      <c r="D133" s="156"/>
      <c r="E133" s="307" t="str">
        <f t="array" ref="E133">INDEX('起きあがり'!$Z$3:$AA$115, MATCH($A$1,'起きあがり'!$A$3:$A$115,0), MATCH(E113,'起きあがり'!$Z$2:$AD$2,0))</f>
        <v>23-24</v>
      </c>
      <c r="F133" s="308">
        <f t="array" ref="F133">INDEX('起きあがり'!$Z$3:$AA$115, MATCH($A$1,'起きあがり'!$A$3:$A$115,0), MATCH(F113,'起きあがり'!$Z$2:$AD$2,0))</f>
        <v>7</v>
      </c>
      <c r="G133" s="113">
        <f t="shared" si="2"/>
        <v>8.4</v>
      </c>
      <c r="H133" s="228"/>
      <c r="I133" s="228"/>
      <c r="J133" s="117"/>
      <c r="K133" s="304" t="str">
        <f>'テンプレート'!K136</f>
        <v>倒れダメージ</v>
      </c>
      <c r="L133" s="110"/>
      <c r="M133" s="298" t="str">
        <f>'テンプレート'!M136</f>
        <v>全体フレーム</v>
      </c>
      <c r="N133" s="102"/>
      <c r="O133" s="118"/>
      <c r="P133" s="118"/>
      <c r="Q133" s="118"/>
      <c r="R133" s="118"/>
      <c r="S133" s="118"/>
      <c r="T133" s="118"/>
      <c r="U133" s="118"/>
      <c r="V133" s="118"/>
    </row>
    <row r="134" outlineLevel="1">
      <c r="A134" s="299" t="s">
        <v>252</v>
      </c>
      <c r="B134" s="300" t="s">
        <v>253</v>
      </c>
      <c r="C134" s="307" t="str">
        <f t="array" ref="C134">INDEX('転倒'!$C$3:$D120, MATCH($A$1,'転倒'!$A$3:$A$115,0), MATCH(C113,'転倒'!$C$2:$AC$2,0))</f>
        <v>1-5</v>
      </c>
      <c r="D134" s="308">
        <f t="array" ref="D134">INDEX('転倒'!$C$3:$D120, MATCH($A$1,'転倒'!$A$3:$A$115,0), MATCH(D113,'転倒'!$C$2:$AC$2,0))</f>
        <v>29</v>
      </c>
      <c r="E134" s="301"/>
      <c r="F134" s="301"/>
      <c r="G134" s="301"/>
      <c r="H134" s="228"/>
      <c r="I134" s="228"/>
      <c r="J134" s="111"/>
      <c r="K134" s="313" t="str">
        <f>'テンプレート'!K137</f>
        <v>あお向け倒れ</v>
      </c>
      <c r="L134" s="306" t="str">
        <f>'テンプレート'!L137</f>
        <v>モーション大</v>
      </c>
      <c r="M134" s="113">
        <v>39.0</v>
      </c>
      <c r="N134" s="315"/>
      <c r="O134" s="118"/>
      <c r="P134" s="118"/>
      <c r="Q134" s="118"/>
      <c r="R134" s="118"/>
      <c r="S134" s="118"/>
      <c r="T134" s="118"/>
      <c r="U134" s="118"/>
      <c r="V134" s="118"/>
    </row>
    <row r="135" outlineLevel="1">
      <c r="A135" s="146"/>
      <c r="B135" s="300" t="s">
        <v>254</v>
      </c>
      <c r="C135" s="307" t="str">
        <f t="array" ref="C135">INDEX('転倒'!$E$3:$F120, MATCH($A$1,'転倒'!$A$3:$A$115,0), MATCH(C113,'転倒'!$E$2:$AC$2,0))</f>
        <v>1-5</v>
      </c>
      <c r="D135" s="308">
        <f t="array" ref="D135">INDEX('転倒'!$E$3:$F120, MATCH($A$1,'転倒'!$A$3:$A$115,0), MATCH(D113,'転倒'!$E$2:$AC$2,0))</f>
        <v>39</v>
      </c>
      <c r="E135" s="301"/>
      <c r="F135" s="301"/>
      <c r="G135" s="301"/>
      <c r="H135" s="228"/>
      <c r="I135" s="228"/>
      <c r="J135" s="117"/>
      <c r="K135" s="313" t="str">
        <f>'テンプレート'!K138</f>
        <v>うつ伏せ倒れ</v>
      </c>
      <c r="L135" s="306" t="str">
        <f>'テンプレート'!L138</f>
        <v>モーション大</v>
      </c>
      <c r="M135" s="113" t="s">
        <v>118</v>
      </c>
      <c r="N135" s="315"/>
      <c r="O135" s="118"/>
      <c r="P135" s="118"/>
      <c r="Q135" s="118"/>
      <c r="R135" s="118"/>
      <c r="S135" s="118"/>
      <c r="T135" s="118"/>
      <c r="U135" s="118"/>
      <c r="V135" s="118"/>
    </row>
    <row r="136" outlineLevel="1">
      <c r="A136" s="146"/>
      <c r="B136" s="300" t="s">
        <v>216</v>
      </c>
      <c r="C136" s="307" t="str">
        <f t="array" ref="C136">INDEX('転倒'!$G$3:$H$115, MATCH($A$1,'転倒'!$A$3:$A$115,0), MATCH(C113,'転倒'!$G$2:$AC$2,0))</f>
        <v>1-16</v>
      </c>
      <c r="D136" s="308">
        <f t="array" ref="D136">INDEX('転倒'!$G$3:$H$115, MATCH($A$1,'転倒'!$A$3:$A$115,0), MATCH(D113,'転倒'!$G$2:$AC$2,0))</f>
        <v>21</v>
      </c>
      <c r="E136" s="301"/>
      <c r="F136" s="301"/>
      <c r="G136" s="301"/>
      <c r="H136" s="228"/>
      <c r="I136" s="228"/>
      <c r="J136" s="111"/>
      <c r="K136" s="304" t="str">
        <f>'テンプレート'!K139</f>
        <v/>
      </c>
      <c r="L136" s="110"/>
      <c r="M136" s="298" t="str">
        <f>'テンプレート'!M139</f>
        <v/>
      </c>
      <c r="N136" s="102"/>
      <c r="O136" s="118"/>
      <c r="P136" s="118"/>
      <c r="Q136" s="118"/>
      <c r="R136" s="118"/>
      <c r="S136" s="118"/>
      <c r="T136" s="118"/>
      <c r="U136" s="118"/>
      <c r="V136" s="118"/>
    </row>
    <row r="137" outlineLevel="1">
      <c r="A137" s="146"/>
      <c r="B137" s="300" t="s">
        <v>245</v>
      </c>
      <c r="C137" s="307" t="str">
        <f t="array" ref="C137">INDEX('転倒'!$I$3:$J$115, MATCH($A$1,'転倒'!$A$3:$A$115,0), MATCH(C113,'転倒'!$I$2:$AC$2,0))</f>
        <v>1-9</v>
      </c>
      <c r="D137" s="308">
        <f t="array" ref="D137">INDEX('転倒'!$I$3:$J$115, MATCH($A$1,'転倒'!$A$3:$A$115,0), MATCH(D113,'転倒'!$I$2:$AC$2,0))</f>
        <v>28</v>
      </c>
      <c r="E137" s="301"/>
      <c r="F137" s="301"/>
      <c r="G137" s="301"/>
      <c r="H137" s="228"/>
      <c r="I137" s="228"/>
      <c r="J137" s="228"/>
      <c r="K137" s="316"/>
      <c r="L137" s="317" t="str">
        <f>'テンプレート'!L140</f>
        <v/>
      </c>
      <c r="M137" s="113" t="s">
        <v>76</v>
      </c>
      <c r="N137" s="102"/>
      <c r="O137" s="118"/>
      <c r="P137" s="118"/>
      <c r="Q137" s="118"/>
      <c r="R137" s="118"/>
      <c r="S137" s="118"/>
      <c r="T137" s="118"/>
      <c r="U137" s="118"/>
      <c r="V137" s="118"/>
    </row>
    <row r="138" outlineLevel="1">
      <c r="A138" s="146"/>
      <c r="B138" s="300" t="s">
        <v>246</v>
      </c>
      <c r="C138" s="307" t="str">
        <f t="array" ref="C138">INDEX('転倒'!$K$3:$L$115, MATCH($A$1,'転倒'!$A$3:$A$115,0), MATCH(C113,'転倒'!$K$2:$AC$2,0))</f>
        <v>1-9</v>
      </c>
      <c r="D138" s="308">
        <f t="array" ref="D138">INDEX('転倒'!$K$3:$L$115, MATCH($A$1,'転倒'!$A$3:$A$115,0), MATCH(D113,'転倒'!$K$2:$AC$2,0))</f>
        <v>28</v>
      </c>
      <c r="E138" s="301"/>
      <c r="F138" s="301"/>
      <c r="G138" s="301"/>
      <c r="H138" s="228"/>
      <c r="I138" s="228"/>
      <c r="J138" s="228"/>
      <c r="K138" s="318"/>
      <c r="L138" s="118"/>
      <c r="M138" s="118"/>
      <c r="N138" s="102"/>
      <c r="O138" s="118"/>
      <c r="P138" s="118"/>
      <c r="Q138" s="118"/>
      <c r="R138" s="118"/>
      <c r="S138" s="118"/>
      <c r="T138" s="118"/>
      <c r="U138" s="118"/>
      <c r="V138" s="118"/>
    </row>
    <row r="139" outlineLevel="1">
      <c r="A139" s="146"/>
      <c r="B139" s="300" t="s">
        <v>249</v>
      </c>
      <c r="C139" s="309" t="str">
        <f t="array" ref="C139">INDEX('転倒'!$M$3:$P$115, MATCH($A$1,'転倒'!$A$3:$A$115,0), MATCH(C113,'転倒'!$M$2:$AC$2,0))</f>
        <v>1-7</v>
      </c>
      <c r="D139" s="310">
        <f t="array" ref="D139">INDEX('転倒'!$M$3:$P$115, MATCH($A$1,'転倒'!$A$3:$A$115,0), MATCH(D113,'転倒'!$M$2:$AC$2,0))</f>
        <v>49</v>
      </c>
      <c r="E139" s="307" t="str">
        <f t="array" ref="E139">INDEX('転倒'!$M$3:$P$115, MATCH($A$1,'転倒'!$A$3:$A$115,0), MATCH(E113,'転倒'!$M$2:$AC$2,0))</f>
        <v>19-20</v>
      </c>
      <c r="F139" s="308">
        <f t="array" ref="F139">INDEX('転倒'!$M$3:$P$115, MATCH($A$1,'転倒'!$A$3:$A$115,0), MATCH(F113,'転倒'!$M$2:$AC$2,0))</f>
        <v>5</v>
      </c>
      <c r="G139" s="113">
        <f t="shared" ref="G139:G140" si="3">F139*1.2</f>
        <v>6</v>
      </c>
      <c r="H139" s="228"/>
      <c r="I139" s="228"/>
      <c r="J139" s="228"/>
      <c r="K139" s="118"/>
      <c r="L139" s="118"/>
      <c r="M139" s="118"/>
      <c r="N139" s="102"/>
      <c r="O139" s="102"/>
      <c r="P139" s="102"/>
      <c r="Q139" s="102"/>
      <c r="R139" s="118"/>
      <c r="S139" s="118"/>
      <c r="T139" s="118"/>
      <c r="U139" s="118"/>
      <c r="V139" s="118"/>
    </row>
    <row r="140" outlineLevel="1">
      <c r="A140" s="156"/>
      <c r="B140" s="311" t="s">
        <v>250</v>
      </c>
      <c r="C140" s="156"/>
      <c r="D140" s="156"/>
      <c r="E140" s="307" t="str">
        <f t="array" ref="E140">INDEX('転倒'!$Q$3:$R$115, MATCH($A$1,'転倒'!$A$3:$A$115,0), MATCH(E113,'転倒'!$Q$2:$AC$2,0))</f>
        <v>31-32</v>
      </c>
      <c r="F140" s="308">
        <f t="array" ref="F140">INDEX('転倒'!$Q$3:$R$115, MATCH($A$1,'転倒'!$A$3:$A$115,0), MATCH(F113,'転倒'!$Q$2:$AC$2,0))</f>
        <v>5</v>
      </c>
      <c r="G140" s="113">
        <f t="shared" si="3"/>
        <v>6</v>
      </c>
      <c r="H140" s="228"/>
      <c r="I140" s="228"/>
      <c r="J140" s="228"/>
      <c r="K140" s="118"/>
      <c r="L140" s="118"/>
      <c r="M140" s="118"/>
      <c r="N140" s="102"/>
      <c r="O140" s="102"/>
      <c r="P140" s="102"/>
      <c r="Q140" s="102"/>
      <c r="R140" s="118"/>
      <c r="S140" s="118"/>
      <c r="T140" s="118"/>
      <c r="U140" s="118"/>
      <c r="V140" s="118"/>
    </row>
    <row r="141" outlineLevel="1">
      <c r="A141" s="319"/>
      <c r="B141" s="320"/>
      <c r="C141" s="321"/>
      <c r="D141" s="321"/>
      <c r="E141" s="322"/>
      <c r="F141" s="322"/>
      <c r="G141" s="114"/>
      <c r="H141" s="228"/>
      <c r="I141" s="228"/>
      <c r="J141" s="228"/>
      <c r="K141" s="118"/>
      <c r="L141" s="118"/>
      <c r="M141" s="118"/>
      <c r="N141" s="102"/>
      <c r="O141" s="102"/>
      <c r="P141" s="102"/>
      <c r="Q141" s="102"/>
      <c r="R141" s="118"/>
      <c r="S141" s="118"/>
      <c r="T141" s="118"/>
      <c r="U141" s="118"/>
      <c r="V141" s="118"/>
    </row>
    <row r="142" outlineLevel="1">
      <c r="A142" s="323" t="s">
        <v>255</v>
      </c>
      <c r="B142" s="109"/>
      <c r="C142" s="321"/>
      <c r="D142" s="321"/>
      <c r="E142" s="322"/>
      <c r="F142" s="322"/>
      <c r="G142" s="114"/>
      <c r="H142" s="228"/>
      <c r="I142" s="228"/>
      <c r="J142" s="228"/>
      <c r="K142" s="118"/>
      <c r="L142" s="118"/>
      <c r="M142" s="118"/>
      <c r="N142" s="102"/>
      <c r="O142" s="102"/>
      <c r="P142" s="102"/>
      <c r="Q142" s="102"/>
      <c r="R142" s="118"/>
      <c r="S142" s="118"/>
      <c r="T142" s="118"/>
      <c r="U142" s="118"/>
      <c r="V142" s="118"/>
    </row>
    <row r="143" outlineLevel="1">
      <c r="A143" s="324" t="s">
        <v>256</v>
      </c>
      <c r="B143" s="109"/>
      <c r="C143" s="325" t="s">
        <v>257</v>
      </c>
      <c r="D143" s="325" t="s">
        <v>49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258</v>
      </c>
      <c r="B144" s="327" t="s">
        <v>216</v>
      </c>
      <c r="C144" s="328" t="str">
        <f t="array" ref="C144">INDEX('アイテム'!$C$3:$D$114, MATCH($A$1,'アイテム'!$A$3:$A$114,0), MATCH(C143,'アイテム'!$C$2:$AQ$2,0))</f>
        <v>2</v>
      </c>
      <c r="D144" s="328">
        <f t="array" ref="D144">INDEX('アイテム'!$C$3:$D$114, MATCH($A$1,'アイテム'!$A$3:$A$114,0), MATCH(D143,'アイテム'!$C$2:$AQ$2,0))</f>
        <v>7</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219</v>
      </c>
      <c r="C145" s="328" t="str">
        <f t="array" ref="C145">INDEX('アイテム'!$E$3:$F$114, MATCH($A$1,'アイテム'!$A$3:$A$114,0), MATCH(C143,'アイテム'!$C$2:$AQ$2,0))</f>
        <v>2</v>
      </c>
      <c r="D145" s="328">
        <f t="array" ref="D145">INDEX('アイテム'!$E$3:$F$114, MATCH($A$1,'アイテム'!$A$3:$A$114,0), MATCH(D143,'アイテム'!$C$2:$AQ$2,0))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329" t="s">
        <v>259</v>
      </c>
      <c r="B146" s="327" t="s">
        <v>216</v>
      </c>
      <c r="C146" s="328">
        <f t="array" ref="C146">INDEX('アイテム'!$AA$3:$AB$114, MATCH($A$1,'アイテム'!$A$3:$A$114,0), MATCH(C143,'アイテム'!$C$2:$AQ$2,0))</f>
        <v>3</v>
      </c>
      <c r="D146" s="328" t="str">
        <f t="array" ref="D146">INDEX('アイテム'!$AA$3:$AB$114, MATCH($A$1,'アイテム'!$A$3:$A$114,0), MATCH(D143,'アイテム'!$C$2:$AQ$2,0))</f>
        <v>12</v>
      </c>
      <c r="E146" s="322"/>
      <c r="F146" s="322"/>
      <c r="G146" s="114"/>
      <c r="H146" s="228"/>
      <c r="I146" s="228"/>
      <c r="J146" s="228"/>
      <c r="K146" s="118"/>
      <c r="L146" s="118"/>
      <c r="M146" s="118"/>
      <c r="N146" s="102"/>
      <c r="O146" s="102"/>
      <c r="P146" s="102"/>
      <c r="Q146" s="102"/>
      <c r="R146" s="118"/>
      <c r="S146" s="118"/>
      <c r="T146" s="118"/>
      <c r="U146" s="118"/>
      <c r="V146" s="118"/>
    </row>
    <row r="147" outlineLevel="1">
      <c r="A147" s="324" t="s">
        <v>260</v>
      </c>
      <c r="B147" s="109"/>
      <c r="C147" s="325" t="s">
        <v>261</v>
      </c>
      <c r="D147" s="325" t="s">
        <v>49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262</v>
      </c>
      <c r="B148" s="327" t="s">
        <v>226</v>
      </c>
      <c r="C148" s="328" t="str">
        <f t="array" ref="C148">INDEX('アイテム'!$G$3:$H$114, MATCH($A$1,'アイテム'!$A$3:$A$114,0), MATCH(C143,'アイテム'!$C$2:$AQ$2,0))</f>
        <v>10</v>
      </c>
      <c r="D148" s="328">
        <f t="array" ref="D148">INDEX('アイテム'!$G$3:$H$114, MATCH($A$1,'アイテム'!$A$3:$A$114,0), MATCH(D143,'アイテム'!$C$2:$AQ$2,0))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INDEX('アイテム'!$I$3:$J$114, MATCH($A$1,'アイテム'!$A$3:$A$114,0), MATCH(C143,'アイテム'!$C$2:$AQ$2,0))</f>
        <v>14</v>
      </c>
      <c r="D149" s="328">
        <f t="array" ref="D149">INDEX('アイテム'!$I$3:$J$114, MATCH($A$1,'アイテム'!$A$3:$A$114,0), MATCH(D143,'アイテム'!$C$2:$AQ$2,0))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INDEX('アイテム'!$K$3:$L$114, MATCH($A$1,'アイテム'!$A$3:$A$114,0), MATCH(C143,'アイテム'!$C$2:$AQ$2,0))</f>
        <v>15</v>
      </c>
      <c r="D150" s="328">
        <f t="array" ref="D150">INDEX('アイテム'!$K$3:$L$114, MATCH($A$1,'アイテム'!$A$3:$A$114,0), MATCH(D143,'アイテム'!$C$2:$AQ$2,0))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234</v>
      </c>
      <c r="C151" s="328" t="str">
        <f t="array" ref="C151">INDEX('アイテム'!$M$3:$N$114, MATCH($A$1,'アイテム'!$A$3:$A$114,0), MATCH(C143,'アイテム'!$C$2:$AQ$2,0))</f>
        <v>8</v>
      </c>
      <c r="D151" s="328">
        <f t="array" ref="D151">INDEX('アイテム'!$M$3:$N$114, MATCH($A$1,'アイテム'!$A$3:$A$114,0), MATCH(D143,'アイテム'!$C$2:$AQ$2,0))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219</v>
      </c>
      <c r="C152" s="328" t="str">
        <f t="array" ref="C152">INDEX('アイテム'!$O$3:$P$114, MATCH($A$1,'アイテム'!$A$3:$A$114,0), MATCH(C143,'アイテム'!$C$2:$AQ$2,0))</f>
        <v>6</v>
      </c>
      <c r="D152" s="328">
        <f t="array" ref="D152">INDEX('アイテム'!$O$3:$P$114, MATCH($A$1,'アイテム'!$A$3:$A$114,0), MATCH(D143,'アイテム'!$C$2:$AQ$2,0))</f>
        <v>29</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263</v>
      </c>
      <c r="C153" s="328" t="str">
        <f t="array" ref="C153">INDEX('アイテム'!$Q$3:$R$114, MATCH($A$1,'アイテム'!$A$3:$A$114,0), MATCH(C143,'アイテム'!$C$2:$AQ$2,0))</f>
        <v>7</v>
      </c>
      <c r="D153" s="328">
        <f t="array" ref="D153">INDEX('アイテム'!$Q$3:$R$114, MATCH($A$1,'アイテム'!$A$3:$A$114,0), MATCH(D143,'アイテム'!$C$2:$AQ$2,0))</f>
        <v>23</v>
      </c>
      <c r="E153" s="322"/>
      <c r="F153" s="322"/>
      <c r="G153" s="114"/>
      <c r="H153" s="228"/>
      <c r="I153" s="228"/>
      <c r="J153" s="228"/>
      <c r="K153" s="118"/>
      <c r="L153" s="118"/>
      <c r="M153" s="118"/>
      <c r="N153" s="102"/>
      <c r="O153" s="102"/>
      <c r="P153" s="102"/>
      <c r="Q153" s="102"/>
      <c r="R153" s="118"/>
      <c r="S153" s="118"/>
      <c r="T153" s="118"/>
      <c r="U153" s="118"/>
      <c r="V153" s="118"/>
    </row>
    <row r="154" outlineLevel="1">
      <c r="A154" s="326" t="s">
        <v>264</v>
      </c>
      <c r="B154" s="327" t="s">
        <v>226</v>
      </c>
      <c r="C154" s="328" t="str">
        <f t="array" ref="C154">INDEX('アイテム'!$S$3:$T$114, MATCH($A$1,'アイテム'!$A$3:$A$114,0), MATCH(C143,'アイテム'!$C$2:$AQ$2,0))</f>
        <v>10</v>
      </c>
      <c r="D154" s="328">
        <f t="array" ref="D154">INDEX('アイテム'!$S$3:$T$114, MATCH($A$1,'アイテム'!$A$3:$A$114,0), MATCH(D143,'アイテム'!$C$2:$AQ$2,0))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229</v>
      </c>
      <c r="C155" s="328" t="str">
        <f t="array" ref="C155">INDEX('アイテム'!$U$3:$V$114, MATCH($A$1,'アイテム'!$A$3:$A$114,0), MATCH(C143,'アイテム'!$C$2:$AQ$2,0))</f>
        <v>14</v>
      </c>
      <c r="D155" s="328">
        <f t="array" ref="D155">INDEX('アイテム'!$U$3:$V$114, MATCH($A$1,'アイテム'!$A$3:$A$114,0), MATCH(D143,'アイテム'!$C$2:$AQ$2,0))</f>
        <v>24</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233</v>
      </c>
      <c r="C156" s="328" t="str">
        <f t="array" ref="C156">INDEX('アイテム'!$W$3:$X$114, MATCH($A$1,'アイテム'!$A$3:$A$114,0), MATCH(C143,'アイテム'!$C$2:$AQ$2,0))</f>
        <v>15</v>
      </c>
      <c r="D156" s="328">
        <f t="array" ref="D156">INDEX('アイテム'!$W$3:$X$114, MATCH($A$1,'アイテム'!$A$3:$A$114,0), MATCH(D143,'アイテム'!$C$2:$AQ$2,0))</f>
        <v>23</v>
      </c>
      <c r="E156" s="322"/>
      <c r="F156" s="322"/>
      <c r="G156" s="114"/>
      <c r="H156" s="228"/>
      <c r="I156" s="228"/>
      <c r="J156" s="228"/>
      <c r="K156" s="118"/>
      <c r="L156" s="118"/>
      <c r="M156" s="118"/>
      <c r="N156" s="102"/>
      <c r="O156" s="102"/>
      <c r="P156" s="102"/>
      <c r="Q156" s="102"/>
      <c r="R156" s="118"/>
      <c r="S156" s="118"/>
      <c r="T156" s="118"/>
      <c r="U156" s="118"/>
      <c r="V156" s="118"/>
    </row>
    <row r="157" outlineLevel="1">
      <c r="A157" s="156"/>
      <c r="B157" s="327" t="s">
        <v>234</v>
      </c>
      <c r="C157" s="328" t="str">
        <f t="array" ref="C157">INDEX('アイテム'!$Y$3:$Z$114, MATCH($A$1,'アイテム'!$A$3:$A$114,0), MATCH(C143,'アイテム'!$C$2:$AQ$2,0))</f>
        <v>8</v>
      </c>
      <c r="D157" s="328">
        <f t="array" ref="D157">INDEX('アイテム'!$Y$3:$Z$114, MATCH($A$1,'アイテム'!$A$3:$A$114,0), MATCH(D143,'アイテム'!$C$2:$AQ$2,0))</f>
        <v>19</v>
      </c>
      <c r="E157" s="322"/>
      <c r="F157" s="322"/>
      <c r="G157" s="114"/>
      <c r="H157" s="228"/>
      <c r="I157" s="228"/>
      <c r="J157" s="228"/>
      <c r="K157" s="118"/>
      <c r="L157" s="118"/>
      <c r="M157" s="118"/>
      <c r="N157" s="102"/>
      <c r="O157" s="102"/>
      <c r="P157" s="102"/>
      <c r="Q157" s="102"/>
      <c r="R157" s="118"/>
      <c r="S157" s="118"/>
      <c r="T157" s="118"/>
      <c r="U157" s="118"/>
      <c r="V157" s="118"/>
    </row>
    <row r="158" outlineLevel="1">
      <c r="A158" s="326" t="s">
        <v>265</v>
      </c>
      <c r="B158" s="327" t="s">
        <v>226</v>
      </c>
      <c r="C158" s="328">
        <f t="array" ref="C158">INDEX('アイテム'!$AC$3:$AD$114, MATCH($A$1,'アイテム'!$A$3:$A$114,0), MATCH(C143,'アイテム'!$C$2:$AQ$2,0))</f>
        <v>16</v>
      </c>
      <c r="D158" s="328" t="str">
        <f t="array" ref="D158">INDEX('アイテム'!$AC$3:$AD$114, MATCH($A$1,'アイテム'!$A$3:$A$114,0), MATCH(D143,'アイテム'!$C$2:$AQ$2,0))</f>
        <v>30</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229</v>
      </c>
      <c r="C159" s="328">
        <f t="array" ref="C159">INDEX('アイテム'!$AE$3:$AF$114, MATCH($A$1,'アイテム'!$A$3:$A$114,0), MATCH(C143,'アイテム'!$C$2:$AQ$2,0))</f>
        <v>17</v>
      </c>
      <c r="D159" s="328" t="str">
        <f t="array" ref="D159">INDEX('アイテム'!$AE$3:$AF$114, MATCH($A$1,'アイテム'!$A$3:$A$114,0), MATCH(D143,'アイテム'!$C$2:$AQ$2,0))</f>
        <v>30</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233</v>
      </c>
      <c r="C160" s="328">
        <f t="array" ref="C160">INDEX('アイテム'!$AG$3:$AH$114, MATCH($A$1,'アイテム'!$A$3:$A$114,0), MATCH(C143,'アイテム'!$C$2:$AQ$2,0))</f>
        <v>11</v>
      </c>
      <c r="D160" s="328" t="str">
        <f t="array" ref="D160">INDEX('アイテム'!$AG$3:$AH$114, MATCH($A$1,'アイテム'!$A$3:$A$114,0), MATCH(D143,'アイテム'!$C$2:$AQ$2,0))</f>
        <v>22</v>
      </c>
      <c r="E160" s="322"/>
      <c r="F160" s="322"/>
      <c r="G160" s="114"/>
      <c r="H160" s="228"/>
      <c r="I160" s="228"/>
      <c r="J160" s="228"/>
      <c r="K160" s="118"/>
      <c r="L160" s="118"/>
      <c r="M160" s="118"/>
      <c r="N160" s="102"/>
      <c r="O160" s="102"/>
      <c r="P160" s="102"/>
      <c r="Q160" s="102"/>
      <c r="R160" s="118"/>
      <c r="S160" s="118"/>
      <c r="T160" s="118"/>
      <c r="U160" s="118"/>
      <c r="V160" s="118"/>
    </row>
    <row r="161" outlineLevel="1">
      <c r="A161" s="156"/>
      <c r="B161" s="327" t="s">
        <v>234</v>
      </c>
      <c r="C161" s="328">
        <f t="array" ref="C161">INDEX('アイテム'!$AI$3:$AJ$114, MATCH($A$1,'アイテム'!$A$3:$A$114,0), MATCH(C143,'アイテム'!$C$2:$AQ$2,0))</f>
        <v>11</v>
      </c>
      <c r="D161" s="328" t="str">
        <f t="array" ref="D161">INDEX('アイテム'!$AI$3:$AJ$114, MATCH($A$1,'アイテム'!$A$3:$A$114,0), MATCH(D143,'アイテム'!$C$2:$AQ$2,0))</f>
        <v>22</v>
      </c>
      <c r="E161" s="322"/>
      <c r="F161" s="322"/>
      <c r="G161" s="114"/>
      <c r="H161" s="228"/>
      <c r="I161" s="228"/>
      <c r="J161" s="228"/>
      <c r="K161" s="118"/>
      <c r="L161" s="118"/>
      <c r="M161" s="118"/>
      <c r="N161" s="102"/>
      <c r="O161" s="102"/>
      <c r="P161" s="102"/>
      <c r="Q161" s="102"/>
      <c r="R161" s="118"/>
      <c r="S161" s="118"/>
      <c r="T161" s="118"/>
      <c r="U161" s="118"/>
      <c r="V161" s="118"/>
    </row>
  </sheetData>
  <mergeCells count="134">
    <mergeCell ref="U31:U32"/>
    <mergeCell ref="U33:U34"/>
    <mergeCell ref="U36:U37"/>
    <mergeCell ref="U38:U41"/>
    <mergeCell ref="R46:V46"/>
    <mergeCell ref="R47:V48"/>
    <mergeCell ref="R49:V49"/>
    <mergeCell ref="U77:U79"/>
    <mergeCell ref="V77:V79"/>
    <mergeCell ref="U81:U86"/>
    <mergeCell ref="V81:V86"/>
    <mergeCell ref="R50:V50"/>
    <mergeCell ref="R51:V52"/>
    <mergeCell ref="R53:V53"/>
    <mergeCell ref="U57:U67"/>
    <mergeCell ref="V57:V67"/>
    <mergeCell ref="U69:U75"/>
    <mergeCell ref="V69:V75"/>
    <mergeCell ref="H77:J79"/>
    <mergeCell ref="H80:J80"/>
    <mergeCell ref="H81:J86"/>
    <mergeCell ref="G94:J94"/>
    <mergeCell ref="G95:J96"/>
    <mergeCell ref="G97:J98"/>
    <mergeCell ref="D101:D102"/>
    <mergeCell ref="K129:K132"/>
    <mergeCell ref="K133:L133"/>
    <mergeCell ref="K136:L136"/>
    <mergeCell ref="G99:J102"/>
    <mergeCell ref="K113:L113"/>
    <mergeCell ref="K114:K115"/>
    <mergeCell ref="K116:L116"/>
    <mergeCell ref="K117:K122"/>
    <mergeCell ref="K123:K126"/>
    <mergeCell ref="K127:L127"/>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2"/>
    <mergeCell ref="H33:J34"/>
    <mergeCell ref="A36:A37"/>
    <mergeCell ref="A38:A41"/>
    <mergeCell ref="A85:A86"/>
    <mergeCell ref="A101:A102"/>
    <mergeCell ref="H35:J35"/>
    <mergeCell ref="H36:J37"/>
    <mergeCell ref="H38:J41"/>
    <mergeCell ref="H42:J42"/>
    <mergeCell ref="H43:J43"/>
    <mergeCell ref="I47:I48"/>
    <mergeCell ref="J47:J48"/>
    <mergeCell ref="I51:I52"/>
    <mergeCell ref="J51:J52"/>
    <mergeCell ref="H56:J56"/>
    <mergeCell ref="H57:J67"/>
    <mergeCell ref="H68:J68"/>
    <mergeCell ref="H69:J75"/>
    <mergeCell ref="H76:J76"/>
    <mergeCell ref="C126:C127"/>
    <mergeCell ref="C139:C140"/>
    <mergeCell ref="A134:A140"/>
    <mergeCell ref="A142:B142"/>
    <mergeCell ref="A143:B143"/>
    <mergeCell ref="A144:A145"/>
    <mergeCell ref="A147:B147"/>
    <mergeCell ref="A148:A153"/>
    <mergeCell ref="A154:A157"/>
    <mergeCell ref="A158:A161"/>
    <mergeCell ref="A109:A110"/>
    <mergeCell ref="A114:A118"/>
    <mergeCell ref="A119:A121"/>
    <mergeCell ref="A122:A127"/>
    <mergeCell ref="D126:D127"/>
    <mergeCell ref="A128:A133"/>
    <mergeCell ref="D139:D140"/>
    <mergeCell ref="A24:B25"/>
    <mergeCell ref="A26:A30"/>
    <mergeCell ref="A31:A32"/>
    <mergeCell ref="D31:D32"/>
    <mergeCell ref="A33:A34"/>
    <mergeCell ref="D33:D34"/>
    <mergeCell ref="C38:C39"/>
    <mergeCell ref="A45:B46"/>
    <mergeCell ref="A47:A48"/>
    <mergeCell ref="A51:A52"/>
    <mergeCell ref="A55:B55"/>
    <mergeCell ref="A56:B56"/>
    <mergeCell ref="A57:A67"/>
    <mergeCell ref="A68:B68"/>
    <mergeCell ref="A69:A75"/>
    <mergeCell ref="A76:B76"/>
    <mergeCell ref="A77:A79"/>
    <mergeCell ref="A80:B80"/>
    <mergeCell ref="A81:A84"/>
    <mergeCell ref="A88:B89"/>
    <mergeCell ref="A94:B94"/>
    <mergeCell ref="D95:D96"/>
    <mergeCell ref="D97:D98"/>
    <mergeCell ref="D99:D100"/>
    <mergeCell ref="D36:D37"/>
    <mergeCell ref="D38:D41"/>
    <mergeCell ref="D47:D48"/>
    <mergeCell ref="D51:D52"/>
    <mergeCell ref="D57:D58"/>
    <mergeCell ref="D69:D73"/>
    <mergeCell ref="D78:D79"/>
    <mergeCell ref="A91:A93"/>
    <mergeCell ref="A95:A96"/>
    <mergeCell ref="A97:A98"/>
    <mergeCell ref="A99:A100"/>
    <mergeCell ref="A104:B105"/>
    <mergeCell ref="A106:A108"/>
    <mergeCell ref="A112:B113"/>
    <mergeCell ref="C132:C133"/>
    <mergeCell ref="D132:D133"/>
  </mergeCells>
  <conditionalFormatting sqref="K1:K15 K17:K56 K58 K66:K74 K76:K82 K85:K137">
    <cfRule type="containsText" dxfId="0" priority="1" operator="containsText" text="361">
      <formula>NOT(ISERROR(SEARCH(("361"),(K1))))</formula>
    </cfRule>
  </conditionalFormatting>
  <conditionalFormatting sqref="K1:K15 K17:K56 K58 K66:K74 K76:K82 K85:K137">
    <cfRule type="containsText" dxfId="1" priority="2" operator="containsText" text="363">
      <formula>NOT(ISERROR(SEARCH(("363"),(K1))))</formula>
    </cfRule>
  </conditionalFormatting>
  <conditionalFormatting sqref="K1:K15 K17:K56 K58 K66:K74 K76:K82 K85:K137">
    <cfRule type="containsText" dxfId="1" priority="3" operator="containsText" text="365">
      <formula>NOT(ISERROR(SEARCH(("365"),(K1))))</formula>
    </cfRule>
  </conditionalFormatting>
  <conditionalFormatting sqref="K1:K15 K17:K56 K58 K66:K74 K76:K82 K85:K137">
    <cfRule type="containsText" dxfId="1" priority="4" operator="containsText" text="366">
      <formula>NOT(ISERROR(SEARCH(("366"),(K1))))</formula>
    </cfRule>
  </conditionalFormatting>
  <conditionalFormatting sqref="K1:K15 K17:K56 K58 K66:K74 K76:K82 K85:K137">
    <cfRule type="containsText" dxfId="1" priority="5" operator="containsText" text="367">
      <formula>NOT(ISERROR(SEARCH(("367"),(K1))))</formula>
    </cfRule>
  </conditionalFormatting>
  <conditionalFormatting sqref="P95:P102">
    <cfRule type="cellIs" dxfId="2" priority="6" operator="equal">
      <formula>"敵のみ"</formula>
    </cfRule>
  </conditionalFormatting>
  <conditionalFormatting sqref="C95:C102">
    <cfRule type="cellIs" dxfId="3" priority="7" operator="equal">
      <formula>"-"</formula>
    </cfRule>
  </conditionalFormatting>
  <conditionalFormatting sqref="O1:O56 O58 O66:O74 O76:O82 O85:O161 C101 E101:F101 K101:N101 P101:P102 Q101">
    <cfRule type="cellIs" dxfId="4" priority="8" operator="greaterThan">
      <formula>0</formula>
    </cfRule>
  </conditionalFormatting>
  <conditionalFormatting sqref="P1:Q56 P58:Q58 P66:Q74 P76:Q82 P85:Q161">
    <cfRule type="cellIs" dxfId="5" priority="9" operator="lessThan">
      <formula>1</formula>
    </cfRule>
  </conditionalFormatting>
  <conditionalFormatting sqref="P1:Q56 P58:Q58 P66:Q74 P76:Q82 P85:Q161">
    <cfRule type="cellIs" dxfId="4" priority="10" operator="greaterThan">
      <formula>1</formula>
    </cfRule>
  </conditionalFormatting>
  <conditionalFormatting sqref="N25:N56 N58 N66:N74 N76:N82 N85:N102">
    <cfRule type="cellIs" dxfId="6" priority="11" operator="greaterThan">
      <formula>0</formula>
    </cfRule>
  </conditionalFormatting>
  <conditionalFormatting sqref="N1:N15 N17:N56 N58 N66:N74 N76:N82 N85:N161">
    <cfRule type="containsText" dxfId="6" priority="12" operator="containsText" text="/">
      <formula>NOT(ISERROR(SEARCH(("/"),(N1))))</formula>
    </cfRule>
  </conditionalFormatting>
  <drawing r:id="rId2"/>
  <legacyDrawing r:id="rId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EFB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902">
        <v>40.0</v>
      </c>
      <c r="B1" s="1903"/>
      <c r="C1" s="1904" t="str">
        <f>IMAGE(VLOOKUP($A$1,Fighters!A2:AI114,12,FALSE),1)</f>
        <v>#REF!</v>
      </c>
      <c r="D1" s="1905"/>
      <c r="E1" s="1905"/>
      <c r="F1" s="1905"/>
      <c r="G1" s="1906"/>
      <c r="H1" s="1907"/>
      <c r="I1" s="1905"/>
      <c r="J1" s="1906"/>
      <c r="K1" s="1908"/>
      <c r="L1" s="1905"/>
      <c r="M1" s="1906"/>
      <c r="N1" s="1909"/>
      <c r="O1" s="1909"/>
      <c r="P1" s="1909"/>
      <c r="Q1" s="1909"/>
      <c r="R1" s="1910"/>
      <c r="S1" s="1910"/>
      <c r="T1" s="1910"/>
      <c r="U1" s="1910"/>
      <c r="V1" s="1910"/>
    </row>
    <row r="2">
      <c r="A2" s="1911" t="str">
        <f>VLOOKUP($A$1,Fighters!$A$2:$AI$81,6,FALSE)</f>
        <v>#ccefb0</v>
      </c>
      <c r="B2" s="1903"/>
      <c r="C2" s="1912"/>
      <c r="G2" s="1913"/>
      <c r="H2" s="1914"/>
      <c r="I2" s="1915"/>
      <c r="J2" s="1916"/>
      <c r="K2" s="1914"/>
      <c r="L2" s="1915"/>
      <c r="M2" s="1916"/>
      <c r="N2" s="1909"/>
      <c r="O2" s="1909"/>
      <c r="P2" s="1909"/>
      <c r="Q2" s="1909"/>
      <c r="R2" s="1910"/>
      <c r="S2" s="1910"/>
      <c r="T2" s="1910"/>
      <c r="U2" s="1910"/>
      <c r="V2" s="1910"/>
    </row>
    <row r="3">
      <c r="A3" s="1911" t="str">
        <f>VLOOKUP($A$1,Fighters!$A$2:$AI$81,14,FALSE)</f>
        <v>40. ピクミン&amp;オリマー</v>
      </c>
      <c r="B3" s="1903"/>
      <c r="C3" s="1912"/>
      <c r="G3" s="1913"/>
      <c r="H3" s="1917"/>
      <c r="I3" s="1917"/>
      <c r="J3" s="1917"/>
      <c r="K3" s="1918"/>
      <c r="L3" s="1918"/>
      <c r="M3" s="1918"/>
      <c r="N3" s="1909"/>
      <c r="O3" s="1909"/>
      <c r="P3" s="1909"/>
      <c r="Q3" s="1909"/>
      <c r="R3" s="1919"/>
      <c r="S3" s="1910"/>
      <c r="T3" s="1910"/>
      <c r="U3" s="1910"/>
      <c r="V3" s="1910"/>
    </row>
    <row r="4">
      <c r="A4" s="1911" t="str">
        <f>VLOOKUP($A$1,Fighters!$A$2:$AI$81,13,FALSE)</f>
        <v>0</v>
      </c>
      <c r="B4" s="1903"/>
      <c r="C4" s="1912"/>
      <c r="G4" s="1913"/>
      <c r="H4" s="1920"/>
      <c r="I4" s="1920"/>
      <c r="J4" s="1917"/>
      <c r="K4" s="1918"/>
      <c r="L4" s="1918"/>
      <c r="M4" s="1918"/>
      <c r="N4" s="1909"/>
      <c r="O4" s="1909"/>
      <c r="P4" s="1909"/>
      <c r="Q4" s="1909"/>
      <c r="R4" s="1919"/>
      <c r="S4" s="1910"/>
      <c r="T4" s="1910"/>
      <c r="U4" s="1910"/>
      <c r="V4" s="1910"/>
    </row>
    <row r="5" ht="16.5" customHeight="1">
      <c r="A5" s="1902"/>
      <c r="B5" s="1903"/>
      <c r="C5" s="1912"/>
      <c r="G5" s="1913"/>
      <c r="H5" s="1921"/>
      <c r="I5" s="1921"/>
      <c r="J5" s="1922"/>
      <c r="K5" s="1923"/>
      <c r="L5" s="1924"/>
      <c r="M5" s="1924"/>
      <c r="N5" s="1909"/>
      <c r="O5" s="1909"/>
      <c r="P5" s="1909"/>
      <c r="Q5" s="1909"/>
      <c r="R5" s="1919"/>
      <c r="S5" s="1910"/>
      <c r="T5" s="1910"/>
      <c r="U5" s="1910"/>
      <c r="V5" s="1910"/>
    </row>
    <row r="6">
      <c r="A6" s="1903"/>
      <c r="B6" s="1903"/>
      <c r="C6" s="1912"/>
      <c r="G6" s="1913"/>
      <c r="H6" s="1920"/>
      <c r="I6" s="1925" t="s">
        <v>39</v>
      </c>
      <c r="J6" s="1923"/>
      <c r="K6" s="1926"/>
      <c r="L6" s="1924"/>
      <c r="M6" s="1924"/>
      <c r="N6" s="1909"/>
      <c r="O6" s="1909"/>
      <c r="P6" s="1909"/>
      <c r="Q6" s="1909"/>
      <c r="R6" s="1919"/>
      <c r="S6" s="1910"/>
      <c r="T6" s="1910"/>
      <c r="U6" s="1910"/>
      <c r="V6" s="1910"/>
    </row>
    <row r="7">
      <c r="A7" s="1903"/>
      <c r="B7" s="1903"/>
      <c r="C7" s="1912"/>
      <c r="G7" s="1913"/>
      <c r="H7" s="1921"/>
      <c r="I7" s="1921"/>
      <c r="J7" s="1923"/>
      <c r="K7" s="1926"/>
      <c r="L7" s="1924"/>
      <c r="M7" s="1924"/>
      <c r="N7" s="1909"/>
      <c r="O7" s="1909"/>
      <c r="P7" s="1909"/>
      <c r="Q7" s="1909"/>
      <c r="R7" s="1919"/>
      <c r="S7" s="1910"/>
      <c r="T7" s="1910"/>
      <c r="U7" s="1910"/>
      <c r="V7" s="1910"/>
    </row>
    <row r="8">
      <c r="A8" s="1903"/>
      <c r="B8" s="1903"/>
      <c r="C8" s="1912"/>
      <c r="G8" s="1913"/>
      <c r="H8" s="1927">
        <v>44380.324552129634</v>
      </c>
      <c r="I8" s="1905"/>
      <c r="J8" s="1906"/>
      <c r="K8" s="1923"/>
      <c r="L8" s="1924"/>
      <c r="M8" s="1924"/>
      <c r="N8" s="1909"/>
      <c r="O8" s="1909"/>
      <c r="P8" s="1909"/>
      <c r="Q8" s="1909"/>
      <c r="R8" s="1919"/>
      <c r="S8" s="1910"/>
      <c r="T8" s="1910"/>
      <c r="U8" s="1910"/>
      <c r="V8" s="1910"/>
    </row>
    <row r="9">
      <c r="A9" s="1903"/>
      <c r="B9" s="1903"/>
      <c r="C9" s="1912"/>
      <c r="G9" s="1913"/>
      <c r="H9" s="1914"/>
      <c r="I9" s="1915"/>
      <c r="J9" s="1916"/>
      <c r="K9" s="1910"/>
      <c r="L9" s="1909"/>
      <c r="M9" s="1909"/>
      <c r="N9" s="1909"/>
      <c r="O9" s="1909"/>
      <c r="P9" s="1909"/>
      <c r="Q9" s="1909"/>
      <c r="R9" s="1919"/>
      <c r="S9" s="1910"/>
      <c r="T9" s="1910"/>
      <c r="U9" s="1910"/>
      <c r="V9" s="1910"/>
    </row>
    <row r="10">
      <c r="A10" s="1903"/>
      <c r="B10" s="1903"/>
      <c r="C10" s="1912"/>
      <c r="G10" s="1913"/>
      <c r="H10" s="1928"/>
      <c r="I10" s="1928"/>
      <c r="J10" s="1910"/>
      <c r="K10" s="1910"/>
      <c r="L10" s="1909"/>
      <c r="M10" s="1909"/>
      <c r="N10" s="1909"/>
      <c r="O10" s="1909"/>
      <c r="P10" s="1909"/>
      <c r="Q10" s="1909"/>
      <c r="R10" s="1919"/>
      <c r="S10" s="1910"/>
      <c r="T10" s="1910"/>
      <c r="U10" s="1910"/>
      <c r="V10" s="1910"/>
    </row>
    <row r="11">
      <c r="A11" s="1929" t="s">
        <v>40</v>
      </c>
      <c r="B11" s="1906"/>
      <c r="C11" s="1912"/>
      <c r="G11" s="1913"/>
      <c r="H11" s="1921"/>
      <c r="I11" s="1921"/>
      <c r="J11" s="1910"/>
      <c r="K11" s="1910"/>
      <c r="L11" s="1909"/>
      <c r="M11" s="1909"/>
      <c r="N11" s="1909"/>
      <c r="O11" s="1909"/>
      <c r="P11" s="1909"/>
      <c r="Q11" s="1909"/>
      <c r="R11" s="1919"/>
      <c r="S11" s="1910"/>
      <c r="T11" s="1910"/>
      <c r="U11" s="1910"/>
      <c r="V11" s="1910"/>
    </row>
    <row r="12">
      <c r="A12" s="1914"/>
      <c r="B12" s="1916"/>
      <c r="C12" s="1914"/>
      <c r="D12" s="1915"/>
      <c r="E12" s="1915"/>
      <c r="F12" s="1915"/>
      <c r="G12" s="1916"/>
      <c r="H12" s="1930"/>
      <c r="I12" s="1930"/>
      <c r="J12" s="1903"/>
      <c r="K12" s="1903"/>
      <c r="L12" s="1909"/>
      <c r="M12" s="1909"/>
      <c r="N12" s="1909"/>
      <c r="O12" s="1909"/>
      <c r="P12" s="1909"/>
      <c r="Q12" s="1909"/>
      <c r="R12" s="1919"/>
      <c r="S12" s="1910"/>
      <c r="T12" s="1910"/>
      <c r="U12" s="1910"/>
      <c r="V12" s="1910"/>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outlineLevel="1">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79 [79th]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43F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1.606 [86th]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0.945 [60th]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59F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0.13992 [55th]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33.5 [36th]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1.617 [56th]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30F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0.093 [70th]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16.19 [42nd]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0.861 [82nd]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33.5 [42nd]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1.35 [71st]</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2.16 [71st]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0.068 [85th]</v>
      </c>
      <c r="M22" s="100"/>
      <c r="N22" s="117"/>
      <c r="O22" s="99"/>
      <c r="P22" s="99"/>
      <c r="Q22" s="99"/>
      <c r="R22" s="99"/>
      <c r="S22" s="100"/>
      <c r="T22" s="100"/>
      <c r="U22" s="100"/>
      <c r="V22" s="100"/>
    </row>
    <row r="23" outlineLevel="1">
      <c r="A23" s="101"/>
      <c r="B23" s="101"/>
      <c r="C23" s="101"/>
      <c r="D23" s="101"/>
      <c r="E23" s="101"/>
      <c r="F23" s="101"/>
      <c r="G23" s="98"/>
      <c r="H23" s="98"/>
      <c r="I23" s="114"/>
      <c r="J23" s="101"/>
      <c r="K23" s="118"/>
      <c r="L23" s="114"/>
      <c r="M23" s="100"/>
      <c r="N23" s="117"/>
      <c r="O23" s="99"/>
      <c r="P23" s="99"/>
      <c r="Q23" s="99"/>
      <c r="R23" s="99"/>
      <c r="S23" s="100"/>
      <c r="T23" s="100"/>
      <c r="U23" s="100"/>
      <c r="V23" s="100"/>
    </row>
    <row r="24" outlineLevel="1">
      <c r="A24" s="101"/>
      <c r="B24" s="101"/>
      <c r="C24" s="1931" t="s">
        <v>2929</v>
      </c>
      <c r="D24" s="1932" t="s">
        <v>2930</v>
      </c>
      <c r="E24" s="1932" t="s">
        <v>2931</v>
      </c>
      <c r="F24" s="1932" t="s">
        <v>2932</v>
      </c>
      <c r="G24" s="108" t="s">
        <v>53</v>
      </c>
      <c r="H24" s="110"/>
      <c r="I24" s="109"/>
      <c r="J24" s="101"/>
      <c r="K24" s="118"/>
      <c r="L24" s="114"/>
      <c r="M24" s="100"/>
      <c r="N24" s="117"/>
      <c r="O24" s="99"/>
      <c r="P24" s="99"/>
      <c r="Q24" s="99"/>
      <c r="R24" s="99"/>
      <c r="S24" s="100"/>
      <c r="T24" s="100"/>
      <c r="U24" s="100"/>
      <c r="V24" s="100"/>
    </row>
    <row r="25" outlineLevel="1">
      <c r="A25" s="101"/>
      <c r="B25" s="101"/>
      <c r="C25" s="112" t="s">
        <v>2933</v>
      </c>
      <c r="D25" s="239" t="s">
        <v>2934</v>
      </c>
      <c r="E25" s="239" t="s">
        <v>2935</v>
      </c>
      <c r="F25" s="239" t="s">
        <v>2936</v>
      </c>
      <c r="G25" s="1933" t="s">
        <v>2937</v>
      </c>
      <c r="H25" s="110"/>
      <c r="I25" s="109"/>
      <c r="J25" s="101"/>
      <c r="K25" s="118"/>
      <c r="L25" s="114"/>
      <c r="M25" s="100"/>
      <c r="N25" s="117"/>
      <c r="O25" s="99"/>
      <c r="P25" s="99"/>
      <c r="Q25" s="99"/>
      <c r="R25" s="99"/>
      <c r="S25" s="100"/>
      <c r="T25" s="100"/>
      <c r="U25" s="100"/>
      <c r="V25" s="100"/>
    </row>
    <row r="26" outlineLevel="1">
      <c r="A26" s="101"/>
      <c r="B26" s="101"/>
      <c r="C26" s="112" t="s">
        <v>2938</v>
      </c>
      <c r="D26" s="239" t="s">
        <v>2939</v>
      </c>
      <c r="E26" s="239" t="s">
        <v>2939</v>
      </c>
      <c r="F26" s="239" t="s">
        <v>2936</v>
      </c>
      <c r="G26" s="1933" t="s">
        <v>2940</v>
      </c>
      <c r="H26" s="110"/>
      <c r="I26" s="109"/>
      <c r="J26" s="101"/>
      <c r="K26" s="118"/>
      <c r="L26" s="114"/>
      <c r="M26" s="100"/>
      <c r="N26" s="117"/>
      <c r="O26" s="99"/>
      <c r="P26" s="99"/>
      <c r="Q26" s="99"/>
      <c r="R26" s="99"/>
      <c r="S26" s="100"/>
      <c r="T26" s="100"/>
      <c r="U26" s="100"/>
      <c r="V26" s="100"/>
    </row>
    <row r="27" outlineLevel="1">
      <c r="A27" s="101"/>
      <c r="B27" s="101"/>
      <c r="C27" s="112" t="s">
        <v>2941</v>
      </c>
      <c r="D27" s="239" t="s">
        <v>2939</v>
      </c>
      <c r="E27" s="239" t="s">
        <v>2942</v>
      </c>
      <c r="F27" s="239" t="s">
        <v>2943</v>
      </c>
      <c r="G27" s="1933" t="s">
        <v>2944</v>
      </c>
      <c r="H27" s="110"/>
      <c r="I27" s="109"/>
      <c r="J27" s="101"/>
      <c r="K27" s="118"/>
      <c r="L27" s="114"/>
      <c r="M27" s="100"/>
      <c r="N27" s="117"/>
      <c r="O27" s="99"/>
      <c r="P27" s="99"/>
      <c r="Q27" s="99"/>
      <c r="R27" s="99"/>
      <c r="S27" s="100"/>
      <c r="T27" s="100"/>
      <c r="U27" s="100"/>
      <c r="V27" s="100"/>
    </row>
    <row r="28" outlineLevel="1">
      <c r="A28" s="101"/>
      <c r="B28" s="101"/>
      <c r="C28" s="112" t="s">
        <v>2945</v>
      </c>
      <c r="D28" s="239" t="s">
        <v>2935</v>
      </c>
      <c r="E28" s="239" t="s">
        <v>2939</v>
      </c>
      <c r="F28" s="239" t="s">
        <v>2946</v>
      </c>
      <c r="G28" s="1933" t="s">
        <v>2947</v>
      </c>
      <c r="H28" s="110"/>
      <c r="I28" s="109"/>
      <c r="J28" s="101"/>
      <c r="K28" s="118"/>
      <c r="L28" s="114"/>
      <c r="M28" s="100"/>
      <c r="N28" s="117"/>
      <c r="O28" s="99"/>
      <c r="P28" s="99"/>
      <c r="Q28" s="99"/>
      <c r="R28" s="99"/>
      <c r="S28" s="100"/>
      <c r="T28" s="100"/>
      <c r="U28" s="100"/>
      <c r="V28" s="100"/>
    </row>
    <row r="29" outlineLevel="1">
      <c r="A29" s="101"/>
      <c r="B29" s="101"/>
      <c r="C29" s="112" t="s">
        <v>2948</v>
      </c>
      <c r="D29" s="239" t="s">
        <v>2949</v>
      </c>
      <c r="E29" s="239" t="s">
        <v>2939</v>
      </c>
      <c r="F29" s="239" t="s">
        <v>2950</v>
      </c>
      <c r="G29" s="1933" t="s">
        <v>2951</v>
      </c>
      <c r="H29" s="110"/>
      <c r="I29" s="109"/>
      <c r="J29" s="101"/>
      <c r="K29" s="118"/>
      <c r="L29" s="114"/>
      <c r="M29" s="100"/>
      <c r="N29" s="117"/>
      <c r="O29" s="99"/>
      <c r="P29" s="99"/>
      <c r="Q29" s="99"/>
      <c r="R29" s="99"/>
      <c r="S29" s="100"/>
      <c r="T29" s="100"/>
      <c r="U29" s="100"/>
      <c r="V29" s="100"/>
    </row>
    <row r="30">
      <c r="A30" s="101"/>
      <c r="B30" s="101"/>
      <c r="C30" s="101"/>
      <c r="D30" s="101"/>
      <c r="E30" s="101"/>
      <c r="F30" s="101"/>
      <c r="G30" s="98"/>
      <c r="H30" s="98"/>
      <c r="I30" s="114"/>
      <c r="J30" s="101"/>
      <c r="K30" s="118"/>
      <c r="L30" s="114"/>
      <c r="M30" s="100"/>
      <c r="N30" s="117"/>
      <c r="O30" s="99"/>
      <c r="P30" s="99"/>
      <c r="Q30" s="99"/>
      <c r="R30" s="99"/>
      <c r="S30" s="100"/>
      <c r="T30" s="100"/>
      <c r="U30" s="100"/>
      <c r="V30" s="100"/>
    </row>
    <row r="31">
      <c r="A31" s="119" t="str">
        <f>'テンプレート'!A24</f>
        <v>地上攻撃</v>
      </c>
      <c r="B31" s="104"/>
      <c r="C31" s="120"/>
      <c r="D31" s="121"/>
      <c r="E31" s="121"/>
      <c r="F31" s="122"/>
      <c r="G31" s="123"/>
      <c r="H31" s="121"/>
      <c r="I31" s="121"/>
      <c r="J31" s="121"/>
      <c r="K31" s="121"/>
      <c r="L31" s="124"/>
      <c r="M31" s="124"/>
      <c r="N31" s="125"/>
      <c r="O31" s="125"/>
      <c r="P31" s="125"/>
      <c r="Q31" s="126"/>
      <c r="R31" s="124"/>
      <c r="S31" s="124"/>
      <c r="T31" s="124"/>
      <c r="U31" s="124"/>
      <c r="V31" s="124"/>
    </row>
    <row r="32" outlineLevel="1">
      <c r="A32" s="106"/>
      <c r="B32" s="107"/>
      <c r="C32" s="127" t="str">
        <f>'テンプレート'!C25</f>
        <v>判定持続</v>
      </c>
      <c r="D32" s="128" t="str">
        <f>'テンプレート'!D25</f>
        <v>全体フレーム</v>
      </c>
      <c r="E32" s="128" t="str">
        <f>'テンプレート'!E25</f>
        <v>基礎ダメージ</v>
      </c>
      <c r="F32" s="131" t="str">
        <f>'テンプレート'!F25</f>
        <v>ダメージ (1v1)</v>
      </c>
      <c r="G32" s="128" t="str">
        <f>'テンプレート'!G25</f>
        <v>ガード硬直</v>
      </c>
      <c r="H32" s="130" t="str">
        <f>'テンプレート'!H25</f>
        <v>備考</v>
      </c>
      <c r="I32" s="110"/>
      <c r="J32" s="109"/>
      <c r="K32" s="131" t="str">
        <f>'テンプレート'!K25</f>
        <v>ベクトル</v>
      </c>
      <c r="L32" s="131" t="str">
        <f>'テンプレート'!L25</f>
        <v>KBG (R.E.)</v>
      </c>
      <c r="M32" s="131" t="str">
        <f>'テンプレート'!M25</f>
        <v>BKB (R.A.)</v>
      </c>
      <c r="N32" s="131" t="str">
        <f>'テンプレート'!N25</f>
        <v>FKB (R.F.)</v>
      </c>
      <c r="O32" s="132" t="str">
        <f>'テンプレート'!O25</f>
        <v>盾削り値</v>
      </c>
      <c r="P32" s="131" t="str">
        <f>'テンプレート'!P25</f>
        <v>ﾋｯﾄｽﾄｯﾌﾟ</v>
      </c>
      <c r="Q32" s="132" t="str">
        <f>'テンプレート'!Q25</f>
        <v>ずらし</v>
      </c>
      <c r="R32" s="100"/>
      <c r="S32" s="100"/>
      <c r="T32" s="100"/>
      <c r="U32" s="127" t="s">
        <v>54</v>
      </c>
      <c r="V32" s="100"/>
    </row>
    <row r="33" outlineLevel="1">
      <c r="A33" s="133" t="str">
        <f>'テンプレート'!A26</f>
        <v>弱攻撃</v>
      </c>
      <c r="B33" s="147" t="s">
        <v>55</v>
      </c>
      <c r="C33" s="1392" t="s">
        <v>73</v>
      </c>
      <c r="D33" s="1934" t="s">
        <v>296</v>
      </c>
      <c r="E33" s="616" t="s">
        <v>204</v>
      </c>
      <c r="F33" s="138">
        <v>3.5999999999999996</v>
      </c>
      <c r="G33" s="139" t="s">
        <v>147</v>
      </c>
      <c r="H33" s="175" t="s">
        <v>2952</v>
      </c>
      <c r="I33" s="164"/>
      <c r="J33" s="104"/>
      <c r="K33" s="138"/>
      <c r="L33" s="282"/>
      <c r="M33" s="363"/>
      <c r="N33" s="363"/>
      <c r="O33" s="145">
        <v>0.0</v>
      </c>
      <c r="P33" s="145">
        <v>1.0</v>
      </c>
      <c r="Q33" s="145">
        <v>1.0</v>
      </c>
      <c r="R33" s="117"/>
      <c r="S33" s="117"/>
      <c r="T33" s="117"/>
      <c r="U33" s="166" t="s">
        <v>69</v>
      </c>
      <c r="V33" s="100"/>
    </row>
    <row r="34" outlineLevel="1">
      <c r="A34" s="146"/>
      <c r="B34" s="147" t="s">
        <v>2953</v>
      </c>
      <c r="C34" s="245" t="s">
        <v>150</v>
      </c>
      <c r="D34" s="107"/>
      <c r="E34" s="214" t="s">
        <v>2954</v>
      </c>
      <c r="F34" s="138" t="s">
        <v>2955</v>
      </c>
      <c r="G34" s="139" t="s">
        <v>2956</v>
      </c>
      <c r="H34" s="106"/>
      <c r="I34" s="168"/>
      <c r="J34" s="107"/>
      <c r="K34" s="282"/>
      <c r="L34" s="282"/>
      <c r="M34" s="363"/>
      <c r="N34" s="363"/>
      <c r="O34" s="145">
        <v>0.0</v>
      </c>
      <c r="P34" s="145">
        <v>1.0</v>
      </c>
      <c r="Q34" s="145">
        <v>1.0</v>
      </c>
      <c r="R34" s="117"/>
      <c r="S34" s="117"/>
      <c r="T34" s="117"/>
      <c r="U34" s="156"/>
      <c r="V34" s="100"/>
    </row>
    <row r="35" outlineLevel="1">
      <c r="A35" s="156"/>
      <c r="B35" s="147" t="s">
        <v>63</v>
      </c>
      <c r="C35" s="245" t="s">
        <v>717</v>
      </c>
      <c r="D35" s="245" t="s">
        <v>394</v>
      </c>
      <c r="E35" s="214" t="s">
        <v>1806</v>
      </c>
      <c r="F35" s="138" t="s">
        <v>1807</v>
      </c>
      <c r="G35" s="139" t="s">
        <v>1808</v>
      </c>
      <c r="H35" s="159"/>
      <c r="I35" s="110"/>
      <c r="J35" s="109"/>
      <c r="K35" s="282"/>
      <c r="L35" s="282"/>
      <c r="M35" s="363"/>
      <c r="N35" s="363"/>
      <c r="O35" s="145">
        <v>0.0</v>
      </c>
      <c r="P35" s="145">
        <v>1.0</v>
      </c>
      <c r="Q35" s="145">
        <v>1.0</v>
      </c>
      <c r="R35" s="117"/>
      <c r="S35" s="117"/>
      <c r="T35" s="117"/>
      <c r="U35" s="145" t="s">
        <v>76</v>
      </c>
      <c r="V35" s="100"/>
    </row>
    <row r="36" outlineLevel="1">
      <c r="A36" s="133" t="s">
        <v>77</v>
      </c>
      <c r="B36" s="147" t="s">
        <v>125</v>
      </c>
      <c r="C36" s="245" t="s">
        <v>161</v>
      </c>
      <c r="D36" s="823" t="s">
        <v>79</v>
      </c>
      <c r="E36" s="245" t="s">
        <v>93</v>
      </c>
      <c r="F36" s="138">
        <v>8.4</v>
      </c>
      <c r="G36" s="139" t="s">
        <v>95</v>
      </c>
      <c r="H36" s="456"/>
      <c r="I36" s="164"/>
      <c r="J36" s="104"/>
      <c r="K36" s="138"/>
      <c r="L36" s="282"/>
      <c r="M36" s="363"/>
      <c r="N36" s="363"/>
      <c r="O36" s="145">
        <v>0.0</v>
      </c>
      <c r="P36" s="145">
        <v>1.0</v>
      </c>
      <c r="Q36" s="145">
        <v>1.0</v>
      </c>
      <c r="R36" s="117"/>
      <c r="S36" s="117"/>
      <c r="T36" s="117"/>
      <c r="U36" s="166" t="s">
        <v>69</v>
      </c>
      <c r="V36" s="100"/>
    </row>
    <row r="37" outlineLevel="1">
      <c r="A37" s="156"/>
      <c r="B37" s="147" t="s">
        <v>131</v>
      </c>
      <c r="C37" s="245" t="s">
        <v>580</v>
      </c>
      <c r="D37" s="107"/>
      <c r="E37" s="245" t="s">
        <v>73</v>
      </c>
      <c r="F37" s="138">
        <v>4.8</v>
      </c>
      <c r="G37" s="139" t="s">
        <v>75</v>
      </c>
      <c r="H37" s="106"/>
      <c r="I37" s="168"/>
      <c r="J37" s="107"/>
      <c r="K37" s="282"/>
      <c r="L37" s="282"/>
      <c r="M37" s="363"/>
      <c r="N37" s="363"/>
      <c r="O37" s="145">
        <v>0.0</v>
      </c>
      <c r="P37" s="145">
        <v>1.0</v>
      </c>
      <c r="Q37" s="145">
        <v>1.0</v>
      </c>
      <c r="R37" s="117"/>
      <c r="S37" s="117"/>
      <c r="T37" s="117"/>
      <c r="U37" s="156"/>
      <c r="V37" s="100"/>
    </row>
    <row r="38" outlineLevel="1">
      <c r="A38" s="170" t="s">
        <v>89</v>
      </c>
      <c r="B38" s="147"/>
      <c r="C38" s="245" t="s">
        <v>460</v>
      </c>
      <c r="D38" s="245" t="s">
        <v>193</v>
      </c>
      <c r="E38" s="245" t="s">
        <v>232</v>
      </c>
      <c r="F38" s="138">
        <v>13.2</v>
      </c>
      <c r="G38" s="139" t="s">
        <v>121</v>
      </c>
      <c r="H38" s="159"/>
      <c r="I38" s="110"/>
      <c r="J38" s="109"/>
      <c r="K38" s="138"/>
      <c r="L38" s="282"/>
      <c r="M38" s="363"/>
      <c r="N38" s="363"/>
      <c r="O38" s="145">
        <v>0.0</v>
      </c>
      <c r="P38" s="145">
        <v>1.0</v>
      </c>
      <c r="Q38" s="145">
        <v>1.0</v>
      </c>
      <c r="R38" s="117"/>
      <c r="S38" s="117"/>
      <c r="T38" s="117"/>
      <c r="U38" s="145" t="s">
        <v>96</v>
      </c>
      <c r="V38" s="100"/>
    </row>
    <row r="39" outlineLevel="1">
      <c r="A39" s="133" t="s">
        <v>97</v>
      </c>
      <c r="B39" s="147" t="s">
        <v>167</v>
      </c>
      <c r="C39" s="245" t="s">
        <v>2957</v>
      </c>
      <c r="D39" s="823" t="s">
        <v>282</v>
      </c>
      <c r="E39" s="245" t="s">
        <v>201</v>
      </c>
      <c r="F39" s="138">
        <v>0.72</v>
      </c>
      <c r="G39" s="139" t="s">
        <v>170</v>
      </c>
      <c r="H39" s="456"/>
      <c r="I39" s="164"/>
      <c r="J39" s="104"/>
      <c r="K39" s="282"/>
      <c r="L39" s="282"/>
      <c r="M39" s="363"/>
      <c r="N39" s="363"/>
      <c r="O39" s="145">
        <v>0.0</v>
      </c>
      <c r="P39" s="145">
        <v>1.0</v>
      </c>
      <c r="Q39" s="145">
        <v>1.0</v>
      </c>
      <c r="R39" s="117"/>
      <c r="S39" s="117"/>
      <c r="T39" s="117"/>
      <c r="U39" s="166" t="s">
        <v>62</v>
      </c>
      <c r="V39" s="100"/>
    </row>
    <row r="40" outlineLevel="1">
      <c r="A40" s="156"/>
      <c r="B40" s="147" t="s">
        <v>2958</v>
      </c>
      <c r="C40" s="245" t="s">
        <v>153</v>
      </c>
      <c r="D40" s="107"/>
      <c r="E40" s="245" t="s">
        <v>73</v>
      </c>
      <c r="F40" s="138">
        <v>4.8</v>
      </c>
      <c r="G40" s="409"/>
      <c r="H40" s="106"/>
      <c r="I40" s="168"/>
      <c r="J40" s="107"/>
      <c r="K40" s="145"/>
      <c r="L40" s="363"/>
      <c r="M40" s="363"/>
      <c r="N40" s="363"/>
      <c r="O40" s="145">
        <v>0.0</v>
      </c>
      <c r="P40" s="145">
        <v>1.0</v>
      </c>
      <c r="Q40" s="145">
        <v>1.0</v>
      </c>
      <c r="R40" s="117"/>
      <c r="S40" s="117"/>
      <c r="T40" s="117"/>
      <c r="U40" s="156"/>
      <c r="V40" s="100"/>
    </row>
    <row r="41" outlineLevel="1">
      <c r="A41" s="170" t="s">
        <v>103</v>
      </c>
      <c r="B41" s="160"/>
      <c r="C41" s="245" t="s">
        <v>2325</v>
      </c>
      <c r="D41" s="245" t="s">
        <v>99</v>
      </c>
      <c r="E41" s="245" t="s">
        <v>86</v>
      </c>
      <c r="F41" s="138">
        <v>7.199999999999999</v>
      </c>
      <c r="G41" s="139" t="s">
        <v>102</v>
      </c>
      <c r="H41" s="159"/>
      <c r="I41" s="110"/>
      <c r="J41" s="109"/>
      <c r="K41" s="145"/>
      <c r="L41" s="363"/>
      <c r="M41" s="363"/>
      <c r="N41" s="363"/>
      <c r="O41" s="145">
        <v>0.0</v>
      </c>
      <c r="P41" s="145">
        <v>1.0</v>
      </c>
      <c r="Q41" s="145">
        <v>1.0</v>
      </c>
      <c r="R41" s="117"/>
      <c r="S41" s="117"/>
      <c r="T41" s="117"/>
      <c r="U41" s="145" t="s">
        <v>69</v>
      </c>
      <c r="V41" s="100"/>
    </row>
    <row r="42" outlineLevel="1">
      <c r="A42" s="133" t="s">
        <v>109</v>
      </c>
      <c r="B42" s="147" t="s">
        <v>2933</v>
      </c>
      <c r="C42" s="826" t="s">
        <v>382</v>
      </c>
      <c r="D42" s="826" t="s">
        <v>221</v>
      </c>
      <c r="E42" s="193">
        <v>20.299999999999997</v>
      </c>
      <c r="F42" s="193">
        <v>24.359999999999996</v>
      </c>
      <c r="G42" s="1935" t="s">
        <v>102</v>
      </c>
      <c r="H42" s="395" t="s">
        <v>2959</v>
      </c>
      <c r="I42" s="164"/>
      <c r="J42" s="104"/>
      <c r="K42" s="282"/>
      <c r="L42" s="282"/>
      <c r="M42" s="363"/>
      <c r="N42" s="363"/>
      <c r="O42" s="145">
        <v>0.0</v>
      </c>
      <c r="P42" s="145">
        <v>1.0</v>
      </c>
      <c r="Q42" s="145">
        <v>1.0</v>
      </c>
      <c r="R42" s="117"/>
      <c r="S42" s="117"/>
      <c r="T42" s="117"/>
      <c r="U42" s="166" t="s">
        <v>62</v>
      </c>
      <c r="V42" s="100"/>
    </row>
    <row r="43" outlineLevel="1">
      <c r="A43" s="146"/>
      <c r="B43" s="147" t="s">
        <v>2960</v>
      </c>
      <c r="C43" s="210"/>
      <c r="D43" s="210"/>
      <c r="E43" s="193">
        <v>14.5</v>
      </c>
      <c r="F43" s="193">
        <v>17.4</v>
      </c>
      <c r="G43" s="1935" t="s">
        <v>75</v>
      </c>
      <c r="H43" s="212"/>
      <c r="J43" s="210"/>
      <c r="K43" s="282"/>
      <c r="L43" s="282"/>
      <c r="M43" s="363"/>
      <c r="N43" s="363"/>
      <c r="O43" s="145"/>
      <c r="P43" s="145"/>
      <c r="Q43" s="145"/>
      <c r="R43" s="117"/>
      <c r="S43" s="117"/>
      <c r="T43" s="117"/>
      <c r="U43" s="146"/>
      <c r="V43" s="100"/>
    </row>
    <row r="44" outlineLevel="1">
      <c r="A44" s="146"/>
      <c r="B44" s="147" t="s">
        <v>2945</v>
      </c>
      <c r="C44" s="210"/>
      <c r="D44" s="210"/>
      <c r="E44" s="193">
        <v>11.600000000000001</v>
      </c>
      <c r="F44" s="193">
        <v>13.920000000000002</v>
      </c>
      <c r="G44" s="1935" t="s">
        <v>147</v>
      </c>
      <c r="H44" s="212"/>
      <c r="J44" s="210"/>
      <c r="K44" s="282"/>
      <c r="L44" s="282"/>
      <c r="M44" s="363"/>
      <c r="N44" s="363"/>
      <c r="O44" s="145"/>
      <c r="P44" s="145"/>
      <c r="Q44" s="145"/>
      <c r="R44" s="117"/>
      <c r="S44" s="117"/>
      <c r="T44" s="117"/>
      <c r="U44" s="146"/>
      <c r="V44" s="100"/>
    </row>
    <row r="45" outlineLevel="1">
      <c r="A45" s="146"/>
      <c r="B45" s="147" t="s">
        <v>2948</v>
      </c>
      <c r="C45" s="107"/>
      <c r="D45" s="210"/>
      <c r="E45" s="193">
        <v>23.200000000000003</v>
      </c>
      <c r="F45" s="193">
        <v>27.840000000000003</v>
      </c>
      <c r="G45" s="1935" t="s">
        <v>95</v>
      </c>
      <c r="H45" s="212"/>
      <c r="J45" s="210"/>
      <c r="K45" s="282"/>
      <c r="L45" s="282"/>
      <c r="M45" s="363"/>
      <c r="N45" s="363"/>
      <c r="O45" s="145"/>
      <c r="P45" s="145"/>
      <c r="Q45" s="145"/>
      <c r="R45" s="117"/>
      <c r="S45" s="117"/>
      <c r="T45" s="117"/>
      <c r="U45" s="146"/>
      <c r="V45" s="100"/>
    </row>
    <row r="46" outlineLevel="1">
      <c r="A46" s="146"/>
      <c r="B46" s="147" t="s">
        <v>2961</v>
      </c>
      <c r="C46" s="826" t="s">
        <v>465</v>
      </c>
      <c r="D46" s="210"/>
      <c r="E46" s="193">
        <v>14.0</v>
      </c>
      <c r="F46" s="193">
        <v>16.8</v>
      </c>
      <c r="G46" s="1935" t="s">
        <v>75</v>
      </c>
      <c r="H46" s="212"/>
      <c r="J46" s="210"/>
      <c r="K46" s="282"/>
      <c r="L46" s="282"/>
      <c r="M46" s="363"/>
      <c r="N46" s="363"/>
      <c r="O46" s="145">
        <v>0.0</v>
      </c>
      <c r="P46" s="145">
        <v>1.0</v>
      </c>
      <c r="Q46" s="145">
        <v>1.0</v>
      </c>
      <c r="R46" s="117"/>
      <c r="S46" s="117"/>
      <c r="T46" s="117"/>
      <c r="U46" s="146"/>
      <c r="V46" s="100"/>
    </row>
    <row r="47" outlineLevel="1">
      <c r="A47" s="146"/>
      <c r="B47" s="147" t="s">
        <v>2962</v>
      </c>
      <c r="C47" s="210"/>
      <c r="D47" s="210"/>
      <c r="E47" s="193">
        <v>10.0</v>
      </c>
      <c r="F47" s="193">
        <v>12.0</v>
      </c>
      <c r="G47" s="1935" t="s">
        <v>147</v>
      </c>
      <c r="H47" s="212"/>
      <c r="J47" s="210"/>
      <c r="K47" s="282"/>
      <c r="L47" s="282"/>
      <c r="M47" s="363"/>
      <c r="N47" s="363"/>
      <c r="O47" s="145"/>
      <c r="P47" s="145"/>
      <c r="Q47" s="145"/>
      <c r="R47" s="117"/>
      <c r="S47" s="117"/>
      <c r="T47" s="117"/>
      <c r="U47" s="146"/>
      <c r="V47" s="100"/>
    </row>
    <row r="48" outlineLevel="1">
      <c r="A48" s="146"/>
      <c r="B48" s="147" t="s">
        <v>2963</v>
      </c>
      <c r="C48" s="107"/>
      <c r="D48" s="210"/>
      <c r="E48" s="193">
        <v>8.0</v>
      </c>
      <c r="F48" s="193">
        <v>9.6</v>
      </c>
      <c r="G48" s="1935" t="s">
        <v>60</v>
      </c>
      <c r="H48" s="212"/>
      <c r="J48" s="210"/>
      <c r="K48" s="282"/>
      <c r="L48" s="282"/>
      <c r="M48" s="363"/>
      <c r="N48" s="363"/>
      <c r="O48" s="145"/>
      <c r="P48" s="145"/>
      <c r="Q48" s="145"/>
      <c r="R48" s="117"/>
      <c r="S48" s="117"/>
      <c r="T48" s="117"/>
      <c r="U48" s="146"/>
      <c r="V48" s="100"/>
    </row>
    <row r="49" outlineLevel="1">
      <c r="A49" s="146"/>
      <c r="B49" s="147" t="s">
        <v>2964</v>
      </c>
      <c r="C49" s="780" t="s">
        <v>544</v>
      </c>
      <c r="D49" s="210"/>
      <c r="E49" s="193">
        <v>16.0</v>
      </c>
      <c r="F49" s="193">
        <v>19.2</v>
      </c>
      <c r="G49" s="1935" t="s">
        <v>75</v>
      </c>
      <c r="H49" s="212"/>
      <c r="J49" s="210"/>
      <c r="K49" s="282"/>
      <c r="L49" s="282"/>
      <c r="M49" s="363"/>
      <c r="N49" s="363"/>
      <c r="O49" s="145"/>
      <c r="P49" s="145"/>
      <c r="Q49" s="145"/>
      <c r="R49" s="117"/>
      <c r="S49" s="117"/>
      <c r="T49" s="117"/>
      <c r="U49" s="146"/>
      <c r="V49" s="100"/>
    </row>
    <row r="50" outlineLevel="1">
      <c r="A50" s="146"/>
      <c r="B50" s="147" t="s">
        <v>2965</v>
      </c>
      <c r="C50" s="826" t="s">
        <v>895</v>
      </c>
      <c r="D50" s="210"/>
      <c r="E50" s="193">
        <v>8.399999999999999</v>
      </c>
      <c r="F50" s="193">
        <v>10.079999999999998</v>
      </c>
      <c r="G50" s="1935" t="s">
        <v>60</v>
      </c>
      <c r="H50" s="212"/>
      <c r="J50" s="210"/>
      <c r="K50" s="282"/>
      <c r="L50" s="282"/>
      <c r="M50" s="363"/>
      <c r="N50" s="363"/>
      <c r="O50" s="145">
        <v>0.0</v>
      </c>
      <c r="P50" s="145">
        <v>1.0</v>
      </c>
      <c r="Q50" s="145">
        <v>1.0</v>
      </c>
      <c r="R50" s="117"/>
      <c r="S50" s="117"/>
      <c r="T50" s="117"/>
      <c r="U50" s="146"/>
      <c r="V50" s="100"/>
    </row>
    <row r="51" outlineLevel="1">
      <c r="A51" s="146"/>
      <c r="B51" s="147" t="s">
        <v>2966</v>
      </c>
      <c r="C51" s="210"/>
      <c r="D51" s="210"/>
      <c r="E51" s="193">
        <v>6.0</v>
      </c>
      <c r="F51" s="193">
        <v>7.199999999999999</v>
      </c>
      <c r="G51" s="1935" t="s">
        <v>60</v>
      </c>
      <c r="H51" s="212"/>
      <c r="J51" s="210"/>
      <c r="K51" s="282"/>
      <c r="L51" s="282"/>
      <c r="M51" s="363"/>
      <c r="N51" s="363"/>
      <c r="O51" s="145"/>
      <c r="P51" s="145"/>
      <c r="Q51" s="145"/>
      <c r="R51" s="117"/>
      <c r="S51" s="117"/>
      <c r="T51" s="117"/>
      <c r="U51" s="146"/>
      <c r="V51" s="100"/>
    </row>
    <row r="52" outlineLevel="1">
      <c r="A52" s="146"/>
      <c r="B52" s="147" t="s">
        <v>2967</v>
      </c>
      <c r="C52" s="107"/>
      <c r="D52" s="210"/>
      <c r="E52" s="193">
        <v>4.800000000000001</v>
      </c>
      <c r="F52" s="193">
        <v>5.760000000000001</v>
      </c>
      <c r="G52" s="1935" t="s">
        <v>60</v>
      </c>
      <c r="H52" s="212"/>
      <c r="J52" s="210"/>
      <c r="K52" s="282"/>
      <c r="L52" s="282"/>
      <c r="M52" s="363"/>
      <c r="N52" s="363"/>
      <c r="O52" s="145"/>
      <c r="P52" s="145"/>
      <c r="Q52" s="145"/>
      <c r="R52" s="117"/>
      <c r="S52" s="117"/>
      <c r="T52" s="117"/>
      <c r="U52" s="146"/>
      <c r="V52" s="100"/>
    </row>
    <row r="53" outlineLevel="1">
      <c r="A53" s="156"/>
      <c r="B53" s="147" t="s">
        <v>2968</v>
      </c>
      <c r="C53" s="780" t="s">
        <v>1164</v>
      </c>
      <c r="D53" s="107"/>
      <c r="E53" s="193">
        <v>9.600000000000001</v>
      </c>
      <c r="F53" s="193">
        <v>11.520000000000001</v>
      </c>
      <c r="G53" s="1935" t="s">
        <v>147</v>
      </c>
      <c r="H53" s="106"/>
      <c r="I53" s="168"/>
      <c r="J53" s="107"/>
      <c r="K53" s="282"/>
      <c r="L53" s="282"/>
      <c r="M53" s="363"/>
      <c r="N53" s="363"/>
      <c r="O53" s="145"/>
      <c r="P53" s="145"/>
      <c r="Q53" s="145"/>
      <c r="R53" s="117"/>
      <c r="S53" s="117"/>
      <c r="T53" s="117"/>
      <c r="U53" s="156"/>
      <c r="V53" s="100"/>
    </row>
    <row r="54" outlineLevel="1">
      <c r="A54" s="133" t="s">
        <v>116</v>
      </c>
      <c r="B54" s="147" t="s">
        <v>2969</v>
      </c>
      <c r="C54" s="823" t="s">
        <v>1670</v>
      </c>
      <c r="D54" s="826" t="s">
        <v>118</v>
      </c>
      <c r="E54" s="193">
        <v>18.2</v>
      </c>
      <c r="F54" s="193">
        <v>21.84</v>
      </c>
      <c r="G54" s="1935" t="s">
        <v>102</v>
      </c>
      <c r="H54" s="175" t="s">
        <v>2970</v>
      </c>
      <c r="I54" s="164"/>
      <c r="J54" s="104"/>
      <c r="K54" s="363"/>
      <c r="L54" s="363"/>
      <c r="M54" s="363"/>
      <c r="N54" s="363"/>
      <c r="O54" s="145">
        <v>0.0</v>
      </c>
      <c r="P54" s="145">
        <v>1.0</v>
      </c>
      <c r="Q54" s="145">
        <v>1.0</v>
      </c>
      <c r="R54" s="117"/>
      <c r="S54" s="117"/>
      <c r="T54" s="117"/>
      <c r="U54" s="166" t="s">
        <v>62</v>
      </c>
      <c r="V54" s="100"/>
    </row>
    <row r="55" outlineLevel="1">
      <c r="A55" s="146"/>
      <c r="B55" s="147" t="s">
        <v>2971</v>
      </c>
      <c r="C55" s="210"/>
      <c r="D55" s="210"/>
      <c r="E55" s="193">
        <v>13.0</v>
      </c>
      <c r="F55" s="193">
        <v>15.6</v>
      </c>
      <c r="G55" s="1935" t="s">
        <v>75</v>
      </c>
      <c r="H55" s="212"/>
      <c r="J55" s="210"/>
      <c r="K55" s="363"/>
      <c r="L55" s="363"/>
      <c r="M55" s="363"/>
      <c r="N55" s="363"/>
      <c r="O55" s="145"/>
      <c r="P55" s="145"/>
      <c r="Q55" s="145"/>
      <c r="R55" s="117"/>
      <c r="S55" s="117"/>
      <c r="T55" s="117"/>
      <c r="U55" s="146"/>
      <c r="V55" s="100"/>
    </row>
    <row r="56" outlineLevel="1">
      <c r="A56" s="146"/>
      <c r="B56" s="147" t="s">
        <v>2972</v>
      </c>
      <c r="C56" s="210"/>
      <c r="D56" s="210"/>
      <c r="E56" s="193">
        <v>10.4</v>
      </c>
      <c r="F56" s="193">
        <v>12.48</v>
      </c>
      <c r="G56" s="1935" t="s">
        <v>147</v>
      </c>
      <c r="H56" s="212"/>
      <c r="J56" s="210"/>
      <c r="K56" s="363"/>
      <c r="L56" s="363"/>
      <c r="M56" s="363"/>
      <c r="N56" s="363"/>
      <c r="O56" s="145"/>
      <c r="P56" s="145"/>
      <c r="Q56" s="145"/>
      <c r="R56" s="117"/>
      <c r="S56" s="117"/>
      <c r="T56" s="117"/>
      <c r="U56" s="146"/>
      <c r="V56" s="100"/>
    </row>
    <row r="57" outlineLevel="1">
      <c r="A57" s="146"/>
      <c r="B57" s="147" t="s">
        <v>2973</v>
      </c>
      <c r="C57" s="107"/>
      <c r="D57" s="210"/>
      <c r="E57" s="193">
        <v>20.8</v>
      </c>
      <c r="F57" s="193">
        <v>24.96</v>
      </c>
      <c r="G57" s="1935" t="s">
        <v>102</v>
      </c>
      <c r="H57" s="212"/>
      <c r="J57" s="210"/>
      <c r="K57" s="363"/>
      <c r="L57" s="363"/>
      <c r="M57" s="363"/>
      <c r="N57" s="363"/>
      <c r="O57" s="145"/>
      <c r="P57" s="145"/>
      <c r="Q57" s="145"/>
      <c r="R57" s="117"/>
      <c r="S57" s="117"/>
      <c r="T57" s="117"/>
      <c r="U57" s="146"/>
      <c r="V57" s="100"/>
    </row>
    <row r="58" outlineLevel="1">
      <c r="A58" s="146"/>
      <c r="B58" s="147" t="s">
        <v>2974</v>
      </c>
      <c r="C58" s="191" t="s">
        <v>373</v>
      </c>
      <c r="D58" s="210"/>
      <c r="E58" s="193">
        <v>14.0</v>
      </c>
      <c r="F58" s="193">
        <v>16.8</v>
      </c>
      <c r="G58" s="1935" t="s">
        <v>75</v>
      </c>
      <c r="H58" s="212"/>
      <c r="J58" s="210"/>
      <c r="K58" s="363"/>
      <c r="L58" s="363"/>
      <c r="M58" s="363"/>
      <c r="N58" s="363"/>
      <c r="O58" s="145">
        <v>0.0</v>
      </c>
      <c r="P58" s="145">
        <v>1.0</v>
      </c>
      <c r="Q58" s="145">
        <v>1.0</v>
      </c>
      <c r="R58" s="117"/>
      <c r="S58" s="117"/>
      <c r="T58" s="117"/>
      <c r="U58" s="146"/>
      <c r="V58" s="100"/>
    </row>
    <row r="59" outlineLevel="1">
      <c r="A59" s="146"/>
      <c r="B59" s="147" t="s">
        <v>2975</v>
      </c>
      <c r="C59" s="210"/>
      <c r="D59" s="210"/>
      <c r="E59" s="193">
        <v>10.0</v>
      </c>
      <c r="F59" s="193">
        <v>12.0</v>
      </c>
      <c r="G59" s="1935" t="s">
        <v>147</v>
      </c>
      <c r="H59" s="212"/>
      <c r="J59" s="210"/>
      <c r="K59" s="363"/>
      <c r="L59" s="363"/>
      <c r="M59" s="363"/>
      <c r="N59" s="363"/>
      <c r="O59" s="145"/>
      <c r="P59" s="145"/>
      <c r="Q59" s="145"/>
      <c r="R59" s="117"/>
      <c r="S59" s="117"/>
      <c r="T59" s="117"/>
      <c r="U59" s="146"/>
      <c r="V59" s="100"/>
    </row>
    <row r="60" outlineLevel="1">
      <c r="A60" s="146"/>
      <c r="B60" s="147" t="s">
        <v>2976</v>
      </c>
      <c r="C60" s="210"/>
      <c r="D60" s="210"/>
      <c r="E60" s="193">
        <v>8.0</v>
      </c>
      <c r="F60" s="193">
        <v>9.6</v>
      </c>
      <c r="G60" s="1935" t="s">
        <v>60</v>
      </c>
      <c r="H60" s="212"/>
      <c r="J60" s="210"/>
      <c r="K60" s="363"/>
      <c r="L60" s="363"/>
      <c r="M60" s="363"/>
      <c r="N60" s="363"/>
      <c r="O60" s="145"/>
      <c r="P60" s="145"/>
      <c r="Q60" s="145"/>
      <c r="R60" s="117"/>
      <c r="S60" s="117"/>
      <c r="T60" s="117"/>
      <c r="U60" s="146"/>
      <c r="V60" s="100"/>
    </row>
    <row r="61" outlineLevel="1">
      <c r="A61" s="146"/>
      <c r="B61" s="147" t="s">
        <v>2977</v>
      </c>
      <c r="C61" s="107"/>
      <c r="D61" s="210"/>
      <c r="E61" s="193">
        <v>16.0</v>
      </c>
      <c r="F61" s="193">
        <v>19.2</v>
      </c>
      <c r="G61" s="1935" t="s">
        <v>75</v>
      </c>
      <c r="H61" s="212"/>
      <c r="J61" s="210"/>
      <c r="K61" s="363"/>
      <c r="L61" s="363"/>
      <c r="M61" s="363"/>
      <c r="N61" s="363"/>
      <c r="O61" s="145"/>
      <c r="P61" s="145"/>
      <c r="Q61" s="145"/>
      <c r="R61" s="117"/>
      <c r="S61" s="117"/>
      <c r="T61" s="117"/>
      <c r="U61" s="146"/>
      <c r="V61" s="100"/>
    </row>
    <row r="62" outlineLevel="1">
      <c r="A62" s="146"/>
      <c r="B62" s="147" t="s">
        <v>2978</v>
      </c>
      <c r="C62" s="191" t="s">
        <v>1694</v>
      </c>
      <c r="D62" s="210"/>
      <c r="E62" s="193">
        <v>15.399999999999999</v>
      </c>
      <c r="F62" s="193">
        <v>18.479999999999997</v>
      </c>
      <c r="G62" s="1935" t="s">
        <v>75</v>
      </c>
      <c r="H62" s="212"/>
      <c r="J62" s="210"/>
      <c r="K62" s="363"/>
      <c r="L62" s="363"/>
      <c r="M62" s="363"/>
      <c r="N62" s="363"/>
      <c r="O62" s="145"/>
      <c r="P62" s="145"/>
      <c r="Q62" s="145"/>
      <c r="R62" s="117"/>
      <c r="S62" s="117"/>
      <c r="T62" s="117"/>
      <c r="U62" s="146"/>
      <c r="V62" s="100"/>
    </row>
    <row r="63" outlineLevel="1">
      <c r="A63" s="146"/>
      <c r="B63" s="147" t="s">
        <v>2979</v>
      </c>
      <c r="C63" s="210"/>
      <c r="D63" s="210"/>
      <c r="E63" s="193">
        <v>11.0</v>
      </c>
      <c r="F63" s="193">
        <v>13.2</v>
      </c>
      <c r="G63" s="1935" t="s">
        <v>147</v>
      </c>
      <c r="H63" s="212"/>
      <c r="J63" s="210"/>
      <c r="K63" s="363"/>
      <c r="L63" s="363"/>
      <c r="M63" s="363"/>
      <c r="N63" s="363"/>
      <c r="O63" s="145"/>
      <c r="P63" s="145"/>
      <c r="Q63" s="145"/>
      <c r="R63" s="117"/>
      <c r="S63" s="117"/>
      <c r="T63" s="117"/>
      <c r="U63" s="146"/>
      <c r="V63" s="100"/>
    </row>
    <row r="64" outlineLevel="1">
      <c r="A64" s="146"/>
      <c r="B64" s="147" t="s">
        <v>2980</v>
      </c>
      <c r="C64" s="210"/>
      <c r="D64" s="210"/>
      <c r="E64" s="193">
        <v>8.8</v>
      </c>
      <c r="F64" s="193">
        <v>10.56</v>
      </c>
      <c r="G64" s="1935" t="s">
        <v>147</v>
      </c>
      <c r="H64" s="212"/>
      <c r="J64" s="210"/>
      <c r="K64" s="363"/>
      <c r="L64" s="363"/>
      <c r="M64" s="363"/>
      <c r="N64" s="363"/>
      <c r="O64" s="145"/>
      <c r="P64" s="145"/>
      <c r="Q64" s="145"/>
      <c r="R64" s="117"/>
      <c r="S64" s="117"/>
      <c r="T64" s="117"/>
      <c r="U64" s="146"/>
      <c r="V64" s="100"/>
    </row>
    <row r="65" outlineLevel="1">
      <c r="A65" s="156"/>
      <c r="B65" s="147" t="s">
        <v>2981</v>
      </c>
      <c r="C65" s="107"/>
      <c r="D65" s="107"/>
      <c r="E65" s="193">
        <v>17.6</v>
      </c>
      <c r="F65" s="193">
        <v>21.12</v>
      </c>
      <c r="G65" s="1935" t="s">
        <v>102</v>
      </c>
      <c r="H65" s="106"/>
      <c r="I65" s="168"/>
      <c r="J65" s="107"/>
      <c r="K65" s="363"/>
      <c r="L65" s="363"/>
      <c r="M65" s="363"/>
      <c r="N65" s="363"/>
      <c r="O65" s="145">
        <v>0.0</v>
      </c>
      <c r="P65" s="145">
        <v>1.0</v>
      </c>
      <c r="Q65" s="145">
        <v>1.0</v>
      </c>
      <c r="R65" s="117"/>
      <c r="S65" s="117"/>
      <c r="T65" s="117"/>
      <c r="U65" s="156"/>
      <c r="V65" s="100"/>
    </row>
    <row r="66" outlineLevel="1">
      <c r="A66" s="133" t="s">
        <v>124</v>
      </c>
      <c r="B66" s="147" t="s">
        <v>2933</v>
      </c>
      <c r="C66" s="191" t="s">
        <v>309</v>
      </c>
      <c r="D66" s="823" t="s">
        <v>282</v>
      </c>
      <c r="E66" s="193">
        <v>15.399999999999999</v>
      </c>
      <c r="F66" s="193">
        <v>18.479999999999997</v>
      </c>
      <c r="G66" s="1935" t="s">
        <v>75</v>
      </c>
      <c r="H66" s="175" t="s">
        <v>2959</v>
      </c>
      <c r="I66" s="164"/>
      <c r="J66" s="104"/>
      <c r="K66" s="282"/>
      <c r="L66" s="282"/>
      <c r="M66" s="363"/>
      <c r="N66" s="363"/>
      <c r="O66" s="145">
        <v>1.0</v>
      </c>
      <c r="P66" s="145">
        <v>1.0</v>
      </c>
      <c r="Q66" s="145">
        <v>1.0</v>
      </c>
      <c r="R66" s="117" t="s">
        <v>62</v>
      </c>
      <c r="U66" s="210"/>
      <c r="V66" s="100"/>
    </row>
    <row r="67" outlineLevel="1">
      <c r="A67" s="146"/>
      <c r="B67" s="147" t="s">
        <v>2960</v>
      </c>
      <c r="C67" s="210"/>
      <c r="D67" s="210"/>
      <c r="E67" s="193">
        <v>11.0</v>
      </c>
      <c r="F67" s="193">
        <v>13.2</v>
      </c>
      <c r="G67" s="1935" t="s">
        <v>147</v>
      </c>
      <c r="H67" s="212"/>
      <c r="J67" s="210"/>
      <c r="K67" s="282"/>
      <c r="L67" s="282"/>
      <c r="M67" s="363"/>
      <c r="N67" s="363"/>
      <c r="O67" s="145"/>
      <c r="P67" s="145"/>
      <c r="Q67" s="145"/>
      <c r="U67" s="210"/>
      <c r="V67" s="100"/>
    </row>
    <row r="68" outlineLevel="1">
      <c r="A68" s="146"/>
      <c r="B68" s="147" t="s">
        <v>2945</v>
      </c>
      <c r="C68" s="210"/>
      <c r="D68" s="210"/>
      <c r="E68" s="193">
        <v>8.8</v>
      </c>
      <c r="F68" s="193">
        <v>10.56</v>
      </c>
      <c r="G68" s="1935" t="s">
        <v>147</v>
      </c>
      <c r="H68" s="212"/>
      <c r="J68" s="210"/>
      <c r="K68" s="282"/>
      <c r="L68" s="282"/>
      <c r="M68" s="363"/>
      <c r="N68" s="363"/>
      <c r="O68" s="145"/>
      <c r="P68" s="145"/>
      <c r="Q68" s="145"/>
      <c r="U68" s="210"/>
      <c r="V68" s="100"/>
    </row>
    <row r="69" outlineLevel="1">
      <c r="A69" s="146"/>
      <c r="B69" s="147" t="s">
        <v>2948</v>
      </c>
      <c r="C69" s="107"/>
      <c r="D69" s="210"/>
      <c r="E69" s="193">
        <v>17.6</v>
      </c>
      <c r="F69" s="193">
        <v>21.12</v>
      </c>
      <c r="G69" s="1935" t="s">
        <v>102</v>
      </c>
      <c r="H69" s="212"/>
      <c r="J69" s="210"/>
      <c r="K69" s="282"/>
      <c r="L69" s="282"/>
      <c r="M69" s="363"/>
      <c r="N69" s="363"/>
      <c r="O69" s="145"/>
      <c r="P69" s="145"/>
      <c r="Q69" s="145"/>
      <c r="U69" s="210"/>
      <c r="V69" s="100"/>
    </row>
    <row r="70" outlineLevel="1">
      <c r="A70" s="146"/>
      <c r="B70" s="147" t="s">
        <v>2978</v>
      </c>
      <c r="C70" s="191" t="s">
        <v>544</v>
      </c>
      <c r="D70" s="210"/>
      <c r="E70" s="193">
        <v>12.6</v>
      </c>
      <c r="F70" s="193">
        <v>15.12</v>
      </c>
      <c r="G70" s="1935" t="s">
        <v>147</v>
      </c>
      <c r="H70" s="212"/>
      <c r="J70" s="210"/>
      <c r="K70" s="282"/>
      <c r="L70" s="282"/>
      <c r="M70" s="363"/>
      <c r="N70" s="363"/>
      <c r="O70" s="145"/>
      <c r="P70" s="145"/>
      <c r="Q70" s="145"/>
      <c r="U70" s="210"/>
      <c r="V70" s="100"/>
    </row>
    <row r="71" outlineLevel="1">
      <c r="A71" s="146"/>
      <c r="B71" s="147" t="s">
        <v>2979</v>
      </c>
      <c r="C71" s="210"/>
      <c r="D71" s="210"/>
      <c r="E71" s="193">
        <v>9.0</v>
      </c>
      <c r="F71" s="193">
        <v>10.799999999999999</v>
      </c>
      <c r="G71" s="1935" t="s">
        <v>147</v>
      </c>
      <c r="H71" s="212"/>
      <c r="J71" s="210"/>
      <c r="K71" s="282"/>
      <c r="L71" s="282"/>
      <c r="M71" s="363"/>
      <c r="N71" s="363"/>
      <c r="O71" s="145"/>
      <c r="P71" s="145"/>
      <c r="Q71" s="145"/>
      <c r="U71" s="210"/>
      <c r="V71" s="100"/>
    </row>
    <row r="72" outlineLevel="1">
      <c r="A72" s="146"/>
      <c r="B72" s="147" t="s">
        <v>2980</v>
      </c>
      <c r="C72" s="107"/>
      <c r="D72" s="210"/>
      <c r="E72" s="193">
        <v>7.2</v>
      </c>
      <c r="F72" s="193">
        <v>8.64</v>
      </c>
      <c r="G72" s="1935" t="s">
        <v>60</v>
      </c>
      <c r="H72" s="212"/>
      <c r="J72" s="210"/>
      <c r="K72" s="282"/>
      <c r="L72" s="282"/>
      <c r="M72" s="363"/>
      <c r="N72" s="363"/>
      <c r="O72" s="145">
        <v>1.0</v>
      </c>
      <c r="P72" s="145">
        <v>1.0</v>
      </c>
      <c r="Q72" s="145">
        <v>1.0</v>
      </c>
      <c r="U72" s="210"/>
      <c r="V72" s="100"/>
    </row>
    <row r="73" outlineLevel="1">
      <c r="A73" s="156"/>
      <c r="B73" s="147" t="s">
        <v>2981</v>
      </c>
      <c r="C73" s="214" t="s">
        <v>295</v>
      </c>
      <c r="D73" s="107"/>
      <c r="E73" s="193">
        <v>14.4</v>
      </c>
      <c r="F73" s="193">
        <v>17.28</v>
      </c>
      <c r="G73" s="1935" t="s">
        <v>75</v>
      </c>
      <c r="H73" s="106"/>
      <c r="I73" s="168"/>
      <c r="J73" s="107"/>
      <c r="K73" s="282"/>
      <c r="L73" s="282"/>
      <c r="M73" s="363"/>
      <c r="N73" s="363"/>
      <c r="O73" s="145">
        <v>1.0</v>
      </c>
      <c r="P73" s="145">
        <v>1.0</v>
      </c>
      <c r="Q73" s="145">
        <v>1.0</v>
      </c>
      <c r="R73" s="168"/>
      <c r="S73" s="168"/>
      <c r="T73" s="168"/>
      <c r="U73" s="107"/>
      <c r="V73" s="100"/>
    </row>
    <row r="74">
      <c r="A74" s="118"/>
      <c r="B74" s="176"/>
      <c r="C74" s="118"/>
      <c r="D74" s="118"/>
      <c r="E74" s="118"/>
      <c r="F74" s="177"/>
      <c r="G74" s="177"/>
      <c r="H74" s="118"/>
      <c r="I74" s="118"/>
      <c r="J74" s="118"/>
      <c r="K74" s="118"/>
      <c r="L74" s="118"/>
      <c r="M74" s="118"/>
      <c r="N74" s="118"/>
      <c r="O74" s="118"/>
      <c r="P74" s="118"/>
      <c r="Q74" s="118"/>
      <c r="R74" s="118"/>
      <c r="S74" s="118"/>
      <c r="T74" s="118"/>
      <c r="U74" s="118"/>
      <c r="V74" s="118"/>
    </row>
    <row r="75">
      <c r="A75" s="178" t="s">
        <v>133</v>
      </c>
      <c r="B75" s="104"/>
      <c r="C75" s="179"/>
      <c r="D75" s="179"/>
      <c r="E75" s="179"/>
      <c r="F75" s="180"/>
      <c r="G75" s="179"/>
      <c r="H75" s="180"/>
      <c r="I75" s="180"/>
      <c r="J75" s="181"/>
      <c r="K75" s="180"/>
      <c r="L75" s="180"/>
      <c r="M75" s="180"/>
      <c r="N75" s="180"/>
      <c r="O75" s="180"/>
      <c r="P75" s="180"/>
      <c r="Q75" s="180"/>
      <c r="R75" s="180"/>
      <c r="S75" s="180"/>
      <c r="T75" s="180"/>
      <c r="U75" s="180"/>
      <c r="V75" s="180"/>
    </row>
    <row r="76" outlineLevel="1">
      <c r="A76" s="106"/>
      <c r="B76" s="107"/>
      <c r="C76" s="182" t="s">
        <v>48</v>
      </c>
      <c r="D76" s="183" t="s">
        <v>49</v>
      </c>
      <c r="E76" s="182" t="s">
        <v>50</v>
      </c>
      <c r="F76" s="184" t="s">
        <v>51</v>
      </c>
      <c r="G76" s="184" t="s">
        <v>134</v>
      </c>
      <c r="H76" s="185" t="s">
        <v>52</v>
      </c>
      <c r="I76" s="184" t="str">
        <f>'テンプレート'!I56</f>
        <v>着地隙</v>
      </c>
      <c r="J76" s="184" t="s">
        <v>136</v>
      </c>
      <c r="K76" s="184" t="str">
        <f>'テンプレート'!K56</f>
        <v>ベクトル</v>
      </c>
      <c r="L76" s="184" t="str">
        <f>'テンプレート'!L56</f>
        <v>KBG (R.E.)</v>
      </c>
      <c r="M76" s="184" t="str">
        <f>'テンプレート'!M56</f>
        <v>BKB (R.A.)</v>
      </c>
      <c r="N76" s="184" t="str">
        <f>'テンプレート'!N56</f>
        <v>FKB (R.F.)</v>
      </c>
      <c r="O76" s="186" t="str">
        <f>'テンプレート'!O56</f>
        <v>盾削り値</v>
      </c>
      <c r="P76" s="184" t="str">
        <f>'テンプレート'!P56</f>
        <v>ﾋｯﾄｽﾄｯﾌﾟ</v>
      </c>
      <c r="Q76" s="186" t="str">
        <f>'テンプレート'!Q56</f>
        <v>ずらし</v>
      </c>
      <c r="R76" s="187" t="str">
        <f>'テンプレート'!R56</f>
        <v>備考</v>
      </c>
      <c r="S76" s="110"/>
      <c r="T76" s="110"/>
      <c r="U76" s="110"/>
      <c r="V76" s="110"/>
    </row>
    <row r="77" outlineLevel="1">
      <c r="A77" s="188" t="s">
        <v>144</v>
      </c>
      <c r="B77" s="373" t="s">
        <v>962</v>
      </c>
      <c r="C77" s="244" t="s">
        <v>2982</v>
      </c>
      <c r="D77" s="824" t="s">
        <v>892</v>
      </c>
      <c r="E77" s="617" t="s">
        <v>1024</v>
      </c>
      <c r="F77" s="193">
        <v>1.7999999999999998</v>
      </c>
      <c r="G77" s="193">
        <v>1.53</v>
      </c>
      <c r="H77" s="138" t="s">
        <v>170</v>
      </c>
      <c r="I77" s="454" t="str">
        <f t="array" ref="I77">INDEX('空中攻撃'!$O$3:$AA$109, MATCH($A$1,'空中攻撃'!$A$3:$A$109,0), MATCH(A77,'空中攻撃'!$O$2:$S$2,0))</f>
        <v>13</v>
      </c>
      <c r="J77" s="823" t="s">
        <v>581</v>
      </c>
      <c r="K77" s="376"/>
      <c r="L77" s="377"/>
      <c r="M77" s="825"/>
      <c r="N77" s="825"/>
      <c r="O77" s="199">
        <v>0.0</v>
      </c>
      <c r="P77" s="199">
        <v>1.0</v>
      </c>
      <c r="Q77" s="199">
        <v>1.0</v>
      </c>
      <c r="R77" s="283" t="s">
        <v>411</v>
      </c>
      <c r="S77" s="164"/>
      <c r="T77" s="164"/>
      <c r="U77" s="164"/>
      <c r="V77" s="104"/>
    </row>
    <row r="78" outlineLevel="1">
      <c r="A78" s="156"/>
      <c r="B78" s="373" t="s">
        <v>521</v>
      </c>
      <c r="C78" s="244" t="s">
        <v>377</v>
      </c>
      <c r="D78" s="107"/>
      <c r="E78" s="244" t="s">
        <v>176</v>
      </c>
      <c r="F78" s="138">
        <v>2.4</v>
      </c>
      <c r="G78" s="138">
        <v>2.04</v>
      </c>
      <c r="H78" s="138" t="s">
        <v>170</v>
      </c>
      <c r="I78" s="156"/>
      <c r="J78" s="107"/>
      <c r="K78" s="376"/>
      <c r="L78" s="377"/>
      <c r="M78" s="825"/>
      <c r="N78" s="825"/>
      <c r="O78" s="199">
        <v>0.0</v>
      </c>
      <c r="P78" s="199">
        <v>1.0</v>
      </c>
      <c r="Q78" s="199">
        <v>1.0</v>
      </c>
      <c r="R78" s="106"/>
      <c r="S78" s="168"/>
      <c r="T78" s="168"/>
      <c r="U78" s="168"/>
      <c r="V78" s="107"/>
    </row>
    <row r="79" outlineLevel="1">
      <c r="A79" s="188" t="s">
        <v>151</v>
      </c>
      <c r="B79" s="373" t="s">
        <v>2933</v>
      </c>
      <c r="C79" s="369" t="s">
        <v>277</v>
      </c>
      <c r="D79" s="824">
        <v>42.0</v>
      </c>
      <c r="E79" s="244" t="s">
        <v>2983</v>
      </c>
      <c r="F79" s="138">
        <v>14.28</v>
      </c>
      <c r="G79" s="138">
        <v>12.138</v>
      </c>
      <c r="H79" s="1936" t="s">
        <v>147</v>
      </c>
      <c r="I79" s="454" t="str">
        <f t="array" ref="I79">INDEX('空中攻撃'!$O$3:$AA$109, MATCH($A$1,'空中攻撃'!$A$3:$A$109,0), MATCH(A79,'空中攻撃'!$O$2:$S$2,0))</f>
        <v>9</v>
      </c>
      <c r="J79" s="823" t="s">
        <v>2984</v>
      </c>
      <c r="K79" s="376"/>
      <c r="L79" s="377"/>
      <c r="M79" s="825"/>
      <c r="N79" s="825"/>
      <c r="O79" s="199">
        <v>0.0</v>
      </c>
      <c r="P79" s="199">
        <v>1.0</v>
      </c>
      <c r="Q79" s="199">
        <v>1.0</v>
      </c>
      <c r="R79" s="283" t="s">
        <v>411</v>
      </c>
      <c r="S79" s="164"/>
      <c r="T79" s="164"/>
      <c r="U79" s="164"/>
      <c r="V79" s="104"/>
    </row>
    <row r="80" outlineLevel="1">
      <c r="A80" s="146"/>
      <c r="B80" s="373" t="s">
        <v>2960</v>
      </c>
      <c r="C80" s="146"/>
      <c r="D80" s="210"/>
      <c r="E80" s="244" t="s">
        <v>1855</v>
      </c>
      <c r="F80" s="138">
        <v>10.2</v>
      </c>
      <c r="G80" s="138">
        <v>8.67</v>
      </c>
      <c r="H80" s="1936" t="s">
        <v>60</v>
      </c>
      <c r="I80" s="146"/>
      <c r="J80" s="210"/>
      <c r="K80" s="376"/>
      <c r="L80" s="377"/>
      <c r="M80" s="825"/>
      <c r="N80" s="825"/>
      <c r="O80" s="199"/>
      <c r="P80" s="199"/>
      <c r="Q80" s="199"/>
      <c r="R80" s="212"/>
      <c r="V80" s="210"/>
    </row>
    <row r="81" outlineLevel="1">
      <c r="A81" s="146"/>
      <c r="B81" s="373" t="s">
        <v>2945</v>
      </c>
      <c r="C81" s="146"/>
      <c r="D81" s="210"/>
      <c r="E81" s="244">
        <v>6.800000000000001</v>
      </c>
      <c r="F81" s="138">
        <v>8.16</v>
      </c>
      <c r="G81" s="138">
        <v>6.936</v>
      </c>
      <c r="H81" s="1936" t="s">
        <v>60</v>
      </c>
      <c r="I81" s="146"/>
      <c r="J81" s="210"/>
      <c r="K81" s="376"/>
      <c r="L81" s="377"/>
      <c r="M81" s="825"/>
      <c r="N81" s="825"/>
      <c r="O81" s="199"/>
      <c r="P81" s="199"/>
      <c r="Q81" s="199"/>
      <c r="R81" s="212"/>
      <c r="V81" s="210"/>
    </row>
    <row r="82" outlineLevel="1">
      <c r="A82" s="156"/>
      <c r="B82" s="373" t="s">
        <v>2948</v>
      </c>
      <c r="C82" s="156"/>
      <c r="D82" s="107"/>
      <c r="E82" s="244">
        <v>13.600000000000001</v>
      </c>
      <c r="F82" s="138">
        <v>16.32</v>
      </c>
      <c r="G82" s="138">
        <v>13.872</v>
      </c>
      <c r="H82" s="1936" t="s">
        <v>75</v>
      </c>
      <c r="I82" s="156"/>
      <c r="J82" s="107"/>
      <c r="K82" s="376"/>
      <c r="L82" s="377"/>
      <c r="M82" s="825"/>
      <c r="N82" s="825"/>
      <c r="O82" s="199"/>
      <c r="P82" s="199"/>
      <c r="Q82" s="199"/>
      <c r="R82" s="106"/>
      <c r="S82" s="168"/>
      <c r="T82" s="168"/>
      <c r="U82" s="168"/>
      <c r="V82" s="107"/>
    </row>
    <row r="83" outlineLevel="1">
      <c r="A83" s="188" t="s">
        <v>157</v>
      </c>
      <c r="B83" s="373" t="s">
        <v>2933</v>
      </c>
      <c r="C83" s="369" t="s">
        <v>309</v>
      </c>
      <c r="D83" s="824">
        <v>48.0</v>
      </c>
      <c r="E83" s="244" t="s">
        <v>2985</v>
      </c>
      <c r="F83" s="138">
        <v>18.144</v>
      </c>
      <c r="G83" s="138">
        <v>15.422399999999998</v>
      </c>
      <c r="H83" s="1936" t="s">
        <v>75</v>
      </c>
      <c r="I83" s="454">
        <f t="array" ref="I83">INDEX('空中攻撃'!$O$3:$AA$109, MATCH($A$1,'空中攻撃'!$A$3:$A$109,0), MATCH(A83,'空中攻撃'!$O$2:$S$2,0))</f>
        <v>9</v>
      </c>
      <c r="J83" s="823" t="s">
        <v>2986</v>
      </c>
      <c r="K83" s="376"/>
      <c r="L83" s="377"/>
      <c r="M83" s="825"/>
      <c r="N83" s="825"/>
      <c r="O83" s="199">
        <v>1.0</v>
      </c>
      <c r="P83" s="199">
        <v>1.0</v>
      </c>
      <c r="Q83" s="199">
        <v>1.0</v>
      </c>
      <c r="R83" s="283" t="s">
        <v>411</v>
      </c>
      <c r="S83" s="164"/>
      <c r="T83" s="164"/>
      <c r="U83" s="164"/>
      <c r="V83" s="104"/>
    </row>
    <row r="84" outlineLevel="1">
      <c r="A84" s="146"/>
      <c r="B84" s="373" t="s">
        <v>2960</v>
      </c>
      <c r="C84" s="146"/>
      <c r="D84" s="210"/>
      <c r="E84" s="244" t="s">
        <v>2987</v>
      </c>
      <c r="F84" s="138">
        <v>12.96</v>
      </c>
      <c r="G84" s="138">
        <v>11.016</v>
      </c>
      <c r="H84" s="1936" t="s">
        <v>147</v>
      </c>
      <c r="I84" s="146"/>
      <c r="J84" s="210"/>
      <c r="K84" s="377"/>
      <c r="L84" s="377"/>
      <c r="M84" s="825"/>
      <c r="N84" s="825"/>
      <c r="O84" s="199"/>
      <c r="P84" s="199"/>
      <c r="Q84" s="199"/>
      <c r="R84" s="212"/>
      <c r="V84" s="210"/>
    </row>
    <row r="85" outlineLevel="1">
      <c r="A85" s="146"/>
      <c r="B85" s="373" t="s">
        <v>2945</v>
      </c>
      <c r="C85" s="146"/>
      <c r="D85" s="210"/>
      <c r="E85" s="244">
        <v>8.64</v>
      </c>
      <c r="F85" s="138">
        <v>10.368</v>
      </c>
      <c r="G85" s="138">
        <v>8.8128</v>
      </c>
      <c r="H85" s="1936" t="s">
        <v>147</v>
      </c>
      <c r="I85" s="146"/>
      <c r="J85" s="210"/>
      <c r="K85" s="377"/>
      <c r="L85" s="377"/>
      <c r="M85" s="825"/>
      <c r="N85" s="825"/>
      <c r="O85" s="199"/>
      <c r="P85" s="199"/>
      <c r="Q85" s="199"/>
      <c r="R85" s="212"/>
      <c r="V85" s="210"/>
    </row>
    <row r="86" outlineLevel="1">
      <c r="A86" s="156"/>
      <c r="B86" s="373" t="s">
        <v>2948</v>
      </c>
      <c r="C86" s="156"/>
      <c r="D86" s="107"/>
      <c r="E86" s="244">
        <v>17.28</v>
      </c>
      <c r="F86" s="138">
        <v>20.736</v>
      </c>
      <c r="G86" s="138">
        <v>17.6256</v>
      </c>
      <c r="H86" s="1936" t="s">
        <v>102</v>
      </c>
      <c r="I86" s="156"/>
      <c r="J86" s="107"/>
      <c r="K86" s="377"/>
      <c r="L86" s="377"/>
      <c r="M86" s="825"/>
      <c r="N86" s="825"/>
      <c r="O86" s="199"/>
      <c r="P86" s="199"/>
      <c r="Q86" s="199"/>
      <c r="R86" s="106"/>
      <c r="S86" s="168"/>
      <c r="T86" s="168"/>
      <c r="U86" s="168"/>
      <c r="V86" s="107"/>
    </row>
    <row r="87" outlineLevel="1">
      <c r="A87" s="188" t="s">
        <v>162</v>
      </c>
      <c r="B87" s="373" t="s">
        <v>2933</v>
      </c>
      <c r="C87" s="369" t="s">
        <v>588</v>
      </c>
      <c r="D87" s="824" t="s">
        <v>218</v>
      </c>
      <c r="E87" s="138">
        <v>12.6</v>
      </c>
      <c r="F87" s="138">
        <v>15.12</v>
      </c>
      <c r="G87" s="138">
        <v>12.851999999999999</v>
      </c>
      <c r="H87" s="1936" t="s">
        <v>147</v>
      </c>
      <c r="I87" s="454" t="str">
        <f t="array" ref="I87">INDEX('空中攻撃'!$O$3:$AA$109, MATCH($A$1,'空中攻撃'!$A$3:$A$109,0), MATCH(A87,'空中攻撃'!$O$2:$S$2,0))</f>
        <v>18</v>
      </c>
      <c r="J87" s="823" t="s">
        <v>2984</v>
      </c>
      <c r="K87" s="377"/>
      <c r="L87" s="377"/>
      <c r="M87" s="825"/>
      <c r="N87" s="825"/>
      <c r="O87" s="199">
        <v>0.0</v>
      </c>
      <c r="P87" s="199">
        <v>1.0</v>
      </c>
      <c r="Q87" s="199">
        <v>1.0</v>
      </c>
      <c r="R87" s="283" t="s">
        <v>411</v>
      </c>
      <c r="S87" s="164"/>
      <c r="T87" s="164"/>
      <c r="U87" s="164"/>
      <c r="V87" s="104"/>
    </row>
    <row r="88" outlineLevel="1">
      <c r="A88" s="146"/>
      <c r="B88" s="373" t="s">
        <v>2960</v>
      </c>
      <c r="C88" s="146"/>
      <c r="D88" s="210"/>
      <c r="E88" s="1937" t="s">
        <v>274</v>
      </c>
      <c r="F88" s="138">
        <v>10.799999999999999</v>
      </c>
      <c r="G88" s="138">
        <v>9.18</v>
      </c>
      <c r="H88" s="1936" t="s">
        <v>147</v>
      </c>
      <c r="I88" s="146"/>
      <c r="J88" s="210"/>
      <c r="K88" s="377"/>
      <c r="L88" s="377"/>
      <c r="M88" s="825"/>
      <c r="N88" s="825"/>
      <c r="O88" s="199"/>
      <c r="P88" s="199"/>
      <c r="Q88" s="199"/>
      <c r="R88" s="212"/>
      <c r="V88" s="210"/>
    </row>
    <row r="89" outlineLevel="1">
      <c r="A89" s="146"/>
      <c r="B89" s="373" t="s">
        <v>2945</v>
      </c>
      <c r="C89" s="146"/>
      <c r="D89" s="210"/>
      <c r="E89" s="457">
        <v>7.2</v>
      </c>
      <c r="F89" s="138">
        <v>8.64</v>
      </c>
      <c r="G89" s="138">
        <v>7.344</v>
      </c>
      <c r="H89" s="1936" t="s">
        <v>60</v>
      </c>
      <c r="I89" s="146"/>
      <c r="J89" s="210"/>
      <c r="K89" s="377"/>
      <c r="L89" s="377"/>
      <c r="M89" s="825"/>
      <c r="N89" s="825"/>
      <c r="O89" s="199"/>
      <c r="P89" s="199"/>
      <c r="Q89" s="199"/>
      <c r="R89" s="212"/>
      <c r="V89" s="210"/>
    </row>
    <row r="90" outlineLevel="1">
      <c r="A90" s="156"/>
      <c r="B90" s="373" t="s">
        <v>2948</v>
      </c>
      <c r="C90" s="156"/>
      <c r="D90" s="107"/>
      <c r="E90" s="457">
        <v>14.4</v>
      </c>
      <c r="F90" s="138">
        <v>17.28</v>
      </c>
      <c r="G90" s="138">
        <v>14.688</v>
      </c>
      <c r="H90" s="1936" t="s">
        <v>75</v>
      </c>
      <c r="I90" s="156"/>
      <c r="J90" s="107"/>
      <c r="K90" s="377"/>
      <c r="L90" s="377"/>
      <c r="M90" s="825"/>
      <c r="N90" s="825"/>
      <c r="O90" s="199"/>
      <c r="P90" s="199"/>
      <c r="Q90" s="199"/>
      <c r="R90" s="106"/>
      <c r="S90" s="168"/>
      <c r="T90" s="168"/>
      <c r="U90" s="168"/>
      <c r="V90" s="107"/>
    </row>
    <row r="91" outlineLevel="1">
      <c r="A91" s="188" t="s">
        <v>166</v>
      </c>
      <c r="B91" s="373" t="s">
        <v>2988</v>
      </c>
      <c r="C91" s="367" t="s">
        <v>220</v>
      </c>
      <c r="D91" s="824">
        <v>51.0</v>
      </c>
      <c r="E91" s="457">
        <v>12.6</v>
      </c>
      <c r="F91" s="138">
        <v>15.12</v>
      </c>
      <c r="G91" s="138">
        <v>12.851999999999999</v>
      </c>
      <c r="H91" s="1936" t="s">
        <v>147</v>
      </c>
      <c r="I91" s="454">
        <f t="array" ref="I91">INDEX('空中攻撃'!$O$3:$AA$109, MATCH($A$1,'空中攻撃'!$A$3:$A$109,0), MATCH(A91,'空中攻撃'!$O$2:$S$2,0))</f>
        <v>18</v>
      </c>
      <c r="J91" s="823" t="s">
        <v>2984</v>
      </c>
      <c r="K91" s="377"/>
      <c r="L91" s="377"/>
      <c r="M91" s="825"/>
      <c r="N91" s="825"/>
      <c r="O91" s="199">
        <v>0.0</v>
      </c>
      <c r="P91" s="199">
        <v>1.0</v>
      </c>
      <c r="Q91" s="199">
        <v>1.0</v>
      </c>
      <c r="R91" s="283" t="s">
        <v>411</v>
      </c>
      <c r="S91" s="164"/>
      <c r="T91" s="164"/>
      <c r="U91" s="164"/>
      <c r="V91" s="104"/>
    </row>
    <row r="92" outlineLevel="1">
      <c r="A92" s="146"/>
      <c r="B92" s="373" t="s">
        <v>2989</v>
      </c>
      <c r="C92" s="146"/>
      <c r="D92" s="210"/>
      <c r="E92" s="457" t="s">
        <v>274</v>
      </c>
      <c r="F92" s="138">
        <v>10.799999999999999</v>
      </c>
      <c r="G92" s="138">
        <v>9.18</v>
      </c>
      <c r="H92" s="1936" t="s">
        <v>147</v>
      </c>
      <c r="I92" s="146"/>
      <c r="J92" s="210"/>
      <c r="K92" s="377"/>
      <c r="L92" s="377"/>
      <c r="M92" s="825"/>
      <c r="N92" s="825"/>
      <c r="O92" s="199"/>
      <c r="P92" s="199"/>
      <c r="Q92" s="199"/>
      <c r="R92" s="212"/>
      <c r="V92" s="210"/>
    </row>
    <row r="93" outlineLevel="1">
      <c r="A93" s="146"/>
      <c r="B93" s="373" t="s">
        <v>2990</v>
      </c>
      <c r="C93" s="146"/>
      <c r="D93" s="210"/>
      <c r="E93" s="457">
        <v>7.2</v>
      </c>
      <c r="F93" s="138">
        <v>8.64</v>
      </c>
      <c r="G93" s="138">
        <v>7.344</v>
      </c>
      <c r="H93" s="1936" t="s">
        <v>60</v>
      </c>
      <c r="I93" s="146"/>
      <c r="J93" s="210"/>
      <c r="K93" s="377"/>
      <c r="L93" s="377"/>
      <c r="M93" s="825"/>
      <c r="N93" s="825"/>
      <c r="O93" s="199"/>
      <c r="P93" s="199"/>
      <c r="Q93" s="199"/>
      <c r="R93" s="212"/>
      <c r="V93" s="210"/>
    </row>
    <row r="94" outlineLevel="1">
      <c r="A94" s="146"/>
      <c r="B94" s="373" t="s">
        <v>2991</v>
      </c>
      <c r="C94" s="156"/>
      <c r="D94" s="210"/>
      <c r="E94" s="457">
        <v>14.4</v>
      </c>
      <c r="F94" s="138">
        <v>17.28</v>
      </c>
      <c r="G94" s="138">
        <v>14.688</v>
      </c>
      <c r="H94" s="1936" t="s">
        <v>75</v>
      </c>
      <c r="I94" s="146"/>
      <c r="J94" s="210"/>
      <c r="K94" s="377"/>
      <c r="L94" s="377"/>
      <c r="M94" s="825"/>
      <c r="N94" s="825"/>
      <c r="O94" s="199"/>
      <c r="P94" s="199"/>
      <c r="Q94" s="199"/>
      <c r="R94" s="212"/>
      <c r="V94" s="210"/>
    </row>
    <row r="95" outlineLevel="1">
      <c r="A95" s="146"/>
      <c r="B95" s="373" t="s">
        <v>2992</v>
      </c>
      <c r="C95" s="369" t="s">
        <v>321</v>
      </c>
      <c r="D95" s="210"/>
      <c r="E95" s="457">
        <v>12.6</v>
      </c>
      <c r="F95" s="138">
        <v>15.12</v>
      </c>
      <c r="G95" s="138">
        <v>12.851999999999999</v>
      </c>
      <c r="H95" s="1936" t="s">
        <v>147</v>
      </c>
      <c r="I95" s="146"/>
      <c r="J95" s="210"/>
      <c r="K95" s="377"/>
      <c r="L95" s="377"/>
      <c r="M95" s="825"/>
      <c r="N95" s="825"/>
      <c r="O95" s="199"/>
      <c r="P95" s="199"/>
      <c r="Q95" s="199"/>
      <c r="R95" s="212"/>
      <c r="V95" s="210"/>
    </row>
    <row r="96" outlineLevel="1">
      <c r="A96" s="146"/>
      <c r="B96" s="373" t="s">
        <v>2993</v>
      </c>
      <c r="C96" s="146"/>
      <c r="D96" s="210"/>
      <c r="E96" s="457" t="s">
        <v>274</v>
      </c>
      <c r="F96" s="138">
        <v>10.799999999999999</v>
      </c>
      <c r="G96" s="138">
        <v>9.18</v>
      </c>
      <c r="H96" s="1936" t="s">
        <v>147</v>
      </c>
      <c r="I96" s="146"/>
      <c r="J96" s="210"/>
      <c r="K96" s="377"/>
      <c r="L96" s="377"/>
      <c r="M96" s="825"/>
      <c r="N96" s="825"/>
      <c r="O96" s="199"/>
      <c r="P96" s="199"/>
      <c r="Q96" s="199"/>
      <c r="R96" s="212"/>
      <c r="V96" s="210"/>
    </row>
    <row r="97" outlineLevel="1">
      <c r="A97" s="146"/>
      <c r="B97" s="373" t="s">
        <v>2994</v>
      </c>
      <c r="C97" s="146"/>
      <c r="D97" s="210"/>
      <c r="E97" s="457">
        <v>7.2</v>
      </c>
      <c r="F97" s="138">
        <v>8.64</v>
      </c>
      <c r="G97" s="138">
        <v>7.344</v>
      </c>
      <c r="H97" s="1936" t="s">
        <v>60</v>
      </c>
      <c r="I97" s="146"/>
      <c r="J97" s="210"/>
      <c r="K97" s="377"/>
      <c r="L97" s="377"/>
      <c r="M97" s="825"/>
      <c r="N97" s="825"/>
      <c r="O97" s="199"/>
      <c r="P97" s="199"/>
      <c r="Q97" s="199"/>
      <c r="R97" s="212"/>
      <c r="V97" s="210"/>
    </row>
    <row r="98" outlineLevel="1">
      <c r="A98" s="156"/>
      <c r="B98" s="373" t="s">
        <v>2995</v>
      </c>
      <c r="C98" s="156"/>
      <c r="D98" s="107"/>
      <c r="E98" s="457">
        <v>14.4</v>
      </c>
      <c r="F98" s="138">
        <v>17.28</v>
      </c>
      <c r="G98" s="138">
        <v>14.688</v>
      </c>
      <c r="H98" s="1936" t="s">
        <v>75</v>
      </c>
      <c r="I98" s="156"/>
      <c r="J98" s="107"/>
      <c r="K98" s="377"/>
      <c r="L98" s="377"/>
      <c r="M98" s="825"/>
      <c r="N98" s="825"/>
      <c r="O98" s="199"/>
      <c r="P98" s="199"/>
      <c r="Q98" s="199"/>
      <c r="R98" s="106"/>
      <c r="S98" s="168"/>
      <c r="T98" s="168"/>
      <c r="U98" s="168"/>
      <c r="V98" s="107"/>
    </row>
    <row r="99">
      <c r="A99" s="223"/>
      <c r="B99" s="224"/>
      <c r="C99" s="225"/>
      <c r="D99" s="225"/>
      <c r="E99" s="226"/>
      <c r="F99" s="226"/>
      <c r="G99" s="226"/>
      <c r="H99" s="227"/>
      <c r="I99" s="227"/>
      <c r="J99" s="228"/>
      <c r="K99" s="228"/>
      <c r="L99" s="228"/>
      <c r="M99" s="228"/>
      <c r="N99" s="228"/>
      <c r="O99" s="228"/>
      <c r="P99" s="228"/>
      <c r="Q99" s="118"/>
      <c r="R99" s="118"/>
      <c r="S99" s="118"/>
      <c r="T99" s="118"/>
      <c r="U99" s="118"/>
      <c r="V99" s="118"/>
    </row>
    <row r="100">
      <c r="A100" s="229" t="s">
        <v>177</v>
      </c>
      <c r="B100" s="109"/>
      <c r="C100" s="225"/>
      <c r="D100" s="225"/>
      <c r="E100" s="226"/>
      <c r="F100" s="226"/>
      <c r="G100" s="226"/>
      <c r="H100" s="227"/>
      <c r="I100" s="227"/>
      <c r="J100" s="228"/>
      <c r="K100" s="228"/>
      <c r="L100" s="228"/>
      <c r="M100" s="228"/>
      <c r="N100" s="228"/>
      <c r="O100" s="228"/>
      <c r="P100" s="228"/>
      <c r="Q100" s="118"/>
      <c r="R100" s="118"/>
      <c r="S100" s="118"/>
      <c r="T100" s="118"/>
      <c r="U100" s="118"/>
      <c r="V100" s="118"/>
    </row>
    <row r="101" outlineLevel="1">
      <c r="A101" s="230" t="s">
        <v>2996</v>
      </c>
      <c r="B101" s="109"/>
      <c r="C101" s="231" t="s">
        <v>48</v>
      </c>
      <c r="D101" s="231" t="s">
        <v>49</v>
      </c>
      <c r="E101" s="232" t="s">
        <v>50</v>
      </c>
      <c r="F101" s="233" t="s">
        <v>51</v>
      </c>
      <c r="G101" s="232" t="s">
        <v>52</v>
      </c>
      <c r="H101" s="382" t="s">
        <v>53</v>
      </c>
      <c r="I101" s="110"/>
      <c r="J101" s="109"/>
      <c r="K101" s="235" t="str">
        <f>'テンプレート'!K72</f>
        <v>ベクトル</v>
      </c>
      <c r="L101" s="235" t="str">
        <f>'テンプレート'!L72</f>
        <v>KBG (R.E.)</v>
      </c>
      <c r="M101" s="235" t="str">
        <f>'テンプレート'!M72</f>
        <v>BKB (R.A.)</v>
      </c>
      <c r="N101" s="235" t="str">
        <f>'テンプレート'!N72</f>
        <v>FKB (R.F.)</v>
      </c>
      <c r="O101" s="236" t="str">
        <f>'テンプレート'!O72</f>
        <v>盾削り値</v>
      </c>
      <c r="P101" s="235" t="str">
        <f>'テンプレート'!P72</f>
        <v>ﾋｯﾄｽﾄｯﾌﾟ</v>
      </c>
      <c r="Q101" s="236" t="str">
        <f>'テンプレート'!Q72</f>
        <v>ずらし</v>
      </c>
      <c r="R101" s="235" t="str">
        <f>'テンプレート'!R72</f>
        <v>相殺</v>
      </c>
      <c r="S101" s="236" t="str">
        <f>'テンプレート'!S72</f>
        <v>相殺ﾓｰｼｮﾝ</v>
      </c>
      <c r="T101" s="236" t="str">
        <f>'テンプレート'!T72</f>
        <v>飛び道具</v>
      </c>
      <c r="U101" s="236" t="str">
        <f>'テンプレート'!U72</f>
        <v>慣性反転</v>
      </c>
      <c r="V101" s="236" t="str">
        <f>'テンプレート'!V72</f>
        <v>向き反転</v>
      </c>
    </row>
    <row r="102" outlineLevel="1">
      <c r="A102" s="237" t="s">
        <v>332</v>
      </c>
      <c r="B102" s="243" t="s">
        <v>2997</v>
      </c>
      <c r="C102" s="244" t="s">
        <v>1262</v>
      </c>
      <c r="D102" s="244" t="s">
        <v>80</v>
      </c>
      <c r="E102" s="409"/>
      <c r="F102" s="409"/>
      <c r="G102" s="409"/>
      <c r="H102" s="550"/>
      <c r="I102" s="164"/>
      <c r="J102" s="104"/>
      <c r="K102" s="281"/>
      <c r="L102" s="281"/>
      <c r="M102" s="281"/>
      <c r="N102" s="281"/>
      <c r="O102" s="281"/>
      <c r="P102" s="281"/>
      <c r="Q102" s="281"/>
      <c r="R102" s="281"/>
      <c r="S102" s="281"/>
      <c r="T102" s="281"/>
      <c r="U102" s="166" t="b">
        <v>0</v>
      </c>
      <c r="V102" s="166" t="b">
        <v>1</v>
      </c>
    </row>
    <row r="103" outlineLevel="1">
      <c r="A103" s="156"/>
      <c r="B103" s="663" t="s">
        <v>666</v>
      </c>
      <c r="C103" s="409"/>
      <c r="D103" s="244" t="s">
        <v>964</v>
      </c>
      <c r="E103" s="409"/>
      <c r="F103" s="409"/>
      <c r="G103" s="409"/>
      <c r="H103" s="212"/>
      <c r="J103" s="210"/>
      <c r="K103" s="281"/>
      <c r="L103" s="281"/>
      <c r="M103" s="281"/>
      <c r="N103" s="281"/>
      <c r="O103" s="281"/>
      <c r="P103" s="281"/>
      <c r="Q103" s="281"/>
      <c r="R103" s="281"/>
      <c r="S103" s="281"/>
      <c r="T103" s="281"/>
      <c r="U103" s="146"/>
      <c r="V103" s="146"/>
    </row>
    <row r="104" outlineLevel="1">
      <c r="A104" s="259" t="s">
        <v>344</v>
      </c>
      <c r="B104" s="663" t="s">
        <v>666</v>
      </c>
      <c r="C104" s="409"/>
      <c r="D104" s="244" t="s">
        <v>374</v>
      </c>
      <c r="E104" s="409"/>
      <c r="F104" s="409"/>
      <c r="G104" s="409"/>
      <c r="H104" s="106"/>
      <c r="I104" s="168"/>
      <c r="J104" s="107"/>
      <c r="K104" s="281"/>
      <c r="L104" s="281"/>
      <c r="M104" s="281"/>
      <c r="N104" s="281"/>
      <c r="O104" s="281"/>
      <c r="P104" s="281"/>
      <c r="Q104" s="281"/>
      <c r="R104" s="281"/>
      <c r="S104" s="281"/>
      <c r="T104" s="281"/>
      <c r="U104" s="156"/>
      <c r="V104" s="156"/>
    </row>
    <row r="105" outlineLevel="1">
      <c r="A105" s="230" t="s">
        <v>2998</v>
      </c>
      <c r="B105" s="109"/>
      <c r="C105" s="231" t="s">
        <v>48</v>
      </c>
      <c r="D105" s="231" t="s">
        <v>49</v>
      </c>
      <c r="E105" s="232" t="s">
        <v>50</v>
      </c>
      <c r="F105" s="233" t="s">
        <v>51</v>
      </c>
      <c r="G105" s="232" t="s">
        <v>52</v>
      </c>
      <c r="H105" s="382" t="s">
        <v>53</v>
      </c>
      <c r="I105" s="110"/>
      <c r="J105" s="109"/>
      <c r="K105" s="235" t="str">
        <f>'テンプレート'!K75</f>
        <v>ベクトル</v>
      </c>
      <c r="L105" s="235" t="str">
        <f>'テンプレート'!L75</f>
        <v>KBG (R.E.)</v>
      </c>
      <c r="M105" s="235" t="str">
        <f>'テンプレート'!M75</f>
        <v>BKB (R.A.)</v>
      </c>
      <c r="N105" s="235" t="str">
        <f>'テンプレート'!N75</f>
        <v>FKB (R.F.)</v>
      </c>
      <c r="O105" s="236" t="str">
        <f>'テンプレート'!O75</f>
        <v>盾削り値</v>
      </c>
      <c r="P105" s="235" t="str">
        <f>'テンプレート'!P75</f>
        <v>ﾋｯﾄｽﾄｯﾌﾟ</v>
      </c>
      <c r="Q105" s="236" t="str">
        <f>'テンプレート'!Q75</f>
        <v>ずらし</v>
      </c>
      <c r="R105" s="235" t="str">
        <f>'テンプレート'!R75</f>
        <v>相殺</v>
      </c>
      <c r="S105" s="236" t="str">
        <f>'テンプレート'!S75</f>
        <v>相殺ﾓｰｼｮﾝ</v>
      </c>
      <c r="T105" s="236" t="str">
        <f>'テンプレート'!T75</f>
        <v>飛び道具</v>
      </c>
      <c r="U105" s="236" t="str">
        <f>'テンプレート'!U75</f>
        <v>慣性反転</v>
      </c>
      <c r="V105" s="236" t="str">
        <f>'テンプレート'!V75</f>
        <v>向き反転</v>
      </c>
    </row>
    <row r="106" outlineLevel="1">
      <c r="A106" s="237" t="s">
        <v>184</v>
      </c>
      <c r="B106" s="243" t="s">
        <v>2999</v>
      </c>
      <c r="C106" s="239" t="s">
        <v>3000</v>
      </c>
      <c r="D106" s="1397" t="s">
        <v>268</v>
      </c>
      <c r="E106" s="1396"/>
      <c r="F106" s="1396"/>
      <c r="G106" s="409"/>
      <c r="H106" s="163" t="s">
        <v>3001</v>
      </c>
      <c r="I106" s="164"/>
      <c r="J106" s="104"/>
      <c r="K106" s="281"/>
      <c r="L106" s="281"/>
      <c r="M106" s="281"/>
      <c r="N106" s="281"/>
      <c r="O106" s="281"/>
      <c r="P106" s="281"/>
      <c r="Q106" s="281"/>
      <c r="R106" s="281"/>
      <c r="S106" s="281"/>
      <c r="T106" s="281"/>
      <c r="U106" s="166" t="s">
        <v>186</v>
      </c>
      <c r="V106" s="166" t="b">
        <v>1</v>
      </c>
    </row>
    <row r="107" outlineLevel="1">
      <c r="A107" s="146"/>
      <c r="B107" s="243" t="s">
        <v>3002</v>
      </c>
      <c r="C107" s="239" t="s">
        <v>3003</v>
      </c>
      <c r="D107" s="156"/>
      <c r="E107" s="244" t="s">
        <v>86</v>
      </c>
      <c r="F107" s="246">
        <v>7.199999999999999</v>
      </c>
      <c r="G107" s="239" t="s">
        <v>60</v>
      </c>
      <c r="H107" s="212"/>
      <c r="J107" s="210"/>
      <c r="K107" s="138"/>
      <c r="L107" s="138"/>
      <c r="M107" s="145"/>
      <c r="N107" s="145"/>
      <c r="O107" s="138">
        <v>1.0</v>
      </c>
      <c r="P107" s="138">
        <v>1.0</v>
      </c>
      <c r="Q107" s="138">
        <v>1.0</v>
      </c>
      <c r="R107" s="145" t="b">
        <v>0</v>
      </c>
      <c r="S107" s="145" t="b">
        <v>0</v>
      </c>
      <c r="T107" s="145" t="b">
        <v>1</v>
      </c>
      <c r="U107" s="146"/>
      <c r="V107" s="146"/>
    </row>
    <row r="108" outlineLevel="1">
      <c r="A108" s="146"/>
      <c r="B108" s="243" t="s">
        <v>3004</v>
      </c>
      <c r="C108" s="409"/>
      <c r="D108" s="113" t="s">
        <v>193</v>
      </c>
      <c r="E108" s="1396"/>
      <c r="F108" s="1396"/>
      <c r="G108" s="409"/>
      <c r="H108" s="106"/>
      <c r="I108" s="168"/>
      <c r="J108" s="107"/>
      <c r="K108" s="138"/>
      <c r="L108" s="138"/>
      <c r="M108" s="145"/>
      <c r="N108" s="145"/>
      <c r="O108" s="138"/>
      <c r="P108" s="138"/>
      <c r="Q108" s="138"/>
      <c r="R108" s="145" t="b">
        <v>0</v>
      </c>
      <c r="S108" s="145" t="b">
        <v>0</v>
      </c>
      <c r="T108" s="145" t="b">
        <v>0</v>
      </c>
      <c r="U108" s="146"/>
      <c r="V108" s="146"/>
    </row>
    <row r="109" outlineLevel="1">
      <c r="A109" s="146"/>
      <c r="B109" s="243" t="s">
        <v>3005</v>
      </c>
      <c r="C109" s="239" t="s">
        <v>3006</v>
      </c>
      <c r="D109" s="279" t="s">
        <v>224</v>
      </c>
      <c r="E109" s="239" t="s">
        <v>176</v>
      </c>
      <c r="F109" s="138">
        <v>2.4</v>
      </c>
      <c r="G109" s="409"/>
      <c r="H109" s="550"/>
      <c r="I109" s="164"/>
      <c r="J109" s="104"/>
      <c r="K109" s="138"/>
      <c r="L109" s="138"/>
      <c r="M109" s="145"/>
      <c r="N109" s="145"/>
      <c r="O109" s="138">
        <v>0.0</v>
      </c>
      <c r="P109" s="138">
        <v>1.0</v>
      </c>
      <c r="Q109" s="138">
        <v>1.0</v>
      </c>
      <c r="R109" s="145" t="b">
        <v>1</v>
      </c>
      <c r="S109" s="145" t="b">
        <v>0</v>
      </c>
      <c r="T109" s="145" t="b">
        <v>1</v>
      </c>
      <c r="U109" s="146"/>
      <c r="V109" s="146"/>
    </row>
    <row r="110" outlineLevel="1">
      <c r="A110" s="146"/>
      <c r="B110" s="243" t="s">
        <v>3007</v>
      </c>
      <c r="C110" s="239" t="s">
        <v>3006</v>
      </c>
      <c r="D110" s="156"/>
      <c r="E110" s="239" t="s">
        <v>3008</v>
      </c>
      <c r="F110" s="138">
        <v>5.64</v>
      </c>
      <c r="G110" s="409"/>
      <c r="H110" s="106"/>
      <c r="I110" s="168"/>
      <c r="J110" s="107"/>
      <c r="K110" s="138"/>
      <c r="L110" s="138"/>
      <c r="M110" s="145"/>
      <c r="N110" s="145"/>
      <c r="O110" s="138">
        <v>0.0</v>
      </c>
      <c r="P110" s="138">
        <v>1.0</v>
      </c>
      <c r="Q110" s="138">
        <v>1.0</v>
      </c>
      <c r="R110" s="145" t="b">
        <v>0</v>
      </c>
      <c r="S110" s="145" t="b">
        <v>0</v>
      </c>
      <c r="T110" s="145" t="b">
        <v>1</v>
      </c>
      <c r="U110" s="146"/>
      <c r="V110" s="146"/>
    </row>
    <row r="111" outlineLevel="1">
      <c r="A111" s="146"/>
      <c r="B111" s="243" t="s">
        <v>3009</v>
      </c>
      <c r="C111" s="1938" t="s">
        <v>3000</v>
      </c>
      <c r="D111" s="1939" t="s">
        <v>268</v>
      </c>
      <c r="E111" s="1938" t="s">
        <v>3010</v>
      </c>
      <c r="F111" s="1940">
        <v>10.92</v>
      </c>
      <c r="G111" s="409"/>
      <c r="H111" s="1941" t="s">
        <v>3011</v>
      </c>
      <c r="I111" s="164"/>
      <c r="J111" s="104"/>
      <c r="K111" s="1940"/>
      <c r="L111" s="1940"/>
      <c r="M111" s="1940"/>
      <c r="N111" s="1940"/>
      <c r="O111" s="1940">
        <v>1.0</v>
      </c>
      <c r="P111" s="1940">
        <v>1.0</v>
      </c>
      <c r="Q111" s="1940">
        <v>1.0</v>
      </c>
      <c r="R111" s="1940" t="b">
        <v>1</v>
      </c>
      <c r="S111" s="1940" t="b">
        <v>0</v>
      </c>
      <c r="T111" s="1940" t="b">
        <v>1</v>
      </c>
      <c r="U111" s="146"/>
      <c r="V111" s="146"/>
    </row>
    <row r="112" outlineLevel="1">
      <c r="A112" s="146"/>
      <c r="B112" s="243" t="s">
        <v>3012</v>
      </c>
      <c r="C112" s="1938" t="s">
        <v>3000</v>
      </c>
      <c r="D112" s="146"/>
      <c r="E112" s="1938" t="s">
        <v>2134</v>
      </c>
      <c r="F112" s="1940">
        <v>7.8</v>
      </c>
      <c r="G112" s="409"/>
      <c r="H112" s="212"/>
      <c r="J112" s="210"/>
      <c r="K112" s="1940"/>
      <c r="L112" s="1940"/>
      <c r="M112" s="1940"/>
      <c r="N112" s="1940"/>
      <c r="O112" s="1940">
        <v>1.0</v>
      </c>
      <c r="P112" s="1940">
        <v>1.0</v>
      </c>
      <c r="Q112" s="1940">
        <v>1.0</v>
      </c>
      <c r="R112" s="1940" t="b">
        <v>1</v>
      </c>
      <c r="S112" s="1940" t="b">
        <v>0</v>
      </c>
      <c r="T112" s="1940" t="b">
        <v>1</v>
      </c>
      <c r="U112" s="146"/>
      <c r="V112" s="146"/>
    </row>
    <row r="113" outlineLevel="1">
      <c r="A113" s="146"/>
      <c r="B113" s="243" t="s">
        <v>3013</v>
      </c>
      <c r="C113" s="1938" t="s">
        <v>3000</v>
      </c>
      <c r="D113" s="146"/>
      <c r="E113" s="1938" t="s">
        <v>3014</v>
      </c>
      <c r="F113" s="1940">
        <v>6.24</v>
      </c>
      <c r="G113" s="409"/>
      <c r="H113" s="212"/>
      <c r="J113" s="210"/>
      <c r="K113" s="1940"/>
      <c r="L113" s="1940"/>
      <c r="M113" s="1940"/>
      <c r="N113" s="1940"/>
      <c r="O113" s="1940">
        <v>1.0</v>
      </c>
      <c r="P113" s="1940">
        <v>1.0</v>
      </c>
      <c r="Q113" s="1940">
        <v>1.0</v>
      </c>
      <c r="R113" s="1940" t="b">
        <v>1</v>
      </c>
      <c r="S113" s="1940" t="b">
        <v>0</v>
      </c>
      <c r="T113" s="1940" t="b">
        <v>1</v>
      </c>
      <c r="U113" s="146"/>
      <c r="V113" s="146"/>
    </row>
    <row r="114" outlineLevel="1">
      <c r="A114" s="146"/>
      <c r="B114" s="243" t="s">
        <v>3015</v>
      </c>
      <c r="C114" s="1938" t="s">
        <v>3003</v>
      </c>
      <c r="D114" s="156"/>
      <c r="E114" s="1938" t="s">
        <v>3016</v>
      </c>
      <c r="F114" s="1940">
        <v>12.48</v>
      </c>
      <c r="G114" s="409"/>
      <c r="H114" s="106"/>
      <c r="I114" s="168"/>
      <c r="J114" s="107"/>
      <c r="K114" s="1940"/>
      <c r="L114" s="1940"/>
      <c r="M114" s="1940"/>
      <c r="N114" s="1940"/>
      <c r="O114" s="1940">
        <v>1.0</v>
      </c>
      <c r="P114" s="1940">
        <v>1.0</v>
      </c>
      <c r="Q114" s="1940">
        <v>1.0</v>
      </c>
      <c r="R114" s="1940" t="b">
        <v>1</v>
      </c>
      <c r="S114" s="1940" t="b">
        <v>0</v>
      </c>
      <c r="T114" s="1940" t="b">
        <v>1</v>
      </c>
      <c r="U114" s="156"/>
      <c r="V114" s="156"/>
    </row>
    <row r="115" outlineLevel="1">
      <c r="A115" s="230" t="s">
        <v>3017</v>
      </c>
      <c r="B115" s="109"/>
      <c r="C115" s="231" t="s">
        <v>48</v>
      </c>
      <c r="D115" s="231" t="s">
        <v>49</v>
      </c>
      <c r="E115" s="232" t="s">
        <v>50</v>
      </c>
      <c r="F115" s="233" t="s">
        <v>51</v>
      </c>
      <c r="G115" s="232" t="s">
        <v>52</v>
      </c>
      <c r="H115" s="382" t="s">
        <v>53</v>
      </c>
      <c r="I115" s="110"/>
      <c r="J115" s="109"/>
      <c r="K115" s="235" t="str">
        <f>'テンプレート'!K80</f>
        <v>ベクトル</v>
      </c>
      <c r="L115" s="235" t="str">
        <f>'テンプレート'!L80</f>
        <v>KBG (R.E.)</v>
      </c>
      <c r="M115" s="235" t="str">
        <f>'テンプレート'!M80</f>
        <v>BKB (R.A.)</v>
      </c>
      <c r="N115" s="235" t="str">
        <f>'テンプレート'!N80</f>
        <v>FKB (R.F.)</v>
      </c>
      <c r="O115" s="236" t="str">
        <f>'テンプレート'!O80</f>
        <v>盾削り値</v>
      </c>
      <c r="P115" s="235" t="str">
        <f>'テンプレート'!P80</f>
        <v>ﾋｯﾄｽﾄｯﾌﾟ</v>
      </c>
      <c r="Q115" s="236" t="str">
        <f>'テンプレート'!Q80</f>
        <v>ずらし</v>
      </c>
      <c r="R115" s="235" t="str">
        <f>'テンプレート'!R80</f>
        <v>相殺</v>
      </c>
      <c r="S115" s="236" t="str">
        <f>'テンプレート'!S80</f>
        <v>相殺ﾓｰｼｮﾝ</v>
      </c>
      <c r="T115" s="236" t="str">
        <f>'テンプレート'!T80</f>
        <v>飛び道具</v>
      </c>
      <c r="U115" s="236" t="str">
        <f>'テンプレート'!U80</f>
        <v>慣性反転</v>
      </c>
      <c r="V115" s="236" t="str">
        <f>'テンプレート'!V80</f>
        <v>向き反転</v>
      </c>
    </row>
    <row r="116" outlineLevel="1">
      <c r="A116" s="1202" t="s">
        <v>184</v>
      </c>
      <c r="B116" s="402"/>
      <c r="C116" s="409"/>
      <c r="D116" s="409"/>
      <c r="E116" s="409"/>
      <c r="F116" s="409"/>
      <c r="G116" s="409"/>
      <c r="H116" s="173" t="s">
        <v>3018</v>
      </c>
      <c r="I116" s="110"/>
      <c r="J116" s="109"/>
      <c r="K116" s="281"/>
      <c r="L116" s="281"/>
      <c r="M116" s="281"/>
      <c r="N116" s="281"/>
      <c r="O116" s="281"/>
      <c r="P116" s="281"/>
      <c r="Q116" s="281"/>
      <c r="R116" s="281"/>
      <c r="S116" s="281"/>
      <c r="T116" s="281"/>
      <c r="U116" s="145" t="s">
        <v>186</v>
      </c>
      <c r="V116" s="145" t="b">
        <v>1</v>
      </c>
    </row>
    <row r="117" outlineLevel="1">
      <c r="A117" s="230" t="s">
        <v>3019</v>
      </c>
      <c r="B117" s="109"/>
      <c r="C117" s="231" t="s">
        <v>48</v>
      </c>
      <c r="D117" s="231" t="s">
        <v>49</v>
      </c>
      <c r="E117" s="232" t="s">
        <v>50</v>
      </c>
      <c r="F117" s="233" t="s">
        <v>51</v>
      </c>
      <c r="G117" s="232" t="s">
        <v>52</v>
      </c>
      <c r="H117" s="382" t="s">
        <v>53</v>
      </c>
      <c r="I117" s="110"/>
      <c r="J117" s="109"/>
      <c r="K117" s="235" t="str">
        <f>'テンプレート'!K85</f>
        <v>ベクトル</v>
      </c>
      <c r="L117" s="235" t="str">
        <f>'テンプレート'!L85</f>
        <v>KBG (R.E.)</v>
      </c>
      <c r="M117" s="235" t="str">
        <f>'テンプレート'!M85</f>
        <v>BKB (R.A.)</v>
      </c>
      <c r="N117" s="235" t="str">
        <f>'テンプレート'!N85</f>
        <v>FKB (R.F.)</v>
      </c>
      <c r="O117" s="236" t="str">
        <f>'テンプレート'!O85</f>
        <v>盾削り値</v>
      </c>
      <c r="P117" s="235" t="str">
        <f>'テンプレート'!P85</f>
        <v>ﾋｯﾄｽﾄｯﾌﾟ</v>
      </c>
      <c r="Q117" s="236" t="str">
        <f>'テンプレート'!Q85</f>
        <v>ずらし</v>
      </c>
      <c r="R117" s="235" t="str">
        <f>'テンプレート'!R85</f>
        <v>相殺</v>
      </c>
      <c r="S117" s="236" t="str">
        <f>'テンプレート'!S85</f>
        <v>相殺ﾓｰｼｮﾝ</v>
      </c>
      <c r="T117" s="236" t="str">
        <f>'テンプレート'!T85</f>
        <v>飛び道具</v>
      </c>
      <c r="U117" s="236" t="str">
        <f>'テンプレート'!U85</f>
        <v>慣性反転</v>
      </c>
      <c r="V117" s="236" t="str">
        <f>'テンプレート'!V85</f>
        <v>向き反転</v>
      </c>
    </row>
    <row r="118" outlineLevel="1">
      <c r="A118" s="1202" t="s">
        <v>184</v>
      </c>
      <c r="B118" s="870"/>
      <c r="C118" s="409"/>
      <c r="D118" s="245" t="s">
        <v>394</v>
      </c>
      <c r="E118" s="409"/>
      <c r="F118" s="409"/>
      <c r="G118" s="409"/>
      <c r="H118" s="173" t="s">
        <v>3020</v>
      </c>
      <c r="I118" s="110"/>
      <c r="J118" s="109"/>
      <c r="K118" s="281"/>
      <c r="L118" s="281"/>
      <c r="M118" s="281"/>
      <c r="N118" s="281"/>
      <c r="O118" s="281"/>
      <c r="P118" s="281"/>
      <c r="Q118" s="281"/>
      <c r="R118" s="281"/>
      <c r="S118" s="281"/>
      <c r="T118" s="281"/>
      <c r="U118" s="145" t="b">
        <v>0</v>
      </c>
      <c r="V118" s="145" t="b">
        <v>0</v>
      </c>
    </row>
    <row r="119">
      <c r="A119" s="223"/>
      <c r="B119" s="224"/>
      <c r="C119" s="225"/>
      <c r="D119" s="225"/>
      <c r="E119" s="226"/>
      <c r="F119" s="226"/>
      <c r="G119" s="226"/>
      <c r="H119" s="227"/>
      <c r="I119" s="227"/>
      <c r="J119" s="228"/>
      <c r="K119" s="228"/>
      <c r="L119" s="228"/>
      <c r="M119" s="228"/>
      <c r="N119" s="228"/>
      <c r="O119" s="228"/>
      <c r="P119" s="228"/>
      <c r="Q119" s="118"/>
      <c r="R119" s="118"/>
      <c r="S119" s="118"/>
      <c r="T119" s="118"/>
      <c r="U119" s="118"/>
      <c r="V119" s="118"/>
    </row>
    <row r="120">
      <c r="A120" s="264" t="s">
        <v>211</v>
      </c>
      <c r="B120" s="104"/>
      <c r="C120" s="227"/>
      <c r="D120" s="227"/>
      <c r="E120" s="228"/>
      <c r="F120" s="265"/>
      <c r="G120" s="265"/>
      <c r="H120" s="228"/>
      <c r="I120" s="228"/>
      <c r="J120" s="228"/>
      <c r="K120" s="228"/>
      <c r="L120" s="228"/>
      <c r="M120" s="228"/>
      <c r="N120" s="118"/>
      <c r="O120" s="118"/>
      <c r="P120" s="118"/>
      <c r="Q120" s="228"/>
      <c r="R120" s="228"/>
      <c r="S120" s="228"/>
      <c r="T120" s="228"/>
      <c r="U120" s="228"/>
      <c r="V120" s="228"/>
    </row>
    <row r="121" outlineLevel="1">
      <c r="A121" s="106"/>
      <c r="B121" s="107"/>
      <c r="C121" s="266" t="s">
        <v>48</v>
      </c>
      <c r="D121" s="266" t="s">
        <v>49</v>
      </c>
      <c r="E121" s="266" t="s">
        <v>50</v>
      </c>
      <c r="F121" s="267" t="s">
        <v>51</v>
      </c>
      <c r="G121" s="1942" t="s">
        <v>53</v>
      </c>
      <c r="H121" s="110"/>
      <c r="I121" s="110"/>
      <c r="J121" s="109"/>
      <c r="K121" s="228"/>
      <c r="L121" s="228"/>
      <c r="M121" s="228"/>
      <c r="N121" s="228"/>
      <c r="O121" s="228"/>
      <c r="P121" s="228"/>
      <c r="Q121" s="228"/>
      <c r="R121" s="228"/>
      <c r="S121" s="228"/>
      <c r="T121" s="228"/>
      <c r="U121" s="228"/>
      <c r="V121" s="228"/>
    </row>
    <row r="122" outlineLevel="1">
      <c r="A122" s="268" t="s">
        <v>212</v>
      </c>
      <c r="B122" s="269" t="s">
        <v>212</v>
      </c>
      <c r="C122" s="1091" t="s">
        <v>213</v>
      </c>
      <c r="D122" s="1091" t="s">
        <v>86</v>
      </c>
      <c r="E122" s="113" t="s">
        <v>213</v>
      </c>
      <c r="F122" s="138">
        <v>1.2</v>
      </c>
      <c r="G122" s="1169" t="s">
        <v>3021</v>
      </c>
      <c r="H122" s="110"/>
      <c r="I122" s="110"/>
      <c r="J122" s="109"/>
      <c r="K122" s="228"/>
      <c r="L122" s="228"/>
      <c r="M122" s="228"/>
      <c r="N122" s="228"/>
      <c r="O122" s="228"/>
      <c r="P122" s="228"/>
      <c r="Q122" s="228"/>
      <c r="R122" s="228"/>
      <c r="S122" s="228"/>
      <c r="T122" s="228"/>
      <c r="U122" s="228"/>
      <c r="V122" s="228"/>
    </row>
    <row r="123" outlineLevel="1">
      <c r="A123" s="270" t="s">
        <v>215</v>
      </c>
      <c r="B123" s="269" t="s">
        <v>216</v>
      </c>
      <c r="C123" s="1091" t="s">
        <v>3022</v>
      </c>
      <c r="D123" s="1091" t="s">
        <v>3023</v>
      </c>
      <c r="E123" s="822"/>
      <c r="F123" s="822"/>
      <c r="G123" s="1943" t="s">
        <v>3024</v>
      </c>
      <c r="H123" s="110"/>
      <c r="I123" s="110"/>
      <c r="J123" s="109"/>
      <c r="K123" s="228"/>
      <c r="L123" s="228"/>
      <c r="M123" s="228"/>
      <c r="N123" s="228"/>
      <c r="O123" s="228"/>
      <c r="P123" s="228"/>
      <c r="Q123" s="228"/>
      <c r="R123" s="228"/>
      <c r="S123" s="228"/>
      <c r="T123" s="228"/>
      <c r="U123" s="228"/>
      <c r="V123" s="228"/>
    </row>
    <row r="124" outlineLevel="1">
      <c r="A124" s="212"/>
      <c r="B124" s="269" t="s">
        <v>219</v>
      </c>
      <c r="C124" s="1091" t="s">
        <v>3022</v>
      </c>
      <c r="D124" s="1091" t="s">
        <v>3025</v>
      </c>
      <c r="E124" s="822"/>
      <c r="F124" s="822"/>
      <c r="G124" s="1943" t="s">
        <v>3024</v>
      </c>
      <c r="H124" s="110"/>
      <c r="I124" s="110"/>
      <c r="J124" s="109"/>
      <c r="K124" s="228"/>
      <c r="L124" s="228"/>
      <c r="M124" s="228"/>
      <c r="N124" s="228"/>
      <c r="O124" s="228"/>
      <c r="P124" s="228"/>
      <c r="Q124" s="228"/>
      <c r="R124" s="228"/>
      <c r="S124" s="228"/>
      <c r="T124" s="228"/>
      <c r="U124" s="228"/>
      <c r="V124" s="228"/>
    </row>
    <row r="125" outlineLevel="1">
      <c r="A125" s="106"/>
      <c r="B125" s="269" t="s">
        <v>222</v>
      </c>
      <c r="C125" s="1091" t="s">
        <v>3022</v>
      </c>
      <c r="D125" s="1091" t="s">
        <v>3026</v>
      </c>
      <c r="E125" s="822"/>
      <c r="F125" s="822"/>
      <c r="G125" s="1943" t="s">
        <v>3024</v>
      </c>
      <c r="H125" s="110"/>
      <c r="I125" s="110"/>
      <c r="J125" s="109"/>
      <c r="K125" s="228"/>
      <c r="L125" s="228"/>
      <c r="M125" s="228"/>
      <c r="N125" s="228"/>
      <c r="O125" s="228"/>
      <c r="P125" s="228"/>
      <c r="Q125" s="228"/>
      <c r="R125" s="228"/>
      <c r="S125" s="228"/>
      <c r="T125" s="228"/>
      <c r="U125" s="228"/>
      <c r="V125" s="228"/>
    </row>
    <row r="126" outlineLevel="1">
      <c r="A126" s="273" t="s">
        <v>225</v>
      </c>
      <c r="B126" s="109"/>
      <c r="C126" s="266" t="s">
        <v>48</v>
      </c>
      <c r="D126" s="266" t="s">
        <v>49</v>
      </c>
      <c r="E126" s="266" t="s">
        <v>50</v>
      </c>
      <c r="F126" s="267" t="s">
        <v>51</v>
      </c>
      <c r="G126" s="1168" t="s">
        <v>53</v>
      </c>
      <c r="H126" s="110"/>
      <c r="I126" s="110"/>
      <c r="J126" s="109"/>
      <c r="K126" s="275" t="str">
        <f>'テンプレート'!K97</f>
        <v>ベクトル</v>
      </c>
      <c r="L126" s="275" t="str">
        <f>'テンプレート'!L97</f>
        <v>KBG (R.E.)</v>
      </c>
      <c r="M126" s="275" t="str">
        <f>'テンプレート'!M97</f>
        <v>BKB (R.A.)</v>
      </c>
      <c r="N126" s="275" t="str">
        <f>'テンプレート'!N97</f>
        <v>FKB (R.F.)</v>
      </c>
      <c r="O126" s="276" t="str">
        <f>'テンプレート'!O97</f>
        <v>盾削り値</v>
      </c>
      <c r="P126" s="275" t="str">
        <f>'テンプレート'!P97</f>
        <v>ﾋｯﾄｽﾄｯﾌﾟ</v>
      </c>
      <c r="Q126" s="276" t="str">
        <f>'テンプレート'!Q97</f>
        <v>ずらし</v>
      </c>
      <c r="R126" s="277"/>
      <c r="S126" s="277"/>
      <c r="T126" s="277"/>
      <c r="U126" s="277"/>
      <c r="V126" s="277"/>
    </row>
    <row r="127" outlineLevel="1">
      <c r="A127" s="278" t="s">
        <v>226</v>
      </c>
      <c r="B127" s="269" t="s">
        <v>3027</v>
      </c>
      <c r="C127" s="822"/>
      <c r="D127" s="1397">
        <v>35.0</v>
      </c>
      <c r="E127" s="822"/>
      <c r="F127" s="261"/>
      <c r="G127" s="395" t="s">
        <v>3028</v>
      </c>
      <c r="H127" s="164"/>
      <c r="I127" s="164"/>
      <c r="J127" s="104"/>
      <c r="K127" s="261"/>
      <c r="L127" s="261"/>
      <c r="M127" s="261"/>
      <c r="N127" s="261"/>
      <c r="O127" s="261"/>
      <c r="P127" s="261"/>
      <c r="Q127" s="261"/>
      <c r="R127" s="277"/>
      <c r="S127" s="228"/>
      <c r="T127" s="228"/>
      <c r="U127" s="228"/>
      <c r="V127" s="228"/>
    </row>
    <row r="128" outlineLevel="1">
      <c r="A128" s="146"/>
      <c r="B128" s="269" t="s">
        <v>3029</v>
      </c>
      <c r="C128" s="869" t="s">
        <v>296</v>
      </c>
      <c r="D128" s="146"/>
      <c r="E128" s="244" t="s">
        <v>93</v>
      </c>
      <c r="F128" s="138">
        <v>8.4</v>
      </c>
      <c r="G128" s="212"/>
      <c r="J128" s="210"/>
      <c r="K128" s="282"/>
      <c r="L128" s="282"/>
      <c r="M128" s="363"/>
      <c r="N128" s="363"/>
      <c r="O128" s="261"/>
      <c r="P128" s="261"/>
      <c r="Q128" s="261"/>
      <c r="R128" s="277"/>
      <c r="S128" s="228"/>
      <c r="T128" s="228"/>
      <c r="U128" s="228"/>
      <c r="V128" s="228"/>
    </row>
    <row r="129" outlineLevel="1">
      <c r="A129" s="146"/>
      <c r="B129" s="269" t="s">
        <v>3030</v>
      </c>
      <c r="C129" s="146"/>
      <c r="D129" s="146"/>
      <c r="E129" s="244" t="s">
        <v>3031</v>
      </c>
      <c r="F129" s="138">
        <v>6.72</v>
      </c>
      <c r="G129" s="212"/>
      <c r="J129" s="210"/>
      <c r="K129" s="282"/>
      <c r="L129" s="282"/>
      <c r="M129" s="363"/>
      <c r="N129" s="363"/>
      <c r="O129" s="261"/>
      <c r="P129" s="261"/>
      <c r="Q129" s="261"/>
      <c r="R129" s="277"/>
      <c r="S129" s="228"/>
      <c r="T129" s="228"/>
      <c r="U129" s="228"/>
      <c r="V129" s="228"/>
    </row>
    <row r="130" outlineLevel="1">
      <c r="A130" s="156"/>
      <c r="B130" s="269" t="s">
        <v>3032</v>
      </c>
      <c r="C130" s="156"/>
      <c r="D130" s="156"/>
      <c r="E130" s="244" t="s">
        <v>2983</v>
      </c>
      <c r="F130" s="138">
        <v>14.28</v>
      </c>
      <c r="G130" s="212"/>
      <c r="J130" s="210"/>
      <c r="K130" s="282"/>
      <c r="L130" s="282"/>
      <c r="M130" s="363"/>
      <c r="N130" s="363"/>
      <c r="O130" s="261"/>
      <c r="P130" s="261"/>
      <c r="Q130" s="261"/>
      <c r="R130" s="277"/>
      <c r="S130" s="228"/>
      <c r="T130" s="228"/>
      <c r="U130" s="228"/>
      <c r="V130" s="228"/>
    </row>
    <row r="131" outlineLevel="1">
      <c r="A131" s="278" t="s">
        <v>229</v>
      </c>
      <c r="B131" s="269" t="s">
        <v>3027</v>
      </c>
      <c r="C131" s="822"/>
      <c r="D131" s="1397">
        <v>39.0</v>
      </c>
      <c r="E131" s="822"/>
      <c r="F131" s="261"/>
      <c r="G131" s="212"/>
      <c r="J131" s="210"/>
      <c r="K131" s="261"/>
      <c r="L131" s="261"/>
      <c r="M131" s="261"/>
      <c r="N131" s="261"/>
      <c r="O131" s="261"/>
      <c r="P131" s="261"/>
      <c r="Q131" s="261"/>
      <c r="R131" s="277"/>
      <c r="S131" s="228"/>
      <c r="T131" s="228"/>
      <c r="U131" s="228"/>
      <c r="V131" s="228"/>
    </row>
    <row r="132" outlineLevel="1">
      <c r="A132" s="146"/>
      <c r="B132" s="269" t="s">
        <v>3029</v>
      </c>
      <c r="C132" s="1944">
        <v>21.0</v>
      </c>
      <c r="D132" s="146"/>
      <c r="E132" s="244" t="s">
        <v>274</v>
      </c>
      <c r="F132" s="138">
        <v>10.799999999999999</v>
      </c>
      <c r="G132" s="212"/>
      <c r="J132" s="210"/>
      <c r="K132" s="282"/>
      <c r="L132" s="282"/>
      <c r="M132" s="363"/>
      <c r="N132" s="363"/>
      <c r="O132" s="261"/>
      <c r="P132" s="261"/>
      <c r="Q132" s="261"/>
      <c r="R132" s="277"/>
      <c r="S132" s="228"/>
      <c r="T132" s="228"/>
      <c r="U132" s="228"/>
      <c r="V132" s="228"/>
    </row>
    <row r="133" outlineLevel="1">
      <c r="A133" s="146"/>
      <c r="B133" s="269" t="s">
        <v>3030</v>
      </c>
      <c r="C133" s="146"/>
      <c r="D133" s="146"/>
      <c r="E133" s="244" t="s">
        <v>87</v>
      </c>
      <c r="F133" s="138">
        <v>8.64</v>
      </c>
      <c r="G133" s="212"/>
      <c r="J133" s="210"/>
      <c r="K133" s="282"/>
      <c r="L133" s="282"/>
      <c r="M133" s="363"/>
      <c r="N133" s="363"/>
      <c r="O133" s="261"/>
      <c r="P133" s="261"/>
      <c r="Q133" s="261"/>
      <c r="R133" s="277"/>
      <c r="S133" s="228"/>
      <c r="T133" s="228"/>
      <c r="U133" s="228"/>
      <c r="V133" s="228"/>
    </row>
    <row r="134" outlineLevel="1">
      <c r="A134" s="156"/>
      <c r="B134" s="269" t="s">
        <v>3032</v>
      </c>
      <c r="C134" s="156"/>
      <c r="D134" s="156"/>
      <c r="E134" s="244">
        <v>15.299999999999999</v>
      </c>
      <c r="F134" s="138">
        <v>18.36</v>
      </c>
      <c r="G134" s="106"/>
      <c r="H134" s="168"/>
      <c r="I134" s="168"/>
      <c r="J134" s="107"/>
      <c r="K134" s="282"/>
      <c r="L134" s="282"/>
      <c r="M134" s="363"/>
      <c r="N134" s="363"/>
      <c r="O134" s="261"/>
      <c r="P134" s="261"/>
      <c r="Q134" s="261"/>
      <c r="R134" s="277"/>
      <c r="S134" s="228"/>
      <c r="T134" s="228"/>
      <c r="U134" s="228"/>
      <c r="V134" s="228"/>
    </row>
    <row r="135" outlineLevel="1">
      <c r="A135" s="278" t="s">
        <v>233</v>
      </c>
      <c r="B135" s="269" t="s">
        <v>3027</v>
      </c>
      <c r="C135" s="1945">
        <v>21.0</v>
      </c>
      <c r="D135" s="1397" t="s">
        <v>185</v>
      </c>
      <c r="E135" s="1945">
        <v>1.0</v>
      </c>
      <c r="F135" s="138">
        <v>1.2</v>
      </c>
      <c r="G135" s="395" t="s">
        <v>3033</v>
      </c>
      <c r="H135" s="164"/>
      <c r="I135" s="164"/>
      <c r="J135" s="104"/>
      <c r="K135" s="261"/>
      <c r="L135" s="261"/>
      <c r="M135" s="261"/>
      <c r="N135" s="261"/>
      <c r="O135" s="261"/>
      <c r="P135" s="261"/>
      <c r="Q135" s="261"/>
      <c r="R135" s="277"/>
      <c r="S135" s="228"/>
      <c r="T135" s="228"/>
      <c r="U135" s="228"/>
      <c r="V135" s="228"/>
    </row>
    <row r="136" outlineLevel="1">
      <c r="A136" s="146"/>
      <c r="B136" s="269" t="s">
        <v>3029</v>
      </c>
      <c r="C136" s="1397" t="s">
        <v>1114</v>
      </c>
      <c r="D136" s="146"/>
      <c r="E136" s="244" t="s">
        <v>93</v>
      </c>
      <c r="F136" s="138">
        <v>8.4</v>
      </c>
      <c r="G136" s="212"/>
      <c r="J136" s="210"/>
      <c r="K136" s="282"/>
      <c r="L136" s="282"/>
      <c r="M136" s="363"/>
      <c r="N136" s="363"/>
      <c r="O136" s="261"/>
      <c r="P136" s="261"/>
      <c r="Q136" s="261"/>
      <c r="R136" s="277"/>
      <c r="S136" s="117"/>
      <c r="T136" s="117"/>
      <c r="U136" s="117"/>
      <c r="V136" s="117"/>
    </row>
    <row r="137" outlineLevel="1">
      <c r="A137" s="146"/>
      <c r="B137" s="269" t="s">
        <v>3030</v>
      </c>
      <c r="C137" s="146"/>
      <c r="D137" s="146"/>
      <c r="E137" s="364" t="s">
        <v>3034</v>
      </c>
      <c r="F137" s="138">
        <v>6.48</v>
      </c>
      <c r="G137" s="212"/>
      <c r="J137" s="210"/>
      <c r="K137" s="282"/>
      <c r="L137" s="282"/>
      <c r="M137" s="363"/>
      <c r="N137" s="363"/>
      <c r="O137" s="261"/>
      <c r="P137" s="261"/>
      <c r="Q137" s="261"/>
      <c r="R137" s="277"/>
      <c r="S137" s="117"/>
      <c r="T137" s="117"/>
      <c r="U137" s="117"/>
      <c r="V137" s="117"/>
    </row>
    <row r="138" outlineLevel="1">
      <c r="A138" s="156"/>
      <c r="B138" s="269" t="s">
        <v>3032</v>
      </c>
      <c r="C138" s="156"/>
      <c r="D138" s="156"/>
      <c r="E138" s="364" t="s">
        <v>2764</v>
      </c>
      <c r="F138" s="138">
        <v>15.0</v>
      </c>
      <c r="G138" s="106"/>
      <c r="H138" s="168"/>
      <c r="I138" s="168"/>
      <c r="J138" s="107"/>
      <c r="K138" s="282"/>
      <c r="L138" s="282"/>
      <c r="M138" s="363"/>
      <c r="N138" s="363"/>
      <c r="O138" s="261"/>
      <c r="P138" s="261"/>
      <c r="Q138" s="261"/>
      <c r="R138" s="277"/>
      <c r="S138" s="117"/>
      <c r="T138" s="117"/>
      <c r="U138" s="117"/>
      <c r="V138" s="117"/>
    </row>
    <row r="139" outlineLevel="1">
      <c r="A139" s="278" t="s">
        <v>234</v>
      </c>
      <c r="B139" s="269" t="s">
        <v>3035</v>
      </c>
      <c r="C139" s="1397" t="s">
        <v>3036</v>
      </c>
      <c r="D139" s="1397" t="s">
        <v>384</v>
      </c>
      <c r="E139" s="244" t="s">
        <v>213</v>
      </c>
      <c r="F139" s="138">
        <v>1.2</v>
      </c>
      <c r="G139" s="395" t="s">
        <v>3037</v>
      </c>
      <c r="H139" s="164"/>
      <c r="I139" s="164"/>
      <c r="J139" s="104"/>
      <c r="K139" s="282"/>
      <c r="L139" s="282"/>
      <c r="M139" s="363"/>
      <c r="N139" s="363"/>
      <c r="O139" s="145">
        <v>0.0</v>
      </c>
      <c r="P139" s="145">
        <v>1.0</v>
      </c>
      <c r="Q139" s="145">
        <v>1.0</v>
      </c>
      <c r="R139" s="277"/>
      <c r="S139" s="117"/>
      <c r="T139" s="117"/>
      <c r="U139" s="117"/>
      <c r="V139" s="117"/>
    </row>
    <row r="140" outlineLevel="1">
      <c r="A140" s="146"/>
      <c r="B140" s="269" t="s">
        <v>3038</v>
      </c>
      <c r="C140" s="146"/>
      <c r="D140" s="146"/>
      <c r="E140" s="244" t="s">
        <v>1375</v>
      </c>
      <c r="F140" s="138">
        <v>0.96</v>
      </c>
      <c r="G140" s="212"/>
      <c r="J140" s="210"/>
      <c r="K140" s="282"/>
      <c r="L140" s="282"/>
      <c r="M140" s="363"/>
      <c r="N140" s="363"/>
      <c r="O140" s="261"/>
      <c r="P140" s="261"/>
      <c r="Q140" s="261"/>
      <c r="R140" s="277"/>
      <c r="S140" s="117"/>
      <c r="T140" s="117"/>
      <c r="U140" s="117"/>
      <c r="V140" s="117"/>
    </row>
    <row r="141" outlineLevel="1">
      <c r="A141" s="146"/>
      <c r="B141" s="269" t="s">
        <v>3039</v>
      </c>
      <c r="C141" s="156"/>
      <c r="D141" s="146"/>
      <c r="E141" s="244" t="s">
        <v>381</v>
      </c>
      <c r="F141" s="138">
        <v>1.92</v>
      </c>
      <c r="G141" s="212"/>
      <c r="J141" s="210"/>
      <c r="K141" s="282"/>
      <c r="L141" s="282"/>
      <c r="M141" s="363"/>
      <c r="N141" s="363"/>
      <c r="O141" s="261"/>
      <c r="P141" s="261"/>
      <c r="Q141" s="261"/>
      <c r="R141" s="277"/>
      <c r="S141" s="117"/>
      <c r="T141" s="117"/>
      <c r="U141" s="117"/>
      <c r="V141" s="117"/>
    </row>
    <row r="142" outlineLevel="1">
      <c r="A142" s="146"/>
      <c r="B142" s="269" t="s">
        <v>3029</v>
      </c>
      <c r="C142" s="1397" t="s">
        <v>271</v>
      </c>
      <c r="D142" s="146"/>
      <c r="E142" s="244" t="s">
        <v>93</v>
      </c>
      <c r="F142" s="138">
        <v>8.4</v>
      </c>
      <c r="G142" s="212"/>
      <c r="J142" s="210"/>
      <c r="K142" s="282"/>
      <c r="L142" s="282"/>
      <c r="M142" s="363"/>
      <c r="N142" s="363"/>
      <c r="O142" s="261"/>
      <c r="P142" s="261"/>
      <c r="Q142" s="261"/>
      <c r="R142" s="277"/>
      <c r="S142" s="117"/>
      <c r="T142" s="117"/>
      <c r="U142" s="117"/>
      <c r="V142" s="117"/>
    </row>
    <row r="143" outlineLevel="1">
      <c r="A143" s="146"/>
      <c r="B143" s="269" t="s">
        <v>3030</v>
      </c>
      <c r="C143" s="146"/>
      <c r="D143" s="146"/>
      <c r="E143" s="244" t="s">
        <v>3031</v>
      </c>
      <c r="F143" s="138">
        <v>6.72</v>
      </c>
      <c r="G143" s="212"/>
      <c r="J143" s="210"/>
      <c r="K143" s="282"/>
      <c r="L143" s="282"/>
      <c r="M143" s="363"/>
      <c r="N143" s="363"/>
      <c r="O143" s="261"/>
      <c r="P143" s="261"/>
      <c r="Q143" s="261"/>
      <c r="R143" s="277"/>
      <c r="S143" s="117"/>
      <c r="T143" s="117"/>
      <c r="U143" s="117"/>
      <c r="V143" s="117"/>
    </row>
    <row r="144" outlineLevel="1">
      <c r="A144" s="156"/>
      <c r="B144" s="269" t="s">
        <v>3032</v>
      </c>
      <c r="C144" s="156"/>
      <c r="D144" s="156"/>
      <c r="E144" s="244" t="s">
        <v>2983</v>
      </c>
      <c r="F144" s="138">
        <v>14.28</v>
      </c>
      <c r="G144" s="106"/>
      <c r="H144" s="168"/>
      <c r="I144" s="168"/>
      <c r="J144" s="107"/>
      <c r="K144" s="282"/>
      <c r="L144" s="282"/>
      <c r="M144" s="363"/>
      <c r="N144" s="363"/>
      <c r="O144" s="261"/>
      <c r="P144" s="261"/>
      <c r="Q144" s="261"/>
      <c r="R144" s="277"/>
      <c r="S144" s="117"/>
      <c r="T144" s="117"/>
      <c r="U144" s="117"/>
      <c r="V144" s="117"/>
    </row>
    <row r="145">
      <c r="A145" s="223"/>
      <c r="B145" s="224"/>
      <c r="C145" s="225"/>
      <c r="D145" s="225"/>
      <c r="E145" s="227"/>
      <c r="F145" s="177"/>
      <c r="G145" s="177"/>
      <c r="H145" s="227"/>
      <c r="I145" s="227"/>
      <c r="J145" s="228"/>
      <c r="K145" s="228"/>
      <c r="L145" s="111"/>
      <c r="M145" s="111"/>
      <c r="N145" s="111"/>
      <c r="O145" s="117"/>
      <c r="P145" s="117"/>
      <c r="Q145" s="111"/>
      <c r="R145" s="111"/>
      <c r="S145" s="111"/>
      <c r="T145" s="111"/>
      <c r="U145" s="111"/>
      <c r="V145" s="111"/>
    </row>
    <row r="146">
      <c r="A146" s="284" t="s">
        <v>241</v>
      </c>
      <c r="B146" s="104"/>
      <c r="C146" s="265"/>
      <c r="D146" s="111"/>
      <c r="E146" s="111"/>
      <c r="F146" s="111"/>
      <c r="G146" s="111"/>
      <c r="H146" s="111"/>
      <c r="I146" s="111"/>
      <c r="J146" s="118"/>
      <c r="K146" s="111"/>
      <c r="L146" s="111"/>
      <c r="M146" s="111"/>
      <c r="N146" s="111"/>
      <c r="O146" s="111"/>
      <c r="P146" s="111"/>
      <c r="Q146" s="118"/>
      <c r="R146" s="111"/>
      <c r="S146" s="111"/>
      <c r="T146" s="111"/>
      <c r="U146" s="111"/>
      <c r="V146" s="111"/>
    </row>
    <row r="147" outlineLevel="1">
      <c r="A147" s="106"/>
      <c r="B147" s="107"/>
      <c r="C147" s="285" t="s">
        <v>235</v>
      </c>
      <c r="D147" s="285" t="s">
        <v>236</v>
      </c>
      <c r="E147" s="285" t="s">
        <v>49</v>
      </c>
      <c r="F147" s="285" t="s">
        <v>237</v>
      </c>
      <c r="G147" s="286"/>
      <c r="H147" s="227"/>
      <c r="I147" s="227"/>
      <c r="J147" s="228"/>
      <c r="K147" s="228"/>
      <c r="L147" s="111"/>
      <c r="M147" s="111"/>
      <c r="N147" s="111"/>
      <c r="O147" s="111"/>
      <c r="P147" s="111"/>
      <c r="Q147" s="111"/>
      <c r="R147" s="111"/>
      <c r="S147" s="111"/>
      <c r="T147" s="111"/>
      <c r="U147" s="111"/>
      <c r="V147" s="111"/>
    </row>
    <row r="148" outlineLevel="1">
      <c r="A148" s="287" t="s">
        <v>395</v>
      </c>
      <c r="B148" s="288" t="s">
        <v>216</v>
      </c>
      <c r="C148" s="113" t="str">
        <f t="array" ref="C148">INDEX('回避'!$C$3:$U$84, MATCH($A$1,'回避'!$A$3:$A$91,0), MATCH(C147,'回避'!$C$2:$F$2,0))</f>
        <v>3-17</v>
      </c>
      <c r="D148" s="113" t="str">
        <f t="array" ref="D148">INDEX('回避'!$C$3:$U$84, MATCH($A$1,'回避'!$A$3:$A$91,0), MATCH(D147,'回避'!$C$2:$F$2,0))</f>
        <v>6-17</v>
      </c>
      <c r="E148" s="113" t="str">
        <f t="array" ref="E148">INDEX('回避'!$C$3:$U$84, MATCH($A$1,'回避'!$A$3:$A$91,0), MATCH(E147,'回避'!$C$2:$F$2,0))</f>
        <v>25 (20)</v>
      </c>
      <c r="F148" s="113" t="str">
        <f t="array" ref="F148">INDEX('回避'!$C$3:$U$84, MATCH($A$1,'回避'!$A$3:$A$91,0), MATCH(F147,'回避'!$C$2:$F$2,0))</f>
        <v>33 (27)</v>
      </c>
      <c r="G148" s="272"/>
      <c r="H148" s="227"/>
      <c r="I148" s="227"/>
      <c r="J148" s="228"/>
      <c r="K148" s="228"/>
      <c r="L148" s="228"/>
      <c r="M148" s="111"/>
      <c r="N148" s="111"/>
      <c r="O148" s="111"/>
      <c r="P148" s="111"/>
      <c r="Q148" s="111"/>
      <c r="R148" s="111"/>
      <c r="S148" s="111"/>
      <c r="T148" s="111"/>
      <c r="U148" s="111"/>
      <c r="V148" s="111"/>
    </row>
    <row r="149" outlineLevel="1">
      <c r="A149" s="212"/>
      <c r="B149" s="288" t="s">
        <v>245</v>
      </c>
      <c r="C149" s="113" t="str">
        <f t="array" ref="C149">INDEX('回避'!$G$3:$U$84, MATCH($A$1,'回避'!$A$3:$A$91,0), MATCH(C147,'回避'!$G$2:$J$2,0))</f>
        <v>4-15</v>
      </c>
      <c r="D149" s="113" t="str">
        <f t="array" ref="D149">INDEX('回避'!$G$3:$U$84, MATCH($A$1,'回避'!$A$3:$A$91,0), MATCH(D147,'回避'!$G$2:$J$2,0))</f>
        <v>8-14</v>
      </c>
      <c r="E149" s="113" t="str">
        <f t="array" ref="E149">INDEX('回避'!$G$3:$U$84, MATCH($A$1,'回避'!$A$3:$A$91,0), MATCH(E147,'回避'!$G$2:$J$2,0))</f>
        <v>29</v>
      </c>
      <c r="F149" s="113">
        <f t="array" ref="F149">INDEX('回避'!$G$3:$U$84, MATCH($A$1,'回避'!$A$3:$A$91,0), MATCH(F147,'回避'!$G$2:$J$2,0))</f>
        <v>38</v>
      </c>
      <c r="G149" s="289"/>
      <c r="H149" s="227"/>
      <c r="I149" s="227"/>
      <c r="J149" s="228"/>
      <c r="K149" s="228"/>
      <c r="L149" s="228"/>
      <c r="M149" s="228"/>
      <c r="N149" s="228"/>
      <c r="O149" s="111"/>
      <c r="P149" s="111"/>
      <c r="Q149" s="111"/>
      <c r="R149" s="111"/>
      <c r="S149" s="111"/>
      <c r="T149" s="111"/>
      <c r="U149" s="111"/>
      <c r="V149" s="111"/>
    </row>
    <row r="150" outlineLevel="1">
      <c r="A150" s="106"/>
      <c r="B150" s="288" t="s">
        <v>246</v>
      </c>
      <c r="C150" s="113" t="str">
        <f t="array" ref="C150">INDEX('回避'!$K$3:$U$84, MATCH($A$1,'回避'!$A$3:$A$91,0), MATCH(C147,'回避'!$K$2:$N$2,0))</f>
        <v>5-16</v>
      </c>
      <c r="D150" s="113" t="str">
        <f t="array" ref="D150">INDEX('回避'!$K$3:$U$84, MATCH($A$1,'回避'!$A$3:$A$91,0), MATCH(D147,'回避'!$K$2:$N$2,0))</f>
        <v>9-14</v>
      </c>
      <c r="E150" s="113" t="str">
        <f t="array" ref="E150">INDEX('回避'!$K$3:$U$84, MATCH($A$1,'回避'!$A$3:$A$91,0), MATCH(E147,'回避'!$K$2:$N$2,0))</f>
        <v>34</v>
      </c>
      <c r="F150" s="113" t="str">
        <f t="array" ref="F150">INDEX('回避'!$K$3:$U$84, MATCH($A$1,'回避'!$A$3:$A$91,0), MATCH(F147,'回避'!$K$2:$N$2,0))</f>
        <v>51</v>
      </c>
      <c r="G150" s="289"/>
      <c r="H150" s="290"/>
      <c r="I150" s="290"/>
      <c r="J150" s="117"/>
      <c r="K150" s="117"/>
      <c r="L150" s="117"/>
      <c r="M150" s="117"/>
      <c r="N150" s="117"/>
      <c r="O150" s="111"/>
      <c r="P150" s="111"/>
      <c r="Q150" s="111"/>
      <c r="R150" s="111"/>
      <c r="S150" s="111"/>
      <c r="T150" s="111"/>
      <c r="U150" s="111"/>
      <c r="V150" s="111"/>
    </row>
    <row r="151" outlineLevel="1">
      <c r="A151" s="287" t="s">
        <v>396</v>
      </c>
      <c r="B151" s="288" t="s">
        <v>397</v>
      </c>
      <c r="C151" s="113" t="str">
        <f t="array" ref="C151">INDEX('回避'!$O$3:$U$84, MATCH($A$1,'回避'!$A$3:$A$91,0), MATCH(C147,'回避'!$O$2:$R$2,0))</f>
        <v>3-29</v>
      </c>
      <c r="D151" s="113" t="str">
        <f t="array" ref="D151">INDEX('回避'!$O$3:$U$84, MATCH($A$1,'回避'!$A$3:$A$91,0), MATCH(D147,'回避'!$O$2:$R$2,0))</f>
        <v>6-27</v>
      </c>
      <c r="E151" s="113" t="str">
        <f t="array" ref="E151">INDEX('回避'!$O$3:$U$84, MATCH($A$1,'回避'!$A$3:$A$91,0), MATCH(E147,'回避'!$O$2:$R$2,0))</f>
        <v>57</v>
      </c>
      <c r="F151" s="177"/>
      <c r="G151" s="177"/>
      <c r="H151" s="118"/>
      <c r="I151" s="118"/>
      <c r="J151" s="111"/>
      <c r="K151" s="111"/>
      <c r="L151" s="111"/>
      <c r="M151" s="111"/>
      <c r="N151" s="111"/>
      <c r="O151" s="228"/>
      <c r="P151" s="228"/>
      <c r="Q151" s="228"/>
      <c r="R151" s="228"/>
      <c r="S151" s="228"/>
      <c r="T151" s="228"/>
      <c r="U151" s="228"/>
      <c r="V151" s="228"/>
    </row>
    <row r="152" outlineLevel="1">
      <c r="A152" s="106"/>
      <c r="B152" s="288" t="s">
        <v>398</v>
      </c>
      <c r="C152" s="113" t="str">
        <f t="array" ref="C152">INDEX('回避'!$S$3:$U$84, MATCH($A$1,'回避'!$A$3:$A$91,0), MATCH(C147,'回避'!$S$2:$U$2,0))</f>
        <v>3-21</v>
      </c>
      <c r="D152" s="113" t="str">
        <f t="array" ref="D152">INDEX('回避'!$S$3:$U$84, MATCH($A$1,'回避'!$A$3:$A$91,0), MATCH(D147,'回避'!$S$2:$U$2,0))</f>
        <v>6-20</v>
      </c>
      <c r="E152" s="113" t="str">
        <f t="array" ref="E152">INDEX('回避'!$S$3:$U$84, MATCH($A$1,'回避'!$A$3:$A$91,0), MATCH(E147,'回避'!$S$2:$U$2,0))</f>
        <v>真横：96
真上：132
真下：78</v>
      </c>
      <c r="F152" s="289"/>
      <c r="G152" s="289"/>
      <c r="H152" s="118"/>
      <c r="I152" s="118"/>
      <c r="J152" s="117"/>
      <c r="K152" s="117"/>
      <c r="L152" s="117"/>
      <c r="M152" s="117"/>
      <c r="N152" s="111"/>
      <c r="O152" s="118"/>
      <c r="P152" s="118"/>
      <c r="Q152" s="118"/>
      <c r="R152" s="118"/>
      <c r="S152" s="118"/>
      <c r="T152" s="118"/>
      <c r="U152" s="118"/>
      <c r="V152" s="118"/>
    </row>
    <row r="153">
      <c r="A153" s="291"/>
      <c r="B153" s="292"/>
      <c r="C153" s="286"/>
      <c r="D153" s="286"/>
      <c r="E153" s="293"/>
      <c r="F153" s="286"/>
      <c r="G153" s="286"/>
      <c r="H153" s="286"/>
      <c r="I153" s="286"/>
      <c r="J153" s="111"/>
      <c r="K153" s="227"/>
      <c r="L153" s="227"/>
      <c r="M153" s="227"/>
      <c r="N153" s="227"/>
      <c r="O153" s="118"/>
      <c r="P153" s="118"/>
      <c r="Q153" s="118"/>
      <c r="R153" s="118"/>
      <c r="S153" s="118"/>
      <c r="T153" s="118"/>
      <c r="U153" s="118"/>
      <c r="V153" s="118"/>
    </row>
    <row r="154">
      <c r="A154" s="294" t="s">
        <v>238</v>
      </c>
      <c r="B154" s="104"/>
      <c r="C154" s="228"/>
      <c r="D154" s="117"/>
      <c r="E154" s="228"/>
      <c r="F154" s="114"/>
      <c r="G154" s="114"/>
      <c r="H154" s="117"/>
      <c r="I154" s="117"/>
      <c r="J154" s="118"/>
      <c r="K154" s="118"/>
      <c r="L154" s="118"/>
      <c r="M154" s="118"/>
      <c r="N154" s="118"/>
      <c r="O154" s="118"/>
      <c r="P154" s="118"/>
      <c r="Q154" s="118"/>
      <c r="R154" s="118"/>
      <c r="S154" s="118"/>
      <c r="T154" s="118"/>
      <c r="U154" s="118"/>
      <c r="V154" s="118"/>
    </row>
    <row r="155" outlineLevel="1">
      <c r="A155" s="106"/>
      <c r="B155" s="107"/>
      <c r="C155" s="295" t="s">
        <v>235</v>
      </c>
      <c r="D155" s="295" t="s">
        <v>49</v>
      </c>
      <c r="E155" s="295" t="s">
        <v>48</v>
      </c>
      <c r="F155" s="295" t="s">
        <v>50</v>
      </c>
      <c r="G155" s="296" t="s">
        <v>51</v>
      </c>
      <c r="H155" s="228"/>
      <c r="I155" s="228"/>
      <c r="J155" s="117"/>
      <c r="K155" s="297" t="str">
        <f>'テンプレート'!K116</f>
        <v>アイテム取得</v>
      </c>
      <c r="L155" s="109"/>
      <c r="M155" s="298" t="str">
        <f>'テンプレート'!M116</f>
        <v>取得フレーム</v>
      </c>
      <c r="N155" s="298" t="str">
        <f>'テンプレート'!N116</f>
        <v>全体フレーム</v>
      </c>
      <c r="O155" s="118"/>
      <c r="P155" s="118"/>
      <c r="Q155" s="118"/>
      <c r="R155" s="118"/>
      <c r="S155" s="118"/>
      <c r="T155" s="118"/>
      <c r="U155" s="118"/>
      <c r="V155" s="118"/>
    </row>
    <row r="156" outlineLevel="1">
      <c r="A156" s="299" t="s">
        <v>239</v>
      </c>
      <c r="B156" s="300" t="s">
        <v>240</v>
      </c>
      <c r="C156" s="301"/>
      <c r="D156" s="113">
        <f t="array" ref="D156">INDEX('崖行動・受け身'!$C$3:$C118, MATCH($A$1,'崖行動・受け身'!$A$3:$A$115,0), MATCH(D155,'崖行動・受け身'!$C$2,0))</f>
        <v>19</v>
      </c>
      <c r="E156" s="301"/>
      <c r="F156" s="301"/>
      <c r="G156" s="301"/>
      <c r="H156" s="228"/>
      <c r="I156" s="228"/>
      <c r="J156" s="111"/>
      <c r="K156" s="302" t="str">
        <f>'テンプレート'!K117</f>
        <v>小アイテム</v>
      </c>
      <c r="L156" s="303" t="str">
        <f>'テンプレート'!L117</f>
        <v>その場</v>
      </c>
      <c r="M156" s="113" t="s">
        <v>76</v>
      </c>
      <c r="N156" s="113">
        <v>7.0</v>
      </c>
      <c r="O156" s="118"/>
      <c r="P156" s="118"/>
      <c r="Q156" s="118"/>
      <c r="R156" s="118"/>
      <c r="S156" s="118"/>
      <c r="T156" s="118"/>
      <c r="U156" s="118"/>
      <c r="V156" s="118"/>
    </row>
    <row r="157" outlineLevel="1">
      <c r="A157" s="146"/>
      <c r="B157" s="300" t="s">
        <v>216</v>
      </c>
      <c r="C157" s="113" t="str">
        <f t="array" ref="C157">INDEX('崖行動・受け身'!$D$3:$E118, MATCH($A$1,'崖行動・受け身'!$A$3:$A$115,0), MATCH(C155,'崖行動・受け身'!$D$2:$E$2,0))</f>
        <v>1-33</v>
      </c>
      <c r="D157" s="113">
        <f t="array" ref="D157">INDEX('崖行動・受け身'!$D$3:$E118, MATCH($A$1,'崖行動・受け身'!$A$3:$A$115,0), MATCH(D155,'崖行動・受け身'!$D$2:$E$2,0))</f>
        <v>34</v>
      </c>
      <c r="E157" s="301"/>
      <c r="F157" s="301"/>
      <c r="G157" s="301"/>
      <c r="H157" s="228"/>
      <c r="I157" s="228"/>
      <c r="J157" s="117"/>
      <c r="K157" s="156"/>
      <c r="L157" s="303" t="str">
        <f>'テンプレート'!L118</f>
        <v>歩き</v>
      </c>
      <c r="M157" s="113" t="s">
        <v>76</v>
      </c>
      <c r="N157" s="113" t="s">
        <v>2413</v>
      </c>
      <c r="O157" s="118"/>
      <c r="P157" s="118"/>
      <c r="Q157" s="118"/>
      <c r="R157" s="118"/>
      <c r="S157" s="118"/>
      <c r="T157" s="118"/>
      <c r="U157" s="118"/>
      <c r="V157" s="118"/>
    </row>
    <row r="158" outlineLevel="1">
      <c r="A158" s="146"/>
      <c r="B158" s="300" t="s">
        <v>241</v>
      </c>
      <c r="C158" s="113" t="str">
        <f t="array" ref="C158">INDEX('崖行動・受け身'!$F$3:$G$115, MATCH($A$1,'崖行動・受け身'!$A$3:$A$115,0), MATCH(C155,'崖行動・受け身'!$F$2:$G$2,0))</f>
        <v>1-27</v>
      </c>
      <c r="D158" s="113">
        <f t="array" ref="D158">INDEX('崖行動・受け身'!$F$3:$G$115, MATCH($A$1,'崖行動・受け身'!$A$3:$A$115,0), MATCH(D155,'崖行動・受け身'!$F$2:$G$2,0))</f>
        <v>45</v>
      </c>
      <c r="E158" s="301"/>
      <c r="F158" s="301"/>
      <c r="G158" s="301"/>
      <c r="H158" s="228"/>
      <c r="I158" s="228"/>
      <c r="J158" s="111"/>
      <c r="K158" s="304" t="str">
        <f>'テンプレート'!K119</f>
        <v>アイテム投擲</v>
      </c>
      <c r="L158" s="109"/>
      <c r="M158" s="298" t="str">
        <f>'テンプレート'!M119</f>
        <v>投擲フレーム</v>
      </c>
      <c r="N158" s="298" t="str">
        <f>'テンプレート'!N119</f>
        <v>全体フレーム</v>
      </c>
      <c r="O158" s="118"/>
      <c r="P158" s="118"/>
      <c r="Q158" s="118"/>
      <c r="R158" s="118"/>
      <c r="S158" s="118"/>
      <c r="T158" s="118"/>
      <c r="U158" s="118"/>
      <c r="V158" s="118"/>
    </row>
    <row r="159" outlineLevel="1">
      <c r="A159" s="146"/>
      <c r="B159" s="300" t="s">
        <v>242</v>
      </c>
      <c r="C159" s="113" t="str">
        <f t="array" ref="C159">INDEX('崖行動・受け身'!$H$3:$I$115, MATCH($A$1,'崖行動・受け身'!$A$3:$A$115,0), MATCH(C155,'崖行動・受け身'!$H$2:$I$2,0))</f>
        <v>1-12</v>
      </c>
      <c r="D159" s="113">
        <f t="array" ref="D159">INDEX('崖行動・受け身'!$H$3:$I$115, MATCH($A$1,'崖行動・受け身'!$A$3:$A$115,0), MATCH(D155,'崖行動・受け身'!$H$2:$I$2,0))</f>
        <v>14</v>
      </c>
      <c r="E159" s="301"/>
      <c r="F159" s="301"/>
      <c r="G159" s="301"/>
      <c r="H159" s="228"/>
      <c r="I159" s="228"/>
      <c r="J159" s="117"/>
      <c r="K159" s="305" t="str">
        <f>'テンプレート'!K120</f>
        <v>地上投擲</v>
      </c>
      <c r="L159" s="303" t="str">
        <f>'テンプレート'!L120</f>
        <v>前投げ</v>
      </c>
      <c r="M159" s="113" t="s">
        <v>80</v>
      </c>
      <c r="N159" s="113">
        <v>24.0</v>
      </c>
      <c r="O159" s="111"/>
      <c r="P159" s="111"/>
      <c r="Q159" s="111"/>
      <c r="R159" s="111"/>
      <c r="S159" s="111"/>
      <c r="T159" s="111"/>
      <c r="U159" s="111"/>
      <c r="V159" s="111"/>
    </row>
    <row r="160" outlineLevel="1">
      <c r="A160" s="156"/>
      <c r="B160" s="300" t="s">
        <v>243</v>
      </c>
      <c r="C160" s="113" t="str">
        <f t="array" ref="C160">INDEX('崖行動・受け身'!$J$3:$M$115, MATCH($A$1,'崖行動・受け身'!$A$3:$A$115,0), MATCH(C155,'崖行動・受け身'!$J$2:$M$2,0))</f>
        <v>1-21</v>
      </c>
      <c r="D160" s="113">
        <f t="array" ref="D160">INDEX('崖行動・受け身'!$J$3:$M$115, MATCH($A$1,'崖行動・受け身'!$A$3:$A$115,0), MATCH(D155,'崖行動・受け身'!$J$2:$M$2,0))</f>
        <v>55</v>
      </c>
      <c r="E160" s="113" t="str">
        <f t="array" ref="E160">INDEX('崖行動・受け身'!$J$3:$M$115, MATCH($A$1,'崖行動・受け身'!$A$3:$A$115,0), MATCH(E155,'崖行動・受け身'!$J$2:$M$2,0))</f>
        <v>19-21</v>
      </c>
      <c r="F160" s="113">
        <f t="array" ref="F160">INDEX('崖行動・受け身'!$J$3:$M$115, MATCH($A$1,'崖行動・受け身'!$A$3:$A$115,0), MATCH(F155,'崖行動・受け身'!$J$2:$M$2,0))</f>
        <v>9</v>
      </c>
      <c r="G160" s="113">
        <f>F160*1.2</f>
        <v>10.8</v>
      </c>
      <c r="H160" s="228"/>
      <c r="I160" s="228"/>
      <c r="J160" s="111"/>
      <c r="K160" s="146"/>
      <c r="L160" s="303" t="str">
        <f>'テンプレート'!L121</f>
        <v>後投げ</v>
      </c>
      <c r="M160" s="113" t="s">
        <v>232</v>
      </c>
      <c r="N160" s="113" t="s">
        <v>268</v>
      </c>
      <c r="O160" s="111"/>
      <c r="P160" s="111"/>
      <c r="Q160" s="111"/>
      <c r="R160" s="111"/>
      <c r="S160" s="111"/>
      <c r="T160" s="111"/>
      <c r="U160" s="111"/>
      <c r="V160" s="111"/>
    </row>
    <row r="161" outlineLevel="1">
      <c r="A161" s="299" t="s">
        <v>244</v>
      </c>
      <c r="B161" s="300" t="s">
        <v>216</v>
      </c>
      <c r="C161" s="113" t="str">
        <f t="array" ref="C161">INDEX('崖行動・受け身'!$N$3:$O$115, MATCH($A$1,'崖行動・受け身'!$A$3:$A$115,0), MATCH(C155,'崖行動・受け身'!$N$2:$O$2,0))</f>
        <v>1-20</v>
      </c>
      <c r="D161" s="113">
        <f t="array" ref="D161">INDEX('崖行動・受け身'!$N$3:$O$115, MATCH($A$1,'崖行動・受け身'!$A$3:$A$115,0), MATCH(D155,'崖行動・受け身'!$N$2:$O$2,0))</f>
        <v>26</v>
      </c>
      <c r="E161" s="301"/>
      <c r="F161" s="301"/>
      <c r="G161" s="301"/>
      <c r="H161" s="228"/>
      <c r="I161" s="228"/>
      <c r="J161" s="117"/>
      <c r="K161" s="146"/>
      <c r="L161" s="303" t="str">
        <f>'テンプレート'!L122</f>
        <v>上投げ</v>
      </c>
      <c r="M161" s="113" t="s">
        <v>129</v>
      </c>
      <c r="N161" s="113">
        <v>23.0</v>
      </c>
      <c r="O161" s="228"/>
      <c r="P161" s="228"/>
      <c r="Q161" s="228"/>
      <c r="R161" s="228"/>
      <c r="S161" s="228"/>
      <c r="T161" s="228"/>
      <c r="U161" s="228"/>
      <c r="V161" s="228"/>
    </row>
    <row r="162" outlineLevel="1">
      <c r="A162" s="146"/>
      <c r="B162" s="300" t="s">
        <v>245</v>
      </c>
      <c r="C162" s="113" t="str">
        <f t="array" ref="C162">INDEX('崖行動・受け身'!$P$3:$Q$115, MATCH($A$1,'崖行動・受け身'!$A$3:$A$115,0), MATCH(C155,'崖行動・受け身'!$P$2:$Q$2,0))</f>
        <v>1-20</v>
      </c>
      <c r="D162" s="113">
        <f t="array" ref="D162">INDEX('崖行動・受け身'!$P$3:$Q$115, MATCH($A$1,'崖行動・受け身'!$A$3:$A$115,0), MATCH(D155,'崖行動・受け身'!$P$2:$Q$2,0))</f>
        <v>40</v>
      </c>
      <c r="E162" s="301"/>
      <c r="F162" s="301"/>
      <c r="G162" s="301"/>
      <c r="H162" s="228"/>
      <c r="I162" s="228"/>
      <c r="J162" s="111"/>
      <c r="K162" s="146"/>
      <c r="L162" s="303" t="str">
        <f>'テンプレート'!L123</f>
        <v>下投げ</v>
      </c>
      <c r="M162" s="113" t="s">
        <v>93</v>
      </c>
      <c r="N162" s="113" t="s">
        <v>296</v>
      </c>
      <c r="O162" s="118"/>
      <c r="P162" s="118"/>
      <c r="Q162" s="118"/>
      <c r="R162" s="118"/>
      <c r="S162" s="118"/>
      <c r="T162" s="118"/>
      <c r="U162" s="118"/>
      <c r="V162" s="118"/>
    </row>
    <row r="163" outlineLevel="1">
      <c r="A163" s="156"/>
      <c r="B163" s="300" t="s">
        <v>246</v>
      </c>
      <c r="C163" s="113" t="str">
        <f t="array" ref="C163">INDEX('崖行動・受け身'!$R$3:$S$115, MATCH($A$1,'崖行動・受け身'!$A$3:$A$115,0), MATCH(C155,'崖行動・受け身'!$R$2:$S$2,0))</f>
        <v>1-20</v>
      </c>
      <c r="D163" s="113">
        <f t="array" ref="D163">INDEX('崖行動・受け身'!$R$3:$S$115, MATCH($A$1,'崖行動・受け身'!$A$3:$A$115,0), MATCH(D155,'崖行動・受け身'!$R$2:$S$2,0))</f>
        <v>40</v>
      </c>
      <c r="E163" s="301"/>
      <c r="F163" s="301"/>
      <c r="G163" s="301"/>
      <c r="H163" s="228"/>
      <c r="I163" s="228"/>
      <c r="J163" s="117"/>
      <c r="K163" s="146"/>
      <c r="L163" s="306" t="str">
        <f>'テンプレート'!L124</f>
        <v>ダッシュ</v>
      </c>
      <c r="M163" s="113" t="s">
        <v>150</v>
      </c>
      <c r="N163" s="113" t="s">
        <v>99</v>
      </c>
      <c r="O163" s="118"/>
      <c r="P163" s="118"/>
      <c r="Q163" s="118"/>
      <c r="R163" s="118"/>
      <c r="S163" s="118"/>
      <c r="T163" s="118"/>
      <c r="U163" s="118"/>
      <c r="V163" s="118"/>
    </row>
    <row r="164" outlineLevel="1">
      <c r="A164" s="299" t="s">
        <v>247</v>
      </c>
      <c r="B164" s="300" t="s">
        <v>248</v>
      </c>
      <c r="C164" s="301"/>
      <c r="D164" s="113" t="str">
        <f t="array" ref="D164">INDEX('起きあがり'!$C$3:$C118, MATCH($A$1,'起きあがり'!$A$3:$A$115,0), MATCH(D155,'起きあがり'!$C$2:$AD$2,0))</f>
        <v>25</v>
      </c>
      <c r="E164" s="301"/>
      <c r="F164" s="301"/>
      <c r="G164" s="301"/>
      <c r="H164" s="228"/>
      <c r="I164" s="228"/>
      <c r="J164" s="111"/>
      <c r="K164" s="156"/>
      <c r="L164" s="306" t="str">
        <f>'テンプレート'!L125</f>
        <v>その場捨て</v>
      </c>
      <c r="M164" s="113" t="s">
        <v>93</v>
      </c>
      <c r="N164" s="113">
        <v>23.0</v>
      </c>
      <c r="O164" s="118"/>
      <c r="P164" s="118"/>
      <c r="Q164" s="118"/>
      <c r="R164" s="118"/>
      <c r="S164" s="118"/>
      <c r="T164" s="118"/>
      <c r="U164" s="118"/>
      <c r="V164" s="118"/>
    </row>
    <row r="165" outlineLevel="1">
      <c r="A165" s="146"/>
      <c r="B165" s="300" t="s">
        <v>216</v>
      </c>
      <c r="C165" s="307" t="str">
        <f t="array" ref="C165">INDEX('起きあがり'!$D$3:$E118, MATCH($A$1,'起きあがり'!$A$3:$A$115,0), MATCH(C155,'起きあがり'!$D$2:$AD$2,0))</f>
        <v>1-22</v>
      </c>
      <c r="D165" s="308">
        <f t="array" ref="D165">INDEX('起きあがり'!$D$3:$E118, MATCH($A$1,'起きあがり'!$A$3:$A$115,0), MATCH(D155,'起きあがり'!$D$2:$AD$2,0))</f>
        <v>29</v>
      </c>
      <c r="E165" s="301"/>
      <c r="F165" s="301"/>
      <c r="G165" s="301"/>
      <c r="H165" s="228"/>
      <c r="I165" s="228"/>
      <c r="J165" s="117"/>
      <c r="K165" s="305" t="str">
        <f>'テンプレート'!K126</f>
        <v>空中投擲</v>
      </c>
      <c r="L165" s="303" t="str">
        <f>'テンプレート'!L126</f>
        <v>前投げ</v>
      </c>
      <c r="M165" s="113" t="s">
        <v>80</v>
      </c>
      <c r="N165" s="113">
        <v>24.0</v>
      </c>
      <c r="O165" s="118"/>
      <c r="P165" s="118"/>
      <c r="Q165" s="118"/>
      <c r="R165" s="118"/>
      <c r="S165" s="118"/>
      <c r="T165" s="118"/>
      <c r="U165" s="118"/>
      <c r="V165" s="118"/>
    </row>
    <row r="166" outlineLevel="1">
      <c r="A166" s="146"/>
      <c r="B166" s="300" t="s">
        <v>245</v>
      </c>
      <c r="C166" s="307" t="str">
        <f t="array" ref="C166">INDEX('起きあがり'!$F$3:$G$115, MATCH($A$1,'起きあがり'!$A$3:$A$115,0), MATCH(C155,'起きあがり'!$F$2:$AD$2,0))</f>
        <v>1-22</v>
      </c>
      <c r="D166" s="308">
        <f t="array" ref="D166">INDEX('起きあがり'!$F$3:$G$115, MATCH($A$1,'起きあがり'!$A$3:$A$115,0), MATCH(D155,'起きあがり'!$F$2:$AD$2,0))</f>
        <v>35</v>
      </c>
      <c r="E166" s="301"/>
      <c r="F166" s="301"/>
      <c r="G166" s="301"/>
      <c r="H166" s="228"/>
      <c r="I166" s="228"/>
      <c r="J166" s="111"/>
      <c r="K166" s="146"/>
      <c r="L166" s="303" t="str">
        <f>'テンプレート'!L127</f>
        <v>後投げ</v>
      </c>
      <c r="M166" s="113" t="s">
        <v>232</v>
      </c>
      <c r="N166" s="113" t="s">
        <v>268</v>
      </c>
      <c r="O166" s="118"/>
      <c r="P166" s="118"/>
      <c r="Q166" s="118"/>
      <c r="R166" s="118"/>
      <c r="S166" s="118"/>
      <c r="T166" s="118"/>
      <c r="U166" s="118"/>
      <c r="V166" s="118"/>
    </row>
    <row r="167" outlineLevel="1">
      <c r="A167" s="146"/>
      <c r="B167" s="300" t="s">
        <v>246</v>
      </c>
      <c r="C167" s="113" t="str">
        <f t="array" ref="C167">INDEX('起きあがり'!$H$3:$I$115, MATCH($A$1,'起きあがり'!$A$3:$A$115,0), MATCH(C155,'起きあがり'!$H$2:$AD$2,0))</f>
        <v>1-22</v>
      </c>
      <c r="D167" s="113">
        <f t="array" ref="D167">INDEX('起きあがり'!$H$3:$I$115, MATCH($A$1,'起きあがり'!$A$3:$A$115,0), MATCH(D155,'起きあがり'!$H$2:$AD$2,0))</f>
        <v>35</v>
      </c>
      <c r="E167" s="301"/>
      <c r="F167" s="301"/>
      <c r="G167" s="301"/>
      <c r="H167" s="228"/>
      <c r="I167" s="228"/>
      <c r="J167" s="117"/>
      <c r="K167" s="146"/>
      <c r="L167" s="303" t="str">
        <f>'テンプレート'!L128</f>
        <v>上投げ</v>
      </c>
      <c r="M167" s="113" t="s">
        <v>129</v>
      </c>
      <c r="N167" s="113">
        <v>23.0</v>
      </c>
      <c r="O167" s="118"/>
      <c r="P167" s="118"/>
      <c r="Q167" s="118"/>
      <c r="R167" s="118"/>
      <c r="S167" s="118"/>
      <c r="T167" s="118"/>
      <c r="U167" s="118"/>
      <c r="V167" s="118"/>
    </row>
    <row r="168" outlineLevel="1">
      <c r="A168" s="146"/>
      <c r="B168" s="300" t="s">
        <v>249</v>
      </c>
      <c r="C168" s="309" t="str">
        <f t="array" ref="C168">INDEX('起きあがり'!$J$3:$M$115, MATCH($A$1,'起きあがり'!$A$3:$A$115,0), MATCH(C155,'起きあがり'!$J$2:$AD$2,0))</f>
        <v>1-21</v>
      </c>
      <c r="D168" s="310">
        <f t="array" ref="D168">INDEX('起きあがり'!$J$3:$M$115, MATCH($A$1,'起きあがり'!$A$3:$A$115,0), MATCH(D155,'起きあがり'!$J$2:$AD$2,0))</f>
        <v>45</v>
      </c>
      <c r="E168" s="307" t="str">
        <f t="array" ref="E168">INDEX('起きあがり'!$J$3:$M$115, MATCH($A$1,'起きあがり'!$A$3:$A$115,0), MATCH(E155,'起きあがり'!$J$2:$AD$2,0))</f>
        <v>16-17</v>
      </c>
      <c r="F168" s="308">
        <f t="array" ref="F168">INDEX('起きあがり'!$J$3:$M$115, MATCH($A$1,'起きあがり'!$A$3:$A$115,0), MATCH(F155,'起きあがり'!$J$2:$AD$2,0))</f>
        <v>7</v>
      </c>
      <c r="G168" s="113">
        <f t="shared" ref="G168:G169" si="1">F168*1.2</f>
        <v>8.4</v>
      </c>
      <c r="H168" s="228"/>
      <c r="I168" s="228"/>
      <c r="J168" s="111"/>
      <c r="K168" s="156"/>
      <c r="L168" s="303" t="str">
        <f>'テンプレート'!L129</f>
        <v>下投げ</v>
      </c>
      <c r="M168" s="113" t="s">
        <v>93</v>
      </c>
      <c r="N168" s="113" t="s">
        <v>296</v>
      </c>
      <c r="O168" s="111"/>
      <c r="P168" s="111"/>
      <c r="Q168" s="111"/>
      <c r="R168" s="111"/>
      <c r="S168" s="111"/>
      <c r="T168" s="111"/>
      <c r="U168" s="111"/>
      <c r="V168" s="111"/>
    </row>
    <row r="169" outlineLevel="1">
      <c r="A169" s="156"/>
      <c r="B169" s="311" t="s">
        <v>250</v>
      </c>
      <c r="C169" s="156"/>
      <c r="D169" s="156"/>
      <c r="E169" s="307" t="str">
        <f t="array" ref="E169">INDEX('起きあがり'!$N$3:$O$115, MATCH($A$1,'起きあがり'!$A$3:$A$115,0), MATCH(E155,'起きあがり'!$N$2:$AD$2,0))</f>
        <v>20-21</v>
      </c>
      <c r="F169" s="308">
        <f t="array" ref="F169">INDEX('起きあがり'!$N$3:$O$115, MATCH($A$1,'起きあがり'!$A$3:$A$115,0), MATCH(F155,'起きあがり'!$N$2:$AD$2,0))</f>
        <v>7</v>
      </c>
      <c r="G169" s="113">
        <f t="shared" si="1"/>
        <v>8.4</v>
      </c>
      <c r="H169" s="228"/>
      <c r="I169" s="228"/>
      <c r="J169" s="111"/>
      <c r="K169" s="312" t="str">
        <f>'テンプレート'!K130</f>
        <v>踏み台ジャンプ</v>
      </c>
      <c r="L169" s="168"/>
      <c r="M169" s="298" t="str">
        <f>'テンプレート'!M130</f>
        <v>全体フレーム</v>
      </c>
      <c r="N169" s="114"/>
      <c r="O169" s="111"/>
      <c r="P169" s="111"/>
      <c r="Q169" s="111"/>
      <c r="R169" s="111"/>
      <c r="S169" s="111"/>
      <c r="T169" s="111"/>
      <c r="U169" s="111"/>
      <c r="V169" s="111"/>
    </row>
    <row r="170" outlineLevel="1">
      <c r="A170" s="299" t="s">
        <v>251</v>
      </c>
      <c r="B170" s="300" t="s">
        <v>248</v>
      </c>
      <c r="C170" s="301"/>
      <c r="D170" s="307" t="str">
        <f t="array" ref="D170">INDEX('起きあがり'!$C$3:$C118, MATCH($A$1,'起きあがり'!$A$3:$A$115,0), MATCH(D155,'起きあがり'!$C$2,0))</f>
        <v>25</v>
      </c>
      <c r="E170" s="301"/>
      <c r="F170" s="301"/>
      <c r="G170" s="301"/>
      <c r="H170" s="228"/>
      <c r="I170" s="228"/>
      <c r="J170" s="117"/>
      <c r="K170" s="313" t="str">
        <f>'テンプレート'!K131</f>
        <v>踏み</v>
      </c>
      <c r="L170" s="314" t="str">
        <f>'テンプレート'!L131</f>
        <v>踏み</v>
      </c>
      <c r="M170" s="113">
        <v>8.0</v>
      </c>
      <c r="N170" s="315"/>
      <c r="O170" s="111"/>
      <c r="P170" s="111"/>
      <c r="Q170" s="111"/>
      <c r="R170" s="111"/>
      <c r="S170" s="111"/>
      <c r="T170" s="111"/>
      <c r="U170" s="111"/>
      <c r="V170" s="111"/>
    </row>
    <row r="171" outlineLevel="1">
      <c r="A171" s="146"/>
      <c r="B171" s="300" t="s">
        <v>216</v>
      </c>
      <c r="C171" s="307" t="str">
        <f t="array" ref="C171">INDEX('起きあがり'!$P$3:$Q$115, MATCH($A$1,'起きあがり'!$A$3:$A$115,0), MATCH(C155,'起きあがり'!$P$2:$AD$2,0))</f>
        <v>1-22</v>
      </c>
      <c r="D171" s="308">
        <f t="array" ref="D171">INDEX('起きあがり'!$P$3:$Q$115, MATCH($A$1,'起きあがり'!$A$3:$A$115,0), MATCH(D155,'起きあがり'!$P$2:$AD$2,0))</f>
        <v>29</v>
      </c>
      <c r="E171" s="301"/>
      <c r="F171" s="301"/>
      <c r="G171" s="301"/>
      <c r="H171" s="228"/>
      <c r="I171" s="228"/>
      <c r="J171" s="111"/>
      <c r="K171" s="305" t="str">
        <f>'テンプレート'!K132</f>
        <v>踏まれ</v>
      </c>
      <c r="L171" s="314" t="str">
        <f>'テンプレート'!L132</f>
        <v>地上踏まれ</v>
      </c>
      <c r="M171" s="113" t="s">
        <v>76</v>
      </c>
      <c r="N171" s="315"/>
      <c r="O171" s="228"/>
      <c r="P171" s="228"/>
      <c r="Q171" s="228"/>
      <c r="R171" s="228"/>
      <c r="S171" s="228"/>
      <c r="T171" s="228"/>
      <c r="U171" s="228"/>
      <c r="V171" s="228"/>
    </row>
    <row r="172" outlineLevel="1">
      <c r="A172" s="146"/>
      <c r="B172" s="300" t="s">
        <v>245</v>
      </c>
      <c r="C172" s="307" t="str">
        <f t="array" ref="C172">INDEX('起きあがり'!$R$3:$S$115, MATCH($A$1,'起きあがり'!$A$3:$A$115,0), MATCH(C155,'起きあがり'!$R$2:$AD$2,0))</f>
        <v>1-22</v>
      </c>
      <c r="D172" s="308">
        <f t="array" ref="D172">INDEX('起きあがり'!$R$3:$S$115, MATCH($A$1,'起きあがり'!$A$3:$A$115,0), MATCH(D155,'起きあがり'!$R$2:$AD$2,0))</f>
        <v>35</v>
      </c>
      <c r="E172" s="301"/>
      <c r="F172" s="301"/>
      <c r="G172" s="301"/>
      <c r="H172" s="228"/>
      <c r="I172" s="228"/>
      <c r="J172" s="117"/>
      <c r="K172" s="146"/>
      <c r="L172" s="314" t="str">
        <f>'テンプレート'!L133</f>
        <v>地上硬直</v>
      </c>
      <c r="M172" s="113">
        <v>28.0</v>
      </c>
      <c r="N172" s="102"/>
      <c r="O172" s="118"/>
      <c r="P172" s="118"/>
      <c r="Q172" s="118"/>
      <c r="R172" s="118"/>
      <c r="S172" s="118"/>
      <c r="T172" s="118"/>
      <c r="U172" s="118"/>
      <c r="V172" s="118"/>
    </row>
    <row r="173" outlineLevel="1">
      <c r="A173" s="146"/>
      <c r="B173" s="300" t="s">
        <v>246</v>
      </c>
      <c r="C173" s="307" t="str">
        <f t="array" ref="C173">INDEX('起きあがり'!$T$3:$U$115, MATCH($A$1,'起きあがり'!$A$3:$A$115,0), MATCH(C155,'起きあがり'!$T$2:$AD$2,0))</f>
        <v>1-22</v>
      </c>
      <c r="D173" s="308">
        <f t="array" ref="D173">INDEX('起きあがり'!$T$3:$U$115, MATCH($A$1,'起きあがり'!$A$3:$A$115,0), MATCH(D155,'起きあがり'!$T$2:$AD$2,0))</f>
        <v>35</v>
      </c>
      <c r="E173" s="301"/>
      <c r="F173" s="301"/>
      <c r="G173" s="301"/>
      <c r="H173" s="228"/>
      <c r="I173" s="228"/>
      <c r="J173" s="111"/>
      <c r="K173" s="146"/>
      <c r="L173" s="314" t="str">
        <f>'テンプレート'!L134</f>
        <v>空中踏まれ</v>
      </c>
      <c r="M173" s="113">
        <v>8.0</v>
      </c>
      <c r="N173" s="102"/>
      <c r="O173" s="118"/>
      <c r="P173" s="118"/>
      <c r="Q173" s="118"/>
      <c r="R173" s="118"/>
      <c r="S173" s="118"/>
      <c r="T173" s="118"/>
      <c r="U173" s="118"/>
      <c r="V173" s="118"/>
    </row>
    <row r="174" outlineLevel="1">
      <c r="A174" s="146"/>
      <c r="B174" s="300" t="s">
        <v>249</v>
      </c>
      <c r="C174" s="309" t="str">
        <f t="array" ref="C174">INDEX('起きあがり'!$V$3:$Y$115, MATCH($A$1,'起きあがり'!$A$3:$A$115,0), MATCH(C155,'起きあがり'!$V$2:$AD$2,0))</f>
        <v>1-21</v>
      </c>
      <c r="D174" s="310">
        <f t="array" ref="D174">INDEX('起きあがり'!$V$3:$Y$115, MATCH($A$1,'起きあがり'!$A$3:$A$115,0), MATCH(D155,'起きあがり'!$V$2:$AD$2,0))</f>
        <v>45</v>
      </c>
      <c r="E174" s="307" t="str">
        <f t="array" ref="E174">INDEX('起きあがり'!$V$3:$Y$115, MATCH($A$1,'起きあがり'!$A$3:$A$115,0), MATCH(E155,'起きあがり'!$V$2:$AD$2,0))</f>
        <v>16-17</v>
      </c>
      <c r="F174" s="308">
        <f t="array" ref="F174">INDEX('起きあがり'!$V$3:$Y$115, MATCH($A$1,'起きあがり'!$A$3:$A$115,0), MATCH(F155,'起きあがり'!$V$2:$AD$2,0))</f>
        <v>7</v>
      </c>
      <c r="G174" s="113">
        <f t="shared" ref="G174:G175" si="2">F174*1.2</f>
        <v>8.4</v>
      </c>
      <c r="H174" s="228"/>
      <c r="I174" s="228"/>
      <c r="J174" s="117"/>
      <c r="K174" s="146"/>
      <c r="L174" s="314" t="str">
        <f>'テンプレート'!L135</f>
        <v>空中落下</v>
      </c>
      <c r="M174" s="113">
        <v>39.0</v>
      </c>
      <c r="N174" s="102"/>
      <c r="O174" s="118"/>
      <c r="P174" s="118"/>
      <c r="Q174" s="118"/>
      <c r="R174" s="118"/>
      <c r="S174" s="118"/>
      <c r="T174" s="118"/>
      <c r="U174" s="118"/>
      <c r="V174" s="118"/>
    </row>
    <row r="175" outlineLevel="1">
      <c r="A175" s="156"/>
      <c r="B175" s="311" t="s">
        <v>250</v>
      </c>
      <c r="C175" s="156"/>
      <c r="D175" s="156"/>
      <c r="E175" s="307" t="str">
        <f t="array" ref="E175">INDEX('起きあがり'!$Z$3:$AA$115, MATCH($A$1,'起きあがり'!$A$3:$A$115,0), MATCH(E155,'起きあがり'!$Z$2:$AD$2,0))</f>
        <v>20-21</v>
      </c>
      <c r="F175" s="308">
        <f t="array" ref="F175">INDEX('起きあがり'!$Z$3:$AA$115, MATCH($A$1,'起きあがり'!$A$3:$A$115,0), MATCH(F155,'起きあがり'!$Z$2:$AD$2,0))</f>
        <v>7</v>
      </c>
      <c r="G175" s="113">
        <f t="shared" si="2"/>
        <v>8.4</v>
      </c>
      <c r="H175" s="228"/>
      <c r="I175" s="228"/>
      <c r="J175" s="117"/>
      <c r="K175" s="304" t="str">
        <f>'テンプレート'!K136</f>
        <v>倒れダメージ</v>
      </c>
      <c r="L175" s="110"/>
      <c r="M175" s="298" t="str">
        <f>'テンプレート'!M136</f>
        <v>全体フレーム</v>
      </c>
      <c r="N175" s="102"/>
      <c r="O175" s="118"/>
      <c r="P175" s="118"/>
      <c r="Q175" s="118"/>
      <c r="R175" s="118"/>
      <c r="S175" s="118"/>
      <c r="T175" s="118"/>
      <c r="U175" s="118"/>
      <c r="V175" s="118"/>
    </row>
    <row r="176" outlineLevel="1">
      <c r="A176" s="299" t="s">
        <v>252</v>
      </c>
      <c r="B176" s="300" t="s">
        <v>253</v>
      </c>
      <c r="C176" s="307" t="str">
        <f t="array" ref="C176">INDEX('転倒'!$C$3:$D118, MATCH($A$1,'転倒'!$A$3:$A$115,0), MATCH(C155,'転倒'!$C$2:$AC$2,0))</f>
        <v>1-5</v>
      </c>
      <c r="D176" s="308">
        <f t="array" ref="D176">INDEX('転倒'!$C$3:$D118, MATCH($A$1,'転倒'!$A$3:$A$115,0), MATCH(D155,'転倒'!$C$2:$AC$2,0))</f>
        <v>29</v>
      </c>
      <c r="E176" s="301"/>
      <c r="F176" s="301"/>
      <c r="G176" s="301"/>
      <c r="H176" s="228"/>
      <c r="I176" s="228"/>
      <c r="J176" s="111"/>
      <c r="K176" s="313" t="str">
        <f>'テンプレート'!K137</f>
        <v>あお向け倒れ</v>
      </c>
      <c r="L176" s="306" t="str">
        <f>'テンプレート'!L137</f>
        <v>モーション大</v>
      </c>
      <c r="M176" s="113">
        <v>39.0</v>
      </c>
      <c r="N176" s="315"/>
      <c r="O176" s="118"/>
      <c r="P176" s="118"/>
      <c r="Q176" s="118"/>
      <c r="R176" s="118"/>
      <c r="S176" s="118"/>
      <c r="T176" s="118"/>
      <c r="U176" s="118"/>
      <c r="V176" s="118"/>
    </row>
    <row r="177" outlineLevel="1">
      <c r="A177" s="146"/>
      <c r="B177" s="300" t="s">
        <v>254</v>
      </c>
      <c r="C177" s="307" t="str">
        <f t="array" ref="C177">INDEX('転倒'!$E$3:$F118, MATCH($A$1,'転倒'!$A$3:$A$115,0), MATCH(C155,'転倒'!$E$2:$AC$2,0))</f>
        <v>1-5</v>
      </c>
      <c r="D177" s="308">
        <f t="array" ref="D177">INDEX('転倒'!$E$3:$F118, MATCH($A$1,'転倒'!$A$3:$A$115,0), MATCH(D155,'転倒'!$E$2:$AC$2,0))</f>
        <v>39</v>
      </c>
      <c r="E177" s="301"/>
      <c r="F177" s="301"/>
      <c r="G177" s="301"/>
      <c r="H177" s="228"/>
      <c r="I177" s="228"/>
      <c r="J177" s="117"/>
      <c r="K177" s="313" t="str">
        <f>'テンプレート'!K138</f>
        <v>うつ伏せ倒れ</v>
      </c>
      <c r="L177" s="306" t="str">
        <f>'テンプレート'!L138</f>
        <v>モーション大</v>
      </c>
      <c r="M177" s="113" t="s">
        <v>118</v>
      </c>
      <c r="N177" s="315"/>
      <c r="O177" s="118"/>
      <c r="P177" s="118"/>
      <c r="Q177" s="118"/>
      <c r="R177" s="118"/>
      <c r="S177" s="118"/>
      <c r="T177" s="118"/>
      <c r="U177" s="118"/>
      <c r="V177" s="118"/>
    </row>
    <row r="178" outlineLevel="1">
      <c r="A178" s="146"/>
      <c r="B178" s="300" t="s">
        <v>216</v>
      </c>
      <c r="C178" s="307" t="str">
        <f t="array" ref="C178">INDEX('転倒'!$G$3:$H$115, MATCH($A$1,'転倒'!$A$3:$A$115,0), MATCH(C155,'転倒'!$G$2:$AC$2,0))</f>
        <v>1-16</v>
      </c>
      <c r="D178" s="308">
        <f t="array" ref="D178">INDEX('転倒'!$G$3:$H$115, MATCH($A$1,'転倒'!$A$3:$A$115,0), MATCH(D155,'転倒'!$G$2:$AC$2,0))</f>
        <v>21</v>
      </c>
      <c r="E178" s="301"/>
      <c r="F178" s="301"/>
      <c r="G178" s="301"/>
      <c r="H178" s="228"/>
      <c r="I178" s="228"/>
      <c r="J178" s="111"/>
      <c r="K178" s="304" t="str">
        <f>'テンプレート'!K139</f>
        <v/>
      </c>
      <c r="L178" s="110"/>
      <c r="M178" s="298" t="str">
        <f>'テンプレート'!M139</f>
        <v/>
      </c>
      <c r="N178" s="102"/>
      <c r="O178" s="118"/>
      <c r="P178" s="118"/>
      <c r="Q178" s="118"/>
      <c r="R178" s="118"/>
      <c r="S178" s="118"/>
      <c r="T178" s="118"/>
      <c r="U178" s="118"/>
      <c r="V178" s="118"/>
    </row>
    <row r="179" outlineLevel="1">
      <c r="A179" s="146"/>
      <c r="B179" s="300" t="s">
        <v>245</v>
      </c>
      <c r="C179" s="307" t="str">
        <f t="array" ref="C179">INDEX('転倒'!$I$3:$J$115, MATCH($A$1,'転倒'!$A$3:$A$115,0), MATCH(C155,'転倒'!$I$2:$AC$2,0))</f>
        <v>1-9</v>
      </c>
      <c r="D179" s="308">
        <f t="array" ref="D179">INDEX('転倒'!$I$3:$J$115, MATCH($A$1,'転倒'!$A$3:$A$115,0), MATCH(D155,'転倒'!$I$2:$AC$2,0))</f>
        <v>28</v>
      </c>
      <c r="E179" s="301"/>
      <c r="F179" s="301"/>
      <c r="G179" s="301"/>
      <c r="H179" s="228"/>
      <c r="I179" s="228"/>
      <c r="J179" s="228"/>
      <c r="K179" s="316"/>
      <c r="L179" s="317" t="str">
        <f>'テンプレート'!L140</f>
        <v/>
      </c>
      <c r="M179" s="113" t="s">
        <v>76</v>
      </c>
      <c r="N179" s="102"/>
      <c r="O179" s="118"/>
      <c r="P179" s="118"/>
      <c r="Q179" s="118"/>
      <c r="R179" s="118"/>
      <c r="S179" s="118"/>
      <c r="T179" s="118"/>
      <c r="U179" s="118"/>
      <c r="V179" s="118"/>
    </row>
    <row r="180" outlineLevel="1">
      <c r="A180" s="146"/>
      <c r="B180" s="300" t="s">
        <v>246</v>
      </c>
      <c r="C180" s="307" t="str">
        <f t="array" ref="C180">INDEX('転倒'!$K$3:$L$115, MATCH($A$1,'転倒'!$A$3:$A$115,0), MATCH(C155,'転倒'!$K$2:$AC$2,0))</f>
        <v>1-9</v>
      </c>
      <c r="D180" s="308">
        <f t="array" ref="D180">INDEX('転倒'!$K$3:$L$115, MATCH($A$1,'転倒'!$A$3:$A$115,0), MATCH(D155,'転倒'!$K$2:$AC$2,0))</f>
        <v>28</v>
      </c>
      <c r="E180" s="301"/>
      <c r="F180" s="301"/>
      <c r="G180" s="301"/>
      <c r="H180" s="228"/>
      <c r="I180" s="228"/>
      <c r="J180" s="228"/>
      <c r="K180" s="318"/>
      <c r="L180" s="118"/>
      <c r="M180" s="118"/>
      <c r="N180" s="102"/>
      <c r="O180" s="118"/>
      <c r="P180" s="118"/>
      <c r="Q180" s="118"/>
      <c r="R180" s="118"/>
      <c r="S180" s="118"/>
      <c r="T180" s="118"/>
      <c r="U180" s="118"/>
      <c r="V180" s="118"/>
    </row>
    <row r="181" outlineLevel="1">
      <c r="A181" s="146"/>
      <c r="B181" s="300" t="s">
        <v>249</v>
      </c>
      <c r="C181" s="309" t="str">
        <f t="array" ref="C181">INDEX('転倒'!$M$3:$P$115, MATCH($A$1,'転倒'!$A$3:$A$115,0), MATCH(C155,'転倒'!$M$2:$AC$2,0))</f>
        <v>1-7</v>
      </c>
      <c r="D181" s="310">
        <f t="array" ref="D181">INDEX('転倒'!$M$3:$P$115, MATCH($A$1,'転倒'!$A$3:$A$115,0), MATCH(D155,'転倒'!$M$2:$AC$2,0))</f>
        <v>49</v>
      </c>
      <c r="E181" s="307" t="str">
        <f t="array" ref="E181">INDEX('転倒'!$M$3:$P$115, MATCH($A$1,'転倒'!$A$3:$A$115,0), MATCH(E155,'転倒'!$M$2:$AC$2,0))</f>
        <v>12-13</v>
      </c>
      <c r="F181" s="308">
        <f t="array" ref="F181">INDEX('転倒'!$M$3:$P$115, MATCH($A$1,'転倒'!$A$3:$A$115,0), MATCH(F155,'転倒'!$M$2:$AC$2,0))</f>
        <v>5</v>
      </c>
      <c r="G181" s="113">
        <f t="shared" ref="G181:G182" si="3">F181*1.2</f>
        <v>6</v>
      </c>
      <c r="H181" s="228"/>
      <c r="I181" s="228"/>
      <c r="J181" s="228"/>
      <c r="K181" s="118"/>
      <c r="L181" s="118"/>
      <c r="M181" s="118"/>
      <c r="N181" s="102"/>
      <c r="O181" s="102"/>
      <c r="P181" s="102"/>
      <c r="Q181" s="102"/>
      <c r="R181" s="118"/>
      <c r="S181" s="118"/>
      <c r="T181" s="118"/>
      <c r="U181" s="118"/>
      <c r="V181" s="118"/>
    </row>
    <row r="182" outlineLevel="1">
      <c r="A182" s="156"/>
      <c r="B182" s="311" t="s">
        <v>250</v>
      </c>
      <c r="C182" s="156"/>
      <c r="D182" s="156"/>
      <c r="E182" s="307" t="str">
        <f t="array" ref="E182">INDEX('転倒'!$Q$3:$R$115, MATCH($A$1,'転倒'!$A$3:$A$115,0), MATCH(E155,'転倒'!$Q$2:$AC$2,0))</f>
        <v>14-15</v>
      </c>
      <c r="F182" s="308">
        <f t="array" ref="F182">INDEX('転倒'!$Q$3:$R$115, MATCH($A$1,'転倒'!$A$3:$A$115,0), MATCH(F155,'転倒'!$Q$2:$AC$2,0))</f>
        <v>5</v>
      </c>
      <c r="G182" s="113">
        <f t="shared" si="3"/>
        <v>6</v>
      </c>
      <c r="H182" s="228"/>
      <c r="I182" s="228"/>
      <c r="J182" s="228"/>
      <c r="K182" s="118"/>
      <c r="L182" s="118"/>
      <c r="M182" s="118"/>
      <c r="N182" s="102"/>
      <c r="O182" s="102"/>
      <c r="P182" s="102"/>
      <c r="Q182" s="102"/>
      <c r="R182" s="118"/>
      <c r="S182" s="118"/>
      <c r="T182" s="118"/>
      <c r="U182" s="118"/>
      <c r="V182" s="118"/>
    </row>
    <row r="183" outlineLevel="1">
      <c r="A183" s="319"/>
      <c r="B183" s="320"/>
      <c r="C183" s="321"/>
      <c r="D183" s="321"/>
      <c r="E183" s="322"/>
      <c r="F183" s="322"/>
      <c r="G183" s="114"/>
      <c r="H183" s="228"/>
      <c r="I183" s="228"/>
      <c r="J183" s="228"/>
      <c r="K183" s="118"/>
      <c r="L183" s="118"/>
      <c r="M183" s="118"/>
      <c r="N183" s="102"/>
      <c r="O183" s="102"/>
      <c r="P183" s="102"/>
      <c r="Q183" s="102"/>
      <c r="R183" s="118"/>
      <c r="S183" s="118"/>
      <c r="T183" s="118"/>
      <c r="U183" s="118"/>
      <c r="V183" s="118"/>
    </row>
    <row r="184" outlineLevel="1">
      <c r="A184" s="323" t="s">
        <v>255</v>
      </c>
      <c r="B184" s="109"/>
      <c r="C184" s="321"/>
      <c r="D184" s="321"/>
      <c r="E184" s="322"/>
      <c r="F184" s="322"/>
      <c r="G184" s="114"/>
      <c r="H184" s="228"/>
      <c r="I184" s="228"/>
      <c r="J184" s="228"/>
      <c r="K184" s="118"/>
      <c r="L184" s="118"/>
      <c r="M184" s="118"/>
      <c r="N184" s="102"/>
      <c r="O184" s="102"/>
      <c r="P184" s="102"/>
      <c r="Q184" s="102"/>
      <c r="R184" s="118"/>
      <c r="S184" s="118"/>
      <c r="T184" s="118"/>
      <c r="U184" s="118"/>
      <c r="V184" s="118"/>
    </row>
    <row r="185" outlineLevel="1">
      <c r="A185" s="324" t="s">
        <v>256</v>
      </c>
      <c r="B185" s="109"/>
      <c r="C185" s="325" t="s">
        <v>257</v>
      </c>
      <c r="D185" s="325" t="s">
        <v>49</v>
      </c>
      <c r="E185" s="322"/>
      <c r="F185" s="322"/>
      <c r="G185" s="114"/>
      <c r="H185" s="228"/>
      <c r="I185" s="228"/>
      <c r="J185" s="228"/>
      <c r="K185" s="118"/>
      <c r="L185" s="118"/>
      <c r="M185" s="118"/>
      <c r="N185" s="102"/>
      <c r="O185" s="102"/>
      <c r="P185" s="102"/>
      <c r="Q185" s="102"/>
      <c r="R185" s="118"/>
      <c r="S185" s="118"/>
      <c r="T185" s="118"/>
      <c r="U185" s="118"/>
      <c r="V185" s="118"/>
    </row>
    <row r="186" outlineLevel="1">
      <c r="A186" s="326" t="s">
        <v>258</v>
      </c>
      <c r="B186" s="327" t="s">
        <v>216</v>
      </c>
      <c r="C186" s="328" t="str">
        <f t="array" ref="C186">INDEX('アイテム'!$C$3:$D$114, MATCH($A$1,'アイテム'!$A$3:$A$114,0), MATCH(C185,'アイテム'!$C$2:$AQ$2,0))</f>
        <v>2</v>
      </c>
      <c r="D186" s="328">
        <f t="array" ref="D186">INDEX('アイテム'!$C$3:$D$114, MATCH($A$1,'アイテム'!$A$3:$A$114,0), MATCH(D185,'アイテム'!$C$2:$AQ$2,0))</f>
        <v>7</v>
      </c>
      <c r="E186" s="322"/>
      <c r="F186" s="322"/>
      <c r="G186" s="114"/>
      <c r="H186" s="228"/>
      <c r="I186" s="228"/>
      <c r="J186" s="228"/>
      <c r="K186" s="118"/>
      <c r="L186" s="118"/>
      <c r="M186" s="118"/>
      <c r="N186" s="102"/>
      <c r="O186" s="102"/>
      <c r="P186" s="102"/>
      <c r="Q186" s="102"/>
      <c r="R186" s="118"/>
      <c r="S186" s="118"/>
      <c r="T186" s="118"/>
      <c r="U186" s="118"/>
      <c r="V186" s="118"/>
    </row>
    <row r="187" outlineLevel="1">
      <c r="A187" s="156"/>
      <c r="B187" s="327" t="s">
        <v>219</v>
      </c>
      <c r="C187" s="328" t="str">
        <f t="array" ref="C187">INDEX('アイテム'!$E$3:$F$114, MATCH($A$1,'アイテム'!$A$3:$A$114,0), MATCH(C185,'アイテム'!$C$2:$AQ$2,0))</f>
        <v>2</v>
      </c>
      <c r="D187" s="328">
        <f t="array" ref="D187">INDEX('アイテム'!$E$3:$F$114, MATCH($A$1,'アイテム'!$A$3:$A$114,0), MATCH(D185,'アイテム'!$C$2:$AQ$2,0))</f>
        <v>19</v>
      </c>
      <c r="E187" s="322"/>
      <c r="F187" s="322"/>
      <c r="G187" s="114"/>
      <c r="H187" s="228"/>
      <c r="I187" s="228"/>
      <c r="J187" s="228"/>
      <c r="K187" s="118"/>
      <c r="L187" s="118"/>
      <c r="M187" s="118"/>
      <c r="N187" s="102"/>
      <c r="O187" s="102"/>
      <c r="P187" s="102"/>
      <c r="Q187" s="102"/>
      <c r="R187" s="118"/>
      <c r="S187" s="118"/>
      <c r="T187" s="118"/>
      <c r="U187" s="118"/>
      <c r="V187" s="118"/>
    </row>
    <row r="188" outlineLevel="1">
      <c r="A188" s="329" t="s">
        <v>259</v>
      </c>
      <c r="B188" s="327" t="s">
        <v>216</v>
      </c>
      <c r="C188" s="328">
        <f t="array" ref="C188">INDEX('アイテム'!$AA$3:$AB$114, MATCH($A$1,'アイテム'!$A$3:$A$114,0), MATCH(C185,'アイテム'!$C$2:$AQ$2,0))</f>
        <v>2</v>
      </c>
      <c r="D188" s="328" t="str">
        <f t="array" ref="D188">INDEX('アイテム'!$AA$3:$AB$114, MATCH($A$1,'アイテム'!$A$3:$A$114,0), MATCH(D185,'アイテム'!$C$2:$AQ$2,0))</f>
        <v>12</v>
      </c>
      <c r="E188" s="322"/>
      <c r="F188" s="322"/>
      <c r="G188" s="114"/>
      <c r="H188" s="228"/>
      <c r="I188" s="228"/>
      <c r="J188" s="228"/>
      <c r="K188" s="118"/>
      <c r="L188" s="118"/>
      <c r="M188" s="118"/>
      <c r="N188" s="102"/>
      <c r="O188" s="102"/>
      <c r="P188" s="102"/>
      <c r="Q188" s="102"/>
      <c r="R188" s="118"/>
      <c r="S188" s="118"/>
      <c r="T188" s="118"/>
      <c r="U188" s="118"/>
      <c r="V188" s="118"/>
    </row>
    <row r="189" outlineLevel="1">
      <c r="A189" s="324" t="s">
        <v>260</v>
      </c>
      <c r="B189" s="109"/>
      <c r="C189" s="325" t="s">
        <v>261</v>
      </c>
      <c r="D189" s="325" t="s">
        <v>49</v>
      </c>
      <c r="E189" s="322"/>
      <c r="F189" s="322"/>
      <c r="G189" s="114"/>
      <c r="H189" s="228"/>
      <c r="I189" s="228"/>
      <c r="J189" s="228"/>
      <c r="K189" s="118"/>
      <c r="L189" s="118"/>
      <c r="M189" s="118"/>
      <c r="N189" s="102"/>
      <c r="O189" s="102"/>
      <c r="P189" s="102"/>
      <c r="Q189" s="102"/>
      <c r="R189" s="118"/>
      <c r="S189" s="118"/>
      <c r="T189" s="118"/>
      <c r="U189" s="118"/>
      <c r="V189" s="118"/>
    </row>
    <row r="190" outlineLevel="1">
      <c r="A190" s="326" t="s">
        <v>262</v>
      </c>
      <c r="B190" s="327" t="s">
        <v>226</v>
      </c>
      <c r="C190" s="328" t="str">
        <f t="array" ref="C190">INDEX('アイテム'!$G$3:$H$114, MATCH($A$1,'アイテム'!$A$3:$A$114,0), MATCH(C185,'アイテム'!$C$2:$AQ$2,0))</f>
        <v>8</v>
      </c>
      <c r="D190" s="328">
        <f t="array" ref="D190">INDEX('アイテム'!$G$3:$H$114, MATCH($A$1,'アイテム'!$A$3:$A$114,0), MATCH(D185,'アイテム'!$C$2:$AQ$2,0))</f>
        <v>24</v>
      </c>
      <c r="E190" s="322"/>
      <c r="F190" s="322"/>
      <c r="G190" s="114"/>
      <c r="H190" s="228"/>
      <c r="I190" s="228"/>
      <c r="J190" s="228"/>
      <c r="K190" s="118"/>
      <c r="L190" s="118"/>
      <c r="M190" s="118"/>
      <c r="N190" s="102"/>
      <c r="O190" s="102"/>
      <c r="P190" s="102"/>
      <c r="Q190" s="102"/>
      <c r="R190" s="118"/>
      <c r="S190" s="118"/>
      <c r="T190" s="118"/>
      <c r="U190" s="118"/>
      <c r="V190" s="118"/>
    </row>
    <row r="191" outlineLevel="1">
      <c r="A191" s="146"/>
      <c r="B191" s="327" t="s">
        <v>229</v>
      </c>
      <c r="C191" s="328" t="str">
        <f t="array" ref="C191">INDEX('アイテム'!$I$3:$J$114, MATCH($A$1,'アイテム'!$A$3:$A$114,0), MATCH(C185,'アイテム'!$C$2:$AQ$2,0))</f>
        <v>11</v>
      </c>
      <c r="D191" s="328">
        <f t="array" ref="D191">INDEX('アイテム'!$I$3:$J$114, MATCH($A$1,'アイテム'!$A$3:$A$114,0), MATCH(D185,'アイテム'!$C$2:$AQ$2,0))</f>
        <v>24</v>
      </c>
      <c r="E191" s="322"/>
      <c r="F191" s="322"/>
      <c r="G191" s="114"/>
      <c r="H191" s="228"/>
      <c r="I191" s="228"/>
      <c r="J191" s="228"/>
      <c r="K191" s="118"/>
      <c r="L191" s="118"/>
      <c r="M191" s="118"/>
      <c r="N191" s="102"/>
      <c r="O191" s="102"/>
      <c r="P191" s="102"/>
      <c r="Q191" s="102"/>
      <c r="R191" s="118"/>
      <c r="S191" s="118"/>
      <c r="T191" s="118"/>
      <c r="U191" s="118"/>
      <c r="V191" s="118"/>
    </row>
    <row r="192" outlineLevel="1">
      <c r="A192" s="146"/>
      <c r="B192" s="327" t="s">
        <v>233</v>
      </c>
      <c r="C192" s="328" t="str">
        <f t="array" ref="C192">INDEX('アイテム'!$K$3:$L$114, MATCH($A$1,'アイテム'!$A$3:$A$114,0), MATCH(C185,'アイテム'!$C$2:$AQ$2,0))</f>
        <v>12</v>
      </c>
      <c r="D192" s="328">
        <f t="array" ref="D192">INDEX('アイテム'!$K$3:$L$114, MATCH($A$1,'アイテム'!$A$3:$A$114,0), MATCH(D185,'アイテム'!$C$2:$AQ$2,0))</f>
        <v>23</v>
      </c>
      <c r="E192" s="322"/>
      <c r="F192" s="322"/>
      <c r="G192" s="114"/>
      <c r="H192" s="228"/>
      <c r="I192" s="228"/>
      <c r="J192" s="228"/>
      <c r="K192" s="118"/>
      <c r="L192" s="118"/>
      <c r="M192" s="118"/>
      <c r="N192" s="102"/>
      <c r="O192" s="102"/>
      <c r="P192" s="102"/>
      <c r="Q192" s="102"/>
      <c r="R192" s="118"/>
      <c r="S192" s="118"/>
      <c r="T192" s="118"/>
      <c r="U192" s="118"/>
      <c r="V192" s="118"/>
    </row>
    <row r="193" outlineLevel="1">
      <c r="A193" s="146"/>
      <c r="B193" s="327" t="s">
        <v>234</v>
      </c>
      <c r="C193" s="328" t="str">
        <f t="array" ref="C193">INDEX('アイテム'!$M$3:$N$114, MATCH($A$1,'アイテム'!$A$3:$A$114,0), MATCH(C185,'アイテム'!$C$2:$AQ$2,0))</f>
        <v>7</v>
      </c>
      <c r="D193" s="328">
        <f t="array" ref="D193">INDEX('アイテム'!$M$3:$N$114, MATCH($A$1,'アイテム'!$A$3:$A$114,0), MATCH(D185,'アイテム'!$C$2:$AQ$2,0))</f>
        <v>19</v>
      </c>
      <c r="E193" s="322"/>
      <c r="F193" s="322"/>
      <c r="G193" s="114"/>
      <c r="H193" s="228"/>
      <c r="I193" s="228"/>
      <c r="J193" s="228"/>
      <c r="K193" s="118"/>
      <c r="L193" s="118"/>
      <c r="M193" s="118"/>
      <c r="N193" s="102"/>
      <c r="O193" s="102"/>
      <c r="P193" s="102"/>
      <c r="Q193" s="102"/>
      <c r="R193" s="118"/>
      <c r="S193" s="118"/>
      <c r="T193" s="118"/>
      <c r="U193" s="118"/>
      <c r="V193" s="118"/>
    </row>
    <row r="194" outlineLevel="1">
      <c r="A194" s="146"/>
      <c r="B194" s="327" t="s">
        <v>219</v>
      </c>
      <c r="C194" s="328" t="str">
        <f t="array" ref="C194">INDEX('アイテム'!$O$3:$P$114, MATCH($A$1,'アイテム'!$A$3:$A$114,0), MATCH(C185,'アイテム'!$C$2:$AQ$2,0))</f>
        <v>5</v>
      </c>
      <c r="D194" s="328">
        <f t="array" ref="D194">INDEX('アイテム'!$O$3:$P$114, MATCH($A$1,'アイテム'!$A$3:$A$114,0), MATCH(D185,'アイテム'!$C$2:$AQ$2,0))</f>
        <v>29</v>
      </c>
      <c r="E194" s="322"/>
      <c r="F194" s="322"/>
      <c r="G194" s="114"/>
      <c r="H194" s="228"/>
      <c r="I194" s="228"/>
      <c r="J194" s="228"/>
      <c r="K194" s="118"/>
      <c r="L194" s="118"/>
      <c r="M194" s="118"/>
      <c r="N194" s="102"/>
      <c r="O194" s="102"/>
      <c r="P194" s="102"/>
      <c r="Q194" s="102"/>
      <c r="R194" s="118"/>
      <c r="S194" s="118"/>
      <c r="T194" s="118"/>
      <c r="U194" s="118"/>
      <c r="V194" s="118"/>
    </row>
    <row r="195" outlineLevel="1">
      <c r="A195" s="156"/>
      <c r="B195" s="327" t="s">
        <v>263</v>
      </c>
      <c r="C195" s="328" t="str">
        <f t="array" ref="C195">INDEX('アイテム'!$Q$3:$R$114, MATCH($A$1,'アイテム'!$A$3:$A$114,0), MATCH(C185,'アイテム'!$C$2:$AQ$2,0))</f>
        <v>6</v>
      </c>
      <c r="D195" s="328">
        <f t="array" ref="D195">INDEX('アイテム'!$Q$3:$R$114, MATCH($A$1,'アイテム'!$A$3:$A$114,0), MATCH(D185,'アイテム'!$C$2:$AQ$2,0))</f>
        <v>23</v>
      </c>
      <c r="E195" s="322"/>
      <c r="F195" s="322"/>
      <c r="G195" s="114"/>
      <c r="H195" s="228"/>
      <c r="I195" s="228"/>
      <c r="J195" s="228"/>
      <c r="K195" s="118"/>
      <c r="L195" s="118"/>
      <c r="M195" s="118"/>
      <c r="N195" s="102"/>
      <c r="O195" s="102"/>
      <c r="P195" s="102"/>
      <c r="Q195" s="102"/>
      <c r="R195" s="118"/>
      <c r="S195" s="118"/>
      <c r="T195" s="118"/>
      <c r="U195" s="118"/>
      <c r="V195" s="118"/>
    </row>
    <row r="196" outlineLevel="1">
      <c r="A196" s="326" t="s">
        <v>264</v>
      </c>
      <c r="B196" s="327" t="s">
        <v>226</v>
      </c>
      <c r="C196" s="328" t="str">
        <f t="array" ref="C196">INDEX('アイテム'!$S$3:$T$114, MATCH($A$1,'アイテム'!$A$3:$A$114,0), MATCH(C185,'アイテム'!$C$2:$AQ$2,0))</f>
        <v>8</v>
      </c>
      <c r="D196" s="328">
        <f t="array" ref="D196">INDEX('アイテム'!$S$3:$T$114, MATCH($A$1,'アイテム'!$A$3:$A$114,0), MATCH(D185,'アイテム'!$C$2:$AQ$2,0))</f>
        <v>24</v>
      </c>
      <c r="E196" s="322"/>
      <c r="F196" s="322"/>
      <c r="G196" s="114"/>
      <c r="H196" s="228"/>
      <c r="I196" s="228"/>
      <c r="J196" s="228"/>
      <c r="K196" s="118"/>
      <c r="L196" s="118"/>
      <c r="M196" s="118"/>
      <c r="N196" s="102"/>
      <c r="O196" s="102"/>
      <c r="P196" s="102"/>
      <c r="Q196" s="102"/>
      <c r="R196" s="118"/>
      <c r="S196" s="118"/>
      <c r="T196" s="118"/>
      <c r="U196" s="118"/>
      <c r="V196" s="118"/>
    </row>
    <row r="197" outlineLevel="1">
      <c r="A197" s="146"/>
      <c r="B197" s="327" t="s">
        <v>229</v>
      </c>
      <c r="C197" s="328" t="str">
        <f t="array" ref="C197">INDEX('アイテム'!$U$3:$V$114, MATCH($A$1,'アイテム'!$A$3:$A$114,0), MATCH(C185,'アイテム'!$C$2:$AQ$2,0))</f>
        <v>11</v>
      </c>
      <c r="D197" s="328">
        <f t="array" ref="D197">INDEX('アイテム'!$U$3:$V$114, MATCH($A$1,'アイテム'!$A$3:$A$114,0), MATCH(D185,'アイテム'!$C$2:$AQ$2,0))</f>
        <v>24</v>
      </c>
      <c r="E197" s="322"/>
      <c r="F197" s="322"/>
      <c r="G197" s="114"/>
      <c r="H197" s="228"/>
      <c r="I197" s="228"/>
      <c r="J197" s="228"/>
      <c r="K197" s="118"/>
      <c r="L197" s="118"/>
      <c r="M197" s="118"/>
      <c r="N197" s="102"/>
      <c r="O197" s="102"/>
      <c r="P197" s="102"/>
      <c r="Q197" s="102"/>
      <c r="R197" s="118"/>
      <c r="S197" s="118"/>
      <c r="T197" s="118"/>
      <c r="U197" s="118"/>
      <c r="V197" s="118"/>
    </row>
    <row r="198" outlineLevel="1">
      <c r="A198" s="146"/>
      <c r="B198" s="327" t="s">
        <v>233</v>
      </c>
      <c r="C198" s="328" t="str">
        <f t="array" ref="C198">INDEX('アイテム'!$W$3:$X$114, MATCH($A$1,'アイテム'!$A$3:$A$114,0), MATCH(C185,'アイテム'!$C$2:$AQ$2,0))</f>
        <v>12</v>
      </c>
      <c r="D198" s="328">
        <f t="array" ref="D198">INDEX('アイテム'!$W$3:$X$114, MATCH($A$1,'アイテム'!$A$3:$A$114,0), MATCH(D185,'アイテム'!$C$2:$AQ$2,0))</f>
        <v>23</v>
      </c>
      <c r="E198" s="322"/>
      <c r="F198" s="322"/>
      <c r="G198" s="114"/>
      <c r="H198" s="228"/>
      <c r="I198" s="228"/>
      <c r="J198" s="228"/>
      <c r="K198" s="118"/>
      <c r="L198" s="118"/>
      <c r="M198" s="118"/>
      <c r="N198" s="102"/>
      <c r="O198" s="102"/>
      <c r="P198" s="102"/>
      <c r="Q198" s="102"/>
      <c r="R198" s="118"/>
      <c r="S198" s="118"/>
      <c r="T198" s="118"/>
      <c r="U198" s="118"/>
      <c r="V198" s="118"/>
    </row>
    <row r="199" outlineLevel="1">
      <c r="A199" s="156"/>
      <c r="B199" s="327" t="s">
        <v>234</v>
      </c>
      <c r="C199" s="328" t="str">
        <f t="array" ref="C199">INDEX('アイテム'!$Y$3:$Z$114, MATCH($A$1,'アイテム'!$A$3:$A$114,0), MATCH(C185,'アイテム'!$C$2:$AQ$2,0))</f>
        <v>7</v>
      </c>
      <c r="D199" s="328">
        <f t="array" ref="D199">INDEX('アイテム'!$Y$3:$Z$114, MATCH($A$1,'アイテム'!$A$3:$A$114,0), MATCH(D185,'アイテム'!$C$2:$AQ$2,0))</f>
        <v>19</v>
      </c>
      <c r="E199" s="322"/>
      <c r="F199" s="322"/>
      <c r="G199" s="114"/>
      <c r="H199" s="228"/>
      <c r="I199" s="228"/>
      <c r="J199" s="228"/>
      <c r="K199" s="118"/>
      <c r="L199" s="118"/>
      <c r="M199" s="118"/>
      <c r="N199" s="102"/>
      <c r="O199" s="102"/>
      <c r="P199" s="102"/>
      <c r="Q199" s="102"/>
      <c r="R199" s="118"/>
      <c r="S199" s="118"/>
      <c r="T199" s="118"/>
      <c r="U199" s="118"/>
      <c r="V199" s="118"/>
    </row>
    <row r="200" outlineLevel="1">
      <c r="A200" s="326" t="s">
        <v>265</v>
      </c>
      <c r="B200" s="327" t="s">
        <v>226</v>
      </c>
      <c r="C200" s="328">
        <f t="array" ref="C200">INDEX('アイテム'!$AC$3:$AD$114, MATCH($A$1,'アイテム'!$A$3:$A$114,0), MATCH(C185,'アイテム'!$C$2:$AQ$2,0))</f>
        <v>15</v>
      </c>
      <c r="D200" s="328" t="str">
        <f t="array" ref="D200">INDEX('アイテム'!$AC$3:$AD$114, MATCH($A$1,'アイテム'!$A$3:$A$114,0), MATCH(D185,'アイテム'!$C$2:$AQ$2,0))</f>
        <v>30</v>
      </c>
      <c r="E200" s="322"/>
      <c r="F200" s="322"/>
      <c r="G200" s="114"/>
      <c r="H200" s="228"/>
      <c r="I200" s="228"/>
      <c r="J200" s="228"/>
      <c r="K200" s="118"/>
      <c r="L200" s="118"/>
      <c r="M200" s="118"/>
      <c r="N200" s="102"/>
      <c r="O200" s="102"/>
      <c r="P200" s="102"/>
      <c r="Q200" s="102"/>
      <c r="R200" s="118"/>
      <c r="S200" s="118"/>
      <c r="T200" s="118"/>
      <c r="U200" s="118"/>
      <c r="V200" s="118"/>
    </row>
    <row r="201" outlineLevel="1">
      <c r="A201" s="146"/>
      <c r="B201" s="327" t="s">
        <v>229</v>
      </c>
      <c r="C201" s="328">
        <f t="array" ref="C201">INDEX('アイテム'!$AE$3:$AF$114, MATCH($A$1,'アイテム'!$A$3:$A$114,0), MATCH(C185,'アイテム'!$C$2:$AQ$2,0))</f>
        <v>16</v>
      </c>
      <c r="D201" s="328" t="str">
        <f t="array" ref="D201">INDEX('アイテム'!$AE$3:$AF$114, MATCH($A$1,'アイテム'!$A$3:$A$114,0), MATCH(D185,'アイテム'!$C$2:$AQ$2,0))</f>
        <v>30</v>
      </c>
      <c r="E201" s="322"/>
      <c r="F201" s="322"/>
      <c r="G201" s="114"/>
      <c r="H201" s="228"/>
      <c r="I201" s="228"/>
      <c r="J201" s="228"/>
      <c r="K201" s="118"/>
      <c r="L201" s="118"/>
      <c r="M201" s="118"/>
      <c r="N201" s="102"/>
      <c r="O201" s="102"/>
      <c r="P201" s="102"/>
      <c r="Q201" s="102"/>
      <c r="R201" s="118"/>
      <c r="S201" s="118"/>
      <c r="T201" s="118"/>
      <c r="U201" s="118"/>
      <c r="V201" s="118"/>
    </row>
    <row r="202" outlineLevel="1">
      <c r="A202" s="146"/>
      <c r="B202" s="327" t="s">
        <v>233</v>
      </c>
      <c r="C202" s="328">
        <f t="array" ref="C202">INDEX('アイテム'!$AG$3:$AH$114, MATCH($A$1,'アイテム'!$A$3:$A$114,0), MATCH(C185,'アイテム'!$C$2:$AQ$2,0))</f>
        <v>11</v>
      </c>
      <c r="D202" s="328" t="str">
        <f t="array" ref="D202">INDEX('アイテム'!$AG$3:$AH$114, MATCH($A$1,'アイテム'!$A$3:$A$114,0), MATCH(D185,'アイテム'!$C$2:$AQ$2,0))</f>
        <v>22</v>
      </c>
      <c r="E202" s="322"/>
      <c r="F202" s="322"/>
      <c r="G202" s="114"/>
      <c r="H202" s="228"/>
      <c r="I202" s="228"/>
      <c r="J202" s="228"/>
      <c r="K202" s="118"/>
      <c r="L202" s="118"/>
      <c r="M202" s="118"/>
      <c r="N202" s="102"/>
      <c r="O202" s="102"/>
      <c r="P202" s="102"/>
      <c r="Q202" s="102"/>
      <c r="R202" s="118"/>
      <c r="S202" s="118"/>
      <c r="T202" s="118"/>
      <c r="U202" s="118"/>
      <c r="V202" s="118"/>
    </row>
    <row r="203" outlineLevel="1">
      <c r="A203" s="156"/>
      <c r="B203" s="327" t="s">
        <v>234</v>
      </c>
      <c r="C203" s="328">
        <f t="array" ref="C203">INDEX('アイテム'!$AI$3:$AJ$114, MATCH($A$1,'アイテム'!$A$3:$A$114,0), MATCH(C185,'アイテム'!$C$2:$AQ$2,0))</f>
        <v>11</v>
      </c>
      <c r="D203" s="328" t="str">
        <f t="array" ref="D203">INDEX('アイテム'!$AI$3:$AJ$114, MATCH($A$1,'アイテム'!$A$3:$A$114,0), MATCH(D185,'アイテム'!$C$2:$AQ$2,0))</f>
        <v>22</v>
      </c>
      <c r="E203" s="322"/>
      <c r="F203" s="322"/>
      <c r="G203" s="114"/>
      <c r="H203" s="228"/>
      <c r="I203" s="228"/>
      <c r="J203" s="228"/>
      <c r="K203" s="118"/>
      <c r="L203" s="118"/>
      <c r="M203" s="118"/>
      <c r="N203" s="102"/>
      <c r="O203" s="102"/>
      <c r="P203" s="102"/>
      <c r="Q203" s="102"/>
      <c r="R203" s="118"/>
      <c r="S203" s="118"/>
      <c r="T203" s="118"/>
      <c r="U203" s="118"/>
      <c r="V203" s="118"/>
    </row>
  </sheetData>
  <mergeCells count="171">
    <mergeCell ref="D42:D53"/>
    <mergeCell ref="D54:D65"/>
    <mergeCell ref="D66:D73"/>
    <mergeCell ref="D77:D78"/>
    <mergeCell ref="A42:A53"/>
    <mergeCell ref="C42:C45"/>
    <mergeCell ref="C46:C48"/>
    <mergeCell ref="C50:C52"/>
    <mergeCell ref="A54:A65"/>
    <mergeCell ref="C54:C57"/>
    <mergeCell ref="H54:J65"/>
    <mergeCell ref="C58:C61"/>
    <mergeCell ref="C62:C65"/>
    <mergeCell ref="A66:A73"/>
    <mergeCell ref="C66:C69"/>
    <mergeCell ref="C70:C72"/>
    <mergeCell ref="A75:B76"/>
    <mergeCell ref="A77:A78"/>
    <mergeCell ref="C87:C90"/>
    <mergeCell ref="D87:D90"/>
    <mergeCell ref="I87:I90"/>
    <mergeCell ref="J87:J90"/>
    <mergeCell ref="I91:I98"/>
    <mergeCell ref="J91:J98"/>
    <mergeCell ref="H101:J101"/>
    <mergeCell ref="H102:J104"/>
    <mergeCell ref="H105:J105"/>
    <mergeCell ref="H106:J108"/>
    <mergeCell ref="H66:J73"/>
    <mergeCell ref="I77:I78"/>
    <mergeCell ref="J77:J78"/>
    <mergeCell ref="I79:I82"/>
    <mergeCell ref="J79:J82"/>
    <mergeCell ref="I83:I86"/>
    <mergeCell ref="J83:J86"/>
    <mergeCell ref="C83:C86"/>
    <mergeCell ref="C91:C94"/>
    <mergeCell ref="D109:D110"/>
    <mergeCell ref="D111:D114"/>
    <mergeCell ref="D168:D169"/>
    <mergeCell ref="D174:D175"/>
    <mergeCell ref="R87:V90"/>
    <mergeCell ref="R91:V98"/>
    <mergeCell ref="U102:U104"/>
    <mergeCell ref="V102:V104"/>
    <mergeCell ref="U106:U114"/>
    <mergeCell ref="V106:V114"/>
    <mergeCell ref="H109:J110"/>
    <mergeCell ref="H111:J114"/>
    <mergeCell ref="H115:J115"/>
    <mergeCell ref="H116:J116"/>
    <mergeCell ref="H117:J117"/>
    <mergeCell ref="H118:J118"/>
    <mergeCell ref="G121:J121"/>
    <mergeCell ref="G122:J122"/>
    <mergeCell ref="G123:J123"/>
    <mergeCell ref="G124:J124"/>
    <mergeCell ref="G125:J125"/>
    <mergeCell ref="G126:J126"/>
    <mergeCell ref="G127:J134"/>
    <mergeCell ref="G135:J138"/>
    <mergeCell ref="G139:J144"/>
    <mergeCell ref="K175:L175"/>
    <mergeCell ref="K178:L178"/>
    <mergeCell ref="K155:L155"/>
    <mergeCell ref="K156:K157"/>
    <mergeCell ref="K158:L158"/>
    <mergeCell ref="K159:K164"/>
    <mergeCell ref="K165:K168"/>
    <mergeCell ref="K169:L169"/>
    <mergeCell ref="K171:K174"/>
    <mergeCell ref="H1:J2"/>
    <mergeCell ref="K1:M2"/>
    <mergeCell ref="H4:H5"/>
    <mergeCell ref="I4:I5"/>
    <mergeCell ref="I6:I7"/>
    <mergeCell ref="H8:J9"/>
    <mergeCell ref="I10:I11"/>
    <mergeCell ref="K16:N16"/>
    <mergeCell ref="G29:I29"/>
    <mergeCell ref="H32:J32"/>
    <mergeCell ref="H33:J34"/>
    <mergeCell ref="H38:J38"/>
    <mergeCell ref="H41:J41"/>
    <mergeCell ref="H42:J53"/>
    <mergeCell ref="H6:H7"/>
    <mergeCell ref="H10:H11"/>
    <mergeCell ref="G24:I24"/>
    <mergeCell ref="G25:I25"/>
    <mergeCell ref="G26:I26"/>
    <mergeCell ref="G27:I27"/>
    <mergeCell ref="G28:I28"/>
    <mergeCell ref="A33:A35"/>
    <mergeCell ref="D33:D34"/>
    <mergeCell ref="U33:U34"/>
    <mergeCell ref="H35:J35"/>
    <mergeCell ref="A36:A37"/>
    <mergeCell ref="D36:D37"/>
    <mergeCell ref="H36:J37"/>
    <mergeCell ref="U36:U37"/>
    <mergeCell ref="A39:A40"/>
    <mergeCell ref="D39:D40"/>
    <mergeCell ref="H39:J40"/>
    <mergeCell ref="U39:U40"/>
    <mergeCell ref="C1:G12"/>
    <mergeCell ref="A11:B12"/>
    <mergeCell ref="A15:B16"/>
    <mergeCell ref="C16:D16"/>
    <mergeCell ref="E16:F16"/>
    <mergeCell ref="G16:H16"/>
    <mergeCell ref="A31:B32"/>
    <mergeCell ref="U42:U53"/>
    <mergeCell ref="U54:U65"/>
    <mergeCell ref="R66:U73"/>
    <mergeCell ref="R76:V76"/>
    <mergeCell ref="R77:V78"/>
    <mergeCell ref="R79:V82"/>
    <mergeCell ref="R83:V86"/>
    <mergeCell ref="A135:A138"/>
    <mergeCell ref="A139:A144"/>
    <mergeCell ref="A146:B147"/>
    <mergeCell ref="A148:A150"/>
    <mergeCell ref="A151:A152"/>
    <mergeCell ref="A154:B155"/>
    <mergeCell ref="A156:A160"/>
    <mergeCell ref="C181:C182"/>
    <mergeCell ref="A184:B184"/>
    <mergeCell ref="A185:B185"/>
    <mergeCell ref="A186:A187"/>
    <mergeCell ref="A189:B189"/>
    <mergeCell ref="A190:A195"/>
    <mergeCell ref="A196:A199"/>
    <mergeCell ref="A200:A203"/>
    <mergeCell ref="A161:A163"/>
    <mergeCell ref="A164:A169"/>
    <mergeCell ref="C168:C169"/>
    <mergeCell ref="A170:A175"/>
    <mergeCell ref="C174:C175"/>
    <mergeCell ref="A176:A182"/>
    <mergeCell ref="D181:D182"/>
    <mergeCell ref="D91:D98"/>
    <mergeCell ref="C95:C98"/>
    <mergeCell ref="D106:D107"/>
    <mergeCell ref="A79:A82"/>
    <mergeCell ref="C79:C82"/>
    <mergeCell ref="D79:D82"/>
    <mergeCell ref="A83:A86"/>
    <mergeCell ref="D83:D86"/>
    <mergeCell ref="A87:A90"/>
    <mergeCell ref="A91:A98"/>
    <mergeCell ref="A100:B100"/>
    <mergeCell ref="A101:B101"/>
    <mergeCell ref="A102:A103"/>
    <mergeCell ref="A105:B105"/>
    <mergeCell ref="A106:A114"/>
    <mergeCell ref="A115:B115"/>
    <mergeCell ref="A117:B117"/>
    <mergeCell ref="D131:D134"/>
    <mergeCell ref="C132:C134"/>
    <mergeCell ref="D127:D130"/>
    <mergeCell ref="D135:D138"/>
    <mergeCell ref="D139:D144"/>
    <mergeCell ref="C139:C141"/>
    <mergeCell ref="C142:C144"/>
    <mergeCell ref="A120:B121"/>
    <mergeCell ref="A123:A125"/>
    <mergeCell ref="A126:B126"/>
    <mergeCell ref="A127:A130"/>
    <mergeCell ref="C128:C130"/>
    <mergeCell ref="A131:A134"/>
    <mergeCell ref="C136:C138"/>
  </mergeCells>
  <conditionalFormatting sqref="K1:K15 K17:K101 K105 K107:K115 K117 K119:K179">
    <cfRule type="containsText" dxfId="0" priority="1" operator="containsText" text="361">
      <formula>NOT(ISERROR(SEARCH(("361"),(K1))))</formula>
    </cfRule>
  </conditionalFormatting>
  <conditionalFormatting sqref="K1:K15 K17:K101 K105 K107:K115 K117 K119:K179">
    <cfRule type="containsText" dxfId="1" priority="2" operator="containsText" text="363">
      <formula>NOT(ISERROR(SEARCH(("363"),(K1))))</formula>
    </cfRule>
  </conditionalFormatting>
  <conditionalFormatting sqref="K1:K15 K17:K101 K105 K107:K115 K117 K119:K179">
    <cfRule type="containsText" dxfId="1" priority="3" operator="containsText" text="365">
      <formula>NOT(ISERROR(SEARCH(("365"),(K1))))</formula>
    </cfRule>
  </conditionalFormatting>
  <conditionalFormatting sqref="K1:K15 K17:K101 K105 K107:K115 K117 K119:K179">
    <cfRule type="containsText" dxfId="1" priority="4" operator="containsText" text="366">
      <formula>NOT(ISERROR(SEARCH(("366"),(K1))))</formula>
    </cfRule>
  </conditionalFormatting>
  <conditionalFormatting sqref="K1:K15 K17:K101 K105 K107:K115 K117 K119:K179">
    <cfRule type="containsText" dxfId="1" priority="5" operator="containsText" text="367">
      <formula>NOT(ISERROR(SEARCH(("367"),(K1))))</formula>
    </cfRule>
  </conditionalFormatting>
  <conditionalFormatting sqref="E123:F125 C127 E127:F127 P127:P144 C131 E131:F131">
    <cfRule type="cellIs" dxfId="2" priority="6" operator="equal">
      <formula>"敵のみ"</formula>
    </cfRule>
  </conditionalFormatting>
  <conditionalFormatting sqref="C127:C131 C136:C144">
    <cfRule type="cellIs" dxfId="3" priority="7" operator="equal">
      <formula>"-"</formula>
    </cfRule>
  </conditionalFormatting>
  <conditionalFormatting sqref="O1:O101 O105 O107:O115 O117 O119:O203 E123:F125 C127 E127:F127 K127:N127 P127:Q127 C131 E131:F131 K131:N131 P131:Q131 K135:N135 P135:Q135 P140:P144">
    <cfRule type="cellIs" dxfId="4" priority="8" operator="greaterThan">
      <formula>0</formula>
    </cfRule>
  </conditionalFormatting>
  <conditionalFormatting sqref="P1:Q101 P105:Q105 P107:Q115 P117:Q117 P119:Q203 E123:F125 C127 E127:F127 C131 E131:F131">
    <cfRule type="cellIs" dxfId="5" priority="9" operator="lessThan">
      <formula>1</formula>
    </cfRule>
  </conditionalFormatting>
  <conditionalFormatting sqref="P1:Q101 P105:Q105 P107:Q115 P117:Q117 P119:Q203 E123:F125 C127 E127:F127 C131 E131:F131">
    <cfRule type="cellIs" dxfId="4" priority="10" operator="greaterThan">
      <formula>1</formula>
    </cfRule>
  </conditionalFormatting>
  <conditionalFormatting sqref="N32:N101 N105 N107:N115 N117 N119:N144">
    <cfRule type="cellIs" dxfId="6" priority="11" operator="greaterThan">
      <formula>0</formula>
    </cfRule>
  </conditionalFormatting>
  <conditionalFormatting sqref="N1:N15 N17:N101 N105 N107:N115 N117 N119:N203">
    <cfRule type="containsText" dxfId="6" priority="12" operator="containsText" text="/">
      <formula>NOT(ISERROR(SEARCH(("/"),(N1))))</formula>
    </cfRule>
  </conditionalFormatting>
  <drawing r:id="rId2"/>
  <legacyDrawing r:id="rId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885C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946">
        <v>41.0</v>
      </c>
      <c r="B1" s="1947"/>
      <c r="C1" s="1948" t="str">
        <f>IMAGE(VLOOKUP($A$1,Fighters!A2:AI114,12,FALSE),1)</f>
        <v>#REF!</v>
      </c>
      <c r="D1" s="1949"/>
      <c r="E1" s="1949"/>
      <c r="F1" s="1949"/>
      <c r="G1" s="1950"/>
      <c r="H1" s="1951"/>
      <c r="I1" s="1949"/>
      <c r="J1" s="1950"/>
      <c r="K1" s="1952"/>
      <c r="L1" s="1949"/>
      <c r="M1" s="1950"/>
      <c r="N1" s="1953"/>
      <c r="O1" s="1953"/>
      <c r="P1" s="1953"/>
      <c r="Q1" s="1953"/>
      <c r="R1" s="1954"/>
      <c r="S1" s="1954"/>
      <c r="T1" s="1954"/>
      <c r="U1" s="1954"/>
      <c r="V1" s="1954"/>
    </row>
    <row r="2">
      <c r="A2" s="1955" t="str">
        <f>VLOOKUP($A$1,Fighters!$A$2:$AI$81,6,FALSE)</f>
        <v>#5885c0</v>
      </c>
      <c r="B2" s="1947"/>
      <c r="C2" s="1956"/>
      <c r="G2" s="1957"/>
      <c r="H2" s="1958"/>
      <c r="I2" s="1959"/>
      <c r="J2" s="1960"/>
      <c r="K2" s="1958"/>
      <c r="L2" s="1959"/>
      <c r="M2" s="1960"/>
      <c r="N2" s="1953"/>
      <c r="O2" s="1953"/>
      <c r="P2" s="1953"/>
      <c r="Q2" s="1953"/>
      <c r="R2" s="1954"/>
      <c r="S2" s="1954"/>
      <c r="T2" s="1954"/>
      <c r="U2" s="1954"/>
      <c r="V2" s="1954"/>
    </row>
    <row r="3">
      <c r="A3" s="1955" t="str">
        <f>VLOOKUP($A$1,Fighters!$A$2:$AI$81,14,FALSE)</f>
        <v>41. ルカリオ</v>
      </c>
      <c r="B3" s="1947"/>
      <c r="C3" s="1956"/>
      <c r="G3" s="1957"/>
      <c r="H3" s="1961"/>
      <c r="I3" s="1961"/>
      <c r="J3" s="1961"/>
      <c r="K3" s="1962"/>
      <c r="L3" s="1962"/>
      <c r="M3" s="1962"/>
      <c r="N3" s="1953"/>
      <c r="O3" s="1953"/>
      <c r="P3" s="1953"/>
      <c r="Q3" s="1953"/>
      <c r="R3" s="1963"/>
      <c r="S3" s="1954"/>
      <c r="T3" s="1954"/>
      <c r="U3" s="1954"/>
      <c r="V3" s="1954"/>
    </row>
    <row r="4">
      <c r="A4" s="1955" t="str">
        <f>VLOOKUP($A$1,Fighters!$A$2:$AI$81,13,FALSE)</f>
        <v>1</v>
      </c>
      <c r="B4" s="1947"/>
      <c r="C4" s="1956"/>
      <c r="G4" s="1957"/>
      <c r="H4" s="1964"/>
      <c r="I4" s="1964"/>
      <c r="J4" s="1961"/>
      <c r="K4" s="1962"/>
      <c r="L4" s="1962"/>
      <c r="M4" s="1962"/>
      <c r="N4" s="1953"/>
      <c r="O4" s="1953"/>
      <c r="P4" s="1953"/>
      <c r="Q4" s="1953"/>
      <c r="R4" s="1963"/>
      <c r="S4" s="1954"/>
      <c r="T4" s="1954"/>
      <c r="U4" s="1954"/>
      <c r="V4" s="1954"/>
    </row>
    <row r="5" ht="16.5" customHeight="1">
      <c r="A5" s="1946"/>
      <c r="B5" s="1947"/>
      <c r="C5" s="1956"/>
      <c r="G5" s="1957"/>
      <c r="H5" s="1965"/>
      <c r="I5" s="1965"/>
      <c r="J5" s="1966"/>
      <c r="K5" s="1967"/>
      <c r="L5" s="1968"/>
      <c r="M5" s="1968"/>
      <c r="N5" s="1953"/>
      <c r="O5" s="1953"/>
      <c r="P5" s="1953"/>
      <c r="Q5" s="1953"/>
      <c r="R5" s="1963"/>
      <c r="S5" s="1954"/>
      <c r="T5" s="1954"/>
      <c r="U5" s="1954"/>
      <c r="V5" s="1954"/>
    </row>
    <row r="6">
      <c r="A6" s="1947"/>
      <c r="B6" s="1947"/>
      <c r="C6" s="1956"/>
      <c r="G6" s="1957"/>
      <c r="H6" s="1964"/>
      <c r="I6" s="1969" t="s">
        <v>39</v>
      </c>
      <c r="J6" s="1967"/>
      <c r="K6" s="1970"/>
      <c r="L6" s="1968"/>
      <c r="M6" s="1968"/>
      <c r="N6" s="1953"/>
      <c r="O6" s="1953"/>
      <c r="P6" s="1953"/>
      <c r="Q6" s="1953"/>
      <c r="R6" s="1963"/>
      <c r="S6" s="1954"/>
      <c r="T6" s="1954"/>
      <c r="U6" s="1954"/>
      <c r="V6" s="1954"/>
    </row>
    <row r="7">
      <c r="A7" s="1947"/>
      <c r="B7" s="1947"/>
      <c r="C7" s="1956"/>
      <c r="G7" s="1957"/>
      <c r="H7" s="1965"/>
      <c r="I7" s="1965"/>
      <c r="J7" s="1967"/>
      <c r="K7" s="1970"/>
      <c r="L7" s="1968"/>
      <c r="M7" s="1968"/>
      <c r="N7" s="1953"/>
      <c r="O7" s="1953"/>
      <c r="P7" s="1953"/>
      <c r="Q7" s="1953"/>
      <c r="R7" s="1963"/>
      <c r="S7" s="1954"/>
      <c r="T7" s="1954"/>
      <c r="U7" s="1954"/>
      <c r="V7" s="1954"/>
    </row>
    <row r="8">
      <c r="A8" s="1947"/>
      <c r="B8" s="1947"/>
      <c r="C8" s="1956"/>
      <c r="G8" s="1957"/>
      <c r="H8" s="1971">
        <v>44488.442240648146</v>
      </c>
      <c r="I8" s="1949"/>
      <c r="J8" s="1950"/>
      <c r="K8" s="1967"/>
      <c r="L8" s="1968"/>
      <c r="M8" s="1968"/>
      <c r="N8" s="1953"/>
      <c r="O8" s="1953"/>
      <c r="P8" s="1953"/>
      <c r="Q8" s="1953"/>
      <c r="R8" s="1963"/>
      <c r="S8" s="1954"/>
      <c r="T8" s="1954"/>
      <c r="U8" s="1954"/>
      <c r="V8" s="1954"/>
    </row>
    <row r="9">
      <c r="A9" s="1947"/>
      <c r="B9" s="1947"/>
      <c r="C9" s="1956"/>
      <c r="G9" s="1957"/>
      <c r="H9" s="1958"/>
      <c r="I9" s="1959"/>
      <c r="J9" s="1960"/>
      <c r="K9" s="1954"/>
      <c r="L9" s="1953"/>
      <c r="M9" s="1953"/>
      <c r="N9" s="1953"/>
      <c r="O9" s="1953"/>
      <c r="P9" s="1953"/>
      <c r="Q9" s="1953"/>
      <c r="R9" s="1963"/>
      <c r="S9" s="1954"/>
      <c r="T9" s="1954"/>
      <c r="U9" s="1954"/>
      <c r="V9" s="1954"/>
    </row>
    <row r="10">
      <c r="A10" s="1947"/>
      <c r="B10" s="1947"/>
      <c r="C10" s="1956"/>
      <c r="G10" s="1957"/>
      <c r="H10" s="1972"/>
      <c r="I10" s="1972"/>
      <c r="J10" s="1954"/>
      <c r="K10" s="1954"/>
      <c r="L10" s="1953"/>
      <c r="M10" s="1953"/>
      <c r="N10" s="1953"/>
      <c r="O10" s="1953"/>
      <c r="P10" s="1953"/>
      <c r="Q10" s="1953"/>
      <c r="R10" s="1963"/>
      <c r="S10" s="1954"/>
      <c r="T10" s="1954"/>
      <c r="U10" s="1954"/>
      <c r="V10" s="1954"/>
    </row>
    <row r="11">
      <c r="A11" s="1973" t="s">
        <v>40</v>
      </c>
      <c r="B11" s="1950"/>
      <c r="C11" s="1956"/>
      <c r="G11" s="1957"/>
      <c r="H11" s="1965"/>
      <c r="I11" s="1965"/>
      <c r="J11" s="1954"/>
      <c r="K11" s="1954"/>
      <c r="L11" s="1953"/>
      <c r="M11" s="1953"/>
      <c r="N11" s="1953"/>
      <c r="O11" s="1953"/>
      <c r="P11" s="1953"/>
      <c r="Q11" s="1953"/>
      <c r="R11" s="1963"/>
      <c r="S11" s="1954"/>
      <c r="T11" s="1954"/>
      <c r="U11" s="1954"/>
      <c r="V11" s="1954"/>
    </row>
    <row r="12">
      <c r="A12" s="1958"/>
      <c r="B12" s="1960"/>
      <c r="C12" s="1958"/>
      <c r="D12" s="1959"/>
      <c r="E12" s="1959"/>
      <c r="F12" s="1959"/>
      <c r="G12" s="1960"/>
      <c r="H12" s="1974"/>
      <c r="I12" s="1974"/>
      <c r="J12" s="1947"/>
      <c r="K12" s="1947"/>
      <c r="L12" s="1953"/>
      <c r="M12" s="1953"/>
      <c r="N12" s="1953"/>
      <c r="O12" s="1953"/>
      <c r="P12" s="1953"/>
      <c r="Q12" s="1953"/>
      <c r="R12" s="1963"/>
      <c r="S12" s="1954"/>
      <c r="T12" s="1954"/>
      <c r="U12" s="1954"/>
      <c r="V12" s="195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92 [53rd]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2.255 [6th]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1.103 [46th]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0.209 [2nd]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37.62 [10th]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1.705 [46th]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18.19 [9th]</v>
      </c>
      <c r="O19" s="99"/>
      <c r="P19" s="99"/>
      <c r="Q19" s="99"/>
      <c r="R19" s="99"/>
      <c r="S19" s="111"/>
      <c r="T19" s="111"/>
      <c r="U19" s="111"/>
      <c r="V19" s="111"/>
    </row>
    <row r="20" outlineLevel="1">
      <c r="A20" s="112" t="str">
        <f>'テンプレート'!A20</f>
        <v>カベ張りつき</v>
      </c>
      <c r="B20" s="115" t="b">
        <v>1</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1.281 [6th]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38F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37.62 [17th]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1.68 [30th]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0.004 [83rd]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2.688 [31st]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0.084 [60th]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21"/>
      <c r="B24" s="121"/>
      <c r="C24" s="1975" t="s">
        <v>3040</v>
      </c>
      <c r="D24" s="1975" t="s">
        <v>3041</v>
      </c>
      <c r="E24" s="1975" t="s">
        <v>3042</v>
      </c>
      <c r="F24" s="1975" t="s">
        <v>3043</v>
      </c>
      <c r="G24" s="1975" t="s">
        <v>3044</v>
      </c>
      <c r="H24" s="1975" t="s">
        <v>3045</v>
      </c>
      <c r="I24" s="121"/>
      <c r="J24" s="121"/>
      <c r="K24" s="121"/>
      <c r="L24" s="124"/>
      <c r="M24" s="124"/>
      <c r="N24" s="125"/>
      <c r="O24" s="125"/>
      <c r="P24" s="125"/>
      <c r="Q24" s="126"/>
      <c r="R24" s="124"/>
      <c r="S24" s="124"/>
      <c r="T24" s="124"/>
      <c r="U24" s="124"/>
      <c r="V24" s="124"/>
    </row>
    <row r="25">
      <c r="A25" s="121"/>
      <c r="B25" s="121"/>
      <c r="C25" s="1976">
        <v>0.0</v>
      </c>
      <c r="D25" s="1977">
        <f t="shared" ref="D25:E25" si="1">MIN(MAX($F25*D$27, 0.6), 1.8)</f>
        <v>0.924</v>
      </c>
      <c r="E25" s="1977">
        <f t="shared" si="1"/>
        <v>0.792</v>
      </c>
      <c r="F25" s="1977">
        <v>0.66</v>
      </c>
      <c r="G25" s="1977">
        <f t="shared" ref="G25:H25" si="2">MIN(MAX($F25*G$27, 0.6), 1.8)</f>
        <v>0.6039</v>
      </c>
      <c r="H25" s="1977">
        <f t="shared" si="2"/>
        <v>0.6</v>
      </c>
      <c r="I25" s="121"/>
      <c r="J25" s="121"/>
      <c r="K25" s="121"/>
      <c r="L25" s="124"/>
      <c r="M25" s="124"/>
      <c r="N25" s="125"/>
      <c r="O25" s="125"/>
      <c r="P25" s="125"/>
      <c r="Q25" s="126"/>
      <c r="R25" s="124"/>
      <c r="S25" s="124"/>
      <c r="T25" s="124"/>
      <c r="U25" s="124"/>
      <c r="V25" s="124"/>
    </row>
    <row r="26">
      <c r="A26" s="121"/>
      <c r="B26" s="121"/>
      <c r="C26" s="1976">
        <v>30.0</v>
      </c>
      <c r="D26" s="1978">
        <f t="shared" ref="D26:E26" si="3">MIN(MAX($F26*D$27, 0.6), 1.8)</f>
        <v>1.143692308</v>
      </c>
      <c r="E26" s="1978">
        <f t="shared" si="3"/>
        <v>0.9803076923</v>
      </c>
      <c r="F26" s="1978">
        <f>1 - (1 - $F$25) * ($C$27 - $C26) / ($C$27 - $C$25)</f>
        <v>0.8169230769</v>
      </c>
      <c r="G26" s="1978">
        <f t="shared" ref="G26:H26" si="4">MIN(MAX($F26*G$27, 0.6), 1.8)</f>
        <v>0.7474846154</v>
      </c>
      <c r="H26" s="1978">
        <f t="shared" si="4"/>
        <v>0.6780461538</v>
      </c>
      <c r="I26" s="121"/>
      <c r="J26" s="121"/>
      <c r="K26" s="121"/>
      <c r="L26" s="124"/>
      <c r="M26" s="124"/>
      <c r="N26" s="125"/>
      <c r="O26" s="125"/>
      <c r="P26" s="125"/>
      <c r="Q26" s="126"/>
      <c r="R26" s="124"/>
      <c r="S26" s="124"/>
      <c r="T26" s="124"/>
      <c r="U26" s="124"/>
      <c r="V26" s="124"/>
    </row>
    <row r="27">
      <c r="A27" s="121"/>
      <c r="B27" s="121"/>
      <c r="C27" s="1976">
        <v>65.0</v>
      </c>
      <c r="D27" s="1977">
        <v>1.4</v>
      </c>
      <c r="E27" s="1977">
        <v>1.2</v>
      </c>
      <c r="F27" s="1977">
        <v>1.0</v>
      </c>
      <c r="G27" s="1977">
        <v>0.915</v>
      </c>
      <c r="H27" s="1977">
        <v>0.83</v>
      </c>
      <c r="I27" s="121"/>
      <c r="J27" s="121"/>
      <c r="K27" s="121"/>
      <c r="L27" s="124"/>
      <c r="M27" s="124"/>
      <c r="N27" s="125"/>
      <c r="O27" s="125"/>
      <c r="P27" s="125"/>
      <c r="Q27" s="126"/>
      <c r="R27" s="124"/>
      <c r="S27" s="124"/>
      <c r="T27" s="124"/>
      <c r="U27" s="124"/>
      <c r="V27" s="124"/>
    </row>
    <row r="28">
      <c r="A28" s="121"/>
      <c r="B28" s="121"/>
      <c r="C28" s="1976">
        <v>100.0</v>
      </c>
      <c r="D28" s="1979">
        <f t="shared" ref="D28:E28" si="5">MIN(MAX($F28*D$27, 0.6), 1.8)</f>
        <v>1.66264</v>
      </c>
      <c r="E28" s="1979">
        <f t="shared" si="5"/>
        <v>1.42512</v>
      </c>
      <c r="F28" s="1980">
        <f t="shared" ref="F28:F29" si="8">1 + ($F$30 - 1) * ($C28 - 65) / (190 - 65)</f>
        <v>1.1876</v>
      </c>
      <c r="G28" s="1979">
        <f t="shared" ref="G28:H28" si="6">MIN(MAX($F28*G$27, 0.6), 1.8)</f>
        <v>1.086654</v>
      </c>
      <c r="H28" s="1979">
        <f t="shared" si="6"/>
        <v>0.985708</v>
      </c>
      <c r="I28" s="121"/>
      <c r="J28" s="121"/>
      <c r="K28" s="121"/>
      <c r="L28" s="124"/>
      <c r="M28" s="124"/>
      <c r="N28" s="125"/>
      <c r="O28" s="125"/>
      <c r="P28" s="125"/>
      <c r="Q28" s="126"/>
      <c r="R28" s="124"/>
      <c r="S28" s="124"/>
      <c r="T28" s="124"/>
      <c r="U28" s="124"/>
      <c r="V28" s="124"/>
    </row>
    <row r="29">
      <c r="A29" s="121"/>
      <c r="B29" s="121"/>
      <c r="C29" s="1976">
        <v>150.0</v>
      </c>
      <c r="D29" s="1980">
        <f t="shared" ref="D29:E29" si="7">MIN(MAX($F29*D$27, 0.6), 1.8)</f>
        <v>1.8</v>
      </c>
      <c r="E29" s="1979">
        <f t="shared" si="7"/>
        <v>1.74672</v>
      </c>
      <c r="F29" s="1980">
        <f t="shared" si="8"/>
        <v>1.4556</v>
      </c>
      <c r="G29" s="1979">
        <f t="shared" ref="G29:H29" si="9">MIN(MAX($F29*G$27, 0.6), 1.8)</f>
        <v>1.331874</v>
      </c>
      <c r="H29" s="1979">
        <f t="shared" si="9"/>
        <v>1.208148</v>
      </c>
      <c r="I29" s="121"/>
      <c r="J29" s="121"/>
      <c r="K29" s="121"/>
      <c r="L29" s="124"/>
      <c r="M29" s="124"/>
      <c r="N29" s="125"/>
      <c r="O29" s="125"/>
      <c r="P29" s="125"/>
      <c r="Q29" s="126"/>
      <c r="R29" s="124"/>
      <c r="S29" s="124"/>
      <c r="T29" s="124"/>
      <c r="U29" s="124"/>
      <c r="V29" s="124"/>
    </row>
    <row r="30">
      <c r="A30" s="121"/>
      <c r="B30" s="121"/>
      <c r="C30" s="1976">
        <v>190.0</v>
      </c>
      <c r="D30" s="1980">
        <f t="shared" ref="D30:E30" si="10">MIN(MAX($F30*D$27, 0.6), 1.8)</f>
        <v>1.8</v>
      </c>
      <c r="E30" s="1980">
        <f t="shared" si="10"/>
        <v>1.8</v>
      </c>
      <c r="F30" s="1980">
        <v>1.67</v>
      </c>
      <c r="G30" s="1979">
        <f t="shared" ref="G30:H30" si="11">MIN(MAX($F30*G$27, 0.6), 1.8)</f>
        <v>1.52805</v>
      </c>
      <c r="H30" s="1979">
        <f t="shared" si="11"/>
        <v>1.3861</v>
      </c>
      <c r="I30" s="121"/>
      <c r="J30" s="121"/>
      <c r="K30" s="121"/>
      <c r="L30" s="124"/>
      <c r="M30" s="124"/>
      <c r="N30" s="125"/>
      <c r="O30" s="125"/>
      <c r="P30" s="125"/>
      <c r="Q30" s="126"/>
      <c r="R30" s="124"/>
      <c r="S30" s="124"/>
      <c r="T30" s="124"/>
      <c r="U30" s="124"/>
      <c r="V30" s="124"/>
    </row>
    <row r="31">
      <c r="A31" s="121"/>
      <c r="B31" s="121"/>
      <c r="C31" s="120"/>
      <c r="D31" s="121"/>
      <c r="E31" s="121"/>
      <c r="F31" s="122"/>
      <c r="G31" s="123"/>
      <c r="H31" s="121"/>
      <c r="I31" s="121"/>
      <c r="J31" s="121"/>
      <c r="K31" s="121"/>
      <c r="L31" s="124"/>
      <c r="M31" s="124"/>
      <c r="N31" s="125"/>
      <c r="O31" s="125"/>
      <c r="P31" s="125"/>
      <c r="Q31" s="126"/>
      <c r="R31" s="124"/>
      <c r="S31" s="124"/>
      <c r="T31" s="124"/>
      <c r="U31" s="124"/>
      <c r="V31" s="124"/>
    </row>
    <row r="32">
      <c r="A32" s="119" t="s">
        <v>47</v>
      </c>
      <c r="B32" s="104"/>
      <c r="C32" s="120"/>
      <c r="D32" s="121"/>
      <c r="E32" s="121"/>
      <c r="F32" s="122"/>
      <c r="G32" s="123"/>
      <c r="H32" s="121"/>
      <c r="I32" s="121"/>
      <c r="J32" s="121"/>
      <c r="K32" s="121"/>
      <c r="L32" s="124"/>
      <c r="M32" s="124"/>
      <c r="N32" s="125"/>
      <c r="O32" s="125"/>
      <c r="P32" s="125"/>
      <c r="Q32" s="126"/>
      <c r="R32" s="124"/>
      <c r="S32" s="124"/>
      <c r="T32" s="124"/>
      <c r="U32" s="124"/>
      <c r="V32" s="124"/>
    </row>
    <row r="33" outlineLevel="1">
      <c r="A33" s="106"/>
      <c r="B33" s="107"/>
      <c r="C33" s="127" t="s">
        <v>48</v>
      </c>
      <c r="D33" s="128" t="s">
        <v>49</v>
      </c>
      <c r="E33" s="128" t="s">
        <v>50</v>
      </c>
      <c r="F33" s="129" t="s">
        <v>51</v>
      </c>
      <c r="G33" s="128" t="s">
        <v>52</v>
      </c>
      <c r="H33" s="130" t="str">
        <f>'テンプレート'!H25</f>
        <v>備考</v>
      </c>
      <c r="I33" s="110"/>
      <c r="J33" s="110"/>
      <c r="K33" s="131" t="str">
        <f>'テンプレート'!K25</f>
        <v>ベクトル</v>
      </c>
      <c r="L33" s="131" t="str">
        <f>'テンプレート'!L25</f>
        <v>KBG (R.E.)</v>
      </c>
      <c r="M33" s="131" t="str">
        <f>'テンプレート'!M25</f>
        <v>BKB (R.A.)</v>
      </c>
      <c r="N33" s="131" t="str">
        <f>'テンプレート'!N25</f>
        <v>FKB (R.F.)</v>
      </c>
      <c r="O33" s="132" t="str">
        <f>'テンプレート'!O25</f>
        <v>盾削り値</v>
      </c>
      <c r="P33" s="131" t="str">
        <f>'テンプレート'!P25</f>
        <v>ﾋｯﾄｽﾄｯﾌﾟ</v>
      </c>
      <c r="Q33" s="132" t="str">
        <f>'テンプレート'!Q25</f>
        <v>ずらし</v>
      </c>
      <c r="R33" s="100"/>
      <c r="S33" s="100"/>
      <c r="T33" s="100"/>
      <c r="U33" s="127" t="s">
        <v>54</v>
      </c>
      <c r="V33" s="100"/>
    </row>
    <row r="34" outlineLevel="1">
      <c r="A34" s="133" t="s">
        <v>266</v>
      </c>
      <c r="B34" s="134" t="s">
        <v>55</v>
      </c>
      <c r="C34" s="162" t="s">
        <v>267</v>
      </c>
      <c r="D34" s="162" t="s">
        <v>268</v>
      </c>
      <c r="E34" s="139" t="s">
        <v>535</v>
      </c>
      <c r="F34" s="138">
        <v>3.0</v>
      </c>
      <c r="G34" s="139" t="s">
        <v>147</v>
      </c>
      <c r="H34" s="903" t="s">
        <v>3046</v>
      </c>
      <c r="I34" s="110"/>
      <c r="J34" s="109"/>
      <c r="K34" s="138"/>
      <c r="L34" s="282"/>
      <c r="M34" s="363"/>
      <c r="N34" s="363"/>
      <c r="O34" s="145">
        <v>0.0</v>
      </c>
      <c r="P34" s="145">
        <v>1.0</v>
      </c>
      <c r="Q34" s="145">
        <v>1.0</v>
      </c>
      <c r="R34" s="100"/>
      <c r="S34" s="100"/>
      <c r="T34" s="100"/>
      <c r="U34" s="145" t="s">
        <v>69</v>
      </c>
      <c r="V34" s="100"/>
    </row>
    <row r="35" outlineLevel="1">
      <c r="A35" s="146"/>
      <c r="B35" s="147" t="s">
        <v>63</v>
      </c>
      <c r="C35" s="216" t="s">
        <v>267</v>
      </c>
      <c r="D35" s="162" t="s">
        <v>876</v>
      </c>
      <c r="E35" s="216" t="s">
        <v>176</v>
      </c>
      <c r="F35" s="138">
        <v>2.4</v>
      </c>
      <c r="G35" s="139" t="s">
        <v>60</v>
      </c>
      <c r="H35" s="140" t="s">
        <v>3047</v>
      </c>
      <c r="I35" s="110"/>
      <c r="J35" s="109"/>
      <c r="K35" s="282"/>
      <c r="L35" s="282"/>
      <c r="M35" s="363"/>
      <c r="N35" s="363"/>
      <c r="O35" s="145">
        <v>0.0</v>
      </c>
      <c r="P35" s="145">
        <v>1.0</v>
      </c>
      <c r="Q35" s="145">
        <v>1.0</v>
      </c>
      <c r="R35" s="100"/>
      <c r="S35" s="100"/>
      <c r="T35" s="100"/>
      <c r="U35" s="145" t="s">
        <v>76</v>
      </c>
      <c r="V35" s="100"/>
    </row>
    <row r="36" outlineLevel="1">
      <c r="A36" s="156"/>
      <c r="B36" s="147" t="s">
        <v>70</v>
      </c>
      <c r="C36" s="216" t="s">
        <v>220</v>
      </c>
      <c r="D36" s="450" t="s">
        <v>193</v>
      </c>
      <c r="E36" s="216" t="s">
        <v>204</v>
      </c>
      <c r="F36" s="138">
        <v>3.5999999999999996</v>
      </c>
      <c r="G36" s="139" t="s">
        <v>147</v>
      </c>
      <c r="H36" s="366"/>
      <c r="I36" s="110"/>
      <c r="J36" s="109"/>
      <c r="K36" s="282"/>
      <c r="L36" s="282"/>
      <c r="M36" s="363"/>
      <c r="N36" s="363"/>
      <c r="O36" s="145">
        <v>0.0</v>
      </c>
      <c r="P36" s="145">
        <v>1.0</v>
      </c>
      <c r="Q36" s="145">
        <v>1.0</v>
      </c>
      <c r="R36" s="100"/>
      <c r="S36" s="100"/>
      <c r="T36" s="100"/>
      <c r="U36" s="145" t="s">
        <v>76</v>
      </c>
      <c r="V36" s="100"/>
    </row>
    <row r="37" outlineLevel="1">
      <c r="A37" s="133" t="s">
        <v>77</v>
      </c>
      <c r="B37" s="160"/>
      <c r="C37" s="450" t="s">
        <v>975</v>
      </c>
      <c r="D37" s="195" t="s">
        <v>384</v>
      </c>
      <c r="E37" s="216" t="s">
        <v>3048</v>
      </c>
      <c r="F37" s="138" t="s">
        <v>3049</v>
      </c>
      <c r="G37" s="139" t="s">
        <v>1211</v>
      </c>
      <c r="H37" s="368"/>
      <c r="I37" s="164"/>
      <c r="J37" s="104"/>
      <c r="K37" s="138"/>
      <c r="L37" s="282"/>
      <c r="M37" s="363"/>
      <c r="N37" s="363"/>
      <c r="O37" s="145">
        <v>0.0</v>
      </c>
      <c r="P37" s="145">
        <v>1.0</v>
      </c>
      <c r="Q37" s="145">
        <v>1.0</v>
      </c>
      <c r="R37" s="100"/>
      <c r="S37" s="100"/>
      <c r="T37" s="100"/>
      <c r="U37" s="166" t="s">
        <v>69</v>
      </c>
      <c r="V37" s="100"/>
    </row>
    <row r="38" outlineLevel="1">
      <c r="A38" s="156"/>
      <c r="B38" s="147" t="s">
        <v>84</v>
      </c>
      <c r="C38" s="450" t="s">
        <v>2374</v>
      </c>
      <c r="D38" s="107"/>
      <c r="E38" s="216" t="s">
        <v>3050</v>
      </c>
      <c r="F38" s="138" t="s">
        <v>3051</v>
      </c>
      <c r="G38" s="139" t="s">
        <v>3052</v>
      </c>
      <c r="H38" s="106"/>
      <c r="I38" s="168"/>
      <c r="J38" s="107"/>
      <c r="K38" s="282"/>
      <c r="L38" s="282"/>
      <c r="M38" s="363"/>
      <c r="N38" s="363"/>
      <c r="O38" s="145">
        <v>0.0</v>
      </c>
      <c r="P38" s="145">
        <v>1.0</v>
      </c>
      <c r="Q38" s="145">
        <v>1.0</v>
      </c>
      <c r="R38" s="100"/>
      <c r="S38" s="100"/>
      <c r="T38" s="100"/>
      <c r="U38" s="156"/>
      <c r="V38" s="100"/>
    </row>
    <row r="39" outlineLevel="1">
      <c r="A39" s="133" t="s">
        <v>89</v>
      </c>
      <c r="B39" s="147" t="s">
        <v>2812</v>
      </c>
      <c r="C39" s="216" t="s">
        <v>383</v>
      </c>
      <c r="D39" s="195" t="s">
        <v>964</v>
      </c>
      <c r="E39" s="216" t="s">
        <v>73</v>
      </c>
      <c r="F39" s="138">
        <v>4.8</v>
      </c>
      <c r="G39" s="139" t="s">
        <v>75</v>
      </c>
      <c r="H39" s="283" t="s">
        <v>3053</v>
      </c>
      <c r="I39" s="164"/>
      <c r="J39" s="104"/>
      <c r="K39" s="138"/>
      <c r="L39" s="282"/>
      <c r="M39" s="363"/>
      <c r="N39" s="363"/>
      <c r="O39" s="145">
        <v>0.0</v>
      </c>
      <c r="P39" s="145">
        <v>1.0</v>
      </c>
      <c r="Q39" s="145">
        <v>1.0</v>
      </c>
      <c r="R39" s="100"/>
      <c r="S39" s="100"/>
      <c r="T39" s="100"/>
      <c r="U39" s="166" t="s">
        <v>96</v>
      </c>
      <c r="V39" s="100"/>
    </row>
    <row r="40" outlineLevel="1">
      <c r="A40" s="156"/>
      <c r="B40" s="147" t="s">
        <v>2814</v>
      </c>
      <c r="C40" s="216" t="s">
        <v>561</v>
      </c>
      <c r="D40" s="107"/>
      <c r="E40" s="216" t="s">
        <v>86</v>
      </c>
      <c r="F40" s="138">
        <v>7.199999999999999</v>
      </c>
      <c r="G40" s="139" t="s">
        <v>102</v>
      </c>
      <c r="H40" s="106"/>
      <c r="I40" s="168"/>
      <c r="J40" s="107"/>
      <c r="K40" s="138"/>
      <c r="L40" s="282"/>
      <c r="M40" s="363"/>
      <c r="N40" s="363"/>
      <c r="O40" s="145">
        <v>0.0</v>
      </c>
      <c r="P40" s="145">
        <v>1.0</v>
      </c>
      <c r="Q40" s="145">
        <v>1.0</v>
      </c>
      <c r="R40" s="100"/>
      <c r="S40" s="100"/>
      <c r="T40" s="100"/>
      <c r="U40" s="156"/>
      <c r="V40" s="100"/>
    </row>
    <row r="41" outlineLevel="1">
      <c r="A41" s="170" t="s">
        <v>97</v>
      </c>
      <c r="B41" s="160"/>
      <c r="C41" s="216" t="s">
        <v>3054</v>
      </c>
      <c r="D41" s="216" t="s">
        <v>964</v>
      </c>
      <c r="E41" s="216" t="s">
        <v>3055</v>
      </c>
      <c r="F41" s="138" t="s">
        <v>3056</v>
      </c>
      <c r="G41" s="139" t="s">
        <v>1960</v>
      </c>
      <c r="H41" s="366"/>
      <c r="I41" s="110"/>
      <c r="J41" s="109"/>
      <c r="K41" s="282"/>
      <c r="L41" s="282"/>
      <c r="M41" s="363"/>
      <c r="N41" s="363"/>
      <c r="O41" s="145">
        <v>0.0</v>
      </c>
      <c r="P41" s="145">
        <v>1.0</v>
      </c>
      <c r="Q41" s="145">
        <v>1.0</v>
      </c>
      <c r="R41" s="100"/>
      <c r="S41" s="100"/>
      <c r="T41" s="100"/>
      <c r="U41" s="145" t="s">
        <v>69</v>
      </c>
      <c r="V41" s="100"/>
    </row>
    <row r="42" outlineLevel="1">
      <c r="A42" s="170" t="s">
        <v>103</v>
      </c>
      <c r="B42" s="160"/>
      <c r="C42" s="450" t="s">
        <v>975</v>
      </c>
      <c r="D42" s="450" t="s">
        <v>718</v>
      </c>
      <c r="E42" s="216" t="s">
        <v>150</v>
      </c>
      <c r="F42" s="138">
        <v>6.0</v>
      </c>
      <c r="G42" s="139" t="s">
        <v>102</v>
      </c>
      <c r="H42" s="366"/>
      <c r="I42" s="110"/>
      <c r="J42" s="109"/>
      <c r="K42" s="145"/>
      <c r="L42" s="363"/>
      <c r="M42" s="363"/>
      <c r="N42" s="363"/>
      <c r="O42" s="145">
        <v>0.0</v>
      </c>
      <c r="P42" s="145">
        <v>1.0</v>
      </c>
      <c r="Q42" s="145">
        <v>1.0</v>
      </c>
      <c r="R42" s="100"/>
      <c r="S42" s="100"/>
      <c r="T42" s="100"/>
      <c r="U42" s="145" t="s">
        <v>69</v>
      </c>
      <c r="V42" s="100"/>
    </row>
    <row r="43" outlineLevel="1">
      <c r="A43" s="133" t="s">
        <v>109</v>
      </c>
      <c r="B43" s="147"/>
      <c r="C43" s="216" t="s">
        <v>334</v>
      </c>
      <c r="D43" s="195" t="s">
        <v>289</v>
      </c>
      <c r="E43" s="216" t="s">
        <v>153</v>
      </c>
      <c r="F43" s="138">
        <v>19.2</v>
      </c>
      <c r="G43" s="139" t="s">
        <v>88</v>
      </c>
      <c r="H43" s="283" t="s">
        <v>553</v>
      </c>
      <c r="I43" s="164"/>
      <c r="J43" s="104"/>
      <c r="K43" s="282"/>
      <c r="L43" s="282"/>
      <c r="M43" s="363"/>
      <c r="N43" s="363"/>
      <c r="O43" s="145">
        <v>0.0</v>
      </c>
      <c r="P43" s="145">
        <v>1.0</v>
      </c>
      <c r="Q43" s="145">
        <v>1.0</v>
      </c>
      <c r="R43" s="100"/>
      <c r="S43" s="100"/>
      <c r="T43" s="100"/>
      <c r="U43" s="166" t="s">
        <v>75</v>
      </c>
      <c r="V43" s="100"/>
    </row>
    <row r="44" outlineLevel="1">
      <c r="A44" s="156"/>
      <c r="B44" s="147" t="s">
        <v>84</v>
      </c>
      <c r="C44" s="216" t="s">
        <v>834</v>
      </c>
      <c r="D44" s="107"/>
      <c r="E44" s="216" t="s">
        <v>228</v>
      </c>
      <c r="F44" s="138">
        <v>15.6</v>
      </c>
      <c r="G44" s="139" t="s">
        <v>275</v>
      </c>
      <c r="H44" s="106"/>
      <c r="I44" s="168"/>
      <c r="J44" s="107"/>
      <c r="K44" s="282"/>
      <c r="L44" s="282"/>
      <c r="M44" s="363"/>
      <c r="N44" s="363"/>
      <c r="O44" s="145">
        <v>0.0</v>
      </c>
      <c r="P44" s="145">
        <v>1.0</v>
      </c>
      <c r="Q44" s="145">
        <v>1.0</v>
      </c>
      <c r="R44" s="100"/>
      <c r="S44" s="100"/>
      <c r="T44" s="100"/>
      <c r="U44" s="156"/>
      <c r="V44" s="100"/>
    </row>
    <row r="45" outlineLevel="1">
      <c r="A45" s="133" t="s">
        <v>116</v>
      </c>
      <c r="B45" s="147" t="s">
        <v>125</v>
      </c>
      <c r="C45" s="216" t="s">
        <v>460</v>
      </c>
      <c r="D45" s="195" t="s">
        <v>748</v>
      </c>
      <c r="E45" s="216" t="s">
        <v>73</v>
      </c>
      <c r="F45" s="138">
        <v>4.8</v>
      </c>
      <c r="G45" s="139" t="s">
        <v>147</v>
      </c>
      <c r="H45" s="283" t="s">
        <v>3057</v>
      </c>
      <c r="I45" s="164"/>
      <c r="J45" s="104"/>
      <c r="K45" s="363"/>
      <c r="L45" s="363"/>
      <c r="M45" s="363"/>
      <c r="N45" s="363"/>
      <c r="O45" s="145">
        <v>0.0</v>
      </c>
      <c r="P45" s="145">
        <v>1.0</v>
      </c>
      <c r="Q45" s="145">
        <v>1.0</v>
      </c>
      <c r="R45" s="100"/>
      <c r="S45" s="100"/>
      <c r="T45" s="100"/>
      <c r="U45" s="166" t="s">
        <v>62</v>
      </c>
      <c r="V45" s="100"/>
    </row>
    <row r="46" outlineLevel="1">
      <c r="A46" s="146"/>
      <c r="B46" s="147" t="s">
        <v>131</v>
      </c>
      <c r="C46" s="216" t="s">
        <v>334</v>
      </c>
      <c r="D46" s="210"/>
      <c r="E46" s="216" t="s">
        <v>967</v>
      </c>
      <c r="F46" s="138" t="s">
        <v>968</v>
      </c>
      <c r="G46" s="139" t="s">
        <v>969</v>
      </c>
      <c r="H46" s="212"/>
      <c r="J46" s="210"/>
      <c r="K46" s="363"/>
      <c r="L46" s="363"/>
      <c r="M46" s="363"/>
      <c r="N46" s="363"/>
      <c r="O46" s="145">
        <v>0.0</v>
      </c>
      <c r="P46" s="145">
        <v>1.0</v>
      </c>
      <c r="Q46" s="145">
        <v>1.0</v>
      </c>
      <c r="R46" s="100"/>
      <c r="S46" s="100"/>
      <c r="T46" s="100"/>
      <c r="U46" s="146"/>
      <c r="V46" s="100"/>
    </row>
    <row r="47" outlineLevel="1">
      <c r="A47" s="156"/>
      <c r="B47" s="147" t="s">
        <v>432</v>
      </c>
      <c r="C47" s="216" t="s">
        <v>314</v>
      </c>
      <c r="D47" s="107"/>
      <c r="E47" s="216" t="s">
        <v>274</v>
      </c>
      <c r="F47" s="138">
        <v>10.799999999999999</v>
      </c>
      <c r="G47" s="139" t="s">
        <v>95</v>
      </c>
      <c r="H47" s="106"/>
      <c r="I47" s="168"/>
      <c r="J47" s="107"/>
      <c r="K47" s="363"/>
      <c r="L47" s="363"/>
      <c r="M47" s="363"/>
      <c r="N47" s="363"/>
      <c r="O47" s="145">
        <v>0.0</v>
      </c>
      <c r="P47" s="145">
        <v>1.0</v>
      </c>
      <c r="Q47" s="145">
        <v>1.0</v>
      </c>
      <c r="R47" s="100"/>
      <c r="S47" s="100"/>
      <c r="T47" s="100"/>
      <c r="U47" s="156"/>
      <c r="V47" s="100"/>
    </row>
    <row r="48" outlineLevel="1">
      <c r="A48" s="170" t="s">
        <v>124</v>
      </c>
      <c r="B48" s="147"/>
      <c r="C48" s="450" t="s">
        <v>1137</v>
      </c>
      <c r="D48" s="450" t="s">
        <v>455</v>
      </c>
      <c r="E48" s="216" t="s">
        <v>119</v>
      </c>
      <c r="F48" s="138">
        <v>16.8</v>
      </c>
      <c r="G48" s="139" t="s">
        <v>121</v>
      </c>
      <c r="H48" s="362" t="s">
        <v>442</v>
      </c>
      <c r="I48" s="110"/>
      <c r="J48" s="109"/>
      <c r="K48" s="282"/>
      <c r="L48" s="282"/>
      <c r="M48" s="363"/>
      <c r="N48" s="363"/>
      <c r="O48" s="145">
        <v>0.0</v>
      </c>
      <c r="P48" s="145">
        <v>1.0</v>
      </c>
      <c r="Q48" s="145">
        <v>1.0</v>
      </c>
      <c r="R48" s="100"/>
      <c r="S48" s="100"/>
      <c r="T48" s="100"/>
      <c r="U48" s="145" t="s">
        <v>62</v>
      </c>
      <c r="V48" s="100"/>
    </row>
    <row r="49">
      <c r="A49" s="118"/>
      <c r="B49" s="176"/>
      <c r="C49" s="118"/>
      <c r="D49" s="118"/>
      <c r="E49" s="118"/>
      <c r="F49" s="177"/>
      <c r="G49" s="177"/>
      <c r="H49" s="118"/>
      <c r="I49" s="118"/>
      <c r="J49" s="118"/>
      <c r="K49" s="118"/>
      <c r="L49" s="118"/>
      <c r="M49" s="118"/>
      <c r="N49" s="118"/>
      <c r="O49" s="118"/>
      <c r="P49" s="118"/>
      <c r="Q49" s="118"/>
      <c r="R49" s="118"/>
      <c r="S49" s="118"/>
      <c r="T49" s="118"/>
      <c r="U49" s="118"/>
      <c r="V49" s="118"/>
    </row>
    <row r="50">
      <c r="A50" s="178" t="s">
        <v>133</v>
      </c>
      <c r="B50" s="104"/>
      <c r="C50" s="179"/>
      <c r="D50" s="179"/>
      <c r="E50" s="179"/>
      <c r="F50" s="180"/>
      <c r="G50" s="179"/>
      <c r="H50" s="180"/>
      <c r="I50" s="180"/>
      <c r="J50" s="181"/>
      <c r="K50" s="180"/>
      <c r="L50" s="180"/>
      <c r="M50" s="180"/>
      <c r="N50" s="180"/>
      <c r="O50" s="180"/>
      <c r="P50" s="180"/>
      <c r="Q50" s="180"/>
      <c r="R50" s="180"/>
      <c r="S50" s="180"/>
      <c r="T50" s="180"/>
      <c r="U50" s="180"/>
      <c r="V50" s="180"/>
    </row>
    <row r="51" outlineLevel="1">
      <c r="A51" s="106"/>
      <c r="B51" s="107"/>
      <c r="C51" s="182" t="s">
        <v>48</v>
      </c>
      <c r="D51" s="183" t="s">
        <v>49</v>
      </c>
      <c r="E51" s="182" t="s">
        <v>50</v>
      </c>
      <c r="F51" s="184" t="s">
        <v>51</v>
      </c>
      <c r="G51" s="184" t="s">
        <v>134</v>
      </c>
      <c r="H51" s="185" t="s">
        <v>52</v>
      </c>
      <c r="I51" s="184" t="str">
        <f>'テンプレート'!I56</f>
        <v>着地隙</v>
      </c>
      <c r="J51" s="184" t="s">
        <v>136</v>
      </c>
      <c r="K51" s="184" t="str">
        <f>'テンプレート'!K56</f>
        <v>ベクトル</v>
      </c>
      <c r="L51" s="184" t="str">
        <f>'テンプレート'!L56</f>
        <v>KBG (R.E.)</v>
      </c>
      <c r="M51" s="184" t="str">
        <f>'テンプレート'!M56</f>
        <v>BKB (R.A.)</v>
      </c>
      <c r="N51" s="184" t="str">
        <f>'テンプレート'!N56</f>
        <v>FKB (R.F.)</v>
      </c>
      <c r="O51" s="186" t="str">
        <f>'テンプレート'!O56</f>
        <v>盾削り値</v>
      </c>
      <c r="P51" s="184" t="str">
        <f>'テンプレート'!P56</f>
        <v>ﾋｯﾄｽﾄｯﾌﾟ</v>
      </c>
      <c r="Q51" s="186" t="str">
        <f>'テンプレート'!Q56</f>
        <v>ずらし</v>
      </c>
      <c r="R51" s="187" t="str">
        <f>'テンプレート'!R56</f>
        <v>備考</v>
      </c>
      <c r="S51" s="110"/>
      <c r="T51" s="110"/>
      <c r="U51" s="110"/>
      <c r="V51" s="110"/>
    </row>
    <row r="52" outlineLevel="1">
      <c r="A52" s="188" t="s">
        <v>144</v>
      </c>
      <c r="B52" s="373" t="s">
        <v>125</v>
      </c>
      <c r="C52" s="239" t="s">
        <v>1290</v>
      </c>
      <c r="D52" s="374" t="s">
        <v>221</v>
      </c>
      <c r="E52" s="401" t="s">
        <v>80</v>
      </c>
      <c r="F52" s="193">
        <v>9.6</v>
      </c>
      <c r="G52" s="193">
        <v>8.16</v>
      </c>
      <c r="H52" s="138" t="s">
        <v>147</v>
      </c>
      <c r="I52" s="454" t="str">
        <f t="array" ref="I52">INDEX('空中攻撃'!$O$3:$AA$109, MATCH($A$1,'空中攻撃'!$A$3:$A$109,0), MATCH(A52,'空中攻撃'!$O$2:$S$2,0))</f>
        <v>5</v>
      </c>
      <c r="J52" s="195" t="s">
        <v>1226</v>
      </c>
      <c r="K52" s="376"/>
      <c r="L52" s="377"/>
      <c r="M52" s="825"/>
      <c r="N52" s="825"/>
      <c r="O52" s="199">
        <v>0.0</v>
      </c>
      <c r="P52" s="199">
        <v>1.0</v>
      </c>
      <c r="Q52" s="199">
        <v>1.0</v>
      </c>
      <c r="R52" s="1124"/>
      <c r="S52" s="164"/>
      <c r="T52" s="164"/>
      <c r="U52" s="164"/>
      <c r="V52" s="104"/>
    </row>
    <row r="53" outlineLevel="1">
      <c r="A53" s="156"/>
      <c r="B53" s="373" t="s">
        <v>131</v>
      </c>
      <c r="C53" s="239" t="s">
        <v>2670</v>
      </c>
      <c r="D53" s="107"/>
      <c r="E53" s="239" t="s">
        <v>86</v>
      </c>
      <c r="F53" s="138">
        <v>7.199999999999999</v>
      </c>
      <c r="G53" s="138">
        <v>6.12</v>
      </c>
      <c r="H53" s="138" t="s">
        <v>60</v>
      </c>
      <c r="I53" s="156"/>
      <c r="J53" s="107"/>
      <c r="K53" s="376"/>
      <c r="L53" s="377"/>
      <c r="M53" s="825"/>
      <c r="N53" s="825"/>
      <c r="O53" s="199">
        <v>0.0</v>
      </c>
      <c r="P53" s="199">
        <v>1.0</v>
      </c>
      <c r="Q53" s="199">
        <v>1.0</v>
      </c>
      <c r="R53" s="106"/>
      <c r="S53" s="168"/>
      <c r="T53" s="168"/>
      <c r="U53" s="168"/>
      <c r="V53" s="107"/>
    </row>
    <row r="54" outlineLevel="1">
      <c r="A54" s="213" t="s">
        <v>151</v>
      </c>
      <c r="B54" s="373"/>
      <c r="C54" s="239" t="s">
        <v>319</v>
      </c>
      <c r="D54" s="380">
        <v>27.0</v>
      </c>
      <c r="E54" s="239" t="s">
        <v>86</v>
      </c>
      <c r="F54" s="138">
        <v>7.199999999999999</v>
      </c>
      <c r="G54" s="138">
        <v>6.12</v>
      </c>
      <c r="H54" s="138" t="s">
        <v>60</v>
      </c>
      <c r="I54" s="621" t="str">
        <f t="array" ref="I54">INDEX('空中攻撃'!$O$3:$AA$109, MATCH($A$1,'空中攻撃'!$A$3:$A$109,0), MATCH(A54,'空中攻撃'!$O$2:$S$2,0))</f>
        <v>9</v>
      </c>
      <c r="J54" s="216" t="s">
        <v>3058</v>
      </c>
      <c r="K54" s="376"/>
      <c r="L54" s="377"/>
      <c r="M54" s="825"/>
      <c r="N54" s="825"/>
      <c r="O54" s="199">
        <v>0.0</v>
      </c>
      <c r="P54" s="199">
        <v>1.0</v>
      </c>
      <c r="Q54" s="199">
        <v>1.0</v>
      </c>
      <c r="R54" s="1127"/>
      <c r="S54" s="110"/>
      <c r="T54" s="110"/>
      <c r="U54" s="110"/>
      <c r="V54" s="109"/>
    </row>
    <row r="55" outlineLevel="1">
      <c r="A55" s="188" t="s">
        <v>157</v>
      </c>
      <c r="B55" s="373"/>
      <c r="C55" s="239" t="s">
        <v>305</v>
      </c>
      <c r="D55" s="195" t="s">
        <v>185</v>
      </c>
      <c r="E55" s="239" t="s">
        <v>3059</v>
      </c>
      <c r="F55" s="138" t="s">
        <v>3060</v>
      </c>
      <c r="G55" s="138" t="s">
        <v>3061</v>
      </c>
      <c r="H55" s="138" t="s">
        <v>318</v>
      </c>
      <c r="I55" s="454">
        <f t="array" ref="I55">INDEX('空中攻撃'!$O$3:$AA$109, MATCH($A$1,'空中攻撃'!$A$3:$A$109,0), MATCH(A55,'空中攻撃'!$O$2:$S$2,0))</f>
        <v>14</v>
      </c>
      <c r="J55" s="195" t="s">
        <v>1232</v>
      </c>
      <c r="K55" s="376"/>
      <c r="L55" s="377"/>
      <c r="M55" s="825"/>
      <c r="N55" s="825"/>
      <c r="O55" s="199">
        <v>0.0</v>
      </c>
      <c r="P55" s="199">
        <v>1.0</v>
      </c>
      <c r="Q55" s="199">
        <v>1.0</v>
      </c>
      <c r="R55" s="1124"/>
      <c r="S55" s="164"/>
      <c r="T55" s="164"/>
      <c r="U55" s="164"/>
      <c r="V55" s="104"/>
    </row>
    <row r="56" outlineLevel="1">
      <c r="A56" s="156"/>
      <c r="B56" s="373" t="s">
        <v>84</v>
      </c>
      <c r="C56" s="239" t="s">
        <v>561</v>
      </c>
      <c r="D56" s="107"/>
      <c r="E56" s="239" t="s">
        <v>228</v>
      </c>
      <c r="F56" s="138">
        <v>15.6</v>
      </c>
      <c r="G56" s="138">
        <v>13.26</v>
      </c>
      <c r="H56" s="138" t="s">
        <v>75</v>
      </c>
      <c r="I56" s="156"/>
      <c r="J56" s="107"/>
      <c r="K56" s="376"/>
      <c r="L56" s="377"/>
      <c r="M56" s="825"/>
      <c r="N56" s="825"/>
      <c r="O56" s="199"/>
      <c r="P56" s="199"/>
      <c r="Q56" s="199"/>
      <c r="R56" s="106"/>
      <c r="S56" s="168"/>
      <c r="T56" s="168"/>
      <c r="U56" s="168"/>
      <c r="V56" s="107"/>
    </row>
    <row r="57" outlineLevel="1">
      <c r="A57" s="188" t="s">
        <v>162</v>
      </c>
      <c r="B57" s="373"/>
      <c r="C57" s="239" t="s">
        <v>223</v>
      </c>
      <c r="D57" s="374" t="s">
        <v>282</v>
      </c>
      <c r="E57" s="239" t="s">
        <v>232</v>
      </c>
      <c r="F57" s="138">
        <v>13.2</v>
      </c>
      <c r="G57" s="138">
        <v>11.22</v>
      </c>
      <c r="H57" s="138" t="s">
        <v>147</v>
      </c>
      <c r="I57" s="454" t="str">
        <f t="array" ref="I57">INDEX('空中攻撃'!$O$3:$AA$109, MATCH($A$1,'空中攻撃'!$A$3:$A$109,0), MATCH(A57,'空中攻撃'!$O$2:$S$2,0))</f>
        <v>13</v>
      </c>
      <c r="J57" s="455" t="s">
        <v>3062</v>
      </c>
      <c r="K57" s="377"/>
      <c r="L57" s="377"/>
      <c r="M57" s="825"/>
      <c r="N57" s="825"/>
      <c r="O57" s="199">
        <v>0.0</v>
      </c>
      <c r="P57" s="199">
        <v>1.0</v>
      </c>
      <c r="Q57" s="199">
        <v>1.0</v>
      </c>
      <c r="R57" s="1124"/>
      <c r="S57" s="164"/>
      <c r="T57" s="164"/>
      <c r="U57" s="164"/>
      <c r="V57" s="104"/>
    </row>
    <row r="58" outlineLevel="1">
      <c r="A58" s="156"/>
      <c r="B58" s="373" t="s">
        <v>84</v>
      </c>
      <c r="C58" s="239" t="s">
        <v>373</v>
      </c>
      <c r="D58" s="107"/>
      <c r="E58" s="239" t="s">
        <v>86</v>
      </c>
      <c r="F58" s="138">
        <v>7.199999999999999</v>
      </c>
      <c r="G58" s="138">
        <v>6.12</v>
      </c>
      <c r="H58" s="138" t="s">
        <v>60</v>
      </c>
      <c r="I58" s="156"/>
      <c r="J58" s="107"/>
      <c r="K58" s="377"/>
      <c r="L58" s="377"/>
      <c r="M58" s="825"/>
      <c r="N58" s="825"/>
      <c r="O58" s="199">
        <v>0.0</v>
      </c>
      <c r="P58" s="199">
        <v>1.0</v>
      </c>
      <c r="Q58" s="199">
        <v>1.0</v>
      </c>
      <c r="R58" s="106"/>
      <c r="S58" s="168"/>
      <c r="T58" s="168"/>
      <c r="U58" s="168"/>
      <c r="V58" s="107"/>
    </row>
    <row r="59" outlineLevel="1">
      <c r="A59" s="188" t="s">
        <v>166</v>
      </c>
      <c r="B59" s="373" t="s">
        <v>125</v>
      </c>
      <c r="C59" s="239" t="s">
        <v>717</v>
      </c>
      <c r="D59" s="452">
        <v>30.0</v>
      </c>
      <c r="E59" s="239" t="s">
        <v>150</v>
      </c>
      <c r="F59" s="138">
        <v>6.0</v>
      </c>
      <c r="G59" s="138">
        <v>5.1</v>
      </c>
      <c r="H59" s="138" t="s">
        <v>60</v>
      </c>
      <c r="I59" s="454">
        <f t="array" ref="I59">INDEX('空中攻撃'!$O$3:$AA$109, MATCH($A$1,'空中攻撃'!$A$3:$A$109,0), MATCH(A59,'空中攻撃'!$O$2:$S$2,0))</f>
        <v>12</v>
      </c>
      <c r="J59" s="455" t="s">
        <v>3063</v>
      </c>
      <c r="K59" s="377"/>
      <c r="L59" s="377"/>
      <c r="M59" s="825"/>
      <c r="N59" s="825"/>
      <c r="O59" s="199">
        <v>0.0</v>
      </c>
      <c r="P59" s="199">
        <v>1.0</v>
      </c>
      <c r="Q59" s="199">
        <v>1.0</v>
      </c>
      <c r="R59" s="456"/>
      <c r="S59" s="164"/>
      <c r="T59" s="164"/>
      <c r="U59" s="164"/>
      <c r="V59" s="104"/>
    </row>
    <row r="60" outlineLevel="1">
      <c r="A60" s="156"/>
      <c r="B60" s="373" t="s">
        <v>131</v>
      </c>
      <c r="C60" s="239" t="s">
        <v>299</v>
      </c>
      <c r="D60" s="107"/>
      <c r="E60" s="239" t="s">
        <v>86</v>
      </c>
      <c r="F60" s="138">
        <v>7.199999999999999</v>
      </c>
      <c r="G60" s="138">
        <v>6.12</v>
      </c>
      <c r="H60" s="138" t="s">
        <v>60</v>
      </c>
      <c r="I60" s="156"/>
      <c r="J60" s="107"/>
      <c r="K60" s="377"/>
      <c r="L60" s="377"/>
      <c r="M60" s="825"/>
      <c r="N60" s="825"/>
      <c r="O60" s="199">
        <v>0.0</v>
      </c>
      <c r="P60" s="199">
        <v>1.0</v>
      </c>
      <c r="Q60" s="199">
        <v>1.0</v>
      </c>
      <c r="R60" s="106"/>
      <c r="S60" s="168"/>
      <c r="T60" s="168"/>
      <c r="U60" s="168"/>
      <c r="V60" s="107"/>
    </row>
    <row r="61">
      <c r="A61" s="223"/>
      <c r="B61" s="224"/>
      <c r="C61" s="225"/>
      <c r="D61" s="225"/>
      <c r="E61" s="226"/>
      <c r="F61" s="226"/>
      <c r="G61" s="226"/>
      <c r="H61" s="227"/>
      <c r="I61" s="227"/>
      <c r="J61" s="228"/>
      <c r="K61" s="228"/>
      <c r="L61" s="228"/>
      <c r="M61" s="228"/>
      <c r="N61" s="228"/>
      <c r="O61" s="228"/>
      <c r="P61" s="228"/>
      <c r="Q61" s="118"/>
      <c r="R61" s="118"/>
      <c r="S61" s="118"/>
      <c r="T61" s="118"/>
      <c r="U61" s="118"/>
      <c r="V61" s="118"/>
    </row>
    <row r="62">
      <c r="A62" s="229" t="s">
        <v>177</v>
      </c>
      <c r="B62" s="109"/>
      <c r="C62" s="225"/>
      <c r="D62" s="225"/>
      <c r="E62" s="226"/>
      <c r="F62" s="226"/>
      <c r="G62" s="226"/>
      <c r="H62" s="227"/>
      <c r="I62" s="227"/>
      <c r="J62" s="228"/>
      <c r="K62" s="228"/>
      <c r="L62" s="228"/>
      <c r="M62" s="228"/>
      <c r="N62" s="228"/>
      <c r="O62" s="228"/>
      <c r="P62" s="228"/>
      <c r="Q62" s="118"/>
      <c r="R62" s="118"/>
      <c r="S62" s="118"/>
      <c r="T62" s="118"/>
      <c r="U62" s="118"/>
      <c r="V62" s="118"/>
    </row>
    <row r="63" outlineLevel="1">
      <c r="A63" s="230" t="s">
        <v>3064</v>
      </c>
      <c r="B63" s="109"/>
      <c r="C63" s="231" t="s">
        <v>48</v>
      </c>
      <c r="D63" s="231" t="s">
        <v>49</v>
      </c>
      <c r="E63" s="232" t="s">
        <v>50</v>
      </c>
      <c r="F63" s="233" t="s">
        <v>51</v>
      </c>
      <c r="G63" s="232" t="s">
        <v>52</v>
      </c>
      <c r="H63" s="382" t="str">
        <f>'テンプレート'!H72</f>
        <v>備考</v>
      </c>
      <c r="I63" s="110"/>
      <c r="J63" s="109"/>
      <c r="K63" s="235" t="str">
        <f>'テンプレート'!K72</f>
        <v>ベクトル</v>
      </c>
      <c r="L63" s="235" t="str">
        <f>'テンプレート'!L72</f>
        <v>KBG (R.E.)</v>
      </c>
      <c r="M63" s="235" t="str">
        <f>'テンプレート'!M72</f>
        <v>BKB (R.A.)</v>
      </c>
      <c r="N63" s="235" t="str">
        <f>'テンプレート'!N72</f>
        <v>FKB (R.F.)</v>
      </c>
      <c r="O63" s="236" t="str">
        <f>'テンプレート'!O72</f>
        <v>盾削り値</v>
      </c>
      <c r="P63" s="235" t="str">
        <f>'テンプレート'!P72</f>
        <v>ﾋｯﾄｽﾄｯﾌﾟ</v>
      </c>
      <c r="Q63" s="236" t="str">
        <f>'テンプレート'!Q72</f>
        <v>ずらし</v>
      </c>
      <c r="R63" s="235" t="str">
        <f>'テンプレート'!R72</f>
        <v>相殺</v>
      </c>
      <c r="S63" s="236" t="str">
        <f>'テンプレート'!S72</f>
        <v>相殺ﾓｰｼｮﾝ</v>
      </c>
      <c r="T63" s="236" t="str">
        <f>'テンプレート'!T72</f>
        <v>飛び道具</v>
      </c>
      <c r="U63" s="236" t="str">
        <f>'テンプレート'!U72</f>
        <v>慣性反転</v>
      </c>
      <c r="V63" s="236" t="str">
        <f>'テンプレート'!V72</f>
        <v>向き反転</v>
      </c>
    </row>
    <row r="64" ht="19.5" customHeight="1" outlineLevel="1">
      <c r="A64" s="237" t="s">
        <v>184</v>
      </c>
      <c r="B64" s="243" t="s">
        <v>1043</v>
      </c>
      <c r="C64" s="239" t="s">
        <v>3065</v>
      </c>
      <c r="D64" s="553"/>
      <c r="E64" s="239" t="s">
        <v>3066</v>
      </c>
      <c r="F64" s="138">
        <v>0.828</v>
      </c>
      <c r="G64" s="139" t="s">
        <v>170</v>
      </c>
      <c r="H64" s="283" t="s">
        <v>3067</v>
      </c>
      <c r="I64" s="164"/>
      <c r="J64" s="104"/>
      <c r="K64" s="282"/>
      <c r="L64" s="282"/>
      <c r="M64" s="363"/>
      <c r="N64" s="363"/>
      <c r="O64" s="138">
        <v>0.0</v>
      </c>
      <c r="P64" s="138">
        <v>1.0</v>
      </c>
      <c r="Q64" s="138">
        <v>1.0</v>
      </c>
      <c r="R64" s="145" t="b">
        <v>0</v>
      </c>
      <c r="S64" s="145" t="b">
        <v>0</v>
      </c>
      <c r="T64" s="145" t="b">
        <v>1</v>
      </c>
      <c r="U64" s="166" t="s">
        <v>186</v>
      </c>
      <c r="V64" s="166" t="b">
        <v>1</v>
      </c>
    </row>
    <row r="65" ht="19.5" customHeight="1" outlineLevel="1">
      <c r="A65" s="146"/>
      <c r="B65" s="663" t="s">
        <v>473</v>
      </c>
      <c r="C65" s="367" t="s">
        <v>3068</v>
      </c>
      <c r="D65" s="901" t="s">
        <v>455</v>
      </c>
      <c r="E65" s="239" t="s">
        <v>3069</v>
      </c>
      <c r="F65" s="138">
        <v>8.28</v>
      </c>
      <c r="G65" s="139" t="s">
        <v>60</v>
      </c>
      <c r="H65" s="212"/>
      <c r="J65" s="210"/>
      <c r="K65" s="282"/>
      <c r="L65" s="282"/>
      <c r="M65" s="363"/>
      <c r="N65" s="363"/>
      <c r="O65" s="138">
        <v>0.0</v>
      </c>
      <c r="P65" s="138">
        <v>1.0</v>
      </c>
      <c r="Q65" s="138">
        <v>1.0</v>
      </c>
      <c r="R65" s="145" t="b">
        <v>1</v>
      </c>
      <c r="S65" s="145"/>
      <c r="T65" s="145" t="b">
        <v>1</v>
      </c>
      <c r="U65" s="146"/>
      <c r="V65" s="146"/>
    </row>
    <row r="66" ht="19.5" customHeight="1" outlineLevel="1">
      <c r="A66" s="146"/>
      <c r="B66" s="663" t="s">
        <v>340</v>
      </c>
      <c r="C66" s="146"/>
      <c r="D66" s="156"/>
      <c r="E66" s="239" t="s">
        <v>3070</v>
      </c>
      <c r="F66" s="138">
        <v>20.7</v>
      </c>
      <c r="G66" s="139" t="s">
        <v>102</v>
      </c>
      <c r="H66" s="212"/>
      <c r="J66" s="210"/>
      <c r="K66" s="282"/>
      <c r="L66" s="282"/>
      <c r="M66" s="363"/>
      <c r="N66" s="363"/>
      <c r="O66" s="138"/>
      <c r="P66" s="138"/>
      <c r="Q66" s="138"/>
      <c r="R66" s="145" t="b">
        <v>0</v>
      </c>
      <c r="S66" s="145" t="b">
        <v>0</v>
      </c>
      <c r="T66" s="145" t="b">
        <v>0</v>
      </c>
      <c r="U66" s="146"/>
      <c r="V66" s="146"/>
    </row>
    <row r="67" ht="19.5" customHeight="1" outlineLevel="1">
      <c r="A67" s="156"/>
      <c r="B67" s="663" t="s">
        <v>1578</v>
      </c>
      <c r="C67" s="239" t="s">
        <v>3071</v>
      </c>
      <c r="D67" s="365" t="s">
        <v>127</v>
      </c>
      <c r="E67" s="553"/>
      <c r="F67" s="553"/>
      <c r="G67" s="553"/>
      <c r="H67" s="106"/>
      <c r="I67" s="168"/>
      <c r="J67" s="107"/>
      <c r="K67" s="282"/>
      <c r="L67" s="282"/>
      <c r="M67" s="363"/>
      <c r="N67" s="363"/>
      <c r="O67" s="138">
        <v>3.0</v>
      </c>
      <c r="P67" s="138">
        <v>1.0</v>
      </c>
      <c r="Q67" s="138">
        <v>1.0</v>
      </c>
      <c r="R67" s="145" t="b">
        <v>1</v>
      </c>
      <c r="S67" s="145" t="b">
        <v>0</v>
      </c>
      <c r="T67" s="145" t="b">
        <v>1</v>
      </c>
      <c r="U67" s="156"/>
      <c r="V67" s="156"/>
    </row>
    <row r="68" outlineLevel="1">
      <c r="A68" s="230" t="s">
        <v>3072</v>
      </c>
      <c r="B68" s="109"/>
      <c r="C68" s="231" t="s">
        <v>48</v>
      </c>
      <c r="D68" s="231" t="s">
        <v>49</v>
      </c>
      <c r="E68" s="232" t="s">
        <v>50</v>
      </c>
      <c r="F68" s="233" t="s">
        <v>51</v>
      </c>
      <c r="G68" s="232" t="s">
        <v>52</v>
      </c>
      <c r="H68" s="382" t="str">
        <f>'テンプレート'!H75</f>
        <v>備考</v>
      </c>
      <c r="I68" s="110"/>
      <c r="J68" s="109"/>
      <c r="K68" s="235" t="str">
        <f>'テンプレート'!K75</f>
        <v>ベクトル</v>
      </c>
      <c r="L68" s="235" t="str">
        <f>'テンプレート'!L75</f>
        <v>KBG (R.E.)</v>
      </c>
      <c r="M68" s="235" t="str">
        <f>'テンプレート'!M75</f>
        <v>BKB (R.A.)</v>
      </c>
      <c r="N68" s="235" t="str">
        <f>'テンプレート'!N75</f>
        <v>FKB (R.F.)</v>
      </c>
      <c r="O68" s="236" t="str">
        <f>'テンプレート'!O75</f>
        <v>盾削り値</v>
      </c>
      <c r="P68" s="235" t="str">
        <f>'テンプレート'!P75</f>
        <v>ﾋｯﾄｽﾄｯﾌﾟ</v>
      </c>
      <c r="Q68" s="236" t="str">
        <f>'テンプレート'!Q75</f>
        <v>ずらし</v>
      </c>
      <c r="R68" s="235" t="str">
        <f>'テンプレート'!R75</f>
        <v>相殺</v>
      </c>
      <c r="S68" s="236" t="str">
        <f>'テンプレート'!S75</f>
        <v>相殺ﾓｰｼｮﾝ</v>
      </c>
      <c r="T68" s="236" t="str">
        <f>'テンプレート'!T75</f>
        <v>飛び道具</v>
      </c>
      <c r="U68" s="236" t="str">
        <f>'テンプレート'!U75</f>
        <v>慣性反転</v>
      </c>
      <c r="V68" s="236" t="str">
        <f>'テンプレート'!V75</f>
        <v>向き反転</v>
      </c>
    </row>
    <row r="69" outlineLevel="1">
      <c r="A69" s="259" t="s">
        <v>332</v>
      </c>
      <c r="B69" s="243" t="s">
        <v>1152</v>
      </c>
      <c r="C69" s="239" t="s">
        <v>274</v>
      </c>
      <c r="D69" s="455" t="s">
        <v>748</v>
      </c>
      <c r="E69" s="553"/>
      <c r="F69" s="553"/>
      <c r="G69" s="553"/>
      <c r="H69" s="163" t="s">
        <v>3073</v>
      </c>
      <c r="I69" s="164"/>
      <c r="J69" s="104"/>
      <c r="K69" s="261"/>
      <c r="L69" s="261"/>
      <c r="M69" s="261"/>
      <c r="N69" s="261"/>
      <c r="O69" s="261"/>
      <c r="P69" s="261"/>
      <c r="Q69" s="261"/>
      <c r="R69" s="261"/>
      <c r="S69" s="261"/>
      <c r="T69" s="261"/>
      <c r="U69" s="166" t="s">
        <v>186</v>
      </c>
      <c r="V69" s="166" t="b">
        <v>1</v>
      </c>
    </row>
    <row r="70" outlineLevel="1">
      <c r="A70" s="259" t="s">
        <v>184</v>
      </c>
      <c r="B70" s="243" t="s">
        <v>3074</v>
      </c>
      <c r="C70" s="239" t="s">
        <v>443</v>
      </c>
      <c r="D70" s="107"/>
      <c r="E70" s="239" t="s">
        <v>3075</v>
      </c>
      <c r="F70" s="138" t="s">
        <v>3076</v>
      </c>
      <c r="G70" s="139" t="s">
        <v>1969</v>
      </c>
      <c r="H70" s="212"/>
      <c r="J70" s="210"/>
      <c r="K70" s="138"/>
      <c r="L70" s="138"/>
      <c r="M70" s="145"/>
      <c r="N70" s="145"/>
      <c r="O70" s="138">
        <v>0.0</v>
      </c>
      <c r="P70" s="138">
        <v>1.0</v>
      </c>
      <c r="Q70" s="138">
        <v>1.0</v>
      </c>
      <c r="R70" s="145" t="b">
        <v>0</v>
      </c>
      <c r="S70" s="145" t="b">
        <v>0</v>
      </c>
      <c r="T70" s="145" t="b">
        <v>1</v>
      </c>
      <c r="U70" s="146"/>
      <c r="V70" s="146"/>
    </row>
    <row r="71" outlineLevel="1">
      <c r="A71" s="237" t="s">
        <v>332</v>
      </c>
      <c r="B71" s="243" t="s">
        <v>212</v>
      </c>
      <c r="C71" s="239" t="s">
        <v>377</v>
      </c>
      <c r="D71" s="455" t="s">
        <v>221</v>
      </c>
      <c r="E71" s="239" t="s">
        <v>128</v>
      </c>
      <c r="F71" s="138">
        <v>12.0</v>
      </c>
      <c r="G71" s="139" t="s">
        <v>121</v>
      </c>
      <c r="H71" s="212"/>
      <c r="J71" s="210"/>
      <c r="K71" s="138"/>
      <c r="L71" s="138"/>
      <c r="M71" s="145"/>
      <c r="N71" s="145"/>
      <c r="O71" s="138">
        <v>0.0</v>
      </c>
      <c r="P71" s="138">
        <v>1.0</v>
      </c>
      <c r="Q71" s="138">
        <v>0.0</v>
      </c>
      <c r="R71" s="145"/>
      <c r="S71" s="145"/>
      <c r="T71" s="145"/>
      <c r="U71" s="146"/>
      <c r="V71" s="146"/>
    </row>
    <row r="72" outlineLevel="1">
      <c r="A72" s="156"/>
      <c r="B72" s="243" t="s">
        <v>1157</v>
      </c>
      <c r="C72" s="239" t="s">
        <v>99</v>
      </c>
      <c r="D72" s="107"/>
      <c r="E72" s="239" t="s">
        <v>228</v>
      </c>
      <c r="F72" s="138">
        <v>15.6</v>
      </c>
      <c r="G72" s="553"/>
      <c r="H72" s="106"/>
      <c r="I72" s="168"/>
      <c r="J72" s="107"/>
      <c r="K72" s="138"/>
      <c r="L72" s="138"/>
      <c r="M72" s="145"/>
      <c r="N72" s="145"/>
      <c r="O72" s="138">
        <v>0.0</v>
      </c>
      <c r="P72" s="138">
        <v>1.0</v>
      </c>
      <c r="Q72" s="138">
        <v>1.0</v>
      </c>
      <c r="R72" s="145" t="b">
        <v>0</v>
      </c>
      <c r="S72" s="145" t="b">
        <v>0</v>
      </c>
      <c r="T72" s="145"/>
      <c r="U72" s="156"/>
      <c r="V72" s="156"/>
    </row>
    <row r="73" outlineLevel="1">
      <c r="A73" s="230" t="s">
        <v>3077</v>
      </c>
      <c r="B73" s="109"/>
      <c r="C73" s="231" t="s">
        <v>48</v>
      </c>
      <c r="D73" s="231" t="s">
        <v>49</v>
      </c>
      <c r="E73" s="232" t="s">
        <v>50</v>
      </c>
      <c r="F73" s="233" t="s">
        <v>51</v>
      </c>
      <c r="G73" s="232" t="s">
        <v>52</v>
      </c>
      <c r="H73" s="382" t="str">
        <f>'テンプレート'!H80</f>
        <v>備考</v>
      </c>
      <c r="I73" s="110"/>
      <c r="J73" s="109"/>
      <c r="K73" s="235" t="str">
        <f>'テンプレート'!K80</f>
        <v>ベクトル</v>
      </c>
      <c r="L73" s="235" t="str">
        <f>'テンプレート'!L80</f>
        <v>KBG (R.E.)</v>
      </c>
      <c r="M73" s="235" t="str">
        <f>'テンプレート'!M80</f>
        <v>BKB (R.A.)</v>
      </c>
      <c r="N73" s="235" t="str">
        <f>'テンプレート'!N80</f>
        <v>FKB (R.F.)</v>
      </c>
      <c r="O73" s="236" t="str">
        <f>'テンプレート'!O80</f>
        <v>盾削り値</v>
      </c>
      <c r="P73" s="235" t="str">
        <f>'テンプレート'!P80</f>
        <v>ﾋｯﾄｽﾄｯﾌﾟ</v>
      </c>
      <c r="Q73" s="236" t="str">
        <f>'テンプレート'!Q80</f>
        <v>ずらし</v>
      </c>
      <c r="R73" s="235" t="str">
        <f>'テンプレート'!R80</f>
        <v>相殺</v>
      </c>
      <c r="S73" s="236" t="str">
        <f>'テンプレート'!S80</f>
        <v>相殺ﾓｰｼｮﾝ</v>
      </c>
      <c r="T73" s="236" t="str">
        <f>'テンプレート'!T80</f>
        <v>飛び道具</v>
      </c>
      <c r="U73" s="236" t="str">
        <f>'テンプレート'!U80</f>
        <v>慣性反転</v>
      </c>
      <c r="V73" s="236" t="str">
        <f>'テンプレート'!V80</f>
        <v>向き反転</v>
      </c>
    </row>
    <row r="74" ht="45.75" customHeight="1" outlineLevel="1">
      <c r="A74" s="237" t="s">
        <v>184</v>
      </c>
      <c r="B74" s="402" t="s">
        <v>2402</v>
      </c>
      <c r="C74" s="239" t="s">
        <v>2349</v>
      </c>
      <c r="D74" s="239" t="s">
        <v>3078</v>
      </c>
      <c r="E74" s="239" t="s">
        <v>86</v>
      </c>
      <c r="F74" s="138">
        <v>7.199999999999999</v>
      </c>
      <c r="G74" s="139" t="s">
        <v>102</v>
      </c>
      <c r="H74" s="386" t="s">
        <v>3079</v>
      </c>
      <c r="I74" s="164"/>
      <c r="J74" s="104"/>
      <c r="K74" s="138"/>
      <c r="L74" s="138"/>
      <c r="M74" s="145"/>
      <c r="N74" s="145"/>
      <c r="O74" s="138">
        <v>0.0</v>
      </c>
      <c r="P74" s="138">
        <v>1.0</v>
      </c>
      <c r="Q74" s="138">
        <v>1.0</v>
      </c>
      <c r="R74" s="145" t="b">
        <v>1</v>
      </c>
      <c r="S74" s="145" t="b">
        <v>1</v>
      </c>
      <c r="T74" s="145"/>
      <c r="U74" s="166" t="b">
        <v>0</v>
      </c>
      <c r="V74" s="166" t="b">
        <v>0</v>
      </c>
    </row>
    <row r="75" ht="45.75" customHeight="1" outlineLevel="1">
      <c r="A75" s="156"/>
      <c r="B75" s="402" t="s">
        <v>470</v>
      </c>
      <c r="C75" s="239" t="s">
        <v>175</v>
      </c>
      <c r="D75" s="239" t="s">
        <v>79</v>
      </c>
      <c r="E75" s="239" t="s">
        <v>73</v>
      </c>
      <c r="F75" s="138">
        <v>4.8</v>
      </c>
      <c r="G75" s="139" t="s">
        <v>75</v>
      </c>
      <c r="H75" s="106"/>
      <c r="I75" s="168"/>
      <c r="J75" s="107"/>
      <c r="K75" s="138"/>
      <c r="L75" s="138"/>
      <c r="M75" s="145"/>
      <c r="N75" s="145"/>
      <c r="O75" s="138">
        <v>0.0</v>
      </c>
      <c r="P75" s="138">
        <v>1.0</v>
      </c>
      <c r="Q75" s="138">
        <v>1.0</v>
      </c>
      <c r="R75" s="145" t="b">
        <v>1</v>
      </c>
      <c r="S75" s="145" t="b">
        <v>1</v>
      </c>
      <c r="T75" s="145"/>
      <c r="U75" s="156"/>
      <c r="V75" s="156"/>
    </row>
    <row r="76" outlineLevel="1">
      <c r="A76" s="230" t="s">
        <v>3080</v>
      </c>
      <c r="B76" s="109"/>
      <c r="C76" s="231" t="s">
        <v>48</v>
      </c>
      <c r="D76" s="231" t="s">
        <v>49</v>
      </c>
      <c r="E76" s="232" t="s">
        <v>50</v>
      </c>
      <c r="F76" s="233" t="s">
        <v>51</v>
      </c>
      <c r="G76" s="232" t="s">
        <v>52</v>
      </c>
      <c r="H76" s="382" t="str">
        <f>'テンプレート'!H85</f>
        <v>備考</v>
      </c>
      <c r="I76" s="110"/>
      <c r="J76" s="109"/>
      <c r="K76" s="235" t="str">
        <f>'テンプレート'!K85</f>
        <v>ベクトル</v>
      </c>
      <c r="L76" s="235" t="str">
        <f>'テンプレート'!L85</f>
        <v>KBG (R.E.)</v>
      </c>
      <c r="M76" s="235" t="str">
        <f>'テンプレート'!M85</f>
        <v>BKB (R.A.)</v>
      </c>
      <c r="N76" s="235" t="str">
        <f>'テンプレート'!N85</f>
        <v>FKB (R.F.)</v>
      </c>
      <c r="O76" s="236" t="str">
        <f>'テンプレート'!O85</f>
        <v>盾削り値</v>
      </c>
      <c r="P76" s="235" t="str">
        <f>'テンプレート'!P85</f>
        <v>ﾋｯﾄｽﾄｯﾌﾟ</v>
      </c>
      <c r="Q76" s="236" t="str">
        <f>'テンプレート'!Q85</f>
        <v>ずらし</v>
      </c>
      <c r="R76" s="235" t="str">
        <f>'テンプレート'!R85</f>
        <v>相殺</v>
      </c>
      <c r="S76" s="236" t="str">
        <f>'テンプレート'!S85</f>
        <v>相殺ﾓｰｼｮﾝ</v>
      </c>
      <c r="T76" s="236" t="str">
        <f>'テンプレート'!T85</f>
        <v>飛び道具</v>
      </c>
      <c r="U76" s="236" t="str">
        <f>'テンプレート'!U85</f>
        <v>慣性反転</v>
      </c>
      <c r="V76" s="236" t="str">
        <f>'テンプレート'!V85</f>
        <v>向き反転</v>
      </c>
    </row>
    <row r="77" outlineLevel="1">
      <c r="A77" s="237" t="s">
        <v>184</v>
      </c>
      <c r="B77" s="402" t="s">
        <v>1837</v>
      </c>
      <c r="C77" s="239" t="s">
        <v>3081</v>
      </c>
      <c r="D77" s="239" t="s">
        <v>1580</v>
      </c>
      <c r="E77" s="553"/>
      <c r="F77" s="553"/>
      <c r="G77" s="553"/>
      <c r="H77" s="283" t="s">
        <v>3082</v>
      </c>
      <c r="I77" s="164"/>
      <c r="J77" s="164"/>
      <c r="K77" s="261"/>
      <c r="L77" s="261"/>
      <c r="M77" s="261"/>
      <c r="N77" s="261"/>
      <c r="O77" s="261"/>
      <c r="P77" s="261"/>
      <c r="Q77" s="261"/>
      <c r="R77" s="261"/>
      <c r="S77" s="261"/>
      <c r="T77" s="261"/>
      <c r="U77" s="166" t="b">
        <v>0</v>
      </c>
      <c r="V77" s="166" t="b">
        <v>0</v>
      </c>
    </row>
    <row r="78" outlineLevel="1">
      <c r="A78" s="146"/>
      <c r="B78" s="402" t="s">
        <v>2261</v>
      </c>
      <c r="C78" s="239" t="s">
        <v>3083</v>
      </c>
      <c r="D78" s="239" t="s">
        <v>462</v>
      </c>
      <c r="E78" s="239" t="s">
        <v>2764</v>
      </c>
      <c r="F78" s="138">
        <v>15.0</v>
      </c>
      <c r="G78" s="139" t="s">
        <v>407</v>
      </c>
      <c r="H78" s="140" t="s">
        <v>3084</v>
      </c>
      <c r="I78" s="110"/>
      <c r="J78" s="109"/>
      <c r="K78" s="138"/>
      <c r="L78" s="138"/>
      <c r="M78" s="145"/>
      <c r="N78" s="145"/>
      <c r="O78" s="138"/>
      <c r="P78" s="138"/>
      <c r="Q78" s="138"/>
      <c r="R78" s="145" t="b">
        <v>0</v>
      </c>
      <c r="S78" s="145" t="b">
        <v>0</v>
      </c>
      <c r="T78" s="145" t="b">
        <v>0</v>
      </c>
      <c r="U78" s="146"/>
      <c r="V78" s="146"/>
    </row>
    <row r="79" outlineLevel="1">
      <c r="A79" s="156"/>
      <c r="B79" s="402" t="s">
        <v>2262</v>
      </c>
      <c r="C79" s="239" t="s">
        <v>3083</v>
      </c>
      <c r="D79" s="239" t="s">
        <v>462</v>
      </c>
      <c r="E79" s="239" t="s">
        <v>2764</v>
      </c>
      <c r="F79" s="138">
        <v>15.0</v>
      </c>
      <c r="G79" s="139" t="s">
        <v>407</v>
      </c>
      <c r="H79" s="140" t="s">
        <v>3084</v>
      </c>
      <c r="I79" s="110"/>
      <c r="J79" s="109"/>
      <c r="K79" s="138"/>
      <c r="L79" s="138"/>
      <c r="M79" s="145"/>
      <c r="N79" s="145"/>
      <c r="O79" s="138">
        <v>0.0</v>
      </c>
      <c r="P79" s="138">
        <v>1.0</v>
      </c>
      <c r="Q79" s="138">
        <v>1.0</v>
      </c>
      <c r="R79" s="145" t="b">
        <v>0</v>
      </c>
      <c r="S79" s="145" t="b">
        <v>0</v>
      </c>
      <c r="T79" s="145"/>
      <c r="U79" s="156"/>
      <c r="V79" s="156"/>
    </row>
    <row r="80">
      <c r="A80" s="223"/>
      <c r="B80" s="224"/>
      <c r="C80" s="225"/>
      <c r="D80" s="225"/>
      <c r="E80" s="226"/>
      <c r="F80" s="226"/>
      <c r="G80" s="226"/>
      <c r="H80" s="227"/>
      <c r="I80" s="227"/>
      <c r="J80" s="228"/>
      <c r="K80" s="228"/>
      <c r="L80" s="228"/>
      <c r="M80" s="228"/>
      <c r="N80" s="228"/>
      <c r="O80" s="228"/>
      <c r="P80" s="228"/>
      <c r="Q80" s="118"/>
      <c r="R80" s="118"/>
      <c r="S80" s="118"/>
      <c r="T80" s="118"/>
      <c r="U80" s="118"/>
      <c r="V80" s="118"/>
    </row>
    <row r="81">
      <c r="A81" s="264" t="s">
        <v>211</v>
      </c>
      <c r="B81" s="104"/>
      <c r="C81" s="227"/>
      <c r="D81" s="227"/>
      <c r="E81" s="228"/>
      <c r="F81" s="265"/>
      <c r="G81" s="265"/>
      <c r="H81" s="228"/>
      <c r="I81" s="228"/>
      <c r="J81" s="228"/>
      <c r="K81" s="228"/>
      <c r="L81" s="228"/>
      <c r="M81" s="228"/>
      <c r="N81" s="118"/>
      <c r="O81" s="118"/>
      <c r="P81" s="118"/>
      <c r="Q81" s="228"/>
      <c r="R81" s="228"/>
      <c r="S81" s="228"/>
      <c r="T81" s="228"/>
      <c r="U81" s="228"/>
      <c r="V81" s="228"/>
    </row>
    <row r="82" outlineLevel="1">
      <c r="A82" s="106"/>
      <c r="B82" s="107"/>
      <c r="C82" s="266" t="s">
        <v>48</v>
      </c>
      <c r="D82" s="266" t="s">
        <v>49</v>
      </c>
      <c r="E82" s="266" t="s">
        <v>50</v>
      </c>
      <c r="F82" s="267" t="s">
        <v>51</v>
      </c>
      <c r="G82" s="227"/>
      <c r="H82" s="227"/>
      <c r="I82" s="227"/>
      <c r="J82" s="228"/>
      <c r="K82" s="228"/>
      <c r="L82" s="228"/>
      <c r="M82" s="228"/>
      <c r="N82" s="228"/>
      <c r="O82" s="228"/>
      <c r="P82" s="228"/>
      <c r="Q82" s="228"/>
      <c r="R82" s="228"/>
      <c r="S82" s="228"/>
      <c r="T82" s="228"/>
      <c r="U82" s="228"/>
      <c r="V82" s="228"/>
    </row>
    <row r="83" outlineLevel="1">
      <c r="A83" s="268" t="s">
        <v>212</v>
      </c>
      <c r="B83" s="269" t="s">
        <v>212</v>
      </c>
      <c r="C83" s="239" t="s">
        <v>213</v>
      </c>
      <c r="D83" s="239" t="s">
        <v>86</v>
      </c>
      <c r="E83" s="239" t="s">
        <v>214</v>
      </c>
      <c r="F83" s="138">
        <v>1.56</v>
      </c>
      <c r="G83" s="227"/>
      <c r="H83" s="227"/>
      <c r="I83" s="227"/>
      <c r="J83" s="228"/>
      <c r="K83" s="228"/>
      <c r="L83" s="228"/>
      <c r="M83" s="228"/>
      <c r="N83" s="228"/>
      <c r="O83" s="228"/>
      <c r="P83" s="228"/>
      <c r="Q83" s="228"/>
      <c r="R83" s="228"/>
      <c r="S83" s="228"/>
      <c r="T83" s="228"/>
      <c r="U83" s="228"/>
      <c r="V83" s="228"/>
    </row>
    <row r="84" outlineLevel="1">
      <c r="A84" s="270" t="s">
        <v>215</v>
      </c>
      <c r="B84" s="269" t="s">
        <v>216</v>
      </c>
      <c r="C84" s="239" t="s">
        <v>319</v>
      </c>
      <c r="D84" s="239" t="s">
        <v>118</v>
      </c>
      <c r="E84" s="271"/>
      <c r="F84" s="272"/>
      <c r="G84" s="272"/>
      <c r="H84" s="227"/>
      <c r="I84" s="227"/>
      <c r="J84" s="228"/>
      <c r="K84" s="228"/>
      <c r="L84" s="228"/>
      <c r="M84" s="228"/>
      <c r="N84" s="228"/>
      <c r="O84" s="228"/>
      <c r="P84" s="228"/>
      <c r="Q84" s="228"/>
      <c r="R84" s="228"/>
      <c r="S84" s="228"/>
      <c r="T84" s="228"/>
      <c r="U84" s="228"/>
      <c r="V84" s="228"/>
    </row>
    <row r="85" outlineLevel="1">
      <c r="A85" s="212"/>
      <c r="B85" s="269" t="s">
        <v>219</v>
      </c>
      <c r="C85" s="239" t="s">
        <v>223</v>
      </c>
      <c r="D85" s="239" t="s">
        <v>374</v>
      </c>
      <c r="E85" s="271"/>
      <c r="F85" s="272"/>
      <c r="G85" s="272"/>
      <c r="H85" s="227"/>
      <c r="I85" s="227"/>
      <c r="J85" s="228"/>
      <c r="K85" s="228"/>
      <c r="L85" s="228"/>
      <c r="M85" s="228"/>
      <c r="N85" s="228"/>
      <c r="O85" s="228"/>
      <c r="P85" s="228"/>
      <c r="Q85" s="228"/>
      <c r="R85" s="228"/>
      <c r="S85" s="228"/>
      <c r="T85" s="228"/>
      <c r="U85" s="228"/>
      <c r="V85" s="228"/>
    </row>
    <row r="86" outlineLevel="1">
      <c r="A86" s="106"/>
      <c r="B86" s="269" t="s">
        <v>222</v>
      </c>
      <c r="C86" s="239" t="s">
        <v>299</v>
      </c>
      <c r="D86" s="239" t="s">
        <v>221</v>
      </c>
      <c r="E86" s="227"/>
      <c r="F86" s="272"/>
      <c r="G86" s="272"/>
      <c r="H86" s="227"/>
      <c r="I86" s="227"/>
      <c r="J86" s="228"/>
      <c r="K86" s="228"/>
      <c r="L86" s="228"/>
      <c r="M86" s="228"/>
      <c r="N86" s="228"/>
      <c r="O86" s="228"/>
      <c r="P86" s="228"/>
      <c r="Q86" s="228"/>
      <c r="R86" s="228"/>
      <c r="S86" s="228"/>
      <c r="T86" s="228"/>
      <c r="U86" s="228"/>
      <c r="V86" s="228"/>
    </row>
    <row r="87" outlineLevel="1">
      <c r="A87" s="273" t="s">
        <v>225</v>
      </c>
      <c r="B87" s="109"/>
      <c r="C87" s="266" t="s">
        <v>48</v>
      </c>
      <c r="D87" s="266" t="s">
        <v>49</v>
      </c>
      <c r="E87" s="266" t="s">
        <v>50</v>
      </c>
      <c r="F87" s="267" t="s">
        <v>51</v>
      </c>
      <c r="G87" s="1168" t="s">
        <v>53</v>
      </c>
      <c r="H87" s="110"/>
      <c r="I87" s="110"/>
      <c r="J87" s="109"/>
      <c r="K87" s="275" t="str">
        <f>'テンプレート'!K97</f>
        <v>ベクトル</v>
      </c>
      <c r="L87" s="275" t="str">
        <f>'テンプレート'!L97</f>
        <v>KBG (R.E.)</v>
      </c>
      <c r="M87" s="275" t="str">
        <f>'テンプレート'!M97</f>
        <v>BKB (R.A.)</v>
      </c>
      <c r="N87" s="275" t="str">
        <f>'テンプレート'!N97</f>
        <v>FKB (R.F.)</v>
      </c>
      <c r="O87" s="276" t="str">
        <f>'テンプレート'!O97</f>
        <v>盾削り値</v>
      </c>
      <c r="P87" s="275" t="str">
        <f>'テンプレート'!P97</f>
        <v>ﾋｯﾄｽﾄｯﾌﾟ</v>
      </c>
      <c r="Q87" s="276" t="str">
        <f>'テンプレート'!Q97</f>
        <v>ずらし</v>
      </c>
      <c r="R87" s="277"/>
      <c r="S87" s="277"/>
      <c r="T87" s="277"/>
      <c r="U87" s="277"/>
      <c r="V87" s="277"/>
    </row>
    <row r="88" outlineLevel="1">
      <c r="A88" s="278" t="s">
        <v>226</v>
      </c>
      <c r="B88" s="269" t="s">
        <v>227</v>
      </c>
      <c r="C88" s="239" t="s">
        <v>217</v>
      </c>
      <c r="D88" s="279">
        <v>21.0</v>
      </c>
      <c r="E88" s="239" t="s">
        <v>150</v>
      </c>
      <c r="F88" s="138">
        <v>6.0</v>
      </c>
      <c r="G88" s="1170"/>
      <c r="H88" s="164"/>
      <c r="I88" s="164"/>
      <c r="J88" s="104"/>
      <c r="K88" s="282"/>
      <c r="L88" s="282"/>
      <c r="M88" s="282"/>
      <c r="N88" s="282"/>
      <c r="O88" s="145">
        <v>0.0</v>
      </c>
      <c r="P88" s="145">
        <v>1.0</v>
      </c>
      <c r="Q88" s="145">
        <v>1.0</v>
      </c>
      <c r="R88" s="277"/>
      <c r="S88" s="228"/>
      <c r="T88" s="228"/>
      <c r="U88" s="228"/>
      <c r="V88" s="228"/>
    </row>
    <row r="89" outlineLevel="1">
      <c r="A89" s="156"/>
      <c r="B89" s="269" t="s">
        <v>225</v>
      </c>
      <c r="C89" s="239" t="s">
        <v>93</v>
      </c>
      <c r="D89" s="156"/>
      <c r="E89" s="239" t="s">
        <v>204</v>
      </c>
      <c r="F89" s="138">
        <v>3.6</v>
      </c>
      <c r="G89" s="106"/>
      <c r="H89" s="168"/>
      <c r="I89" s="168"/>
      <c r="J89" s="107"/>
      <c r="K89" s="282"/>
      <c r="L89" s="282"/>
      <c r="M89" s="363"/>
      <c r="N89" s="363"/>
      <c r="O89" s="261"/>
      <c r="P89" s="261"/>
      <c r="Q89" s="261"/>
      <c r="R89" s="277"/>
      <c r="S89" s="228"/>
      <c r="T89" s="228"/>
      <c r="U89" s="228"/>
      <c r="V89" s="228"/>
    </row>
    <row r="90" outlineLevel="1">
      <c r="A90" s="278" t="s">
        <v>229</v>
      </c>
      <c r="B90" s="269" t="s">
        <v>227</v>
      </c>
      <c r="C90" s="553"/>
      <c r="D90" s="279">
        <v>35.0</v>
      </c>
      <c r="E90" s="261"/>
      <c r="F90" s="261"/>
      <c r="G90" s="1170"/>
      <c r="H90" s="164"/>
      <c r="I90" s="164"/>
      <c r="J90" s="104"/>
      <c r="K90" s="261"/>
      <c r="L90" s="261"/>
      <c r="M90" s="261"/>
      <c r="N90" s="261"/>
      <c r="O90" s="261"/>
      <c r="P90" s="261"/>
      <c r="Q90" s="261"/>
      <c r="R90" s="277"/>
      <c r="S90" s="228"/>
      <c r="T90" s="228"/>
      <c r="U90" s="228"/>
      <c r="V90" s="228"/>
    </row>
    <row r="91" outlineLevel="1">
      <c r="A91" s="156"/>
      <c r="B91" s="269" t="s">
        <v>225</v>
      </c>
      <c r="C91" s="113">
        <v>14.0</v>
      </c>
      <c r="D91" s="156"/>
      <c r="E91" s="239" t="s">
        <v>128</v>
      </c>
      <c r="F91" s="138">
        <v>12.0</v>
      </c>
      <c r="G91" s="106"/>
      <c r="H91" s="168"/>
      <c r="I91" s="168"/>
      <c r="J91" s="107"/>
      <c r="K91" s="282"/>
      <c r="L91" s="282"/>
      <c r="M91" s="363"/>
      <c r="N91" s="363"/>
      <c r="O91" s="261"/>
      <c r="P91" s="261"/>
      <c r="Q91" s="261"/>
      <c r="R91" s="277"/>
      <c r="S91" s="228"/>
      <c r="T91" s="228"/>
      <c r="U91" s="228"/>
      <c r="V91" s="228"/>
    </row>
    <row r="92" outlineLevel="1">
      <c r="A92" s="278" t="s">
        <v>233</v>
      </c>
      <c r="B92" s="269" t="s">
        <v>227</v>
      </c>
      <c r="C92" s="113" t="s">
        <v>454</v>
      </c>
      <c r="D92" s="279">
        <v>37.0</v>
      </c>
      <c r="E92" s="239" t="s">
        <v>150</v>
      </c>
      <c r="F92" s="138">
        <v>6.0</v>
      </c>
      <c r="G92" s="1170"/>
      <c r="H92" s="164"/>
      <c r="I92" s="164"/>
      <c r="J92" s="104"/>
      <c r="K92" s="282"/>
      <c r="L92" s="282"/>
      <c r="M92" s="363"/>
      <c r="N92" s="363"/>
      <c r="O92" s="145">
        <v>0.0</v>
      </c>
      <c r="P92" s="145">
        <v>1.0</v>
      </c>
      <c r="Q92" s="145">
        <v>1.0</v>
      </c>
      <c r="R92" s="277"/>
      <c r="S92" s="228"/>
      <c r="T92" s="228"/>
      <c r="U92" s="228"/>
      <c r="V92" s="228"/>
    </row>
    <row r="93" outlineLevel="1">
      <c r="A93" s="156"/>
      <c r="B93" s="269" t="s">
        <v>225</v>
      </c>
      <c r="C93" s="113">
        <v>17.0</v>
      </c>
      <c r="D93" s="156"/>
      <c r="E93" s="239" t="s">
        <v>86</v>
      </c>
      <c r="F93" s="138">
        <v>7.199999999999999</v>
      </c>
      <c r="G93" s="106"/>
      <c r="H93" s="168"/>
      <c r="I93" s="168"/>
      <c r="J93" s="107"/>
      <c r="K93" s="282"/>
      <c r="L93" s="282"/>
      <c r="M93" s="363"/>
      <c r="N93" s="363"/>
      <c r="O93" s="261"/>
      <c r="P93" s="261"/>
      <c r="Q93" s="261"/>
      <c r="R93" s="277"/>
      <c r="S93" s="117"/>
      <c r="T93" s="117"/>
      <c r="U93" s="117"/>
      <c r="V93" s="117"/>
    </row>
    <row r="94" outlineLevel="1">
      <c r="A94" s="278" t="s">
        <v>234</v>
      </c>
      <c r="B94" s="269" t="s">
        <v>227</v>
      </c>
      <c r="C94" s="261"/>
      <c r="D94" s="279">
        <v>50.0</v>
      </c>
      <c r="E94" s="261"/>
      <c r="F94" s="261"/>
      <c r="G94" s="1170"/>
      <c r="H94" s="164"/>
      <c r="I94" s="164"/>
      <c r="J94" s="104"/>
      <c r="K94" s="261"/>
      <c r="L94" s="261"/>
      <c r="M94" s="261"/>
      <c r="N94" s="261"/>
      <c r="O94" s="261"/>
      <c r="P94" s="261"/>
      <c r="Q94" s="261"/>
      <c r="R94" s="277"/>
      <c r="S94" s="117"/>
      <c r="T94" s="117"/>
      <c r="U94" s="117"/>
      <c r="V94" s="117"/>
    </row>
    <row r="95" outlineLevel="1">
      <c r="A95" s="156"/>
      <c r="B95" s="269" t="s">
        <v>225</v>
      </c>
      <c r="C95" s="113">
        <v>28.0</v>
      </c>
      <c r="D95" s="156"/>
      <c r="E95" s="239" t="s">
        <v>93</v>
      </c>
      <c r="F95" s="138">
        <v>8.4</v>
      </c>
      <c r="G95" s="106"/>
      <c r="H95" s="168"/>
      <c r="I95" s="168"/>
      <c r="J95" s="107"/>
      <c r="K95" s="282"/>
      <c r="L95" s="282"/>
      <c r="M95" s="363"/>
      <c r="N95" s="363"/>
      <c r="O95" s="261"/>
      <c r="P95" s="261"/>
      <c r="Q95" s="261"/>
      <c r="R95" s="277"/>
      <c r="S95" s="117"/>
      <c r="T95" s="117"/>
      <c r="U95" s="117"/>
      <c r="V95" s="117"/>
    </row>
    <row r="96">
      <c r="A96" s="223"/>
      <c r="B96" s="224"/>
      <c r="C96" s="225"/>
      <c r="D96" s="225"/>
      <c r="E96" s="227"/>
      <c r="F96" s="177"/>
      <c r="G96" s="177"/>
      <c r="H96" s="227"/>
      <c r="I96" s="227"/>
      <c r="J96" s="228"/>
      <c r="K96" s="228"/>
      <c r="L96" s="111"/>
      <c r="M96" s="111"/>
      <c r="N96" s="111"/>
      <c r="O96" s="117"/>
      <c r="P96" s="117"/>
      <c r="Q96" s="111"/>
      <c r="R96" s="111"/>
      <c r="S96" s="111"/>
      <c r="T96" s="111"/>
      <c r="U96" s="111"/>
      <c r="V96" s="111"/>
    </row>
    <row r="97">
      <c r="A97" s="284" t="s">
        <v>241</v>
      </c>
      <c r="B97" s="104"/>
      <c r="C97" s="265"/>
      <c r="D97" s="111"/>
      <c r="E97" s="111"/>
      <c r="F97" s="111"/>
      <c r="G97" s="111"/>
      <c r="H97" s="111"/>
      <c r="I97" s="111"/>
      <c r="J97" s="118"/>
      <c r="K97" s="111"/>
      <c r="L97" s="111"/>
      <c r="M97" s="111"/>
      <c r="N97" s="111"/>
      <c r="O97" s="111"/>
      <c r="P97" s="111"/>
      <c r="Q97" s="118"/>
      <c r="R97" s="111"/>
      <c r="S97" s="111"/>
      <c r="T97" s="111"/>
      <c r="U97" s="111"/>
      <c r="V97" s="111"/>
    </row>
    <row r="98" outlineLevel="1">
      <c r="A98" s="106"/>
      <c r="B98" s="107"/>
      <c r="C98" s="285" t="s">
        <v>235</v>
      </c>
      <c r="D98" s="285" t="s">
        <v>236</v>
      </c>
      <c r="E98" s="285" t="s">
        <v>49</v>
      </c>
      <c r="F98" s="285" t="s">
        <v>237</v>
      </c>
      <c r="G98" s="286"/>
      <c r="H98" s="227"/>
      <c r="I98" s="227"/>
      <c r="J98" s="228"/>
      <c r="K98" s="228"/>
      <c r="L98" s="111"/>
      <c r="M98" s="111"/>
      <c r="N98" s="111"/>
      <c r="O98" s="111"/>
      <c r="P98" s="111"/>
      <c r="Q98" s="111"/>
      <c r="R98" s="111"/>
      <c r="S98" s="111"/>
      <c r="T98" s="111"/>
      <c r="U98" s="111"/>
      <c r="V98" s="111"/>
    </row>
    <row r="99" outlineLevel="1">
      <c r="A99" s="287" t="s">
        <v>395</v>
      </c>
      <c r="B99" s="288" t="s">
        <v>216</v>
      </c>
      <c r="C99" s="113" t="str">
        <f t="array" ref="C99">INDEX('回避'!$C$3:$U$84, MATCH($A$1,'回避'!$A$3:$A$91,0), MATCH(C98,'回避'!$C$2:$F$2,0))</f>
        <v>3-17</v>
      </c>
      <c r="D99" s="113" t="str">
        <f t="array" ref="D99">INDEX('回避'!$C$3:$U$84, MATCH($A$1,'回避'!$A$3:$A$91,0), MATCH(D98,'回避'!$C$2:$F$2,0))</f>
        <v>6-17</v>
      </c>
      <c r="E99" s="113" t="str">
        <f t="array" ref="E99">INDEX('回避'!$C$3:$U$84, MATCH($A$1,'回避'!$A$3:$A$91,0), MATCH(E98,'回避'!$C$2:$F$2,0))</f>
        <v>25 (20)</v>
      </c>
      <c r="F99" s="113" t="str">
        <f t="array" ref="F99">INDEX('回避'!$C$3:$U$84, MATCH($A$1,'回避'!$A$3:$A$91,0), MATCH(F98,'回避'!$C$2:$F$2,0))</f>
        <v>33 (27)</v>
      </c>
      <c r="G99" s="272"/>
      <c r="H99" s="227"/>
      <c r="I99" s="227"/>
      <c r="J99" s="228"/>
      <c r="K99" s="228"/>
      <c r="L99" s="228"/>
      <c r="M99" s="111"/>
      <c r="N99" s="111"/>
      <c r="O99" s="111"/>
      <c r="P99" s="111"/>
      <c r="Q99" s="111"/>
      <c r="R99" s="111"/>
      <c r="S99" s="111"/>
      <c r="T99" s="111"/>
      <c r="U99" s="111"/>
      <c r="V99" s="111"/>
    </row>
    <row r="100" outlineLevel="1">
      <c r="A100" s="212"/>
      <c r="B100" s="288" t="s">
        <v>245</v>
      </c>
      <c r="C100" s="113" t="str">
        <f t="array" ref="C100">INDEX('回避'!$G$3:$U$84, MATCH($A$1,'回避'!$A$3:$A$91,0), MATCH(C98,'回避'!$G$2:$J$2,0))</f>
        <v>4-15</v>
      </c>
      <c r="D100" s="113" t="str">
        <f t="array" ref="D100">INDEX('回避'!$G$3:$U$84, MATCH($A$1,'回避'!$A$3:$A$91,0), MATCH(D98,'回避'!$G$2:$J$2,0))</f>
        <v>8-14</v>
      </c>
      <c r="E100" s="113" t="str">
        <f t="array" ref="E100">INDEX('回避'!$G$3:$U$84, MATCH($A$1,'回避'!$A$3:$A$91,0), MATCH(E98,'回避'!$G$2:$J$2,0))</f>
        <v>29</v>
      </c>
      <c r="F100" s="113">
        <f t="array" ref="F100">INDEX('回避'!$G$3:$U$84, MATCH($A$1,'回避'!$A$3:$A$91,0), MATCH(F98,'回避'!$G$2:$J$2,0))</f>
        <v>38</v>
      </c>
      <c r="G100" s="289"/>
      <c r="H100" s="227"/>
      <c r="I100" s="227"/>
      <c r="J100" s="228"/>
      <c r="K100" s="228"/>
      <c r="L100" s="228"/>
      <c r="M100" s="228"/>
      <c r="N100" s="228"/>
      <c r="O100" s="111"/>
      <c r="P100" s="111"/>
      <c r="Q100" s="111"/>
      <c r="R100" s="111"/>
      <c r="S100" s="111"/>
      <c r="T100" s="111"/>
      <c r="U100" s="111"/>
      <c r="V100" s="111"/>
    </row>
    <row r="101" outlineLevel="1">
      <c r="A101" s="106"/>
      <c r="B101" s="288" t="s">
        <v>246</v>
      </c>
      <c r="C101" s="113" t="str">
        <f t="array" ref="C101">INDEX('回避'!$K$3:$U$84, MATCH($A$1,'回避'!$A$3:$A$91,0), MATCH(C98,'回避'!$K$2:$N$2,0))</f>
        <v>5-16</v>
      </c>
      <c r="D101" s="113" t="str">
        <f t="array" ref="D101">INDEX('回避'!$K$3:$U$84, MATCH($A$1,'回避'!$A$3:$A$91,0), MATCH(D98,'回避'!$K$2:$N$2,0))</f>
        <v>9-14</v>
      </c>
      <c r="E101" s="113" t="str">
        <f t="array" ref="E101">INDEX('回避'!$K$3:$U$84, MATCH($A$1,'回避'!$A$3:$A$91,0), MATCH(E98,'回避'!$K$2:$N$2,0))</f>
        <v>34</v>
      </c>
      <c r="F101" s="113" t="str">
        <f t="array" ref="F101">INDEX('回避'!$K$3:$U$84, MATCH($A$1,'回避'!$A$3:$A$91,0), MATCH(F98,'回避'!$K$2:$N$2,0))</f>
        <v>51</v>
      </c>
      <c r="G101" s="289"/>
      <c r="H101" s="290"/>
      <c r="I101" s="290"/>
      <c r="J101" s="117"/>
      <c r="K101" s="117"/>
      <c r="L101" s="117"/>
      <c r="M101" s="117"/>
      <c r="N101" s="117"/>
      <c r="O101" s="111"/>
      <c r="P101" s="111"/>
      <c r="Q101" s="111"/>
      <c r="R101" s="111"/>
      <c r="S101" s="111"/>
      <c r="T101" s="111"/>
      <c r="U101" s="111"/>
      <c r="V101" s="111"/>
    </row>
    <row r="102" outlineLevel="1">
      <c r="A102" s="287" t="s">
        <v>396</v>
      </c>
      <c r="B102" s="288" t="s">
        <v>397</v>
      </c>
      <c r="C102" s="113" t="str">
        <f t="array" ref="C102">INDEX('回避'!$O$3:$U$84, MATCH($A$1,'回避'!$A$3:$A$91,0), MATCH(C98,'回避'!$O$2:$R$2,0))</f>
        <v>3-28</v>
      </c>
      <c r="D102" s="113" t="str">
        <f t="array" ref="D102">INDEX('回避'!$O$3:$U$84, MATCH($A$1,'回避'!$A$3:$A$91,0), MATCH(D98,'回避'!$O$2:$R$2,0))</f>
        <v>6-26</v>
      </c>
      <c r="E102" s="113" t="str">
        <f t="array" ref="E102">INDEX('回避'!$O$3:$U$84, MATCH($A$1,'回避'!$A$3:$A$91,0), MATCH(E98,'回避'!$O$2:$R$2,0))</f>
        <v>48</v>
      </c>
      <c r="F102" s="177"/>
      <c r="G102" s="177"/>
      <c r="H102" s="118"/>
      <c r="I102" s="118"/>
      <c r="J102" s="111"/>
      <c r="K102" s="111"/>
      <c r="L102" s="111"/>
      <c r="M102" s="111"/>
      <c r="N102" s="111"/>
      <c r="O102" s="228"/>
      <c r="P102" s="228"/>
      <c r="Q102" s="228"/>
      <c r="R102" s="228"/>
      <c r="S102" s="228"/>
      <c r="T102" s="228"/>
      <c r="U102" s="228"/>
      <c r="V102" s="228"/>
    </row>
    <row r="103" outlineLevel="1">
      <c r="A103" s="106"/>
      <c r="B103" s="288" t="s">
        <v>398</v>
      </c>
      <c r="C103" s="113" t="str">
        <f t="array" ref="C103">INDEX('回避'!$S$3:$U$84, MATCH($A$1,'回避'!$A$3:$A$91,0), MATCH(C98,'回避'!$S$2:$U$2,0))</f>
        <v>3-21</v>
      </c>
      <c r="D103" s="113" t="str">
        <f t="array" ref="D103">INDEX('回避'!$S$3:$U$84, MATCH($A$1,'回避'!$A$3:$A$91,0), MATCH(D98,'回避'!$S$2:$U$2,0))</f>
        <v>6-20</v>
      </c>
      <c r="E103" s="113" t="str">
        <f t="array" ref="E103">INDEX('回避'!$S$3:$U$84, MATCH($A$1,'回避'!$A$3:$A$91,0), MATCH(E98,'回避'!$S$2:$U$2,0))</f>
        <v>真横：81
真上：108
真下：65</v>
      </c>
      <c r="F103" s="289"/>
      <c r="G103" s="289"/>
      <c r="H103" s="118"/>
      <c r="I103" s="118"/>
      <c r="J103" s="117"/>
      <c r="K103" s="117"/>
      <c r="L103" s="117"/>
      <c r="M103" s="117"/>
      <c r="N103" s="111"/>
      <c r="O103" s="118"/>
      <c r="P103" s="118"/>
      <c r="Q103" s="118"/>
      <c r="R103" s="118"/>
      <c r="S103" s="118"/>
      <c r="T103" s="118"/>
      <c r="U103" s="118"/>
      <c r="V103" s="118"/>
    </row>
    <row r="104">
      <c r="A104" s="291"/>
      <c r="B104" s="292"/>
      <c r="C104" s="286"/>
      <c r="D104" s="286"/>
      <c r="E104" s="293"/>
      <c r="F104" s="286"/>
      <c r="G104" s="286"/>
      <c r="H104" s="286"/>
      <c r="I104" s="286"/>
      <c r="J104" s="111"/>
      <c r="K104" s="227"/>
      <c r="L104" s="227"/>
      <c r="M104" s="227"/>
      <c r="N104" s="227"/>
      <c r="O104" s="118"/>
      <c r="P104" s="118"/>
      <c r="Q104" s="118"/>
      <c r="R104" s="118"/>
      <c r="S104" s="118"/>
      <c r="T104" s="118"/>
      <c r="U104" s="118"/>
      <c r="V104" s="118"/>
    </row>
    <row r="105">
      <c r="A105" s="294" t="s">
        <v>238</v>
      </c>
      <c r="B105" s="104"/>
      <c r="C105" s="228"/>
      <c r="D105" s="117"/>
      <c r="E105" s="228"/>
      <c r="F105" s="114"/>
      <c r="G105" s="114"/>
      <c r="H105" s="117"/>
      <c r="I105" s="117"/>
      <c r="J105" s="118"/>
      <c r="K105" s="118"/>
      <c r="L105" s="118"/>
      <c r="M105" s="118"/>
      <c r="N105" s="118"/>
      <c r="O105" s="118"/>
      <c r="P105" s="118"/>
      <c r="Q105" s="118"/>
      <c r="R105" s="118"/>
      <c r="S105" s="118"/>
      <c r="T105" s="118"/>
      <c r="U105" s="118"/>
      <c r="V105" s="118"/>
    </row>
    <row r="106" outlineLevel="1">
      <c r="A106" s="106"/>
      <c r="B106" s="107"/>
      <c r="C106" s="295" t="s">
        <v>235</v>
      </c>
      <c r="D106" s="295" t="s">
        <v>49</v>
      </c>
      <c r="E106" s="295" t="s">
        <v>48</v>
      </c>
      <c r="F106" s="295" t="s">
        <v>50</v>
      </c>
      <c r="G106" s="296" t="s">
        <v>51</v>
      </c>
      <c r="H106" s="228"/>
      <c r="I106" s="228"/>
      <c r="J106" s="117"/>
      <c r="K106" s="297" t="str">
        <f>'テンプレート'!K116</f>
        <v>アイテム取得</v>
      </c>
      <c r="L106" s="109"/>
      <c r="M106" s="298" t="str">
        <f>'テンプレート'!M116</f>
        <v>取得フレーム</v>
      </c>
      <c r="N106" s="298" t="str">
        <f>'テンプレート'!N116</f>
        <v>全体フレーム</v>
      </c>
      <c r="O106" s="118"/>
      <c r="P106" s="118"/>
      <c r="Q106" s="118"/>
      <c r="R106" s="118"/>
      <c r="S106" s="118"/>
      <c r="T106" s="118"/>
      <c r="U106" s="118"/>
      <c r="V106" s="118"/>
    </row>
    <row r="107" outlineLevel="1">
      <c r="A107" s="299" t="s">
        <v>239</v>
      </c>
      <c r="B107" s="300" t="s">
        <v>240</v>
      </c>
      <c r="C107" s="301"/>
      <c r="D107" s="113">
        <f t="array" ref="D107">INDEX('崖行動・受け身'!$C$3:$C106, MATCH($A$1,'崖行動・受け身'!$A$3:$A$115,0), MATCH(D106,'崖行動・受け身'!$C$2,0))</f>
        <v>19</v>
      </c>
      <c r="E107" s="301"/>
      <c r="F107" s="301"/>
      <c r="G107" s="301"/>
      <c r="H107" s="228"/>
      <c r="I107" s="228"/>
      <c r="J107" s="111"/>
      <c r="K107" s="302" t="str">
        <f>'テンプレート'!K117</f>
        <v>小アイテム</v>
      </c>
      <c r="L107" s="303" t="str">
        <f>'テンプレート'!L117</f>
        <v>その場</v>
      </c>
      <c r="M107" s="113" t="s">
        <v>76</v>
      </c>
      <c r="N107" s="113">
        <v>7.0</v>
      </c>
      <c r="O107" s="118"/>
      <c r="P107" s="118"/>
      <c r="Q107" s="118"/>
      <c r="R107" s="118"/>
      <c r="S107" s="118"/>
      <c r="T107" s="118"/>
      <c r="U107" s="118"/>
      <c r="V107" s="118"/>
    </row>
    <row r="108" outlineLevel="1">
      <c r="A108" s="146"/>
      <c r="B108" s="300" t="s">
        <v>216</v>
      </c>
      <c r="C108" s="113" t="str">
        <f t="array" ref="C108">INDEX('崖行動・受け身'!$D$3:$E106, MATCH($A$1,'崖行動・受け身'!$A$3:$A$115,0), MATCH(C106,'崖行動・受け身'!$D$2:$E$2,0))</f>
        <v>1-33</v>
      </c>
      <c r="D108" s="113">
        <f t="array" ref="D108">INDEX('崖行動・受け身'!$D$3:$E106, MATCH($A$1,'崖行動・受け身'!$A$3:$A$115,0), MATCH(D106,'崖行動・受け身'!$D$2:$E$2,0))</f>
        <v>34</v>
      </c>
      <c r="E108" s="301"/>
      <c r="F108" s="301"/>
      <c r="G108" s="301"/>
      <c r="H108" s="228"/>
      <c r="I108" s="228"/>
      <c r="J108" s="117"/>
      <c r="K108" s="156"/>
      <c r="L108" s="303" t="str">
        <f>'テンプレート'!L118</f>
        <v>歩き</v>
      </c>
      <c r="M108" s="113" t="s">
        <v>76</v>
      </c>
      <c r="N108" s="113">
        <v>19.0</v>
      </c>
      <c r="O108" s="118"/>
      <c r="P108" s="118"/>
      <c r="Q108" s="118"/>
      <c r="R108" s="118"/>
      <c r="S108" s="118"/>
      <c r="T108" s="118"/>
      <c r="U108" s="118"/>
      <c r="V108" s="118"/>
    </row>
    <row r="109" outlineLevel="1">
      <c r="A109" s="146"/>
      <c r="B109" s="300" t="s">
        <v>241</v>
      </c>
      <c r="C109" s="113" t="str">
        <f t="array" ref="C109">INDEX('崖行動・受け身'!$F$3:$G$115, MATCH($A$1,'崖行動・受け身'!$A$3:$A$115,0), MATCH(C106,'崖行動・受け身'!$F$2:$G$2,0))</f>
        <v>1-26</v>
      </c>
      <c r="D109" s="113">
        <f t="array" ref="D109">INDEX('崖行動・受け身'!$F$3:$G$115, MATCH($A$1,'崖行動・受け身'!$A$3:$A$115,0), MATCH(D106,'崖行動・受け身'!$F$2:$G$2,0))</f>
        <v>45</v>
      </c>
      <c r="E109" s="301"/>
      <c r="F109" s="301"/>
      <c r="G109" s="301"/>
      <c r="H109" s="228"/>
      <c r="I109" s="228"/>
      <c r="J109" s="111"/>
      <c r="K109" s="304" t="str">
        <f>'テンプレート'!K119</f>
        <v>アイテム投擲</v>
      </c>
      <c r="L109" s="109"/>
      <c r="M109" s="298" t="str">
        <f>'テンプレート'!M119</f>
        <v>投擲フレーム</v>
      </c>
      <c r="N109" s="298" t="str">
        <f>'テンプレート'!N119</f>
        <v>全体フレーム</v>
      </c>
      <c r="O109" s="118"/>
      <c r="P109" s="118"/>
      <c r="Q109" s="118"/>
      <c r="R109" s="118"/>
      <c r="S109" s="118"/>
      <c r="T109" s="118"/>
      <c r="U109" s="118"/>
      <c r="V109" s="118"/>
    </row>
    <row r="110" outlineLevel="1">
      <c r="A110" s="146"/>
      <c r="B110" s="300" t="s">
        <v>242</v>
      </c>
      <c r="C110" s="113" t="str">
        <f t="array" ref="C110">INDEX('崖行動・受け身'!$H$3:$I$115, MATCH($A$1,'崖行動・受け身'!$A$3:$A$115,0), MATCH(C106,'崖行動・受け身'!$H$2:$I$2,0))</f>
        <v>1-12</v>
      </c>
      <c r="D110" s="113">
        <f t="array" ref="D110">INDEX('崖行動・受け身'!$H$3:$I$115, MATCH($A$1,'崖行動・受け身'!$A$3:$A$115,0), MATCH(D106,'崖行動・受け身'!$H$2:$I$2,0))</f>
        <v>14</v>
      </c>
      <c r="E110" s="301"/>
      <c r="F110" s="301"/>
      <c r="G110" s="301"/>
      <c r="H110" s="228"/>
      <c r="I110" s="228"/>
      <c r="J110" s="117"/>
      <c r="K110" s="305" t="str">
        <f>'テンプレート'!K120</f>
        <v>地上投擲</v>
      </c>
      <c r="L110" s="303" t="str">
        <f>'テンプレート'!L120</f>
        <v>前投げ</v>
      </c>
      <c r="M110" s="113" t="s">
        <v>80</v>
      </c>
      <c r="N110" s="113">
        <v>24.0</v>
      </c>
      <c r="O110" s="111"/>
      <c r="P110" s="111"/>
      <c r="Q110" s="111"/>
      <c r="R110" s="111"/>
      <c r="S110" s="111"/>
      <c r="T110" s="111"/>
      <c r="U110" s="111"/>
      <c r="V110" s="111"/>
    </row>
    <row r="111" outlineLevel="1">
      <c r="A111" s="156"/>
      <c r="B111" s="300" t="s">
        <v>243</v>
      </c>
      <c r="C111" s="113" t="str">
        <f t="array" ref="C111">INDEX('崖行動・受け身'!$J$3:$M$115, MATCH($A$1,'崖行動・受け身'!$A$3:$A$115,0), MATCH(C106,'崖行動・受け身'!$J$2:$M$2,0))</f>
        <v>1-20</v>
      </c>
      <c r="D111" s="113">
        <f t="array" ref="D111">INDEX('崖行動・受け身'!$J$3:$M$115, MATCH($A$1,'崖行動・受け身'!$A$3:$A$115,0), MATCH(D106,'崖行動・受け身'!$J$2:$M$2,0))</f>
        <v>55</v>
      </c>
      <c r="E111" s="113" t="str">
        <f t="array" ref="E111">INDEX('崖行動・受け身'!$J$3:$M$115, MATCH($A$1,'崖行動・受け身'!$A$3:$A$115,0), MATCH(E106,'崖行動・受け身'!$J$2:$M$2,0))</f>
        <v>18-20</v>
      </c>
      <c r="F111" s="113">
        <f t="array" ref="F111">INDEX('崖行動・受け身'!$J$3:$M$115, MATCH($A$1,'崖行動・受け身'!$A$3:$A$115,0), MATCH(F106,'崖行動・受け身'!$J$2:$M$2,0))</f>
        <v>9</v>
      </c>
      <c r="G111" s="113">
        <f>F111*1.2</f>
        <v>10.8</v>
      </c>
      <c r="H111" s="228"/>
      <c r="I111" s="228"/>
      <c r="J111" s="111"/>
      <c r="K111" s="146"/>
      <c r="L111" s="303" t="str">
        <f>'テンプレート'!L121</f>
        <v>後投げ</v>
      </c>
      <c r="M111" s="113" t="s">
        <v>232</v>
      </c>
      <c r="N111" s="113">
        <v>24.0</v>
      </c>
      <c r="O111" s="111"/>
      <c r="P111" s="111"/>
      <c r="Q111" s="111"/>
      <c r="R111" s="111"/>
      <c r="S111" s="111"/>
      <c r="T111" s="111"/>
      <c r="U111" s="111"/>
      <c r="V111" s="111"/>
    </row>
    <row r="112" outlineLevel="1">
      <c r="A112" s="299" t="s">
        <v>244</v>
      </c>
      <c r="B112" s="300" t="s">
        <v>216</v>
      </c>
      <c r="C112" s="113" t="str">
        <f t="array" ref="C112">INDEX('崖行動・受け身'!$N$3:$O$115, MATCH($A$1,'崖行動・受け身'!$A$3:$A$115,0), MATCH(C106,'崖行動・受け身'!$N$2:$O$2,0))</f>
        <v>1-20</v>
      </c>
      <c r="D112" s="113">
        <f t="array" ref="D112">INDEX('崖行動・受け身'!$N$3:$O$115, MATCH($A$1,'崖行動・受け身'!$A$3:$A$115,0), MATCH(D106,'崖行動・受け身'!$N$2:$O$2,0))</f>
        <v>26</v>
      </c>
      <c r="E112" s="301"/>
      <c r="F112" s="301"/>
      <c r="G112" s="301"/>
      <c r="H112" s="228"/>
      <c r="I112" s="228"/>
      <c r="J112" s="117"/>
      <c r="K112" s="146"/>
      <c r="L112" s="303" t="str">
        <f>'テンプレート'!L122</f>
        <v>上投げ</v>
      </c>
      <c r="M112" s="113" t="s">
        <v>129</v>
      </c>
      <c r="N112" s="113">
        <v>23.0</v>
      </c>
      <c r="O112" s="228"/>
      <c r="P112" s="228"/>
      <c r="Q112" s="228"/>
      <c r="R112" s="228"/>
      <c r="S112" s="228"/>
      <c r="T112" s="228"/>
      <c r="U112" s="228"/>
      <c r="V112" s="228"/>
    </row>
    <row r="113" outlineLevel="1">
      <c r="A113" s="146"/>
      <c r="B113" s="300" t="s">
        <v>245</v>
      </c>
      <c r="C113" s="113" t="str">
        <f t="array" ref="C113">INDEX('崖行動・受け身'!$P$3:$Q$115, MATCH($A$1,'崖行動・受け身'!$A$3:$A$115,0), MATCH(C106,'崖行動・受け身'!$P$2:$Q$2,0))</f>
        <v>1-20</v>
      </c>
      <c r="D113" s="113">
        <f t="array" ref="D113">INDEX('崖行動・受け身'!$P$3:$Q$115, MATCH($A$1,'崖行動・受け身'!$A$3:$A$115,0), MATCH(D106,'崖行動・受け身'!$P$2:$Q$2,0))</f>
        <v>40</v>
      </c>
      <c r="E113" s="301"/>
      <c r="F113" s="301"/>
      <c r="G113" s="301"/>
      <c r="H113" s="228"/>
      <c r="I113" s="228"/>
      <c r="J113" s="111"/>
      <c r="K113" s="146"/>
      <c r="L113" s="303" t="str">
        <f>'テンプレート'!L123</f>
        <v>下投げ</v>
      </c>
      <c r="M113" s="113" t="s">
        <v>93</v>
      </c>
      <c r="N113" s="113">
        <v>19.0</v>
      </c>
      <c r="O113" s="118"/>
      <c r="P113" s="118"/>
      <c r="Q113" s="118"/>
      <c r="R113" s="118"/>
      <c r="S113" s="118"/>
      <c r="T113" s="118"/>
      <c r="U113" s="118"/>
      <c r="V113" s="118"/>
    </row>
    <row r="114" outlineLevel="1">
      <c r="A114" s="156"/>
      <c r="B114" s="300" t="s">
        <v>246</v>
      </c>
      <c r="C114" s="113" t="str">
        <f t="array" ref="C114">INDEX('崖行動・受け身'!$R$3:$S$115, MATCH($A$1,'崖行動・受け身'!$A$3:$A$115,0), MATCH(C106,'崖行動・受け身'!$R$2:$S$2,0))</f>
        <v>1-20</v>
      </c>
      <c r="D114" s="113">
        <f t="array" ref="D114">INDEX('崖行動・受け身'!$R$3:$S$115, MATCH($A$1,'崖行動・受け身'!$A$3:$A$115,0), MATCH(D106,'崖行動・受け身'!$R$2:$S$2,0))</f>
        <v>40</v>
      </c>
      <c r="E114" s="301"/>
      <c r="F114" s="301"/>
      <c r="G114" s="301"/>
      <c r="H114" s="228"/>
      <c r="I114" s="228"/>
      <c r="J114" s="117"/>
      <c r="K114" s="146"/>
      <c r="L114" s="306" t="str">
        <f>'テンプレート'!L124</f>
        <v>ダッシュ</v>
      </c>
      <c r="M114" s="113" t="s">
        <v>150</v>
      </c>
      <c r="N114" s="113">
        <v>36.0</v>
      </c>
      <c r="O114" s="118"/>
      <c r="P114" s="118"/>
      <c r="Q114" s="118"/>
      <c r="R114" s="118"/>
      <c r="S114" s="118"/>
      <c r="T114" s="118"/>
      <c r="U114" s="118"/>
      <c r="V114" s="118"/>
    </row>
    <row r="115" outlineLevel="1">
      <c r="A115" s="299" t="s">
        <v>247</v>
      </c>
      <c r="B115" s="300" t="s">
        <v>248</v>
      </c>
      <c r="C115" s="301"/>
      <c r="D115" s="113" t="str">
        <f t="array" ref="D115">INDEX('起きあがり'!$C$3:$C106, MATCH($A$1,'起きあがり'!$A$3:$A$115,0), MATCH(D106,'起きあがり'!$C$2:$AD$2,0))</f>
        <v>25</v>
      </c>
      <c r="E115" s="301"/>
      <c r="F115" s="301"/>
      <c r="G115" s="301"/>
      <c r="H115" s="228"/>
      <c r="I115" s="228"/>
      <c r="J115" s="111"/>
      <c r="K115" s="156"/>
      <c r="L115" s="306" t="str">
        <f>'テンプレート'!L125</f>
        <v>その場捨て</v>
      </c>
      <c r="M115" s="113" t="s">
        <v>86</v>
      </c>
      <c r="N115" s="113">
        <v>23.0</v>
      </c>
      <c r="O115" s="118"/>
      <c r="P115" s="118"/>
      <c r="Q115" s="118"/>
      <c r="R115" s="118"/>
      <c r="S115" s="118"/>
      <c r="T115" s="118"/>
      <c r="U115" s="118"/>
      <c r="V115" s="118"/>
    </row>
    <row r="116" outlineLevel="1">
      <c r="A116" s="146"/>
      <c r="B116" s="300" t="s">
        <v>216</v>
      </c>
      <c r="C116" s="307" t="str">
        <f t="array" ref="C116">INDEX('起きあがり'!$D$3:$E106, MATCH($A$1,'起きあがり'!$A$3:$A$115,0), MATCH(C106,'起きあがり'!$D$2:$AD$2,0))</f>
        <v>1-22</v>
      </c>
      <c r="D116" s="308">
        <f t="array" ref="D116">INDEX('起きあがり'!$D$3:$E106, MATCH($A$1,'起きあがり'!$A$3:$A$115,0), MATCH(D106,'起きあがり'!$D$2:$AD$2,0))</f>
        <v>29</v>
      </c>
      <c r="E116" s="301"/>
      <c r="F116" s="301"/>
      <c r="G116" s="301"/>
      <c r="H116" s="228"/>
      <c r="I116" s="228"/>
      <c r="J116" s="117"/>
      <c r="K116" s="305" t="str">
        <f>'テンプレート'!K126</f>
        <v>空中投擲</v>
      </c>
      <c r="L116" s="303" t="str">
        <f>'テンプレート'!L126</f>
        <v>前投げ</v>
      </c>
      <c r="M116" s="113" t="s">
        <v>80</v>
      </c>
      <c r="N116" s="113">
        <v>24.0</v>
      </c>
      <c r="O116" s="118"/>
      <c r="P116" s="118"/>
      <c r="Q116" s="118"/>
      <c r="R116" s="118"/>
      <c r="S116" s="118"/>
      <c r="T116" s="118"/>
      <c r="U116" s="118"/>
      <c r="V116" s="118"/>
    </row>
    <row r="117" outlineLevel="1">
      <c r="A117" s="146"/>
      <c r="B117" s="300" t="s">
        <v>245</v>
      </c>
      <c r="C117" s="307" t="str">
        <f t="array" ref="C117">INDEX('起きあがり'!$F$3:$G$115, MATCH($A$1,'起きあがり'!$A$3:$A$115,0), MATCH(C106,'起きあがり'!$F$2:$AD$2,0))</f>
        <v>1-22</v>
      </c>
      <c r="D117" s="308">
        <f t="array" ref="D117">INDEX('起きあがり'!$F$3:$G$115, MATCH($A$1,'起きあがり'!$A$3:$A$115,0), MATCH(D106,'起きあがり'!$F$2:$AD$2,0))</f>
        <v>35</v>
      </c>
      <c r="E117" s="301"/>
      <c r="F117" s="301"/>
      <c r="G117" s="301"/>
      <c r="H117" s="228"/>
      <c r="I117" s="228"/>
      <c r="J117" s="111"/>
      <c r="K117" s="146"/>
      <c r="L117" s="303" t="str">
        <f>'テンプレート'!L127</f>
        <v>後投げ</v>
      </c>
      <c r="M117" s="113" t="s">
        <v>232</v>
      </c>
      <c r="N117" s="113">
        <v>24.0</v>
      </c>
      <c r="O117" s="118"/>
      <c r="P117" s="118"/>
      <c r="Q117" s="118"/>
      <c r="R117" s="118"/>
      <c r="S117" s="118"/>
      <c r="T117" s="118"/>
      <c r="U117" s="118"/>
      <c r="V117" s="118"/>
    </row>
    <row r="118" outlineLevel="1">
      <c r="A118" s="146"/>
      <c r="B118" s="300" t="s">
        <v>246</v>
      </c>
      <c r="C118" s="113" t="str">
        <f t="array" ref="C118">INDEX('起きあがり'!$H$3:$I$115, MATCH($A$1,'起きあがり'!$A$3:$A$115,0), MATCH(C106,'起きあがり'!$H$2:$AD$2,0))</f>
        <v>1-22</v>
      </c>
      <c r="D118" s="113">
        <f t="array" ref="D118">INDEX('起きあがり'!$H$3:$I$115, MATCH($A$1,'起きあがり'!$A$3:$A$115,0), MATCH(D106,'起きあがり'!$H$2:$AD$2,0))</f>
        <v>35</v>
      </c>
      <c r="E118" s="301"/>
      <c r="F118" s="301"/>
      <c r="G118" s="301"/>
      <c r="H118" s="228"/>
      <c r="I118" s="228"/>
      <c r="J118" s="117"/>
      <c r="K118" s="146"/>
      <c r="L118" s="303" t="str">
        <f>'テンプレート'!L128</f>
        <v>上投げ</v>
      </c>
      <c r="M118" s="113" t="s">
        <v>129</v>
      </c>
      <c r="N118" s="113">
        <v>23.0</v>
      </c>
      <c r="O118" s="118"/>
      <c r="P118" s="118"/>
      <c r="Q118" s="118"/>
      <c r="R118" s="118"/>
      <c r="S118" s="118"/>
      <c r="T118" s="118"/>
      <c r="U118" s="118"/>
      <c r="V118" s="118"/>
    </row>
    <row r="119" outlineLevel="1">
      <c r="A119" s="146"/>
      <c r="B119" s="300" t="s">
        <v>249</v>
      </c>
      <c r="C119" s="309" t="str">
        <f t="array" ref="C119">INDEX('起きあがり'!$J$3:$M$115, MATCH($A$1,'起きあがり'!$A$3:$A$115,0), MATCH(C106,'起きあがり'!$J$2:$AD$2,0))</f>
        <v>1-21</v>
      </c>
      <c r="D119" s="310">
        <f t="array" ref="D119">INDEX('起きあがり'!$J$3:$M$115, MATCH($A$1,'起きあがり'!$A$3:$A$115,0), MATCH(D106,'起きあがり'!$J$2:$AD$2,0))</f>
        <v>45</v>
      </c>
      <c r="E119" s="307" t="str">
        <f t="array" ref="E119">INDEX('起きあがり'!$J$3:$M$115, MATCH($A$1,'起きあがり'!$A$3:$A$115,0), MATCH(E106,'起きあがり'!$J$2:$AD$2,0))</f>
        <v>16-17</v>
      </c>
      <c r="F119" s="308">
        <f t="array" ref="F119">INDEX('起きあがり'!$J$3:$M$115, MATCH($A$1,'起きあがり'!$A$3:$A$115,0), MATCH(F106,'起きあがり'!$J$2:$AD$2,0))</f>
        <v>7</v>
      </c>
      <c r="G119" s="113">
        <f t="shared" ref="G119:G120" si="12">F119*1.2</f>
        <v>8.4</v>
      </c>
      <c r="H119" s="228"/>
      <c r="I119" s="228"/>
      <c r="J119" s="111"/>
      <c r="K119" s="156"/>
      <c r="L119" s="303" t="str">
        <f>'テンプレート'!L129</f>
        <v>下投げ</v>
      </c>
      <c r="M119" s="113" t="s">
        <v>93</v>
      </c>
      <c r="N119" s="113">
        <v>19.0</v>
      </c>
      <c r="O119" s="111"/>
      <c r="P119" s="111"/>
      <c r="Q119" s="111"/>
      <c r="R119" s="111"/>
      <c r="S119" s="111"/>
      <c r="T119" s="111"/>
      <c r="U119" s="111"/>
      <c r="V119" s="111"/>
    </row>
    <row r="120" outlineLevel="1">
      <c r="A120" s="156"/>
      <c r="B120" s="311" t="s">
        <v>250</v>
      </c>
      <c r="C120" s="156"/>
      <c r="D120" s="156"/>
      <c r="E120" s="307" t="str">
        <f t="array" ref="E120">INDEX('起きあがり'!$N$3:$O$115, MATCH($A$1,'起きあがり'!$A$3:$A$115,0), MATCH(E106,'起きあがり'!$N$2:$AD$2,0))</f>
        <v>20-21</v>
      </c>
      <c r="F120" s="308">
        <f t="array" ref="F120">INDEX('起きあがり'!$N$3:$O$115, MATCH($A$1,'起きあがり'!$A$3:$A$115,0), MATCH(F106,'起きあがり'!$N$2:$AD$2,0))</f>
        <v>7</v>
      </c>
      <c r="G120" s="113">
        <f t="shared" si="12"/>
        <v>8.4</v>
      </c>
      <c r="H120" s="228"/>
      <c r="I120" s="228"/>
      <c r="J120" s="111"/>
      <c r="K120" s="312" t="str">
        <f>'テンプレート'!K130</f>
        <v>踏み台ジャンプ</v>
      </c>
      <c r="L120" s="168"/>
      <c r="M120" s="298" t="str">
        <f>'テンプレート'!M130</f>
        <v>全体フレーム</v>
      </c>
      <c r="N120" s="114"/>
      <c r="O120" s="111"/>
      <c r="P120" s="111"/>
      <c r="Q120" s="111"/>
      <c r="R120" s="111"/>
      <c r="S120" s="111"/>
      <c r="T120" s="111"/>
      <c r="U120" s="111"/>
      <c r="V120" s="111"/>
    </row>
    <row r="121" outlineLevel="1">
      <c r="A121" s="299" t="s">
        <v>251</v>
      </c>
      <c r="B121" s="300" t="s">
        <v>248</v>
      </c>
      <c r="C121" s="301"/>
      <c r="D121" s="307" t="str">
        <f t="array" ref="D121">INDEX('起きあがり'!$C$3:$C106, MATCH($A$1,'起きあがり'!$A$3:$A$115,0), MATCH(D106,'起きあがり'!$C$2,0))</f>
        <v>25</v>
      </c>
      <c r="E121" s="301"/>
      <c r="F121" s="301"/>
      <c r="G121" s="301"/>
      <c r="H121" s="228"/>
      <c r="I121" s="228"/>
      <c r="J121" s="117"/>
      <c r="K121" s="313" t="str">
        <f>'テンプレート'!K131</f>
        <v>踏み</v>
      </c>
      <c r="L121" s="314" t="str">
        <f>'テンプレート'!L131</f>
        <v>踏み</v>
      </c>
      <c r="M121" s="113">
        <v>8.0</v>
      </c>
      <c r="N121" s="315"/>
      <c r="O121" s="111"/>
      <c r="P121" s="111"/>
      <c r="Q121" s="111"/>
      <c r="R121" s="111"/>
      <c r="S121" s="111"/>
      <c r="T121" s="111"/>
      <c r="U121" s="111"/>
      <c r="V121" s="111"/>
    </row>
    <row r="122" outlineLevel="1">
      <c r="A122" s="146"/>
      <c r="B122" s="300" t="s">
        <v>216</v>
      </c>
      <c r="C122" s="307" t="str">
        <f t="array" ref="C122">INDEX('起きあがり'!$P$3:$Q$115, MATCH($A$1,'起きあがり'!$A$3:$A$115,0), MATCH(C106,'起きあがり'!$P$2:$AD$2,0))</f>
        <v>1-22</v>
      </c>
      <c r="D122" s="308">
        <f t="array" ref="D122">INDEX('起きあがり'!$P$3:$Q$115, MATCH($A$1,'起きあがり'!$A$3:$A$115,0), MATCH(D106,'起きあがり'!$P$2:$AD$2,0))</f>
        <v>29</v>
      </c>
      <c r="E122" s="301"/>
      <c r="F122" s="301"/>
      <c r="G122" s="301"/>
      <c r="H122" s="228"/>
      <c r="I122" s="228"/>
      <c r="J122" s="111"/>
      <c r="K122" s="305" t="str">
        <f>'テンプレート'!K132</f>
        <v>踏まれ</v>
      </c>
      <c r="L122" s="314" t="str">
        <f>'テンプレート'!L132</f>
        <v>地上踏まれ</v>
      </c>
      <c r="M122" s="113" t="s">
        <v>76</v>
      </c>
      <c r="N122" s="315"/>
      <c r="O122" s="228"/>
      <c r="P122" s="228"/>
      <c r="Q122" s="228"/>
      <c r="R122" s="228"/>
      <c r="S122" s="228"/>
      <c r="T122" s="228"/>
      <c r="U122" s="228"/>
      <c r="V122" s="228"/>
    </row>
    <row r="123" outlineLevel="1">
      <c r="A123" s="146"/>
      <c r="B123" s="300" t="s">
        <v>245</v>
      </c>
      <c r="C123" s="307" t="str">
        <f t="array" ref="C123">INDEX('起きあがり'!$R$3:$S$115, MATCH($A$1,'起きあがり'!$A$3:$A$115,0), MATCH(C106,'起きあがり'!$R$2:$AD$2,0))</f>
        <v>1-22</v>
      </c>
      <c r="D123" s="308">
        <f t="array" ref="D123">INDEX('起きあがり'!$R$3:$S$115, MATCH($A$1,'起きあがり'!$A$3:$A$115,0), MATCH(D106,'起きあがり'!$R$2:$AD$2,0))</f>
        <v>35</v>
      </c>
      <c r="E123" s="301"/>
      <c r="F123" s="301"/>
      <c r="G123" s="301"/>
      <c r="H123" s="228"/>
      <c r="I123" s="228"/>
      <c r="J123" s="117"/>
      <c r="K123" s="146"/>
      <c r="L123" s="314" t="str">
        <f>'テンプレート'!L133</f>
        <v>地上硬直</v>
      </c>
      <c r="M123" s="113">
        <v>28.0</v>
      </c>
      <c r="N123" s="102"/>
      <c r="O123" s="118"/>
      <c r="P123" s="118"/>
      <c r="Q123" s="118"/>
      <c r="R123" s="118"/>
      <c r="S123" s="118"/>
      <c r="T123" s="118"/>
      <c r="U123" s="118"/>
      <c r="V123" s="118"/>
    </row>
    <row r="124" outlineLevel="1">
      <c r="A124" s="146"/>
      <c r="B124" s="300" t="s">
        <v>246</v>
      </c>
      <c r="C124" s="307" t="str">
        <f t="array" ref="C124">INDEX('起きあがり'!$T$3:$U$115, MATCH($A$1,'起きあがり'!$A$3:$A$115,0), MATCH(C106,'起きあがり'!$T$2:$AD$2,0))</f>
        <v>1-22</v>
      </c>
      <c r="D124" s="308">
        <f t="array" ref="D124">INDEX('起きあがり'!$T$3:$U$115, MATCH($A$1,'起きあがり'!$A$3:$A$115,0), MATCH(D106,'起きあがり'!$T$2:$AD$2,0))</f>
        <v>35</v>
      </c>
      <c r="E124" s="301"/>
      <c r="F124" s="301"/>
      <c r="G124" s="301"/>
      <c r="H124" s="228"/>
      <c r="I124" s="228"/>
      <c r="J124" s="111"/>
      <c r="K124" s="146"/>
      <c r="L124" s="314" t="str">
        <f>'テンプレート'!L134</f>
        <v>空中踏まれ</v>
      </c>
      <c r="M124" s="113">
        <v>8.0</v>
      </c>
      <c r="N124" s="102"/>
      <c r="O124" s="118"/>
      <c r="P124" s="118"/>
      <c r="Q124" s="118"/>
      <c r="R124" s="118"/>
      <c r="S124" s="118"/>
      <c r="T124" s="118"/>
      <c r="U124" s="118"/>
      <c r="V124" s="118"/>
    </row>
    <row r="125" outlineLevel="1">
      <c r="A125" s="146"/>
      <c r="B125" s="300" t="s">
        <v>249</v>
      </c>
      <c r="C125" s="309" t="str">
        <f t="array" ref="C125">INDEX('起きあがり'!$V$3:$Y$115, MATCH($A$1,'起きあがり'!$A$3:$A$115,0), MATCH(C106,'起きあがり'!$V$2:$AD$2,0))</f>
        <v>1-24</v>
      </c>
      <c r="D125" s="310">
        <f t="array" ref="D125">INDEX('起きあがり'!$V$3:$Y$115, MATCH($A$1,'起きあがり'!$A$3:$A$115,0), MATCH(D106,'起きあがり'!$V$2:$AD$2,0))</f>
        <v>45</v>
      </c>
      <c r="E125" s="307" t="str">
        <f t="array" ref="E125">INDEX('起きあがり'!$V$3:$Y$115, MATCH($A$1,'起きあがり'!$A$3:$A$115,0), MATCH(E106,'起きあがり'!$V$2:$AD$2,0))</f>
        <v>16-17</v>
      </c>
      <c r="F125" s="308">
        <f t="array" ref="F125">INDEX('起きあがり'!$V$3:$Y$115, MATCH($A$1,'起きあがり'!$A$3:$A$115,0), MATCH(F106,'起きあがり'!$V$2:$AD$2,0))</f>
        <v>7</v>
      </c>
      <c r="G125" s="113">
        <f t="shared" ref="G125:G126" si="13">F125*1.2</f>
        <v>8.4</v>
      </c>
      <c r="H125" s="228"/>
      <c r="I125" s="228"/>
      <c r="J125" s="117"/>
      <c r="K125" s="146"/>
      <c r="L125" s="314" t="str">
        <f>'テンプレート'!L135</f>
        <v>空中落下</v>
      </c>
      <c r="M125" s="113">
        <v>34.0</v>
      </c>
      <c r="N125" s="102"/>
      <c r="O125" s="118"/>
      <c r="P125" s="118"/>
      <c r="Q125" s="118"/>
      <c r="R125" s="118"/>
      <c r="S125" s="118"/>
      <c r="T125" s="118"/>
      <c r="U125" s="118"/>
      <c r="V125" s="118"/>
    </row>
    <row r="126" outlineLevel="1">
      <c r="A126" s="156"/>
      <c r="B126" s="311" t="s">
        <v>250</v>
      </c>
      <c r="C126" s="156"/>
      <c r="D126" s="156"/>
      <c r="E126" s="307" t="str">
        <f t="array" ref="E126">INDEX('起きあがり'!$Z$3:$AA$115, MATCH($A$1,'起きあがり'!$A$3:$A$115,0), MATCH(E106,'起きあがり'!$Z$2:$AD$2,0))</f>
        <v>23-24</v>
      </c>
      <c r="F126" s="308">
        <f t="array" ref="F126">INDEX('起きあがり'!$Z$3:$AA$115, MATCH($A$1,'起きあがり'!$A$3:$A$115,0), MATCH(F106,'起きあがり'!$Z$2:$AD$2,0))</f>
        <v>7</v>
      </c>
      <c r="G126" s="113">
        <f t="shared" si="13"/>
        <v>8.4</v>
      </c>
      <c r="H126" s="228"/>
      <c r="I126" s="228"/>
      <c r="J126" s="117"/>
      <c r="K126" s="304" t="str">
        <f>'テンプレート'!K136</f>
        <v>倒れダメージ</v>
      </c>
      <c r="L126" s="110"/>
      <c r="M126" s="298" t="str">
        <f>'テンプレート'!M136</f>
        <v>全体フレーム</v>
      </c>
      <c r="N126" s="102"/>
      <c r="O126" s="118"/>
      <c r="P126" s="118"/>
      <c r="Q126" s="118"/>
      <c r="R126" s="118"/>
      <c r="S126" s="118"/>
      <c r="T126" s="118"/>
      <c r="U126" s="118"/>
      <c r="V126" s="118"/>
    </row>
    <row r="127" outlineLevel="1">
      <c r="A127" s="299" t="s">
        <v>252</v>
      </c>
      <c r="B127" s="300" t="s">
        <v>253</v>
      </c>
      <c r="C127" s="307" t="str">
        <f t="array" ref="C127">INDEX('転倒'!$C$3:$D106, MATCH($A$1,'転倒'!$A$3:$A$115,0), MATCH(C106,'転倒'!$C$2:$AC$2,0))</f>
        <v>1-5</v>
      </c>
      <c r="D127" s="308">
        <f t="array" ref="D127">INDEX('転倒'!$C$3:$D106, MATCH($A$1,'転倒'!$A$3:$A$115,0), MATCH(D106,'転倒'!$C$2:$AC$2,0))</f>
        <v>29</v>
      </c>
      <c r="E127" s="301"/>
      <c r="F127" s="301"/>
      <c r="G127" s="301"/>
      <c r="H127" s="228"/>
      <c r="I127" s="228"/>
      <c r="J127" s="111"/>
      <c r="K127" s="313" t="str">
        <f>'テンプレート'!K137</f>
        <v>あお向け倒れ</v>
      </c>
      <c r="L127" s="306" t="str">
        <f>'テンプレート'!L137</f>
        <v>モーション大</v>
      </c>
      <c r="M127" s="113">
        <v>39.0</v>
      </c>
      <c r="N127" s="315"/>
      <c r="O127" s="118"/>
      <c r="P127" s="118"/>
      <c r="Q127" s="118"/>
      <c r="R127" s="118"/>
      <c r="S127" s="118"/>
      <c r="T127" s="118"/>
      <c r="U127" s="118"/>
      <c r="V127" s="118"/>
    </row>
    <row r="128" outlineLevel="1">
      <c r="A128" s="146"/>
      <c r="B128" s="300" t="s">
        <v>254</v>
      </c>
      <c r="C128" s="307" t="str">
        <f t="array" ref="C128">INDEX('転倒'!$E$3:$F106, MATCH($A$1,'転倒'!$A$3:$A$115,0), MATCH(C106,'転倒'!$E$2:$AC$2,0))</f>
        <v>1-5</v>
      </c>
      <c r="D128" s="308">
        <f t="array" ref="D128">INDEX('転倒'!$E$3:$F106, MATCH($A$1,'転倒'!$A$3:$A$115,0), MATCH(D106,'転倒'!$E$2:$AC$2,0))</f>
        <v>39</v>
      </c>
      <c r="E128" s="301"/>
      <c r="F128" s="301"/>
      <c r="G128" s="301"/>
      <c r="H128" s="228"/>
      <c r="I128" s="228"/>
      <c r="J128" s="117"/>
      <c r="K128" s="313" t="str">
        <f>'テンプレート'!K138</f>
        <v>うつ伏せ倒れ</v>
      </c>
      <c r="L128" s="306" t="str">
        <f>'テンプレート'!L138</f>
        <v>モーション大</v>
      </c>
      <c r="M128" s="113" t="s">
        <v>118</v>
      </c>
      <c r="N128" s="315"/>
      <c r="O128" s="118"/>
      <c r="P128" s="118"/>
      <c r="Q128" s="118"/>
      <c r="R128" s="118"/>
      <c r="S128" s="118"/>
      <c r="T128" s="118"/>
      <c r="U128" s="118"/>
      <c r="V128" s="118"/>
    </row>
    <row r="129" outlineLevel="1">
      <c r="A129" s="146"/>
      <c r="B129" s="300" t="s">
        <v>216</v>
      </c>
      <c r="C129" s="307" t="str">
        <f t="array" ref="C129">INDEX('転倒'!$G$3:$H$115, MATCH($A$1,'転倒'!$A$3:$A$115,0), MATCH(C106,'転倒'!$G$2:$AC$2,0))</f>
        <v>1-16</v>
      </c>
      <c r="D129" s="308">
        <f t="array" ref="D129">INDEX('転倒'!$G$3:$H$115, MATCH($A$1,'転倒'!$A$3:$A$115,0), MATCH(D106,'転倒'!$G$2:$AC$2,0))</f>
        <v>21</v>
      </c>
      <c r="E129" s="301"/>
      <c r="F129" s="301"/>
      <c r="G129" s="301"/>
      <c r="H129" s="228"/>
      <c r="I129" s="228"/>
      <c r="J129" s="111"/>
      <c r="K129" s="304" t="str">
        <f>'テンプレート'!K139</f>
        <v/>
      </c>
      <c r="L129" s="110"/>
      <c r="M129" s="298" t="str">
        <f>'テンプレート'!M139</f>
        <v/>
      </c>
      <c r="N129" s="102"/>
      <c r="O129" s="118"/>
      <c r="P129" s="118"/>
      <c r="Q129" s="118"/>
      <c r="R129" s="118"/>
      <c r="S129" s="118"/>
      <c r="T129" s="118"/>
      <c r="U129" s="118"/>
      <c r="V129" s="118"/>
    </row>
    <row r="130" outlineLevel="1">
      <c r="A130" s="146"/>
      <c r="B130" s="300" t="s">
        <v>245</v>
      </c>
      <c r="C130" s="307" t="str">
        <f t="array" ref="C130">INDEX('転倒'!$I$3:$J$115, MATCH($A$1,'転倒'!$A$3:$A$115,0), MATCH(C106,'転倒'!$I$2:$AC$2,0))</f>
        <v>1-9</v>
      </c>
      <c r="D130" s="308">
        <f t="array" ref="D130">INDEX('転倒'!$I$3:$J$115, MATCH($A$1,'転倒'!$A$3:$A$115,0), MATCH(D106,'転倒'!$I$2:$AC$2,0))</f>
        <v>28</v>
      </c>
      <c r="E130" s="301"/>
      <c r="F130" s="301"/>
      <c r="G130" s="301"/>
      <c r="H130" s="228"/>
      <c r="I130" s="228"/>
      <c r="J130" s="228"/>
      <c r="K130" s="316"/>
      <c r="L130" s="317" t="str">
        <f>'テンプレート'!L140</f>
        <v/>
      </c>
      <c r="M130" s="113" t="s">
        <v>76</v>
      </c>
      <c r="N130" s="102"/>
      <c r="O130" s="118"/>
      <c r="P130" s="118"/>
      <c r="Q130" s="118"/>
      <c r="R130" s="118"/>
      <c r="S130" s="118"/>
      <c r="T130" s="118"/>
      <c r="U130" s="118"/>
      <c r="V130" s="118"/>
    </row>
    <row r="131" outlineLevel="1">
      <c r="A131" s="146"/>
      <c r="B131" s="300" t="s">
        <v>246</v>
      </c>
      <c r="C131" s="307" t="str">
        <f t="array" ref="C131">INDEX('転倒'!$K$3:$L$115, MATCH($A$1,'転倒'!$A$3:$A$115,0), MATCH(C106,'転倒'!$K$2:$AC$2,0))</f>
        <v>1-9</v>
      </c>
      <c r="D131" s="308">
        <f t="array" ref="D131">INDEX('転倒'!$K$3:$L$115, MATCH($A$1,'転倒'!$A$3:$A$115,0), MATCH(D106,'転倒'!$K$2:$AC$2,0))</f>
        <v>28</v>
      </c>
      <c r="E131" s="301"/>
      <c r="F131" s="301"/>
      <c r="G131" s="301"/>
      <c r="H131" s="228"/>
      <c r="I131" s="228"/>
      <c r="J131" s="228"/>
      <c r="K131" s="318"/>
      <c r="L131" s="118"/>
      <c r="M131" s="118"/>
      <c r="N131" s="102"/>
      <c r="O131" s="118"/>
      <c r="P131" s="118"/>
      <c r="Q131" s="118"/>
      <c r="R131" s="118"/>
      <c r="S131" s="118"/>
      <c r="T131" s="118"/>
      <c r="U131" s="118"/>
      <c r="V131" s="118"/>
    </row>
    <row r="132" outlineLevel="1">
      <c r="A132" s="146"/>
      <c r="B132" s="300" t="s">
        <v>249</v>
      </c>
      <c r="C132" s="309" t="str">
        <f t="array" ref="C132">INDEX('転倒'!$M$3:$P$115, MATCH($A$1,'転倒'!$A$3:$A$115,0), MATCH(C106,'転倒'!$M$2:$AC$2,0))</f>
        <v>1-7</v>
      </c>
      <c r="D132" s="310">
        <f t="array" ref="D132">INDEX('転倒'!$M$3:$P$115, MATCH($A$1,'転倒'!$A$3:$A$115,0), MATCH(D106,'転倒'!$M$2:$AC$2,0))</f>
        <v>49</v>
      </c>
      <c r="E132" s="307" t="str">
        <f t="array" ref="E132">INDEX('転倒'!$M$3:$P$115, MATCH($A$1,'転倒'!$A$3:$A$115,0), MATCH(E106,'転倒'!$M$2:$AC$2,0))</f>
        <v>19-20</v>
      </c>
      <c r="F132" s="308">
        <f t="array" ref="F132">INDEX('転倒'!$M$3:$P$115, MATCH($A$1,'転倒'!$A$3:$A$115,0), MATCH(F106,'転倒'!$M$2:$AC$2,0))</f>
        <v>5</v>
      </c>
      <c r="G132" s="113">
        <f t="shared" ref="G132:G133" si="14">F132*1.2</f>
        <v>6</v>
      </c>
      <c r="H132" s="228"/>
      <c r="I132" s="228"/>
      <c r="J132" s="228"/>
      <c r="K132" s="118"/>
      <c r="L132" s="118"/>
      <c r="M132" s="118"/>
      <c r="N132" s="102"/>
      <c r="O132" s="102"/>
      <c r="P132" s="102"/>
      <c r="Q132" s="102"/>
      <c r="R132" s="118"/>
      <c r="S132" s="118"/>
      <c r="T132" s="118"/>
      <c r="U132" s="118"/>
      <c r="V132" s="118"/>
    </row>
    <row r="133" outlineLevel="1">
      <c r="A133" s="156"/>
      <c r="B133" s="311" t="s">
        <v>250</v>
      </c>
      <c r="C133" s="156"/>
      <c r="D133" s="156"/>
      <c r="E133" s="307" t="str">
        <f t="array" ref="E133">INDEX('転倒'!$Q$3:$R$115, MATCH($A$1,'転倒'!$A$3:$A$115,0), MATCH(E106,'転倒'!$Q$2:$AC$2,0))</f>
        <v>28-29</v>
      </c>
      <c r="F133" s="308">
        <f t="array" ref="F133">INDEX('転倒'!$Q$3:$R$115, MATCH($A$1,'転倒'!$A$3:$A$115,0), MATCH(F106,'転倒'!$Q$2:$AC$2,0))</f>
        <v>5</v>
      </c>
      <c r="G133" s="113">
        <f t="shared" si="14"/>
        <v>6</v>
      </c>
      <c r="H133" s="228"/>
      <c r="I133" s="228"/>
      <c r="J133" s="228"/>
      <c r="K133" s="118"/>
      <c r="L133" s="118"/>
      <c r="M133" s="118"/>
      <c r="N133" s="102"/>
      <c r="O133" s="102"/>
      <c r="P133" s="102"/>
      <c r="Q133" s="102"/>
      <c r="R133" s="118"/>
      <c r="S133" s="118"/>
      <c r="T133" s="118"/>
      <c r="U133" s="118"/>
      <c r="V133" s="118"/>
    </row>
    <row r="134" outlineLevel="1">
      <c r="A134" s="319"/>
      <c r="B134" s="320"/>
      <c r="C134" s="321"/>
      <c r="D134" s="321"/>
      <c r="E134" s="322"/>
      <c r="F134" s="322"/>
      <c r="G134" s="114"/>
      <c r="H134" s="228"/>
      <c r="I134" s="228"/>
      <c r="J134" s="228"/>
      <c r="K134" s="118"/>
      <c r="L134" s="118"/>
      <c r="M134" s="118"/>
      <c r="N134" s="102"/>
      <c r="O134" s="102"/>
      <c r="P134" s="102"/>
      <c r="Q134" s="102"/>
      <c r="R134" s="118"/>
      <c r="S134" s="118"/>
      <c r="T134" s="118"/>
      <c r="U134" s="118"/>
      <c r="V134" s="118"/>
    </row>
    <row r="135" outlineLevel="1">
      <c r="A135" s="323" t="s">
        <v>255</v>
      </c>
      <c r="B135" s="109"/>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4" t="s">
        <v>256</v>
      </c>
      <c r="B136" s="109"/>
      <c r="C136" s="325" t="s">
        <v>257</v>
      </c>
      <c r="D136" s="325" t="s">
        <v>49</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258</v>
      </c>
      <c r="B137" s="327" t="s">
        <v>216</v>
      </c>
      <c r="C137" s="328" t="str">
        <f t="array" ref="C137">INDEX('アイテム'!$C$3:$D$114, MATCH($A$1,'アイテム'!$A$3:$A$114,0), MATCH(C136,'アイテム'!$C$2:$AQ$2,0))</f>
        <v>2</v>
      </c>
      <c r="D137" s="328">
        <f t="array" ref="D137">INDEX('アイテム'!$C$3:$D$114, MATCH($A$1,'アイテム'!$A$3:$A$114,0), MATCH(D136,'アイテム'!$C$2:$AQ$2,0))</f>
        <v>7</v>
      </c>
      <c r="E137" s="322"/>
      <c r="F137" s="322"/>
      <c r="G137" s="114"/>
      <c r="H137" s="228"/>
      <c r="I137" s="228"/>
      <c r="J137" s="228"/>
      <c r="K137" s="118"/>
      <c r="L137" s="118"/>
      <c r="M137" s="118"/>
      <c r="N137" s="102"/>
      <c r="O137" s="102"/>
      <c r="P137" s="102"/>
      <c r="Q137" s="102"/>
      <c r="R137" s="118"/>
      <c r="S137" s="118"/>
      <c r="T137" s="118"/>
      <c r="U137" s="118"/>
      <c r="V137" s="118"/>
    </row>
    <row r="138" outlineLevel="1">
      <c r="A138" s="156"/>
      <c r="B138" s="327" t="s">
        <v>219</v>
      </c>
      <c r="C138" s="328" t="str">
        <f t="array" ref="C138">INDEX('アイテム'!$E$3:$F$114, MATCH($A$1,'アイテム'!$A$3:$A$114,0), MATCH(C136,'アイテム'!$C$2:$AQ$2,0))</f>
        <v>2</v>
      </c>
      <c r="D138" s="328">
        <f t="array" ref="D138">INDEX('アイテム'!$E$3:$F$114, MATCH($A$1,'アイテム'!$A$3:$A$114,0), MATCH(D136,'アイテム'!$C$2:$AQ$2,0))</f>
        <v>19</v>
      </c>
      <c r="E138" s="322"/>
      <c r="F138" s="322"/>
      <c r="G138" s="114"/>
      <c r="H138" s="228"/>
      <c r="I138" s="228"/>
      <c r="J138" s="228"/>
      <c r="K138" s="118"/>
      <c r="L138" s="118"/>
      <c r="M138" s="118"/>
      <c r="N138" s="102"/>
      <c r="O138" s="102"/>
      <c r="P138" s="102"/>
      <c r="Q138" s="102"/>
      <c r="R138" s="118"/>
      <c r="S138" s="118"/>
      <c r="T138" s="118"/>
      <c r="U138" s="118"/>
      <c r="V138" s="118"/>
    </row>
    <row r="139" outlineLevel="1">
      <c r="A139" s="329" t="s">
        <v>259</v>
      </c>
      <c r="B139" s="327" t="s">
        <v>216</v>
      </c>
      <c r="C139" s="328">
        <f t="array" ref="C139">INDEX('アイテム'!$AA$3:$AB$114, MATCH($A$1,'アイテム'!$A$3:$A$114,0), MATCH(C136,'アイテム'!$C$2:$AQ$2,0))</f>
        <v>2</v>
      </c>
      <c r="D139" s="328" t="str">
        <f t="array" ref="D139">INDEX('アイテム'!$AA$3:$AB$114, MATCH($A$1,'アイテム'!$A$3:$A$114,0), MATCH(D136,'アイテム'!$C$2:$AQ$2,0))</f>
        <v>12</v>
      </c>
      <c r="E139" s="322"/>
      <c r="F139" s="322"/>
      <c r="G139" s="114"/>
      <c r="H139" s="228"/>
      <c r="I139" s="228"/>
      <c r="J139" s="228"/>
      <c r="K139" s="118"/>
      <c r="L139" s="118"/>
      <c r="M139" s="118"/>
      <c r="N139" s="102"/>
      <c r="O139" s="102"/>
      <c r="P139" s="102"/>
      <c r="Q139" s="102"/>
      <c r="R139" s="118"/>
      <c r="S139" s="118"/>
      <c r="T139" s="118"/>
      <c r="U139" s="118"/>
      <c r="V139" s="118"/>
    </row>
    <row r="140" outlineLevel="1">
      <c r="A140" s="324" t="s">
        <v>260</v>
      </c>
      <c r="B140" s="109"/>
      <c r="C140" s="325" t="s">
        <v>261</v>
      </c>
      <c r="D140" s="325" t="s">
        <v>49</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262</v>
      </c>
      <c r="B141" s="327" t="s">
        <v>226</v>
      </c>
      <c r="C141" s="328" t="str">
        <f t="array" ref="C141">INDEX('アイテム'!$G$3:$H$114, MATCH($A$1,'アイテム'!$A$3:$A$114,0), MATCH(C136,'アイテム'!$C$2:$AQ$2,0))</f>
        <v>8</v>
      </c>
      <c r="D141" s="328">
        <f t="array" ref="D141">INDEX('アイテム'!$G$3:$H$114, MATCH($A$1,'アイテム'!$A$3:$A$114,0), MATCH(D136,'アイテム'!$C$2:$AQ$2,0))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229</v>
      </c>
      <c r="C142" s="328" t="str">
        <f t="array" ref="C142">INDEX('アイテム'!$I$3:$J$114, MATCH($A$1,'アイテム'!$A$3:$A$114,0), MATCH(C136,'アイテム'!$C$2:$AQ$2,0))</f>
        <v>11</v>
      </c>
      <c r="D142" s="328">
        <f t="array" ref="D142">INDEX('アイテム'!$I$3:$J$114, MATCH($A$1,'アイテム'!$A$3:$A$114,0), MATCH(D136,'アイテム'!$C$2:$AQ$2,0))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233</v>
      </c>
      <c r="C143" s="328" t="str">
        <f t="array" ref="C143">INDEX('アイテム'!$K$3:$L$114, MATCH($A$1,'アイテム'!$A$3:$A$114,0), MATCH(C136,'アイテム'!$C$2:$AQ$2,0))</f>
        <v>12</v>
      </c>
      <c r="D143" s="328">
        <f t="array" ref="D143">INDEX('アイテム'!$K$3:$L$114, MATCH($A$1,'アイテム'!$A$3:$A$114,0), MATCH(D136,'アイテム'!$C$2:$AQ$2,0))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234</v>
      </c>
      <c r="C144" s="328" t="str">
        <f t="array" ref="C144">INDEX('アイテム'!$M$3:$N$114, MATCH($A$1,'アイテム'!$A$3:$A$114,0), MATCH(C136,'アイテム'!$C$2:$AQ$2,0))</f>
        <v>7</v>
      </c>
      <c r="D144" s="328">
        <f t="array" ref="D144">INDEX('アイテム'!$M$3:$N$114, MATCH($A$1,'アイテム'!$A$3:$A$114,0), MATCH(D136,'アイテム'!$C$2:$AQ$2,0))</f>
        <v>19</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219</v>
      </c>
      <c r="C145" s="328" t="str">
        <f t="array" ref="C145">INDEX('アイテム'!$O$3:$P$114, MATCH($A$1,'アイテム'!$A$3:$A$114,0), MATCH(C136,'アイテム'!$C$2:$AQ$2,0))</f>
        <v>5</v>
      </c>
      <c r="D145" s="328">
        <f t="array" ref="D145">INDEX('アイテム'!$O$3:$P$114, MATCH($A$1,'アイテム'!$A$3:$A$114,0), MATCH(D136,'アイテム'!$C$2:$AQ$2,0))</f>
        <v>29</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263</v>
      </c>
      <c r="C146" s="328" t="str">
        <f t="array" ref="C146">INDEX('アイテム'!$Q$3:$R$114, MATCH($A$1,'アイテム'!$A$3:$A$114,0), MATCH(C136,'アイテム'!$C$2:$AQ$2,0))</f>
        <v>6</v>
      </c>
      <c r="D146" s="328">
        <f t="array" ref="D146">INDEX('アイテム'!$Q$3:$R$114, MATCH($A$1,'アイテム'!$A$3:$A$114,0), MATCH(D136,'アイテム'!$C$2:$AQ$2,0))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264</v>
      </c>
      <c r="B147" s="327" t="s">
        <v>226</v>
      </c>
      <c r="C147" s="328" t="str">
        <f t="array" ref="C147">INDEX('アイテム'!$S$3:$T$114, MATCH($A$1,'アイテム'!$A$3:$A$114,0), MATCH(C136,'アイテム'!$C$2:$AQ$2,0))</f>
        <v>8</v>
      </c>
      <c r="D147" s="328">
        <f t="array" ref="D147">INDEX('アイテム'!$S$3:$T$114, MATCH($A$1,'アイテム'!$A$3:$A$114,0), MATCH(D136,'アイテム'!$C$2:$AQ$2,0))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229</v>
      </c>
      <c r="C148" s="328" t="str">
        <f t="array" ref="C148">INDEX('アイテム'!$U$3:$V$114, MATCH($A$1,'アイテム'!$A$3:$A$114,0), MATCH(C136,'アイテム'!$C$2:$AQ$2,0))</f>
        <v>11</v>
      </c>
      <c r="D148" s="328">
        <f t="array" ref="D148">INDEX('アイテム'!$U$3:$V$114, MATCH($A$1,'アイテム'!$A$3:$A$114,0), MATCH(D136,'アイテム'!$C$2:$AQ$2,0))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233</v>
      </c>
      <c r="C149" s="328" t="str">
        <f t="array" ref="C149">INDEX('アイテム'!$W$3:$X$114, MATCH($A$1,'アイテム'!$A$3:$A$114,0), MATCH(C136,'アイテム'!$C$2:$AQ$2,0))</f>
        <v>12</v>
      </c>
      <c r="D149" s="328">
        <f t="array" ref="D149">INDEX('アイテム'!$W$3:$X$114, MATCH($A$1,'アイテム'!$A$3:$A$114,0), MATCH(D136,'アイテム'!$C$2:$AQ$2,0))</f>
        <v>23</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234</v>
      </c>
      <c r="C150" s="328" t="str">
        <f t="array" ref="C150">INDEX('アイテム'!$Y$3:$Z$114, MATCH($A$1,'アイテム'!$A$3:$A$114,0), MATCH(C136,'アイテム'!$C$2:$AQ$2,0))</f>
        <v>7</v>
      </c>
      <c r="D150" s="328">
        <f t="array" ref="D150">INDEX('アイテム'!$Y$3:$Z$114, MATCH($A$1,'アイテム'!$A$3:$A$114,0), MATCH(D136,'アイテム'!$C$2:$AQ$2,0))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265</v>
      </c>
      <c r="B151" s="327" t="s">
        <v>226</v>
      </c>
      <c r="C151" s="328">
        <f t="array" ref="C151">INDEX('アイテム'!$AC$3:$AD$114, MATCH($A$1,'アイテム'!$A$3:$A$114,0), MATCH(C136,'アイテム'!$C$2:$AQ$2,0))</f>
        <v>16</v>
      </c>
      <c r="D151" s="328" t="str">
        <f t="array" ref="D151">INDEX('アイテム'!$AC$3:$AD$114, MATCH($A$1,'アイテム'!$A$3:$A$114,0), MATCH(D136,'アイテム'!$C$2:$AQ$2,0))</f>
        <v>30</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229</v>
      </c>
      <c r="C152" s="328">
        <f t="array" ref="C152">INDEX('アイテム'!$AE$3:$AF$114, MATCH($A$1,'アイテム'!$A$3:$A$114,0), MATCH(C136,'アイテム'!$C$2:$AQ$2,0))</f>
        <v>17</v>
      </c>
      <c r="D152" s="328" t="str">
        <f t="array" ref="D152">INDEX('アイテム'!$AE$3:$AF$114, MATCH($A$1,'アイテム'!$A$3:$A$114,0), MATCH(D136,'アイテム'!$C$2:$AQ$2,0))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233</v>
      </c>
      <c r="C153" s="328">
        <f t="array" ref="C153">INDEX('アイテム'!$AG$3:$AH$114, MATCH($A$1,'アイテム'!$A$3:$A$114,0), MATCH(C136,'アイテム'!$C$2:$AQ$2,0))</f>
        <v>11</v>
      </c>
      <c r="D153" s="328" t="str">
        <f t="array" ref="D153">INDEX('アイテム'!$AG$3:$AH$114, MATCH($A$1,'アイテム'!$A$3:$A$114,0), MATCH(D136,'アイテム'!$C$2:$AQ$2,0))</f>
        <v>22</v>
      </c>
      <c r="E153" s="322"/>
      <c r="F153" s="322"/>
      <c r="G153" s="114"/>
      <c r="H153" s="228"/>
      <c r="I153" s="228"/>
      <c r="J153" s="228"/>
      <c r="K153" s="118"/>
      <c r="L153" s="118"/>
      <c r="M153" s="118"/>
      <c r="N153" s="102"/>
      <c r="O153" s="102"/>
      <c r="P153" s="102"/>
      <c r="Q153" s="102"/>
      <c r="R153" s="118"/>
      <c r="S153" s="118"/>
      <c r="T153" s="118"/>
      <c r="U153" s="118"/>
      <c r="V153" s="118"/>
    </row>
    <row r="154" outlineLevel="1">
      <c r="A154" s="156"/>
      <c r="B154" s="327" t="s">
        <v>234</v>
      </c>
      <c r="C154" s="328">
        <f t="array" ref="C154">INDEX('アイテム'!$AI$3:$AJ$114, MATCH($A$1,'アイテム'!$A$3:$A$114,0), MATCH(C136,'アイテム'!$C$2:$AQ$2,0))</f>
        <v>11</v>
      </c>
      <c r="D154" s="328" t="str">
        <f t="array" ref="D154">INDEX('アイテム'!$AI$3:$AJ$114, MATCH($A$1,'アイテム'!$A$3:$A$114,0), MATCH(D136,'アイテム'!$C$2:$AQ$2,0))</f>
        <v>22</v>
      </c>
      <c r="E154" s="322"/>
      <c r="F154" s="322"/>
      <c r="G154" s="114"/>
      <c r="H154" s="228"/>
      <c r="I154" s="228"/>
      <c r="J154" s="228"/>
      <c r="K154" s="118"/>
      <c r="L154" s="118"/>
      <c r="M154" s="118"/>
      <c r="N154" s="102"/>
      <c r="O154" s="102"/>
      <c r="P154" s="102"/>
      <c r="Q154" s="102"/>
      <c r="R154" s="118"/>
      <c r="S154" s="118"/>
      <c r="T154" s="118"/>
      <c r="U154" s="118"/>
      <c r="V154" s="118"/>
    </row>
  </sheetData>
  <mergeCells count="142">
    <mergeCell ref="H34:J34"/>
    <mergeCell ref="H35:J35"/>
    <mergeCell ref="H36:J36"/>
    <mergeCell ref="H37:J38"/>
    <mergeCell ref="U37:U38"/>
    <mergeCell ref="H39:J40"/>
    <mergeCell ref="U39:U40"/>
    <mergeCell ref="H41:J41"/>
    <mergeCell ref="H42:J42"/>
    <mergeCell ref="H43:J44"/>
    <mergeCell ref="U43:U44"/>
    <mergeCell ref="H45:J47"/>
    <mergeCell ref="U45:U47"/>
    <mergeCell ref="R51:V51"/>
    <mergeCell ref="U69:U72"/>
    <mergeCell ref="V69:V72"/>
    <mergeCell ref="U74:U75"/>
    <mergeCell ref="V74:V75"/>
    <mergeCell ref="U77:U79"/>
    <mergeCell ref="V77:V79"/>
    <mergeCell ref="R52:V53"/>
    <mergeCell ref="R54:V54"/>
    <mergeCell ref="R55:V56"/>
    <mergeCell ref="R57:V58"/>
    <mergeCell ref="R59:V60"/>
    <mergeCell ref="U64:U67"/>
    <mergeCell ref="V64:V67"/>
    <mergeCell ref="H74:J75"/>
    <mergeCell ref="H76:J76"/>
    <mergeCell ref="H77:J77"/>
    <mergeCell ref="H78:J78"/>
    <mergeCell ref="H79:J79"/>
    <mergeCell ref="G87:J87"/>
    <mergeCell ref="G88:J89"/>
    <mergeCell ref="K116:K119"/>
    <mergeCell ref="K120:L120"/>
    <mergeCell ref="K122:K125"/>
    <mergeCell ref="K126:L126"/>
    <mergeCell ref="K129:L129"/>
    <mergeCell ref="G90:J91"/>
    <mergeCell ref="G92:J93"/>
    <mergeCell ref="G94:J95"/>
    <mergeCell ref="K106:L106"/>
    <mergeCell ref="K107:K108"/>
    <mergeCell ref="K109:L109"/>
    <mergeCell ref="K110:K115"/>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33:J33"/>
    <mergeCell ref="D55:D56"/>
    <mergeCell ref="D57:D58"/>
    <mergeCell ref="A59:A60"/>
    <mergeCell ref="D59:D60"/>
    <mergeCell ref="A71:A72"/>
    <mergeCell ref="D71:D72"/>
    <mergeCell ref="H48:J48"/>
    <mergeCell ref="I52:I53"/>
    <mergeCell ref="J52:J53"/>
    <mergeCell ref="I55:I56"/>
    <mergeCell ref="J55:J56"/>
    <mergeCell ref="I57:I58"/>
    <mergeCell ref="J57:J58"/>
    <mergeCell ref="I59:I60"/>
    <mergeCell ref="J59:J60"/>
    <mergeCell ref="H63:J63"/>
    <mergeCell ref="H64:J67"/>
    <mergeCell ref="H68:J68"/>
    <mergeCell ref="H69:J72"/>
    <mergeCell ref="H73:J73"/>
    <mergeCell ref="A107:A111"/>
    <mergeCell ref="A112:A114"/>
    <mergeCell ref="A115:A120"/>
    <mergeCell ref="C119:C120"/>
    <mergeCell ref="D119:D120"/>
    <mergeCell ref="C125:C126"/>
    <mergeCell ref="D125:D126"/>
    <mergeCell ref="A121:A126"/>
    <mergeCell ref="A127:A133"/>
    <mergeCell ref="C132:C133"/>
    <mergeCell ref="D132:D133"/>
    <mergeCell ref="A135:B135"/>
    <mergeCell ref="A136:B136"/>
    <mergeCell ref="A140:B140"/>
    <mergeCell ref="A32:B33"/>
    <mergeCell ref="A34:A36"/>
    <mergeCell ref="A37:A38"/>
    <mergeCell ref="D37:D38"/>
    <mergeCell ref="A39:A40"/>
    <mergeCell ref="D39:D40"/>
    <mergeCell ref="D43:D44"/>
    <mergeCell ref="D45:D47"/>
    <mergeCell ref="A43:A44"/>
    <mergeCell ref="A45:A47"/>
    <mergeCell ref="A50:B51"/>
    <mergeCell ref="A52:A53"/>
    <mergeCell ref="D52:D53"/>
    <mergeCell ref="A55:A56"/>
    <mergeCell ref="A57:A58"/>
    <mergeCell ref="A62:B62"/>
    <mergeCell ref="A63:B63"/>
    <mergeCell ref="A64:A67"/>
    <mergeCell ref="C65:C66"/>
    <mergeCell ref="D65:D66"/>
    <mergeCell ref="A68:B68"/>
    <mergeCell ref="D69:D70"/>
    <mergeCell ref="A88:A89"/>
    <mergeCell ref="D88:D89"/>
    <mergeCell ref="D90:D91"/>
    <mergeCell ref="D92:D93"/>
    <mergeCell ref="D94:D95"/>
    <mergeCell ref="A73:B73"/>
    <mergeCell ref="A74:A75"/>
    <mergeCell ref="A76:B76"/>
    <mergeCell ref="A77:A79"/>
    <mergeCell ref="A81:B82"/>
    <mergeCell ref="A84:A86"/>
    <mergeCell ref="A87:B87"/>
    <mergeCell ref="A90:A91"/>
    <mergeCell ref="A92:A93"/>
    <mergeCell ref="A94:A95"/>
    <mergeCell ref="A97:B98"/>
    <mergeCell ref="A99:A101"/>
    <mergeCell ref="A102:A103"/>
    <mergeCell ref="A105:B106"/>
    <mergeCell ref="A137:A138"/>
    <mergeCell ref="A141:A146"/>
    <mergeCell ref="A147:A150"/>
    <mergeCell ref="A151:A154"/>
  </mergeCells>
  <conditionalFormatting sqref="K1:K15 K17:K130 L88:Q88 P95">
    <cfRule type="containsText" dxfId="0" priority="1" operator="containsText" text="361">
      <formula>NOT(ISERROR(SEARCH(("361"),(K1))))</formula>
    </cfRule>
  </conditionalFormatting>
  <conditionalFormatting sqref="K1:K15 K17:K130 L88:Q88 P95">
    <cfRule type="containsText" dxfId="1" priority="2" operator="containsText" text="363">
      <formula>NOT(ISERROR(SEARCH(("363"),(K1))))</formula>
    </cfRule>
  </conditionalFormatting>
  <conditionalFormatting sqref="K1:K15 K17:K130 L88:Q88 P95">
    <cfRule type="containsText" dxfId="1" priority="3" operator="containsText" text="365">
      <formula>NOT(ISERROR(SEARCH(("365"),(K1))))</formula>
    </cfRule>
  </conditionalFormatting>
  <conditionalFormatting sqref="K1:K15 K17:K130 L88:Q88 P95">
    <cfRule type="containsText" dxfId="1" priority="4" operator="containsText" text="366">
      <formula>NOT(ISERROR(SEARCH(("366"),(K1))))</formula>
    </cfRule>
  </conditionalFormatting>
  <conditionalFormatting sqref="K1:K15 K17:K130 L88:Q88 P95">
    <cfRule type="containsText" dxfId="1" priority="5" operator="containsText" text="367">
      <formula>NOT(ISERROR(SEARCH(("367"),(K1))))</formula>
    </cfRule>
  </conditionalFormatting>
  <conditionalFormatting sqref="D64 E67:G67 E69:G69 K69:T69 G72 K75:T75 E77:G77 K77:T77 P88:P95">
    <cfRule type="cellIs" dxfId="2" priority="6" operator="equal">
      <formula>"敵のみ"</formula>
    </cfRule>
  </conditionalFormatting>
  <conditionalFormatting sqref="C89:C95">
    <cfRule type="cellIs" dxfId="3" priority="7" operator="equal">
      <formula>"-"</formula>
    </cfRule>
  </conditionalFormatting>
  <conditionalFormatting sqref="O1:O154 D64 E67:G67 E69:G69 K69:N69 P69:T69 G72 K75:N75 P75:T75 E77:G77 K77:N77 P77:T77 K88:N88 P88:Q88 C90 E90:F90 K90:N90 P90:Q90 C94 E94:F94 K94:N94 P94:P95 Q94">
    <cfRule type="cellIs" dxfId="4" priority="8" operator="greaterThan">
      <formula>0</formula>
    </cfRule>
  </conditionalFormatting>
  <conditionalFormatting sqref="P1:Q154 D64 E67:G67 E69:G69 K69:O69 R69:T69 G72 K75:O75 R75:T75 E77:G77 K77:O77 R77:T77">
    <cfRule type="cellIs" dxfId="5" priority="9" operator="lessThan">
      <formula>1</formula>
    </cfRule>
  </conditionalFormatting>
  <conditionalFormatting sqref="P1:Q154 D64 E67:G67 E69:G69 K69:O69 R69:T69 G72 K75:O75 R75:T75 E77:G77 K77:O77 R77:T77">
    <cfRule type="cellIs" dxfId="4" priority="10" operator="greaterThan">
      <formula>1</formula>
    </cfRule>
  </conditionalFormatting>
  <conditionalFormatting sqref="N33:N95">
    <cfRule type="cellIs" dxfId="6" priority="11" operator="greaterThan">
      <formula>0</formula>
    </cfRule>
  </conditionalFormatting>
  <conditionalFormatting sqref="N1:N15 N17:N154">
    <cfRule type="containsText" dxfId="6" priority="12" operator="containsText" text="/">
      <formula>NOT(ISERROR(SEARCH(("/"),(N1))))</formula>
    </cfRule>
  </conditionalFormatting>
  <drawing r:id="rId2"/>
  <legacyDrawing r:id="rId3"/>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B8B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981">
        <v>42.0</v>
      </c>
      <c r="B1" s="1982"/>
      <c r="C1" s="1983" t="str">
        <f>IMAGE(VLOOKUP($A$1,Fighters!A2:AI114,12,FALSE),1)</f>
        <v>#REF!</v>
      </c>
      <c r="D1" s="1984"/>
      <c r="E1" s="1984"/>
      <c r="F1" s="1984"/>
      <c r="G1" s="1985"/>
      <c r="H1" s="1986"/>
      <c r="I1" s="1984"/>
      <c r="J1" s="1985"/>
      <c r="K1" s="1987"/>
      <c r="L1" s="1984"/>
      <c r="M1" s="1985"/>
      <c r="N1" s="1988"/>
      <c r="O1" s="1988"/>
      <c r="P1" s="1988"/>
      <c r="Q1" s="1988"/>
      <c r="R1" s="1989"/>
      <c r="S1" s="1989"/>
      <c r="T1" s="1989"/>
      <c r="U1" s="1989"/>
      <c r="V1" s="1989"/>
    </row>
    <row r="2">
      <c r="A2" s="1990" t="str">
        <f>VLOOKUP($A$1,Fighters!$A$2:$AI$81,6,FALSE)</f>
        <v>#b2b8bd</v>
      </c>
      <c r="B2" s="1982"/>
      <c r="C2" s="1991"/>
      <c r="G2" s="1992"/>
      <c r="H2" s="1993"/>
      <c r="I2" s="1994"/>
      <c r="J2" s="1995"/>
      <c r="K2" s="1993"/>
      <c r="L2" s="1994"/>
      <c r="M2" s="1995"/>
      <c r="N2" s="1988"/>
      <c r="O2" s="1988"/>
      <c r="P2" s="1988"/>
      <c r="Q2" s="1988"/>
      <c r="R2" s="1989"/>
      <c r="S2" s="1989"/>
      <c r="T2" s="1989"/>
      <c r="U2" s="1989"/>
      <c r="V2" s="1989"/>
    </row>
    <row r="3">
      <c r="A3" s="1990" t="str">
        <f>VLOOKUP($A$1,Fighters!$A$2:$AI$81,14,FALSE)</f>
        <v>42. ロボット</v>
      </c>
      <c r="B3" s="1982"/>
      <c r="C3" s="1991"/>
      <c r="G3" s="1992"/>
      <c r="H3" s="1996"/>
      <c r="I3" s="1996"/>
      <c r="J3" s="1996"/>
      <c r="K3" s="1997"/>
      <c r="L3" s="1997"/>
      <c r="M3" s="1997"/>
      <c r="N3" s="1988"/>
      <c r="O3" s="1988"/>
      <c r="P3" s="1988"/>
      <c r="Q3" s="1988"/>
      <c r="R3" s="1998"/>
      <c r="S3" s="1989"/>
      <c r="T3" s="1989"/>
      <c r="U3" s="1989"/>
      <c r="V3" s="1989"/>
    </row>
    <row r="4">
      <c r="A4" s="1990" t="str">
        <f>VLOOKUP($A$1,Fighters!$A$2:$AI$81,13,FALSE)</f>
        <v>0</v>
      </c>
      <c r="B4" s="1982"/>
      <c r="C4" s="1991"/>
      <c r="G4" s="1992"/>
      <c r="H4" s="1999"/>
      <c r="I4" s="1999"/>
      <c r="J4" s="1996"/>
      <c r="K4" s="1997"/>
      <c r="L4" s="1997"/>
      <c r="M4" s="1997"/>
      <c r="N4" s="1988"/>
      <c r="O4" s="1988"/>
      <c r="P4" s="1988"/>
      <c r="Q4" s="1988"/>
      <c r="R4" s="1998"/>
      <c r="S4" s="1989"/>
      <c r="T4" s="1989"/>
      <c r="U4" s="1989"/>
      <c r="V4" s="1989"/>
    </row>
    <row r="5" ht="16.5" customHeight="1">
      <c r="A5" s="1981"/>
      <c r="B5" s="1982"/>
      <c r="C5" s="1991"/>
      <c r="G5" s="1992"/>
      <c r="H5" s="2000"/>
      <c r="I5" s="2000"/>
      <c r="J5" s="2001"/>
      <c r="K5" s="2002"/>
      <c r="L5" s="2003"/>
      <c r="M5" s="2003"/>
      <c r="N5" s="1988"/>
      <c r="O5" s="1988"/>
      <c r="P5" s="1988"/>
      <c r="Q5" s="1988"/>
      <c r="R5" s="1998"/>
      <c r="S5" s="1989"/>
      <c r="T5" s="1989"/>
      <c r="U5" s="1989"/>
      <c r="V5" s="1989"/>
    </row>
    <row r="6">
      <c r="A6" s="1982"/>
      <c r="B6" s="1982"/>
      <c r="C6" s="1991"/>
      <c r="G6" s="1992"/>
      <c r="H6" s="1999"/>
      <c r="I6" s="2004" t="s">
        <v>39</v>
      </c>
      <c r="J6" s="2002"/>
      <c r="K6" s="2005"/>
      <c r="L6" s="2003"/>
      <c r="M6" s="2003"/>
      <c r="N6" s="1988"/>
      <c r="O6" s="1988"/>
      <c r="P6" s="1988"/>
      <c r="Q6" s="1988"/>
      <c r="R6" s="1998"/>
      <c r="S6" s="1989"/>
      <c r="T6" s="1989"/>
      <c r="U6" s="1989"/>
      <c r="V6" s="1989"/>
    </row>
    <row r="7">
      <c r="A7" s="1982"/>
      <c r="B7" s="1982"/>
      <c r="C7" s="1991"/>
      <c r="G7" s="1992"/>
      <c r="H7" s="2000"/>
      <c r="I7" s="2000"/>
      <c r="J7" s="2002"/>
      <c r="K7" s="2005"/>
      <c r="L7" s="2003"/>
      <c r="M7" s="2003"/>
      <c r="N7" s="1988"/>
      <c r="O7" s="1988"/>
      <c r="P7" s="1988"/>
      <c r="Q7" s="1988"/>
      <c r="R7" s="1998"/>
      <c r="S7" s="1989"/>
      <c r="T7" s="1989"/>
      <c r="U7" s="1989"/>
      <c r="V7" s="1989"/>
    </row>
    <row r="8">
      <c r="A8" s="1982"/>
      <c r="B8" s="1982"/>
      <c r="C8" s="1991"/>
      <c r="G8" s="1992"/>
      <c r="H8" s="2006">
        <v>44489.75673851852</v>
      </c>
      <c r="I8" s="1984"/>
      <c r="J8" s="1985"/>
      <c r="K8" s="2002"/>
      <c r="L8" s="2003"/>
      <c r="M8" s="2003"/>
      <c r="N8" s="1988"/>
      <c r="O8" s="1988"/>
      <c r="P8" s="1988"/>
      <c r="Q8" s="1988"/>
      <c r="R8" s="1998"/>
      <c r="S8" s="1989"/>
      <c r="T8" s="1989"/>
      <c r="U8" s="1989"/>
      <c r="V8" s="1989"/>
    </row>
    <row r="9">
      <c r="A9" s="1982"/>
      <c r="B9" s="1982"/>
      <c r="C9" s="1991"/>
      <c r="G9" s="1992"/>
      <c r="H9" s="1993"/>
      <c r="I9" s="1994"/>
      <c r="J9" s="1995"/>
      <c r="K9" s="1989"/>
      <c r="L9" s="1988"/>
      <c r="M9" s="1988"/>
      <c r="N9" s="1988"/>
      <c r="O9" s="1988"/>
      <c r="P9" s="1988"/>
      <c r="Q9" s="1988"/>
      <c r="R9" s="1998"/>
      <c r="S9" s="1989"/>
      <c r="T9" s="1989"/>
      <c r="U9" s="1989"/>
      <c r="V9" s="1989"/>
    </row>
    <row r="10">
      <c r="A10" s="1982"/>
      <c r="B10" s="1982"/>
      <c r="C10" s="1991"/>
      <c r="G10" s="1992"/>
      <c r="H10" s="2007"/>
      <c r="I10" s="2007"/>
      <c r="J10" s="1989"/>
      <c r="K10" s="1989"/>
      <c r="L10" s="1988"/>
      <c r="M10" s="1988"/>
      <c r="N10" s="1988"/>
      <c r="O10" s="1988"/>
      <c r="P10" s="1988"/>
      <c r="Q10" s="1988"/>
      <c r="R10" s="1998"/>
      <c r="S10" s="1989"/>
      <c r="T10" s="1989"/>
      <c r="U10" s="1989"/>
      <c r="V10" s="1989"/>
    </row>
    <row r="11">
      <c r="A11" s="2008" t="s">
        <v>40</v>
      </c>
      <c r="B11" s="1985"/>
      <c r="C11" s="1991"/>
      <c r="G11" s="1992"/>
      <c r="H11" s="2000"/>
      <c r="I11" s="2000"/>
      <c r="J11" s="1989"/>
      <c r="K11" s="1989"/>
      <c r="L11" s="1988"/>
      <c r="M11" s="1988"/>
      <c r="N11" s="1988"/>
      <c r="O11" s="1988"/>
      <c r="P11" s="1988"/>
      <c r="Q11" s="1988"/>
      <c r="R11" s="1998"/>
      <c r="S11" s="1989"/>
      <c r="T11" s="1989"/>
      <c r="U11" s="1989"/>
      <c r="V11" s="1989"/>
    </row>
    <row r="12">
      <c r="A12" s="1993"/>
      <c r="B12" s="1995"/>
      <c r="C12" s="1993"/>
      <c r="D12" s="1994"/>
      <c r="E12" s="1994"/>
      <c r="F12" s="1994"/>
      <c r="G12" s="1995"/>
      <c r="H12" s="2009"/>
      <c r="I12" s="2009"/>
      <c r="J12" s="1982"/>
      <c r="K12" s="1982"/>
      <c r="L12" s="1988"/>
      <c r="M12" s="1988"/>
      <c r="N12" s="1988"/>
      <c r="O12" s="1988"/>
      <c r="P12" s="1988"/>
      <c r="Q12" s="1988"/>
      <c r="R12" s="1998"/>
      <c r="S12" s="1989"/>
      <c r="T12" s="1989"/>
      <c r="U12" s="1989"/>
      <c r="V12" s="198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106 [19th]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2.002 [29th]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1.178 [34th]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0.16808 [21st]</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38 [9th]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1.725 [43rd]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0.105 [55th]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18.38 [8th]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1.134 [27th]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38F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0.085 [30th]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38 [16th]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 [43rd]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2.56 [43rd]</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 [45th]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71</v>
      </c>
      <c r="D26" s="139" t="s">
        <v>3085</v>
      </c>
      <c r="E26" s="139" t="s">
        <v>204</v>
      </c>
      <c r="F26" s="138">
        <v>3.5999999999999996</v>
      </c>
      <c r="G26" s="139" t="s">
        <v>147</v>
      </c>
      <c r="H26" s="140" t="s">
        <v>3086</v>
      </c>
      <c r="I26" s="110"/>
      <c r="J26" s="109"/>
      <c r="K26" s="138"/>
      <c r="L26" s="282"/>
      <c r="M26" s="363"/>
      <c r="N26" s="363"/>
      <c r="O26" s="145">
        <v>0.0</v>
      </c>
      <c r="P26" s="145">
        <v>1.0</v>
      </c>
      <c r="Q26" s="145">
        <v>1.0</v>
      </c>
      <c r="R26" s="100"/>
      <c r="S26" s="100"/>
      <c r="T26" s="100"/>
      <c r="U26" s="145" t="s">
        <v>62</v>
      </c>
      <c r="V26" s="100"/>
    </row>
    <row r="27" outlineLevel="1">
      <c r="A27" s="156"/>
      <c r="B27" s="147" t="s">
        <v>63</v>
      </c>
      <c r="C27" s="216" t="s">
        <v>71</v>
      </c>
      <c r="D27" s="216" t="s">
        <v>718</v>
      </c>
      <c r="E27" s="216" t="s">
        <v>204</v>
      </c>
      <c r="F27" s="138">
        <v>3.5999999999999996</v>
      </c>
      <c r="G27" s="139" t="s">
        <v>147</v>
      </c>
      <c r="H27" s="140"/>
      <c r="I27" s="110"/>
      <c r="J27" s="109"/>
      <c r="K27" s="282"/>
      <c r="L27" s="282"/>
      <c r="M27" s="363"/>
      <c r="N27" s="363"/>
      <c r="O27" s="145">
        <v>0.0</v>
      </c>
      <c r="P27" s="145">
        <v>1.0</v>
      </c>
      <c r="Q27" s="145">
        <v>1.0</v>
      </c>
      <c r="R27" s="100"/>
      <c r="S27" s="100"/>
      <c r="T27" s="100"/>
      <c r="U27" s="145" t="s">
        <v>69</v>
      </c>
      <c r="V27" s="100"/>
    </row>
    <row r="28" outlineLevel="1">
      <c r="A28" s="170" t="s">
        <v>77</v>
      </c>
      <c r="B28" s="160"/>
      <c r="C28" s="216" t="s">
        <v>319</v>
      </c>
      <c r="D28" s="216" t="s">
        <v>271</v>
      </c>
      <c r="E28" s="216" t="s">
        <v>93</v>
      </c>
      <c r="F28" s="138">
        <v>8.4</v>
      </c>
      <c r="G28" s="139" t="s">
        <v>95</v>
      </c>
      <c r="H28" s="140"/>
      <c r="I28" s="110"/>
      <c r="J28" s="109"/>
      <c r="K28" s="138"/>
      <c r="L28" s="282"/>
      <c r="M28" s="363"/>
      <c r="N28" s="363"/>
      <c r="O28" s="145">
        <v>0.0</v>
      </c>
      <c r="P28" s="145">
        <v>1.0</v>
      </c>
      <c r="Q28" s="145">
        <v>1.0</v>
      </c>
      <c r="R28" s="100"/>
      <c r="S28" s="100"/>
      <c r="T28" s="100"/>
      <c r="U28" s="145" t="s">
        <v>69</v>
      </c>
      <c r="V28" s="100"/>
    </row>
    <row r="29" outlineLevel="1">
      <c r="A29" s="170" t="s">
        <v>89</v>
      </c>
      <c r="B29" s="147" t="s">
        <v>90</v>
      </c>
      <c r="C29" s="216" t="s">
        <v>277</v>
      </c>
      <c r="D29" s="216" t="s">
        <v>72</v>
      </c>
      <c r="E29" s="216" t="s">
        <v>3087</v>
      </c>
      <c r="F29" s="138" t="s">
        <v>3088</v>
      </c>
      <c r="G29" s="139" t="s">
        <v>3089</v>
      </c>
      <c r="H29" s="140"/>
      <c r="I29" s="110"/>
      <c r="J29" s="109"/>
      <c r="K29" s="138"/>
      <c r="L29" s="282"/>
      <c r="M29" s="363"/>
      <c r="N29" s="363"/>
      <c r="O29" s="145">
        <v>0.0</v>
      </c>
      <c r="P29" s="145">
        <v>1.0</v>
      </c>
      <c r="Q29" s="145">
        <v>1.0</v>
      </c>
      <c r="R29" s="100"/>
      <c r="S29" s="100"/>
      <c r="T29" s="100"/>
      <c r="U29" s="145" t="s">
        <v>62</v>
      </c>
      <c r="V29" s="100"/>
    </row>
    <row r="30" outlineLevel="1">
      <c r="A30" s="133" t="s">
        <v>97</v>
      </c>
      <c r="B30" s="147" t="s">
        <v>125</v>
      </c>
      <c r="C30" s="216" t="s">
        <v>717</v>
      </c>
      <c r="D30" s="195" t="s">
        <v>876</v>
      </c>
      <c r="E30" s="216" t="s">
        <v>204</v>
      </c>
      <c r="F30" s="138">
        <v>3.5999999999999996</v>
      </c>
      <c r="G30" s="139" t="s">
        <v>147</v>
      </c>
      <c r="H30" s="283"/>
      <c r="I30" s="164"/>
      <c r="J30" s="104"/>
      <c r="K30" s="282"/>
      <c r="L30" s="282"/>
      <c r="M30" s="363"/>
      <c r="N30" s="363"/>
      <c r="O30" s="145">
        <v>0.0</v>
      </c>
      <c r="P30" s="145">
        <v>1.0</v>
      </c>
      <c r="Q30" s="145">
        <v>1.0</v>
      </c>
      <c r="R30" s="100"/>
      <c r="S30" s="100"/>
      <c r="T30" s="100"/>
      <c r="U30" s="166" t="s">
        <v>62</v>
      </c>
      <c r="V30" s="100"/>
    </row>
    <row r="31" outlineLevel="1">
      <c r="A31" s="156"/>
      <c r="B31" s="147" t="s">
        <v>131</v>
      </c>
      <c r="C31" s="216" t="s">
        <v>217</v>
      </c>
      <c r="D31" s="107"/>
      <c r="E31" s="216" t="s">
        <v>3090</v>
      </c>
      <c r="F31" s="138" t="s">
        <v>3091</v>
      </c>
      <c r="G31" s="139" t="s">
        <v>1960</v>
      </c>
      <c r="H31" s="106"/>
      <c r="I31" s="168"/>
      <c r="J31" s="107"/>
      <c r="K31" s="145"/>
      <c r="L31" s="363"/>
      <c r="M31" s="363"/>
      <c r="N31" s="363"/>
      <c r="O31" s="145">
        <v>0.0</v>
      </c>
      <c r="P31" s="145">
        <v>1.0</v>
      </c>
      <c r="Q31" s="145">
        <v>1.0</v>
      </c>
      <c r="R31" s="100"/>
      <c r="S31" s="100"/>
      <c r="T31" s="100"/>
      <c r="U31" s="156"/>
      <c r="V31" s="100"/>
    </row>
    <row r="32" outlineLevel="1">
      <c r="A32" s="170" t="s">
        <v>103</v>
      </c>
      <c r="B32" s="160"/>
      <c r="C32" s="216" t="s">
        <v>204</v>
      </c>
      <c r="D32" s="216" t="s">
        <v>119</v>
      </c>
      <c r="E32" s="216" t="s">
        <v>150</v>
      </c>
      <c r="F32" s="138">
        <v>6.0</v>
      </c>
      <c r="G32" s="139" t="s">
        <v>102</v>
      </c>
      <c r="H32" s="140" t="s">
        <v>3092</v>
      </c>
      <c r="I32" s="110"/>
      <c r="J32" s="109"/>
      <c r="K32" s="145"/>
      <c r="L32" s="363"/>
      <c r="M32" s="363"/>
      <c r="N32" s="363"/>
      <c r="O32" s="145">
        <v>0.0</v>
      </c>
      <c r="P32" s="145">
        <v>1.0</v>
      </c>
      <c r="Q32" s="145">
        <v>1.0</v>
      </c>
      <c r="R32" s="100"/>
      <c r="S32" s="100"/>
      <c r="T32" s="100"/>
      <c r="U32" s="145" t="s">
        <v>62</v>
      </c>
      <c r="V32" s="100"/>
    </row>
    <row r="33" outlineLevel="1">
      <c r="A33" s="170" t="s">
        <v>109</v>
      </c>
      <c r="B33" s="147" t="s">
        <v>90</v>
      </c>
      <c r="C33" s="216" t="s">
        <v>454</v>
      </c>
      <c r="D33" s="216" t="s">
        <v>289</v>
      </c>
      <c r="E33" s="216" t="s">
        <v>3093</v>
      </c>
      <c r="F33" s="138" t="s">
        <v>3094</v>
      </c>
      <c r="G33" s="139" t="s">
        <v>3095</v>
      </c>
      <c r="H33" s="140" t="s">
        <v>3096</v>
      </c>
      <c r="I33" s="110"/>
      <c r="J33" s="109"/>
      <c r="K33" s="282"/>
      <c r="L33" s="282"/>
      <c r="M33" s="363"/>
      <c r="N33" s="363"/>
      <c r="O33" s="145">
        <v>0.0</v>
      </c>
      <c r="P33" s="145">
        <v>1.0</v>
      </c>
      <c r="Q33" s="145">
        <v>1.0</v>
      </c>
      <c r="R33" s="100"/>
      <c r="S33" s="100"/>
      <c r="T33" s="100"/>
      <c r="U33" s="145" t="s">
        <v>123</v>
      </c>
      <c r="V33" s="100"/>
    </row>
    <row r="34" ht="20.25" customHeight="1" outlineLevel="1">
      <c r="A34" s="133" t="s">
        <v>116</v>
      </c>
      <c r="B34" s="147" t="s">
        <v>683</v>
      </c>
      <c r="C34" s="216" t="s">
        <v>223</v>
      </c>
      <c r="D34" s="195" t="s">
        <v>541</v>
      </c>
      <c r="E34" s="216" t="s">
        <v>204</v>
      </c>
      <c r="F34" s="138">
        <v>3.5999999999999996</v>
      </c>
      <c r="G34" s="139" t="s">
        <v>60</v>
      </c>
      <c r="H34" s="283" t="s">
        <v>3097</v>
      </c>
      <c r="I34" s="164"/>
      <c r="J34" s="104"/>
      <c r="K34" s="363"/>
      <c r="L34" s="363"/>
      <c r="M34" s="363"/>
      <c r="N34" s="363"/>
      <c r="O34" s="145">
        <v>0.0</v>
      </c>
      <c r="P34" s="145">
        <v>1.0</v>
      </c>
      <c r="Q34" s="145">
        <v>1.0</v>
      </c>
      <c r="R34" s="100"/>
      <c r="S34" s="100"/>
      <c r="T34" s="100"/>
      <c r="U34" s="166" t="s">
        <v>62</v>
      </c>
      <c r="V34" s="100"/>
    </row>
    <row r="35" ht="20.25" customHeight="1" outlineLevel="1">
      <c r="A35" s="156"/>
      <c r="B35" s="147" t="s">
        <v>131</v>
      </c>
      <c r="C35" s="216" t="s">
        <v>544</v>
      </c>
      <c r="D35" s="107"/>
      <c r="E35" s="216" t="s">
        <v>3059</v>
      </c>
      <c r="F35" s="138" t="s">
        <v>3060</v>
      </c>
      <c r="G35" s="139" t="s">
        <v>2449</v>
      </c>
      <c r="H35" s="106"/>
      <c r="I35" s="168"/>
      <c r="J35" s="107"/>
      <c r="K35" s="363"/>
      <c r="L35" s="363"/>
      <c r="M35" s="363"/>
      <c r="N35" s="363"/>
      <c r="O35" s="145">
        <v>0.0</v>
      </c>
      <c r="P35" s="145">
        <v>1.0</v>
      </c>
      <c r="Q35" s="145">
        <v>1.0</v>
      </c>
      <c r="R35" s="100"/>
      <c r="S35" s="100"/>
      <c r="T35" s="100"/>
      <c r="U35" s="156"/>
      <c r="V35" s="100"/>
    </row>
    <row r="36" outlineLevel="1">
      <c r="A36" s="133" t="s">
        <v>124</v>
      </c>
      <c r="B36" s="147" t="s">
        <v>125</v>
      </c>
      <c r="C36" s="216" t="s">
        <v>319</v>
      </c>
      <c r="D36" s="195" t="s">
        <v>146</v>
      </c>
      <c r="E36" s="216" t="s">
        <v>3098</v>
      </c>
      <c r="F36" s="138" t="s">
        <v>3099</v>
      </c>
      <c r="G36" s="139" t="s">
        <v>1969</v>
      </c>
      <c r="H36" s="283" t="s">
        <v>553</v>
      </c>
      <c r="I36" s="164"/>
      <c r="J36" s="104"/>
      <c r="K36" s="282"/>
      <c r="L36" s="282"/>
      <c r="M36" s="363"/>
      <c r="N36" s="363"/>
      <c r="O36" s="145">
        <v>0.0</v>
      </c>
      <c r="P36" s="145">
        <v>1.0</v>
      </c>
      <c r="Q36" s="145">
        <v>1.0</v>
      </c>
      <c r="R36" s="100"/>
      <c r="S36" s="100"/>
      <c r="T36" s="100"/>
      <c r="U36" s="166" t="s">
        <v>62</v>
      </c>
      <c r="V36" s="100"/>
    </row>
    <row r="37" outlineLevel="1">
      <c r="A37" s="146"/>
      <c r="B37" s="147" t="s">
        <v>131</v>
      </c>
      <c r="C37" s="216" t="s">
        <v>299</v>
      </c>
      <c r="D37" s="210"/>
      <c r="E37" s="216" t="s">
        <v>3098</v>
      </c>
      <c r="F37" s="138" t="s">
        <v>3099</v>
      </c>
      <c r="G37" s="139" t="s">
        <v>1969</v>
      </c>
      <c r="H37" s="212"/>
      <c r="J37" s="210"/>
      <c r="K37" s="282"/>
      <c r="L37" s="282"/>
      <c r="M37" s="363"/>
      <c r="N37" s="363"/>
      <c r="O37" s="145"/>
      <c r="P37" s="145"/>
      <c r="Q37" s="145"/>
      <c r="R37" s="100"/>
      <c r="S37" s="100"/>
      <c r="T37" s="100"/>
      <c r="U37" s="146"/>
      <c r="V37" s="100"/>
    </row>
    <row r="38" outlineLevel="1">
      <c r="A38" s="156"/>
      <c r="B38" s="147" t="s">
        <v>434</v>
      </c>
      <c r="C38" s="216" t="s">
        <v>153</v>
      </c>
      <c r="D38" s="107"/>
      <c r="E38" s="216" t="s">
        <v>150</v>
      </c>
      <c r="F38" s="138">
        <v>6.0</v>
      </c>
      <c r="G38" s="139" t="s">
        <v>147</v>
      </c>
      <c r="H38" s="106"/>
      <c r="I38" s="168"/>
      <c r="J38" s="107"/>
      <c r="K38" s="282"/>
      <c r="L38" s="282"/>
      <c r="M38" s="363"/>
      <c r="N38" s="363"/>
      <c r="O38" s="145">
        <v>0.0</v>
      </c>
      <c r="P38" s="145">
        <v>1.0</v>
      </c>
      <c r="Q38" s="145">
        <v>1.0</v>
      </c>
      <c r="R38" s="100"/>
      <c r="S38" s="100"/>
      <c r="T38" s="100"/>
      <c r="U38" s="156"/>
      <c r="V38" s="100"/>
    </row>
    <row r="39">
      <c r="A39" s="118"/>
      <c r="B39" s="176"/>
      <c r="C39" s="118"/>
      <c r="D39" s="118"/>
      <c r="E39" s="118"/>
      <c r="F39" s="177"/>
      <c r="G39" s="177"/>
      <c r="H39" s="118"/>
      <c r="I39" s="118"/>
      <c r="J39" s="118"/>
      <c r="K39" s="118"/>
      <c r="L39" s="118"/>
      <c r="M39" s="118"/>
      <c r="N39" s="118"/>
      <c r="O39" s="118"/>
      <c r="P39" s="118"/>
      <c r="Q39" s="118"/>
      <c r="R39" s="118"/>
      <c r="S39" s="118"/>
      <c r="T39" s="118"/>
      <c r="U39" s="118"/>
      <c r="V39" s="118"/>
    </row>
    <row r="40">
      <c r="A40" s="178" t="s">
        <v>133</v>
      </c>
      <c r="B40" s="104"/>
      <c r="C40" s="179"/>
      <c r="D40" s="179"/>
      <c r="E40" s="179"/>
      <c r="F40" s="180"/>
      <c r="G40" s="179"/>
      <c r="H40" s="180"/>
      <c r="I40" s="180"/>
      <c r="J40" s="181"/>
      <c r="K40" s="180"/>
      <c r="L40" s="180"/>
      <c r="M40" s="180"/>
      <c r="N40" s="180"/>
      <c r="O40" s="180"/>
      <c r="P40" s="180"/>
      <c r="Q40" s="180"/>
      <c r="R40" s="180"/>
      <c r="S40" s="180"/>
      <c r="T40" s="180"/>
      <c r="U40" s="180"/>
      <c r="V40" s="180"/>
    </row>
    <row r="41" outlineLevel="1">
      <c r="A41" s="106"/>
      <c r="B41" s="107"/>
      <c r="C41" s="182" t="s">
        <v>48</v>
      </c>
      <c r="D41" s="183" t="s">
        <v>49</v>
      </c>
      <c r="E41" s="182" t="s">
        <v>50</v>
      </c>
      <c r="F41" s="184" t="s">
        <v>51</v>
      </c>
      <c r="G41" s="184" t="s">
        <v>134</v>
      </c>
      <c r="H41" s="185" t="str">
        <f>'テンプレート'!H56</f>
        <v>ガード硬直</v>
      </c>
      <c r="I41" s="184" t="str">
        <f>'テンプレート'!I56</f>
        <v>着地隙</v>
      </c>
      <c r="J41" s="184" t="s">
        <v>136</v>
      </c>
      <c r="K41" s="184" t="str">
        <f>'テンプレート'!K56</f>
        <v>ベクトル</v>
      </c>
      <c r="L41" s="184" t="str">
        <f>'テンプレート'!L56</f>
        <v>KBG (R.E.)</v>
      </c>
      <c r="M41" s="184" t="str">
        <f>'テンプレート'!M56</f>
        <v>BKB (R.A.)</v>
      </c>
      <c r="N41" s="184" t="str">
        <f>'テンプレート'!N56</f>
        <v>FKB (R.F.)</v>
      </c>
      <c r="O41" s="186" t="str">
        <f>'テンプレート'!O56</f>
        <v>盾削り値</v>
      </c>
      <c r="P41" s="184" t="str">
        <f>'テンプレート'!P56</f>
        <v>ﾋｯﾄｽﾄｯﾌﾟ</v>
      </c>
      <c r="Q41" s="186" t="str">
        <f>'テンプレート'!Q56</f>
        <v>ずらし</v>
      </c>
      <c r="R41" s="187" t="str">
        <f>'テンプレート'!R56</f>
        <v>備考</v>
      </c>
      <c r="S41" s="110"/>
      <c r="T41" s="110"/>
      <c r="U41" s="110"/>
      <c r="V41" s="110"/>
    </row>
    <row r="42" outlineLevel="1">
      <c r="A42" s="213" t="s">
        <v>144</v>
      </c>
      <c r="B42" s="373"/>
      <c r="C42" s="239" t="s">
        <v>3100</v>
      </c>
      <c r="D42" s="380" t="s">
        <v>111</v>
      </c>
      <c r="E42" s="401" t="s">
        <v>3101</v>
      </c>
      <c r="F42" s="193" t="s">
        <v>3102</v>
      </c>
      <c r="G42" s="193" t="s">
        <v>3103</v>
      </c>
      <c r="H42" s="138" t="s">
        <v>3104</v>
      </c>
      <c r="I42" s="621" t="str">
        <f t="array" ref="I42">INDEX('空中攻撃'!$O$3:$AA$109, MATCH($A$1,'空中攻撃'!$A$3:$A$109,0), MATCH(A42,'空中攻撃'!$O$2:$S$2,0))</f>
        <v>7</v>
      </c>
      <c r="J42" s="467" t="s">
        <v>2831</v>
      </c>
      <c r="K42" s="376"/>
      <c r="L42" s="377"/>
      <c r="M42" s="825"/>
      <c r="N42" s="825"/>
      <c r="O42" s="199">
        <v>0.0</v>
      </c>
      <c r="P42" s="199">
        <v>1.0</v>
      </c>
      <c r="Q42" s="199">
        <v>1.0</v>
      </c>
      <c r="R42" s="151" t="s">
        <v>2743</v>
      </c>
      <c r="S42" s="110"/>
      <c r="T42" s="110"/>
      <c r="U42" s="110"/>
      <c r="V42" s="109"/>
    </row>
    <row r="43" outlineLevel="1">
      <c r="A43" s="213" t="s">
        <v>151</v>
      </c>
      <c r="B43" s="373"/>
      <c r="C43" s="239" t="s">
        <v>549</v>
      </c>
      <c r="D43" s="380">
        <v>35.0</v>
      </c>
      <c r="E43" s="239" t="s">
        <v>93</v>
      </c>
      <c r="F43" s="138">
        <v>8.4</v>
      </c>
      <c r="G43" s="138">
        <v>7.140000000000001</v>
      </c>
      <c r="H43" s="138" t="s">
        <v>60</v>
      </c>
      <c r="I43" s="621" t="str">
        <f t="array" ref="I43">INDEX('空中攻撃'!$O$3:$AA$109, MATCH($A$1,'空中攻撃'!$A$3:$A$109,0), MATCH(A43,'空中攻撃'!$O$2:$S$2,0))</f>
        <v>9</v>
      </c>
      <c r="J43" s="467" t="s">
        <v>879</v>
      </c>
      <c r="K43" s="376"/>
      <c r="L43" s="377"/>
      <c r="M43" s="825"/>
      <c r="N43" s="825"/>
      <c r="O43" s="199">
        <v>0.0</v>
      </c>
      <c r="P43" s="199">
        <v>1.0</v>
      </c>
      <c r="Q43" s="199">
        <v>1.0</v>
      </c>
      <c r="R43" s="159"/>
      <c r="S43" s="110"/>
      <c r="T43" s="110"/>
      <c r="U43" s="110"/>
      <c r="V43" s="109"/>
    </row>
    <row r="44" outlineLevel="1">
      <c r="A44" s="188" t="s">
        <v>157</v>
      </c>
      <c r="B44" s="373"/>
      <c r="C44" s="239" t="s">
        <v>2695</v>
      </c>
      <c r="D44" s="374">
        <v>52.0</v>
      </c>
      <c r="E44" s="239" t="s">
        <v>315</v>
      </c>
      <c r="F44" s="138" t="s">
        <v>316</v>
      </c>
      <c r="G44" s="138" t="s">
        <v>317</v>
      </c>
      <c r="H44" s="138" t="s">
        <v>318</v>
      </c>
      <c r="I44" s="454">
        <f t="array" ref="I44">INDEX('空中攻撃'!$O$3:$AA$109, MATCH($A$1,'空中攻撃'!$A$3:$A$109,0), MATCH(A44,'空中攻撃'!$O$2:$S$2,0))</f>
        <v>13</v>
      </c>
      <c r="J44" s="455" t="s">
        <v>2024</v>
      </c>
      <c r="K44" s="376"/>
      <c r="L44" s="377"/>
      <c r="M44" s="825"/>
      <c r="N44" s="825"/>
      <c r="O44" s="199">
        <v>0.0</v>
      </c>
      <c r="P44" s="199">
        <v>1.0</v>
      </c>
      <c r="Q44" s="199">
        <v>1.0</v>
      </c>
      <c r="R44" s="163" t="s">
        <v>411</v>
      </c>
      <c r="S44" s="164"/>
      <c r="T44" s="164"/>
      <c r="U44" s="164"/>
      <c r="V44" s="104"/>
    </row>
    <row r="45" outlineLevel="1">
      <c r="A45" s="156"/>
      <c r="B45" s="373" t="s">
        <v>84</v>
      </c>
      <c r="C45" s="239" t="s">
        <v>3105</v>
      </c>
      <c r="D45" s="107"/>
      <c r="E45" s="239" t="s">
        <v>3106</v>
      </c>
      <c r="F45" s="138" t="s">
        <v>3107</v>
      </c>
      <c r="G45" s="138" t="s">
        <v>3108</v>
      </c>
      <c r="H45" s="138" t="s">
        <v>1969</v>
      </c>
      <c r="I45" s="156"/>
      <c r="J45" s="107"/>
      <c r="K45" s="376"/>
      <c r="L45" s="377"/>
      <c r="M45" s="825"/>
      <c r="N45" s="825"/>
      <c r="O45" s="199">
        <v>0.0</v>
      </c>
      <c r="P45" s="199">
        <v>1.0</v>
      </c>
      <c r="Q45" s="199">
        <v>1.0</v>
      </c>
      <c r="R45" s="106"/>
      <c r="S45" s="168"/>
      <c r="T45" s="168"/>
      <c r="U45" s="168"/>
      <c r="V45" s="107"/>
    </row>
    <row r="46" outlineLevel="1">
      <c r="A46" s="188" t="s">
        <v>162</v>
      </c>
      <c r="B46" s="373" t="s">
        <v>962</v>
      </c>
      <c r="C46" s="239" t="s">
        <v>3109</v>
      </c>
      <c r="D46" s="374" t="s">
        <v>455</v>
      </c>
      <c r="E46" s="244" t="s">
        <v>1024</v>
      </c>
      <c r="F46" s="138">
        <v>1.7999999999999998</v>
      </c>
      <c r="G46" s="138">
        <v>1.53</v>
      </c>
      <c r="H46" s="138" t="s">
        <v>170</v>
      </c>
      <c r="I46" s="454" t="str">
        <f t="array" ref="I46">INDEX('空中攻撃'!$O$3:$AA$109, MATCH($A$1,'空中攻撃'!$A$3:$A$109,0), MATCH(A46,'空中攻撃'!$O$2:$S$2,0))</f>
        <v>13</v>
      </c>
      <c r="J46" s="455" t="s">
        <v>3110</v>
      </c>
      <c r="K46" s="377"/>
      <c r="L46" s="377"/>
      <c r="M46" s="825"/>
      <c r="N46" s="825"/>
      <c r="O46" s="199">
        <v>0.0</v>
      </c>
      <c r="P46" s="199">
        <v>1.0</v>
      </c>
      <c r="Q46" s="199">
        <v>1.0</v>
      </c>
      <c r="R46" s="456"/>
      <c r="S46" s="164"/>
      <c r="T46" s="164"/>
      <c r="U46" s="164"/>
      <c r="V46" s="104"/>
    </row>
    <row r="47" outlineLevel="1">
      <c r="A47" s="156"/>
      <c r="B47" s="373" t="s">
        <v>521</v>
      </c>
      <c r="C47" s="239" t="s">
        <v>377</v>
      </c>
      <c r="D47" s="107"/>
      <c r="E47" s="244" t="s">
        <v>73</v>
      </c>
      <c r="F47" s="138">
        <v>4.8</v>
      </c>
      <c r="G47" s="138">
        <v>4.08</v>
      </c>
      <c r="H47" s="138" t="s">
        <v>60</v>
      </c>
      <c r="I47" s="156"/>
      <c r="J47" s="107"/>
      <c r="K47" s="377"/>
      <c r="L47" s="377"/>
      <c r="M47" s="825"/>
      <c r="N47" s="825"/>
      <c r="O47" s="199">
        <v>0.0</v>
      </c>
      <c r="P47" s="199">
        <v>1.0</v>
      </c>
      <c r="Q47" s="199">
        <v>1.0</v>
      </c>
      <c r="R47" s="106"/>
      <c r="S47" s="168"/>
      <c r="T47" s="168"/>
      <c r="U47" s="168"/>
      <c r="V47" s="107"/>
    </row>
    <row r="48" outlineLevel="1">
      <c r="A48" s="188" t="s">
        <v>166</v>
      </c>
      <c r="B48" s="373" t="s">
        <v>2237</v>
      </c>
      <c r="C48" s="239" t="s">
        <v>351</v>
      </c>
      <c r="D48" s="374">
        <v>69.0</v>
      </c>
      <c r="E48" s="239" t="s">
        <v>3111</v>
      </c>
      <c r="F48" s="138" t="s">
        <v>3112</v>
      </c>
      <c r="G48" s="138" t="s">
        <v>3113</v>
      </c>
      <c r="H48" s="138" t="s">
        <v>980</v>
      </c>
      <c r="I48" s="454">
        <f t="array" ref="I48">INDEX('空中攻撃'!$O$3:$AA$109, MATCH($A$1,'空中攻撃'!$A$3:$A$109,0), MATCH(A48,'空中攻撃'!$O$2:$S$2,0))</f>
        <v>13</v>
      </c>
      <c r="J48" s="455" t="s">
        <v>832</v>
      </c>
      <c r="K48" s="377"/>
      <c r="L48" s="377"/>
      <c r="M48" s="825"/>
      <c r="N48" s="825"/>
      <c r="O48" s="199">
        <v>0.0</v>
      </c>
      <c r="P48" s="199">
        <v>1.0</v>
      </c>
      <c r="Q48" s="199">
        <v>1.0</v>
      </c>
      <c r="R48" s="456"/>
      <c r="S48" s="164"/>
      <c r="T48" s="164"/>
      <c r="U48" s="164"/>
      <c r="V48" s="104"/>
    </row>
    <row r="49" outlineLevel="1">
      <c r="A49" s="146"/>
      <c r="B49" s="373" t="s">
        <v>2701</v>
      </c>
      <c r="C49" s="239" t="s">
        <v>2256</v>
      </c>
      <c r="D49" s="210"/>
      <c r="E49" s="239" t="s">
        <v>86</v>
      </c>
      <c r="F49" s="138">
        <v>7.199999999999999</v>
      </c>
      <c r="G49" s="138">
        <v>6.12</v>
      </c>
      <c r="H49" s="138" t="s">
        <v>60</v>
      </c>
      <c r="I49" s="146"/>
      <c r="J49" s="210"/>
      <c r="K49" s="377"/>
      <c r="L49" s="377"/>
      <c r="M49" s="825"/>
      <c r="N49" s="825"/>
      <c r="O49" s="199"/>
      <c r="P49" s="199"/>
      <c r="Q49" s="199"/>
      <c r="R49" s="212"/>
      <c r="V49" s="210"/>
    </row>
    <row r="50" outlineLevel="1">
      <c r="A50" s="146"/>
      <c r="B50" s="373" t="s">
        <v>3114</v>
      </c>
      <c r="C50" s="367" t="s">
        <v>3115</v>
      </c>
      <c r="D50" s="210"/>
      <c r="E50" s="239" t="s">
        <v>80</v>
      </c>
      <c r="F50" s="138">
        <v>9.6</v>
      </c>
      <c r="G50" s="138">
        <v>8.16</v>
      </c>
      <c r="H50" s="138" t="s">
        <v>147</v>
      </c>
      <c r="I50" s="146"/>
      <c r="J50" s="210"/>
      <c r="K50" s="377"/>
      <c r="L50" s="377"/>
      <c r="M50" s="825"/>
      <c r="N50" s="825"/>
      <c r="O50" s="199"/>
      <c r="P50" s="199"/>
      <c r="Q50" s="199"/>
      <c r="R50" s="212"/>
      <c r="V50" s="210"/>
    </row>
    <row r="51" outlineLevel="1">
      <c r="A51" s="156"/>
      <c r="B51" s="373" t="s">
        <v>3116</v>
      </c>
      <c r="C51" s="156"/>
      <c r="D51" s="107"/>
      <c r="E51" s="239" t="s">
        <v>3117</v>
      </c>
      <c r="F51" s="138" t="s">
        <v>3118</v>
      </c>
      <c r="G51" s="138" t="s">
        <v>3119</v>
      </c>
      <c r="H51" s="138" t="s">
        <v>1132</v>
      </c>
      <c r="I51" s="156"/>
      <c r="J51" s="107"/>
      <c r="K51" s="377"/>
      <c r="L51" s="377"/>
      <c r="M51" s="825"/>
      <c r="N51" s="825"/>
      <c r="O51" s="199"/>
      <c r="P51" s="199"/>
      <c r="Q51" s="199"/>
      <c r="R51" s="106"/>
      <c r="S51" s="168"/>
      <c r="T51" s="168"/>
      <c r="U51" s="168"/>
      <c r="V51" s="107"/>
    </row>
    <row r="52">
      <c r="A52" s="223"/>
      <c r="B52" s="224"/>
      <c r="C52" s="225"/>
      <c r="D52" s="225"/>
      <c r="E52" s="226"/>
      <c r="F52" s="226"/>
      <c r="G52" s="226"/>
      <c r="H52" s="227"/>
      <c r="I52" s="227"/>
      <c r="J52" s="228"/>
      <c r="K52" s="228"/>
      <c r="L52" s="228"/>
      <c r="M52" s="228"/>
      <c r="N52" s="228"/>
      <c r="O52" s="228"/>
      <c r="P52" s="228"/>
      <c r="Q52" s="118"/>
      <c r="R52" s="118"/>
      <c r="S52" s="118"/>
      <c r="T52" s="118"/>
      <c r="U52" s="118"/>
      <c r="V52" s="118"/>
    </row>
    <row r="53">
      <c r="A53" s="229" t="s">
        <v>177</v>
      </c>
      <c r="B53" s="109"/>
      <c r="C53" s="225"/>
      <c r="D53" s="225"/>
      <c r="E53" s="226"/>
      <c r="F53" s="226"/>
      <c r="G53" s="226"/>
      <c r="H53" s="227"/>
      <c r="I53" s="227"/>
      <c r="J53" s="228"/>
      <c r="K53" s="228"/>
      <c r="L53" s="228"/>
      <c r="M53" s="228"/>
      <c r="N53" s="228"/>
      <c r="O53" s="228"/>
      <c r="P53" s="228"/>
      <c r="Q53" s="118"/>
      <c r="R53" s="118"/>
      <c r="S53" s="118"/>
      <c r="T53" s="118"/>
      <c r="U53" s="118"/>
      <c r="V53" s="118"/>
    </row>
    <row r="54" outlineLevel="1">
      <c r="A54" s="230" t="s">
        <v>3120</v>
      </c>
      <c r="B54" s="109"/>
      <c r="C54" s="231" t="s">
        <v>48</v>
      </c>
      <c r="D54" s="231" t="s">
        <v>49</v>
      </c>
      <c r="E54" s="232" t="s">
        <v>50</v>
      </c>
      <c r="F54" s="233" t="s">
        <v>51</v>
      </c>
      <c r="G54" s="232" t="s">
        <v>52</v>
      </c>
      <c r="H54" s="382" t="str">
        <f>'テンプレート'!H72</f>
        <v>備考</v>
      </c>
      <c r="I54" s="110"/>
      <c r="J54" s="109"/>
      <c r="K54" s="235" t="str">
        <f>'テンプレート'!K72</f>
        <v>ベクトル</v>
      </c>
      <c r="L54" s="235" t="str">
        <f>'テンプレート'!L72</f>
        <v>KBG (R.E.)</v>
      </c>
      <c r="M54" s="235" t="str">
        <f>'テンプレート'!M72</f>
        <v>BKB (R.A.)</v>
      </c>
      <c r="N54" s="235" t="str">
        <f>'テンプレート'!N72</f>
        <v>FKB (R.F.)</v>
      </c>
      <c r="O54" s="236" t="str">
        <f>'テンプレート'!O72</f>
        <v>盾削り値</v>
      </c>
      <c r="P54" s="235" t="str">
        <f>'テンプレート'!P72</f>
        <v>ﾋｯﾄｽﾄｯﾌﾟ</v>
      </c>
      <c r="Q54" s="236" t="str">
        <f>'テンプレート'!Q72</f>
        <v>ずらし</v>
      </c>
      <c r="R54" s="235" t="str">
        <f>'テンプレート'!R72</f>
        <v>相殺</v>
      </c>
      <c r="S54" s="236" t="str">
        <f>'テンプレート'!S72</f>
        <v>相殺ﾓｰｼｮﾝ</v>
      </c>
      <c r="T54" s="236" t="str">
        <f>'テンプレート'!T72</f>
        <v>飛び道具</v>
      </c>
      <c r="U54" s="236" t="str">
        <f>'テンプレート'!U72</f>
        <v>慣性反転</v>
      </c>
      <c r="V54" s="236" t="str">
        <f>'テンプレート'!V72</f>
        <v>向き反転</v>
      </c>
    </row>
    <row r="55" ht="17.25" customHeight="1" outlineLevel="1">
      <c r="A55" s="237" t="s">
        <v>184</v>
      </c>
      <c r="B55" s="663" t="s">
        <v>3121</v>
      </c>
      <c r="C55" s="239" t="s">
        <v>739</v>
      </c>
      <c r="D55" s="367" t="s">
        <v>185</v>
      </c>
      <c r="E55" s="239" t="s">
        <v>93</v>
      </c>
      <c r="F55" s="138">
        <v>8.4</v>
      </c>
      <c r="G55" s="139" t="s">
        <v>95</v>
      </c>
      <c r="H55" s="175" t="s">
        <v>3122</v>
      </c>
      <c r="I55" s="164"/>
      <c r="J55" s="104"/>
      <c r="K55" s="282"/>
      <c r="L55" s="282"/>
      <c r="M55" s="363"/>
      <c r="N55" s="363"/>
      <c r="O55" s="138">
        <v>0.0</v>
      </c>
      <c r="P55" s="138">
        <v>1.0</v>
      </c>
      <c r="Q55" s="138">
        <v>1.0</v>
      </c>
      <c r="R55" s="145" t="b">
        <v>0</v>
      </c>
      <c r="S55" s="145" t="b">
        <v>0</v>
      </c>
      <c r="T55" s="145" t="b">
        <v>0</v>
      </c>
      <c r="U55" s="166" t="s">
        <v>186</v>
      </c>
      <c r="V55" s="166" t="b">
        <v>1</v>
      </c>
    </row>
    <row r="56" ht="17.25" customHeight="1" outlineLevel="1">
      <c r="A56" s="146"/>
      <c r="B56" s="663" t="s">
        <v>3123</v>
      </c>
      <c r="C56" s="244" t="s">
        <v>3124</v>
      </c>
      <c r="D56" s="146"/>
      <c r="E56" s="239" t="s">
        <v>1438</v>
      </c>
      <c r="F56" s="138">
        <v>5.3999999999999995</v>
      </c>
      <c r="G56" s="139" t="s">
        <v>60</v>
      </c>
      <c r="H56" s="212"/>
      <c r="J56" s="210"/>
      <c r="K56" s="282"/>
      <c r="L56" s="282"/>
      <c r="M56" s="363"/>
      <c r="N56" s="363"/>
      <c r="O56" s="138">
        <v>0.0</v>
      </c>
      <c r="P56" s="138">
        <v>1.0</v>
      </c>
      <c r="Q56" s="138">
        <v>1.0</v>
      </c>
      <c r="R56" s="145" t="b">
        <v>0</v>
      </c>
      <c r="S56" s="145" t="b">
        <v>0</v>
      </c>
      <c r="T56" s="145" t="b">
        <v>1</v>
      </c>
      <c r="U56" s="146"/>
      <c r="V56" s="146"/>
    </row>
    <row r="57" ht="17.25" customHeight="1" outlineLevel="1">
      <c r="A57" s="146"/>
      <c r="B57" s="663" t="s">
        <v>3125</v>
      </c>
      <c r="C57" s="244" t="s">
        <v>3126</v>
      </c>
      <c r="D57" s="156"/>
      <c r="E57" s="239" t="s">
        <v>386</v>
      </c>
      <c r="F57" s="138">
        <v>18.0</v>
      </c>
      <c r="G57" s="139" t="s">
        <v>75</v>
      </c>
      <c r="H57" s="106"/>
      <c r="I57" s="168"/>
      <c r="J57" s="107"/>
      <c r="K57" s="282"/>
      <c r="L57" s="282"/>
      <c r="M57" s="363"/>
      <c r="N57" s="363"/>
      <c r="O57" s="138">
        <v>0.0</v>
      </c>
      <c r="P57" s="138">
        <v>1.0</v>
      </c>
      <c r="Q57" s="138">
        <v>1.0</v>
      </c>
      <c r="R57" s="145" t="b">
        <v>0</v>
      </c>
      <c r="S57" s="145" t="b">
        <v>0</v>
      </c>
      <c r="T57" s="145" t="b">
        <v>1</v>
      </c>
      <c r="U57" s="156"/>
      <c r="V57" s="156"/>
    </row>
    <row r="58" outlineLevel="1">
      <c r="A58" s="230" t="s">
        <v>3127</v>
      </c>
      <c r="B58" s="109"/>
      <c r="C58" s="231" t="s">
        <v>48</v>
      </c>
      <c r="D58" s="231" t="s">
        <v>49</v>
      </c>
      <c r="E58" s="232" t="s">
        <v>50</v>
      </c>
      <c r="F58" s="233" t="s">
        <v>51</v>
      </c>
      <c r="G58" s="232" t="s">
        <v>52</v>
      </c>
      <c r="H58" s="382" t="str">
        <f>'テンプレート'!H75</f>
        <v>備考</v>
      </c>
      <c r="I58" s="110"/>
      <c r="J58" s="109"/>
      <c r="K58" s="235" t="str">
        <f>'テンプレート'!K75</f>
        <v>ベクトル</v>
      </c>
      <c r="L58" s="235" t="str">
        <f>'テンプレート'!L75</f>
        <v>KBG (R.E.)</v>
      </c>
      <c r="M58" s="235" t="str">
        <f>'テンプレート'!M75</f>
        <v>BKB (R.A.)</v>
      </c>
      <c r="N58" s="235" t="str">
        <f>'テンプレート'!N75</f>
        <v>FKB (R.F.)</v>
      </c>
      <c r="O58" s="236" t="str">
        <f>'テンプレート'!O75</f>
        <v>盾削り値</v>
      </c>
      <c r="P58" s="235" t="str">
        <f>'テンプレート'!P75</f>
        <v>ﾋｯﾄｽﾄｯﾌﾟ</v>
      </c>
      <c r="Q58" s="236" t="str">
        <f>'テンプレート'!Q75</f>
        <v>ずらし</v>
      </c>
      <c r="R58" s="235" t="str">
        <f>'テンプレート'!R75</f>
        <v>相殺</v>
      </c>
      <c r="S58" s="236" t="str">
        <f>'テンプレート'!S75</f>
        <v>相殺ﾓｰｼｮﾝ</v>
      </c>
      <c r="T58" s="236" t="str">
        <f>'テンプレート'!T75</f>
        <v>飛び道具</v>
      </c>
      <c r="U58" s="236" t="str">
        <f>'テンプレート'!U75</f>
        <v>慣性反転</v>
      </c>
      <c r="V58" s="236" t="str">
        <f>'テンプレート'!V75</f>
        <v>向き反転</v>
      </c>
    </row>
    <row r="59" outlineLevel="1">
      <c r="A59" s="237" t="s">
        <v>184</v>
      </c>
      <c r="B59" s="243" t="s">
        <v>3128</v>
      </c>
      <c r="C59" s="239" t="s">
        <v>3129</v>
      </c>
      <c r="D59" s="367" t="s">
        <v>763</v>
      </c>
      <c r="E59" s="239" t="s">
        <v>1024</v>
      </c>
      <c r="F59" s="138">
        <v>1.7999999999999998</v>
      </c>
      <c r="G59" s="139" t="s">
        <v>60</v>
      </c>
      <c r="H59" s="283" t="s">
        <v>3130</v>
      </c>
      <c r="I59" s="164"/>
      <c r="J59" s="104"/>
      <c r="K59" s="282"/>
      <c r="L59" s="282"/>
      <c r="M59" s="363"/>
      <c r="N59" s="363"/>
      <c r="O59" s="138">
        <v>0.0</v>
      </c>
      <c r="P59" s="138">
        <v>1.0</v>
      </c>
      <c r="Q59" s="138">
        <v>1.0</v>
      </c>
      <c r="R59" s="145" t="b">
        <v>1</v>
      </c>
      <c r="S59" s="145" t="b">
        <v>0</v>
      </c>
      <c r="T59" s="145"/>
      <c r="U59" s="166" t="s">
        <v>186</v>
      </c>
      <c r="V59" s="166" t="b">
        <v>1</v>
      </c>
    </row>
    <row r="60" outlineLevel="1">
      <c r="A60" s="146"/>
      <c r="B60" s="243" t="s">
        <v>3131</v>
      </c>
      <c r="C60" s="239" t="s">
        <v>393</v>
      </c>
      <c r="D60" s="156"/>
      <c r="E60" s="239" t="s">
        <v>204</v>
      </c>
      <c r="F60" s="138">
        <v>3.5999999999999996</v>
      </c>
      <c r="G60" s="139" t="s">
        <v>147</v>
      </c>
      <c r="H60" s="212"/>
      <c r="J60" s="210"/>
      <c r="K60" s="138"/>
      <c r="L60" s="138"/>
      <c r="M60" s="145"/>
      <c r="N60" s="145"/>
      <c r="O60" s="138"/>
      <c r="P60" s="138"/>
      <c r="Q60" s="138"/>
      <c r="R60" s="145" t="b">
        <v>0</v>
      </c>
      <c r="S60" s="145" t="b">
        <v>0</v>
      </c>
      <c r="T60" s="145" t="b">
        <v>0</v>
      </c>
      <c r="U60" s="146"/>
      <c r="V60" s="146"/>
    </row>
    <row r="61" outlineLevel="1">
      <c r="A61" s="146"/>
      <c r="B61" s="243" t="s">
        <v>3132</v>
      </c>
      <c r="C61" s="239" t="s">
        <v>3133</v>
      </c>
      <c r="D61" s="367" t="s">
        <v>3134</v>
      </c>
      <c r="E61" s="239" t="s">
        <v>1024</v>
      </c>
      <c r="F61" s="138">
        <v>1.7999999999999998</v>
      </c>
      <c r="G61" s="139" t="s">
        <v>60</v>
      </c>
      <c r="H61" s="212"/>
      <c r="J61" s="210"/>
      <c r="K61" s="138"/>
      <c r="L61" s="138"/>
      <c r="M61" s="145"/>
      <c r="N61" s="145"/>
      <c r="O61" s="138"/>
      <c r="P61" s="138"/>
      <c r="Q61" s="138"/>
      <c r="R61" s="145" t="b">
        <v>0</v>
      </c>
      <c r="S61" s="145" t="b">
        <v>0</v>
      </c>
      <c r="T61" s="145" t="b">
        <v>0</v>
      </c>
      <c r="U61" s="146"/>
      <c r="V61" s="146"/>
    </row>
    <row r="62" outlineLevel="1">
      <c r="A62" s="146"/>
      <c r="B62" s="243" t="s">
        <v>3131</v>
      </c>
      <c r="C62" s="239" t="s">
        <v>1577</v>
      </c>
      <c r="D62" s="156"/>
      <c r="E62" s="239" t="s">
        <v>204</v>
      </c>
      <c r="F62" s="138">
        <v>3.5999999999999996</v>
      </c>
      <c r="G62" s="139" t="s">
        <v>147</v>
      </c>
      <c r="H62" s="106"/>
      <c r="I62" s="168"/>
      <c r="J62" s="107"/>
      <c r="K62" s="138"/>
      <c r="L62" s="138"/>
      <c r="M62" s="145"/>
      <c r="N62" s="145"/>
      <c r="O62" s="138">
        <v>0.0</v>
      </c>
      <c r="P62" s="138">
        <v>1.0</v>
      </c>
      <c r="Q62" s="138">
        <v>1.0</v>
      </c>
      <c r="R62" s="145" t="b">
        <v>1</v>
      </c>
      <c r="S62" s="145" t="b">
        <v>0</v>
      </c>
      <c r="T62" s="145"/>
      <c r="U62" s="156"/>
      <c r="V62" s="156"/>
    </row>
    <row r="63" outlineLevel="1">
      <c r="A63" s="230" t="s">
        <v>3135</v>
      </c>
      <c r="B63" s="109"/>
      <c r="C63" s="231" t="s">
        <v>48</v>
      </c>
      <c r="D63" s="231" t="s">
        <v>49</v>
      </c>
      <c r="E63" s="232" t="s">
        <v>50</v>
      </c>
      <c r="F63" s="233" t="s">
        <v>51</v>
      </c>
      <c r="G63" s="232" t="s">
        <v>52</v>
      </c>
      <c r="H63" s="382" t="str">
        <f>'テンプレート'!H80</f>
        <v>備考</v>
      </c>
      <c r="I63" s="110"/>
      <c r="J63" s="109"/>
      <c r="K63" s="235" t="str">
        <f>'テンプレート'!K80</f>
        <v>ベクトル</v>
      </c>
      <c r="L63" s="235" t="str">
        <f>'テンプレート'!L80</f>
        <v>KBG (R.E.)</v>
      </c>
      <c r="M63" s="235" t="str">
        <f>'テンプレート'!M80</f>
        <v>BKB (R.A.)</v>
      </c>
      <c r="N63" s="235" t="str">
        <f>'テンプレート'!N80</f>
        <v>FKB (R.F.)</v>
      </c>
      <c r="O63" s="236" t="str">
        <f>'テンプレート'!O80</f>
        <v>盾削り値</v>
      </c>
      <c r="P63" s="235" t="str">
        <f>'テンプレート'!P80</f>
        <v>ﾋｯﾄｽﾄｯﾌﾟ</v>
      </c>
      <c r="Q63" s="236" t="str">
        <f>'テンプレート'!Q80</f>
        <v>ずらし</v>
      </c>
      <c r="R63" s="235" t="str">
        <f>'テンプレート'!R80</f>
        <v>相殺</v>
      </c>
      <c r="S63" s="236" t="str">
        <f>'テンプレート'!S80</f>
        <v>相殺ﾓｰｼｮﾝ</v>
      </c>
      <c r="T63" s="236" t="str">
        <f>'テンプレート'!T80</f>
        <v>飛び道具</v>
      </c>
      <c r="U63" s="236" t="str">
        <f>'テンプレート'!U80</f>
        <v>慣性反転</v>
      </c>
      <c r="V63" s="236" t="str">
        <f>'テンプレート'!V80</f>
        <v>向き反転</v>
      </c>
    </row>
    <row r="64" outlineLevel="1">
      <c r="A64" s="1202" t="s">
        <v>184</v>
      </c>
      <c r="B64" s="870"/>
      <c r="C64" s="553"/>
      <c r="D64" s="239" t="s">
        <v>268</v>
      </c>
      <c r="E64" s="553"/>
      <c r="F64" s="553"/>
      <c r="G64" s="553"/>
      <c r="H64" s="151" t="s">
        <v>3136</v>
      </c>
      <c r="I64" s="110"/>
      <c r="J64" s="109"/>
      <c r="K64" s="261"/>
      <c r="L64" s="261"/>
      <c r="M64" s="261"/>
      <c r="N64" s="261"/>
      <c r="O64" s="261"/>
      <c r="P64" s="261"/>
      <c r="Q64" s="261"/>
      <c r="R64" s="261"/>
      <c r="S64" s="261"/>
      <c r="T64" s="261"/>
      <c r="U64" s="145" t="s">
        <v>186</v>
      </c>
      <c r="V64" s="145" t="b">
        <v>1</v>
      </c>
    </row>
    <row r="65" outlineLevel="1">
      <c r="A65" s="230" t="s">
        <v>3137</v>
      </c>
      <c r="B65" s="109"/>
      <c r="C65" s="231" t="s">
        <v>48</v>
      </c>
      <c r="D65" s="231" t="s">
        <v>49</v>
      </c>
      <c r="E65" s="232" t="s">
        <v>50</v>
      </c>
      <c r="F65" s="233" t="s">
        <v>51</v>
      </c>
      <c r="G65" s="232" t="s">
        <v>52</v>
      </c>
      <c r="H65" s="382" t="str">
        <f>'テンプレート'!H85</f>
        <v>備考</v>
      </c>
      <c r="I65" s="110"/>
      <c r="J65" s="109"/>
      <c r="K65" s="235" t="str">
        <f>'テンプレート'!K85</f>
        <v>ベクトル</v>
      </c>
      <c r="L65" s="235" t="str">
        <f>'テンプレート'!L85</f>
        <v>KBG (R.E.)</v>
      </c>
      <c r="M65" s="235" t="str">
        <f>'テンプレート'!M85</f>
        <v>BKB (R.A.)</v>
      </c>
      <c r="N65" s="235" t="str">
        <f>'テンプレート'!N85</f>
        <v>FKB (R.F.)</v>
      </c>
      <c r="O65" s="236" t="str">
        <f>'テンプレート'!O85</f>
        <v>盾削り値</v>
      </c>
      <c r="P65" s="235" t="str">
        <f>'テンプレート'!P85</f>
        <v>ﾋｯﾄｽﾄｯﾌﾟ</v>
      </c>
      <c r="Q65" s="236" t="str">
        <f>'テンプレート'!Q85</f>
        <v>ずらし</v>
      </c>
      <c r="R65" s="235" t="str">
        <f>'テンプレート'!R85</f>
        <v>相殺</v>
      </c>
      <c r="S65" s="236" t="str">
        <f>'テンプレート'!S85</f>
        <v>相殺ﾓｰｼｮﾝ</v>
      </c>
      <c r="T65" s="236" t="str">
        <f>'テンプレート'!T85</f>
        <v>飛び道具</v>
      </c>
      <c r="U65" s="236" t="str">
        <f>'テンプレート'!U85</f>
        <v>慣性反転</v>
      </c>
      <c r="V65" s="236" t="str">
        <f>'テンプレート'!V85</f>
        <v>向き反転</v>
      </c>
    </row>
    <row r="66" outlineLevel="1">
      <c r="A66" s="237" t="s">
        <v>184</v>
      </c>
      <c r="B66" s="624" t="s">
        <v>3138</v>
      </c>
      <c r="C66" s="239" t="s">
        <v>3139</v>
      </c>
      <c r="D66" s="239" t="s">
        <v>221</v>
      </c>
      <c r="E66" s="553"/>
      <c r="F66" s="553"/>
      <c r="G66" s="553"/>
      <c r="H66" s="175" t="s">
        <v>3140</v>
      </c>
      <c r="I66" s="164"/>
      <c r="J66" s="104"/>
      <c r="K66" s="138"/>
      <c r="L66" s="138"/>
      <c r="M66" s="145"/>
      <c r="N66" s="145"/>
      <c r="O66" s="138">
        <v>0.0</v>
      </c>
      <c r="P66" s="138">
        <v>1.0</v>
      </c>
      <c r="Q66" s="138">
        <v>1.0</v>
      </c>
      <c r="R66" s="145" t="b">
        <v>1</v>
      </c>
      <c r="S66" s="145" t="b">
        <v>0</v>
      </c>
      <c r="T66" s="145" t="b">
        <v>1</v>
      </c>
      <c r="U66" s="166" t="s">
        <v>186</v>
      </c>
      <c r="V66" s="166" t="b">
        <v>1</v>
      </c>
    </row>
    <row r="67" outlineLevel="1">
      <c r="A67" s="146"/>
      <c r="B67" s="624" t="s">
        <v>3141</v>
      </c>
      <c r="C67" s="261"/>
      <c r="D67" s="239" t="s">
        <v>224</v>
      </c>
      <c r="E67" s="553"/>
      <c r="F67" s="553"/>
      <c r="G67" s="553"/>
      <c r="H67" s="212"/>
      <c r="J67" s="210"/>
      <c r="K67" s="261"/>
      <c r="L67" s="261"/>
      <c r="M67" s="261"/>
      <c r="N67" s="261"/>
      <c r="O67" s="261"/>
      <c r="P67" s="261"/>
      <c r="Q67" s="261"/>
      <c r="R67" s="261"/>
      <c r="S67" s="261"/>
      <c r="T67" s="261"/>
      <c r="U67" s="146"/>
      <c r="V67" s="146"/>
    </row>
    <row r="68" outlineLevel="1">
      <c r="A68" s="156"/>
      <c r="B68" s="624" t="s">
        <v>1482</v>
      </c>
      <c r="C68" s="261"/>
      <c r="D68" s="239" t="s">
        <v>424</v>
      </c>
      <c r="E68" s="553"/>
      <c r="F68" s="553"/>
      <c r="G68" s="553"/>
      <c r="H68" s="212"/>
      <c r="J68" s="210"/>
      <c r="K68" s="261"/>
      <c r="L68" s="261"/>
      <c r="M68" s="261"/>
      <c r="N68" s="261"/>
      <c r="O68" s="261"/>
      <c r="P68" s="261"/>
      <c r="Q68" s="261"/>
      <c r="R68" s="261"/>
      <c r="S68" s="261"/>
      <c r="T68" s="261"/>
      <c r="U68" s="146"/>
      <c r="V68" s="146"/>
    </row>
    <row r="69" outlineLevel="1">
      <c r="A69" s="237" t="s">
        <v>483</v>
      </c>
      <c r="B69" s="624" t="s">
        <v>3141</v>
      </c>
      <c r="C69" s="261"/>
      <c r="D69" s="261"/>
      <c r="E69" s="239" t="s">
        <v>3142</v>
      </c>
      <c r="F69" s="239" t="s">
        <v>3143</v>
      </c>
      <c r="G69" s="239" t="s">
        <v>1483</v>
      </c>
      <c r="H69" s="212"/>
      <c r="J69" s="210"/>
      <c r="K69" s="2010"/>
      <c r="L69" s="2010"/>
      <c r="M69" s="2010"/>
      <c r="N69" s="2010"/>
      <c r="O69" s="2010"/>
      <c r="P69" s="2010"/>
      <c r="Q69" s="2010"/>
      <c r="R69" s="2010"/>
      <c r="S69" s="2010"/>
      <c r="T69" s="2010"/>
      <c r="U69" s="146"/>
      <c r="V69" s="146"/>
    </row>
    <row r="70" outlineLevel="1">
      <c r="A70" s="146"/>
      <c r="B70" s="624" t="s">
        <v>3144</v>
      </c>
      <c r="C70" s="239" t="s">
        <v>471</v>
      </c>
      <c r="D70" s="261"/>
      <c r="E70" s="239" t="s">
        <v>150</v>
      </c>
      <c r="F70" s="239" t="s">
        <v>86</v>
      </c>
      <c r="G70" s="239" t="s">
        <v>60</v>
      </c>
      <c r="H70" s="212"/>
      <c r="J70" s="210"/>
      <c r="K70" s="2010"/>
      <c r="L70" s="2010"/>
      <c r="M70" s="2010"/>
      <c r="N70" s="2010"/>
      <c r="O70" s="2010"/>
      <c r="P70" s="2010"/>
      <c r="Q70" s="2010"/>
      <c r="R70" s="2010"/>
      <c r="S70" s="2010"/>
      <c r="T70" s="2010"/>
      <c r="U70" s="146"/>
      <c r="V70" s="146"/>
    </row>
    <row r="71" outlineLevel="1">
      <c r="A71" s="156"/>
      <c r="B71" s="624" t="s">
        <v>3145</v>
      </c>
      <c r="C71" s="239" t="s">
        <v>3146</v>
      </c>
      <c r="D71" s="261"/>
      <c r="E71" s="239" t="s">
        <v>176</v>
      </c>
      <c r="F71" s="239" t="s">
        <v>1823</v>
      </c>
      <c r="G71" s="239" t="s">
        <v>170</v>
      </c>
      <c r="H71" s="106"/>
      <c r="I71" s="168"/>
      <c r="J71" s="107"/>
      <c r="K71" s="2010"/>
      <c r="L71" s="2010"/>
      <c r="M71" s="2010"/>
      <c r="N71" s="2010"/>
      <c r="O71" s="2010"/>
      <c r="P71" s="2010"/>
      <c r="Q71" s="2010"/>
      <c r="R71" s="2010"/>
      <c r="S71" s="2010"/>
      <c r="T71" s="2010"/>
      <c r="U71" s="156"/>
      <c r="V71" s="156"/>
    </row>
    <row r="72">
      <c r="A72" s="223"/>
      <c r="B72" s="224"/>
      <c r="C72" s="225"/>
      <c r="D72" s="225"/>
      <c r="E72" s="226"/>
      <c r="F72" s="226"/>
      <c r="G72" s="226"/>
      <c r="H72" s="227"/>
      <c r="I72" s="227"/>
      <c r="J72" s="228"/>
      <c r="K72" s="228"/>
      <c r="L72" s="228"/>
      <c r="M72" s="228"/>
      <c r="N72" s="228"/>
      <c r="O72" s="228"/>
      <c r="P72" s="228"/>
      <c r="Q72" s="118"/>
      <c r="R72" s="118"/>
      <c r="S72" s="118"/>
      <c r="T72" s="118"/>
      <c r="U72" s="118"/>
      <c r="V72" s="118"/>
    </row>
    <row r="73">
      <c r="A73" s="264" t="s">
        <v>211</v>
      </c>
      <c r="B73" s="104"/>
      <c r="C73" s="227"/>
      <c r="D73" s="227"/>
      <c r="E73" s="228"/>
      <c r="F73" s="265"/>
      <c r="G73" s="265"/>
      <c r="H73" s="228"/>
      <c r="I73" s="228"/>
      <c r="J73" s="228"/>
      <c r="K73" s="228"/>
      <c r="L73" s="228"/>
      <c r="M73" s="228"/>
      <c r="N73" s="118"/>
      <c r="O73" s="118"/>
      <c r="P73" s="118"/>
      <c r="Q73" s="228"/>
      <c r="R73" s="228"/>
      <c r="S73" s="228"/>
      <c r="T73" s="228"/>
      <c r="U73" s="228"/>
      <c r="V73" s="228"/>
    </row>
    <row r="74" outlineLevel="1">
      <c r="A74" s="106"/>
      <c r="B74" s="107"/>
      <c r="C74" s="266" t="s">
        <v>48</v>
      </c>
      <c r="D74" s="266" t="s">
        <v>49</v>
      </c>
      <c r="E74" s="266" t="s">
        <v>50</v>
      </c>
      <c r="F74" s="267" t="s">
        <v>51</v>
      </c>
      <c r="G74" s="227"/>
      <c r="H74" s="227"/>
      <c r="I74" s="227"/>
      <c r="J74" s="228"/>
      <c r="K74" s="228"/>
      <c r="L74" s="228"/>
      <c r="M74" s="228"/>
      <c r="N74" s="228"/>
      <c r="O74" s="228"/>
      <c r="P74" s="228"/>
      <c r="Q74" s="228"/>
      <c r="R74" s="228"/>
      <c r="S74" s="228"/>
      <c r="T74" s="228"/>
      <c r="U74" s="228"/>
      <c r="V74" s="228"/>
    </row>
    <row r="75" outlineLevel="1">
      <c r="A75" s="268" t="s">
        <v>212</v>
      </c>
      <c r="B75" s="269" t="s">
        <v>212</v>
      </c>
      <c r="C75" s="239" t="s">
        <v>213</v>
      </c>
      <c r="D75" s="239" t="s">
        <v>150</v>
      </c>
      <c r="E75" s="239" t="s">
        <v>214</v>
      </c>
      <c r="F75" s="138">
        <v>1.56</v>
      </c>
      <c r="G75" s="227"/>
      <c r="H75" s="227"/>
      <c r="I75" s="227"/>
      <c r="J75" s="228"/>
      <c r="K75" s="228"/>
      <c r="L75" s="228"/>
      <c r="M75" s="228"/>
      <c r="N75" s="228"/>
      <c r="O75" s="228"/>
      <c r="P75" s="228"/>
      <c r="Q75" s="228"/>
      <c r="R75" s="228"/>
      <c r="S75" s="228"/>
      <c r="T75" s="228"/>
      <c r="U75" s="228"/>
      <c r="V75" s="228"/>
    </row>
    <row r="76" outlineLevel="1">
      <c r="A76" s="270" t="s">
        <v>215</v>
      </c>
      <c r="B76" s="269" t="s">
        <v>216</v>
      </c>
      <c r="C76" s="239" t="s">
        <v>217</v>
      </c>
      <c r="D76" s="239" t="s">
        <v>79</v>
      </c>
      <c r="E76" s="271"/>
      <c r="F76" s="272"/>
      <c r="G76" s="272"/>
      <c r="H76" s="227"/>
      <c r="I76" s="227"/>
      <c r="J76" s="228"/>
      <c r="K76" s="228"/>
      <c r="L76" s="228"/>
      <c r="M76" s="228"/>
      <c r="N76" s="228"/>
      <c r="O76" s="228"/>
      <c r="P76" s="228"/>
      <c r="Q76" s="228"/>
      <c r="R76" s="228"/>
      <c r="S76" s="228"/>
      <c r="T76" s="228"/>
      <c r="U76" s="228"/>
      <c r="V76" s="228"/>
    </row>
    <row r="77" outlineLevel="1">
      <c r="A77" s="212"/>
      <c r="B77" s="269" t="s">
        <v>219</v>
      </c>
      <c r="C77" s="239" t="s">
        <v>220</v>
      </c>
      <c r="D77" s="239" t="s">
        <v>146</v>
      </c>
      <c r="E77" s="271"/>
      <c r="F77" s="272"/>
      <c r="G77" s="272"/>
      <c r="H77" s="227"/>
      <c r="I77" s="227"/>
      <c r="J77" s="228"/>
      <c r="K77" s="228"/>
      <c r="L77" s="228"/>
      <c r="M77" s="228"/>
      <c r="N77" s="228"/>
      <c r="O77" s="228"/>
      <c r="P77" s="228"/>
      <c r="Q77" s="228"/>
      <c r="R77" s="228"/>
      <c r="S77" s="228"/>
      <c r="T77" s="228"/>
      <c r="U77" s="228"/>
      <c r="V77" s="228"/>
    </row>
    <row r="78" outlineLevel="1">
      <c r="A78" s="106"/>
      <c r="B78" s="269" t="s">
        <v>222</v>
      </c>
      <c r="C78" s="239" t="s">
        <v>223</v>
      </c>
      <c r="D78" s="239" t="s">
        <v>628</v>
      </c>
      <c r="E78" s="227"/>
      <c r="F78" s="272"/>
      <c r="G78" s="272"/>
      <c r="H78" s="227"/>
      <c r="I78" s="227"/>
      <c r="J78" s="228"/>
      <c r="K78" s="228"/>
      <c r="L78" s="228"/>
      <c r="M78" s="228"/>
      <c r="N78" s="228"/>
      <c r="O78" s="228"/>
      <c r="P78" s="228"/>
      <c r="Q78" s="228"/>
      <c r="R78" s="228"/>
      <c r="S78" s="228"/>
      <c r="T78" s="228"/>
      <c r="U78" s="228"/>
      <c r="V78" s="228"/>
    </row>
    <row r="79" outlineLevel="1">
      <c r="A79" s="273" t="s">
        <v>225</v>
      </c>
      <c r="B79" s="109"/>
      <c r="C79" s="266" t="s">
        <v>48</v>
      </c>
      <c r="D79" s="266" t="s">
        <v>49</v>
      </c>
      <c r="E79" s="266" t="s">
        <v>50</v>
      </c>
      <c r="F79" s="267" t="s">
        <v>51</v>
      </c>
      <c r="G79" s="1168" t="s">
        <v>53</v>
      </c>
      <c r="H79" s="110"/>
      <c r="I79" s="110"/>
      <c r="J79" s="109"/>
      <c r="K79" s="275" t="str">
        <f>'テンプレート'!K97</f>
        <v>ベクトル</v>
      </c>
      <c r="L79" s="275" t="str">
        <f>'テンプレート'!L97</f>
        <v>KBG (R.E.)</v>
      </c>
      <c r="M79" s="275" t="str">
        <f>'テンプレート'!M97</f>
        <v>BKB (R.A.)</v>
      </c>
      <c r="N79" s="275" t="str">
        <f>'テンプレート'!N97</f>
        <v>FKB (R.F.)</v>
      </c>
      <c r="O79" s="276" t="str">
        <f>'テンプレート'!O97</f>
        <v>盾削り値</v>
      </c>
      <c r="P79" s="275" t="str">
        <f>'テンプレート'!P97</f>
        <v>ﾋｯﾄｽﾄｯﾌﾟ</v>
      </c>
      <c r="Q79" s="276" t="str">
        <f>'テンプレート'!Q97</f>
        <v>ずらし</v>
      </c>
      <c r="R79" s="277"/>
      <c r="S79" s="277"/>
      <c r="T79" s="277"/>
      <c r="U79" s="277"/>
      <c r="V79" s="277"/>
    </row>
    <row r="80" outlineLevel="1">
      <c r="A80" s="278" t="s">
        <v>226</v>
      </c>
      <c r="B80" s="269" t="s">
        <v>227</v>
      </c>
      <c r="C80" s="261"/>
      <c r="D80" s="279">
        <v>23.0</v>
      </c>
      <c r="E80" s="261"/>
      <c r="F80" s="261"/>
      <c r="G80" s="1170"/>
      <c r="H80" s="164"/>
      <c r="I80" s="164"/>
      <c r="J80" s="104"/>
      <c r="K80" s="261"/>
      <c r="L80" s="261"/>
      <c r="M80" s="261"/>
      <c r="N80" s="261"/>
      <c r="O80" s="261"/>
      <c r="P80" s="261"/>
      <c r="Q80" s="261"/>
      <c r="R80" s="277"/>
      <c r="S80" s="228"/>
      <c r="T80" s="228"/>
      <c r="U80" s="228"/>
      <c r="V80" s="228"/>
    </row>
    <row r="81" outlineLevel="1">
      <c r="A81" s="156"/>
      <c r="B81" s="269" t="s">
        <v>225</v>
      </c>
      <c r="C81" s="239" t="s">
        <v>232</v>
      </c>
      <c r="D81" s="156"/>
      <c r="E81" s="239" t="s">
        <v>80</v>
      </c>
      <c r="F81" s="138">
        <v>9.6</v>
      </c>
      <c r="G81" s="106"/>
      <c r="H81" s="168"/>
      <c r="I81" s="168"/>
      <c r="J81" s="107"/>
      <c r="K81" s="282"/>
      <c r="L81" s="282"/>
      <c r="M81" s="363"/>
      <c r="N81" s="363"/>
      <c r="O81" s="261"/>
      <c r="P81" s="261"/>
      <c r="Q81" s="261"/>
      <c r="R81" s="277"/>
      <c r="S81" s="228"/>
      <c r="T81" s="228"/>
      <c r="U81" s="228"/>
      <c r="V81" s="228"/>
    </row>
    <row r="82" outlineLevel="1">
      <c r="A82" s="278" t="s">
        <v>229</v>
      </c>
      <c r="B82" s="269" t="s">
        <v>227</v>
      </c>
      <c r="C82" s="261"/>
      <c r="D82" s="279">
        <v>26.0</v>
      </c>
      <c r="E82" s="261"/>
      <c r="F82" s="261"/>
      <c r="G82" s="1170"/>
      <c r="H82" s="164"/>
      <c r="I82" s="164"/>
      <c r="J82" s="104"/>
      <c r="K82" s="261"/>
      <c r="L82" s="261"/>
      <c r="M82" s="261"/>
      <c r="N82" s="261"/>
      <c r="O82" s="261"/>
      <c r="P82" s="261"/>
      <c r="Q82" s="261"/>
      <c r="R82" s="277"/>
      <c r="S82" s="228"/>
      <c r="T82" s="228"/>
      <c r="U82" s="228"/>
      <c r="V82" s="228"/>
    </row>
    <row r="83" outlineLevel="1">
      <c r="A83" s="156"/>
      <c r="B83" s="269" t="s">
        <v>225</v>
      </c>
      <c r="C83" s="113">
        <v>12.0</v>
      </c>
      <c r="D83" s="156"/>
      <c r="E83" s="239" t="s">
        <v>128</v>
      </c>
      <c r="F83" s="138">
        <v>12.0</v>
      </c>
      <c r="G83" s="106"/>
      <c r="H83" s="168"/>
      <c r="I83" s="168"/>
      <c r="J83" s="107"/>
      <c r="K83" s="282"/>
      <c r="L83" s="282"/>
      <c r="M83" s="363"/>
      <c r="N83" s="363"/>
      <c r="O83" s="261"/>
      <c r="P83" s="261"/>
      <c r="Q83" s="261"/>
      <c r="R83" s="277"/>
      <c r="S83" s="228"/>
      <c r="T83" s="228"/>
      <c r="U83" s="228"/>
      <c r="V83" s="228"/>
    </row>
    <row r="84" outlineLevel="1">
      <c r="A84" s="278" t="s">
        <v>233</v>
      </c>
      <c r="B84" s="269" t="s">
        <v>227</v>
      </c>
      <c r="C84" s="261"/>
      <c r="D84" s="279">
        <v>81.0</v>
      </c>
      <c r="E84" s="261"/>
      <c r="F84" s="261"/>
      <c r="G84" s="1170"/>
      <c r="H84" s="164"/>
      <c r="I84" s="164"/>
      <c r="J84" s="104"/>
      <c r="K84" s="261"/>
      <c r="L84" s="261"/>
      <c r="M84" s="261"/>
      <c r="N84" s="261"/>
      <c r="O84" s="261"/>
      <c r="P84" s="261"/>
      <c r="Q84" s="261"/>
      <c r="R84" s="277"/>
      <c r="S84" s="228"/>
      <c r="T84" s="228"/>
      <c r="U84" s="228"/>
      <c r="V84" s="228"/>
    </row>
    <row r="85" outlineLevel="1">
      <c r="A85" s="156"/>
      <c r="B85" s="269" t="s">
        <v>225</v>
      </c>
      <c r="C85" s="239" t="s">
        <v>462</v>
      </c>
      <c r="D85" s="156"/>
      <c r="E85" s="239" t="s">
        <v>129</v>
      </c>
      <c r="F85" s="138">
        <v>14.399999999999999</v>
      </c>
      <c r="G85" s="106"/>
      <c r="H85" s="168"/>
      <c r="I85" s="168"/>
      <c r="J85" s="107"/>
      <c r="K85" s="282"/>
      <c r="L85" s="282"/>
      <c r="M85" s="363"/>
      <c r="N85" s="363"/>
      <c r="O85" s="261"/>
      <c r="P85" s="261"/>
      <c r="Q85" s="261"/>
      <c r="R85" s="277"/>
      <c r="S85" s="117"/>
      <c r="T85" s="117"/>
      <c r="U85" s="117"/>
      <c r="V85" s="117"/>
    </row>
    <row r="86" outlineLevel="1">
      <c r="A86" s="278" t="s">
        <v>234</v>
      </c>
      <c r="B86" s="269" t="s">
        <v>227</v>
      </c>
      <c r="C86" s="553"/>
      <c r="D86" s="367" t="s">
        <v>2269</v>
      </c>
      <c r="E86" s="261"/>
      <c r="F86" s="261"/>
      <c r="G86" s="283" t="s">
        <v>3147</v>
      </c>
      <c r="H86" s="164"/>
      <c r="I86" s="164"/>
      <c r="J86" s="104"/>
      <c r="K86" s="261"/>
      <c r="L86" s="261"/>
      <c r="M86" s="261"/>
      <c r="N86" s="261"/>
      <c r="O86" s="261"/>
      <c r="P86" s="261"/>
      <c r="Q86" s="261"/>
      <c r="R86" s="277"/>
      <c r="S86" s="117"/>
      <c r="T86" s="117"/>
      <c r="U86" s="117"/>
      <c r="V86" s="117"/>
    </row>
    <row r="87" outlineLevel="1">
      <c r="A87" s="156"/>
      <c r="B87" s="269" t="s">
        <v>225</v>
      </c>
      <c r="C87" s="113">
        <v>50.0</v>
      </c>
      <c r="D87" s="156"/>
      <c r="E87" s="239" t="s">
        <v>150</v>
      </c>
      <c r="F87" s="138">
        <v>6.0</v>
      </c>
      <c r="G87" s="106"/>
      <c r="H87" s="168"/>
      <c r="I87" s="168"/>
      <c r="J87" s="107"/>
      <c r="K87" s="282"/>
      <c r="L87" s="282"/>
      <c r="M87" s="363"/>
      <c r="N87" s="363"/>
      <c r="O87" s="261"/>
      <c r="P87" s="261"/>
      <c r="Q87" s="261"/>
      <c r="R87" s="277"/>
      <c r="S87" s="117"/>
      <c r="T87" s="117"/>
      <c r="U87" s="117"/>
      <c r="V87" s="117"/>
    </row>
    <row r="88">
      <c r="A88" s="223"/>
      <c r="B88" s="224"/>
      <c r="C88" s="225"/>
      <c r="D88" s="225"/>
      <c r="E88" s="227"/>
      <c r="F88" s="177"/>
      <c r="G88" s="177"/>
      <c r="H88" s="227"/>
      <c r="I88" s="227"/>
      <c r="J88" s="228"/>
      <c r="K88" s="228"/>
      <c r="L88" s="111"/>
      <c r="M88" s="111"/>
      <c r="N88" s="111"/>
      <c r="O88" s="117"/>
      <c r="P88" s="117"/>
      <c r="Q88" s="111"/>
      <c r="R88" s="111"/>
      <c r="S88" s="111"/>
      <c r="T88" s="111"/>
      <c r="U88" s="111"/>
      <c r="V88" s="111"/>
    </row>
    <row r="89">
      <c r="A89" s="284" t="s">
        <v>241</v>
      </c>
      <c r="B89" s="104"/>
      <c r="C89" s="265"/>
      <c r="D89" s="111"/>
      <c r="E89" s="111"/>
      <c r="F89" s="111"/>
      <c r="G89" s="111"/>
      <c r="H89" s="111"/>
      <c r="I89" s="111"/>
      <c r="J89" s="118"/>
      <c r="K89" s="111"/>
      <c r="L89" s="111"/>
      <c r="M89" s="111"/>
      <c r="N89" s="111"/>
      <c r="O89" s="111"/>
      <c r="P89" s="111"/>
      <c r="Q89" s="118"/>
      <c r="R89" s="111"/>
      <c r="S89" s="111"/>
      <c r="T89" s="111"/>
      <c r="U89" s="111"/>
      <c r="V89" s="111"/>
    </row>
    <row r="90" outlineLevel="1">
      <c r="A90" s="106"/>
      <c r="B90" s="107"/>
      <c r="C90" s="285" t="s">
        <v>235</v>
      </c>
      <c r="D90" s="285" t="s">
        <v>236</v>
      </c>
      <c r="E90" s="285" t="s">
        <v>49</v>
      </c>
      <c r="F90" s="285" t="s">
        <v>237</v>
      </c>
      <c r="G90" s="286"/>
      <c r="H90" s="227"/>
      <c r="I90" s="227"/>
      <c r="J90" s="228"/>
      <c r="K90" s="228"/>
      <c r="L90" s="111"/>
      <c r="M90" s="111"/>
      <c r="N90" s="111"/>
      <c r="O90" s="111"/>
      <c r="P90" s="111"/>
      <c r="Q90" s="111"/>
      <c r="R90" s="111"/>
      <c r="S90" s="111"/>
      <c r="T90" s="111"/>
      <c r="U90" s="111"/>
      <c r="V90" s="111"/>
    </row>
    <row r="91" outlineLevel="1">
      <c r="A91" s="287" t="s">
        <v>395</v>
      </c>
      <c r="B91" s="288" t="s">
        <v>216</v>
      </c>
      <c r="C91" s="113" t="str">
        <f t="array" ref="C91">INDEX('回避'!$C$3:$U$84, MATCH($A$1,'回避'!$A$3:$A$91,0), MATCH(C90,'回避'!$C$2:$F$2,0))</f>
        <v>3-17</v>
      </c>
      <c r="D91" s="113" t="str">
        <f t="array" ref="D91">INDEX('回避'!$C$3:$U$84, MATCH($A$1,'回避'!$A$3:$A$91,0), MATCH(D90,'回避'!$C$2:$F$2,0))</f>
        <v>6-17</v>
      </c>
      <c r="E91" s="113" t="str">
        <f t="array" ref="E91">INDEX('回避'!$C$3:$U$84, MATCH($A$1,'回避'!$A$3:$A$91,0), MATCH(E90,'回避'!$C$2:$F$2,0))</f>
        <v>25 (20)</v>
      </c>
      <c r="F91" s="113" t="str">
        <f t="array" ref="F91">INDEX('回避'!$C$3:$U$84, MATCH($A$1,'回避'!$A$3:$A$91,0), MATCH(F90,'回避'!$C$2:$F$2,0))</f>
        <v>33 (27)</v>
      </c>
      <c r="G91" s="272"/>
      <c r="H91" s="227"/>
      <c r="I91" s="227"/>
      <c r="J91" s="228"/>
      <c r="K91" s="228"/>
      <c r="L91" s="228"/>
      <c r="M91" s="111"/>
      <c r="N91" s="111"/>
      <c r="O91" s="111"/>
      <c r="P91" s="111"/>
      <c r="Q91" s="111"/>
      <c r="R91" s="111"/>
      <c r="S91" s="111"/>
      <c r="T91" s="111"/>
      <c r="U91" s="111"/>
      <c r="V91" s="111"/>
    </row>
    <row r="92" outlineLevel="1">
      <c r="A92" s="212"/>
      <c r="B92" s="288" t="s">
        <v>245</v>
      </c>
      <c r="C92" s="113" t="str">
        <f t="array" ref="C92">INDEX('回避'!$G$3:$U$84, MATCH($A$1,'回避'!$A$3:$A$91,0), MATCH(C90,'回避'!$G$2:$J$2,0))</f>
        <v>4-15</v>
      </c>
      <c r="D92" s="113" t="str">
        <f t="array" ref="D92">INDEX('回避'!$G$3:$U$84, MATCH($A$1,'回避'!$A$3:$A$91,0), MATCH(D90,'回避'!$G$2:$J$2,0))</f>
        <v>8-14</v>
      </c>
      <c r="E92" s="113" t="str">
        <f t="array" ref="E92">INDEX('回避'!$G$3:$U$84, MATCH($A$1,'回避'!$A$3:$A$91,0), MATCH(E90,'回避'!$G$2:$J$2,0))</f>
        <v>29</v>
      </c>
      <c r="F92" s="113">
        <f t="array" ref="F92">INDEX('回避'!$G$3:$U$84, MATCH($A$1,'回避'!$A$3:$A$91,0), MATCH(F90,'回避'!$G$2:$J$2,0))</f>
        <v>38</v>
      </c>
      <c r="G92" s="289"/>
      <c r="H92" s="227"/>
      <c r="I92" s="227"/>
      <c r="J92" s="228"/>
      <c r="K92" s="228"/>
      <c r="L92" s="228"/>
      <c r="M92" s="228"/>
      <c r="N92" s="228"/>
      <c r="O92" s="111"/>
      <c r="P92" s="111"/>
      <c r="Q92" s="111"/>
      <c r="R92" s="111"/>
      <c r="S92" s="111"/>
      <c r="T92" s="111"/>
      <c r="U92" s="111"/>
      <c r="V92" s="111"/>
    </row>
    <row r="93" outlineLevel="1">
      <c r="A93" s="106"/>
      <c r="B93" s="288" t="s">
        <v>246</v>
      </c>
      <c r="C93" s="113" t="str">
        <f t="array" ref="C93">INDEX('回避'!$K$3:$U$84, MATCH($A$1,'回避'!$A$3:$A$91,0), MATCH(C90,'回避'!$K$2:$N$2,0))</f>
        <v>5-16</v>
      </c>
      <c r="D93" s="113" t="str">
        <f t="array" ref="D93">INDEX('回避'!$K$3:$U$84, MATCH($A$1,'回避'!$A$3:$A$91,0), MATCH(D90,'回避'!$K$2:$N$2,0))</f>
        <v>9-14</v>
      </c>
      <c r="E93" s="113" t="str">
        <f t="array" ref="E93">INDEX('回避'!$K$3:$U$84, MATCH($A$1,'回避'!$A$3:$A$91,0), MATCH(E90,'回避'!$K$2:$N$2,0))</f>
        <v>34</v>
      </c>
      <c r="F93" s="113" t="str">
        <f t="array" ref="F93">INDEX('回避'!$K$3:$U$84, MATCH($A$1,'回避'!$A$3:$A$91,0), MATCH(F90,'回避'!$K$2:$N$2,0))</f>
        <v>51</v>
      </c>
      <c r="G93" s="289"/>
      <c r="H93" s="290"/>
      <c r="I93" s="290"/>
      <c r="J93" s="117"/>
      <c r="K93" s="117"/>
      <c r="L93" s="117"/>
      <c r="M93" s="117"/>
      <c r="N93" s="117"/>
      <c r="O93" s="111"/>
      <c r="P93" s="111"/>
      <c r="Q93" s="111"/>
      <c r="R93" s="111"/>
      <c r="S93" s="111"/>
      <c r="T93" s="111"/>
      <c r="U93" s="111"/>
      <c r="V93" s="111"/>
    </row>
    <row r="94" outlineLevel="1">
      <c r="A94" s="287" t="s">
        <v>396</v>
      </c>
      <c r="B94" s="288" t="s">
        <v>397</v>
      </c>
      <c r="C94" s="113" t="str">
        <f t="array" ref="C94">INDEX('回避'!$O$3:$U$84, MATCH($A$1,'回避'!$A$3:$A$91,0), MATCH(C90,'回避'!$O$2:$R$2,0))</f>
        <v>3-29</v>
      </c>
      <c r="D94" s="113" t="str">
        <f t="array" ref="D94">INDEX('回避'!$O$3:$U$84, MATCH($A$1,'回避'!$A$3:$A$91,0), MATCH(D90,'回避'!$O$2:$R$2,0))</f>
        <v>6-27</v>
      </c>
      <c r="E94" s="113" t="str">
        <f t="array" ref="E94">INDEX('回避'!$O$3:$U$84, MATCH($A$1,'回避'!$A$3:$A$91,0), MATCH(E90,'回避'!$O$2:$R$2,0))</f>
        <v>50</v>
      </c>
      <c r="F94" s="177"/>
      <c r="G94" s="177"/>
      <c r="H94" s="118"/>
      <c r="I94" s="118"/>
      <c r="J94" s="111"/>
      <c r="K94" s="111"/>
      <c r="L94" s="111"/>
      <c r="M94" s="111"/>
      <c r="N94" s="111"/>
      <c r="O94" s="228"/>
      <c r="P94" s="228"/>
      <c r="Q94" s="228"/>
      <c r="R94" s="228"/>
      <c r="S94" s="228"/>
      <c r="T94" s="228"/>
      <c r="U94" s="228"/>
      <c r="V94" s="228"/>
    </row>
    <row r="95" outlineLevel="1">
      <c r="A95" s="106"/>
      <c r="B95" s="288" t="s">
        <v>398</v>
      </c>
      <c r="C95" s="113" t="str">
        <f t="array" ref="C95">INDEX('回避'!$S$3:$U$84, MATCH($A$1,'回避'!$A$3:$A$91,0), MATCH(C90,'回避'!$S$2:$U$2,0))</f>
        <v>3-21</v>
      </c>
      <c r="D95" s="113" t="str">
        <f t="array" ref="D95">INDEX('回避'!$S$3:$U$84, MATCH($A$1,'回避'!$A$3:$A$91,0), MATCH(D90,'回避'!$S$2:$U$2,0))</f>
        <v>6-20</v>
      </c>
      <c r="E95" s="113" t="str">
        <f t="array" ref="E95">INDEX('回避'!$S$3:$U$84, MATCH($A$1,'回避'!$A$3:$A$91,0), MATCH(E90,'回避'!$S$2:$U$2,0))</f>
        <v>真横：83
真上：111
真下：68</v>
      </c>
      <c r="F95" s="289"/>
      <c r="G95" s="289"/>
      <c r="H95" s="118"/>
      <c r="I95" s="118"/>
      <c r="J95" s="117"/>
      <c r="K95" s="117"/>
      <c r="L95" s="117"/>
      <c r="M95" s="117"/>
      <c r="N95" s="111"/>
      <c r="O95" s="118"/>
      <c r="P95" s="118"/>
      <c r="Q95" s="118"/>
      <c r="R95" s="118"/>
      <c r="S95" s="118"/>
      <c r="T95" s="118"/>
      <c r="U95" s="118"/>
      <c r="V95" s="118"/>
    </row>
    <row r="96">
      <c r="A96" s="291"/>
      <c r="B96" s="292"/>
      <c r="C96" s="286"/>
      <c r="D96" s="286"/>
      <c r="E96" s="293"/>
      <c r="F96" s="286"/>
      <c r="G96" s="286"/>
      <c r="H96" s="286"/>
      <c r="I96" s="286"/>
      <c r="J96" s="111"/>
      <c r="K96" s="227"/>
      <c r="L96" s="227"/>
      <c r="M96" s="227"/>
      <c r="N96" s="227"/>
      <c r="O96" s="118"/>
      <c r="P96" s="118"/>
      <c r="Q96" s="118"/>
      <c r="R96" s="118"/>
      <c r="S96" s="118"/>
      <c r="T96" s="118"/>
      <c r="U96" s="118"/>
      <c r="V96" s="118"/>
    </row>
    <row r="97">
      <c r="A97" s="294" t="s">
        <v>238</v>
      </c>
      <c r="B97" s="104"/>
      <c r="C97" s="228"/>
      <c r="D97" s="117"/>
      <c r="E97" s="228"/>
      <c r="F97" s="114"/>
      <c r="G97" s="114"/>
      <c r="H97" s="117"/>
      <c r="I97" s="117"/>
      <c r="J97" s="118"/>
      <c r="K97" s="118"/>
      <c r="L97" s="118"/>
      <c r="M97" s="118"/>
      <c r="N97" s="118"/>
      <c r="O97" s="118"/>
      <c r="P97" s="118"/>
      <c r="Q97" s="118"/>
      <c r="R97" s="118"/>
      <c r="S97" s="118"/>
      <c r="T97" s="118"/>
      <c r="U97" s="118"/>
      <c r="V97" s="118"/>
    </row>
    <row r="98" outlineLevel="1">
      <c r="A98" s="106"/>
      <c r="B98" s="107"/>
      <c r="C98" s="295" t="s">
        <v>235</v>
      </c>
      <c r="D98" s="295" t="s">
        <v>49</v>
      </c>
      <c r="E98" s="295" t="s">
        <v>48</v>
      </c>
      <c r="F98" s="295" t="s">
        <v>50</v>
      </c>
      <c r="G98" s="296" t="s">
        <v>51</v>
      </c>
      <c r="H98" s="228"/>
      <c r="I98" s="228"/>
      <c r="J98" s="117"/>
      <c r="K98" s="297" t="str">
        <f>'テンプレート'!K116</f>
        <v>アイテム取得</v>
      </c>
      <c r="L98" s="109"/>
      <c r="M98" s="298" t="str">
        <f>'テンプレート'!M116</f>
        <v>取得フレーム</v>
      </c>
      <c r="N98" s="298" t="str">
        <f>'テンプレート'!N116</f>
        <v>全体フレーム</v>
      </c>
      <c r="O98" s="118"/>
      <c r="P98" s="118"/>
      <c r="Q98" s="118"/>
      <c r="R98" s="118"/>
      <c r="S98" s="118"/>
      <c r="T98" s="118"/>
      <c r="U98" s="118"/>
      <c r="V98" s="118"/>
    </row>
    <row r="99" outlineLevel="1">
      <c r="A99" s="299" t="s">
        <v>239</v>
      </c>
      <c r="B99" s="300" t="s">
        <v>240</v>
      </c>
      <c r="C99" s="301"/>
      <c r="D99" s="113">
        <f t="array" ref="D99">INDEX('崖行動・受け身'!$C$3:$C97, MATCH($A$1,'崖行動・受け身'!$A$3:$A$115,0), MATCH(D98,'崖行動・受け身'!$C$2,0))</f>
        <v>19</v>
      </c>
      <c r="E99" s="301"/>
      <c r="F99" s="301"/>
      <c r="G99" s="301"/>
      <c r="H99" s="228"/>
      <c r="I99" s="228"/>
      <c r="J99" s="111"/>
      <c r="K99" s="302" t="str">
        <f>'テンプレート'!K117</f>
        <v>小アイテム</v>
      </c>
      <c r="L99" s="303" t="str">
        <f>'テンプレート'!L117</f>
        <v>その場</v>
      </c>
      <c r="M99" s="113" t="s">
        <v>76</v>
      </c>
      <c r="N99" s="113">
        <v>7.0</v>
      </c>
      <c r="O99" s="118"/>
      <c r="P99" s="118"/>
      <c r="Q99" s="118"/>
      <c r="R99" s="118"/>
      <c r="S99" s="118"/>
      <c r="T99" s="118"/>
      <c r="U99" s="118"/>
      <c r="V99" s="118"/>
    </row>
    <row r="100" outlineLevel="1">
      <c r="A100" s="146"/>
      <c r="B100" s="300" t="s">
        <v>216</v>
      </c>
      <c r="C100" s="113" t="str">
        <f t="array" ref="C100">INDEX('崖行動・受け身'!$D$3:$E97, MATCH($A$1,'崖行動・受け身'!$A$3:$A$115,0), MATCH(C98,'崖行動・受け身'!$D$2:$E$2,0))</f>
        <v>1-33</v>
      </c>
      <c r="D100" s="113">
        <f t="array" ref="D100">INDEX('崖行動・受け身'!$D$3:$E97, MATCH($A$1,'崖行動・受け身'!$A$3:$A$115,0), MATCH(D98,'崖行動・受け身'!$D$2:$E$2,0))</f>
        <v>34</v>
      </c>
      <c r="E100" s="301"/>
      <c r="F100" s="301"/>
      <c r="G100" s="301"/>
      <c r="H100" s="228"/>
      <c r="I100" s="228"/>
      <c r="J100" s="117"/>
      <c r="K100" s="156"/>
      <c r="L100" s="303" t="str">
        <f>'テンプレート'!L118</f>
        <v>歩き</v>
      </c>
      <c r="M100" s="113" t="s">
        <v>76</v>
      </c>
      <c r="N100" s="113">
        <v>19.0</v>
      </c>
      <c r="O100" s="118"/>
      <c r="P100" s="118"/>
      <c r="Q100" s="118"/>
      <c r="R100" s="118"/>
      <c r="S100" s="118"/>
      <c r="T100" s="118"/>
      <c r="U100" s="118"/>
      <c r="V100" s="118"/>
    </row>
    <row r="101" outlineLevel="1">
      <c r="A101" s="146"/>
      <c r="B101" s="300" t="s">
        <v>241</v>
      </c>
      <c r="C101" s="113" t="str">
        <f t="array" ref="C101">INDEX('崖行動・受け身'!$F$3:$G$115, MATCH($A$1,'崖行動・受け身'!$A$3:$A$115,0), MATCH(C98,'崖行動・受け身'!$F$2:$G$2,0))</f>
        <v>1-27</v>
      </c>
      <c r="D101" s="113">
        <f t="array" ref="D101">INDEX('崖行動・受け身'!$F$3:$G$115, MATCH($A$1,'崖行動・受け身'!$A$3:$A$115,0), MATCH(D98,'崖行動・受け身'!$F$2:$G$2,0))</f>
        <v>45</v>
      </c>
      <c r="E101" s="301"/>
      <c r="F101" s="301"/>
      <c r="G101" s="301"/>
      <c r="H101" s="228"/>
      <c r="I101" s="228"/>
      <c r="J101" s="111"/>
      <c r="K101" s="304" t="str">
        <f>'テンプレート'!K119</f>
        <v>アイテム投擲</v>
      </c>
      <c r="L101" s="109"/>
      <c r="M101" s="298" t="str">
        <f>'テンプレート'!M119</f>
        <v>投擲フレーム</v>
      </c>
      <c r="N101" s="298" t="str">
        <f>'テンプレート'!N119</f>
        <v>全体フレーム</v>
      </c>
      <c r="O101" s="118"/>
      <c r="P101" s="118"/>
      <c r="Q101" s="118"/>
      <c r="R101" s="118"/>
      <c r="S101" s="118"/>
      <c r="T101" s="118"/>
      <c r="U101" s="118"/>
      <c r="V101" s="118"/>
    </row>
    <row r="102" outlineLevel="1">
      <c r="A102" s="146"/>
      <c r="B102" s="300" t="s">
        <v>242</v>
      </c>
      <c r="C102" s="113" t="str">
        <f t="array" ref="C102">INDEX('崖行動・受け身'!$H$3:$I$115, MATCH($A$1,'崖行動・受け身'!$A$3:$A$115,0), MATCH(C98,'崖行動・受け身'!$H$2:$I$2,0))</f>
        <v>1-12</v>
      </c>
      <c r="D102" s="113">
        <f t="array" ref="D102">INDEX('崖行動・受け身'!$H$3:$I$115, MATCH($A$1,'崖行動・受け身'!$A$3:$A$115,0), MATCH(D98,'崖行動・受け身'!$H$2:$I$2,0))</f>
        <v>14</v>
      </c>
      <c r="E102" s="301"/>
      <c r="F102" s="301"/>
      <c r="G102" s="301"/>
      <c r="H102" s="228"/>
      <c r="I102" s="228"/>
      <c r="J102" s="117"/>
      <c r="K102" s="305" t="str">
        <f>'テンプレート'!K120</f>
        <v>地上投擲</v>
      </c>
      <c r="L102" s="303" t="str">
        <f>'テンプレート'!L120</f>
        <v>前投げ</v>
      </c>
      <c r="M102" s="113" t="s">
        <v>93</v>
      </c>
      <c r="N102" s="113">
        <v>20.0</v>
      </c>
      <c r="O102" s="111"/>
      <c r="P102" s="111"/>
      <c r="Q102" s="111"/>
      <c r="R102" s="111"/>
      <c r="S102" s="111"/>
      <c r="T102" s="111"/>
      <c r="U102" s="111"/>
      <c r="V102" s="111"/>
    </row>
    <row r="103" outlineLevel="1">
      <c r="A103" s="156"/>
      <c r="B103" s="300" t="s">
        <v>243</v>
      </c>
      <c r="C103" s="113" t="str">
        <f t="array" ref="C103">INDEX('崖行動・受け身'!$J$3:$M$115, MATCH($A$1,'崖行動・受け身'!$A$3:$A$115,0), MATCH(C98,'崖行動・受け身'!$J$2:$M$2,0))</f>
        <v>1-22</v>
      </c>
      <c r="D103" s="113">
        <f t="array" ref="D103">INDEX('崖行動・受け身'!$J$3:$M$115, MATCH($A$1,'崖行動・受け身'!$A$3:$A$115,0), MATCH(D98,'崖行動・受け身'!$J$2:$M$2,0))</f>
        <v>55</v>
      </c>
      <c r="E103" s="113" t="str">
        <f t="array" ref="E103">INDEX('崖行動・受け身'!$J$3:$M$115, MATCH($A$1,'崖行動・受け身'!$A$3:$A$115,0), MATCH(E98,'崖行動・受け身'!$J$2:$M$2,0))</f>
        <v>20-22</v>
      </c>
      <c r="F103" s="113">
        <f t="array" ref="F103">INDEX('崖行動・受け身'!$J$3:$M$115, MATCH($A$1,'崖行動・受け身'!$A$3:$A$115,0), MATCH(F98,'崖行動・受け身'!$J$2:$M$2,0))</f>
        <v>9</v>
      </c>
      <c r="G103" s="113">
        <f>F103*1.2</f>
        <v>10.8</v>
      </c>
      <c r="H103" s="228"/>
      <c r="I103" s="228"/>
      <c r="J103" s="111"/>
      <c r="K103" s="146"/>
      <c r="L103" s="303" t="str">
        <f>'テンプレート'!L121</f>
        <v>後投げ</v>
      </c>
      <c r="M103" s="113" t="s">
        <v>274</v>
      </c>
      <c r="N103" s="113">
        <v>20.0</v>
      </c>
      <c r="O103" s="111"/>
      <c r="P103" s="111"/>
      <c r="Q103" s="111"/>
      <c r="R103" s="111"/>
      <c r="S103" s="111"/>
      <c r="T103" s="111"/>
      <c r="U103" s="111"/>
      <c r="V103" s="111"/>
    </row>
    <row r="104" outlineLevel="1">
      <c r="A104" s="299" t="s">
        <v>244</v>
      </c>
      <c r="B104" s="300" t="s">
        <v>216</v>
      </c>
      <c r="C104" s="113" t="str">
        <f t="array" ref="C104">INDEX('崖行動・受け身'!$N$3:$O$115, MATCH($A$1,'崖行動・受け身'!$A$3:$A$115,0), MATCH(C98,'崖行動・受け身'!$N$2:$O$2,0))</f>
        <v>1-20</v>
      </c>
      <c r="D104" s="113">
        <f t="array" ref="D104">INDEX('崖行動・受け身'!$N$3:$O$115, MATCH($A$1,'崖行動・受け身'!$A$3:$A$115,0), MATCH(D98,'崖行動・受け身'!$N$2:$O$2,0))</f>
        <v>26</v>
      </c>
      <c r="E104" s="301"/>
      <c r="F104" s="301"/>
      <c r="G104" s="301"/>
      <c r="H104" s="228"/>
      <c r="I104" s="228"/>
      <c r="J104" s="117"/>
      <c r="K104" s="146"/>
      <c r="L104" s="303" t="str">
        <f>'テンプレート'!L122</f>
        <v>上投げ</v>
      </c>
      <c r="M104" s="113" t="s">
        <v>232</v>
      </c>
      <c r="N104" s="113">
        <v>20.0</v>
      </c>
      <c r="O104" s="228"/>
      <c r="P104" s="228"/>
      <c r="Q104" s="228"/>
      <c r="R104" s="228"/>
      <c r="S104" s="228"/>
      <c r="T104" s="228"/>
      <c r="U104" s="228"/>
      <c r="V104" s="228"/>
    </row>
    <row r="105" outlineLevel="1">
      <c r="A105" s="146"/>
      <c r="B105" s="300" t="s">
        <v>245</v>
      </c>
      <c r="C105" s="113" t="str">
        <f t="array" ref="C105">INDEX('崖行動・受け身'!$P$3:$Q$115, MATCH($A$1,'崖行動・受け身'!$A$3:$A$115,0), MATCH(C98,'崖行動・受け身'!$P$2:$Q$2,0))</f>
        <v>1-20</v>
      </c>
      <c r="D105" s="113">
        <f t="array" ref="D105">INDEX('崖行動・受け身'!$P$3:$Q$115, MATCH($A$1,'崖行動・受け身'!$A$3:$A$115,0), MATCH(D98,'崖行動・受け身'!$P$2:$Q$2,0))</f>
        <v>40</v>
      </c>
      <c r="E105" s="301"/>
      <c r="F105" s="301"/>
      <c r="G105" s="301"/>
      <c r="H105" s="228"/>
      <c r="I105" s="228"/>
      <c r="J105" s="111"/>
      <c r="K105" s="146"/>
      <c r="L105" s="303" t="str">
        <f>'テンプレート'!L123</f>
        <v>下投げ</v>
      </c>
      <c r="M105" s="113" t="s">
        <v>86</v>
      </c>
      <c r="N105" s="113">
        <v>18.0</v>
      </c>
      <c r="O105" s="118"/>
      <c r="P105" s="118"/>
      <c r="Q105" s="118"/>
      <c r="R105" s="118"/>
      <c r="S105" s="118"/>
      <c r="T105" s="118"/>
      <c r="U105" s="118"/>
      <c r="V105" s="118"/>
    </row>
    <row r="106" outlineLevel="1">
      <c r="A106" s="156"/>
      <c r="B106" s="300" t="s">
        <v>246</v>
      </c>
      <c r="C106" s="113" t="str">
        <f t="array" ref="C106">INDEX('崖行動・受け身'!$R$3:$S$115, MATCH($A$1,'崖行動・受け身'!$A$3:$A$115,0), MATCH(C98,'崖行動・受け身'!$R$2:$S$2,0))</f>
        <v>1-20</v>
      </c>
      <c r="D106" s="113">
        <f t="array" ref="D106">INDEX('崖行動・受け身'!$R$3:$S$115, MATCH($A$1,'崖行動・受け身'!$A$3:$A$115,0), MATCH(D98,'崖行動・受け身'!$R$2:$S$2,0))</f>
        <v>40</v>
      </c>
      <c r="E106" s="301"/>
      <c r="F106" s="301"/>
      <c r="G106" s="301"/>
      <c r="H106" s="228"/>
      <c r="I106" s="228"/>
      <c r="J106" s="117"/>
      <c r="K106" s="146"/>
      <c r="L106" s="306" t="str">
        <f>'テンプレート'!L124</f>
        <v>ダッシュ</v>
      </c>
      <c r="M106" s="113" t="s">
        <v>73</v>
      </c>
      <c r="N106" s="113">
        <v>35.0</v>
      </c>
      <c r="O106" s="118"/>
      <c r="P106" s="118"/>
      <c r="Q106" s="118"/>
      <c r="R106" s="118"/>
      <c r="S106" s="118"/>
      <c r="T106" s="118"/>
      <c r="U106" s="118"/>
      <c r="V106" s="118"/>
    </row>
    <row r="107" outlineLevel="1">
      <c r="A107" s="299" t="s">
        <v>247</v>
      </c>
      <c r="B107" s="300" t="s">
        <v>248</v>
      </c>
      <c r="C107" s="301"/>
      <c r="D107" s="113" t="str">
        <f t="array" ref="D107">INDEX('起きあがり'!$C$3:$C97, MATCH($A$1,'起きあがり'!$A$3:$A$115,0), MATCH(D98,'起きあがり'!$C$2:$AD$2,0))</f>
        <v>25</v>
      </c>
      <c r="E107" s="301"/>
      <c r="F107" s="301"/>
      <c r="G107" s="301"/>
      <c r="H107" s="228"/>
      <c r="I107" s="228"/>
      <c r="J107" s="111"/>
      <c r="K107" s="156"/>
      <c r="L107" s="306" t="str">
        <f>'テンプレート'!L125</f>
        <v>その場捨て</v>
      </c>
      <c r="M107" s="113" t="s">
        <v>150</v>
      </c>
      <c r="N107" s="113">
        <v>23.0</v>
      </c>
      <c r="O107" s="118"/>
      <c r="P107" s="118"/>
      <c r="Q107" s="118"/>
      <c r="R107" s="118"/>
      <c r="S107" s="118"/>
      <c r="T107" s="118"/>
      <c r="U107" s="118"/>
      <c r="V107" s="118"/>
    </row>
    <row r="108" outlineLevel="1">
      <c r="A108" s="146"/>
      <c r="B108" s="300" t="s">
        <v>216</v>
      </c>
      <c r="C108" s="307" t="str">
        <f t="array" ref="C108">INDEX('起きあがり'!$D$3:$E97, MATCH($A$1,'起きあがり'!$A$3:$A$115,0), MATCH(C98,'起きあがり'!$D$2:$AD$2,0))</f>
        <v>1-22</v>
      </c>
      <c r="D108" s="308">
        <f t="array" ref="D108">INDEX('起きあがり'!$D$3:$E97, MATCH($A$1,'起きあがり'!$A$3:$A$115,0), MATCH(D98,'起きあがり'!$D$2:$AD$2,0))</f>
        <v>29</v>
      </c>
      <c r="E108" s="301"/>
      <c r="F108" s="301"/>
      <c r="G108" s="301"/>
      <c r="H108" s="228"/>
      <c r="I108" s="228"/>
      <c r="J108" s="117"/>
      <c r="K108" s="305" t="str">
        <f>'テンプレート'!K126</f>
        <v>空中投擲</v>
      </c>
      <c r="L108" s="303" t="str">
        <f>'テンプレート'!L126</f>
        <v>前投げ</v>
      </c>
      <c r="M108" s="113" t="s">
        <v>93</v>
      </c>
      <c r="N108" s="113">
        <v>20.0</v>
      </c>
      <c r="O108" s="118"/>
      <c r="P108" s="118"/>
      <c r="Q108" s="118"/>
      <c r="R108" s="118"/>
      <c r="S108" s="118"/>
      <c r="T108" s="118"/>
      <c r="U108" s="118"/>
      <c r="V108" s="118"/>
    </row>
    <row r="109" outlineLevel="1">
      <c r="A109" s="146"/>
      <c r="B109" s="300" t="s">
        <v>245</v>
      </c>
      <c r="C109" s="307" t="str">
        <f t="array" ref="C109">INDEX('起きあがり'!$F$3:$G$115, MATCH($A$1,'起きあがり'!$A$3:$A$115,0), MATCH(C98,'起きあがり'!$F$2:$AD$2,0))</f>
        <v>1-21</v>
      </c>
      <c r="D109" s="308">
        <f t="array" ref="D109">INDEX('起きあがり'!$F$3:$G$115, MATCH($A$1,'起きあがり'!$A$3:$A$115,0), MATCH(D98,'起きあがり'!$F$2:$AD$2,0))</f>
        <v>35</v>
      </c>
      <c r="E109" s="301"/>
      <c r="F109" s="301"/>
      <c r="G109" s="301"/>
      <c r="H109" s="228"/>
      <c r="I109" s="228"/>
      <c r="J109" s="111"/>
      <c r="K109" s="146"/>
      <c r="L109" s="303" t="str">
        <f>'テンプレート'!L127</f>
        <v>後投げ</v>
      </c>
      <c r="M109" s="113" t="s">
        <v>274</v>
      </c>
      <c r="N109" s="113">
        <v>20.0</v>
      </c>
      <c r="O109" s="118"/>
      <c r="P109" s="118"/>
      <c r="Q109" s="118"/>
      <c r="R109" s="118"/>
      <c r="S109" s="118"/>
      <c r="T109" s="118"/>
      <c r="U109" s="118"/>
      <c r="V109" s="118"/>
    </row>
    <row r="110" outlineLevel="1">
      <c r="A110" s="146"/>
      <c r="B110" s="300" t="s">
        <v>246</v>
      </c>
      <c r="C110" s="113" t="str">
        <f t="array" ref="C110">INDEX('起きあがり'!$H$3:$I$115, MATCH($A$1,'起きあがり'!$A$3:$A$115,0), MATCH(C98,'起きあがり'!$H$2:$AD$2,0))</f>
        <v>1-21</v>
      </c>
      <c r="D110" s="113">
        <f t="array" ref="D110">INDEX('起きあがり'!$H$3:$I$115, MATCH($A$1,'起きあがり'!$A$3:$A$115,0), MATCH(D98,'起きあがり'!$H$2:$AD$2,0))</f>
        <v>35</v>
      </c>
      <c r="E110" s="301"/>
      <c r="F110" s="301"/>
      <c r="G110" s="301"/>
      <c r="H110" s="228"/>
      <c r="I110" s="228"/>
      <c r="J110" s="117"/>
      <c r="K110" s="146"/>
      <c r="L110" s="303" t="str">
        <f>'テンプレート'!L128</f>
        <v>上投げ</v>
      </c>
      <c r="M110" s="113" t="s">
        <v>232</v>
      </c>
      <c r="N110" s="113">
        <v>20.0</v>
      </c>
      <c r="O110" s="118"/>
      <c r="P110" s="118"/>
      <c r="Q110" s="118"/>
      <c r="R110" s="118"/>
      <c r="S110" s="118"/>
      <c r="T110" s="118"/>
      <c r="U110" s="118"/>
      <c r="V110" s="118"/>
    </row>
    <row r="111" outlineLevel="1">
      <c r="A111" s="146"/>
      <c r="B111" s="300" t="s">
        <v>249</v>
      </c>
      <c r="C111" s="309" t="str">
        <f t="array" ref="C111">INDEX('起きあがり'!$J$3:$M$115, MATCH($A$1,'起きあがり'!$A$3:$A$115,0), MATCH(C98,'起きあがり'!$J$2:$AD$2,0))</f>
        <v>1-23</v>
      </c>
      <c r="D111" s="310">
        <f t="array" ref="D111">INDEX('起きあがり'!$J$3:$M$115, MATCH($A$1,'起きあがり'!$A$3:$A$115,0), MATCH(D98,'起きあがり'!$J$2:$AD$2,0))</f>
        <v>45</v>
      </c>
      <c r="E111" s="307" t="str">
        <f t="array" ref="E111">INDEX('起きあがり'!$J$3:$M$115, MATCH($A$1,'起きあがり'!$A$3:$A$115,0), MATCH(E98,'起きあがり'!$J$2:$AD$2,0))</f>
        <v>17-18</v>
      </c>
      <c r="F111" s="308">
        <f t="array" ref="F111">INDEX('起きあがり'!$J$3:$M$115, MATCH($A$1,'起きあがり'!$A$3:$A$115,0), MATCH(F98,'起きあがり'!$J$2:$AD$2,0))</f>
        <v>7</v>
      </c>
      <c r="G111" s="113">
        <f t="shared" ref="G111:G112" si="1">F111*1.2</f>
        <v>8.4</v>
      </c>
      <c r="H111" s="228"/>
      <c r="I111" s="228"/>
      <c r="J111" s="111"/>
      <c r="K111" s="156"/>
      <c r="L111" s="303" t="str">
        <f>'テンプレート'!L129</f>
        <v>下投げ</v>
      </c>
      <c r="M111" s="113" t="s">
        <v>86</v>
      </c>
      <c r="N111" s="113">
        <v>18.0</v>
      </c>
      <c r="O111" s="111"/>
      <c r="P111" s="111"/>
      <c r="Q111" s="111"/>
      <c r="R111" s="111"/>
      <c r="S111" s="111"/>
      <c r="T111" s="111"/>
      <c r="U111" s="111"/>
      <c r="V111" s="111"/>
    </row>
    <row r="112" outlineLevel="1">
      <c r="A112" s="156"/>
      <c r="B112" s="311" t="s">
        <v>250</v>
      </c>
      <c r="C112" s="156"/>
      <c r="D112" s="156"/>
      <c r="E112" s="307" t="str">
        <f t="array" ref="E112">INDEX('起きあがり'!$N$3:$O$115, MATCH($A$1,'起きあがり'!$A$3:$A$115,0), MATCH(E98,'起きあがり'!$N$2:$AD$2,0))</f>
        <v>22-23</v>
      </c>
      <c r="F112" s="308">
        <f t="array" ref="F112">INDEX('起きあがり'!$N$3:$O$115, MATCH($A$1,'起きあがり'!$A$3:$A$115,0), MATCH(F98,'起きあがり'!$N$2:$AD$2,0))</f>
        <v>7</v>
      </c>
      <c r="G112" s="113">
        <f t="shared" si="1"/>
        <v>8.4</v>
      </c>
      <c r="H112" s="228"/>
      <c r="I112" s="228"/>
      <c r="J112" s="111"/>
      <c r="K112" s="312" t="str">
        <f>'テンプレート'!K130</f>
        <v>踏み台ジャンプ</v>
      </c>
      <c r="L112" s="168"/>
      <c r="M112" s="298" t="str">
        <f>'テンプレート'!M130</f>
        <v>全体フレーム</v>
      </c>
      <c r="N112" s="114"/>
      <c r="O112" s="111"/>
      <c r="P112" s="111"/>
      <c r="Q112" s="111"/>
      <c r="R112" s="111"/>
      <c r="S112" s="111"/>
      <c r="T112" s="111"/>
      <c r="U112" s="111"/>
      <c r="V112" s="111"/>
    </row>
    <row r="113" outlineLevel="1">
      <c r="A113" s="299" t="s">
        <v>251</v>
      </c>
      <c r="B113" s="300" t="s">
        <v>248</v>
      </c>
      <c r="C113" s="301"/>
      <c r="D113" s="307" t="str">
        <f t="array" ref="D113">INDEX('起きあがり'!$C$3:$C97, MATCH($A$1,'起きあがり'!$A$3:$A$115,0), MATCH(D98,'起きあがり'!$C$2,0))</f>
        <v>25</v>
      </c>
      <c r="E113" s="301"/>
      <c r="F113" s="301"/>
      <c r="G113" s="301"/>
      <c r="H113" s="228"/>
      <c r="I113" s="228"/>
      <c r="J113" s="117"/>
      <c r="K113" s="313" t="str">
        <f>'テンプレート'!K131</f>
        <v>踏み</v>
      </c>
      <c r="L113" s="314" t="str">
        <f>'テンプレート'!L131</f>
        <v>踏み</v>
      </c>
      <c r="M113" s="113">
        <v>7.0</v>
      </c>
      <c r="N113" s="315"/>
      <c r="O113" s="111"/>
      <c r="P113" s="111"/>
      <c r="Q113" s="111"/>
      <c r="R113" s="111"/>
      <c r="S113" s="111"/>
      <c r="T113" s="111"/>
      <c r="U113" s="111"/>
      <c r="V113" s="111"/>
    </row>
    <row r="114" outlineLevel="1">
      <c r="A114" s="146"/>
      <c r="B114" s="300" t="s">
        <v>216</v>
      </c>
      <c r="C114" s="307" t="str">
        <f t="array" ref="C114">INDEX('起きあがり'!$P$3:$Q$115, MATCH($A$1,'起きあがり'!$A$3:$A$115,0), MATCH(C98,'起きあがり'!$P$2:$AD$2,0))</f>
        <v>1-22</v>
      </c>
      <c r="D114" s="308">
        <f t="array" ref="D114">INDEX('起きあがり'!$P$3:$Q$115, MATCH($A$1,'起きあがり'!$A$3:$A$115,0), MATCH(D98,'起きあがり'!$P$2:$AD$2,0))</f>
        <v>29</v>
      </c>
      <c r="E114" s="301"/>
      <c r="F114" s="301"/>
      <c r="G114" s="301"/>
      <c r="H114" s="228"/>
      <c r="I114" s="228"/>
      <c r="J114" s="111"/>
      <c r="K114" s="305" t="str">
        <f>'テンプレート'!K132</f>
        <v>踏まれ</v>
      </c>
      <c r="L114" s="314" t="str">
        <f>'テンプレート'!L132</f>
        <v>地上踏まれ</v>
      </c>
      <c r="M114" s="113" t="s">
        <v>76</v>
      </c>
      <c r="N114" s="315"/>
      <c r="O114" s="228"/>
      <c r="P114" s="228"/>
      <c r="Q114" s="228"/>
      <c r="R114" s="228"/>
      <c r="S114" s="228"/>
      <c r="T114" s="228"/>
      <c r="U114" s="228"/>
      <c r="V114" s="228"/>
    </row>
    <row r="115" outlineLevel="1">
      <c r="A115" s="146"/>
      <c r="B115" s="300" t="s">
        <v>245</v>
      </c>
      <c r="C115" s="307" t="str">
        <f t="array" ref="C115">INDEX('起きあがり'!$R$3:$S$115, MATCH($A$1,'起きあがり'!$A$3:$A$115,0), MATCH(C98,'起きあがり'!$R$2:$AD$2,0))</f>
        <v>1-21</v>
      </c>
      <c r="D115" s="308">
        <f t="array" ref="D115">INDEX('起きあがり'!$R$3:$S$115, MATCH($A$1,'起きあがり'!$A$3:$A$115,0), MATCH(D98,'起きあがり'!$R$2:$AD$2,0))</f>
        <v>35</v>
      </c>
      <c r="E115" s="301"/>
      <c r="F115" s="301"/>
      <c r="G115" s="301"/>
      <c r="H115" s="228"/>
      <c r="I115" s="228"/>
      <c r="J115" s="117"/>
      <c r="K115" s="146"/>
      <c r="L115" s="314" t="str">
        <f>'テンプレート'!L133</f>
        <v>地上硬直</v>
      </c>
      <c r="M115" s="113">
        <v>28.0</v>
      </c>
      <c r="N115" s="102"/>
      <c r="O115" s="118"/>
      <c r="P115" s="118"/>
      <c r="Q115" s="118"/>
      <c r="R115" s="118"/>
      <c r="S115" s="118"/>
      <c r="T115" s="118"/>
      <c r="U115" s="118"/>
      <c r="V115" s="118"/>
    </row>
    <row r="116" outlineLevel="1">
      <c r="A116" s="146"/>
      <c r="B116" s="300" t="s">
        <v>246</v>
      </c>
      <c r="C116" s="307" t="str">
        <f t="array" ref="C116">INDEX('起きあがり'!$T$3:$U$115, MATCH($A$1,'起きあがり'!$A$3:$A$115,0), MATCH(C98,'起きあがり'!$T$2:$AD$2,0))</f>
        <v>1-21</v>
      </c>
      <c r="D116" s="308">
        <f t="array" ref="D116">INDEX('起きあがり'!$T$3:$U$115, MATCH($A$1,'起きあがり'!$A$3:$A$115,0), MATCH(D98,'起きあがり'!$T$2:$AD$2,0))</f>
        <v>35</v>
      </c>
      <c r="E116" s="301"/>
      <c r="F116" s="301"/>
      <c r="G116" s="301"/>
      <c r="H116" s="228"/>
      <c r="I116" s="228"/>
      <c r="J116" s="111"/>
      <c r="K116" s="146"/>
      <c r="L116" s="314" t="str">
        <f>'テンプレート'!L134</f>
        <v>空中踏まれ</v>
      </c>
      <c r="M116" s="113">
        <v>8.0</v>
      </c>
      <c r="N116" s="102"/>
      <c r="O116" s="118"/>
      <c r="P116" s="118"/>
      <c r="Q116" s="118"/>
      <c r="R116" s="118"/>
      <c r="S116" s="118"/>
      <c r="T116" s="118"/>
      <c r="U116" s="118"/>
      <c r="V116" s="118"/>
    </row>
    <row r="117" outlineLevel="1">
      <c r="A117" s="146"/>
      <c r="B117" s="300" t="s">
        <v>249</v>
      </c>
      <c r="C117" s="309" t="str">
        <f t="array" ref="C117">INDEX('起きあがり'!$V$3:$Y$115, MATCH($A$1,'起きあがり'!$A$3:$A$115,0), MATCH(C98,'起きあがり'!$V$2:$AD$2,0))</f>
        <v>1-23</v>
      </c>
      <c r="D117" s="310">
        <f t="array" ref="D117">INDEX('起きあがり'!$V$3:$Y$115, MATCH($A$1,'起きあがり'!$A$3:$A$115,0), MATCH(D98,'起きあがり'!$V$2:$AD$2,0))</f>
        <v>45</v>
      </c>
      <c r="E117" s="307" t="str">
        <f t="array" ref="E117">INDEX('起きあがり'!$V$3:$Y$115, MATCH($A$1,'起きあがり'!$A$3:$A$115,0), MATCH(E98,'起きあがり'!$V$2:$AD$2,0))</f>
        <v>17-18</v>
      </c>
      <c r="F117" s="308">
        <f t="array" ref="F117">INDEX('起きあがり'!$V$3:$Y$115, MATCH($A$1,'起きあがり'!$A$3:$A$115,0), MATCH(F98,'起きあがり'!$V$2:$AD$2,0))</f>
        <v>7</v>
      </c>
      <c r="G117" s="113">
        <f t="shared" ref="G117:G118" si="2">F117*1.2</f>
        <v>8.4</v>
      </c>
      <c r="H117" s="228"/>
      <c r="I117" s="228"/>
      <c r="J117" s="117"/>
      <c r="K117" s="146"/>
      <c r="L117" s="314" t="str">
        <f>'テンプレート'!L135</f>
        <v>空中落下</v>
      </c>
      <c r="M117" s="113">
        <v>36.0</v>
      </c>
      <c r="N117" s="102"/>
      <c r="O117" s="118"/>
      <c r="P117" s="118"/>
      <c r="Q117" s="118"/>
      <c r="R117" s="118"/>
      <c r="S117" s="118"/>
      <c r="T117" s="118"/>
      <c r="U117" s="118"/>
      <c r="V117" s="118"/>
    </row>
    <row r="118" outlineLevel="1">
      <c r="A118" s="156"/>
      <c r="B118" s="311" t="s">
        <v>250</v>
      </c>
      <c r="C118" s="156"/>
      <c r="D118" s="156"/>
      <c r="E118" s="307" t="str">
        <f t="array" ref="E118">INDEX('起きあがり'!$Z$3:$AA$115, MATCH($A$1,'起きあがり'!$A$3:$A$115,0), MATCH(E98,'起きあがり'!$Z$2:$AD$2,0))</f>
        <v>22-23</v>
      </c>
      <c r="F118" s="308">
        <f t="array" ref="F118">INDEX('起きあがり'!$Z$3:$AA$115, MATCH($A$1,'起きあがり'!$A$3:$A$115,0), MATCH(F98,'起きあがり'!$Z$2:$AD$2,0))</f>
        <v>7</v>
      </c>
      <c r="G118" s="113">
        <f t="shared" si="2"/>
        <v>8.4</v>
      </c>
      <c r="H118" s="228"/>
      <c r="I118" s="228"/>
      <c r="J118" s="117"/>
      <c r="K118" s="304" t="str">
        <f>'テンプレート'!K136</f>
        <v>倒れダメージ</v>
      </c>
      <c r="L118" s="110"/>
      <c r="M118" s="298" t="str">
        <f>'テンプレート'!M136</f>
        <v>全体フレーム</v>
      </c>
      <c r="N118" s="102"/>
      <c r="O118" s="118"/>
      <c r="P118" s="118"/>
      <c r="Q118" s="118"/>
      <c r="R118" s="118"/>
      <c r="S118" s="118"/>
      <c r="T118" s="118"/>
      <c r="U118" s="118"/>
      <c r="V118" s="118"/>
    </row>
    <row r="119" outlineLevel="1">
      <c r="A119" s="299" t="s">
        <v>252</v>
      </c>
      <c r="B119" s="300" t="s">
        <v>253</v>
      </c>
      <c r="C119" s="307" t="str">
        <f t="array" ref="C119">INDEX('転倒'!$C$3:$D97, MATCH($A$1,'転倒'!$A$3:$A$115,0), MATCH(C98,'転倒'!$C$2:$AC$2,0))</f>
        <v>1-5</v>
      </c>
      <c r="D119" s="308">
        <f t="array" ref="D119">INDEX('転倒'!$C$3:$D97, MATCH($A$1,'転倒'!$A$3:$A$115,0), MATCH(D98,'転倒'!$C$2:$AC$2,0))</f>
        <v>29</v>
      </c>
      <c r="E119" s="301"/>
      <c r="F119" s="301"/>
      <c r="G119" s="301"/>
      <c r="H119" s="228"/>
      <c r="I119" s="228"/>
      <c r="J119" s="111"/>
      <c r="K119" s="313" t="str">
        <f>'テンプレート'!K137</f>
        <v>あお向け倒れ</v>
      </c>
      <c r="L119" s="306" t="str">
        <f>'テンプレート'!L137</f>
        <v>モーション大</v>
      </c>
      <c r="M119" s="113">
        <v>39.0</v>
      </c>
      <c r="N119" s="315"/>
      <c r="O119" s="118"/>
      <c r="P119" s="118"/>
      <c r="Q119" s="118"/>
      <c r="R119" s="118"/>
      <c r="S119" s="118"/>
      <c r="T119" s="118"/>
      <c r="U119" s="118"/>
      <c r="V119" s="118"/>
    </row>
    <row r="120" outlineLevel="1">
      <c r="A120" s="146"/>
      <c r="B120" s="300" t="s">
        <v>254</v>
      </c>
      <c r="C120" s="307" t="str">
        <f t="array" ref="C120">INDEX('転倒'!$E$3:$F97, MATCH($A$1,'転倒'!$A$3:$A$115,0), MATCH(C98,'転倒'!$E$2:$AC$2,0))</f>
        <v>1-5</v>
      </c>
      <c r="D120" s="308">
        <f t="array" ref="D120">INDEX('転倒'!$E$3:$F97, MATCH($A$1,'転倒'!$A$3:$A$115,0), MATCH(D98,'転倒'!$E$2:$AC$2,0))</f>
        <v>39</v>
      </c>
      <c r="E120" s="301"/>
      <c r="F120" s="301"/>
      <c r="G120" s="301"/>
      <c r="H120" s="228"/>
      <c r="I120" s="228"/>
      <c r="J120" s="117"/>
      <c r="K120" s="313" t="str">
        <f>'テンプレート'!K138</f>
        <v>うつ伏せ倒れ</v>
      </c>
      <c r="L120" s="306" t="str">
        <f>'テンプレート'!L138</f>
        <v>モーション大</v>
      </c>
      <c r="M120" s="113" t="s">
        <v>118</v>
      </c>
      <c r="N120" s="315"/>
      <c r="O120" s="118"/>
      <c r="P120" s="118"/>
      <c r="Q120" s="118"/>
      <c r="R120" s="118"/>
      <c r="S120" s="118"/>
      <c r="T120" s="118"/>
      <c r="U120" s="118"/>
      <c r="V120" s="118"/>
    </row>
    <row r="121" outlineLevel="1">
      <c r="A121" s="146"/>
      <c r="B121" s="300" t="s">
        <v>216</v>
      </c>
      <c r="C121" s="307" t="str">
        <f t="array" ref="C121">INDEX('転倒'!$G$3:$H$115, MATCH($A$1,'転倒'!$A$3:$A$115,0), MATCH(C98,'転倒'!$G$2:$AC$2,0))</f>
        <v>1-16</v>
      </c>
      <c r="D121" s="308">
        <f t="array" ref="D121">INDEX('転倒'!$G$3:$H$115, MATCH($A$1,'転倒'!$A$3:$A$115,0), MATCH(D98,'転倒'!$G$2:$AC$2,0))</f>
        <v>21</v>
      </c>
      <c r="E121" s="301"/>
      <c r="F121" s="301"/>
      <c r="G121" s="301"/>
      <c r="H121" s="228"/>
      <c r="I121" s="228"/>
      <c r="J121" s="111"/>
      <c r="K121" s="304" t="str">
        <f>'テンプレート'!K139</f>
        <v/>
      </c>
      <c r="L121" s="110"/>
      <c r="M121" s="298" t="str">
        <f>'テンプレート'!M139</f>
        <v/>
      </c>
      <c r="N121" s="102"/>
      <c r="O121" s="118"/>
      <c r="P121" s="118"/>
      <c r="Q121" s="118"/>
      <c r="R121" s="118"/>
      <c r="S121" s="118"/>
      <c r="T121" s="118"/>
      <c r="U121" s="118"/>
      <c r="V121" s="118"/>
    </row>
    <row r="122" outlineLevel="1">
      <c r="A122" s="146"/>
      <c r="B122" s="300" t="s">
        <v>245</v>
      </c>
      <c r="C122" s="307" t="str">
        <f t="array" ref="C122">INDEX('転倒'!$I$3:$J$115, MATCH($A$1,'転倒'!$A$3:$A$115,0), MATCH(C98,'転倒'!$I$2:$AC$2,0))</f>
        <v>1-9</v>
      </c>
      <c r="D122" s="308">
        <f t="array" ref="D122">INDEX('転倒'!$I$3:$J$115, MATCH($A$1,'転倒'!$A$3:$A$115,0), MATCH(D98,'転倒'!$I$2:$AC$2,0))</f>
        <v>28</v>
      </c>
      <c r="E122" s="301"/>
      <c r="F122" s="301"/>
      <c r="G122" s="301"/>
      <c r="H122" s="228"/>
      <c r="I122" s="228"/>
      <c r="J122" s="228"/>
      <c r="K122" s="316"/>
      <c r="L122" s="317" t="str">
        <f>'テンプレート'!L140</f>
        <v/>
      </c>
      <c r="M122" s="113" t="s">
        <v>76</v>
      </c>
      <c r="N122" s="102"/>
      <c r="O122" s="118"/>
      <c r="P122" s="118"/>
      <c r="Q122" s="118"/>
      <c r="R122" s="118"/>
      <c r="S122" s="118"/>
      <c r="T122" s="118"/>
      <c r="U122" s="118"/>
      <c r="V122" s="118"/>
    </row>
    <row r="123" outlineLevel="1">
      <c r="A123" s="146"/>
      <c r="B123" s="300" t="s">
        <v>246</v>
      </c>
      <c r="C123" s="307" t="str">
        <f t="array" ref="C123">INDEX('転倒'!$K$3:$L$115, MATCH($A$1,'転倒'!$A$3:$A$115,0), MATCH(C98,'転倒'!$K$2:$AC$2,0))</f>
        <v>1-9</v>
      </c>
      <c r="D123" s="308">
        <f t="array" ref="D123">INDEX('転倒'!$K$3:$L$115, MATCH($A$1,'転倒'!$A$3:$A$115,0), MATCH(D98,'転倒'!$K$2:$AC$2,0))</f>
        <v>28</v>
      </c>
      <c r="E123" s="301"/>
      <c r="F123" s="301"/>
      <c r="G123" s="301"/>
      <c r="H123" s="228"/>
      <c r="I123" s="228"/>
      <c r="J123" s="228"/>
      <c r="K123" s="318"/>
      <c r="L123" s="118"/>
      <c r="M123" s="118"/>
      <c r="N123" s="102"/>
      <c r="O123" s="118"/>
      <c r="P123" s="118"/>
      <c r="Q123" s="118"/>
      <c r="R123" s="118"/>
      <c r="S123" s="118"/>
      <c r="T123" s="118"/>
      <c r="U123" s="118"/>
      <c r="V123" s="118"/>
    </row>
    <row r="124" outlineLevel="1">
      <c r="A124" s="146"/>
      <c r="B124" s="300" t="s">
        <v>249</v>
      </c>
      <c r="C124" s="309" t="str">
        <f t="array" ref="C124">INDEX('転倒'!$M$3:$P$115, MATCH($A$1,'転倒'!$A$3:$A$115,0), MATCH(C98,'転倒'!$M$2:$AC$2,0))</f>
        <v>1-7</v>
      </c>
      <c r="D124" s="310">
        <f t="array" ref="D124">INDEX('転倒'!$M$3:$P$115, MATCH($A$1,'転倒'!$A$3:$A$115,0), MATCH(D98,'転倒'!$M$2:$AC$2,0))</f>
        <v>49</v>
      </c>
      <c r="E124" s="307" t="str">
        <f t="array" ref="E124">INDEX('転倒'!$M$3:$P$115, MATCH($A$1,'転倒'!$A$3:$A$115,0), MATCH(E98,'転倒'!$M$2:$AC$2,0))</f>
        <v>20-21</v>
      </c>
      <c r="F124" s="308">
        <f t="array" ref="F124">INDEX('転倒'!$M$3:$P$115, MATCH($A$1,'転倒'!$A$3:$A$115,0), MATCH(F98,'転倒'!$M$2:$AC$2,0))</f>
        <v>5</v>
      </c>
      <c r="G124" s="113">
        <f t="shared" ref="G124:G125" si="3">F124*1.2</f>
        <v>6</v>
      </c>
      <c r="H124" s="228"/>
      <c r="I124" s="228"/>
      <c r="J124" s="228"/>
      <c r="K124" s="118"/>
      <c r="L124" s="118"/>
      <c r="M124" s="118"/>
      <c r="N124" s="102"/>
      <c r="O124" s="102"/>
      <c r="P124" s="102"/>
      <c r="Q124" s="102"/>
      <c r="R124" s="118"/>
      <c r="S124" s="118"/>
      <c r="T124" s="118"/>
      <c r="U124" s="118"/>
      <c r="V124" s="118"/>
    </row>
    <row r="125" outlineLevel="1">
      <c r="A125" s="156"/>
      <c r="B125" s="311" t="s">
        <v>250</v>
      </c>
      <c r="C125" s="156"/>
      <c r="D125" s="156"/>
      <c r="E125" s="307" t="str">
        <f t="array" ref="E125">INDEX('転倒'!$Q$3:$R$115, MATCH($A$1,'転倒'!$A$3:$A$115,0), MATCH(E98,'転倒'!$Q$2:$AC$2,0))</f>
        <v>27-28</v>
      </c>
      <c r="F125" s="308">
        <f t="array" ref="F125">INDEX('転倒'!$Q$3:$R$115, MATCH($A$1,'転倒'!$A$3:$A$115,0), MATCH(F98,'転倒'!$Q$2:$AC$2,0))</f>
        <v>5</v>
      </c>
      <c r="G125" s="113">
        <f t="shared" si="3"/>
        <v>6</v>
      </c>
      <c r="H125" s="228"/>
      <c r="I125" s="228"/>
      <c r="J125" s="228"/>
      <c r="K125" s="118"/>
      <c r="L125" s="118"/>
      <c r="M125" s="118"/>
      <c r="N125" s="102"/>
      <c r="O125" s="102"/>
      <c r="P125" s="102"/>
      <c r="Q125" s="102"/>
      <c r="R125" s="118"/>
      <c r="S125" s="118"/>
      <c r="T125" s="118"/>
      <c r="U125" s="118"/>
      <c r="V125" s="118"/>
    </row>
    <row r="126" outlineLevel="1">
      <c r="A126" s="319"/>
      <c r="B126" s="320"/>
      <c r="C126" s="321"/>
      <c r="D126" s="321"/>
      <c r="E126" s="322"/>
      <c r="F126" s="322"/>
      <c r="G126" s="114"/>
      <c r="H126" s="228"/>
      <c r="I126" s="228"/>
      <c r="J126" s="228"/>
      <c r="K126" s="118"/>
      <c r="L126" s="118"/>
      <c r="M126" s="118"/>
      <c r="N126" s="102"/>
      <c r="O126" s="102"/>
      <c r="P126" s="102"/>
      <c r="Q126" s="102"/>
      <c r="R126" s="118"/>
      <c r="S126" s="118"/>
      <c r="T126" s="118"/>
      <c r="U126" s="118"/>
      <c r="V126" s="118"/>
    </row>
    <row r="127" outlineLevel="1">
      <c r="A127" s="323" t="s">
        <v>255</v>
      </c>
      <c r="B127" s="109"/>
      <c r="C127" s="321"/>
      <c r="D127" s="321"/>
      <c r="E127" s="322"/>
      <c r="F127" s="322"/>
      <c r="G127" s="114"/>
      <c r="H127" s="228"/>
      <c r="I127" s="228"/>
      <c r="J127" s="228"/>
      <c r="K127" s="118"/>
      <c r="L127" s="118"/>
      <c r="M127" s="118"/>
      <c r="N127" s="102"/>
      <c r="O127" s="102"/>
      <c r="P127" s="102"/>
      <c r="Q127" s="102"/>
      <c r="R127" s="118"/>
      <c r="S127" s="118"/>
      <c r="T127" s="118"/>
      <c r="U127" s="118"/>
      <c r="V127" s="118"/>
    </row>
    <row r="128" outlineLevel="1">
      <c r="A128" s="324" t="s">
        <v>256</v>
      </c>
      <c r="B128" s="109"/>
      <c r="C128" s="325" t="s">
        <v>257</v>
      </c>
      <c r="D128" s="325" t="s">
        <v>49</v>
      </c>
      <c r="E128" s="322"/>
      <c r="F128" s="322"/>
      <c r="G128" s="114"/>
      <c r="H128" s="228"/>
      <c r="I128" s="228"/>
      <c r="J128" s="228"/>
      <c r="K128" s="118"/>
      <c r="L128" s="118"/>
      <c r="M128" s="118"/>
      <c r="N128" s="102"/>
      <c r="O128" s="102"/>
      <c r="P128" s="102"/>
      <c r="Q128" s="102"/>
      <c r="R128" s="118"/>
      <c r="S128" s="118"/>
      <c r="T128" s="118"/>
      <c r="U128" s="118"/>
      <c r="V128" s="118"/>
    </row>
    <row r="129" outlineLevel="1">
      <c r="A129" s="326" t="s">
        <v>258</v>
      </c>
      <c r="B129" s="327" t="s">
        <v>216</v>
      </c>
      <c r="C129" s="328" t="str">
        <f t="array" ref="C129">INDEX('アイテム'!$C$3:$D$114, MATCH($A$1,'アイテム'!$A$3:$A$114,0), MATCH(C128,'アイテム'!$C$2:$AQ$2,0))</f>
        <v>2</v>
      </c>
      <c r="D129" s="328">
        <f t="array" ref="D129">INDEX('アイテム'!$C$3:$D$114, MATCH($A$1,'アイテム'!$A$3:$A$114,0), MATCH(D128,'アイテム'!$C$2:$AQ$2,0))</f>
        <v>7</v>
      </c>
      <c r="E129" s="322"/>
      <c r="F129" s="322"/>
      <c r="G129" s="114"/>
      <c r="H129" s="228"/>
      <c r="I129" s="228"/>
      <c r="J129" s="228"/>
      <c r="K129" s="118"/>
      <c r="L129" s="118"/>
      <c r="M129" s="118"/>
      <c r="N129" s="102"/>
      <c r="O129" s="102"/>
      <c r="P129" s="102"/>
      <c r="Q129" s="102"/>
      <c r="R129" s="118"/>
      <c r="S129" s="118"/>
      <c r="T129" s="118"/>
      <c r="U129" s="118"/>
      <c r="V129" s="118"/>
    </row>
    <row r="130" outlineLevel="1">
      <c r="A130" s="156"/>
      <c r="B130" s="327" t="s">
        <v>219</v>
      </c>
      <c r="C130" s="328" t="str">
        <f t="array" ref="C130">INDEX('アイテム'!$E$3:$F$114, MATCH($A$1,'アイテム'!$A$3:$A$114,0), MATCH(C128,'アイテム'!$C$2:$AQ$2,0))</f>
        <v>2</v>
      </c>
      <c r="D130" s="328">
        <f t="array" ref="D130">INDEX('アイテム'!$E$3:$F$114, MATCH($A$1,'アイテム'!$A$3:$A$114,0), MATCH(D128,'アイテム'!$C$2:$AQ$2,0))</f>
        <v>19</v>
      </c>
      <c r="E130" s="322"/>
      <c r="F130" s="322"/>
      <c r="G130" s="114"/>
      <c r="H130" s="228"/>
      <c r="I130" s="228"/>
      <c r="J130" s="228"/>
      <c r="K130" s="118"/>
      <c r="L130" s="118"/>
      <c r="M130" s="118"/>
      <c r="N130" s="102"/>
      <c r="O130" s="102"/>
      <c r="P130" s="102"/>
      <c r="Q130" s="102"/>
      <c r="R130" s="118"/>
      <c r="S130" s="118"/>
      <c r="T130" s="118"/>
      <c r="U130" s="118"/>
      <c r="V130" s="118"/>
    </row>
    <row r="131" outlineLevel="1">
      <c r="A131" s="329" t="s">
        <v>259</v>
      </c>
      <c r="B131" s="327" t="s">
        <v>216</v>
      </c>
      <c r="C131" s="328">
        <f t="array" ref="C131">INDEX('アイテム'!$AA$3:$AB$114, MATCH($A$1,'アイテム'!$A$3:$A$114,0), MATCH(C128,'アイテム'!$C$2:$AQ$2,0))</f>
        <v>2</v>
      </c>
      <c r="D131" s="328" t="str">
        <f t="array" ref="D131">INDEX('アイテム'!$AA$3:$AB$114, MATCH($A$1,'アイテム'!$A$3:$A$114,0), MATCH(D128,'アイテム'!$C$2:$AQ$2,0))</f>
        <v>12</v>
      </c>
      <c r="E131" s="322"/>
      <c r="F131" s="322"/>
      <c r="G131" s="114"/>
      <c r="H131" s="228"/>
      <c r="I131" s="228"/>
      <c r="J131" s="228"/>
      <c r="K131" s="118"/>
      <c r="L131" s="118"/>
      <c r="M131" s="118"/>
      <c r="N131" s="102"/>
      <c r="O131" s="102"/>
      <c r="P131" s="102"/>
      <c r="Q131" s="102"/>
      <c r="R131" s="118"/>
      <c r="S131" s="118"/>
      <c r="T131" s="118"/>
      <c r="U131" s="118"/>
      <c r="V131" s="118"/>
    </row>
    <row r="132" outlineLevel="1">
      <c r="A132" s="324" t="s">
        <v>260</v>
      </c>
      <c r="B132" s="109"/>
      <c r="C132" s="325" t="s">
        <v>261</v>
      </c>
      <c r="D132" s="325" t="s">
        <v>49</v>
      </c>
      <c r="E132" s="322"/>
      <c r="F132" s="322"/>
      <c r="G132" s="114"/>
      <c r="H132" s="228"/>
      <c r="I132" s="228"/>
      <c r="J132" s="228"/>
      <c r="K132" s="118"/>
      <c r="L132" s="118"/>
      <c r="M132" s="118"/>
      <c r="N132" s="102"/>
      <c r="O132" s="102"/>
      <c r="P132" s="102"/>
      <c r="Q132" s="102"/>
      <c r="R132" s="118"/>
      <c r="S132" s="118"/>
      <c r="T132" s="118"/>
      <c r="U132" s="118"/>
      <c r="V132" s="118"/>
    </row>
    <row r="133" outlineLevel="1">
      <c r="A133" s="326" t="s">
        <v>262</v>
      </c>
      <c r="B133" s="327" t="s">
        <v>226</v>
      </c>
      <c r="C133" s="328" t="str">
        <f t="array" ref="C133">INDEX('アイテム'!$G$3:$H$114, MATCH($A$1,'アイテム'!$A$3:$A$114,0), MATCH(C128,'アイテム'!$C$2:$AQ$2,0))</f>
        <v>7</v>
      </c>
      <c r="D133" s="328">
        <f t="array" ref="D133">INDEX('アイテム'!$G$3:$H$114, MATCH($A$1,'アイテム'!$A$3:$A$114,0), MATCH(D128,'アイテム'!$C$2:$AQ$2,0))</f>
        <v>24</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229</v>
      </c>
      <c r="C134" s="328" t="str">
        <f t="array" ref="C134">INDEX('アイテム'!$I$3:$J$114, MATCH($A$1,'アイテム'!$A$3:$A$114,0), MATCH(C128,'アイテム'!$C$2:$AQ$2,0))</f>
        <v>9</v>
      </c>
      <c r="D134" s="328">
        <f t="array" ref="D134">INDEX('アイテム'!$I$3:$J$114, MATCH($A$1,'アイテム'!$A$3:$A$114,0), MATCH(D128,'アイテム'!$C$2:$AQ$2,0))</f>
        <v>24</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233</v>
      </c>
      <c r="C135" s="328" t="str">
        <f t="array" ref="C135">INDEX('アイテム'!$K$3:$L$114, MATCH($A$1,'アイテム'!$A$3:$A$114,0), MATCH(C128,'アイテム'!$C$2:$AQ$2,0))</f>
        <v>11</v>
      </c>
      <c r="D135" s="328">
        <f t="array" ref="D135">INDEX('アイテム'!$K$3:$L$114, MATCH($A$1,'アイテム'!$A$3:$A$114,0), MATCH(D128,'アイテム'!$C$2:$AQ$2,0))</f>
        <v>23</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234</v>
      </c>
      <c r="C136" s="328" t="str">
        <f t="array" ref="C136">INDEX('アイテム'!$M$3:$N$114, MATCH($A$1,'アイテム'!$A$3:$A$114,0), MATCH(C128,'アイテム'!$C$2:$AQ$2,0))</f>
        <v>6</v>
      </c>
      <c r="D136" s="328">
        <f t="array" ref="D136">INDEX('アイテム'!$M$3:$N$114, MATCH($A$1,'アイテム'!$A$3:$A$114,0), MATCH(D128,'アイテム'!$C$2:$AQ$2,0))</f>
        <v>19</v>
      </c>
      <c r="E136" s="322"/>
      <c r="F136" s="322"/>
      <c r="G136" s="114"/>
      <c r="H136" s="228"/>
      <c r="I136" s="228"/>
      <c r="J136" s="228"/>
      <c r="K136" s="118"/>
      <c r="L136" s="118"/>
      <c r="M136" s="118"/>
      <c r="N136" s="102"/>
      <c r="O136" s="102"/>
      <c r="P136" s="102"/>
      <c r="Q136" s="102"/>
      <c r="R136" s="118"/>
      <c r="S136" s="118"/>
      <c r="T136" s="118"/>
      <c r="U136" s="118"/>
      <c r="V136" s="118"/>
    </row>
    <row r="137" outlineLevel="1">
      <c r="A137" s="146"/>
      <c r="B137" s="327" t="s">
        <v>219</v>
      </c>
      <c r="C137" s="328" t="str">
        <f t="array" ref="C137">INDEX('アイテム'!$O$3:$P$114, MATCH($A$1,'アイテム'!$A$3:$A$114,0), MATCH(C128,'アイテム'!$C$2:$AQ$2,0))</f>
        <v>4</v>
      </c>
      <c r="D137" s="328">
        <f t="array" ref="D137">INDEX('アイテム'!$O$3:$P$114, MATCH($A$1,'アイテム'!$A$3:$A$114,0), MATCH(D128,'アイテム'!$C$2:$AQ$2,0))</f>
        <v>29</v>
      </c>
      <c r="E137" s="322"/>
      <c r="F137" s="322"/>
      <c r="G137" s="114"/>
      <c r="H137" s="228"/>
      <c r="I137" s="228"/>
      <c r="J137" s="228"/>
      <c r="K137" s="118"/>
      <c r="L137" s="118"/>
      <c r="M137" s="118"/>
      <c r="N137" s="102"/>
      <c r="O137" s="102"/>
      <c r="P137" s="102"/>
      <c r="Q137" s="102"/>
      <c r="R137" s="118"/>
      <c r="S137" s="118"/>
      <c r="T137" s="118"/>
      <c r="U137" s="118"/>
      <c r="V137" s="118"/>
    </row>
    <row r="138" outlineLevel="1">
      <c r="A138" s="156"/>
      <c r="B138" s="327" t="s">
        <v>263</v>
      </c>
      <c r="C138" s="328" t="str">
        <f t="array" ref="C138">INDEX('アイテム'!$Q$3:$R$114, MATCH($A$1,'アイテム'!$A$3:$A$114,0), MATCH(C128,'アイテム'!$C$2:$AQ$2,0))</f>
        <v>5</v>
      </c>
      <c r="D138" s="328">
        <f t="array" ref="D138">INDEX('アイテム'!$Q$3:$R$114, MATCH($A$1,'アイテム'!$A$3:$A$114,0), MATCH(D128,'アイテム'!$C$2:$AQ$2,0))</f>
        <v>23</v>
      </c>
      <c r="E138" s="322"/>
      <c r="F138" s="322"/>
      <c r="G138" s="114"/>
      <c r="H138" s="228"/>
      <c r="I138" s="228"/>
      <c r="J138" s="228"/>
      <c r="K138" s="118"/>
      <c r="L138" s="118"/>
      <c r="M138" s="118"/>
      <c r="N138" s="102"/>
      <c r="O138" s="102"/>
      <c r="P138" s="102"/>
      <c r="Q138" s="102"/>
      <c r="R138" s="118"/>
      <c r="S138" s="118"/>
      <c r="T138" s="118"/>
      <c r="U138" s="118"/>
      <c r="V138" s="118"/>
    </row>
    <row r="139" outlineLevel="1">
      <c r="A139" s="326" t="s">
        <v>264</v>
      </c>
      <c r="B139" s="327" t="s">
        <v>226</v>
      </c>
      <c r="C139" s="328" t="str">
        <f t="array" ref="C139">INDEX('アイテム'!$S$3:$T$114, MATCH($A$1,'アイテム'!$A$3:$A$114,0), MATCH(C128,'アイテム'!$C$2:$AQ$2,0))</f>
        <v>7</v>
      </c>
      <c r="D139" s="328">
        <f t="array" ref="D139">INDEX('アイテム'!$S$3:$T$114, MATCH($A$1,'アイテム'!$A$3:$A$114,0), MATCH(D128,'アイテム'!$C$2:$AQ$2,0))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229</v>
      </c>
      <c r="C140" s="328" t="str">
        <f t="array" ref="C140">INDEX('アイテム'!$U$3:$V$114, MATCH($A$1,'アイテム'!$A$3:$A$114,0), MATCH(C128,'アイテム'!$C$2:$AQ$2,0))</f>
        <v>9</v>
      </c>
      <c r="D140" s="328">
        <f t="array" ref="D140">INDEX('アイテム'!$U$3:$V$114, MATCH($A$1,'アイテム'!$A$3:$A$114,0), MATCH(D128,'アイテム'!$C$2:$AQ$2,0))</f>
        <v>24</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233</v>
      </c>
      <c r="C141" s="328" t="str">
        <f t="array" ref="C141">INDEX('アイテム'!$W$3:$X$114, MATCH($A$1,'アイテム'!$A$3:$A$114,0), MATCH(C128,'アイテム'!$C$2:$AQ$2,0))</f>
        <v>11</v>
      </c>
      <c r="D141" s="328">
        <f t="array" ref="D141">INDEX('アイテム'!$W$3:$X$114, MATCH($A$1,'アイテム'!$A$3:$A$114,0), MATCH(D128,'アイテム'!$C$2:$AQ$2,0))</f>
        <v>23</v>
      </c>
      <c r="E141" s="322"/>
      <c r="F141" s="322"/>
      <c r="G141" s="114"/>
      <c r="H141" s="228"/>
      <c r="I141" s="228"/>
      <c r="J141" s="228"/>
      <c r="K141" s="118"/>
      <c r="L141" s="118"/>
      <c r="M141" s="118"/>
      <c r="N141" s="102"/>
      <c r="O141" s="102"/>
      <c r="P141" s="102"/>
      <c r="Q141" s="102"/>
      <c r="R141" s="118"/>
      <c r="S141" s="118"/>
      <c r="T141" s="118"/>
      <c r="U141" s="118"/>
      <c r="V141" s="118"/>
    </row>
    <row r="142" outlineLevel="1">
      <c r="A142" s="156"/>
      <c r="B142" s="327" t="s">
        <v>234</v>
      </c>
      <c r="C142" s="328" t="str">
        <f t="array" ref="C142">INDEX('アイテム'!$Y$3:$Z$114, MATCH($A$1,'アイテム'!$A$3:$A$114,0), MATCH(C128,'アイテム'!$C$2:$AQ$2,0))</f>
        <v>6</v>
      </c>
      <c r="D142" s="328">
        <f t="array" ref="D142">INDEX('アイテム'!$Y$3:$Z$114, MATCH($A$1,'アイテム'!$A$3:$A$114,0), MATCH(D128,'アイテム'!$C$2:$AQ$2,0))</f>
        <v>19</v>
      </c>
      <c r="E142" s="322"/>
      <c r="F142" s="322"/>
      <c r="G142" s="114"/>
      <c r="H142" s="228"/>
      <c r="I142" s="228"/>
      <c r="J142" s="228"/>
      <c r="K142" s="118"/>
      <c r="L142" s="118"/>
      <c r="M142" s="118"/>
      <c r="N142" s="102"/>
      <c r="O142" s="102"/>
      <c r="P142" s="102"/>
      <c r="Q142" s="102"/>
      <c r="R142" s="118"/>
      <c r="S142" s="118"/>
      <c r="T142" s="118"/>
      <c r="U142" s="118"/>
      <c r="V142" s="118"/>
    </row>
    <row r="143" outlineLevel="1">
      <c r="A143" s="326" t="s">
        <v>265</v>
      </c>
      <c r="B143" s="327" t="s">
        <v>226</v>
      </c>
      <c r="C143" s="328">
        <f t="array" ref="C143">INDEX('アイテム'!$AC$3:$AD$114, MATCH($A$1,'アイテム'!$A$3:$A$114,0), MATCH(C128,'アイテム'!$C$2:$AQ$2,0))</f>
        <v>16</v>
      </c>
      <c r="D143" s="328" t="str">
        <f t="array" ref="D143">INDEX('アイテム'!$AC$3:$AD$114, MATCH($A$1,'アイテム'!$A$3:$A$114,0), MATCH(D128,'アイテム'!$C$2:$AQ$2,0))</f>
        <v>30</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229</v>
      </c>
      <c r="C144" s="328">
        <f t="array" ref="C144">INDEX('アイテム'!$AE$3:$AF$114, MATCH($A$1,'アイテム'!$A$3:$A$114,0), MATCH(C128,'アイテム'!$C$2:$AQ$2,0))</f>
        <v>17</v>
      </c>
      <c r="D144" s="328" t="str">
        <f t="array" ref="D144">INDEX('アイテム'!$AE$3:$AF$114, MATCH($A$1,'アイテム'!$A$3:$A$114,0), MATCH(D128,'アイテム'!$C$2:$AQ$2,0))</f>
        <v>30</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233</v>
      </c>
      <c r="C145" s="328">
        <f t="array" ref="C145">INDEX('アイテム'!$AG$3:$AH$114, MATCH($A$1,'アイテム'!$A$3:$A$114,0), MATCH(C128,'アイテム'!$C$2:$AQ$2,0))</f>
        <v>11</v>
      </c>
      <c r="D145" s="328" t="str">
        <f t="array" ref="D145">INDEX('アイテム'!$AG$3:$AH$114, MATCH($A$1,'アイテム'!$A$3:$A$114,0), MATCH(D128,'アイテム'!$C$2:$AQ$2,0))</f>
        <v>22</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234</v>
      </c>
      <c r="C146" s="328">
        <f t="array" ref="C146">INDEX('アイテム'!$AI$3:$AJ$114, MATCH($A$1,'アイテム'!$A$3:$A$114,0), MATCH(C128,'アイテム'!$C$2:$AQ$2,0))</f>
        <v>11</v>
      </c>
      <c r="D146" s="328" t="str">
        <f t="array" ref="D146">INDEX('アイテム'!$AI$3:$AJ$114, MATCH($A$1,'アイテム'!$A$3:$A$114,0), MATCH(D128,'アイテム'!$C$2:$AQ$2,0))</f>
        <v>22</v>
      </c>
      <c r="E146" s="322"/>
      <c r="F146" s="322"/>
      <c r="G146" s="114"/>
      <c r="H146" s="228"/>
      <c r="I146" s="228"/>
      <c r="J146" s="228"/>
      <c r="K146" s="118"/>
      <c r="L146" s="118"/>
      <c r="M146" s="118"/>
      <c r="N146" s="102"/>
      <c r="O146" s="102"/>
      <c r="P146" s="102"/>
      <c r="Q146" s="102"/>
      <c r="R146" s="118"/>
      <c r="S146" s="118"/>
      <c r="T146" s="118"/>
      <c r="U146" s="118"/>
      <c r="V146" s="118"/>
    </row>
  </sheetData>
  <mergeCells count="130">
    <mergeCell ref="H26:J26"/>
    <mergeCell ref="H27:J27"/>
    <mergeCell ref="H28:J28"/>
    <mergeCell ref="H29:J29"/>
    <mergeCell ref="H30:J31"/>
    <mergeCell ref="U30:U31"/>
    <mergeCell ref="H32:J32"/>
    <mergeCell ref="H33:J33"/>
    <mergeCell ref="H34:J35"/>
    <mergeCell ref="U34:U35"/>
    <mergeCell ref="U36:U38"/>
    <mergeCell ref="R41:V41"/>
    <mergeCell ref="R42:V42"/>
    <mergeCell ref="R43:V43"/>
    <mergeCell ref="U66:U71"/>
    <mergeCell ref="V66:V71"/>
    <mergeCell ref="R44:V45"/>
    <mergeCell ref="R46:V47"/>
    <mergeCell ref="R48:V51"/>
    <mergeCell ref="U55:U57"/>
    <mergeCell ref="V55:V57"/>
    <mergeCell ref="U59:U62"/>
    <mergeCell ref="V59:V62"/>
    <mergeCell ref="K99:K100"/>
    <mergeCell ref="K101:L101"/>
    <mergeCell ref="K102:K107"/>
    <mergeCell ref="K108:K111"/>
    <mergeCell ref="K112:L112"/>
    <mergeCell ref="K114:K117"/>
    <mergeCell ref="K118:L118"/>
    <mergeCell ref="K121:L121"/>
    <mergeCell ref="H66:J71"/>
    <mergeCell ref="G79:J79"/>
    <mergeCell ref="G80:J81"/>
    <mergeCell ref="G82:J83"/>
    <mergeCell ref="G84:J85"/>
    <mergeCell ref="G86:J87"/>
    <mergeCell ref="K98:L98"/>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D48:D51"/>
    <mergeCell ref="C50:C51"/>
    <mergeCell ref="A53:B53"/>
    <mergeCell ref="A54:B54"/>
    <mergeCell ref="A69:A71"/>
    <mergeCell ref="H36:J38"/>
    <mergeCell ref="I44:I45"/>
    <mergeCell ref="J44:J45"/>
    <mergeCell ref="I46:I47"/>
    <mergeCell ref="J46:J47"/>
    <mergeCell ref="I48:I51"/>
    <mergeCell ref="J48:J51"/>
    <mergeCell ref="H54:J54"/>
    <mergeCell ref="H55:J57"/>
    <mergeCell ref="H58:J58"/>
    <mergeCell ref="H59:J62"/>
    <mergeCell ref="H63:J63"/>
    <mergeCell ref="H64:J64"/>
    <mergeCell ref="H65:J65"/>
    <mergeCell ref="A119:A125"/>
    <mergeCell ref="A127:B127"/>
    <mergeCell ref="A128:B128"/>
    <mergeCell ref="A129:A130"/>
    <mergeCell ref="A132:B132"/>
    <mergeCell ref="A133:A138"/>
    <mergeCell ref="A139:A142"/>
    <mergeCell ref="A143:A146"/>
    <mergeCell ref="A104:A106"/>
    <mergeCell ref="A107:A112"/>
    <mergeCell ref="C111:C112"/>
    <mergeCell ref="D111:D112"/>
    <mergeCell ref="A113:A118"/>
    <mergeCell ref="D117:D118"/>
    <mergeCell ref="D124:D125"/>
    <mergeCell ref="A24:B25"/>
    <mergeCell ref="A26:A27"/>
    <mergeCell ref="A30:A31"/>
    <mergeCell ref="D30:D31"/>
    <mergeCell ref="A34:A35"/>
    <mergeCell ref="D34:D35"/>
    <mergeCell ref="D36:D38"/>
    <mergeCell ref="A36:A38"/>
    <mergeCell ref="A40:B41"/>
    <mergeCell ref="A44:A45"/>
    <mergeCell ref="D44:D45"/>
    <mergeCell ref="A46:A47"/>
    <mergeCell ref="D46:D47"/>
    <mergeCell ref="A48:A51"/>
    <mergeCell ref="A55:A57"/>
    <mergeCell ref="D55:D57"/>
    <mergeCell ref="A58:B58"/>
    <mergeCell ref="A59:A62"/>
    <mergeCell ref="D59:D60"/>
    <mergeCell ref="D61:D62"/>
    <mergeCell ref="A63:B63"/>
    <mergeCell ref="D80:D81"/>
    <mergeCell ref="D82:D83"/>
    <mergeCell ref="D84:D85"/>
    <mergeCell ref="D86:D87"/>
    <mergeCell ref="A65:B65"/>
    <mergeCell ref="A66:A68"/>
    <mergeCell ref="A73:B74"/>
    <mergeCell ref="A76:A78"/>
    <mergeCell ref="A79:B79"/>
    <mergeCell ref="A80:A81"/>
    <mergeCell ref="A82:A83"/>
    <mergeCell ref="A84:A85"/>
    <mergeCell ref="A86:A87"/>
    <mergeCell ref="A89:B90"/>
    <mergeCell ref="A91:A93"/>
    <mergeCell ref="A94:A95"/>
    <mergeCell ref="A97:B98"/>
    <mergeCell ref="A99:A103"/>
    <mergeCell ref="C117:C118"/>
    <mergeCell ref="C124:C125"/>
  </mergeCells>
  <conditionalFormatting sqref="K1:K15 K17:K122">
    <cfRule type="containsText" dxfId="0" priority="1" operator="containsText" text="361">
      <formula>NOT(ISERROR(SEARCH(("361"),(K1))))</formula>
    </cfRule>
  </conditionalFormatting>
  <conditionalFormatting sqref="K1:K15 K17:K122">
    <cfRule type="containsText" dxfId="1" priority="2" operator="containsText" text="363">
      <formula>NOT(ISERROR(SEARCH(("363"),(K1))))</formula>
    </cfRule>
  </conditionalFormatting>
  <conditionalFormatting sqref="K1:K15 K17:K122">
    <cfRule type="containsText" dxfId="1" priority="3" operator="containsText" text="365">
      <formula>NOT(ISERROR(SEARCH(("365"),(K1))))</formula>
    </cfRule>
  </conditionalFormatting>
  <conditionalFormatting sqref="K1:K15 K17:K122">
    <cfRule type="containsText" dxfId="1" priority="4" operator="containsText" text="366">
      <formula>NOT(ISERROR(SEARCH(("366"),(K1))))</formula>
    </cfRule>
  </conditionalFormatting>
  <conditionalFormatting sqref="K1:K15 K17:K122">
    <cfRule type="containsText" dxfId="1" priority="5" operator="containsText" text="367">
      <formula>NOT(ISERROR(SEARCH(("367"),(K1))))</formula>
    </cfRule>
  </conditionalFormatting>
  <conditionalFormatting sqref="P80:P87">
    <cfRule type="cellIs" dxfId="2" priority="6" operator="equal">
      <formula>"敵のみ"</formula>
    </cfRule>
  </conditionalFormatting>
  <conditionalFormatting sqref="C80:C87">
    <cfRule type="cellIs" dxfId="3" priority="7" operator="equal">
      <formula>"-"</formula>
    </cfRule>
  </conditionalFormatting>
  <conditionalFormatting sqref="O1:O146 C64 E64:G64 K64:N64 P64:T64 E66:G68 C67:C69 K67:N71 P67:T71 D69:D71 C80 E80:F80 K80:N80 P80:Q80 C82 E82:F82 K82:N82 P82:Q82 C84 E84:F84 K84:N84 P84:Q84 C86 E86:F86 K86:N86 P86:P87 Q86">
    <cfRule type="cellIs" dxfId="4" priority="8" operator="greaterThan">
      <formula>0</formula>
    </cfRule>
  </conditionalFormatting>
  <conditionalFormatting sqref="P1:Q146">
    <cfRule type="cellIs" dxfId="5" priority="9" operator="lessThan">
      <formula>1</formula>
    </cfRule>
  </conditionalFormatting>
  <conditionalFormatting sqref="P1:Q146">
    <cfRule type="cellIs" dxfId="4" priority="10" operator="greaterThan">
      <formula>1</formula>
    </cfRule>
  </conditionalFormatting>
  <conditionalFormatting sqref="N25:N87">
    <cfRule type="cellIs" dxfId="6" priority="11" operator="greaterThan">
      <formula>0</formula>
    </cfRule>
  </conditionalFormatting>
  <conditionalFormatting sqref="N1:N15 N17:N146">
    <cfRule type="containsText" dxfId="6" priority="12" operator="containsText" text="/">
      <formula>NOT(ISERROR(SEARCH(("/"),(N1))))</formula>
    </cfRule>
  </conditionalFormatting>
  <drawing r:id="rId2"/>
  <legacyDrawing r:id="rId3"/>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CE689"/>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011">
        <v>43.0</v>
      </c>
      <c r="B1" s="2012"/>
      <c r="C1" s="2013" t="str">
        <f>IMAGE(VLOOKUP($A$1,Fighters!A2:AI114,12,FALSE),1)</f>
        <v>#REF!</v>
      </c>
      <c r="D1" s="2014"/>
      <c r="E1" s="2014"/>
      <c r="F1" s="2014"/>
      <c r="G1" s="2015"/>
      <c r="H1" s="2016"/>
      <c r="I1" s="2014"/>
      <c r="J1" s="2015"/>
      <c r="K1" s="2017"/>
      <c r="L1" s="2014"/>
      <c r="M1" s="2015"/>
      <c r="N1" s="2018"/>
      <c r="O1" s="2018"/>
      <c r="P1" s="2018"/>
      <c r="Q1" s="2018"/>
      <c r="R1" s="2019"/>
      <c r="S1" s="2019"/>
      <c r="T1" s="2019"/>
      <c r="U1" s="2019"/>
      <c r="V1" s="2019"/>
    </row>
    <row r="2">
      <c r="A2" s="2020" t="str">
        <f>VLOOKUP($A$1,Fighters!$A$2:$AI$81,6,FALSE)</f>
        <v>#8ce689</v>
      </c>
      <c r="B2" s="2012"/>
      <c r="C2" s="2021"/>
      <c r="G2" s="2022"/>
      <c r="H2" s="2023"/>
      <c r="I2" s="2024"/>
      <c r="J2" s="2025"/>
      <c r="K2" s="2023"/>
      <c r="L2" s="2024"/>
      <c r="M2" s="2025"/>
      <c r="N2" s="2018"/>
      <c r="O2" s="2018"/>
      <c r="P2" s="2018"/>
      <c r="Q2" s="2018"/>
      <c r="R2" s="2019"/>
      <c r="S2" s="2019"/>
      <c r="T2" s="2019"/>
      <c r="U2" s="2019"/>
      <c r="V2" s="2019"/>
    </row>
    <row r="3">
      <c r="A3" s="2020" t="str">
        <f>VLOOKUP($A$1,Fighters!$A$2:$AI$81,14,FALSE)</f>
        <v>43. トゥーンリンク</v>
      </c>
      <c r="B3" s="2012"/>
      <c r="C3" s="2021"/>
      <c r="G3" s="2022"/>
      <c r="H3" s="2026"/>
      <c r="I3" s="2026"/>
      <c r="J3" s="2026"/>
      <c r="K3" s="2027"/>
      <c r="L3" s="2027"/>
      <c r="M3" s="2027"/>
      <c r="N3" s="2018"/>
      <c r="O3" s="2018"/>
      <c r="P3" s="2018"/>
      <c r="Q3" s="2018"/>
      <c r="R3" s="2028"/>
      <c r="S3" s="2019"/>
      <c r="T3" s="2019"/>
      <c r="U3" s="2019"/>
      <c r="V3" s="2019"/>
    </row>
    <row r="4">
      <c r="A4" s="2020" t="str">
        <f>VLOOKUP($A$1,Fighters!$A$2:$AI$81,13,FALSE)</f>
        <v>0</v>
      </c>
      <c r="B4" s="2012"/>
      <c r="C4" s="2021"/>
      <c r="G4" s="2022"/>
      <c r="H4" s="2029"/>
      <c r="I4" s="2029"/>
      <c r="J4" s="2026"/>
      <c r="K4" s="2027"/>
      <c r="L4" s="2027"/>
      <c r="M4" s="2027"/>
      <c r="N4" s="2018"/>
      <c r="O4" s="2018"/>
      <c r="P4" s="2018"/>
      <c r="Q4" s="2018"/>
      <c r="R4" s="2028"/>
      <c r="S4" s="2019"/>
      <c r="T4" s="2019"/>
      <c r="U4" s="2019"/>
      <c r="V4" s="2019"/>
    </row>
    <row r="5" ht="16.5" customHeight="1">
      <c r="A5" s="2011"/>
      <c r="B5" s="2012"/>
      <c r="C5" s="2021"/>
      <c r="G5" s="2022"/>
      <c r="H5" s="2030"/>
      <c r="I5" s="2030"/>
      <c r="J5" s="2031"/>
      <c r="K5" s="2032"/>
      <c r="L5" s="2033"/>
      <c r="M5" s="2033"/>
      <c r="N5" s="2018"/>
      <c r="O5" s="2018"/>
      <c r="P5" s="2018"/>
      <c r="Q5" s="2018"/>
      <c r="R5" s="2028"/>
      <c r="S5" s="2019"/>
      <c r="T5" s="2019"/>
      <c r="U5" s="2019"/>
      <c r="V5" s="2019"/>
    </row>
    <row r="6">
      <c r="A6" s="2012"/>
      <c r="B6" s="2012"/>
      <c r="C6" s="2021"/>
      <c r="G6" s="2022"/>
      <c r="H6" s="2029"/>
      <c r="I6" s="2034" t="s">
        <v>39</v>
      </c>
      <c r="J6" s="2032"/>
      <c r="K6" s="2035"/>
      <c r="L6" s="2033"/>
      <c r="M6" s="2033"/>
      <c r="N6" s="2018"/>
      <c r="O6" s="2018"/>
      <c r="P6" s="2018"/>
      <c r="Q6" s="2018"/>
      <c r="R6" s="2028"/>
      <c r="S6" s="2019"/>
      <c r="T6" s="2019"/>
      <c r="U6" s="2019"/>
      <c r="V6" s="2019"/>
    </row>
    <row r="7">
      <c r="A7" s="2012"/>
      <c r="B7" s="2012"/>
      <c r="C7" s="2021"/>
      <c r="G7" s="2022"/>
      <c r="H7" s="2030"/>
      <c r="I7" s="2030"/>
      <c r="J7" s="2032"/>
      <c r="K7" s="2035"/>
      <c r="L7" s="2033"/>
      <c r="M7" s="2033"/>
      <c r="N7" s="2018"/>
      <c r="O7" s="2018"/>
      <c r="P7" s="2018"/>
      <c r="Q7" s="2018"/>
      <c r="R7" s="2028"/>
      <c r="S7" s="2019"/>
      <c r="T7" s="2019"/>
      <c r="U7" s="2019"/>
      <c r="V7" s="2019"/>
    </row>
    <row r="8">
      <c r="A8" s="2012"/>
      <c r="B8" s="2012"/>
      <c r="C8" s="2021"/>
      <c r="G8" s="2022"/>
      <c r="H8" s="2036">
        <v>44379.844518067126</v>
      </c>
      <c r="I8" s="2014"/>
      <c r="J8" s="2015"/>
      <c r="K8" s="2032"/>
      <c r="L8" s="2033"/>
      <c r="M8" s="2033"/>
      <c r="N8" s="2018"/>
      <c r="O8" s="2018"/>
      <c r="P8" s="2018"/>
      <c r="Q8" s="2018"/>
      <c r="R8" s="2028"/>
      <c r="S8" s="2019"/>
      <c r="T8" s="2019"/>
      <c r="U8" s="2019"/>
      <c r="V8" s="2019"/>
    </row>
    <row r="9">
      <c r="A9" s="2012"/>
      <c r="B9" s="2012"/>
      <c r="C9" s="2021"/>
      <c r="G9" s="2022"/>
      <c r="H9" s="2023"/>
      <c r="I9" s="2024"/>
      <c r="J9" s="2025"/>
      <c r="K9" s="2019"/>
      <c r="L9" s="2018"/>
      <c r="M9" s="2018"/>
      <c r="N9" s="2018"/>
      <c r="O9" s="2018"/>
      <c r="P9" s="2018"/>
      <c r="Q9" s="2018"/>
      <c r="R9" s="2028"/>
      <c r="S9" s="2019"/>
      <c r="T9" s="2019"/>
      <c r="U9" s="2019"/>
      <c r="V9" s="2019"/>
    </row>
    <row r="10">
      <c r="A10" s="2037"/>
      <c r="B10" s="2012"/>
      <c r="C10" s="2021"/>
      <c r="G10" s="2022"/>
      <c r="H10" s="2038"/>
      <c r="I10" s="2038"/>
      <c r="J10" s="2019"/>
      <c r="K10" s="2019"/>
      <c r="L10" s="2018"/>
      <c r="M10" s="2018"/>
      <c r="N10" s="2018"/>
      <c r="O10" s="2018"/>
      <c r="P10" s="2018"/>
      <c r="Q10" s="2018"/>
      <c r="R10" s="2028"/>
      <c r="S10" s="2019"/>
      <c r="T10" s="2019"/>
      <c r="U10" s="2019"/>
      <c r="V10" s="2019"/>
    </row>
    <row r="11">
      <c r="A11" s="2039"/>
      <c r="B11" s="2012"/>
      <c r="C11" s="2021"/>
      <c r="G11" s="2022"/>
      <c r="H11" s="2030"/>
      <c r="I11" s="2030"/>
      <c r="J11" s="2019"/>
      <c r="K11" s="2019"/>
      <c r="L11" s="2018"/>
      <c r="M11" s="2018"/>
      <c r="N11" s="2018"/>
      <c r="O11" s="2018"/>
      <c r="P11" s="2018"/>
      <c r="Q11" s="2018"/>
      <c r="R11" s="2028"/>
      <c r="S11" s="2019"/>
      <c r="T11" s="2019"/>
      <c r="U11" s="2019"/>
      <c r="V11" s="2019"/>
    </row>
    <row r="12">
      <c r="A12" s="2030"/>
      <c r="B12" s="2012"/>
      <c r="C12" s="2023"/>
      <c r="D12" s="2024"/>
      <c r="E12" s="2024"/>
      <c r="F12" s="2024"/>
      <c r="G12" s="2025"/>
      <c r="H12" s="2040"/>
      <c r="I12" s="2040"/>
      <c r="J12" s="2012"/>
      <c r="K12" s="2012"/>
      <c r="L12" s="2018"/>
      <c r="M12" s="2018"/>
      <c r="N12" s="2018"/>
      <c r="O12" s="2018"/>
      <c r="P12" s="2018"/>
      <c r="Q12" s="2018"/>
      <c r="R12" s="2028"/>
      <c r="S12" s="2019"/>
      <c r="T12" s="2019"/>
      <c r="U12" s="2019"/>
      <c r="V12" s="201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91 [59th]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1.914 [44th]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1.288 [15th]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33.8 [32nd]</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1.906 [27th]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0.086 [77th]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16.32 [38th]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1.05 [43rd]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33.8 [37th]</v>
      </c>
      <c r="O20" s="99"/>
      <c r="P20" s="99"/>
      <c r="Q20" s="99"/>
      <c r="R20" s="99"/>
      <c r="S20" s="100"/>
      <c r="T20" s="100"/>
      <c r="U20" s="100"/>
      <c r="V20" s="100"/>
    </row>
    <row r="21" outlineLevel="1">
      <c r="A21" s="112" t="str">
        <f>'テンプレート'!A21</f>
        <v>空中ワイヤー</v>
      </c>
      <c r="B21" s="115" t="b">
        <v>1</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16F [3rd]</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1.38 [68th]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2.208 [68th]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0.081 [65th]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7" t="s">
        <v>267</v>
      </c>
      <c r="D26" s="136" t="s">
        <v>466</v>
      </c>
      <c r="E26" s="136" t="s">
        <v>176</v>
      </c>
      <c r="F26" s="138">
        <v>2.4</v>
      </c>
      <c r="G26" s="139" t="s">
        <v>60</v>
      </c>
      <c r="H26" s="362" t="s">
        <v>3148</v>
      </c>
      <c r="I26" s="110"/>
      <c r="J26" s="109"/>
      <c r="K26" s="138"/>
      <c r="L26" s="282"/>
      <c r="M26" s="363"/>
      <c r="N26" s="363"/>
      <c r="O26" s="145">
        <v>0.0</v>
      </c>
      <c r="P26" s="145">
        <v>1.0</v>
      </c>
      <c r="Q26" s="145">
        <v>1.0</v>
      </c>
      <c r="R26" s="100"/>
      <c r="S26" s="100"/>
      <c r="T26" s="100"/>
      <c r="U26" s="145" t="s">
        <v>62</v>
      </c>
      <c r="V26" s="100"/>
    </row>
    <row r="27" outlineLevel="1">
      <c r="A27" s="146"/>
      <c r="B27" s="147" t="s">
        <v>63</v>
      </c>
      <c r="C27" s="150" t="s">
        <v>217</v>
      </c>
      <c r="D27" s="149" t="s">
        <v>718</v>
      </c>
      <c r="E27" s="149" t="s">
        <v>176</v>
      </c>
      <c r="F27" s="138">
        <v>2.4</v>
      </c>
      <c r="G27" s="139" t="s">
        <v>60</v>
      </c>
      <c r="H27" s="362" t="s">
        <v>3149</v>
      </c>
      <c r="I27" s="110"/>
      <c r="J27" s="109"/>
      <c r="K27" s="282"/>
      <c r="L27" s="282"/>
      <c r="M27" s="363"/>
      <c r="N27" s="363"/>
      <c r="O27" s="145">
        <v>0.0</v>
      </c>
      <c r="P27" s="145">
        <v>1.0</v>
      </c>
      <c r="Q27" s="145">
        <v>1.0</v>
      </c>
      <c r="R27" s="100"/>
      <c r="S27" s="100"/>
      <c r="T27" s="100"/>
      <c r="U27" s="145" t="s">
        <v>69</v>
      </c>
      <c r="V27" s="100"/>
    </row>
    <row r="28" outlineLevel="1">
      <c r="A28" s="156"/>
      <c r="B28" s="147" t="s">
        <v>70</v>
      </c>
      <c r="C28" s="150" t="s">
        <v>217</v>
      </c>
      <c r="D28" s="149" t="s">
        <v>224</v>
      </c>
      <c r="E28" s="149" t="s">
        <v>73</v>
      </c>
      <c r="F28" s="138">
        <v>4.8</v>
      </c>
      <c r="G28" s="139" t="s">
        <v>75</v>
      </c>
      <c r="H28" s="366"/>
      <c r="I28" s="110"/>
      <c r="J28" s="109"/>
      <c r="K28" s="282"/>
      <c r="L28" s="282"/>
      <c r="M28" s="363"/>
      <c r="N28" s="363"/>
      <c r="O28" s="145">
        <v>0.0</v>
      </c>
      <c r="P28" s="145">
        <v>1.0</v>
      </c>
      <c r="Q28" s="145">
        <v>1.0</v>
      </c>
      <c r="R28" s="100"/>
      <c r="S28" s="100"/>
      <c r="T28" s="100"/>
      <c r="U28" s="145" t="s">
        <v>76</v>
      </c>
      <c r="V28" s="100"/>
    </row>
    <row r="29" outlineLevel="1">
      <c r="A29" s="170" t="s">
        <v>77</v>
      </c>
      <c r="B29" s="160"/>
      <c r="C29" s="150" t="s">
        <v>277</v>
      </c>
      <c r="D29" s="517" t="s">
        <v>593</v>
      </c>
      <c r="E29" s="149" t="s">
        <v>3150</v>
      </c>
      <c r="F29" s="138" t="s">
        <v>3151</v>
      </c>
      <c r="G29" s="139" t="s">
        <v>3152</v>
      </c>
      <c r="H29" s="140" t="s">
        <v>3153</v>
      </c>
      <c r="I29" s="110"/>
      <c r="J29" s="109"/>
      <c r="K29" s="138"/>
      <c r="L29" s="282"/>
      <c r="M29" s="363"/>
      <c r="N29" s="363"/>
      <c r="O29" s="145">
        <v>0.0</v>
      </c>
      <c r="P29" s="145">
        <v>1.0</v>
      </c>
      <c r="Q29" s="145">
        <v>1.0</v>
      </c>
      <c r="R29" s="100"/>
      <c r="S29" s="100"/>
      <c r="T29" s="100"/>
      <c r="U29" s="145" t="s">
        <v>69</v>
      </c>
      <c r="V29" s="100"/>
    </row>
    <row r="30" outlineLevel="1">
      <c r="A30" s="170" t="s">
        <v>89</v>
      </c>
      <c r="B30" s="147"/>
      <c r="C30" s="150" t="s">
        <v>505</v>
      </c>
      <c r="D30" s="149" t="s">
        <v>99</v>
      </c>
      <c r="E30" s="149" t="s">
        <v>274</v>
      </c>
      <c r="F30" s="138">
        <v>10.799999999999999</v>
      </c>
      <c r="G30" s="139" t="s">
        <v>275</v>
      </c>
      <c r="H30" s="140" t="s">
        <v>408</v>
      </c>
      <c r="I30" s="110"/>
      <c r="J30" s="109"/>
      <c r="K30" s="138"/>
      <c r="L30" s="282"/>
      <c r="M30" s="363"/>
      <c r="N30" s="363"/>
      <c r="O30" s="145">
        <v>0.0</v>
      </c>
      <c r="P30" s="145">
        <v>1.0</v>
      </c>
      <c r="Q30" s="145">
        <v>1.0</v>
      </c>
      <c r="R30" s="100"/>
      <c r="S30" s="100"/>
      <c r="T30" s="100"/>
      <c r="U30" s="145" t="s">
        <v>62</v>
      </c>
      <c r="V30" s="100"/>
    </row>
    <row r="31" outlineLevel="1">
      <c r="A31" s="170" t="s">
        <v>97</v>
      </c>
      <c r="B31" s="160"/>
      <c r="C31" s="150" t="s">
        <v>410</v>
      </c>
      <c r="D31" s="149" t="s">
        <v>92</v>
      </c>
      <c r="E31" s="149" t="s">
        <v>150</v>
      </c>
      <c r="F31" s="138">
        <v>6.0</v>
      </c>
      <c r="G31" s="139" t="s">
        <v>102</v>
      </c>
      <c r="H31" s="140" t="s">
        <v>408</v>
      </c>
      <c r="I31" s="110"/>
      <c r="J31" s="109"/>
      <c r="K31" s="282"/>
      <c r="L31" s="282"/>
      <c r="M31" s="363"/>
      <c r="N31" s="363"/>
      <c r="O31" s="145">
        <v>0.0</v>
      </c>
      <c r="P31" s="145">
        <v>1.0</v>
      </c>
      <c r="Q31" s="145">
        <v>1.0</v>
      </c>
      <c r="R31" s="100"/>
      <c r="S31" s="100"/>
      <c r="T31" s="100"/>
      <c r="U31" s="145" t="s">
        <v>62</v>
      </c>
      <c r="V31" s="100"/>
    </row>
    <row r="32" outlineLevel="1">
      <c r="A32" s="170" t="s">
        <v>103</v>
      </c>
      <c r="B32" s="160"/>
      <c r="C32" s="150" t="s">
        <v>220</v>
      </c>
      <c r="D32" s="149" t="s">
        <v>1114</v>
      </c>
      <c r="E32" s="149" t="s">
        <v>93</v>
      </c>
      <c r="F32" s="138">
        <v>8.4</v>
      </c>
      <c r="G32" s="139" t="s">
        <v>95</v>
      </c>
      <c r="H32" s="140" t="s">
        <v>3154</v>
      </c>
      <c r="I32" s="110"/>
      <c r="J32" s="109"/>
      <c r="K32" s="145"/>
      <c r="L32" s="363"/>
      <c r="M32" s="363"/>
      <c r="N32" s="363"/>
      <c r="O32" s="145">
        <v>0.0</v>
      </c>
      <c r="P32" s="145">
        <v>1.0</v>
      </c>
      <c r="Q32" s="145">
        <v>1.0</v>
      </c>
      <c r="R32" s="100"/>
      <c r="S32" s="100"/>
      <c r="T32" s="100"/>
      <c r="U32" s="145" t="s">
        <v>62</v>
      </c>
      <c r="V32" s="100"/>
    </row>
    <row r="33" outlineLevel="1">
      <c r="A33" s="170" t="s">
        <v>109</v>
      </c>
      <c r="B33" s="147"/>
      <c r="C33" s="150" t="s">
        <v>454</v>
      </c>
      <c r="D33" s="149" t="s">
        <v>541</v>
      </c>
      <c r="E33" s="149" t="s">
        <v>119</v>
      </c>
      <c r="F33" s="138">
        <v>16.8</v>
      </c>
      <c r="G33" s="139" t="s">
        <v>121</v>
      </c>
      <c r="H33" s="140" t="s">
        <v>3155</v>
      </c>
      <c r="I33" s="110"/>
      <c r="J33" s="109"/>
      <c r="K33" s="282"/>
      <c r="L33" s="282"/>
      <c r="M33" s="363"/>
      <c r="N33" s="363"/>
      <c r="O33" s="145">
        <v>0.0</v>
      </c>
      <c r="P33" s="145">
        <v>1.0</v>
      </c>
      <c r="Q33" s="145">
        <v>1.0</v>
      </c>
      <c r="R33" s="100"/>
      <c r="S33" s="100"/>
      <c r="T33" s="100"/>
      <c r="U33" s="145" t="s">
        <v>121</v>
      </c>
      <c r="V33" s="100"/>
    </row>
    <row r="34" outlineLevel="1">
      <c r="A34" s="133" t="s">
        <v>116</v>
      </c>
      <c r="B34" s="147"/>
      <c r="C34" s="216" t="s">
        <v>232</v>
      </c>
      <c r="D34" s="195" t="s">
        <v>221</v>
      </c>
      <c r="E34" s="137" t="s">
        <v>228</v>
      </c>
      <c r="F34" s="138">
        <v>15.6</v>
      </c>
      <c r="G34" s="139" t="s">
        <v>275</v>
      </c>
      <c r="H34" s="283" t="s">
        <v>3156</v>
      </c>
      <c r="I34" s="164"/>
      <c r="J34" s="104"/>
      <c r="K34" s="363"/>
      <c r="L34" s="363"/>
      <c r="M34" s="363"/>
      <c r="N34" s="363"/>
      <c r="O34" s="145">
        <v>0.0</v>
      </c>
      <c r="P34" s="145">
        <v>1.0</v>
      </c>
      <c r="Q34" s="145">
        <v>1.0</v>
      </c>
      <c r="R34" s="100"/>
      <c r="S34" s="100"/>
      <c r="T34" s="100"/>
      <c r="U34" s="166" t="s">
        <v>62</v>
      </c>
      <c r="V34" s="100"/>
    </row>
    <row r="35" outlineLevel="1">
      <c r="A35" s="146"/>
      <c r="B35" s="147" t="s">
        <v>187</v>
      </c>
      <c r="C35" s="216" t="s">
        <v>373</v>
      </c>
      <c r="D35" s="210"/>
      <c r="E35" s="137" t="s">
        <v>228</v>
      </c>
      <c r="F35" s="138">
        <v>15.6</v>
      </c>
      <c r="G35" s="139" t="s">
        <v>275</v>
      </c>
      <c r="H35" s="212"/>
      <c r="J35" s="210"/>
      <c r="K35" s="363"/>
      <c r="L35" s="363"/>
      <c r="M35" s="363"/>
      <c r="N35" s="363"/>
      <c r="O35" s="145"/>
      <c r="P35" s="145"/>
      <c r="Q35" s="145"/>
      <c r="R35" s="100"/>
      <c r="S35" s="100"/>
      <c r="T35" s="100"/>
      <c r="U35" s="146"/>
      <c r="V35" s="100"/>
    </row>
    <row r="36" outlineLevel="1">
      <c r="A36" s="156"/>
      <c r="B36" s="147" t="s">
        <v>189</v>
      </c>
      <c r="C36" s="216" t="s">
        <v>295</v>
      </c>
      <c r="D36" s="107"/>
      <c r="E36" s="150" t="s">
        <v>128</v>
      </c>
      <c r="F36" s="138">
        <v>12.0</v>
      </c>
      <c r="G36" s="139" t="s">
        <v>95</v>
      </c>
      <c r="H36" s="106"/>
      <c r="I36" s="168"/>
      <c r="J36" s="107"/>
      <c r="K36" s="363"/>
      <c r="L36" s="363"/>
      <c r="M36" s="363"/>
      <c r="N36" s="363"/>
      <c r="O36" s="145">
        <v>0.0</v>
      </c>
      <c r="P36" s="145">
        <v>1.0</v>
      </c>
      <c r="Q36" s="145">
        <v>1.0</v>
      </c>
      <c r="R36" s="100"/>
      <c r="S36" s="100"/>
      <c r="T36" s="100"/>
      <c r="U36" s="156"/>
      <c r="V36" s="100"/>
    </row>
    <row r="37" outlineLevel="1">
      <c r="A37" s="133" t="s">
        <v>124</v>
      </c>
      <c r="B37" s="147" t="s">
        <v>125</v>
      </c>
      <c r="C37" s="137" t="s">
        <v>220</v>
      </c>
      <c r="D37" s="195" t="s">
        <v>374</v>
      </c>
      <c r="E37" s="150" t="s">
        <v>129</v>
      </c>
      <c r="F37" s="138">
        <v>14.399999999999999</v>
      </c>
      <c r="G37" s="139" t="s">
        <v>123</v>
      </c>
      <c r="H37" s="283" t="s">
        <v>553</v>
      </c>
      <c r="I37" s="164"/>
      <c r="J37" s="104"/>
      <c r="K37" s="282"/>
      <c r="L37" s="282"/>
      <c r="M37" s="363"/>
      <c r="N37" s="363"/>
      <c r="O37" s="145">
        <v>0.0</v>
      </c>
      <c r="P37" s="145">
        <v>1.0</v>
      </c>
      <c r="Q37" s="145">
        <v>1.0</v>
      </c>
      <c r="R37" s="100"/>
      <c r="S37" s="100"/>
      <c r="T37" s="100"/>
      <c r="U37" s="166" t="s">
        <v>62</v>
      </c>
      <c r="V37" s="100"/>
    </row>
    <row r="38" outlineLevel="1">
      <c r="A38" s="156"/>
      <c r="B38" s="147" t="s">
        <v>131</v>
      </c>
      <c r="C38" s="150" t="s">
        <v>203</v>
      </c>
      <c r="D38" s="107"/>
      <c r="E38" s="150" t="s">
        <v>228</v>
      </c>
      <c r="F38" s="138">
        <v>15.6</v>
      </c>
      <c r="G38" s="139" t="s">
        <v>275</v>
      </c>
      <c r="H38" s="106"/>
      <c r="I38" s="168"/>
      <c r="J38" s="107"/>
      <c r="K38" s="282"/>
      <c r="L38" s="282"/>
      <c r="M38" s="363"/>
      <c r="N38" s="363"/>
      <c r="O38" s="145">
        <v>0.0</v>
      </c>
      <c r="P38" s="145">
        <v>1.0</v>
      </c>
      <c r="Q38" s="145">
        <v>1.0</v>
      </c>
      <c r="R38" s="100"/>
      <c r="S38" s="100"/>
      <c r="T38" s="100"/>
      <c r="U38" s="156"/>
      <c r="V38" s="100"/>
    </row>
    <row r="39">
      <c r="A39" s="118"/>
      <c r="B39" s="176"/>
      <c r="C39" s="118"/>
      <c r="D39" s="118"/>
      <c r="E39" s="118"/>
      <c r="F39" s="177"/>
      <c r="G39" s="177"/>
      <c r="H39" s="118"/>
      <c r="I39" s="118"/>
      <c r="J39" s="118"/>
      <c r="K39" s="118"/>
      <c r="L39" s="118"/>
      <c r="M39" s="118"/>
      <c r="N39" s="118"/>
      <c r="O39" s="118"/>
      <c r="P39" s="118"/>
      <c r="Q39" s="118"/>
      <c r="R39" s="118"/>
      <c r="S39" s="118"/>
      <c r="T39" s="118"/>
      <c r="U39" s="118"/>
      <c r="V39" s="118"/>
    </row>
    <row r="40">
      <c r="A40" s="178" t="s">
        <v>133</v>
      </c>
      <c r="B40" s="104"/>
      <c r="C40" s="179"/>
      <c r="D40" s="179"/>
      <c r="E40" s="179"/>
      <c r="F40" s="180"/>
      <c r="G40" s="179"/>
      <c r="H40" s="180"/>
      <c r="I40" s="180"/>
      <c r="J40" s="181"/>
      <c r="K40" s="180"/>
      <c r="L40" s="180"/>
      <c r="M40" s="180"/>
      <c r="N40" s="180"/>
      <c r="O40" s="180"/>
      <c r="P40" s="180"/>
      <c r="Q40" s="180"/>
      <c r="R40" s="180"/>
      <c r="S40" s="180"/>
      <c r="T40" s="180"/>
      <c r="U40" s="180"/>
      <c r="V40" s="180"/>
    </row>
    <row r="41" outlineLevel="1">
      <c r="A41" s="106"/>
      <c r="B41" s="107"/>
      <c r="C41" s="182" t="s">
        <v>48</v>
      </c>
      <c r="D41" s="183" t="s">
        <v>49</v>
      </c>
      <c r="E41" s="182" t="s">
        <v>50</v>
      </c>
      <c r="F41" s="184" t="s">
        <v>51</v>
      </c>
      <c r="G41" s="184" t="s">
        <v>134</v>
      </c>
      <c r="H41" s="185" t="s">
        <v>52</v>
      </c>
      <c r="I41" s="184" t="str">
        <f>'テンプレート'!I56</f>
        <v>着地隙</v>
      </c>
      <c r="J41" s="184" t="s">
        <v>136</v>
      </c>
      <c r="K41" s="184" t="str">
        <f>'テンプレート'!K56</f>
        <v>ベクトル</v>
      </c>
      <c r="L41" s="184" t="str">
        <f>'テンプレート'!L56</f>
        <v>KBG (R.E.)</v>
      </c>
      <c r="M41" s="184" t="str">
        <f>'テンプレート'!M56</f>
        <v>BKB (R.A.)</v>
      </c>
      <c r="N41" s="184" t="str">
        <f>'テンプレート'!N56</f>
        <v>FKB (R.F.)</v>
      </c>
      <c r="O41" s="186" t="str">
        <f>'テンプレート'!O56</f>
        <v>盾削り値</v>
      </c>
      <c r="P41" s="184" t="str">
        <f>'テンプレート'!P56</f>
        <v>ﾋｯﾄｽﾄｯﾌﾟ</v>
      </c>
      <c r="Q41" s="186" t="str">
        <f>'テンプレート'!Q56</f>
        <v>ずらし</v>
      </c>
      <c r="R41" s="372" t="str">
        <f>'テンプレート'!R56</f>
        <v>備考</v>
      </c>
      <c r="S41" s="110"/>
      <c r="T41" s="110"/>
      <c r="U41" s="110"/>
      <c r="V41" s="110"/>
    </row>
    <row r="42" outlineLevel="1">
      <c r="A42" s="188" t="s">
        <v>144</v>
      </c>
      <c r="B42" s="459" t="s">
        <v>125</v>
      </c>
      <c r="C42" s="137" t="s">
        <v>217</v>
      </c>
      <c r="D42" s="374" t="s">
        <v>384</v>
      </c>
      <c r="E42" s="137" t="s">
        <v>1855</v>
      </c>
      <c r="F42" s="193">
        <v>10.2</v>
      </c>
      <c r="G42" s="138">
        <v>8.67</v>
      </c>
      <c r="H42" s="138" t="s">
        <v>147</v>
      </c>
      <c r="I42" s="454" t="str">
        <f t="array" ref="I42">INDEX('空中攻撃'!$O$3:$AA$109, MATCH($A$1,'空中攻撃'!$A$3:$A$109,0), MATCH(A42,'空中攻撃'!$O$2:$S$2,0))</f>
        <v>7</v>
      </c>
      <c r="J42" s="455" t="s">
        <v>1679</v>
      </c>
      <c r="K42" s="138"/>
      <c r="L42" s="282"/>
      <c r="M42" s="363"/>
      <c r="N42" s="363"/>
      <c r="O42" s="768">
        <v>0.0</v>
      </c>
      <c r="P42" s="769">
        <v>1.0</v>
      </c>
      <c r="Q42" s="769">
        <v>1.0</v>
      </c>
      <c r="R42" s="163" t="s">
        <v>891</v>
      </c>
      <c r="S42" s="164"/>
      <c r="T42" s="164"/>
      <c r="U42" s="164"/>
      <c r="V42" s="104"/>
    </row>
    <row r="43" outlineLevel="1">
      <c r="A43" s="156"/>
      <c r="B43" s="461" t="s">
        <v>131</v>
      </c>
      <c r="C43" s="150" t="s">
        <v>305</v>
      </c>
      <c r="D43" s="107"/>
      <c r="E43" s="150" t="s">
        <v>93</v>
      </c>
      <c r="F43" s="193">
        <v>8.4</v>
      </c>
      <c r="G43" s="138">
        <v>7.14</v>
      </c>
      <c r="H43" s="138" t="s">
        <v>60</v>
      </c>
      <c r="I43" s="156"/>
      <c r="J43" s="107"/>
      <c r="K43" s="138"/>
      <c r="L43" s="282"/>
      <c r="M43" s="363"/>
      <c r="N43" s="363"/>
      <c r="O43" s="768">
        <v>0.0</v>
      </c>
      <c r="P43" s="769">
        <v>1.0</v>
      </c>
      <c r="Q43" s="769">
        <v>1.0</v>
      </c>
      <c r="R43" s="106"/>
      <c r="S43" s="168"/>
      <c r="T43" s="168"/>
      <c r="U43" s="168"/>
      <c r="V43" s="107"/>
    </row>
    <row r="44" outlineLevel="1">
      <c r="A44" s="213" t="s">
        <v>151</v>
      </c>
      <c r="B44" s="459"/>
      <c r="C44" s="150" t="s">
        <v>295</v>
      </c>
      <c r="D44" s="380">
        <v>38.0</v>
      </c>
      <c r="E44" s="150" t="s">
        <v>228</v>
      </c>
      <c r="F44" s="193">
        <v>15.6</v>
      </c>
      <c r="G44" s="138">
        <v>13.26</v>
      </c>
      <c r="H44" s="138" t="s">
        <v>75</v>
      </c>
      <c r="I44" s="621" t="str">
        <f t="array" ref="I44">INDEX('空中攻撃'!$O$3:$AA$109, MATCH($A$1,'空中攻撃'!$A$3:$A$109,0), MATCH(A44,'空中攻撃'!$O$2:$S$2,0))</f>
        <v>11</v>
      </c>
      <c r="J44" s="450" t="s">
        <v>1138</v>
      </c>
      <c r="K44" s="138"/>
      <c r="L44" s="282"/>
      <c r="M44" s="363"/>
      <c r="N44" s="363"/>
      <c r="O44" s="768">
        <v>0.0</v>
      </c>
      <c r="P44" s="769">
        <v>1.0</v>
      </c>
      <c r="Q44" s="769">
        <v>1.0</v>
      </c>
      <c r="R44" s="151"/>
      <c r="S44" s="110"/>
      <c r="T44" s="110"/>
      <c r="U44" s="110"/>
      <c r="V44" s="109"/>
    </row>
    <row r="45" outlineLevel="1">
      <c r="A45" s="213" t="s">
        <v>157</v>
      </c>
      <c r="B45" s="461"/>
      <c r="C45" s="531" t="s">
        <v>543</v>
      </c>
      <c r="D45" s="216" t="s">
        <v>193</v>
      </c>
      <c r="E45" s="150" t="s">
        <v>80</v>
      </c>
      <c r="F45" s="193">
        <v>9.6</v>
      </c>
      <c r="G45" s="138">
        <v>8.16</v>
      </c>
      <c r="H45" s="138" t="s">
        <v>147</v>
      </c>
      <c r="I45" s="621">
        <f t="array" ref="I45">INDEX('空中攻撃'!$O$3:$AA$109, MATCH($A$1,'空中攻撃'!$A$3:$A$109,0), MATCH(A45,'空中攻撃'!$O$2:$S$2,0))</f>
        <v>8</v>
      </c>
      <c r="J45" s="216" t="s">
        <v>871</v>
      </c>
      <c r="K45" s="138"/>
      <c r="L45" s="282"/>
      <c r="M45" s="363"/>
      <c r="N45" s="363"/>
      <c r="O45" s="768">
        <v>0.0</v>
      </c>
      <c r="P45" s="769">
        <v>1.0</v>
      </c>
      <c r="Q45" s="769">
        <v>1.0</v>
      </c>
      <c r="R45" s="151" t="s">
        <v>457</v>
      </c>
      <c r="S45" s="110"/>
      <c r="T45" s="110"/>
      <c r="U45" s="110"/>
      <c r="V45" s="109"/>
    </row>
    <row r="46" outlineLevel="1">
      <c r="A46" s="188" t="s">
        <v>162</v>
      </c>
      <c r="B46" s="373"/>
      <c r="C46" s="150" t="s">
        <v>382</v>
      </c>
      <c r="D46" s="374" t="s">
        <v>462</v>
      </c>
      <c r="E46" s="150" t="s">
        <v>119</v>
      </c>
      <c r="F46" s="193">
        <v>16.8</v>
      </c>
      <c r="G46" s="138">
        <v>14.28</v>
      </c>
      <c r="H46" s="138" t="s">
        <v>75</v>
      </c>
      <c r="I46" s="454" t="str">
        <f t="array" ref="I46">INDEX('空中攻撃'!$O$3:$AA$109, MATCH($A$1,'空中攻撃'!$A$3:$A$109,0), MATCH(A46,'空中攻撃'!$O$2:$S$2,0))</f>
        <v>13</v>
      </c>
      <c r="J46" s="455" t="s">
        <v>3157</v>
      </c>
      <c r="K46" s="282"/>
      <c r="L46" s="282"/>
      <c r="M46" s="363"/>
      <c r="N46" s="363"/>
      <c r="O46" s="768">
        <v>0.0</v>
      </c>
      <c r="P46" s="769">
        <v>1.0</v>
      </c>
      <c r="Q46" s="769">
        <v>1.0</v>
      </c>
      <c r="R46" s="163"/>
      <c r="S46" s="164"/>
      <c r="T46" s="164"/>
      <c r="U46" s="164"/>
      <c r="V46" s="104"/>
    </row>
    <row r="47" outlineLevel="1">
      <c r="A47" s="156"/>
      <c r="B47" s="373" t="s">
        <v>84</v>
      </c>
      <c r="C47" s="150" t="s">
        <v>464</v>
      </c>
      <c r="D47" s="107"/>
      <c r="E47" s="150" t="s">
        <v>232</v>
      </c>
      <c r="F47" s="193">
        <v>13.2</v>
      </c>
      <c r="G47" s="138">
        <v>11.219999999999999</v>
      </c>
      <c r="H47" s="138" t="s">
        <v>147</v>
      </c>
      <c r="I47" s="156"/>
      <c r="J47" s="107"/>
      <c r="K47" s="282"/>
      <c r="L47" s="282"/>
      <c r="M47" s="363"/>
      <c r="N47" s="363"/>
      <c r="O47" s="768">
        <v>0.0</v>
      </c>
      <c r="P47" s="769">
        <v>1.0</v>
      </c>
      <c r="Q47" s="769">
        <v>1.0</v>
      </c>
      <c r="R47" s="106"/>
      <c r="S47" s="168"/>
      <c r="T47" s="168"/>
      <c r="U47" s="168"/>
      <c r="V47" s="107"/>
    </row>
    <row r="48" outlineLevel="1">
      <c r="A48" s="188" t="s">
        <v>166</v>
      </c>
      <c r="B48" s="373"/>
      <c r="C48" s="137" t="s">
        <v>3158</v>
      </c>
      <c r="D48" s="194">
        <v>79.0</v>
      </c>
      <c r="E48" s="137" t="s">
        <v>153</v>
      </c>
      <c r="F48" s="193">
        <v>19.2</v>
      </c>
      <c r="G48" s="138">
        <v>16.32</v>
      </c>
      <c r="H48" s="138" t="s">
        <v>102</v>
      </c>
      <c r="I48" s="454">
        <f t="array" ref="I48">INDEX('空中攻撃'!$O$3:$AA$109, MATCH($A$1,'空中攻撃'!$A$3:$A$109,0), MATCH(A48,'空中攻撃'!$O$2:$S$2,0))</f>
        <v>23</v>
      </c>
      <c r="J48" s="279" t="s">
        <v>3159</v>
      </c>
      <c r="K48" s="282"/>
      <c r="L48" s="282"/>
      <c r="M48" s="363"/>
      <c r="N48" s="363"/>
      <c r="O48" s="768">
        <v>0.0</v>
      </c>
      <c r="P48" s="769">
        <v>1.0</v>
      </c>
      <c r="Q48" s="769">
        <v>1.0</v>
      </c>
      <c r="R48" s="163" t="s">
        <v>3160</v>
      </c>
      <c r="S48" s="164"/>
      <c r="T48" s="164"/>
      <c r="U48" s="164"/>
      <c r="V48" s="104"/>
    </row>
    <row r="49" outlineLevel="1">
      <c r="A49" s="146"/>
      <c r="B49" s="373" t="s">
        <v>84</v>
      </c>
      <c r="C49" s="137" t="s">
        <v>3161</v>
      </c>
      <c r="D49" s="146"/>
      <c r="E49" s="403" t="s">
        <v>119</v>
      </c>
      <c r="F49" s="193">
        <v>16.8</v>
      </c>
      <c r="G49" s="138">
        <v>14.48</v>
      </c>
      <c r="H49" s="138" t="s">
        <v>75</v>
      </c>
      <c r="I49" s="146"/>
      <c r="J49" s="146"/>
      <c r="K49" s="282"/>
      <c r="L49" s="282"/>
      <c r="M49" s="363"/>
      <c r="N49" s="363"/>
      <c r="O49" s="768">
        <v>0.0</v>
      </c>
      <c r="P49" s="769">
        <v>1.0</v>
      </c>
      <c r="Q49" s="769">
        <v>1.0</v>
      </c>
      <c r="R49" s="212"/>
      <c r="V49" s="210"/>
    </row>
    <row r="50" outlineLevel="1">
      <c r="A50" s="156"/>
      <c r="B50" s="373" t="s">
        <v>3162</v>
      </c>
      <c r="C50" s="137" t="s">
        <v>213</v>
      </c>
      <c r="D50" s="156"/>
      <c r="E50" s="137" t="s">
        <v>3163</v>
      </c>
      <c r="F50" s="193" t="s">
        <v>3164</v>
      </c>
      <c r="G50" s="138" t="s">
        <v>3164</v>
      </c>
      <c r="H50" s="2041"/>
      <c r="I50" s="156"/>
      <c r="J50" s="156"/>
      <c r="K50" s="282"/>
      <c r="L50" s="282"/>
      <c r="M50" s="363"/>
      <c r="N50" s="363"/>
      <c r="O50" s="768">
        <v>0.0</v>
      </c>
      <c r="P50" s="769">
        <v>1.0</v>
      </c>
      <c r="Q50" s="769">
        <v>1.0</v>
      </c>
      <c r="R50" s="106"/>
      <c r="S50" s="168"/>
      <c r="T50" s="168"/>
      <c r="U50" s="168"/>
      <c r="V50" s="107"/>
    </row>
    <row r="51" outlineLevel="1">
      <c r="A51" s="213" t="s">
        <v>587</v>
      </c>
      <c r="B51" s="373"/>
      <c r="C51" s="403" t="s">
        <v>3165</v>
      </c>
      <c r="D51" s="216" t="s">
        <v>2456</v>
      </c>
      <c r="E51" s="137" t="s">
        <v>73</v>
      </c>
      <c r="F51" s="193">
        <v>4.8</v>
      </c>
      <c r="G51" s="138">
        <v>4.8</v>
      </c>
      <c r="H51" s="138" t="s">
        <v>75</v>
      </c>
      <c r="I51" s="113" t="s">
        <v>80</v>
      </c>
      <c r="J51" s="1673"/>
      <c r="K51" s="282"/>
      <c r="L51" s="282"/>
      <c r="M51" s="363"/>
      <c r="N51" s="363"/>
      <c r="O51" s="2042">
        <v>1.0</v>
      </c>
      <c r="P51" s="769">
        <v>1.0</v>
      </c>
      <c r="Q51" s="769">
        <v>1.0</v>
      </c>
      <c r="R51" s="151" t="s">
        <v>3166</v>
      </c>
      <c r="S51" s="110"/>
      <c r="T51" s="110"/>
      <c r="U51" s="110"/>
      <c r="V51" s="109"/>
    </row>
    <row r="52">
      <c r="A52" s="223"/>
      <c r="B52" s="224"/>
      <c r="C52" s="225"/>
      <c r="D52" s="225"/>
      <c r="E52" s="226"/>
      <c r="F52" s="226"/>
      <c r="G52" s="226"/>
      <c r="H52" s="227"/>
      <c r="I52" s="227"/>
      <c r="J52" s="228"/>
      <c r="K52" s="228"/>
      <c r="L52" s="228"/>
      <c r="M52" s="228"/>
      <c r="N52" s="228"/>
      <c r="O52" s="228"/>
      <c r="P52" s="228"/>
      <c r="Q52" s="118"/>
      <c r="R52" s="118"/>
      <c r="S52" s="118"/>
      <c r="T52" s="118"/>
      <c r="U52" s="118"/>
      <c r="V52" s="118"/>
    </row>
    <row r="53">
      <c r="A53" s="229" t="s">
        <v>177</v>
      </c>
      <c r="B53" s="109"/>
      <c r="C53" s="225"/>
      <c r="D53" s="225"/>
      <c r="E53" s="226"/>
      <c r="F53" s="226"/>
      <c r="G53" s="226"/>
      <c r="H53" s="227"/>
      <c r="I53" s="227"/>
      <c r="J53" s="228"/>
      <c r="K53" s="228"/>
      <c r="L53" s="228"/>
      <c r="M53" s="228"/>
      <c r="N53" s="228"/>
      <c r="O53" s="228"/>
      <c r="P53" s="228"/>
      <c r="Q53" s="118"/>
      <c r="R53" s="118"/>
      <c r="S53" s="118"/>
      <c r="T53" s="118"/>
      <c r="U53" s="118"/>
      <c r="V53" s="118"/>
    </row>
    <row r="54" outlineLevel="1">
      <c r="A54" s="230" t="s">
        <v>3167</v>
      </c>
      <c r="B54" s="109"/>
      <c r="C54" s="231" t="s">
        <v>48</v>
      </c>
      <c r="D54" s="231" t="s">
        <v>49</v>
      </c>
      <c r="E54" s="232" t="s">
        <v>50</v>
      </c>
      <c r="F54" s="233" t="s">
        <v>51</v>
      </c>
      <c r="G54" s="232" t="s">
        <v>52</v>
      </c>
      <c r="H54" s="382" t="s">
        <v>53</v>
      </c>
      <c r="I54" s="110"/>
      <c r="J54" s="109"/>
      <c r="K54" s="235" t="str">
        <f>'テンプレート'!K72</f>
        <v>ベクトル</v>
      </c>
      <c r="L54" s="235" t="str">
        <f>'テンプレート'!L72</f>
        <v>KBG (R.E.)</v>
      </c>
      <c r="M54" s="235" t="str">
        <f>'テンプレート'!M72</f>
        <v>BKB (R.A.)</v>
      </c>
      <c r="N54" s="235" t="str">
        <f>'テンプレート'!N72</f>
        <v>FKB (R.F.)</v>
      </c>
      <c r="O54" s="236" t="str">
        <f>'テンプレート'!O72</f>
        <v>盾削り値</v>
      </c>
      <c r="P54" s="235" t="str">
        <f>'テンプレート'!P72</f>
        <v>ﾋｯﾄｽﾄｯﾌﾟ</v>
      </c>
      <c r="Q54" s="236" t="str">
        <f>'テンプレート'!Q72</f>
        <v>ずらし</v>
      </c>
      <c r="R54" s="235" t="str">
        <f>'テンプレート'!R72</f>
        <v>相殺</v>
      </c>
      <c r="S54" s="236" t="str">
        <f>'テンプレート'!S72</f>
        <v>相殺ﾓｰｼｮﾝ</v>
      </c>
      <c r="T54" s="236" t="str">
        <f>'テンプレート'!T72</f>
        <v>飛び道具</v>
      </c>
      <c r="U54" s="236" t="str">
        <f>'テンプレート'!U72</f>
        <v>慣性反転</v>
      </c>
      <c r="V54" s="236" t="str">
        <f>'テンプレート'!V72</f>
        <v>向き反転</v>
      </c>
    </row>
    <row r="55" outlineLevel="1">
      <c r="A55" s="237" t="s">
        <v>184</v>
      </c>
      <c r="B55" s="243"/>
      <c r="C55" s="244" t="s">
        <v>3168</v>
      </c>
      <c r="D55" s="216" t="s">
        <v>118</v>
      </c>
      <c r="E55" s="239" t="s">
        <v>475</v>
      </c>
      <c r="F55" s="138" t="s">
        <v>476</v>
      </c>
      <c r="G55" s="239" t="s">
        <v>477</v>
      </c>
      <c r="H55" s="173" t="s">
        <v>3169</v>
      </c>
      <c r="I55" s="110"/>
      <c r="J55" s="109"/>
      <c r="K55" s="282"/>
      <c r="L55" s="282"/>
      <c r="M55" s="363"/>
      <c r="N55" s="363"/>
      <c r="O55" s="138">
        <v>0.0</v>
      </c>
      <c r="P55" s="138">
        <v>1.0</v>
      </c>
      <c r="Q55" s="138">
        <v>1.0</v>
      </c>
      <c r="R55" s="145" t="b">
        <v>1</v>
      </c>
      <c r="S55" s="145" t="b">
        <v>0</v>
      </c>
      <c r="T55" s="145" t="b">
        <v>1</v>
      </c>
      <c r="U55" s="145" t="s">
        <v>186</v>
      </c>
      <c r="V55" s="145" t="b">
        <v>1</v>
      </c>
    </row>
    <row r="56" outlineLevel="1">
      <c r="A56" s="230" t="s">
        <v>487</v>
      </c>
      <c r="B56" s="109"/>
      <c r="C56" s="231" t="s">
        <v>48</v>
      </c>
      <c r="D56" s="231" t="s">
        <v>49</v>
      </c>
      <c r="E56" s="232" t="s">
        <v>50</v>
      </c>
      <c r="F56" s="233" t="s">
        <v>51</v>
      </c>
      <c r="G56" s="232" t="s">
        <v>52</v>
      </c>
      <c r="H56" s="382" t="s">
        <v>53</v>
      </c>
      <c r="I56" s="110"/>
      <c r="J56" s="109"/>
      <c r="K56" s="235" t="str">
        <f>'テンプレート'!K75</f>
        <v>ベクトル</v>
      </c>
      <c r="L56" s="235" t="str">
        <f>'テンプレート'!L75</f>
        <v>KBG (R.E.)</v>
      </c>
      <c r="M56" s="235" t="str">
        <f>'テンプレート'!M75</f>
        <v>BKB (R.A.)</v>
      </c>
      <c r="N56" s="235" t="str">
        <f>'テンプレート'!N75</f>
        <v>FKB (R.F.)</v>
      </c>
      <c r="O56" s="236" t="str">
        <f>'テンプレート'!O75</f>
        <v>盾削り値</v>
      </c>
      <c r="P56" s="235" t="str">
        <f>'テンプレート'!P75</f>
        <v>ﾋｯﾄｽﾄｯﾌﾟ</v>
      </c>
      <c r="Q56" s="236" t="str">
        <f>'テンプレート'!Q75</f>
        <v>ずらし</v>
      </c>
      <c r="R56" s="235" t="str">
        <f>'テンプレート'!R75</f>
        <v>相殺</v>
      </c>
      <c r="S56" s="236" t="str">
        <f>'テンプレート'!S75</f>
        <v>相殺ﾓｰｼｮﾝ</v>
      </c>
      <c r="T56" s="236" t="str">
        <f>'テンプレート'!T75</f>
        <v>飛び道具</v>
      </c>
      <c r="U56" s="236" t="str">
        <f>'テンプレート'!U75</f>
        <v>慣性反転</v>
      </c>
      <c r="V56" s="236" t="str">
        <f>'テンプレート'!V75</f>
        <v>向き反転</v>
      </c>
    </row>
    <row r="57" outlineLevel="1">
      <c r="A57" s="237" t="s">
        <v>184</v>
      </c>
      <c r="B57" s="465" t="s">
        <v>488</v>
      </c>
      <c r="C57" s="453" t="s">
        <v>489</v>
      </c>
      <c r="D57" s="279" t="s">
        <v>146</v>
      </c>
      <c r="E57" s="453" t="s">
        <v>80</v>
      </c>
      <c r="F57" s="138">
        <v>9.6</v>
      </c>
      <c r="G57" s="139" t="s">
        <v>60</v>
      </c>
      <c r="H57" s="163" t="s">
        <v>490</v>
      </c>
      <c r="I57" s="164"/>
      <c r="J57" s="104"/>
      <c r="K57" s="282"/>
      <c r="L57" s="282"/>
      <c r="M57" s="363"/>
      <c r="N57" s="363"/>
      <c r="O57" s="138">
        <v>0.0</v>
      </c>
      <c r="P57" s="138">
        <v>1.0</v>
      </c>
      <c r="Q57" s="138">
        <v>1.0</v>
      </c>
      <c r="R57" s="145" t="b">
        <v>1</v>
      </c>
      <c r="S57" s="145" t="b">
        <v>0</v>
      </c>
      <c r="T57" s="145" t="b">
        <v>1</v>
      </c>
      <c r="U57" s="166" t="s">
        <v>186</v>
      </c>
      <c r="V57" s="166" t="b">
        <v>1</v>
      </c>
    </row>
    <row r="58" outlineLevel="1">
      <c r="A58" s="146"/>
      <c r="B58" s="466" t="s">
        <v>491</v>
      </c>
      <c r="C58" s="458" t="s">
        <v>3170</v>
      </c>
      <c r="D58" s="146"/>
      <c r="E58" s="458" t="s">
        <v>150</v>
      </c>
      <c r="F58" s="138">
        <v>6.0</v>
      </c>
      <c r="G58" s="139" t="s">
        <v>60</v>
      </c>
      <c r="H58" s="212"/>
      <c r="J58" s="210"/>
      <c r="K58" s="138"/>
      <c r="L58" s="138"/>
      <c r="M58" s="145"/>
      <c r="N58" s="145"/>
      <c r="O58" s="138">
        <v>0.0</v>
      </c>
      <c r="P58" s="138">
        <v>1.0</v>
      </c>
      <c r="Q58" s="138">
        <v>1.0</v>
      </c>
      <c r="R58" s="145" t="b">
        <v>1</v>
      </c>
      <c r="S58" s="145" t="b">
        <v>0</v>
      </c>
      <c r="T58" s="145" t="b">
        <v>1</v>
      </c>
      <c r="U58" s="146"/>
      <c r="V58" s="146"/>
    </row>
    <row r="59" outlineLevel="1">
      <c r="A59" s="146"/>
      <c r="B59" s="466" t="s">
        <v>493</v>
      </c>
      <c r="C59" s="458" t="s">
        <v>3171</v>
      </c>
      <c r="D59" s="156"/>
      <c r="E59" s="458" t="s">
        <v>204</v>
      </c>
      <c r="F59" s="138">
        <v>3.5999999999999996</v>
      </c>
      <c r="G59" s="139" t="s">
        <v>170</v>
      </c>
      <c r="H59" s="212"/>
      <c r="J59" s="210"/>
      <c r="K59" s="138"/>
      <c r="L59" s="138"/>
      <c r="M59" s="145"/>
      <c r="N59" s="145"/>
      <c r="O59" s="138"/>
      <c r="P59" s="138"/>
      <c r="Q59" s="138"/>
      <c r="R59" s="145" t="b">
        <v>0</v>
      </c>
      <c r="S59" s="145" t="b">
        <v>0</v>
      </c>
      <c r="T59" s="145" t="b">
        <v>0</v>
      </c>
      <c r="U59" s="146"/>
      <c r="V59" s="146"/>
    </row>
    <row r="60" outlineLevel="1">
      <c r="A60" s="146"/>
      <c r="B60" s="466" t="s">
        <v>497</v>
      </c>
      <c r="C60" s="2041"/>
      <c r="D60" s="113" t="s">
        <v>274</v>
      </c>
      <c r="E60" s="2041"/>
      <c r="F60" s="2041"/>
      <c r="G60" s="2041"/>
      <c r="H60" s="106"/>
      <c r="I60" s="168"/>
      <c r="J60" s="107"/>
      <c r="K60" s="138"/>
      <c r="L60" s="138"/>
      <c r="M60" s="145"/>
      <c r="N60" s="145"/>
      <c r="O60" s="138">
        <v>0.0</v>
      </c>
      <c r="P60" s="138">
        <v>1.0</v>
      </c>
      <c r="Q60" s="138">
        <v>1.0</v>
      </c>
      <c r="R60" s="145" t="b">
        <v>1</v>
      </c>
      <c r="S60" s="145" t="b">
        <v>0</v>
      </c>
      <c r="T60" s="145" t="b">
        <v>1</v>
      </c>
      <c r="U60" s="156"/>
      <c r="V60" s="156"/>
    </row>
    <row r="61" outlineLevel="1">
      <c r="A61" s="230" t="s">
        <v>498</v>
      </c>
      <c r="B61" s="109"/>
      <c r="C61" s="231" t="s">
        <v>48</v>
      </c>
      <c r="D61" s="231" t="s">
        <v>49</v>
      </c>
      <c r="E61" s="232" t="s">
        <v>50</v>
      </c>
      <c r="F61" s="233" t="s">
        <v>51</v>
      </c>
      <c r="G61" s="232" t="s">
        <v>52</v>
      </c>
      <c r="H61" s="382" t="s">
        <v>53</v>
      </c>
      <c r="I61" s="110"/>
      <c r="J61" s="109"/>
      <c r="K61" s="235" t="str">
        <f>'テンプレート'!K80</f>
        <v>ベクトル</v>
      </c>
      <c r="L61" s="235" t="str">
        <f>'テンプレート'!L80</f>
        <v>KBG (R.E.)</v>
      </c>
      <c r="M61" s="235" t="str">
        <f>'テンプレート'!M80</f>
        <v>BKB (R.A.)</v>
      </c>
      <c r="N61" s="235" t="str">
        <f>'テンプレート'!N80</f>
        <v>FKB (R.F.)</v>
      </c>
      <c r="O61" s="236" t="str">
        <f>'テンプレート'!O80</f>
        <v>盾削り値</v>
      </c>
      <c r="P61" s="235" t="str">
        <f>'テンプレート'!P80</f>
        <v>ﾋｯﾄｽﾄｯﾌﾟ</v>
      </c>
      <c r="Q61" s="236" t="str">
        <f>'テンプレート'!Q80</f>
        <v>ずらし</v>
      </c>
      <c r="R61" s="235" t="str">
        <f>'テンプレート'!R80</f>
        <v>相殺</v>
      </c>
      <c r="S61" s="236" t="str">
        <f>'テンプレート'!S80</f>
        <v>相殺ﾓｰｼｮﾝ</v>
      </c>
      <c r="T61" s="236" t="str">
        <f>'テンプレート'!T80</f>
        <v>飛び道具</v>
      </c>
      <c r="U61" s="236" t="str">
        <f>'テンプレート'!U80</f>
        <v>慣性反転</v>
      </c>
      <c r="V61" s="236" t="str">
        <f>'テンプレート'!V80</f>
        <v>向き反転</v>
      </c>
    </row>
    <row r="62" outlineLevel="1">
      <c r="A62" s="396" t="s">
        <v>332</v>
      </c>
      <c r="B62" s="249" t="s">
        <v>604</v>
      </c>
      <c r="C62" s="136" t="s">
        <v>3172</v>
      </c>
      <c r="D62" s="2043" t="s">
        <v>428</v>
      </c>
      <c r="E62" s="137" t="s">
        <v>213</v>
      </c>
      <c r="F62" s="138">
        <v>1.2</v>
      </c>
      <c r="G62" s="139" t="s">
        <v>170</v>
      </c>
      <c r="H62" s="175" t="s">
        <v>3173</v>
      </c>
      <c r="I62" s="164"/>
      <c r="J62" s="104"/>
      <c r="K62" s="138"/>
      <c r="L62" s="138"/>
      <c r="M62" s="145"/>
      <c r="N62" s="145"/>
      <c r="O62" s="138">
        <v>0.0</v>
      </c>
      <c r="P62" s="138">
        <v>1.0</v>
      </c>
      <c r="Q62" s="138">
        <v>1.0</v>
      </c>
      <c r="R62" s="145" t="b">
        <v>0</v>
      </c>
      <c r="S62" s="145" t="b">
        <v>0</v>
      </c>
      <c r="T62" s="145"/>
      <c r="U62" s="166" t="b">
        <v>0</v>
      </c>
      <c r="V62" s="166" t="b">
        <v>1</v>
      </c>
    </row>
    <row r="63" outlineLevel="1">
      <c r="A63" s="146"/>
      <c r="B63" s="2044" t="s">
        <v>606</v>
      </c>
      <c r="C63" s="149" t="s">
        <v>3174</v>
      </c>
      <c r="D63" s="146"/>
      <c r="E63" s="150" t="s">
        <v>213</v>
      </c>
      <c r="F63" s="138">
        <v>1.2</v>
      </c>
      <c r="G63" s="139" t="s">
        <v>170</v>
      </c>
      <c r="H63" s="212"/>
      <c r="J63" s="210"/>
      <c r="K63" s="138"/>
      <c r="L63" s="138"/>
      <c r="M63" s="145"/>
      <c r="N63" s="145"/>
      <c r="O63" s="138">
        <v>0.0</v>
      </c>
      <c r="P63" s="138">
        <v>1.0</v>
      </c>
      <c r="Q63" s="138">
        <v>1.0</v>
      </c>
      <c r="R63" s="145"/>
      <c r="S63" s="145"/>
      <c r="T63" s="145"/>
      <c r="U63" s="146"/>
      <c r="V63" s="146"/>
    </row>
    <row r="64" outlineLevel="1">
      <c r="A64" s="156"/>
      <c r="B64" s="255" t="s">
        <v>202</v>
      </c>
      <c r="C64" s="149" t="s">
        <v>541</v>
      </c>
      <c r="D64" s="156"/>
      <c r="E64" s="150" t="s">
        <v>204</v>
      </c>
      <c r="F64" s="138">
        <v>3.5999999999999996</v>
      </c>
      <c r="G64" s="139" t="s">
        <v>147</v>
      </c>
      <c r="H64" s="106"/>
      <c r="I64" s="168"/>
      <c r="J64" s="107"/>
      <c r="K64" s="138"/>
      <c r="L64" s="138"/>
      <c r="M64" s="145"/>
      <c r="N64" s="145"/>
      <c r="O64" s="138">
        <v>0.0</v>
      </c>
      <c r="P64" s="138">
        <v>1.0</v>
      </c>
      <c r="Q64" s="138">
        <v>1.0</v>
      </c>
      <c r="R64" s="145" t="b">
        <v>1</v>
      </c>
      <c r="S64" s="145"/>
      <c r="T64" s="145"/>
      <c r="U64" s="156"/>
      <c r="V64" s="156"/>
    </row>
    <row r="65" outlineLevel="1">
      <c r="A65" s="474" t="s">
        <v>344</v>
      </c>
      <c r="B65" s="405" t="s">
        <v>125</v>
      </c>
      <c r="C65" s="137" t="s">
        <v>161</v>
      </c>
      <c r="D65" s="2045"/>
      <c r="E65" s="150" t="s">
        <v>73</v>
      </c>
      <c r="F65" s="138">
        <v>4.8</v>
      </c>
      <c r="G65" s="139" t="s">
        <v>75</v>
      </c>
      <c r="H65" s="2046" t="s">
        <v>3175</v>
      </c>
      <c r="K65" s="138"/>
      <c r="L65" s="138"/>
      <c r="M65" s="145"/>
      <c r="N65" s="145"/>
      <c r="O65" s="138">
        <v>0.0</v>
      </c>
      <c r="P65" s="138">
        <v>1.0</v>
      </c>
      <c r="Q65" s="138">
        <v>1.0</v>
      </c>
      <c r="R65" s="145" t="b">
        <v>0</v>
      </c>
      <c r="S65" s="145" t="b">
        <v>0</v>
      </c>
      <c r="T65" s="145"/>
      <c r="U65" s="166" t="s">
        <v>186</v>
      </c>
      <c r="V65" s="166" t="b">
        <v>1</v>
      </c>
    </row>
    <row r="66" outlineLevel="1">
      <c r="A66" s="146"/>
      <c r="B66" s="249" t="s">
        <v>131</v>
      </c>
      <c r="C66" s="137" t="s">
        <v>373</v>
      </c>
      <c r="D66" s="146"/>
      <c r="E66" s="150" t="s">
        <v>176</v>
      </c>
      <c r="F66" s="138">
        <v>2.4</v>
      </c>
      <c r="G66" s="139" t="s">
        <v>60</v>
      </c>
      <c r="H66" s="212"/>
      <c r="K66" s="138"/>
      <c r="L66" s="138"/>
      <c r="M66" s="145"/>
      <c r="N66" s="145"/>
      <c r="O66" s="138">
        <v>0.0</v>
      </c>
      <c r="P66" s="138">
        <v>1.0</v>
      </c>
      <c r="Q66" s="138">
        <v>1.0</v>
      </c>
      <c r="R66" s="145"/>
      <c r="S66" s="145"/>
      <c r="T66" s="145"/>
      <c r="U66" s="146"/>
      <c r="V66" s="146"/>
    </row>
    <row r="67" outlineLevel="1">
      <c r="A67" s="146"/>
      <c r="B67" s="249" t="s">
        <v>434</v>
      </c>
      <c r="C67" s="137" t="s">
        <v>1137</v>
      </c>
      <c r="D67" s="146"/>
      <c r="E67" s="150" t="s">
        <v>176</v>
      </c>
      <c r="F67" s="138">
        <v>2.4</v>
      </c>
      <c r="G67" s="139" t="s">
        <v>60</v>
      </c>
      <c r="H67" s="212"/>
      <c r="K67" s="138"/>
      <c r="L67" s="138"/>
      <c r="M67" s="145"/>
      <c r="N67" s="145"/>
      <c r="O67" s="138"/>
      <c r="P67" s="138"/>
      <c r="Q67" s="138"/>
      <c r="R67" s="145" t="b">
        <v>0</v>
      </c>
      <c r="S67" s="145" t="b">
        <v>0</v>
      </c>
      <c r="T67" s="145" t="b">
        <v>0</v>
      </c>
      <c r="U67" s="146"/>
      <c r="V67" s="146"/>
    </row>
    <row r="68" outlineLevel="1">
      <c r="A68" s="146"/>
      <c r="B68" s="249" t="s">
        <v>520</v>
      </c>
      <c r="C68" s="137" t="s">
        <v>334</v>
      </c>
      <c r="D68" s="146"/>
      <c r="E68" s="150" t="s">
        <v>176</v>
      </c>
      <c r="F68" s="138">
        <v>2.4</v>
      </c>
      <c r="G68" s="139" t="s">
        <v>60</v>
      </c>
      <c r="H68" s="212"/>
      <c r="K68" s="138"/>
      <c r="L68" s="138"/>
      <c r="M68" s="145"/>
      <c r="N68" s="145"/>
      <c r="O68" s="138"/>
      <c r="P68" s="138"/>
      <c r="Q68" s="138"/>
      <c r="R68" s="145" t="b">
        <v>0</v>
      </c>
      <c r="S68" s="145" t="b">
        <v>0</v>
      </c>
      <c r="T68" s="145" t="b">
        <v>0</v>
      </c>
      <c r="U68" s="146"/>
      <c r="V68" s="146"/>
    </row>
    <row r="69" outlineLevel="1">
      <c r="A69" s="146"/>
      <c r="B69" s="249" t="s">
        <v>521</v>
      </c>
      <c r="C69" s="137" t="s">
        <v>1918</v>
      </c>
      <c r="D69" s="146"/>
      <c r="E69" s="150" t="s">
        <v>176</v>
      </c>
      <c r="F69" s="138">
        <v>2.4</v>
      </c>
      <c r="G69" s="139" t="s">
        <v>60</v>
      </c>
      <c r="H69" s="212"/>
      <c r="K69" s="138"/>
      <c r="L69" s="138"/>
      <c r="M69" s="145"/>
      <c r="N69" s="145"/>
      <c r="O69" s="138"/>
      <c r="P69" s="138"/>
      <c r="Q69" s="138"/>
      <c r="R69" s="145" t="b">
        <v>0</v>
      </c>
      <c r="S69" s="145" t="b">
        <v>0</v>
      </c>
      <c r="T69" s="145" t="b">
        <v>0</v>
      </c>
      <c r="U69" s="146"/>
      <c r="V69" s="146"/>
    </row>
    <row r="70" outlineLevel="1">
      <c r="A70" s="146"/>
      <c r="B70" s="249" t="s">
        <v>172</v>
      </c>
      <c r="C70" s="137" t="s">
        <v>562</v>
      </c>
      <c r="D70" s="146"/>
      <c r="E70" s="150" t="s">
        <v>176</v>
      </c>
      <c r="F70" s="138">
        <v>2.4</v>
      </c>
      <c r="G70" s="139" t="s">
        <v>60</v>
      </c>
      <c r="H70" s="212"/>
      <c r="K70" s="138"/>
      <c r="L70" s="138"/>
      <c r="M70" s="145"/>
      <c r="N70" s="145"/>
      <c r="O70" s="138"/>
      <c r="P70" s="138"/>
      <c r="Q70" s="138"/>
      <c r="R70" s="145" t="b">
        <v>0</v>
      </c>
      <c r="S70" s="145" t="b">
        <v>0</v>
      </c>
      <c r="T70" s="145" t="b">
        <v>0</v>
      </c>
      <c r="U70" s="146"/>
      <c r="V70" s="146"/>
    </row>
    <row r="71" outlineLevel="1">
      <c r="A71" s="146"/>
      <c r="B71" s="249" t="s">
        <v>365</v>
      </c>
      <c r="C71" s="137" t="s">
        <v>1619</v>
      </c>
      <c r="D71" s="146"/>
      <c r="E71" s="150" t="s">
        <v>176</v>
      </c>
      <c r="F71" s="138">
        <v>2.4</v>
      </c>
      <c r="G71" s="139" t="s">
        <v>60</v>
      </c>
      <c r="H71" s="212"/>
      <c r="K71" s="138"/>
      <c r="L71" s="138"/>
      <c r="M71" s="145"/>
      <c r="N71" s="145"/>
      <c r="O71" s="138"/>
      <c r="P71" s="138"/>
      <c r="Q71" s="138"/>
      <c r="R71" s="145" t="b">
        <v>0</v>
      </c>
      <c r="S71" s="145" t="b">
        <v>0</v>
      </c>
      <c r="T71" s="145" t="b">
        <v>0</v>
      </c>
      <c r="U71" s="146"/>
      <c r="V71" s="146"/>
    </row>
    <row r="72" outlineLevel="1">
      <c r="A72" s="146"/>
      <c r="B72" s="249" t="s">
        <v>524</v>
      </c>
      <c r="C72" s="137" t="s">
        <v>193</v>
      </c>
      <c r="D72" s="146"/>
      <c r="E72" s="150" t="s">
        <v>176</v>
      </c>
      <c r="F72" s="138">
        <v>2.4</v>
      </c>
      <c r="G72" s="139" t="s">
        <v>60</v>
      </c>
      <c r="H72" s="212"/>
      <c r="K72" s="138"/>
      <c r="L72" s="138"/>
      <c r="M72" s="145"/>
      <c r="N72" s="145"/>
      <c r="O72" s="138"/>
      <c r="P72" s="138"/>
      <c r="Q72" s="138"/>
      <c r="R72" s="145" t="b">
        <v>0</v>
      </c>
      <c r="S72" s="145" t="b">
        <v>0</v>
      </c>
      <c r="T72" s="145" t="b">
        <v>0</v>
      </c>
      <c r="U72" s="146"/>
      <c r="V72" s="146"/>
    </row>
    <row r="73" outlineLevel="1">
      <c r="A73" s="156"/>
      <c r="B73" s="249" t="s">
        <v>526</v>
      </c>
      <c r="C73" s="137" t="s">
        <v>3176</v>
      </c>
      <c r="D73" s="156"/>
      <c r="E73" s="150" t="s">
        <v>73</v>
      </c>
      <c r="F73" s="138">
        <v>4.8</v>
      </c>
      <c r="G73" s="139" t="s">
        <v>75</v>
      </c>
      <c r="H73" s="212"/>
      <c r="K73" s="138"/>
      <c r="L73" s="138"/>
      <c r="M73" s="145"/>
      <c r="N73" s="145"/>
      <c r="O73" s="138">
        <v>0.0</v>
      </c>
      <c r="P73" s="138">
        <v>1.0</v>
      </c>
      <c r="Q73" s="138">
        <v>1.0</v>
      </c>
      <c r="R73" s="145"/>
      <c r="S73" s="145"/>
      <c r="T73" s="145"/>
      <c r="U73" s="156"/>
      <c r="V73" s="156"/>
    </row>
    <row r="74" outlineLevel="1">
      <c r="A74" s="230" t="s">
        <v>3177</v>
      </c>
      <c r="B74" s="109"/>
      <c r="C74" s="231" t="s">
        <v>48</v>
      </c>
      <c r="D74" s="231" t="s">
        <v>49</v>
      </c>
      <c r="E74" s="232" t="s">
        <v>50</v>
      </c>
      <c r="F74" s="233" t="s">
        <v>51</v>
      </c>
      <c r="G74" s="232" t="s">
        <v>52</v>
      </c>
      <c r="H74" s="382" t="s">
        <v>53</v>
      </c>
      <c r="I74" s="110"/>
      <c r="J74" s="109"/>
      <c r="K74" s="235" t="str">
        <f>'テンプレート'!K85</f>
        <v>ベクトル</v>
      </c>
      <c r="L74" s="235" t="str">
        <f>'テンプレート'!L85</f>
        <v>KBG (R.E.)</v>
      </c>
      <c r="M74" s="235" t="str">
        <f>'テンプレート'!M85</f>
        <v>BKB (R.A.)</v>
      </c>
      <c r="N74" s="235" t="str">
        <f>'テンプレート'!N85</f>
        <v>FKB (R.F.)</v>
      </c>
      <c r="O74" s="236" t="str">
        <f>'テンプレート'!O85</f>
        <v>盾削り値</v>
      </c>
      <c r="P74" s="235" t="str">
        <f>'テンプレート'!P85</f>
        <v>ﾋｯﾄｽﾄｯﾌﾟ</v>
      </c>
      <c r="Q74" s="236" t="str">
        <f>'テンプレート'!Q85</f>
        <v>ずらし</v>
      </c>
      <c r="R74" s="235" t="str">
        <f>'テンプレート'!R85</f>
        <v>相殺</v>
      </c>
      <c r="S74" s="236" t="str">
        <f>'テンプレート'!S85</f>
        <v>相殺ﾓｰｼｮﾝ</v>
      </c>
      <c r="T74" s="236" t="str">
        <f>'テンプレート'!T85</f>
        <v>飛び道具</v>
      </c>
      <c r="U74" s="236" t="str">
        <f>'テンプレート'!U85</f>
        <v>慣性反転</v>
      </c>
      <c r="V74" s="236" t="str">
        <f>'テンプレート'!V85</f>
        <v>向き反転</v>
      </c>
    </row>
    <row r="75" outlineLevel="1">
      <c r="A75" s="237" t="s">
        <v>184</v>
      </c>
      <c r="B75" s="468" t="s">
        <v>529</v>
      </c>
      <c r="C75" s="453" t="s">
        <v>1921</v>
      </c>
      <c r="D75" s="239" t="s">
        <v>224</v>
      </c>
      <c r="E75" s="2041"/>
      <c r="F75" s="2047"/>
      <c r="G75" s="665"/>
      <c r="H75" s="175" t="s">
        <v>3178</v>
      </c>
      <c r="I75" s="164"/>
      <c r="J75" s="104"/>
      <c r="K75" s="476"/>
      <c r="L75" s="476"/>
      <c r="M75" s="476"/>
      <c r="N75" s="476"/>
      <c r="O75" s="476"/>
      <c r="P75" s="476"/>
      <c r="Q75" s="476"/>
      <c r="R75" s="476"/>
      <c r="S75" s="476"/>
      <c r="T75" s="476"/>
      <c r="U75" s="166" t="b">
        <v>0</v>
      </c>
      <c r="V75" s="166" t="b">
        <v>0</v>
      </c>
    </row>
    <row r="76" outlineLevel="1">
      <c r="A76" s="156"/>
      <c r="B76" s="2048" t="s">
        <v>3179</v>
      </c>
      <c r="C76" s="453" t="s">
        <v>213</v>
      </c>
      <c r="D76" s="2041"/>
      <c r="E76" s="239" t="s">
        <v>3180</v>
      </c>
      <c r="F76" s="239" t="s">
        <v>3181</v>
      </c>
      <c r="G76" s="239" t="s">
        <v>1483</v>
      </c>
      <c r="H76" s="106"/>
      <c r="I76" s="168"/>
      <c r="J76" s="107"/>
      <c r="K76" s="239"/>
      <c r="L76" s="239"/>
      <c r="M76" s="239"/>
      <c r="N76" s="239"/>
      <c r="O76" s="138">
        <v>0.0</v>
      </c>
      <c r="P76" s="138">
        <v>1.0</v>
      </c>
      <c r="Q76" s="138">
        <v>1.0</v>
      </c>
      <c r="R76" s="145" t="b">
        <v>0</v>
      </c>
      <c r="S76" s="145" t="b">
        <v>0</v>
      </c>
      <c r="T76" s="2049" t="s">
        <v>255</v>
      </c>
      <c r="U76" s="156"/>
      <c r="V76" s="156"/>
    </row>
    <row r="77">
      <c r="A77" s="223"/>
      <c r="B77" s="224"/>
      <c r="C77" s="225"/>
      <c r="D77" s="225"/>
      <c r="E77" s="226"/>
      <c r="F77" s="226"/>
      <c r="G77" s="226"/>
      <c r="H77" s="227"/>
      <c r="I77" s="227"/>
      <c r="J77" s="228"/>
      <c r="K77" s="228"/>
      <c r="L77" s="228"/>
      <c r="M77" s="228"/>
      <c r="N77" s="228"/>
      <c r="O77" s="228"/>
      <c r="P77" s="228"/>
      <c r="Q77" s="118"/>
      <c r="R77" s="118"/>
      <c r="S77" s="118"/>
      <c r="T77" s="118"/>
      <c r="U77" s="118"/>
      <c r="V77" s="118"/>
    </row>
    <row r="78">
      <c r="A78" s="264" t="s">
        <v>211</v>
      </c>
      <c r="B78" s="104"/>
      <c r="C78" s="227"/>
      <c r="D78" s="227"/>
      <c r="E78" s="228"/>
      <c r="F78" s="265"/>
      <c r="G78" s="265"/>
      <c r="H78" s="228"/>
      <c r="I78" s="228"/>
      <c r="J78" s="228"/>
      <c r="K78" s="228"/>
      <c r="L78" s="228"/>
      <c r="M78" s="228"/>
      <c r="N78" s="118"/>
      <c r="O78" s="118"/>
      <c r="P78" s="118"/>
      <c r="Q78" s="228"/>
      <c r="R78" s="228"/>
      <c r="S78" s="228"/>
      <c r="T78" s="228"/>
      <c r="U78" s="228"/>
      <c r="V78" s="228"/>
    </row>
    <row r="79" outlineLevel="1">
      <c r="A79" s="106"/>
      <c r="B79" s="107"/>
      <c r="C79" s="266" t="s">
        <v>48</v>
      </c>
      <c r="D79" s="266" t="s">
        <v>49</v>
      </c>
      <c r="E79" s="266" t="s">
        <v>50</v>
      </c>
      <c r="F79" s="267" t="s">
        <v>51</v>
      </c>
      <c r="G79" s="227"/>
      <c r="H79" s="227"/>
      <c r="I79" s="227"/>
      <c r="J79" s="228"/>
      <c r="K79" s="228"/>
      <c r="L79" s="228"/>
      <c r="M79" s="228"/>
      <c r="N79" s="228"/>
      <c r="O79" s="228"/>
      <c r="P79" s="228"/>
      <c r="Q79" s="228"/>
      <c r="R79" s="228"/>
      <c r="S79" s="228"/>
      <c r="T79" s="228"/>
      <c r="U79" s="228"/>
      <c r="V79" s="228"/>
    </row>
    <row r="80" outlineLevel="1">
      <c r="A80" s="268" t="s">
        <v>212</v>
      </c>
      <c r="B80" s="269" t="s">
        <v>212</v>
      </c>
      <c r="C80" s="239" t="s">
        <v>213</v>
      </c>
      <c r="D80" s="239" t="s">
        <v>86</v>
      </c>
      <c r="E80" s="239" t="s">
        <v>213</v>
      </c>
      <c r="F80" s="138">
        <v>1.2</v>
      </c>
      <c r="G80" s="227"/>
      <c r="H80" s="227"/>
      <c r="I80" s="227"/>
      <c r="J80" s="228"/>
      <c r="K80" s="228"/>
      <c r="L80" s="228"/>
      <c r="M80" s="228"/>
      <c r="N80" s="228"/>
      <c r="O80" s="228"/>
      <c r="P80" s="228"/>
      <c r="Q80" s="228"/>
      <c r="R80" s="228"/>
      <c r="S80" s="228"/>
      <c r="T80" s="228"/>
      <c r="U80" s="228"/>
      <c r="V80" s="228"/>
    </row>
    <row r="81" outlineLevel="1">
      <c r="A81" s="270" t="s">
        <v>215</v>
      </c>
      <c r="B81" s="269" t="s">
        <v>216</v>
      </c>
      <c r="C81" s="239" t="s">
        <v>1927</v>
      </c>
      <c r="D81" s="239" t="s">
        <v>634</v>
      </c>
      <c r="E81" s="271"/>
      <c r="F81" s="272"/>
      <c r="G81" s="272"/>
      <c r="H81" s="227"/>
      <c r="I81" s="227"/>
      <c r="J81" s="228"/>
      <c r="K81" s="228"/>
      <c r="L81" s="228"/>
      <c r="M81" s="228"/>
      <c r="N81" s="228"/>
      <c r="O81" s="228"/>
      <c r="P81" s="228"/>
      <c r="Q81" s="228"/>
      <c r="R81" s="228"/>
      <c r="S81" s="228"/>
      <c r="T81" s="228"/>
      <c r="U81" s="228"/>
      <c r="V81" s="228"/>
    </row>
    <row r="82" outlineLevel="1">
      <c r="A82" s="212"/>
      <c r="B82" s="269" t="s">
        <v>219</v>
      </c>
      <c r="C82" s="239" t="s">
        <v>1014</v>
      </c>
      <c r="D82" s="239" t="s">
        <v>424</v>
      </c>
      <c r="E82" s="271"/>
      <c r="F82" s="272"/>
      <c r="G82" s="272"/>
      <c r="H82" s="227"/>
      <c r="I82" s="227"/>
      <c r="J82" s="228"/>
      <c r="K82" s="228"/>
      <c r="L82" s="228"/>
      <c r="M82" s="228"/>
      <c r="N82" s="228"/>
      <c r="O82" s="228"/>
      <c r="P82" s="228"/>
      <c r="Q82" s="228"/>
      <c r="R82" s="228"/>
      <c r="S82" s="228"/>
      <c r="T82" s="228"/>
      <c r="U82" s="228"/>
      <c r="V82" s="228"/>
    </row>
    <row r="83" outlineLevel="1">
      <c r="A83" s="106"/>
      <c r="B83" s="269" t="s">
        <v>222</v>
      </c>
      <c r="C83" s="239" t="s">
        <v>1928</v>
      </c>
      <c r="D83" s="239" t="s">
        <v>300</v>
      </c>
      <c r="E83" s="227"/>
      <c r="F83" s="272"/>
      <c r="G83" s="272"/>
      <c r="H83" s="227"/>
      <c r="I83" s="227"/>
      <c r="J83" s="228"/>
      <c r="K83" s="228"/>
      <c r="L83" s="228"/>
      <c r="M83" s="228"/>
      <c r="N83" s="228"/>
      <c r="O83" s="228"/>
      <c r="P83" s="228"/>
      <c r="Q83" s="228"/>
      <c r="R83" s="228"/>
      <c r="S83" s="228"/>
      <c r="T83" s="228"/>
      <c r="U83" s="228"/>
      <c r="V83" s="228"/>
    </row>
    <row r="84" outlineLevel="1">
      <c r="A84" s="273" t="s">
        <v>225</v>
      </c>
      <c r="B84" s="109"/>
      <c r="C84" s="266" t="s">
        <v>48</v>
      </c>
      <c r="D84" s="266" t="s">
        <v>49</v>
      </c>
      <c r="E84" s="266" t="s">
        <v>50</v>
      </c>
      <c r="F84" s="267" t="s">
        <v>51</v>
      </c>
      <c r="G84" s="274" t="s">
        <v>53</v>
      </c>
      <c r="H84" s="110"/>
      <c r="I84" s="110"/>
      <c r="J84" s="109"/>
      <c r="K84" s="275" t="str">
        <f>'テンプレート'!K97</f>
        <v>ベクトル</v>
      </c>
      <c r="L84" s="275" t="str">
        <f>'テンプレート'!L97</f>
        <v>KBG (R.E.)</v>
      </c>
      <c r="M84" s="275" t="str">
        <f>'テンプレート'!M97</f>
        <v>BKB (R.A.)</v>
      </c>
      <c r="N84" s="275" t="str">
        <f>'テンプレート'!N97</f>
        <v>FKB (R.F.)</v>
      </c>
      <c r="O84" s="276" t="str">
        <f>'テンプレート'!O97</f>
        <v>盾削り値</v>
      </c>
      <c r="P84" s="275" t="str">
        <f>'テンプレート'!P97</f>
        <v>ﾋｯﾄｽﾄｯﾌﾟ</v>
      </c>
      <c r="Q84" s="276" t="str">
        <f>'テンプレート'!Q97</f>
        <v>ずらし</v>
      </c>
      <c r="R84" s="277"/>
      <c r="S84" s="277"/>
      <c r="T84" s="277"/>
      <c r="U84" s="277"/>
      <c r="V84" s="277"/>
    </row>
    <row r="85" outlineLevel="1">
      <c r="A85" s="278" t="s">
        <v>226</v>
      </c>
      <c r="B85" s="269" t="s">
        <v>227</v>
      </c>
      <c r="C85" s="113" t="s">
        <v>373</v>
      </c>
      <c r="D85" s="279">
        <v>40.0</v>
      </c>
      <c r="E85" s="239" t="s">
        <v>204</v>
      </c>
      <c r="F85" s="138">
        <v>3.5999999999999996</v>
      </c>
      <c r="G85" s="416"/>
      <c r="H85" s="164"/>
      <c r="I85" s="164"/>
      <c r="J85" s="104"/>
      <c r="K85" s="282"/>
      <c r="L85" s="282"/>
      <c r="M85" s="363"/>
      <c r="N85" s="363"/>
      <c r="O85" s="145">
        <v>1.0</v>
      </c>
      <c r="P85" s="145">
        <v>1.0</v>
      </c>
      <c r="Q85" s="145">
        <v>1.0</v>
      </c>
      <c r="R85" s="277"/>
      <c r="S85" s="228"/>
      <c r="T85" s="228"/>
      <c r="U85" s="228"/>
      <c r="V85" s="228"/>
    </row>
    <row r="86" outlineLevel="1">
      <c r="A86" s="156"/>
      <c r="B86" s="269" t="s">
        <v>225</v>
      </c>
      <c r="C86" s="113">
        <v>14.0</v>
      </c>
      <c r="D86" s="156"/>
      <c r="E86" s="239" t="s">
        <v>73</v>
      </c>
      <c r="F86" s="138">
        <v>4.8</v>
      </c>
      <c r="G86" s="106"/>
      <c r="H86" s="168"/>
      <c r="I86" s="168"/>
      <c r="J86" s="107"/>
      <c r="K86" s="282"/>
      <c r="L86" s="282"/>
      <c r="M86" s="363"/>
      <c r="N86" s="363"/>
      <c r="O86" s="261"/>
      <c r="P86" s="261"/>
      <c r="Q86" s="261"/>
      <c r="R86" s="277"/>
      <c r="S86" s="228"/>
      <c r="T86" s="228"/>
      <c r="U86" s="228"/>
      <c r="V86" s="228"/>
    </row>
    <row r="87" outlineLevel="1">
      <c r="A87" s="278" t="s">
        <v>229</v>
      </c>
      <c r="B87" s="269" t="s">
        <v>227</v>
      </c>
      <c r="C87" s="476"/>
      <c r="D87" s="367" t="s">
        <v>146</v>
      </c>
      <c r="E87" s="476"/>
      <c r="F87" s="476"/>
      <c r="G87" s="416"/>
      <c r="H87" s="164"/>
      <c r="I87" s="164"/>
      <c r="J87" s="104"/>
      <c r="K87" s="476"/>
      <c r="L87" s="476"/>
      <c r="M87" s="476"/>
      <c r="N87" s="476"/>
      <c r="O87" s="476"/>
      <c r="P87" s="476"/>
      <c r="Q87" s="476"/>
      <c r="R87" s="277"/>
      <c r="S87" s="228"/>
      <c r="T87" s="228"/>
      <c r="U87" s="228"/>
      <c r="V87" s="228"/>
    </row>
    <row r="88" outlineLevel="1">
      <c r="A88" s="156"/>
      <c r="B88" s="269" t="s">
        <v>225</v>
      </c>
      <c r="C88" s="239" t="s">
        <v>466</v>
      </c>
      <c r="D88" s="156"/>
      <c r="E88" s="239" t="s">
        <v>93</v>
      </c>
      <c r="F88" s="138">
        <v>8.4</v>
      </c>
      <c r="G88" s="106"/>
      <c r="H88" s="168"/>
      <c r="I88" s="168"/>
      <c r="J88" s="107"/>
      <c r="K88" s="282"/>
      <c r="L88" s="282"/>
      <c r="M88" s="363"/>
      <c r="N88" s="363"/>
      <c r="O88" s="261"/>
      <c r="P88" s="261"/>
      <c r="Q88" s="261"/>
      <c r="R88" s="277"/>
      <c r="S88" s="228"/>
      <c r="T88" s="228"/>
      <c r="U88" s="228"/>
      <c r="V88" s="228"/>
    </row>
    <row r="89" outlineLevel="1">
      <c r="A89" s="278" t="s">
        <v>233</v>
      </c>
      <c r="B89" s="269" t="s">
        <v>227</v>
      </c>
      <c r="C89" s="239" t="s">
        <v>1912</v>
      </c>
      <c r="D89" s="279">
        <v>49.0</v>
      </c>
      <c r="E89" s="239" t="s">
        <v>538</v>
      </c>
      <c r="F89" s="138" t="s">
        <v>539</v>
      </c>
      <c r="G89" s="416"/>
      <c r="H89" s="164"/>
      <c r="I89" s="164"/>
      <c r="J89" s="104"/>
      <c r="K89" s="282"/>
      <c r="L89" s="282"/>
      <c r="M89" s="363"/>
      <c r="N89" s="363"/>
      <c r="O89" s="145">
        <v>0.0</v>
      </c>
      <c r="P89" s="145">
        <v>1.0</v>
      </c>
      <c r="Q89" s="145">
        <v>1.0</v>
      </c>
      <c r="R89" s="277"/>
      <c r="S89" s="228"/>
      <c r="T89" s="228"/>
      <c r="U89" s="228"/>
      <c r="V89" s="228"/>
    </row>
    <row r="90" outlineLevel="1">
      <c r="A90" s="156"/>
      <c r="B90" s="269" t="s">
        <v>225</v>
      </c>
      <c r="C90" s="113">
        <v>28.0</v>
      </c>
      <c r="D90" s="156"/>
      <c r="E90" s="239" t="s">
        <v>176</v>
      </c>
      <c r="F90" s="138">
        <v>2.4</v>
      </c>
      <c r="G90" s="106"/>
      <c r="H90" s="168"/>
      <c r="I90" s="168"/>
      <c r="J90" s="107"/>
      <c r="K90" s="282"/>
      <c r="L90" s="282"/>
      <c r="M90" s="363"/>
      <c r="N90" s="363"/>
      <c r="O90" s="261"/>
      <c r="P90" s="261"/>
      <c r="Q90" s="261"/>
      <c r="R90" s="277"/>
      <c r="S90" s="117"/>
      <c r="T90" s="117"/>
      <c r="U90" s="117"/>
      <c r="V90" s="117"/>
    </row>
    <row r="91" outlineLevel="1">
      <c r="A91" s="278" t="s">
        <v>234</v>
      </c>
      <c r="B91" s="269" t="s">
        <v>227</v>
      </c>
      <c r="C91" s="113" t="s">
        <v>288</v>
      </c>
      <c r="D91" s="279">
        <v>49.0</v>
      </c>
      <c r="E91" s="239" t="s">
        <v>204</v>
      </c>
      <c r="F91" s="138">
        <v>3.5999999999999996</v>
      </c>
      <c r="G91" s="416"/>
      <c r="H91" s="164"/>
      <c r="I91" s="164"/>
      <c r="J91" s="104"/>
      <c r="K91" s="282"/>
      <c r="L91" s="282"/>
      <c r="M91" s="363"/>
      <c r="N91" s="363"/>
      <c r="O91" s="145">
        <v>1.0</v>
      </c>
      <c r="P91" s="145">
        <v>1.0</v>
      </c>
      <c r="Q91" s="145">
        <v>1.0</v>
      </c>
      <c r="R91" s="277"/>
      <c r="S91" s="117"/>
      <c r="T91" s="117"/>
      <c r="U91" s="117"/>
      <c r="V91" s="117"/>
    </row>
    <row r="92" outlineLevel="1">
      <c r="A92" s="156"/>
      <c r="B92" s="269" t="s">
        <v>225</v>
      </c>
      <c r="C92" s="113">
        <v>24.0</v>
      </c>
      <c r="D92" s="156"/>
      <c r="E92" s="239" t="s">
        <v>73</v>
      </c>
      <c r="F92" s="138">
        <v>4.8</v>
      </c>
      <c r="G92" s="106"/>
      <c r="H92" s="168"/>
      <c r="I92" s="168"/>
      <c r="J92" s="107"/>
      <c r="K92" s="282"/>
      <c r="L92" s="282"/>
      <c r="M92" s="363"/>
      <c r="N92" s="363"/>
      <c r="O92" s="261"/>
      <c r="P92" s="476"/>
      <c r="Q92" s="261"/>
      <c r="R92" s="277"/>
      <c r="S92" s="117"/>
      <c r="T92" s="117"/>
      <c r="U92" s="117"/>
      <c r="V92" s="117"/>
    </row>
    <row r="93">
      <c r="A93" s="223"/>
      <c r="B93" s="224"/>
      <c r="C93" s="225"/>
      <c r="D93" s="225"/>
      <c r="E93" s="227"/>
      <c r="F93" s="177"/>
      <c r="G93" s="177"/>
      <c r="H93" s="227"/>
      <c r="I93" s="227"/>
      <c r="J93" s="228"/>
      <c r="K93" s="228"/>
      <c r="L93" s="111"/>
      <c r="M93" s="111"/>
      <c r="N93" s="111"/>
      <c r="O93" s="117"/>
      <c r="P93" s="117"/>
      <c r="Q93" s="111"/>
      <c r="R93" s="111"/>
      <c r="S93" s="111"/>
      <c r="T93" s="111"/>
      <c r="U93" s="111"/>
      <c r="V93" s="111"/>
    </row>
    <row r="94">
      <c r="A94" s="284" t="s">
        <v>241</v>
      </c>
      <c r="B94" s="104"/>
      <c r="C94" s="265"/>
      <c r="D94" s="111"/>
      <c r="E94" s="111"/>
      <c r="F94" s="111"/>
      <c r="G94" s="111"/>
      <c r="H94" s="111"/>
      <c r="I94" s="111"/>
      <c r="J94" s="118"/>
      <c r="K94" s="111"/>
      <c r="L94" s="111"/>
      <c r="M94" s="111"/>
      <c r="N94" s="111"/>
      <c r="O94" s="111"/>
      <c r="P94" s="111"/>
      <c r="Q94" s="118"/>
      <c r="R94" s="111"/>
      <c r="S94" s="111"/>
      <c r="T94" s="111"/>
      <c r="U94" s="111"/>
      <c r="V94" s="111"/>
    </row>
    <row r="95" outlineLevel="1">
      <c r="A95" s="106"/>
      <c r="B95" s="107"/>
      <c r="C95" s="285" t="s">
        <v>235</v>
      </c>
      <c r="D95" s="285" t="s">
        <v>236</v>
      </c>
      <c r="E95" s="285" t="s">
        <v>49</v>
      </c>
      <c r="F95" s="285" t="s">
        <v>237</v>
      </c>
      <c r="G95" s="286"/>
      <c r="H95" s="227"/>
      <c r="I95" s="227"/>
      <c r="J95" s="228"/>
      <c r="K95" s="228"/>
      <c r="L95" s="111"/>
      <c r="M95" s="111"/>
      <c r="N95" s="111"/>
      <c r="O95" s="111"/>
      <c r="P95" s="111"/>
      <c r="Q95" s="111"/>
      <c r="R95" s="111"/>
      <c r="S95" s="111"/>
      <c r="T95" s="111"/>
      <c r="U95" s="111"/>
      <c r="V95" s="111"/>
    </row>
    <row r="96" outlineLevel="1">
      <c r="A96" s="287" t="s">
        <v>395</v>
      </c>
      <c r="B96" s="288" t="s">
        <v>216</v>
      </c>
      <c r="C96" s="113" t="str">
        <f t="array" ref="C96">INDEX('回避'!$C$3:$U$84, MATCH($A$1,'回避'!$A$3:$A$91,0), MATCH(C95,'回避'!$C$2:$F$2,0))</f>
        <v>3-16</v>
      </c>
      <c r="D96" s="113" t="str">
        <f t="array" ref="D96">INDEX('回避'!$C$3:$U$84, MATCH($A$1,'回避'!$A$3:$A$91,0), MATCH(D95,'回避'!$C$2:$F$2,0))</f>
        <v>6-16</v>
      </c>
      <c r="E96" s="113" t="str">
        <f t="array" ref="E96">INDEX('回避'!$C$3:$U$84, MATCH($A$1,'回避'!$A$3:$A$91,0), MATCH(E95,'回避'!$C$2:$F$2,0))</f>
        <v>24 (19)</v>
      </c>
      <c r="F96" s="113" t="str">
        <f t="array" ref="F96">INDEX('回避'!$C$3:$U$84, MATCH($A$1,'回避'!$A$3:$A$91,0), MATCH(F95,'回避'!$C$2:$F$2,0))</f>
        <v>32 (25)</v>
      </c>
      <c r="G96" s="272"/>
      <c r="H96" s="227"/>
      <c r="I96" s="227"/>
      <c r="J96" s="228"/>
      <c r="K96" s="228"/>
      <c r="L96" s="228"/>
      <c r="M96" s="111"/>
      <c r="N96" s="111"/>
      <c r="O96" s="111"/>
      <c r="P96" s="111"/>
      <c r="Q96" s="111"/>
      <c r="R96" s="111"/>
      <c r="S96" s="111"/>
      <c r="T96" s="111"/>
      <c r="U96" s="111"/>
      <c r="V96" s="111"/>
    </row>
    <row r="97" outlineLevel="1">
      <c r="A97" s="212"/>
      <c r="B97" s="288" t="s">
        <v>245</v>
      </c>
      <c r="C97" s="113" t="str">
        <f t="array" ref="C97">INDEX('回避'!$G$3:$U$84, MATCH($A$1,'回避'!$A$3:$A$91,0), MATCH(C95,'回避'!$G$2:$J$2,0))</f>
        <v>4-14</v>
      </c>
      <c r="D97" s="113" t="str">
        <f t="array" ref="D97">INDEX('回避'!$G$3:$U$84, MATCH($A$1,'回避'!$A$3:$A$91,0), MATCH(D95,'回避'!$G$2:$J$2,0))</f>
        <v>8-14</v>
      </c>
      <c r="E97" s="113" t="str">
        <f t="array" ref="E97">INDEX('回避'!$G$3:$U$84, MATCH($A$1,'回避'!$A$3:$A$91,0), MATCH(E95,'回避'!$G$2:$J$2,0))</f>
        <v>28</v>
      </c>
      <c r="F97" s="113">
        <f t="array" ref="F97">INDEX('回避'!$G$3:$U$84, MATCH($A$1,'回避'!$A$3:$A$91,0), MATCH(F95,'回避'!$G$2:$J$2,0))</f>
        <v>37</v>
      </c>
      <c r="G97" s="289"/>
      <c r="H97" s="227"/>
      <c r="I97" s="227"/>
      <c r="J97" s="228"/>
      <c r="K97" s="228"/>
      <c r="L97" s="228"/>
      <c r="M97" s="228"/>
      <c r="N97" s="228"/>
      <c r="O97" s="111"/>
      <c r="P97" s="111"/>
      <c r="Q97" s="111"/>
      <c r="R97" s="111"/>
      <c r="S97" s="111"/>
      <c r="T97" s="111"/>
      <c r="U97" s="111"/>
      <c r="V97" s="111"/>
    </row>
    <row r="98" outlineLevel="1">
      <c r="A98" s="106"/>
      <c r="B98" s="288" t="s">
        <v>246</v>
      </c>
      <c r="C98" s="113" t="str">
        <f t="array" ref="C98">INDEX('回避'!$K$3:$U$84, MATCH($A$1,'回避'!$A$3:$A$91,0), MATCH(C95,'回避'!$K$2:$N$2,0))</f>
        <v>4-15</v>
      </c>
      <c r="D98" s="113" t="str">
        <f t="array" ref="D98">INDEX('回避'!$K$3:$U$84, MATCH($A$1,'回避'!$A$3:$A$91,0), MATCH(D95,'回避'!$K$2:$N$2,0))</f>
        <v>8-13</v>
      </c>
      <c r="E98" s="113" t="str">
        <f t="array" ref="E98">INDEX('回避'!$K$3:$U$84, MATCH($A$1,'回避'!$A$3:$A$91,0), MATCH(E95,'回避'!$K$2:$N$2,0))</f>
        <v>33</v>
      </c>
      <c r="F98" s="113" t="str">
        <f t="array" ref="F98">INDEX('回避'!$K$3:$U$84, MATCH($A$1,'回避'!$A$3:$A$91,0), MATCH(F95,'回避'!$K$2:$N$2,0))</f>
        <v>50</v>
      </c>
      <c r="G98" s="289"/>
      <c r="H98" s="290"/>
      <c r="I98" s="290"/>
      <c r="J98" s="117"/>
      <c r="K98" s="117"/>
      <c r="L98" s="117"/>
      <c r="M98" s="117"/>
      <c r="N98" s="117"/>
      <c r="O98" s="111"/>
      <c r="P98" s="111"/>
      <c r="Q98" s="111"/>
      <c r="R98" s="111"/>
      <c r="S98" s="111"/>
      <c r="T98" s="111"/>
      <c r="U98" s="111"/>
      <c r="V98" s="111"/>
    </row>
    <row r="99" outlineLevel="1">
      <c r="A99" s="287" t="s">
        <v>396</v>
      </c>
      <c r="B99" s="288" t="s">
        <v>397</v>
      </c>
      <c r="C99" s="113" t="str">
        <f t="array" ref="C99">INDEX('回避'!$O$3:$U$84, MATCH($A$1,'回避'!$A$3:$A$91,0), MATCH(C95,'回避'!$O$2:$R$2,0))</f>
        <v>2-26</v>
      </c>
      <c r="D99" s="113" t="str">
        <f t="array" ref="D99">INDEX('回避'!$O$3:$U$84, MATCH($A$1,'回避'!$A$3:$A$91,0), MATCH(D95,'回避'!$O$2:$R$2,0))</f>
        <v>5-24</v>
      </c>
      <c r="E99" s="113" t="str">
        <f t="array" ref="E99">INDEX('回避'!$O$3:$U$84, MATCH($A$1,'回避'!$A$3:$A$91,0), MATCH(E95,'回避'!$O$2:$R$2,0))</f>
        <v>56</v>
      </c>
      <c r="F99" s="177"/>
      <c r="G99" s="177"/>
      <c r="H99" s="118"/>
      <c r="I99" s="118"/>
      <c r="J99" s="111"/>
      <c r="K99" s="111"/>
      <c r="L99" s="111"/>
      <c r="M99" s="111"/>
      <c r="N99" s="111"/>
      <c r="O99" s="228"/>
      <c r="P99" s="228"/>
      <c r="Q99" s="228"/>
      <c r="R99" s="228"/>
      <c r="S99" s="228"/>
      <c r="T99" s="228"/>
      <c r="U99" s="228"/>
      <c r="V99" s="228"/>
    </row>
    <row r="100" outlineLevel="1">
      <c r="A100" s="106"/>
      <c r="B100" s="288" t="s">
        <v>398</v>
      </c>
      <c r="C100" s="113" t="str">
        <f t="array" ref="C100">INDEX('回避'!$S$3:$U$84, MATCH($A$1,'回避'!$A$3:$A$91,0), MATCH(C95,'回避'!$S$2:$U$2,0))</f>
        <v>2-19</v>
      </c>
      <c r="D100" s="113" t="str">
        <f t="array" ref="D100">INDEX('回避'!$S$3:$U$84, MATCH($A$1,'回避'!$A$3:$A$91,0), MATCH(D95,'回避'!$S$2:$U$2,0))</f>
        <v>5-18</v>
      </c>
      <c r="E100" s="113" t="str">
        <f t="array" ref="E100">INDEX('回避'!$S$3:$U$84, MATCH($A$1,'回避'!$A$3:$A$91,0), MATCH(E95,'回避'!$S$2:$U$2,0))</f>
        <v>真横：93
真上：123
真下：76</v>
      </c>
      <c r="F100" s="289"/>
      <c r="G100" s="289"/>
      <c r="H100" s="118"/>
      <c r="I100" s="118"/>
      <c r="J100" s="117"/>
      <c r="K100" s="117"/>
      <c r="L100" s="117"/>
      <c r="M100" s="117"/>
      <c r="N100" s="111"/>
      <c r="O100" s="118"/>
      <c r="P100" s="118"/>
      <c r="Q100" s="118"/>
      <c r="R100" s="118"/>
      <c r="S100" s="118"/>
      <c r="T100" s="118"/>
      <c r="U100" s="118"/>
      <c r="V100" s="118"/>
    </row>
    <row r="101">
      <c r="A101" s="291"/>
      <c r="B101" s="292"/>
      <c r="C101" s="286"/>
      <c r="D101" s="286"/>
      <c r="E101" s="293"/>
      <c r="F101" s="286"/>
      <c r="G101" s="286"/>
      <c r="H101" s="286"/>
      <c r="I101" s="286"/>
      <c r="J101" s="111"/>
      <c r="K101" s="227"/>
      <c r="L101" s="227"/>
      <c r="M101" s="227"/>
      <c r="N101" s="227"/>
      <c r="O101" s="118"/>
      <c r="P101" s="118"/>
      <c r="Q101" s="118"/>
      <c r="R101" s="118"/>
      <c r="S101" s="118"/>
      <c r="T101" s="118"/>
      <c r="U101" s="118"/>
      <c r="V101" s="118"/>
    </row>
    <row r="102">
      <c r="A102" s="294" t="s">
        <v>238</v>
      </c>
      <c r="B102" s="104"/>
      <c r="C102" s="228"/>
      <c r="D102" s="117"/>
      <c r="E102" s="228"/>
      <c r="F102" s="114"/>
      <c r="G102" s="114"/>
      <c r="H102" s="117"/>
      <c r="I102" s="117"/>
      <c r="J102" s="118"/>
      <c r="K102" s="118"/>
      <c r="L102" s="118"/>
      <c r="M102" s="118"/>
      <c r="N102" s="118"/>
      <c r="O102" s="118"/>
      <c r="P102" s="118"/>
      <c r="Q102" s="118"/>
      <c r="R102" s="118"/>
      <c r="S102" s="118"/>
      <c r="T102" s="118"/>
      <c r="U102" s="118"/>
      <c r="V102" s="118"/>
    </row>
    <row r="103" outlineLevel="1">
      <c r="A103" s="106"/>
      <c r="B103" s="107"/>
      <c r="C103" s="295" t="s">
        <v>235</v>
      </c>
      <c r="D103" s="295" t="s">
        <v>49</v>
      </c>
      <c r="E103" s="295" t="s">
        <v>48</v>
      </c>
      <c r="F103" s="295" t="s">
        <v>50</v>
      </c>
      <c r="G103" s="296" t="s">
        <v>51</v>
      </c>
      <c r="H103" s="228"/>
      <c r="I103" s="228"/>
      <c r="J103" s="117"/>
      <c r="K103" s="297" t="str">
        <f>'テンプレート'!K116</f>
        <v>アイテム取得</v>
      </c>
      <c r="L103" s="109"/>
      <c r="M103" s="298" t="str">
        <f>'テンプレート'!M116</f>
        <v>取得フレーム</v>
      </c>
      <c r="N103" s="298" t="str">
        <f>'テンプレート'!N116</f>
        <v>全体フレーム</v>
      </c>
      <c r="O103" s="118"/>
      <c r="P103" s="118"/>
      <c r="Q103" s="118"/>
      <c r="R103" s="118"/>
      <c r="S103" s="118"/>
      <c r="T103" s="118"/>
      <c r="U103" s="118"/>
      <c r="V103" s="118"/>
    </row>
    <row r="104" outlineLevel="1">
      <c r="A104" s="299" t="s">
        <v>239</v>
      </c>
      <c r="B104" s="300" t="s">
        <v>240</v>
      </c>
      <c r="C104" s="301"/>
      <c r="D104" s="113">
        <f t="array" ref="D104">INDEX('崖行動・受け身'!$C$3:$C101, MATCH($A$1,'崖行動・受け身'!$A$3:$A$115,0), MATCH(D103,'崖行動・受け身'!$C$2,0))</f>
        <v>19</v>
      </c>
      <c r="E104" s="301"/>
      <c r="F104" s="301"/>
      <c r="G104" s="301"/>
      <c r="H104" s="228"/>
      <c r="I104" s="228"/>
      <c r="J104" s="111"/>
      <c r="K104" s="302" t="str">
        <f>'テンプレート'!K117</f>
        <v>小アイテム</v>
      </c>
      <c r="L104" s="303" t="str">
        <f>'テンプレート'!L117</f>
        <v>その場</v>
      </c>
      <c r="M104" s="113" t="s">
        <v>76</v>
      </c>
      <c r="N104" s="113">
        <v>7.0</v>
      </c>
      <c r="O104" s="118"/>
      <c r="P104" s="118"/>
      <c r="Q104" s="118"/>
      <c r="R104" s="118"/>
      <c r="S104" s="118"/>
      <c r="T104" s="118"/>
      <c r="U104" s="118"/>
      <c r="V104" s="118"/>
    </row>
    <row r="105" outlineLevel="1">
      <c r="A105" s="146"/>
      <c r="B105" s="300" t="s">
        <v>216</v>
      </c>
      <c r="C105" s="113" t="str">
        <f t="array" ref="C105">INDEX('崖行動・受け身'!$D$3:$E101, MATCH($A$1,'崖行動・受け身'!$A$3:$A$115,0), MATCH(C103,'崖行動・受け身'!$D$2:$E$2,0))</f>
        <v>1-33</v>
      </c>
      <c r="D105" s="113">
        <f t="array" ref="D105">INDEX('崖行動・受け身'!$D$3:$E101, MATCH($A$1,'崖行動・受け身'!$A$3:$A$115,0), MATCH(D103,'崖行動・受け身'!$D$2:$E$2,0))</f>
        <v>34</v>
      </c>
      <c r="E105" s="301"/>
      <c r="F105" s="301"/>
      <c r="G105" s="301"/>
      <c r="H105" s="228"/>
      <c r="I105" s="228"/>
      <c r="J105" s="117"/>
      <c r="K105" s="156"/>
      <c r="L105" s="303" t="str">
        <f>'テンプレート'!L118</f>
        <v>歩き</v>
      </c>
      <c r="M105" s="113" t="s">
        <v>76</v>
      </c>
      <c r="N105" s="113">
        <v>23.0</v>
      </c>
      <c r="O105" s="118"/>
      <c r="P105" s="118"/>
      <c r="Q105" s="118"/>
      <c r="R105" s="118"/>
      <c r="S105" s="118"/>
      <c r="T105" s="118"/>
      <c r="U105" s="118"/>
      <c r="V105" s="118"/>
    </row>
    <row r="106" outlineLevel="1">
      <c r="A106" s="146"/>
      <c r="B106" s="300" t="s">
        <v>241</v>
      </c>
      <c r="C106" s="113" t="str">
        <f t="array" ref="C106">INDEX('崖行動・受け身'!$F$3:$G$115, MATCH($A$1,'崖行動・受け身'!$A$3:$A$115,0), MATCH(C103,'崖行動・受け身'!$F$2:$G$2,0))</f>
        <v>1-20</v>
      </c>
      <c r="D106" s="113">
        <f t="array" ref="D106">INDEX('崖行動・受け身'!$F$3:$G$115, MATCH($A$1,'崖行動・受け身'!$A$3:$A$115,0), MATCH(D103,'崖行動・受け身'!$F$2:$G$2,0))</f>
        <v>45</v>
      </c>
      <c r="E106" s="301"/>
      <c r="F106" s="301"/>
      <c r="G106" s="301"/>
      <c r="H106" s="228"/>
      <c r="I106" s="228"/>
      <c r="J106" s="111"/>
      <c r="K106" s="304" t="str">
        <f>'テンプレート'!K119</f>
        <v>アイテム投擲</v>
      </c>
      <c r="L106" s="109"/>
      <c r="M106" s="298" t="str">
        <f>'テンプレート'!M119</f>
        <v>投擲フレーム</v>
      </c>
      <c r="N106" s="298" t="str">
        <f>'テンプレート'!N119</f>
        <v>全体フレーム</v>
      </c>
      <c r="O106" s="118"/>
      <c r="P106" s="118"/>
      <c r="Q106" s="118"/>
      <c r="R106" s="118"/>
      <c r="S106" s="118"/>
      <c r="T106" s="118"/>
      <c r="U106" s="118"/>
      <c r="V106" s="118"/>
    </row>
    <row r="107" outlineLevel="1">
      <c r="A107" s="146"/>
      <c r="B107" s="300" t="s">
        <v>242</v>
      </c>
      <c r="C107" s="113" t="str">
        <f t="array" ref="C107">INDEX('崖行動・受け身'!$H$3:$I$115, MATCH($A$1,'崖行動・受け身'!$A$3:$A$115,0), MATCH(C103,'崖行動・受け身'!$H$2:$I$2,0))</f>
        <v>1-12</v>
      </c>
      <c r="D107" s="113">
        <f t="array" ref="D107">INDEX('崖行動・受け身'!$H$3:$I$115, MATCH($A$1,'崖行動・受け身'!$A$3:$A$115,0), MATCH(D103,'崖行動・受け身'!$H$2:$I$2,0))</f>
        <v>14</v>
      </c>
      <c r="E107" s="301"/>
      <c r="F107" s="301"/>
      <c r="G107" s="301"/>
      <c r="H107" s="228"/>
      <c r="I107" s="228"/>
      <c r="J107" s="117"/>
      <c r="K107" s="305" t="str">
        <f>'テンプレート'!K120</f>
        <v>地上投擲</v>
      </c>
      <c r="L107" s="303" t="str">
        <f>'テンプレート'!L120</f>
        <v>前投げ</v>
      </c>
      <c r="M107" s="113" t="s">
        <v>93</v>
      </c>
      <c r="N107" s="113">
        <v>20.0</v>
      </c>
      <c r="O107" s="111"/>
      <c r="P107" s="111"/>
      <c r="Q107" s="111"/>
      <c r="R107" s="111"/>
      <c r="S107" s="111"/>
      <c r="T107" s="111"/>
      <c r="U107" s="111"/>
      <c r="V107" s="111"/>
    </row>
    <row r="108" outlineLevel="1">
      <c r="A108" s="156"/>
      <c r="B108" s="300" t="s">
        <v>243</v>
      </c>
      <c r="C108" s="113" t="str">
        <f t="array" ref="C108">INDEX('崖行動・受け身'!$J$3:$M$115, MATCH($A$1,'崖行動・受け身'!$A$3:$A$115,0), MATCH(C103,'崖行動・受け身'!$J$2:$M$2,0))</f>
        <v>1-23</v>
      </c>
      <c r="D108" s="113">
        <f t="array" ref="D108">INDEX('崖行動・受け身'!$J$3:$M$115, MATCH($A$1,'崖行動・受け身'!$A$3:$A$115,0), MATCH(D103,'崖行動・受け身'!$J$2:$M$2,0))</f>
        <v>55</v>
      </c>
      <c r="E108" s="113" t="str">
        <f t="array" ref="E108">INDEX('崖行動・受け身'!$J$3:$M$115, MATCH($A$1,'崖行動・受け身'!$A$3:$A$115,0), MATCH(E103,'崖行動・受け身'!$J$2:$M$2,0))</f>
        <v>21-23</v>
      </c>
      <c r="F108" s="113">
        <f t="array" ref="F108">INDEX('崖行動・受け身'!$J$3:$M$115, MATCH($A$1,'崖行動・受け身'!$A$3:$A$115,0), MATCH(F103,'崖行動・受け身'!$J$2:$M$2,0))</f>
        <v>9</v>
      </c>
      <c r="G108" s="113">
        <f>F108*1.2</f>
        <v>10.8</v>
      </c>
      <c r="H108" s="228"/>
      <c r="I108" s="228"/>
      <c r="J108" s="111"/>
      <c r="K108" s="146"/>
      <c r="L108" s="303" t="str">
        <f>'テンプレート'!L121</f>
        <v>後投げ</v>
      </c>
      <c r="M108" s="113" t="s">
        <v>274</v>
      </c>
      <c r="N108" s="113">
        <v>20.0</v>
      </c>
      <c r="O108" s="111"/>
      <c r="P108" s="111"/>
      <c r="Q108" s="111"/>
      <c r="R108" s="111"/>
      <c r="S108" s="111"/>
      <c r="T108" s="111"/>
      <c r="U108" s="111"/>
      <c r="V108" s="111"/>
    </row>
    <row r="109" outlineLevel="1">
      <c r="A109" s="299" t="s">
        <v>244</v>
      </c>
      <c r="B109" s="300" t="s">
        <v>216</v>
      </c>
      <c r="C109" s="113" t="str">
        <f t="array" ref="C109">INDEX('崖行動・受け身'!$N$3:$O$115, MATCH($A$1,'崖行動・受け身'!$A$3:$A$115,0), MATCH(C103,'崖行動・受け身'!$N$2:$O$2,0))</f>
        <v>1-20</v>
      </c>
      <c r="D109" s="113">
        <f t="array" ref="D109">INDEX('崖行動・受け身'!$N$3:$O$115, MATCH($A$1,'崖行動・受け身'!$A$3:$A$115,0), MATCH(D103,'崖行動・受け身'!$N$2:$O$2,0))</f>
        <v>26</v>
      </c>
      <c r="E109" s="301"/>
      <c r="F109" s="301"/>
      <c r="G109" s="301"/>
      <c r="H109" s="228"/>
      <c r="I109" s="228"/>
      <c r="J109" s="117"/>
      <c r="K109" s="146"/>
      <c r="L109" s="303" t="str">
        <f>'テンプレート'!L122</f>
        <v>上投げ</v>
      </c>
      <c r="M109" s="113" t="s">
        <v>232</v>
      </c>
      <c r="N109" s="113">
        <v>20.0</v>
      </c>
      <c r="O109" s="228"/>
      <c r="P109" s="228"/>
      <c r="Q109" s="228"/>
      <c r="R109" s="228"/>
      <c r="S109" s="228"/>
      <c r="T109" s="228"/>
      <c r="U109" s="228"/>
      <c r="V109" s="228"/>
    </row>
    <row r="110" outlineLevel="1">
      <c r="A110" s="146"/>
      <c r="B110" s="300" t="s">
        <v>245</v>
      </c>
      <c r="C110" s="113" t="str">
        <f t="array" ref="C110">INDEX('崖行動・受け身'!$P$3:$Q$115, MATCH($A$1,'崖行動・受け身'!$A$3:$A$115,0), MATCH(C103,'崖行動・受け身'!$P$2:$Q$2,0))</f>
        <v>1-20</v>
      </c>
      <c r="D110" s="113">
        <f t="array" ref="D110">INDEX('崖行動・受け身'!$P$3:$Q$115, MATCH($A$1,'崖行動・受け身'!$A$3:$A$115,0), MATCH(D103,'崖行動・受け身'!$P$2:$Q$2,0))</f>
        <v>40</v>
      </c>
      <c r="E110" s="301"/>
      <c r="F110" s="301"/>
      <c r="G110" s="301"/>
      <c r="H110" s="228"/>
      <c r="I110" s="228"/>
      <c r="J110" s="111"/>
      <c r="K110" s="146"/>
      <c r="L110" s="303" t="str">
        <f>'テンプレート'!L123</f>
        <v>下投げ</v>
      </c>
      <c r="M110" s="113" t="s">
        <v>86</v>
      </c>
      <c r="N110" s="113">
        <v>18.0</v>
      </c>
      <c r="O110" s="118"/>
      <c r="P110" s="118"/>
      <c r="Q110" s="118"/>
      <c r="R110" s="118"/>
      <c r="S110" s="118"/>
      <c r="T110" s="118"/>
      <c r="U110" s="118"/>
      <c r="V110" s="118"/>
    </row>
    <row r="111" outlineLevel="1">
      <c r="A111" s="156"/>
      <c r="B111" s="300" t="s">
        <v>246</v>
      </c>
      <c r="C111" s="113" t="str">
        <f t="array" ref="C111">INDEX('崖行動・受け身'!$R$3:$S$115, MATCH($A$1,'崖行動・受け身'!$A$3:$A$115,0), MATCH(C103,'崖行動・受け身'!$R$2:$S$2,0))</f>
        <v>1-20</v>
      </c>
      <c r="D111" s="113">
        <f t="array" ref="D111">INDEX('崖行動・受け身'!$R$3:$S$115, MATCH($A$1,'崖行動・受け身'!$A$3:$A$115,0), MATCH(D103,'崖行動・受け身'!$R$2:$S$2,0))</f>
        <v>40</v>
      </c>
      <c r="E111" s="301"/>
      <c r="F111" s="301"/>
      <c r="G111" s="301"/>
      <c r="H111" s="228"/>
      <c r="I111" s="228"/>
      <c r="J111" s="117"/>
      <c r="K111" s="146"/>
      <c r="L111" s="306" t="str">
        <f>'テンプレート'!L124</f>
        <v>ダッシュ</v>
      </c>
      <c r="M111" s="113" t="s">
        <v>73</v>
      </c>
      <c r="N111" s="113">
        <v>35.0</v>
      </c>
      <c r="O111" s="118"/>
      <c r="P111" s="118"/>
      <c r="Q111" s="118"/>
      <c r="R111" s="118"/>
      <c r="S111" s="118"/>
      <c r="T111" s="118"/>
      <c r="U111" s="118"/>
      <c r="V111" s="118"/>
    </row>
    <row r="112" outlineLevel="1">
      <c r="A112" s="299" t="s">
        <v>247</v>
      </c>
      <c r="B112" s="300" t="s">
        <v>248</v>
      </c>
      <c r="C112" s="301"/>
      <c r="D112" s="113" t="str">
        <f t="array" ref="D112">INDEX('起きあがり'!$C$3:$C101, MATCH($A$1,'起きあがり'!$A$3:$A$115,0), MATCH(D103,'起きあがり'!$C$2:$AD$2,0))</f>
        <v>25</v>
      </c>
      <c r="E112" s="301"/>
      <c r="F112" s="301"/>
      <c r="G112" s="301"/>
      <c r="H112" s="228"/>
      <c r="I112" s="228"/>
      <c r="J112" s="111"/>
      <c r="K112" s="156"/>
      <c r="L112" s="306" t="str">
        <f>'テンプレート'!L125</f>
        <v>その場捨て</v>
      </c>
      <c r="M112" s="113" t="s">
        <v>150</v>
      </c>
      <c r="N112" s="113">
        <v>23.0</v>
      </c>
      <c r="O112" s="118"/>
      <c r="P112" s="118"/>
      <c r="Q112" s="118"/>
      <c r="R112" s="118"/>
      <c r="S112" s="118"/>
      <c r="T112" s="118"/>
      <c r="U112" s="118"/>
      <c r="V112" s="118"/>
    </row>
    <row r="113" outlineLevel="1">
      <c r="A113" s="146"/>
      <c r="B113" s="300" t="s">
        <v>216</v>
      </c>
      <c r="C113" s="307" t="str">
        <f t="array" ref="C113">INDEX('起きあがり'!$D$3:$E101, MATCH($A$1,'起きあがり'!$A$3:$A$115,0), MATCH(C103,'起きあがり'!$D$2:$AD$2,0))</f>
        <v>1-22</v>
      </c>
      <c r="D113" s="308">
        <f t="array" ref="D113">INDEX('起きあがり'!$D$3:$E101, MATCH($A$1,'起きあがり'!$A$3:$A$115,0), MATCH(D103,'起きあがり'!$D$2:$AD$2,0))</f>
        <v>29</v>
      </c>
      <c r="E113" s="301"/>
      <c r="F113" s="301"/>
      <c r="G113" s="301"/>
      <c r="H113" s="228"/>
      <c r="I113" s="228"/>
      <c r="J113" s="117"/>
      <c r="K113" s="305" t="str">
        <f>'テンプレート'!K126</f>
        <v>空中投擲</v>
      </c>
      <c r="L113" s="303" t="str">
        <f>'テンプレート'!L126</f>
        <v>前投げ</v>
      </c>
      <c r="M113" s="113" t="s">
        <v>93</v>
      </c>
      <c r="N113" s="113">
        <v>20.0</v>
      </c>
      <c r="O113" s="118"/>
      <c r="P113" s="118"/>
      <c r="Q113" s="118"/>
      <c r="R113" s="118"/>
      <c r="S113" s="118"/>
      <c r="T113" s="118"/>
      <c r="U113" s="118"/>
      <c r="V113" s="118"/>
    </row>
    <row r="114" outlineLevel="1">
      <c r="A114" s="146"/>
      <c r="B114" s="300" t="s">
        <v>245</v>
      </c>
      <c r="C114" s="307" t="str">
        <f t="array" ref="C114">INDEX('起きあがり'!$F$3:$G$115, MATCH($A$1,'起きあがり'!$A$3:$A$115,0), MATCH(C103,'起きあがり'!$F$2:$AD$2,0))</f>
        <v>1-24</v>
      </c>
      <c r="D114" s="308">
        <f t="array" ref="D114">INDEX('起きあがり'!$F$3:$G$115, MATCH($A$1,'起きあがり'!$A$3:$A$115,0), MATCH(D103,'起きあがり'!$F$2:$AD$2,0))</f>
        <v>35</v>
      </c>
      <c r="E114" s="301"/>
      <c r="F114" s="301"/>
      <c r="G114" s="301"/>
      <c r="H114" s="228"/>
      <c r="I114" s="228"/>
      <c r="J114" s="111"/>
      <c r="K114" s="146"/>
      <c r="L114" s="303" t="str">
        <f>'テンプレート'!L127</f>
        <v>後投げ</v>
      </c>
      <c r="M114" s="113" t="s">
        <v>274</v>
      </c>
      <c r="N114" s="113">
        <v>20.0</v>
      </c>
      <c r="O114" s="118"/>
      <c r="P114" s="118"/>
      <c r="Q114" s="118"/>
      <c r="R114" s="118"/>
      <c r="S114" s="118"/>
      <c r="T114" s="118"/>
      <c r="U114" s="118"/>
      <c r="V114" s="118"/>
    </row>
    <row r="115" outlineLevel="1">
      <c r="A115" s="146"/>
      <c r="B115" s="300" t="s">
        <v>246</v>
      </c>
      <c r="C115" s="113" t="str">
        <f t="array" ref="C115">INDEX('起きあがり'!$H$3:$I$115, MATCH($A$1,'起きあがり'!$A$3:$A$115,0), MATCH(C103,'起きあがり'!$H$2:$AD$2,0))</f>
        <v>1-31</v>
      </c>
      <c r="D115" s="113">
        <f t="array" ref="D115">INDEX('起きあがり'!$H$3:$I$115, MATCH($A$1,'起きあがり'!$A$3:$A$115,0), MATCH(D103,'起きあがり'!$H$2:$AD$2,0))</f>
        <v>35</v>
      </c>
      <c r="E115" s="301"/>
      <c r="F115" s="301"/>
      <c r="G115" s="301"/>
      <c r="H115" s="228"/>
      <c r="I115" s="228"/>
      <c r="J115" s="117"/>
      <c r="K115" s="146"/>
      <c r="L115" s="303" t="str">
        <f>'テンプレート'!L128</f>
        <v>上投げ</v>
      </c>
      <c r="M115" s="113" t="s">
        <v>232</v>
      </c>
      <c r="N115" s="113">
        <v>20.0</v>
      </c>
      <c r="O115" s="118"/>
      <c r="P115" s="118"/>
      <c r="Q115" s="118"/>
      <c r="R115" s="118"/>
      <c r="S115" s="118"/>
      <c r="T115" s="118"/>
      <c r="U115" s="118"/>
      <c r="V115" s="118"/>
    </row>
    <row r="116" outlineLevel="1">
      <c r="A116" s="146"/>
      <c r="B116" s="300" t="s">
        <v>249</v>
      </c>
      <c r="C116" s="309" t="str">
        <f t="array" ref="C116">INDEX('起きあがり'!$J$3:$M$115, MATCH($A$1,'起きあがり'!$A$3:$A$115,0), MATCH(C103,'起きあがり'!$J$2:$AD$2,0))</f>
        <v>1-22</v>
      </c>
      <c r="D116" s="310">
        <f t="array" ref="D116">INDEX('起きあがり'!$J$3:$M$115, MATCH($A$1,'起きあがり'!$A$3:$A$115,0), MATCH(D103,'起きあがり'!$J$2:$AD$2,0))</f>
        <v>45</v>
      </c>
      <c r="E116" s="307" t="str">
        <f t="array" ref="E116">INDEX('起きあがり'!$J$3:$M$115, MATCH($A$1,'起きあがり'!$A$3:$A$115,0), MATCH(E103,'起きあがり'!$J$2:$AD$2,0))</f>
        <v>16-17</v>
      </c>
      <c r="F116" s="308">
        <f t="array" ref="F116">INDEX('起きあがり'!$J$3:$M$115, MATCH($A$1,'起きあがり'!$A$3:$A$115,0), MATCH(F103,'起きあがり'!$J$2:$AD$2,0))</f>
        <v>7</v>
      </c>
      <c r="G116" s="113">
        <f t="shared" ref="G116:G117" si="1">F116*1.2</f>
        <v>8.4</v>
      </c>
      <c r="H116" s="228"/>
      <c r="I116" s="228"/>
      <c r="J116" s="111"/>
      <c r="K116" s="156"/>
      <c r="L116" s="303" t="str">
        <f>'テンプレート'!L129</f>
        <v>下投げ</v>
      </c>
      <c r="M116" s="113" t="s">
        <v>86</v>
      </c>
      <c r="N116" s="113">
        <v>18.0</v>
      </c>
      <c r="O116" s="111"/>
      <c r="P116" s="111"/>
      <c r="Q116" s="111"/>
      <c r="R116" s="111"/>
      <c r="S116" s="111"/>
      <c r="T116" s="111"/>
      <c r="U116" s="111"/>
      <c r="V116" s="111"/>
    </row>
    <row r="117" outlineLevel="1">
      <c r="A117" s="156"/>
      <c r="B117" s="311" t="s">
        <v>250</v>
      </c>
      <c r="C117" s="156"/>
      <c r="D117" s="156"/>
      <c r="E117" s="307" t="str">
        <f t="array" ref="E117">INDEX('起きあがり'!$N$3:$O$115, MATCH($A$1,'起きあがり'!$A$3:$A$115,0), MATCH(E103,'起きあがり'!$N$2:$AD$2,0))</f>
        <v>21-22</v>
      </c>
      <c r="F117" s="308">
        <f t="array" ref="F117">INDEX('起きあがり'!$N$3:$O$115, MATCH($A$1,'起きあがり'!$A$3:$A$115,0), MATCH(F103,'起きあがり'!$N$2:$AD$2,0))</f>
        <v>7</v>
      </c>
      <c r="G117" s="113">
        <f t="shared" si="1"/>
        <v>8.4</v>
      </c>
      <c r="H117" s="228"/>
      <c r="I117" s="228"/>
      <c r="J117" s="111"/>
      <c r="K117" s="312" t="str">
        <f>'テンプレート'!K130</f>
        <v>踏み台ジャンプ</v>
      </c>
      <c r="L117" s="168"/>
      <c r="M117" s="298" t="str">
        <f>'テンプレート'!M130</f>
        <v>全体フレーム</v>
      </c>
      <c r="N117" s="114"/>
      <c r="O117" s="111"/>
      <c r="P117" s="111"/>
      <c r="Q117" s="111"/>
      <c r="R117" s="111"/>
      <c r="S117" s="111"/>
      <c r="T117" s="111"/>
      <c r="U117" s="111"/>
      <c r="V117" s="111"/>
    </row>
    <row r="118" outlineLevel="1">
      <c r="A118" s="299" t="s">
        <v>251</v>
      </c>
      <c r="B118" s="300" t="s">
        <v>248</v>
      </c>
      <c r="C118" s="301"/>
      <c r="D118" s="307" t="str">
        <f t="array" ref="D118">INDEX('起きあがり'!$C$3:$C101, MATCH($A$1,'起きあがり'!$A$3:$A$115,0), MATCH(D103,'起きあがり'!$C$2,0))</f>
        <v>25</v>
      </c>
      <c r="E118" s="301"/>
      <c r="F118" s="301"/>
      <c r="G118" s="301"/>
      <c r="H118" s="228"/>
      <c r="I118" s="228"/>
      <c r="J118" s="117"/>
      <c r="K118" s="313" t="str">
        <f>'テンプレート'!K131</f>
        <v>踏み</v>
      </c>
      <c r="L118" s="314" t="str">
        <f>'テンプレート'!L131</f>
        <v>踏み</v>
      </c>
      <c r="M118" s="113">
        <v>8.0</v>
      </c>
      <c r="N118" s="315"/>
      <c r="O118" s="111"/>
      <c r="P118" s="111"/>
      <c r="Q118" s="111"/>
      <c r="R118" s="111"/>
      <c r="S118" s="111"/>
      <c r="T118" s="111"/>
      <c r="U118" s="111"/>
      <c r="V118" s="111"/>
    </row>
    <row r="119" outlineLevel="1">
      <c r="A119" s="146"/>
      <c r="B119" s="300" t="s">
        <v>216</v>
      </c>
      <c r="C119" s="307" t="str">
        <f t="array" ref="C119">INDEX('起きあがり'!$P$3:$Q$115, MATCH($A$1,'起きあがり'!$A$3:$A$115,0), MATCH(C103,'起きあがり'!$P$2:$AD$2,0))</f>
        <v>1-22</v>
      </c>
      <c r="D119" s="308">
        <f t="array" ref="D119">INDEX('起きあがり'!$P$3:$Q$115, MATCH($A$1,'起きあがり'!$A$3:$A$115,0), MATCH(D103,'起きあがり'!$P$2:$AD$2,0))</f>
        <v>29</v>
      </c>
      <c r="E119" s="301"/>
      <c r="F119" s="301"/>
      <c r="G119" s="301"/>
      <c r="H119" s="228"/>
      <c r="I119" s="228"/>
      <c r="J119" s="111"/>
      <c r="K119" s="305" t="str">
        <f>'テンプレート'!K132</f>
        <v>踏まれ</v>
      </c>
      <c r="L119" s="314" t="str">
        <f>'テンプレート'!L132</f>
        <v>地上踏まれ</v>
      </c>
      <c r="M119" s="113" t="s">
        <v>76</v>
      </c>
      <c r="N119" s="315"/>
      <c r="O119" s="228"/>
      <c r="P119" s="228"/>
      <c r="Q119" s="228"/>
      <c r="R119" s="228"/>
      <c r="S119" s="228"/>
      <c r="T119" s="228"/>
      <c r="U119" s="228"/>
      <c r="V119" s="228"/>
    </row>
    <row r="120" outlineLevel="1">
      <c r="A120" s="146"/>
      <c r="B120" s="300" t="s">
        <v>245</v>
      </c>
      <c r="C120" s="307" t="str">
        <f t="array" ref="C120">INDEX('起きあがり'!$R$3:$S$115, MATCH($A$1,'起きあがり'!$A$3:$A$115,0), MATCH(C103,'起きあがり'!$R$2:$AD$2,0))</f>
        <v>1-19</v>
      </c>
      <c r="D120" s="308">
        <f t="array" ref="D120">INDEX('起きあがり'!$R$3:$S$115, MATCH($A$1,'起きあがり'!$A$3:$A$115,0), MATCH(D103,'起きあがり'!$R$2:$AD$2,0))</f>
        <v>35</v>
      </c>
      <c r="E120" s="301"/>
      <c r="F120" s="301"/>
      <c r="G120" s="301"/>
      <c r="H120" s="228"/>
      <c r="I120" s="228"/>
      <c r="J120" s="117"/>
      <c r="K120" s="146"/>
      <c r="L120" s="314" t="str">
        <f>'テンプレート'!L133</f>
        <v>地上硬直</v>
      </c>
      <c r="M120" s="113">
        <v>27.0</v>
      </c>
      <c r="N120" s="102"/>
      <c r="O120" s="118"/>
      <c r="P120" s="118"/>
      <c r="Q120" s="118"/>
      <c r="R120" s="118"/>
      <c r="S120" s="118"/>
      <c r="T120" s="118"/>
      <c r="U120" s="118"/>
      <c r="V120" s="118"/>
    </row>
    <row r="121" outlineLevel="1">
      <c r="A121" s="146"/>
      <c r="B121" s="300" t="s">
        <v>246</v>
      </c>
      <c r="C121" s="307" t="str">
        <f t="array" ref="C121">INDEX('起きあがり'!$T$3:$U$115, MATCH($A$1,'起きあがり'!$A$3:$A$115,0), MATCH(C103,'起きあがり'!$T$2:$AD$2,0))</f>
        <v>1-25</v>
      </c>
      <c r="D121" s="308">
        <f t="array" ref="D121">INDEX('起きあがり'!$T$3:$U$115, MATCH($A$1,'起きあがり'!$A$3:$A$115,0), MATCH(D103,'起きあがり'!$T$2:$AD$2,0))</f>
        <v>35</v>
      </c>
      <c r="E121" s="301"/>
      <c r="F121" s="301"/>
      <c r="G121" s="301"/>
      <c r="H121" s="228"/>
      <c r="I121" s="228"/>
      <c r="J121" s="111"/>
      <c r="K121" s="146"/>
      <c r="L121" s="314" t="str">
        <f>'テンプレート'!L134</f>
        <v>空中踏まれ</v>
      </c>
      <c r="M121" s="113">
        <v>8.0</v>
      </c>
      <c r="N121" s="102"/>
      <c r="O121" s="118"/>
      <c r="P121" s="118"/>
      <c r="Q121" s="118"/>
      <c r="R121" s="118"/>
      <c r="S121" s="118"/>
      <c r="T121" s="118"/>
      <c r="U121" s="118"/>
      <c r="V121" s="118"/>
    </row>
    <row r="122" outlineLevel="1">
      <c r="A122" s="146"/>
      <c r="B122" s="300" t="s">
        <v>249</v>
      </c>
      <c r="C122" s="309" t="str">
        <f t="array" ref="C122">INDEX('起きあがり'!$V$3:$Y$115, MATCH($A$1,'起きあがり'!$A$3:$A$115,0), MATCH(C103,'起きあがり'!$V$2:$AD$2,0))</f>
        <v>1-22</v>
      </c>
      <c r="D122" s="310">
        <f t="array" ref="D122">INDEX('起きあがり'!$V$3:$Y$115, MATCH($A$1,'起きあがり'!$A$3:$A$115,0), MATCH(D103,'起きあがり'!$V$2:$AD$2,0))</f>
        <v>45</v>
      </c>
      <c r="E122" s="307" t="str">
        <f t="array" ref="E122">INDEX('起きあがり'!$V$3:$Y$115, MATCH($A$1,'起きあがり'!$A$3:$A$115,0), MATCH(E103,'起きあがり'!$V$2:$AD$2,0))</f>
        <v>16-17</v>
      </c>
      <c r="F122" s="308">
        <f t="array" ref="F122">INDEX('起きあがり'!$V$3:$Y$115, MATCH($A$1,'起きあがり'!$A$3:$A$115,0), MATCH(F103,'起きあがり'!$V$2:$AD$2,0))</f>
        <v>7</v>
      </c>
      <c r="G122" s="113">
        <f t="shared" ref="G122:G123" si="2">F122*1.2</f>
        <v>8.4</v>
      </c>
      <c r="H122" s="228"/>
      <c r="I122" s="228"/>
      <c r="J122" s="117"/>
      <c r="K122" s="146"/>
      <c r="L122" s="314" t="str">
        <f>'テンプレート'!L135</f>
        <v>空中落下</v>
      </c>
      <c r="M122" s="113">
        <v>40.0</v>
      </c>
      <c r="N122" s="102"/>
      <c r="O122" s="118"/>
      <c r="P122" s="118"/>
      <c r="Q122" s="118"/>
      <c r="R122" s="118"/>
      <c r="S122" s="118"/>
      <c r="T122" s="118"/>
      <c r="U122" s="118"/>
      <c r="V122" s="118"/>
    </row>
    <row r="123" outlineLevel="1">
      <c r="A123" s="156"/>
      <c r="B123" s="311" t="s">
        <v>250</v>
      </c>
      <c r="C123" s="156"/>
      <c r="D123" s="156"/>
      <c r="E123" s="307" t="str">
        <f t="array" ref="E123">INDEX('起きあがり'!$Z$3:$AA$115, MATCH($A$1,'起きあがり'!$A$3:$A$115,0), MATCH(E103,'起きあがり'!$Z$2:$AD$2,0))</f>
        <v>21-22</v>
      </c>
      <c r="F123" s="308">
        <f t="array" ref="F123">INDEX('起きあがり'!$Z$3:$AA$115, MATCH($A$1,'起きあがり'!$A$3:$A$115,0), MATCH(F103,'起きあがり'!$Z$2:$AD$2,0))</f>
        <v>7</v>
      </c>
      <c r="G123" s="113">
        <f t="shared" si="2"/>
        <v>8.4</v>
      </c>
      <c r="H123" s="228"/>
      <c r="I123" s="228"/>
      <c r="J123" s="117"/>
      <c r="K123" s="304" t="str">
        <f>'テンプレート'!K136</f>
        <v>倒れダメージ</v>
      </c>
      <c r="L123" s="110"/>
      <c r="M123" s="298" t="str">
        <f>'テンプレート'!M136</f>
        <v>全体フレーム</v>
      </c>
      <c r="N123" s="102"/>
      <c r="O123" s="118"/>
      <c r="P123" s="118"/>
      <c r="Q123" s="118"/>
      <c r="R123" s="118"/>
      <c r="S123" s="118"/>
      <c r="T123" s="118"/>
      <c r="U123" s="118"/>
      <c r="V123" s="118"/>
    </row>
    <row r="124" outlineLevel="1">
      <c r="A124" s="299" t="s">
        <v>252</v>
      </c>
      <c r="B124" s="300" t="s">
        <v>253</v>
      </c>
      <c r="C124" s="307" t="str">
        <f t="array" ref="C124">INDEX('転倒'!$C$3:$D101, MATCH($A$1,'転倒'!$A$3:$A$115,0), MATCH(C103,'転倒'!$C$2:$AC$2,0))</f>
        <v>1-5</v>
      </c>
      <c r="D124" s="308">
        <f t="array" ref="D124">INDEX('転倒'!$C$3:$D101, MATCH($A$1,'転倒'!$A$3:$A$115,0), MATCH(D103,'転倒'!$C$2:$AC$2,0))</f>
        <v>29</v>
      </c>
      <c r="E124" s="301"/>
      <c r="F124" s="301"/>
      <c r="G124" s="301"/>
      <c r="H124" s="228"/>
      <c r="I124" s="228"/>
      <c r="J124" s="111"/>
      <c r="K124" s="313" t="str">
        <f>'テンプレート'!K137</f>
        <v>あお向け倒れ</v>
      </c>
      <c r="L124" s="306" t="str">
        <f>'テンプレート'!L137</f>
        <v>モーション大</v>
      </c>
      <c r="M124" s="113">
        <v>39.0</v>
      </c>
      <c r="N124" s="315"/>
      <c r="O124" s="118"/>
      <c r="P124" s="118"/>
      <c r="Q124" s="118"/>
      <c r="R124" s="118"/>
      <c r="S124" s="118"/>
      <c r="T124" s="118"/>
      <c r="U124" s="118"/>
      <c r="V124" s="118"/>
    </row>
    <row r="125" outlineLevel="1">
      <c r="A125" s="146"/>
      <c r="B125" s="300" t="s">
        <v>254</v>
      </c>
      <c r="C125" s="307" t="str">
        <f t="array" ref="C125">INDEX('転倒'!$E$3:$F101, MATCH($A$1,'転倒'!$A$3:$A$115,0), MATCH(C103,'転倒'!$E$2:$AC$2,0))</f>
        <v>1-5</v>
      </c>
      <c r="D125" s="308">
        <f t="array" ref="D125">INDEX('転倒'!$E$3:$F101, MATCH($A$1,'転倒'!$A$3:$A$115,0), MATCH(D103,'転倒'!$E$2:$AC$2,0))</f>
        <v>39</v>
      </c>
      <c r="E125" s="301"/>
      <c r="F125" s="301"/>
      <c r="G125" s="301"/>
      <c r="H125" s="228"/>
      <c r="I125" s="228"/>
      <c r="J125" s="117"/>
      <c r="K125" s="313" t="str">
        <f>'テンプレート'!K138</f>
        <v>うつ伏せ倒れ</v>
      </c>
      <c r="L125" s="306" t="str">
        <f>'テンプレート'!L138</f>
        <v>モーション大</v>
      </c>
      <c r="M125" s="113" t="s">
        <v>118</v>
      </c>
      <c r="N125" s="315"/>
      <c r="O125" s="118"/>
      <c r="P125" s="118"/>
      <c r="Q125" s="118"/>
      <c r="R125" s="118"/>
      <c r="S125" s="118"/>
      <c r="T125" s="118"/>
      <c r="U125" s="118"/>
      <c r="V125" s="118"/>
    </row>
    <row r="126" outlineLevel="1">
      <c r="A126" s="146"/>
      <c r="B126" s="300" t="s">
        <v>216</v>
      </c>
      <c r="C126" s="307" t="str">
        <f t="array" ref="C126">INDEX('転倒'!$G$3:$H$115, MATCH($A$1,'転倒'!$A$3:$A$115,0), MATCH(C103,'転倒'!$G$2:$AC$2,0))</f>
        <v>1-16</v>
      </c>
      <c r="D126" s="308">
        <f t="array" ref="D126">INDEX('転倒'!$G$3:$H$115, MATCH($A$1,'転倒'!$A$3:$A$115,0), MATCH(D103,'転倒'!$G$2:$AC$2,0))</f>
        <v>21</v>
      </c>
      <c r="E126" s="301"/>
      <c r="F126" s="301"/>
      <c r="G126" s="301"/>
      <c r="H126" s="228"/>
      <c r="I126" s="228"/>
      <c r="J126" s="111"/>
      <c r="K126" s="304" t="str">
        <f>'テンプレート'!K139</f>
        <v/>
      </c>
      <c r="L126" s="110"/>
      <c r="M126" s="298" t="str">
        <f>'テンプレート'!M139</f>
        <v/>
      </c>
      <c r="N126" s="102"/>
      <c r="O126" s="118"/>
      <c r="P126" s="118"/>
      <c r="Q126" s="118"/>
      <c r="R126" s="118"/>
      <c r="S126" s="118"/>
      <c r="T126" s="118"/>
      <c r="U126" s="118"/>
      <c r="V126" s="118"/>
    </row>
    <row r="127" outlineLevel="1">
      <c r="A127" s="146"/>
      <c r="B127" s="300" t="s">
        <v>245</v>
      </c>
      <c r="C127" s="307" t="str">
        <f t="array" ref="C127">INDEX('転倒'!$I$3:$J$115, MATCH($A$1,'転倒'!$A$3:$A$115,0), MATCH(C103,'転倒'!$I$2:$AC$2,0))</f>
        <v>1-9</v>
      </c>
      <c r="D127" s="308">
        <f t="array" ref="D127">INDEX('転倒'!$I$3:$J$115, MATCH($A$1,'転倒'!$A$3:$A$115,0), MATCH(D103,'転倒'!$I$2:$AC$2,0))</f>
        <v>28</v>
      </c>
      <c r="E127" s="301"/>
      <c r="F127" s="301"/>
      <c r="G127" s="301"/>
      <c r="H127" s="228"/>
      <c r="I127" s="228"/>
      <c r="J127" s="228"/>
      <c r="K127" s="316"/>
      <c r="L127" s="317" t="str">
        <f>'テンプレート'!L140</f>
        <v/>
      </c>
      <c r="M127" s="113" t="s">
        <v>76</v>
      </c>
      <c r="N127" s="102"/>
      <c r="O127" s="118"/>
      <c r="P127" s="118"/>
      <c r="Q127" s="118"/>
      <c r="R127" s="118"/>
      <c r="S127" s="118"/>
      <c r="T127" s="118"/>
      <c r="U127" s="118"/>
      <c r="V127" s="118"/>
    </row>
    <row r="128" outlineLevel="1">
      <c r="A128" s="146"/>
      <c r="B128" s="300" t="s">
        <v>246</v>
      </c>
      <c r="C128" s="307" t="str">
        <f t="array" ref="C128">INDEX('転倒'!$K$3:$L$115, MATCH($A$1,'転倒'!$A$3:$A$115,0), MATCH(C103,'転倒'!$K$2:$AC$2,0))</f>
        <v>1-9</v>
      </c>
      <c r="D128" s="308">
        <f t="array" ref="D128">INDEX('転倒'!$K$3:$L$115, MATCH($A$1,'転倒'!$A$3:$A$115,0), MATCH(D103,'転倒'!$K$2:$AC$2,0))</f>
        <v>28</v>
      </c>
      <c r="E128" s="301"/>
      <c r="F128" s="301"/>
      <c r="G128" s="301"/>
      <c r="H128" s="228"/>
      <c r="I128" s="228"/>
      <c r="J128" s="228"/>
      <c r="K128" s="318"/>
      <c r="L128" s="118"/>
      <c r="M128" s="118"/>
      <c r="N128" s="102"/>
      <c r="O128" s="118"/>
      <c r="P128" s="118"/>
      <c r="Q128" s="118"/>
      <c r="R128" s="118"/>
      <c r="S128" s="118"/>
      <c r="T128" s="118"/>
      <c r="U128" s="118"/>
      <c r="V128" s="118"/>
    </row>
    <row r="129" outlineLevel="1">
      <c r="A129" s="146"/>
      <c r="B129" s="300" t="s">
        <v>249</v>
      </c>
      <c r="C129" s="309" t="str">
        <f t="array" ref="C129">INDEX('転倒'!$M$3:$P$115, MATCH($A$1,'転倒'!$A$3:$A$115,0), MATCH(C103,'転倒'!$M$2:$AC$2,0))</f>
        <v>1-7</v>
      </c>
      <c r="D129" s="310">
        <f t="array" ref="D129">INDEX('転倒'!$M$3:$P$115, MATCH($A$1,'転倒'!$A$3:$A$115,0), MATCH(D103,'転倒'!$M$2:$AC$2,0))</f>
        <v>49</v>
      </c>
      <c r="E129" s="307" t="str">
        <f t="array" ref="E129">INDEX('転倒'!$M$3:$P$115, MATCH($A$1,'転倒'!$A$3:$A$115,0), MATCH(E103,'転倒'!$M$2:$AC$2,0))</f>
        <v>19-20</v>
      </c>
      <c r="F129" s="308">
        <f t="array" ref="F129">INDEX('転倒'!$M$3:$P$115, MATCH($A$1,'転倒'!$A$3:$A$115,0), MATCH(F103,'転倒'!$M$2:$AC$2,0))</f>
        <v>5</v>
      </c>
      <c r="G129" s="113">
        <f t="shared" ref="G129:G130" si="3">F129*1.2</f>
        <v>6</v>
      </c>
      <c r="H129" s="228"/>
      <c r="I129" s="228"/>
      <c r="J129" s="228"/>
      <c r="K129" s="118"/>
      <c r="L129" s="118"/>
      <c r="M129" s="118"/>
      <c r="N129" s="102"/>
      <c r="O129" s="102"/>
      <c r="P129" s="102"/>
      <c r="Q129" s="102"/>
      <c r="R129" s="118"/>
      <c r="S129" s="118"/>
      <c r="T129" s="118"/>
      <c r="U129" s="118"/>
      <c r="V129" s="118"/>
    </row>
    <row r="130" outlineLevel="1">
      <c r="A130" s="156"/>
      <c r="B130" s="311" t="s">
        <v>250</v>
      </c>
      <c r="C130" s="156"/>
      <c r="D130" s="156"/>
      <c r="E130" s="307" t="str">
        <f t="array" ref="E130">INDEX('転倒'!$Q$3:$R$115, MATCH($A$1,'転倒'!$A$3:$A$115,0), MATCH(E103,'転倒'!$Q$2:$AC$2,0))</f>
        <v>28-29</v>
      </c>
      <c r="F130" s="308">
        <f t="array" ref="F130">INDEX('転倒'!$Q$3:$R$115, MATCH($A$1,'転倒'!$A$3:$A$115,0), MATCH(F103,'転倒'!$Q$2:$AC$2,0))</f>
        <v>5</v>
      </c>
      <c r="G130" s="113">
        <f t="shared" si="3"/>
        <v>6</v>
      </c>
      <c r="H130" s="228"/>
      <c r="I130" s="228"/>
      <c r="J130" s="228"/>
      <c r="K130" s="118"/>
      <c r="L130" s="118"/>
      <c r="M130" s="118"/>
      <c r="N130" s="102"/>
      <c r="O130" s="102"/>
      <c r="P130" s="102"/>
      <c r="Q130" s="102"/>
      <c r="R130" s="118"/>
      <c r="S130" s="118"/>
      <c r="T130" s="118"/>
      <c r="U130" s="118"/>
      <c r="V130" s="118"/>
    </row>
    <row r="131" outlineLevel="1">
      <c r="A131" s="319"/>
      <c r="B131" s="320"/>
      <c r="C131" s="321"/>
      <c r="D131" s="321"/>
      <c r="E131" s="322"/>
      <c r="F131" s="322"/>
      <c r="G131" s="114"/>
      <c r="H131" s="228"/>
      <c r="I131" s="228"/>
      <c r="J131" s="228"/>
      <c r="K131" s="118"/>
      <c r="L131" s="118"/>
      <c r="M131" s="118"/>
      <c r="N131" s="102"/>
      <c r="O131" s="102"/>
      <c r="P131" s="102"/>
      <c r="Q131" s="102"/>
      <c r="R131" s="118"/>
      <c r="S131" s="118"/>
      <c r="T131" s="118"/>
      <c r="U131" s="118"/>
      <c r="V131" s="118"/>
    </row>
    <row r="132" outlineLevel="1">
      <c r="A132" s="323" t="s">
        <v>255</v>
      </c>
      <c r="B132" s="109"/>
      <c r="C132" s="321"/>
      <c r="D132" s="321"/>
      <c r="E132" s="322"/>
      <c r="F132" s="322"/>
      <c r="G132" s="114"/>
      <c r="H132" s="228"/>
      <c r="I132" s="228"/>
      <c r="J132" s="228"/>
      <c r="K132" s="118"/>
      <c r="L132" s="118"/>
      <c r="M132" s="118"/>
      <c r="N132" s="102"/>
      <c r="O132" s="102"/>
      <c r="P132" s="102"/>
      <c r="Q132" s="102"/>
      <c r="R132" s="118"/>
      <c r="S132" s="118"/>
      <c r="T132" s="118"/>
      <c r="U132" s="118"/>
      <c r="V132" s="118"/>
    </row>
    <row r="133" outlineLevel="1">
      <c r="A133" s="324" t="s">
        <v>256</v>
      </c>
      <c r="B133" s="109"/>
      <c r="C133" s="325" t="s">
        <v>257</v>
      </c>
      <c r="D133" s="325" t="s">
        <v>49</v>
      </c>
      <c r="E133" s="322"/>
      <c r="F133" s="322"/>
      <c r="G133" s="114"/>
      <c r="H133" s="228"/>
      <c r="I133" s="228"/>
      <c r="J133" s="228"/>
      <c r="K133" s="118"/>
      <c r="L133" s="118"/>
      <c r="M133" s="118"/>
      <c r="N133" s="102"/>
      <c r="O133" s="102"/>
      <c r="P133" s="102"/>
      <c r="Q133" s="102"/>
      <c r="R133" s="118"/>
      <c r="S133" s="118"/>
      <c r="T133" s="118"/>
      <c r="U133" s="118"/>
      <c r="V133" s="118"/>
    </row>
    <row r="134" outlineLevel="1">
      <c r="A134" s="326" t="s">
        <v>258</v>
      </c>
      <c r="B134" s="327" t="s">
        <v>216</v>
      </c>
      <c r="C134" s="328" t="str">
        <f t="array" ref="C134">INDEX('アイテム'!$C$3:$D$114, MATCH($A$1,'アイテム'!$A$3:$A$114,0), MATCH(C133,'アイテム'!$C$2:$AQ$2,0))</f>
        <v>2</v>
      </c>
      <c r="D134" s="328">
        <f t="array" ref="D134">INDEX('アイテム'!$C$3:$D$114, MATCH($A$1,'アイテム'!$A$3:$A$114,0), MATCH(D133,'アイテム'!$C$2:$AQ$2,0))</f>
        <v>7</v>
      </c>
      <c r="E134" s="322"/>
      <c r="F134" s="322"/>
      <c r="G134" s="114"/>
      <c r="H134" s="228"/>
      <c r="I134" s="228"/>
      <c r="J134" s="228"/>
      <c r="K134" s="118"/>
      <c r="L134" s="118"/>
      <c r="M134" s="118"/>
      <c r="N134" s="102"/>
      <c r="O134" s="102"/>
      <c r="P134" s="102"/>
      <c r="Q134" s="102"/>
      <c r="R134" s="118"/>
      <c r="S134" s="118"/>
      <c r="T134" s="118"/>
      <c r="U134" s="118"/>
      <c r="V134" s="118"/>
    </row>
    <row r="135" outlineLevel="1">
      <c r="A135" s="156"/>
      <c r="B135" s="327" t="s">
        <v>219</v>
      </c>
      <c r="C135" s="328" t="str">
        <f t="array" ref="C135">INDEX('アイテム'!$E$3:$F$114, MATCH($A$1,'アイテム'!$A$3:$A$114,0), MATCH(C133,'アイテム'!$C$2:$AQ$2,0))</f>
        <v>2</v>
      </c>
      <c r="D135" s="328">
        <f t="array" ref="D135">INDEX('アイテム'!$E$3:$F$114, MATCH($A$1,'アイテム'!$A$3:$A$114,0), MATCH(D133,'アイテム'!$C$2:$AQ$2,0))</f>
        <v>19</v>
      </c>
      <c r="E135" s="322"/>
      <c r="F135" s="322"/>
      <c r="G135" s="114"/>
      <c r="H135" s="228"/>
      <c r="I135" s="228"/>
      <c r="J135" s="228"/>
      <c r="K135" s="118"/>
      <c r="L135" s="118"/>
      <c r="M135" s="118"/>
      <c r="N135" s="102"/>
      <c r="O135" s="102"/>
      <c r="P135" s="102"/>
      <c r="Q135" s="102"/>
      <c r="R135" s="118"/>
      <c r="S135" s="118"/>
      <c r="T135" s="118"/>
      <c r="U135" s="118"/>
      <c r="V135" s="118"/>
    </row>
    <row r="136" outlineLevel="1">
      <c r="A136" s="329" t="s">
        <v>259</v>
      </c>
      <c r="B136" s="327" t="s">
        <v>216</v>
      </c>
      <c r="C136" s="328">
        <f t="array" ref="C136">INDEX('アイテム'!$AA$3:$AB$114, MATCH($A$1,'アイテム'!$A$3:$A$114,0), MATCH(C133,'アイテム'!$C$2:$AQ$2,0))</f>
        <v>3</v>
      </c>
      <c r="D136" s="328" t="str">
        <f t="array" ref="D136">INDEX('アイテム'!$AA$3:$AB$114, MATCH($A$1,'アイテム'!$A$3:$A$114,0), MATCH(D133,'アイテム'!$C$2:$AQ$2,0))</f>
        <v>12</v>
      </c>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260</v>
      </c>
      <c r="B137" s="109"/>
      <c r="C137" s="325" t="s">
        <v>261</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262</v>
      </c>
      <c r="B138" s="327" t="s">
        <v>226</v>
      </c>
      <c r="C138" s="328" t="str">
        <f t="array" ref="C138">INDEX('アイテム'!$G$3:$H$114, MATCH($A$1,'アイテム'!$A$3:$A$114,0), MATCH(C133,'アイテム'!$C$2:$AQ$2,0))</f>
        <v>7</v>
      </c>
      <c r="D138" s="328">
        <f t="array" ref="D138">INDEX('アイテム'!$G$3:$H$114, MATCH($A$1,'アイテム'!$A$3:$A$114,0), MATCH(D133,'アイテム'!$C$2:$AQ$2,0))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t="str">
        <f t="array" ref="C139">INDEX('アイテム'!$I$3:$J$114, MATCH($A$1,'アイテム'!$A$3:$A$114,0), MATCH(C133,'アイテム'!$C$2:$AQ$2,0))</f>
        <v>9</v>
      </c>
      <c r="D139" s="328">
        <f t="array" ref="D139">INDEX('アイテム'!$I$3:$J$114, MATCH($A$1,'アイテム'!$A$3:$A$114,0), MATCH(D133,'アイテム'!$C$2:$AQ$2,0))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t="str">
        <f t="array" ref="C140">INDEX('アイテム'!$K$3:$L$114, MATCH($A$1,'アイテム'!$A$3:$A$114,0), MATCH(C133,'アイテム'!$C$2:$AQ$2,0))</f>
        <v>11</v>
      </c>
      <c r="D140" s="328">
        <f t="array" ref="D140">INDEX('アイテム'!$K$3:$L$114, MATCH($A$1,'アイテム'!$A$3:$A$114,0), MATCH(D133,'アイテム'!$C$2:$AQ$2,0))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146"/>
      <c r="B141" s="327" t="s">
        <v>234</v>
      </c>
      <c r="C141" s="328" t="str">
        <f t="array" ref="C141">INDEX('アイテム'!$M$3:$N$114, MATCH($A$1,'アイテム'!$A$3:$A$114,0), MATCH(C133,'アイテム'!$C$2:$AQ$2,0))</f>
        <v>6</v>
      </c>
      <c r="D141" s="328">
        <f t="array" ref="D141">INDEX('アイテム'!$M$3:$N$114, MATCH($A$1,'アイテム'!$A$3:$A$114,0), MATCH(D133,'アイテム'!$C$2:$AQ$2,0))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219</v>
      </c>
      <c r="C142" s="328" t="str">
        <f t="array" ref="C142">INDEX('アイテム'!$O$3:$P$114, MATCH($A$1,'アイテム'!$A$3:$A$114,0), MATCH(C133,'アイテム'!$C$2:$AQ$2,0))</f>
        <v>4</v>
      </c>
      <c r="D142" s="328">
        <f t="array" ref="D142">INDEX('アイテム'!$O$3:$P$114, MATCH($A$1,'アイテム'!$A$3:$A$114,0), MATCH(D133,'アイテム'!$C$2:$AQ$2,0))</f>
        <v>29</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263</v>
      </c>
      <c r="C143" s="328" t="str">
        <f t="array" ref="C143">INDEX('アイテム'!$Q$3:$R$114, MATCH($A$1,'アイテム'!$A$3:$A$114,0), MATCH(C133,'アイテム'!$C$2:$AQ$2,0))</f>
        <v>5</v>
      </c>
      <c r="D143" s="328">
        <f t="array" ref="D143">INDEX('アイテム'!$Q$3:$R$114, MATCH($A$1,'アイテム'!$A$3:$A$114,0), MATCH(D133,'アイテム'!$C$2:$AQ$2,0))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264</v>
      </c>
      <c r="B144" s="327" t="s">
        <v>226</v>
      </c>
      <c r="C144" s="328" t="str">
        <f t="array" ref="C144">INDEX('アイテム'!$S$3:$T$114, MATCH($A$1,'アイテム'!$A$3:$A$114,0), MATCH(C133,'アイテム'!$C$2:$AQ$2,0))</f>
        <v>7</v>
      </c>
      <c r="D144" s="328">
        <f t="array" ref="D144">INDEX('アイテム'!$S$3:$T$114, MATCH($A$1,'アイテム'!$A$3:$A$114,0), MATCH(D133,'アイテム'!$C$2:$AQ$2,0))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229</v>
      </c>
      <c r="C145" s="328" t="str">
        <f t="array" ref="C145">INDEX('アイテム'!$U$3:$V$114, MATCH($A$1,'アイテム'!$A$3:$A$114,0), MATCH(C133,'アイテム'!$C$2:$AQ$2,0))</f>
        <v>9</v>
      </c>
      <c r="D145" s="328">
        <f t="array" ref="D145">INDEX('アイテム'!$U$3:$V$114, MATCH($A$1,'アイテム'!$A$3:$A$114,0), MATCH(D133,'アイテム'!$C$2:$AQ$2,0))</f>
        <v>24</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233</v>
      </c>
      <c r="C146" s="328" t="str">
        <f t="array" ref="C146">INDEX('アイテム'!$W$3:$X$114, MATCH($A$1,'アイテム'!$A$3:$A$114,0), MATCH(C133,'アイテム'!$C$2:$AQ$2,0))</f>
        <v>11</v>
      </c>
      <c r="D146" s="328">
        <f t="array" ref="D146">INDEX('アイテム'!$W$3:$X$114, MATCH($A$1,'アイテム'!$A$3:$A$114,0), MATCH(D133,'アイテム'!$C$2:$AQ$2,0))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234</v>
      </c>
      <c r="C147" s="328" t="str">
        <f t="array" ref="C147">INDEX('アイテム'!$Y$3:$Z$114, MATCH($A$1,'アイテム'!$A$3:$A$114,0), MATCH(C133,'アイテム'!$C$2:$AQ$2,0))</f>
        <v>6</v>
      </c>
      <c r="D147" s="328">
        <f t="array" ref="D147">INDEX('アイテム'!$Y$3:$Z$114, MATCH($A$1,'アイテム'!$A$3:$A$114,0), MATCH(D133,'アイテム'!$C$2:$AQ$2,0))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265</v>
      </c>
      <c r="B148" s="327" t="s">
        <v>226</v>
      </c>
      <c r="C148" s="328">
        <f t="array" ref="C148">INDEX('アイテム'!$AC$3:$AD$114, MATCH($A$1,'アイテム'!$A$3:$A$114,0), MATCH(C133,'アイテム'!$C$2:$AQ$2,0))</f>
        <v>16</v>
      </c>
      <c r="D148" s="328" t="str">
        <f t="array" ref="D148">INDEX('アイテム'!$AC$3:$AD$114, MATCH($A$1,'アイテム'!$A$3:$A$114,0), MATCH(D133,'アイテム'!$C$2:$AQ$2,0))</f>
        <v>30</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f t="array" ref="C149">INDEX('アイテム'!$AE$3:$AF$114, MATCH($A$1,'アイテム'!$A$3:$A$114,0), MATCH(C133,'アイテム'!$C$2:$AQ$2,0))</f>
        <v>17</v>
      </c>
      <c r="D149" s="328" t="str">
        <f t="array" ref="D149">INDEX('アイテム'!$AE$3:$AF$114, MATCH($A$1,'アイテム'!$A$3:$A$114,0), MATCH(D133,'アイテム'!$C$2:$AQ$2,0))</f>
        <v>30</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f t="array" ref="C150">INDEX('アイテム'!$AG$3:$AH$114, MATCH($A$1,'アイテム'!$A$3:$A$114,0), MATCH(C133,'アイテム'!$C$2:$AQ$2,0))</f>
        <v>11</v>
      </c>
      <c r="D150" s="328" t="str">
        <f t="array" ref="D150">INDEX('アイテム'!$AG$3:$AH$114, MATCH($A$1,'アイテム'!$A$3:$A$114,0), MATCH(D133,'アイテム'!$C$2:$AQ$2,0))</f>
        <v>22</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f t="array" ref="C151">INDEX('アイテム'!$AI$3:$AJ$114, MATCH($A$1,'アイテム'!$A$3:$A$114,0), MATCH(C133,'アイテム'!$C$2:$AQ$2,0))</f>
        <v>11</v>
      </c>
      <c r="D151" s="328" t="str">
        <f t="array" ref="D151">INDEX('アイテム'!$AI$3:$AJ$114, MATCH($A$1,'アイテム'!$A$3:$A$114,0), MATCH(D133,'アイテム'!$C$2:$AQ$2,0))</f>
        <v>22</v>
      </c>
      <c r="E151" s="322"/>
      <c r="F151" s="322"/>
      <c r="G151" s="114"/>
      <c r="H151" s="228"/>
      <c r="I151" s="228"/>
      <c r="J151" s="228"/>
      <c r="K151" s="118"/>
      <c r="L151" s="118"/>
      <c r="M151" s="118"/>
      <c r="N151" s="102"/>
      <c r="O151" s="102"/>
      <c r="P151" s="102"/>
      <c r="Q151" s="102"/>
      <c r="R151" s="118"/>
      <c r="S151" s="118"/>
      <c r="T151" s="118"/>
      <c r="U151" s="118"/>
      <c r="V151" s="118"/>
    </row>
  </sheetData>
  <mergeCells count="131">
    <mergeCell ref="H26:J26"/>
    <mergeCell ref="H27:J27"/>
    <mergeCell ref="H28:J28"/>
    <mergeCell ref="H29:J29"/>
    <mergeCell ref="H30:J30"/>
    <mergeCell ref="H31:J31"/>
    <mergeCell ref="H32:J32"/>
    <mergeCell ref="H37:J38"/>
    <mergeCell ref="I42:I43"/>
    <mergeCell ref="J42:J43"/>
    <mergeCell ref="I48:I50"/>
    <mergeCell ref="J48:J50"/>
    <mergeCell ref="H54:J54"/>
    <mergeCell ref="H55:J55"/>
    <mergeCell ref="K104:K105"/>
    <mergeCell ref="K107:K112"/>
    <mergeCell ref="K113:K116"/>
    <mergeCell ref="K117:L117"/>
    <mergeCell ref="K119:K122"/>
    <mergeCell ref="K123:L123"/>
    <mergeCell ref="K126:L126"/>
    <mergeCell ref="G84:J84"/>
    <mergeCell ref="G85:J86"/>
    <mergeCell ref="G87:J88"/>
    <mergeCell ref="G89:J90"/>
    <mergeCell ref="G91:J92"/>
    <mergeCell ref="K103:L103"/>
    <mergeCell ref="K106:L106"/>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33:J33"/>
    <mergeCell ref="H34:J36"/>
    <mergeCell ref="U34:U36"/>
    <mergeCell ref="U37:U38"/>
    <mergeCell ref="R41:V41"/>
    <mergeCell ref="R42:V43"/>
    <mergeCell ref="R44:V44"/>
    <mergeCell ref="R45:V45"/>
    <mergeCell ref="A46:A47"/>
    <mergeCell ref="D46:D47"/>
    <mergeCell ref="I46:I47"/>
    <mergeCell ref="J46:J47"/>
    <mergeCell ref="R46:V47"/>
    <mergeCell ref="R48:V50"/>
    <mergeCell ref="R51:V51"/>
    <mergeCell ref="H56:J56"/>
    <mergeCell ref="H57:J60"/>
    <mergeCell ref="U57:U60"/>
    <mergeCell ref="V57:V60"/>
    <mergeCell ref="H61:J61"/>
    <mergeCell ref="U62:U64"/>
    <mergeCell ref="V62:V64"/>
    <mergeCell ref="H62:J64"/>
    <mergeCell ref="H65:J73"/>
    <mergeCell ref="U65:U73"/>
    <mergeCell ref="V65:V73"/>
    <mergeCell ref="H74:J74"/>
    <mergeCell ref="H75:J76"/>
    <mergeCell ref="U75:U76"/>
    <mergeCell ref="V75:V76"/>
    <mergeCell ref="A144:A147"/>
    <mergeCell ref="A148:A151"/>
    <mergeCell ref="A118:A123"/>
    <mergeCell ref="A124:A130"/>
    <mergeCell ref="A132:B132"/>
    <mergeCell ref="A133:B133"/>
    <mergeCell ref="A134:A135"/>
    <mergeCell ref="A137:B137"/>
    <mergeCell ref="A138:A143"/>
    <mergeCell ref="D37:D38"/>
    <mergeCell ref="D42:D43"/>
    <mergeCell ref="D65:D73"/>
    <mergeCell ref="D85:D86"/>
    <mergeCell ref="D87:D88"/>
    <mergeCell ref="D89:D90"/>
    <mergeCell ref="D91:D92"/>
    <mergeCell ref="A24:B25"/>
    <mergeCell ref="A26:A28"/>
    <mergeCell ref="A34:A36"/>
    <mergeCell ref="D34:D36"/>
    <mergeCell ref="A37:A38"/>
    <mergeCell ref="A40:B41"/>
    <mergeCell ref="A42:A43"/>
    <mergeCell ref="A48:A50"/>
    <mergeCell ref="D48:D50"/>
    <mergeCell ref="A53:B53"/>
    <mergeCell ref="A54:B54"/>
    <mergeCell ref="A56:B56"/>
    <mergeCell ref="D57:D59"/>
    <mergeCell ref="A61:B61"/>
    <mergeCell ref="D62:D64"/>
    <mergeCell ref="A57:A60"/>
    <mergeCell ref="A62:A64"/>
    <mergeCell ref="A65:A73"/>
    <mergeCell ref="A74:B74"/>
    <mergeCell ref="A75:A76"/>
    <mergeCell ref="A78:B79"/>
    <mergeCell ref="A84:B84"/>
    <mergeCell ref="A81:A83"/>
    <mergeCell ref="A85:A86"/>
    <mergeCell ref="A87:A88"/>
    <mergeCell ref="A89:A90"/>
    <mergeCell ref="A91:A92"/>
    <mergeCell ref="A94:B95"/>
    <mergeCell ref="A96:A98"/>
    <mergeCell ref="C116:C117"/>
    <mergeCell ref="C122:C123"/>
    <mergeCell ref="C129:C130"/>
    <mergeCell ref="D129:D130"/>
    <mergeCell ref="A99:A100"/>
    <mergeCell ref="A102:B103"/>
    <mergeCell ref="A104:A108"/>
    <mergeCell ref="A109:A111"/>
    <mergeCell ref="A112:A117"/>
    <mergeCell ref="D116:D117"/>
    <mergeCell ref="D122:D123"/>
  </mergeCells>
  <conditionalFormatting sqref="K1:K15 K17:K75 K77:K127">
    <cfRule type="containsText" dxfId="0" priority="1" operator="containsText" text="361">
      <formula>NOT(ISERROR(SEARCH(("361"),(K1))))</formula>
    </cfRule>
  </conditionalFormatting>
  <conditionalFormatting sqref="K1:K15 K17:K75 K77:K127">
    <cfRule type="containsText" dxfId="1" priority="2" operator="containsText" text="363">
      <formula>NOT(ISERROR(SEARCH(("363"),(K1))))</formula>
    </cfRule>
  </conditionalFormatting>
  <conditionalFormatting sqref="K1:K15 K17:K75 K77:K127">
    <cfRule type="containsText" dxfId="1" priority="3" operator="containsText" text="365">
      <formula>NOT(ISERROR(SEARCH(("365"),(K1))))</formula>
    </cfRule>
  </conditionalFormatting>
  <conditionalFormatting sqref="K1:K15 K17:K75 K77:K127">
    <cfRule type="containsText" dxfId="1" priority="4" operator="containsText" text="366">
      <formula>NOT(ISERROR(SEARCH(("366"),(K1))))</formula>
    </cfRule>
  </conditionalFormatting>
  <conditionalFormatting sqref="K1:K15 K17:K75 K77:K127">
    <cfRule type="containsText" dxfId="1" priority="5" operator="containsText" text="367">
      <formula>NOT(ISERROR(SEARCH(("367"),(K1))))</formula>
    </cfRule>
  </conditionalFormatting>
  <conditionalFormatting sqref="P85:P92">
    <cfRule type="cellIs" dxfId="2" priority="6" operator="equal">
      <formula>"敵のみ"</formula>
    </cfRule>
  </conditionalFormatting>
  <conditionalFormatting sqref="C85:C92 E87:F87">
    <cfRule type="cellIs" dxfId="3" priority="7" operator="equal">
      <formula>"-"</formula>
    </cfRule>
  </conditionalFormatting>
  <conditionalFormatting sqref="O1:O151 C87 E87:F87 K87:N87 P87:Q87 P92">
    <cfRule type="cellIs" dxfId="4" priority="8" operator="greaterThan">
      <formula>0</formula>
    </cfRule>
  </conditionalFormatting>
  <drawing r:id="rId2"/>
  <legacyDrawing r:id="rId3"/>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57575"/>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050">
        <v>44.0</v>
      </c>
      <c r="B1" s="2051"/>
      <c r="C1" s="2052" t="str">
        <f>IMAGE(VLOOKUP($A$1,Fighters!A2:AI114,12,FALSE),1)</f>
        <v>#REF!</v>
      </c>
      <c r="D1" s="2053"/>
      <c r="E1" s="2053"/>
      <c r="F1" s="2053"/>
      <c r="G1" s="2054"/>
      <c r="H1" s="2055"/>
      <c r="I1" s="2053"/>
      <c r="J1" s="2054"/>
      <c r="K1" s="2056"/>
      <c r="L1" s="2053"/>
      <c r="M1" s="2054"/>
      <c r="N1" s="2057"/>
      <c r="O1" s="2057"/>
      <c r="P1" s="2057"/>
      <c r="Q1" s="2057"/>
      <c r="R1" s="2058"/>
      <c r="S1" s="2058"/>
      <c r="T1" s="2058"/>
      <c r="U1" s="2058"/>
      <c r="V1" s="2058"/>
    </row>
    <row r="2">
      <c r="A2" s="2059" t="str">
        <f>VLOOKUP($A$1,Fighters!$A$2:$AI$81,6,FALSE)</f>
        <v>#757575</v>
      </c>
      <c r="B2" s="2051"/>
      <c r="C2" s="2060"/>
      <c r="G2" s="2061"/>
      <c r="H2" s="2062"/>
      <c r="I2" s="2063"/>
      <c r="J2" s="2064"/>
      <c r="K2" s="2062"/>
      <c r="L2" s="2063"/>
      <c r="M2" s="2064"/>
      <c r="N2" s="2057"/>
      <c r="O2" s="2057"/>
      <c r="P2" s="2057"/>
      <c r="Q2" s="2057"/>
      <c r="R2" s="2058"/>
      <c r="S2" s="2058"/>
      <c r="T2" s="2058"/>
      <c r="U2" s="2058"/>
      <c r="V2" s="2058"/>
    </row>
    <row r="3">
      <c r="A3" s="2059" t="str">
        <f>VLOOKUP($A$1,Fighters!$A$2:$AI$81,14,FALSE)</f>
        <v>44. ウルフ</v>
      </c>
      <c r="B3" s="2051"/>
      <c r="C3" s="2060"/>
      <c r="G3" s="2061"/>
      <c r="H3" s="2065"/>
      <c r="I3" s="2065"/>
      <c r="J3" s="2065"/>
      <c r="K3" s="2066"/>
      <c r="L3" s="2066"/>
      <c r="M3" s="2066"/>
      <c r="N3" s="2057"/>
      <c r="O3" s="2057"/>
      <c r="P3" s="2057"/>
      <c r="Q3" s="2057"/>
      <c r="R3" s="2067"/>
      <c r="S3" s="2058"/>
      <c r="T3" s="2058"/>
      <c r="U3" s="2058"/>
      <c r="V3" s="2058"/>
    </row>
    <row r="4">
      <c r="A4" s="2059" t="str">
        <f>VLOOKUP($A$1,Fighters!$A$2:$AI$81,13,FALSE)</f>
        <v>1</v>
      </c>
      <c r="B4" s="2051"/>
      <c r="C4" s="2060"/>
      <c r="G4" s="2061"/>
      <c r="H4" s="2068"/>
      <c r="I4" s="2068"/>
      <c r="J4" s="2065"/>
      <c r="K4" s="2066"/>
      <c r="L4" s="2066"/>
      <c r="M4" s="2066"/>
      <c r="N4" s="2057"/>
      <c r="O4" s="2057"/>
      <c r="P4" s="2057"/>
      <c r="Q4" s="2057"/>
      <c r="R4" s="2067"/>
      <c r="S4" s="2058"/>
      <c r="T4" s="2058"/>
      <c r="U4" s="2058"/>
      <c r="V4" s="2058"/>
    </row>
    <row r="5" ht="16.5" customHeight="1">
      <c r="A5" s="2050"/>
      <c r="B5" s="2051"/>
      <c r="C5" s="2060"/>
      <c r="G5" s="2061"/>
      <c r="H5" s="2069"/>
      <c r="I5" s="2069"/>
      <c r="J5" s="2070"/>
      <c r="K5" s="2071"/>
      <c r="L5" s="2072"/>
      <c r="M5" s="2072"/>
      <c r="N5" s="2057"/>
      <c r="O5" s="2057"/>
      <c r="P5" s="2057"/>
      <c r="Q5" s="2057"/>
      <c r="R5" s="2067"/>
      <c r="S5" s="2058"/>
      <c r="T5" s="2058"/>
      <c r="U5" s="2058"/>
      <c r="V5" s="2058"/>
    </row>
    <row r="6">
      <c r="A6" s="2051"/>
      <c r="B6" s="2051"/>
      <c r="C6" s="2060"/>
      <c r="G6" s="2061"/>
      <c r="H6" s="2068"/>
      <c r="I6" s="2073" t="s">
        <v>39</v>
      </c>
      <c r="J6" s="2071"/>
      <c r="K6" s="2074"/>
      <c r="L6" s="2072"/>
      <c r="M6" s="2072"/>
      <c r="N6" s="2057"/>
      <c r="O6" s="2057"/>
      <c r="P6" s="2057"/>
      <c r="Q6" s="2057"/>
      <c r="R6" s="2067"/>
      <c r="S6" s="2058"/>
      <c r="T6" s="2058"/>
      <c r="U6" s="2058"/>
      <c r="V6" s="2058"/>
    </row>
    <row r="7">
      <c r="A7" s="2051"/>
      <c r="B7" s="2051"/>
      <c r="C7" s="2060"/>
      <c r="G7" s="2061"/>
      <c r="H7" s="2069"/>
      <c r="I7" s="2069"/>
      <c r="J7" s="2071"/>
      <c r="K7" s="2074"/>
      <c r="L7" s="2072"/>
      <c r="M7" s="2072"/>
      <c r="N7" s="2057"/>
      <c r="O7" s="2057"/>
      <c r="P7" s="2057"/>
      <c r="Q7" s="2057"/>
      <c r="R7" s="2067"/>
      <c r="S7" s="2058"/>
      <c r="T7" s="2058"/>
      <c r="U7" s="2058"/>
      <c r="V7" s="2058"/>
    </row>
    <row r="8">
      <c r="A8" s="2051"/>
      <c r="B8" s="2051"/>
      <c r="C8" s="2060"/>
      <c r="G8" s="2061"/>
      <c r="H8" s="2075">
        <v>44379.844550532405</v>
      </c>
      <c r="I8" s="2053"/>
      <c r="J8" s="2054"/>
      <c r="K8" s="2071"/>
      <c r="L8" s="2072"/>
      <c r="M8" s="2072"/>
      <c r="N8" s="2057"/>
      <c r="O8" s="2057"/>
      <c r="P8" s="2057"/>
      <c r="Q8" s="2057"/>
      <c r="R8" s="2067"/>
      <c r="S8" s="2058"/>
      <c r="T8" s="2058"/>
      <c r="U8" s="2058"/>
      <c r="V8" s="2058"/>
    </row>
    <row r="9">
      <c r="A9" s="2051"/>
      <c r="B9" s="2051"/>
      <c r="C9" s="2060"/>
      <c r="G9" s="2061"/>
      <c r="H9" s="2062"/>
      <c r="I9" s="2063"/>
      <c r="J9" s="2064"/>
      <c r="K9" s="2058"/>
      <c r="L9" s="2057"/>
      <c r="M9" s="2057"/>
      <c r="N9" s="2057"/>
      <c r="O9" s="2057"/>
      <c r="P9" s="2057"/>
      <c r="Q9" s="2057"/>
      <c r="R9" s="2067"/>
      <c r="S9" s="2058"/>
      <c r="T9" s="2058"/>
      <c r="U9" s="2058"/>
      <c r="V9" s="2058"/>
    </row>
    <row r="10">
      <c r="A10" s="2051"/>
      <c r="B10" s="2051"/>
      <c r="C10" s="2060"/>
      <c r="G10" s="2061"/>
      <c r="H10" s="2076"/>
      <c r="I10" s="2076"/>
      <c r="J10" s="2058"/>
      <c r="K10" s="2058"/>
      <c r="L10" s="2057"/>
      <c r="M10" s="2057"/>
      <c r="N10" s="2057"/>
      <c r="O10" s="2057"/>
      <c r="P10" s="2057"/>
      <c r="Q10" s="2057"/>
      <c r="R10" s="2067"/>
      <c r="S10" s="2058"/>
      <c r="T10" s="2058"/>
      <c r="U10" s="2058"/>
      <c r="V10" s="2058"/>
    </row>
    <row r="11">
      <c r="A11" s="2077" t="s">
        <v>40</v>
      </c>
      <c r="B11" s="2054"/>
      <c r="C11" s="2060"/>
      <c r="G11" s="2061"/>
      <c r="H11" s="2069"/>
      <c r="I11" s="2069"/>
      <c r="J11" s="2058"/>
      <c r="K11" s="2058"/>
      <c r="L11" s="2057"/>
      <c r="M11" s="2057"/>
      <c r="N11" s="2057"/>
      <c r="O11" s="2057"/>
      <c r="P11" s="2057"/>
      <c r="Q11" s="2057"/>
      <c r="R11" s="2067"/>
      <c r="S11" s="2058"/>
      <c r="T11" s="2058"/>
      <c r="U11" s="2058"/>
      <c r="V11" s="2058"/>
    </row>
    <row r="12">
      <c r="A12" s="2062"/>
      <c r="B12" s="2064"/>
      <c r="C12" s="2062"/>
      <c r="D12" s="2063"/>
      <c r="E12" s="2063"/>
      <c r="F12" s="2063"/>
      <c r="G12" s="2064"/>
      <c r="H12" s="2078"/>
      <c r="I12" s="2078"/>
      <c r="J12" s="2051"/>
      <c r="K12" s="2051"/>
      <c r="L12" s="2057"/>
      <c r="M12" s="2057"/>
      <c r="N12" s="2057"/>
      <c r="O12" s="2057"/>
      <c r="P12" s="2057"/>
      <c r="Q12" s="2057"/>
      <c r="R12" s="2067"/>
      <c r="S12" s="2058"/>
      <c r="T12" s="2058"/>
      <c r="U12" s="2058"/>
      <c r="V12" s="205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92 [53rd]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2.09 [18th]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1.208 [27th]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43F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32.02 [50th]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1.54 [70th]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21F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15.38 [55th]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1.281 [6th]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30.71 [61st]</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 [13th]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0.004 [83rd]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2.88 [13th]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0.13 [8th]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73</v>
      </c>
      <c r="D26" s="701" t="s">
        <v>3182</v>
      </c>
      <c r="E26" s="139" t="s">
        <v>176</v>
      </c>
      <c r="F26" s="138">
        <v>2.4</v>
      </c>
      <c r="G26" s="139" t="s">
        <v>60</v>
      </c>
      <c r="H26" s="151" t="s">
        <v>3183</v>
      </c>
      <c r="I26" s="110"/>
      <c r="J26" s="109"/>
      <c r="K26" s="138"/>
      <c r="L26" s="282"/>
      <c r="M26" s="363"/>
      <c r="N26" s="363"/>
      <c r="O26" s="145">
        <v>0.0</v>
      </c>
      <c r="P26" s="145">
        <v>1.0</v>
      </c>
      <c r="Q26" s="145">
        <v>1.0</v>
      </c>
      <c r="R26" s="100"/>
      <c r="S26" s="100"/>
      <c r="T26" s="100"/>
      <c r="U26" s="145" t="s">
        <v>69</v>
      </c>
      <c r="V26" s="100"/>
    </row>
    <row r="27" outlineLevel="1">
      <c r="A27" s="146"/>
      <c r="B27" s="147" t="s">
        <v>63</v>
      </c>
      <c r="C27" s="467" t="s">
        <v>73</v>
      </c>
      <c r="D27" s="467" t="s">
        <v>65</v>
      </c>
      <c r="E27" s="216" t="s">
        <v>176</v>
      </c>
      <c r="F27" s="138">
        <v>2.4</v>
      </c>
      <c r="G27" s="139" t="s">
        <v>60</v>
      </c>
      <c r="H27" s="151" t="s">
        <v>3184</v>
      </c>
      <c r="I27" s="110"/>
      <c r="J27" s="109"/>
      <c r="K27" s="282"/>
      <c r="L27" s="282"/>
      <c r="M27" s="363"/>
      <c r="N27" s="363"/>
      <c r="O27" s="145">
        <v>0.0</v>
      </c>
      <c r="P27" s="145">
        <v>1.0</v>
      </c>
      <c r="Q27" s="145">
        <v>1.0</v>
      </c>
      <c r="R27" s="100"/>
      <c r="S27" s="100"/>
      <c r="T27" s="100"/>
      <c r="U27" s="145" t="s">
        <v>76</v>
      </c>
      <c r="V27" s="100"/>
    </row>
    <row r="28" outlineLevel="1">
      <c r="A28" s="156"/>
      <c r="B28" s="147" t="s">
        <v>70</v>
      </c>
      <c r="C28" s="467" t="s">
        <v>73</v>
      </c>
      <c r="D28" s="467" t="s">
        <v>218</v>
      </c>
      <c r="E28" s="216" t="s">
        <v>73</v>
      </c>
      <c r="F28" s="138">
        <v>4.8</v>
      </c>
      <c r="G28" s="139" t="s">
        <v>75</v>
      </c>
      <c r="H28" s="151"/>
      <c r="I28" s="110"/>
      <c r="J28" s="109"/>
      <c r="K28" s="282"/>
      <c r="L28" s="282"/>
      <c r="M28" s="363"/>
      <c r="N28" s="363"/>
      <c r="O28" s="145">
        <v>0.0</v>
      </c>
      <c r="P28" s="145">
        <v>1.0</v>
      </c>
      <c r="Q28" s="145">
        <v>1.0</v>
      </c>
      <c r="R28" s="100"/>
      <c r="S28" s="100"/>
      <c r="T28" s="100"/>
      <c r="U28" s="145" t="s">
        <v>76</v>
      </c>
      <c r="V28" s="100"/>
    </row>
    <row r="29" outlineLevel="1">
      <c r="A29" s="133" t="s">
        <v>77</v>
      </c>
      <c r="B29" s="160"/>
      <c r="C29" s="467" t="s">
        <v>580</v>
      </c>
      <c r="D29" s="455" t="s">
        <v>79</v>
      </c>
      <c r="E29" s="467" t="s">
        <v>232</v>
      </c>
      <c r="F29" s="138">
        <v>13.2</v>
      </c>
      <c r="G29" s="139" t="s">
        <v>121</v>
      </c>
      <c r="H29" s="163"/>
      <c r="I29" s="164"/>
      <c r="J29" s="104"/>
      <c r="K29" s="138"/>
      <c r="L29" s="282"/>
      <c r="M29" s="363"/>
      <c r="N29" s="363"/>
      <c r="O29" s="145">
        <v>0.0</v>
      </c>
      <c r="P29" s="145">
        <v>1.0</v>
      </c>
      <c r="Q29" s="145">
        <v>1.0</v>
      </c>
      <c r="R29" s="100"/>
      <c r="S29" s="100"/>
      <c r="T29" s="100"/>
      <c r="U29" s="166" t="s">
        <v>69</v>
      </c>
      <c r="V29" s="100"/>
    </row>
    <row r="30" outlineLevel="1">
      <c r="A30" s="156"/>
      <c r="B30" s="147" t="s">
        <v>84</v>
      </c>
      <c r="C30" s="467" t="s">
        <v>548</v>
      </c>
      <c r="D30" s="107"/>
      <c r="E30" s="467" t="s">
        <v>80</v>
      </c>
      <c r="F30" s="138">
        <v>9.6</v>
      </c>
      <c r="G30" s="139" t="s">
        <v>123</v>
      </c>
      <c r="H30" s="106"/>
      <c r="I30" s="168"/>
      <c r="J30" s="107"/>
      <c r="K30" s="282"/>
      <c r="L30" s="282"/>
      <c r="M30" s="363"/>
      <c r="N30" s="363"/>
      <c r="O30" s="145">
        <v>0.0</v>
      </c>
      <c r="P30" s="145">
        <v>1.0</v>
      </c>
      <c r="Q30" s="145">
        <v>1.0</v>
      </c>
      <c r="R30" s="100"/>
      <c r="S30" s="100"/>
      <c r="T30" s="100"/>
      <c r="U30" s="156"/>
      <c r="V30" s="100"/>
    </row>
    <row r="31" outlineLevel="1">
      <c r="A31" s="133" t="s">
        <v>89</v>
      </c>
      <c r="B31" s="147" t="s">
        <v>2812</v>
      </c>
      <c r="C31" s="216" t="s">
        <v>80</v>
      </c>
      <c r="D31" s="195" t="s">
        <v>218</v>
      </c>
      <c r="E31" s="467" t="s">
        <v>150</v>
      </c>
      <c r="F31" s="138">
        <v>6.0</v>
      </c>
      <c r="G31" s="139" t="s">
        <v>102</v>
      </c>
      <c r="H31" s="163" t="s">
        <v>2743</v>
      </c>
      <c r="I31" s="164"/>
      <c r="J31" s="104"/>
      <c r="K31" s="138"/>
      <c r="L31" s="282"/>
      <c r="M31" s="363"/>
      <c r="N31" s="363"/>
      <c r="O31" s="145">
        <v>0.0</v>
      </c>
      <c r="P31" s="145">
        <v>1.0</v>
      </c>
      <c r="Q31" s="145">
        <v>1.0</v>
      </c>
      <c r="R31" s="100"/>
      <c r="S31" s="100"/>
      <c r="T31" s="100"/>
      <c r="U31" s="166" t="s">
        <v>62</v>
      </c>
      <c r="V31" s="100"/>
    </row>
    <row r="32" outlineLevel="1">
      <c r="A32" s="156"/>
      <c r="B32" s="147" t="s">
        <v>2814</v>
      </c>
      <c r="C32" s="216" t="s">
        <v>220</v>
      </c>
      <c r="D32" s="107"/>
      <c r="E32" s="467" t="s">
        <v>86</v>
      </c>
      <c r="F32" s="138">
        <v>7.199999999999999</v>
      </c>
      <c r="G32" s="139" t="s">
        <v>102</v>
      </c>
      <c r="H32" s="106"/>
      <c r="I32" s="168"/>
      <c r="J32" s="107"/>
      <c r="K32" s="138"/>
      <c r="L32" s="282"/>
      <c r="M32" s="363"/>
      <c r="N32" s="363"/>
      <c r="O32" s="145">
        <v>0.0</v>
      </c>
      <c r="P32" s="145">
        <v>1.0</v>
      </c>
      <c r="Q32" s="145">
        <v>1.0</v>
      </c>
      <c r="R32" s="100"/>
      <c r="S32" s="100"/>
      <c r="T32" s="100"/>
      <c r="U32" s="156"/>
      <c r="V32" s="100"/>
    </row>
    <row r="33" outlineLevel="1">
      <c r="A33" s="133" t="s">
        <v>97</v>
      </c>
      <c r="B33" s="160"/>
      <c r="C33" s="216" t="s">
        <v>319</v>
      </c>
      <c r="D33" s="195" t="s">
        <v>193</v>
      </c>
      <c r="E33" s="467" t="s">
        <v>3185</v>
      </c>
      <c r="F33" s="138" t="s">
        <v>3186</v>
      </c>
      <c r="G33" s="139" t="s">
        <v>3187</v>
      </c>
      <c r="H33" s="163" t="s">
        <v>3188</v>
      </c>
      <c r="I33" s="164"/>
      <c r="J33" s="104"/>
      <c r="K33" s="282"/>
      <c r="L33" s="282"/>
      <c r="M33" s="363"/>
      <c r="N33" s="363"/>
      <c r="O33" s="145">
        <v>0.0</v>
      </c>
      <c r="P33" s="145">
        <v>1.0</v>
      </c>
      <c r="Q33" s="145">
        <v>1.0</v>
      </c>
      <c r="R33" s="100"/>
      <c r="S33" s="100"/>
      <c r="T33" s="100"/>
      <c r="U33" s="166" t="s">
        <v>62</v>
      </c>
      <c r="V33" s="100"/>
    </row>
    <row r="34" outlineLevel="1">
      <c r="A34" s="156"/>
      <c r="B34" s="147" t="s">
        <v>84</v>
      </c>
      <c r="C34" s="216" t="s">
        <v>835</v>
      </c>
      <c r="D34" s="107"/>
      <c r="E34" s="467" t="s">
        <v>283</v>
      </c>
      <c r="F34" s="138" t="s">
        <v>284</v>
      </c>
      <c r="G34" s="139" t="s">
        <v>285</v>
      </c>
      <c r="H34" s="106"/>
      <c r="I34" s="168"/>
      <c r="J34" s="107"/>
      <c r="K34" s="282"/>
      <c r="L34" s="282"/>
      <c r="M34" s="363"/>
      <c r="N34" s="363"/>
      <c r="O34" s="145"/>
      <c r="P34" s="145"/>
      <c r="Q34" s="145"/>
      <c r="R34" s="100"/>
      <c r="S34" s="100"/>
      <c r="T34" s="100"/>
      <c r="U34" s="156"/>
      <c r="V34" s="100"/>
    </row>
    <row r="35" outlineLevel="1">
      <c r="A35" s="170" t="s">
        <v>103</v>
      </c>
      <c r="B35" s="160"/>
      <c r="C35" s="216" t="s">
        <v>267</v>
      </c>
      <c r="D35" s="216" t="s">
        <v>105</v>
      </c>
      <c r="E35" s="467" t="s">
        <v>86</v>
      </c>
      <c r="F35" s="138">
        <v>7.199999999999999</v>
      </c>
      <c r="G35" s="139" t="s">
        <v>102</v>
      </c>
      <c r="H35" s="151" t="s">
        <v>3189</v>
      </c>
      <c r="I35" s="110"/>
      <c r="J35" s="109"/>
      <c r="K35" s="145"/>
      <c r="L35" s="363"/>
      <c r="M35" s="363"/>
      <c r="N35" s="363"/>
      <c r="O35" s="145">
        <v>0.0</v>
      </c>
      <c r="P35" s="145">
        <v>1.0</v>
      </c>
      <c r="Q35" s="145">
        <v>1.0</v>
      </c>
      <c r="R35" s="100"/>
      <c r="S35" s="100"/>
      <c r="T35" s="100"/>
      <c r="U35" s="145" t="s">
        <v>69</v>
      </c>
      <c r="V35" s="100"/>
    </row>
    <row r="36" outlineLevel="1">
      <c r="A36" s="170" t="s">
        <v>109</v>
      </c>
      <c r="B36" s="147"/>
      <c r="C36" s="216" t="s">
        <v>401</v>
      </c>
      <c r="D36" s="216" t="s">
        <v>384</v>
      </c>
      <c r="E36" s="467" t="s">
        <v>386</v>
      </c>
      <c r="F36" s="138">
        <v>18.0</v>
      </c>
      <c r="G36" s="139" t="s">
        <v>121</v>
      </c>
      <c r="H36" s="151" t="s">
        <v>560</v>
      </c>
      <c r="I36" s="110"/>
      <c r="J36" s="109"/>
      <c r="K36" s="282"/>
      <c r="L36" s="282"/>
      <c r="M36" s="363"/>
      <c r="N36" s="363"/>
      <c r="O36" s="145">
        <v>0.0</v>
      </c>
      <c r="P36" s="145">
        <v>1.0</v>
      </c>
      <c r="Q36" s="145">
        <v>1.0</v>
      </c>
      <c r="R36" s="100"/>
      <c r="S36" s="100"/>
      <c r="T36" s="100"/>
      <c r="U36" s="145" t="s">
        <v>123</v>
      </c>
      <c r="V36" s="100"/>
    </row>
    <row r="37" outlineLevel="1">
      <c r="A37" s="133" t="s">
        <v>116</v>
      </c>
      <c r="B37" s="147" t="s">
        <v>125</v>
      </c>
      <c r="C37" s="216" t="s">
        <v>721</v>
      </c>
      <c r="D37" s="195" t="s">
        <v>111</v>
      </c>
      <c r="E37" s="467" t="s">
        <v>86</v>
      </c>
      <c r="F37" s="138">
        <v>7.199999999999999</v>
      </c>
      <c r="G37" s="139" t="s">
        <v>75</v>
      </c>
      <c r="H37" s="163" t="s">
        <v>3190</v>
      </c>
      <c r="I37" s="164"/>
      <c r="J37" s="104"/>
      <c r="K37" s="363"/>
      <c r="L37" s="363"/>
      <c r="M37" s="363"/>
      <c r="N37" s="363"/>
      <c r="O37" s="145">
        <v>0.0</v>
      </c>
      <c r="P37" s="145">
        <v>1.0</v>
      </c>
      <c r="Q37" s="145">
        <v>1.0</v>
      </c>
      <c r="R37" s="100"/>
      <c r="S37" s="100"/>
      <c r="T37" s="100"/>
      <c r="U37" s="166" t="s">
        <v>62</v>
      </c>
      <c r="V37" s="100"/>
    </row>
    <row r="38" outlineLevel="1">
      <c r="A38" s="156"/>
      <c r="B38" s="147" t="s">
        <v>131</v>
      </c>
      <c r="C38" s="216" t="s">
        <v>401</v>
      </c>
      <c r="D38" s="107"/>
      <c r="E38" s="467" t="s">
        <v>129</v>
      </c>
      <c r="F38" s="138">
        <v>14.399999999999999</v>
      </c>
      <c r="G38" s="139" t="s">
        <v>123</v>
      </c>
      <c r="H38" s="106"/>
      <c r="I38" s="168"/>
      <c r="J38" s="107"/>
      <c r="K38" s="363"/>
      <c r="L38" s="363"/>
      <c r="M38" s="363"/>
      <c r="N38" s="363"/>
      <c r="O38" s="145">
        <v>0.0</v>
      </c>
      <c r="P38" s="145">
        <v>1.0</v>
      </c>
      <c r="Q38" s="145">
        <v>1.0</v>
      </c>
      <c r="R38" s="100"/>
      <c r="S38" s="100"/>
      <c r="T38" s="100"/>
      <c r="U38" s="156"/>
      <c r="V38" s="100"/>
    </row>
    <row r="39" outlineLevel="1">
      <c r="A39" s="133" t="s">
        <v>124</v>
      </c>
      <c r="B39" s="147" t="s">
        <v>125</v>
      </c>
      <c r="C39" s="216" t="s">
        <v>295</v>
      </c>
      <c r="D39" s="195" t="s">
        <v>127</v>
      </c>
      <c r="E39" s="467" t="s">
        <v>3191</v>
      </c>
      <c r="F39" s="138" t="s">
        <v>3192</v>
      </c>
      <c r="G39" s="139" t="s">
        <v>3193</v>
      </c>
      <c r="H39" s="163" t="s">
        <v>130</v>
      </c>
      <c r="I39" s="164"/>
      <c r="J39" s="104"/>
      <c r="K39" s="282"/>
      <c r="L39" s="282"/>
      <c r="M39" s="363"/>
      <c r="N39" s="363"/>
      <c r="O39" s="145">
        <v>0.0</v>
      </c>
      <c r="P39" s="145">
        <v>1.0</v>
      </c>
      <c r="Q39" s="145">
        <v>1.0</v>
      </c>
      <c r="R39" s="100"/>
      <c r="S39" s="100"/>
      <c r="T39" s="100"/>
      <c r="U39" s="166" t="s">
        <v>62</v>
      </c>
      <c r="V39" s="100"/>
    </row>
    <row r="40" outlineLevel="1">
      <c r="A40" s="156"/>
      <c r="B40" s="147" t="s">
        <v>131</v>
      </c>
      <c r="C40" s="216" t="s">
        <v>834</v>
      </c>
      <c r="D40" s="107"/>
      <c r="E40" s="467" t="s">
        <v>3194</v>
      </c>
      <c r="F40" s="138" t="s">
        <v>3195</v>
      </c>
      <c r="G40" s="139" t="s">
        <v>3196</v>
      </c>
      <c r="H40" s="106"/>
      <c r="I40" s="168"/>
      <c r="J40" s="107"/>
      <c r="K40" s="282"/>
      <c r="L40" s="282"/>
      <c r="M40" s="363"/>
      <c r="N40" s="363"/>
      <c r="O40" s="145">
        <v>0.0</v>
      </c>
      <c r="P40" s="145">
        <v>1.0</v>
      </c>
      <c r="Q40" s="145">
        <v>1.0</v>
      </c>
      <c r="R40" s="100"/>
      <c r="S40" s="100"/>
      <c r="T40" s="100"/>
      <c r="U40" s="156"/>
      <c r="V40" s="100"/>
    </row>
    <row r="41">
      <c r="A41" s="118"/>
      <c r="B41" s="176"/>
      <c r="C41" s="118"/>
      <c r="D41" s="118"/>
      <c r="E41" s="118"/>
      <c r="F41" s="177"/>
      <c r="G41" s="177"/>
      <c r="H41" s="118"/>
      <c r="I41" s="118"/>
      <c r="J41" s="118"/>
      <c r="K41" s="118"/>
      <c r="L41" s="118"/>
      <c r="M41" s="118"/>
      <c r="N41" s="118"/>
      <c r="O41" s="118"/>
      <c r="P41" s="118"/>
      <c r="Q41" s="118"/>
      <c r="R41" s="118"/>
      <c r="S41" s="118"/>
      <c r="T41" s="118"/>
      <c r="U41" s="118"/>
      <c r="V41" s="118"/>
    </row>
    <row r="42">
      <c r="A42" s="178" t="s">
        <v>133</v>
      </c>
      <c r="B42" s="104"/>
      <c r="C42" s="179"/>
      <c r="D42" s="179"/>
      <c r="E42" s="179"/>
      <c r="F42" s="180"/>
      <c r="G42" s="179"/>
      <c r="H42" s="180"/>
      <c r="I42" s="180"/>
      <c r="J42" s="181"/>
      <c r="K42" s="180"/>
      <c r="L42" s="180"/>
      <c r="M42" s="180"/>
      <c r="N42" s="180"/>
      <c r="O42" s="180"/>
      <c r="P42" s="180"/>
      <c r="Q42" s="180"/>
      <c r="R42" s="180"/>
      <c r="S42" s="180"/>
      <c r="T42" s="180"/>
      <c r="U42" s="180"/>
      <c r="V42" s="180"/>
    </row>
    <row r="43" outlineLevel="1">
      <c r="A43" s="106"/>
      <c r="B43" s="107"/>
      <c r="C43" s="182" t="s">
        <v>48</v>
      </c>
      <c r="D43" s="183" t="s">
        <v>49</v>
      </c>
      <c r="E43" s="182" t="s">
        <v>50</v>
      </c>
      <c r="F43" s="184" t="s">
        <v>51</v>
      </c>
      <c r="G43" s="184" t="s">
        <v>134</v>
      </c>
      <c r="H43" s="185" t="str">
        <f>'テンプレート'!H56</f>
        <v>ガード硬直</v>
      </c>
      <c r="I43" s="184" t="str">
        <f>'テンプレート'!I56</f>
        <v>着地隙</v>
      </c>
      <c r="J43" s="184" t="s">
        <v>136</v>
      </c>
      <c r="K43" s="184" t="str">
        <f>'テンプレート'!K56</f>
        <v>ベクトル</v>
      </c>
      <c r="L43" s="184" t="str">
        <f>'テンプレート'!L56</f>
        <v>KBG (R.E.)</v>
      </c>
      <c r="M43" s="184" t="str">
        <f>'テンプレート'!M56</f>
        <v>BKB (R.A.)</v>
      </c>
      <c r="N43" s="184" t="str">
        <f>'テンプレート'!N56</f>
        <v>FKB (R.F.)</v>
      </c>
      <c r="O43" s="186" t="str">
        <f>'テンプレート'!O56</f>
        <v>盾削り値</v>
      </c>
      <c r="P43" s="184" t="str">
        <f>'テンプレート'!P56</f>
        <v>ﾋｯﾄｽﾄｯﾌﾟ</v>
      </c>
      <c r="Q43" s="186" t="str">
        <f>'テンプレート'!Q56</f>
        <v>ずらし</v>
      </c>
      <c r="R43" s="187" t="str">
        <f>'テンプレート'!R56</f>
        <v>備考</v>
      </c>
      <c r="S43" s="110"/>
      <c r="T43" s="110"/>
      <c r="U43" s="110"/>
      <c r="V43" s="110"/>
    </row>
    <row r="44" outlineLevel="1">
      <c r="A44" s="188" t="s">
        <v>144</v>
      </c>
      <c r="B44" s="373"/>
      <c r="C44" s="239" t="s">
        <v>277</v>
      </c>
      <c r="D44" s="195" t="s">
        <v>221</v>
      </c>
      <c r="E44" s="401" t="s">
        <v>129</v>
      </c>
      <c r="F44" s="193">
        <v>14.399999999999999</v>
      </c>
      <c r="G44" s="193">
        <v>12.24</v>
      </c>
      <c r="H44" s="138" t="s">
        <v>75</v>
      </c>
      <c r="I44" s="454" t="str">
        <f t="array" ref="I44">INDEX('空中攻撃'!$O$3:$AA$109, MATCH($A$1,'空中攻撃'!$A$3:$A$109,0), MATCH(A44,'空中攻撃'!$O$2:$S$2,0))</f>
        <v>9</v>
      </c>
      <c r="J44" s="455" t="s">
        <v>3197</v>
      </c>
      <c r="K44" s="138"/>
      <c r="L44" s="282"/>
      <c r="M44" s="363"/>
      <c r="N44" s="363"/>
      <c r="O44" s="145">
        <v>0.0</v>
      </c>
      <c r="P44" s="145">
        <v>1.0</v>
      </c>
      <c r="Q44" s="145">
        <v>1.0</v>
      </c>
      <c r="R44" s="619"/>
      <c r="S44" s="164"/>
      <c r="T44" s="164"/>
      <c r="U44" s="164"/>
      <c r="V44" s="104"/>
    </row>
    <row r="45" outlineLevel="1">
      <c r="A45" s="156"/>
      <c r="B45" s="373" t="s">
        <v>84</v>
      </c>
      <c r="C45" s="239" t="s">
        <v>310</v>
      </c>
      <c r="D45" s="107"/>
      <c r="E45" s="239" t="s">
        <v>80</v>
      </c>
      <c r="F45" s="138">
        <v>9.6</v>
      </c>
      <c r="G45" s="138">
        <v>8.16</v>
      </c>
      <c r="H45" s="138" t="s">
        <v>147</v>
      </c>
      <c r="I45" s="156"/>
      <c r="J45" s="107"/>
      <c r="K45" s="138"/>
      <c r="L45" s="282"/>
      <c r="M45" s="363"/>
      <c r="N45" s="363"/>
      <c r="O45" s="145">
        <v>0.0</v>
      </c>
      <c r="P45" s="145">
        <v>1.0</v>
      </c>
      <c r="Q45" s="145">
        <v>1.0</v>
      </c>
      <c r="R45" s="106"/>
      <c r="S45" s="168"/>
      <c r="T45" s="168"/>
      <c r="U45" s="168"/>
      <c r="V45" s="107"/>
    </row>
    <row r="46" outlineLevel="1">
      <c r="A46" s="213" t="s">
        <v>151</v>
      </c>
      <c r="B46" s="373"/>
      <c r="C46" s="239" t="s">
        <v>277</v>
      </c>
      <c r="D46" s="216" t="s">
        <v>628</v>
      </c>
      <c r="E46" s="239" t="s">
        <v>274</v>
      </c>
      <c r="F46" s="138">
        <v>10.799999999999999</v>
      </c>
      <c r="G46" s="138">
        <v>9.18</v>
      </c>
      <c r="H46" s="138" t="s">
        <v>147</v>
      </c>
      <c r="I46" s="621" t="str">
        <f t="array" ref="I46">INDEX('空中攻撃'!$O$3:$AA$109, MATCH($A$1,'空中攻撃'!$A$3:$A$109,0), MATCH(A46,'空中攻撃'!$O$2:$S$2,0))</f>
        <v>10</v>
      </c>
      <c r="J46" s="467" t="s">
        <v>3198</v>
      </c>
      <c r="K46" s="138"/>
      <c r="L46" s="282"/>
      <c r="M46" s="363"/>
      <c r="N46" s="363"/>
      <c r="O46" s="145">
        <v>0.0</v>
      </c>
      <c r="P46" s="145">
        <v>1.0</v>
      </c>
      <c r="Q46" s="145">
        <v>1.0</v>
      </c>
      <c r="R46" s="622"/>
      <c r="S46" s="110"/>
      <c r="T46" s="110"/>
      <c r="U46" s="110"/>
      <c r="V46" s="109"/>
    </row>
    <row r="47" outlineLevel="1">
      <c r="A47" s="213" t="s">
        <v>157</v>
      </c>
      <c r="B47" s="373"/>
      <c r="C47" s="239" t="s">
        <v>721</v>
      </c>
      <c r="D47" s="216" t="s">
        <v>393</v>
      </c>
      <c r="E47" s="239" t="s">
        <v>3199</v>
      </c>
      <c r="F47" s="138" t="s">
        <v>3200</v>
      </c>
      <c r="G47" s="138" t="s">
        <v>3201</v>
      </c>
      <c r="H47" s="138" t="s">
        <v>2956</v>
      </c>
      <c r="I47" s="621">
        <f t="array" ref="I47">INDEX('空中攻撃'!$O$3:$AA$109, MATCH($A$1,'空中攻撃'!$A$3:$A$109,0), MATCH(A47,'空中攻撃'!$O$2:$S$2,0))</f>
        <v>15</v>
      </c>
      <c r="J47" s="467" t="s">
        <v>1384</v>
      </c>
      <c r="K47" s="138"/>
      <c r="L47" s="282"/>
      <c r="M47" s="363"/>
      <c r="N47" s="363"/>
      <c r="O47" s="145">
        <v>0.0</v>
      </c>
      <c r="P47" s="145">
        <v>1.0</v>
      </c>
      <c r="Q47" s="145">
        <v>1.0</v>
      </c>
      <c r="R47" s="622"/>
      <c r="S47" s="110"/>
      <c r="T47" s="110"/>
      <c r="U47" s="110"/>
      <c r="V47" s="109"/>
    </row>
    <row r="48" outlineLevel="1">
      <c r="A48" s="213" t="s">
        <v>162</v>
      </c>
      <c r="B48" s="373"/>
      <c r="C48" s="239" t="s">
        <v>277</v>
      </c>
      <c r="D48" s="216" t="s">
        <v>282</v>
      </c>
      <c r="E48" s="239" t="s">
        <v>129</v>
      </c>
      <c r="F48" s="138">
        <v>14.399999999999999</v>
      </c>
      <c r="G48" s="138">
        <v>12.24</v>
      </c>
      <c r="H48" s="138" t="s">
        <v>75</v>
      </c>
      <c r="I48" s="621" t="str">
        <f t="array" ref="I48">INDEX('空中攻撃'!$O$3:$AA$109, MATCH($A$1,'空中攻撃'!$A$3:$A$109,0), MATCH(A48,'空中攻撃'!$O$2:$S$2,0))</f>
        <v>10</v>
      </c>
      <c r="J48" s="467" t="s">
        <v>1322</v>
      </c>
      <c r="K48" s="282"/>
      <c r="L48" s="282"/>
      <c r="M48" s="363"/>
      <c r="N48" s="363"/>
      <c r="O48" s="145">
        <v>0.0</v>
      </c>
      <c r="P48" s="145">
        <v>1.0</v>
      </c>
      <c r="Q48" s="145">
        <v>1.0</v>
      </c>
      <c r="R48" s="622"/>
      <c r="S48" s="110"/>
      <c r="T48" s="110"/>
      <c r="U48" s="110"/>
      <c r="V48" s="109"/>
    </row>
    <row r="49" outlineLevel="1">
      <c r="A49" s="213" t="s">
        <v>166</v>
      </c>
      <c r="B49" s="373"/>
      <c r="C49" s="239" t="s">
        <v>454</v>
      </c>
      <c r="D49" s="216" t="s">
        <v>892</v>
      </c>
      <c r="E49" s="239" t="s">
        <v>3202</v>
      </c>
      <c r="F49" s="138" t="s">
        <v>3203</v>
      </c>
      <c r="G49" s="138" t="s">
        <v>3204</v>
      </c>
      <c r="H49" s="138" t="s">
        <v>318</v>
      </c>
      <c r="I49" s="621">
        <f t="array" ref="I49">INDEX('空中攻撃'!$O$3:$AA$109, MATCH($A$1,'空中攻撃'!$A$3:$A$109,0), MATCH(A49,'空中攻撃'!$O$2:$S$2,0))</f>
        <v>19</v>
      </c>
      <c r="J49" s="467" t="s">
        <v>1226</v>
      </c>
      <c r="K49" s="282"/>
      <c r="L49" s="282"/>
      <c r="M49" s="363"/>
      <c r="N49" s="363"/>
      <c r="O49" s="145">
        <v>0.0</v>
      </c>
      <c r="P49" s="145">
        <v>1.0</v>
      </c>
      <c r="Q49" s="145">
        <v>1.0</v>
      </c>
      <c r="R49" s="151"/>
      <c r="S49" s="110"/>
      <c r="T49" s="110"/>
      <c r="U49" s="110"/>
      <c r="V49" s="109"/>
    </row>
    <row r="50">
      <c r="A50" s="223"/>
      <c r="B50" s="224"/>
      <c r="C50" s="225"/>
      <c r="D50" s="225"/>
      <c r="E50" s="226"/>
      <c r="F50" s="226"/>
      <c r="G50" s="226"/>
      <c r="H50" s="227"/>
      <c r="I50" s="227"/>
      <c r="J50" s="228"/>
      <c r="K50" s="228"/>
      <c r="L50" s="228"/>
      <c r="M50" s="228"/>
      <c r="N50" s="228"/>
      <c r="O50" s="228"/>
      <c r="P50" s="228"/>
      <c r="Q50" s="118"/>
      <c r="R50" s="118"/>
      <c r="S50" s="118"/>
      <c r="T50" s="118"/>
      <c r="U50" s="118"/>
      <c r="V50" s="118"/>
    </row>
    <row r="51">
      <c r="A51" s="229" t="s">
        <v>177</v>
      </c>
      <c r="B51" s="109"/>
      <c r="C51" s="225"/>
      <c r="D51" s="225"/>
      <c r="E51" s="226"/>
      <c r="F51" s="226"/>
      <c r="G51" s="226"/>
      <c r="H51" s="227"/>
      <c r="I51" s="227"/>
      <c r="J51" s="228"/>
      <c r="K51" s="228"/>
      <c r="L51" s="228"/>
      <c r="M51" s="228"/>
      <c r="N51" s="228"/>
      <c r="O51" s="228"/>
      <c r="P51" s="228"/>
      <c r="Q51" s="118"/>
      <c r="R51" s="118"/>
      <c r="S51" s="118"/>
      <c r="T51" s="118"/>
      <c r="U51" s="118"/>
      <c r="V51" s="118"/>
    </row>
    <row r="52" outlineLevel="1">
      <c r="A52" s="230" t="s">
        <v>3205</v>
      </c>
      <c r="B52" s="109"/>
      <c r="C52" s="231" t="s">
        <v>48</v>
      </c>
      <c r="D52" s="231" t="s">
        <v>49</v>
      </c>
      <c r="E52" s="232" t="s">
        <v>50</v>
      </c>
      <c r="F52" s="233" t="s">
        <v>51</v>
      </c>
      <c r="G52" s="232" t="s">
        <v>52</v>
      </c>
      <c r="H52" s="382" t="s">
        <v>53</v>
      </c>
      <c r="I52" s="110"/>
      <c r="J52" s="109"/>
      <c r="K52" s="235" t="str">
        <f>'テンプレート'!K72</f>
        <v>ベクトル</v>
      </c>
      <c r="L52" s="235" t="str">
        <f>'テンプレート'!L72</f>
        <v>KBG (R.E.)</v>
      </c>
      <c r="M52" s="235" t="str">
        <f>'テンプレート'!M72</f>
        <v>BKB (R.A.)</v>
      </c>
      <c r="N52" s="235" t="str">
        <f>'テンプレート'!N72</f>
        <v>FKB (R.F.)</v>
      </c>
      <c r="O52" s="236" t="str">
        <f>'テンプレート'!O72</f>
        <v>盾削り値</v>
      </c>
      <c r="P52" s="235" t="str">
        <f>'テンプレート'!P72</f>
        <v>ﾋｯﾄｽﾄｯﾌﾟ</v>
      </c>
      <c r="Q52" s="236" t="str">
        <f>'テンプレート'!Q72</f>
        <v>ずらし</v>
      </c>
      <c r="R52" s="235" t="str">
        <f>'テンプレート'!R72</f>
        <v>相殺</v>
      </c>
      <c r="S52" s="236" t="str">
        <f>'テンプレート'!S72</f>
        <v>相殺ﾓｰｼｮﾝ</v>
      </c>
      <c r="T52" s="236" t="str">
        <f>'テンプレート'!T72</f>
        <v>飛び道具</v>
      </c>
      <c r="U52" s="236" t="str">
        <f>'テンプレート'!U72</f>
        <v>慣性反転</v>
      </c>
      <c r="V52" s="236" t="str">
        <f>'テンプレート'!V72</f>
        <v>向き反転</v>
      </c>
    </row>
    <row r="53" outlineLevel="1">
      <c r="A53" s="237" t="s">
        <v>184</v>
      </c>
      <c r="B53" s="243" t="s">
        <v>3206</v>
      </c>
      <c r="C53" s="239" t="s">
        <v>943</v>
      </c>
      <c r="D53" s="379" t="s">
        <v>634</v>
      </c>
      <c r="E53" s="239" t="s">
        <v>93</v>
      </c>
      <c r="F53" s="138">
        <v>8.4</v>
      </c>
      <c r="G53" s="139" t="s">
        <v>95</v>
      </c>
      <c r="H53" s="163" t="s">
        <v>3207</v>
      </c>
      <c r="I53" s="164"/>
      <c r="J53" s="104"/>
      <c r="K53" s="282"/>
      <c r="L53" s="282"/>
      <c r="M53" s="363"/>
      <c r="N53" s="363"/>
      <c r="O53" s="138">
        <v>0.0</v>
      </c>
      <c r="P53" s="138">
        <v>1.0</v>
      </c>
      <c r="Q53" s="138">
        <v>1.0</v>
      </c>
      <c r="R53" s="145" t="b">
        <v>1</v>
      </c>
      <c r="S53" s="145" t="b">
        <v>0</v>
      </c>
      <c r="T53" s="145"/>
      <c r="U53" s="166" t="s">
        <v>186</v>
      </c>
      <c r="V53" s="166" t="b">
        <v>1</v>
      </c>
    </row>
    <row r="54" outlineLevel="1">
      <c r="A54" s="146"/>
      <c r="B54" s="663" t="s">
        <v>3208</v>
      </c>
      <c r="C54" s="239" t="s">
        <v>3209</v>
      </c>
      <c r="D54" s="210"/>
      <c r="E54" s="239" t="s">
        <v>86</v>
      </c>
      <c r="F54" s="138">
        <v>7.199999999999999</v>
      </c>
      <c r="G54" s="139" t="s">
        <v>60</v>
      </c>
      <c r="H54" s="212"/>
      <c r="J54" s="210"/>
      <c r="K54" s="282"/>
      <c r="L54" s="282"/>
      <c r="M54" s="363"/>
      <c r="N54" s="363"/>
      <c r="O54" s="138">
        <v>0.0</v>
      </c>
      <c r="P54" s="138">
        <v>1.0</v>
      </c>
      <c r="Q54" s="138">
        <v>1.0</v>
      </c>
      <c r="R54" s="145" t="b">
        <v>1</v>
      </c>
      <c r="S54" s="145" t="b">
        <v>0</v>
      </c>
      <c r="T54" s="145"/>
      <c r="U54" s="146"/>
      <c r="V54" s="146"/>
    </row>
    <row r="55" outlineLevel="1">
      <c r="A55" s="146"/>
      <c r="B55" s="663" t="s">
        <v>3210</v>
      </c>
      <c r="C55" s="239" t="s">
        <v>3211</v>
      </c>
      <c r="D55" s="210"/>
      <c r="E55" s="239" t="s">
        <v>80</v>
      </c>
      <c r="F55" s="138">
        <v>9.6</v>
      </c>
      <c r="G55" s="139" t="s">
        <v>60</v>
      </c>
      <c r="H55" s="212"/>
      <c r="J55" s="210"/>
      <c r="K55" s="282"/>
      <c r="L55" s="282"/>
      <c r="M55" s="363"/>
      <c r="N55" s="363"/>
      <c r="O55" s="138">
        <v>0.0</v>
      </c>
      <c r="P55" s="138">
        <v>1.0</v>
      </c>
      <c r="Q55" s="138">
        <v>1.0</v>
      </c>
      <c r="R55" s="145" t="b">
        <v>1</v>
      </c>
      <c r="S55" s="145" t="b">
        <v>0</v>
      </c>
      <c r="T55" s="145"/>
      <c r="U55" s="146"/>
      <c r="V55" s="146"/>
    </row>
    <row r="56" outlineLevel="1">
      <c r="A56" s="146"/>
      <c r="B56" s="663" t="s">
        <v>3212</v>
      </c>
      <c r="C56" s="239" t="s">
        <v>3213</v>
      </c>
      <c r="D56" s="107"/>
      <c r="E56" s="139" t="s">
        <v>93</v>
      </c>
      <c r="F56" s="138">
        <v>8.4</v>
      </c>
      <c r="G56" s="139" t="s">
        <v>60</v>
      </c>
      <c r="H56" s="106"/>
      <c r="I56" s="168"/>
      <c r="J56" s="107"/>
      <c r="K56" s="282"/>
      <c r="L56" s="282"/>
      <c r="M56" s="363"/>
      <c r="N56" s="363"/>
      <c r="O56" s="138">
        <v>0.0</v>
      </c>
      <c r="P56" s="138">
        <v>1.0</v>
      </c>
      <c r="Q56" s="138">
        <v>1.0</v>
      </c>
      <c r="R56" s="145" t="b">
        <v>1</v>
      </c>
      <c r="S56" s="145" t="b">
        <v>0</v>
      </c>
      <c r="T56" s="145"/>
      <c r="U56" s="156"/>
      <c r="V56" s="156"/>
    </row>
    <row r="57" outlineLevel="1">
      <c r="A57" s="230" t="s">
        <v>3214</v>
      </c>
      <c r="B57" s="109"/>
      <c r="C57" s="231" t="s">
        <v>48</v>
      </c>
      <c r="D57" s="231" t="s">
        <v>49</v>
      </c>
      <c r="E57" s="232" t="s">
        <v>50</v>
      </c>
      <c r="F57" s="233" t="s">
        <v>51</v>
      </c>
      <c r="G57" s="232" t="s">
        <v>52</v>
      </c>
      <c r="H57" s="382" t="s">
        <v>53</v>
      </c>
      <c r="I57" s="110"/>
      <c r="J57" s="109"/>
      <c r="K57" s="235" t="str">
        <f>'テンプレート'!K75</f>
        <v>ベクトル</v>
      </c>
      <c r="L57" s="235" t="str">
        <f>'テンプレート'!L75</f>
        <v>KBG (R.E.)</v>
      </c>
      <c r="M57" s="235" t="str">
        <f>'テンプレート'!M75</f>
        <v>BKB (R.A.)</v>
      </c>
      <c r="N57" s="235" t="str">
        <f>'テンプレート'!N75</f>
        <v>FKB (R.F.)</v>
      </c>
      <c r="O57" s="236" t="str">
        <f>'テンプレート'!O75</f>
        <v>盾削り値</v>
      </c>
      <c r="P57" s="235" t="str">
        <f>'テンプレート'!P75</f>
        <v>ﾋｯﾄｽﾄｯﾌﾟ</v>
      </c>
      <c r="Q57" s="236" t="str">
        <f>'テンプレート'!Q75</f>
        <v>ずらし</v>
      </c>
      <c r="R57" s="235" t="str">
        <f>'テンプレート'!R75</f>
        <v>相殺</v>
      </c>
      <c r="S57" s="236" t="str">
        <f>'テンプレート'!S75</f>
        <v>相殺ﾓｰｼｮﾝ</v>
      </c>
      <c r="T57" s="236" t="str">
        <f>'テンプレート'!T75</f>
        <v>飛び道具</v>
      </c>
      <c r="U57" s="236" t="str">
        <f>'テンプレート'!U75</f>
        <v>慣性反転</v>
      </c>
      <c r="V57" s="236" t="str">
        <f>'テンプレート'!V75</f>
        <v>向き反転</v>
      </c>
    </row>
    <row r="58" ht="17.25" customHeight="1" outlineLevel="1">
      <c r="A58" s="237" t="s">
        <v>184</v>
      </c>
      <c r="B58" s="243" t="s">
        <v>125</v>
      </c>
      <c r="C58" s="239" t="s">
        <v>653</v>
      </c>
      <c r="D58" s="2079"/>
      <c r="E58" s="239" t="s">
        <v>204</v>
      </c>
      <c r="F58" s="138">
        <v>3.5999999999999996</v>
      </c>
      <c r="G58" s="139" t="s">
        <v>170</v>
      </c>
      <c r="H58" s="163" t="s">
        <v>3215</v>
      </c>
      <c r="I58" s="164"/>
      <c r="J58" s="104"/>
      <c r="K58" s="282"/>
      <c r="L58" s="282"/>
      <c r="M58" s="363"/>
      <c r="N58" s="363"/>
      <c r="O58" s="138">
        <v>0.0</v>
      </c>
      <c r="P58" s="138">
        <v>1.0</v>
      </c>
      <c r="Q58" s="138">
        <v>1.0</v>
      </c>
      <c r="R58" s="145" t="b">
        <v>1</v>
      </c>
      <c r="S58" s="145" t="b">
        <v>0</v>
      </c>
      <c r="T58" s="145" t="b">
        <v>1</v>
      </c>
      <c r="U58" s="166" t="s">
        <v>186</v>
      </c>
      <c r="V58" s="166" t="b">
        <v>1</v>
      </c>
    </row>
    <row r="59" ht="17.25" customHeight="1" outlineLevel="1">
      <c r="A59" s="146"/>
      <c r="B59" s="243" t="s">
        <v>3216</v>
      </c>
      <c r="C59" s="367" t="s">
        <v>351</v>
      </c>
      <c r="D59" s="210"/>
      <c r="E59" s="239" t="s">
        <v>386</v>
      </c>
      <c r="F59" s="138">
        <v>18.0</v>
      </c>
      <c r="G59" s="139" t="s">
        <v>82</v>
      </c>
      <c r="H59" s="212"/>
      <c r="J59" s="210"/>
      <c r="K59" s="138"/>
      <c r="L59" s="138"/>
      <c r="M59" s="145"/>
      <c r="N59" s="145"/>
      <c r="O59" s="138"/>
      <c r="P59" s="138"/>
      <c r="Q59" s="138"/>
      <c r="R59" s="145" t="b">
        <v>0</v>
      </c>
      <c r="S59" s="145" t="b">
        <v>0</v>
      </c>
      <c r="T59" s="145" t="b">
        <v>0</v>
      </c>
      <c r="U59" s="146"/>
      <c r="V59" s="146"/>
    </row>
    <row r="60" ht="17.25" customHeight="1" outlineLevel="1">
      <c r="A60" s="146"/>
      <c r="B60" s="243" t="s">
        <v>3217</v>
      </c>
      <c r="C60" s="156"/>
      <c r="D60" s="107"/>
      <c r="E60" s="239" t="s">
        <v>3218</v>
      </c>
      <c r="F60" s="138" t="s">
        <v>3219</v>
      </c>
      <c r="G60" s="783"/>
      <c r="H60" s="106"/>
      <c r="I60" s="168"/>
      <c r="J60" s="107"/>
      <c r="K60" s="138"/>
      <c r="L60" s="138"/>
      <c r="M60" s="145"/>
      <c r="N60" s="145"/>
      <c r="O60" s="138">
        <v>0.0</v>
      </c>
      <c r="P60" s="138">
        <v>1.0</v>
      </c>
      <c r="Q60" s="138">
        <v>1.0</v>
      </c>
      <c r="R60" s="145" t="b">
        <v>1</v>
      </c>
      <c r="S60" s="145" t="b">
        <v>0</v>
      </c>
      <c r="T60" s="145"/>
      <c r="U60" s="156"/>
      <c r="V60" s="156"/>
    </row>
    <row r="61" outlineLevel="1">
      <c r="A61" s="230" t="s">
        <v>3220</v>
      </c>
      <c r="B61" s="109"/>
      <c r="C61" s="231" t="s">
        <v>48</v>
      </c>
      <c r="D61" s="231" t="s">
        <v>49</v>
      </c>
      <c r="E61" s="232" t="s">
        <v>50</v>
      </c>
      <c r="F61" s="233" t="s">
        <v>51</v>
      </c>
      <c r="G61" s="232" t="s">
        <v>52</v>
      </c>
      <c r="H61" s="382" t="s">
        <v>53</v>
      </c>
      <c r="I61" s="110"/>
      <c r="J61" s="109"/>
      <c r="K61" s="235" t="str">
        <f>'テンプレート'!K80</f>
        <v>ベクトル</v>
      </c>
      <c r="L61" s="235" t="str">
        <f>'テンプレート'!L80</f>
        <v>KBG (R.E.)</v>
      </c>
      <c r="M61" s="235" t="str">
        <f>'テンプレート'!M80</f>
        <v>BKB (R.A.)</v>
      </c>
      <c r="N61" s="235" t="str">
        <f>'テンプレート'!N80</f>
        <v>FKB (R.F.)</v>
      </c>
      <c r="O61" s="236" t="str">
        <f>'テンプレート'!O80</f>
        <v>盾削り値</v>
      </c>
      <c r="P61" s="235" t="str">
        <f>'テンプレート'!P80</f>
        <v>ﾋｯﾄｽﾄｯﾌﾟ</v>
      </c>
      <c r="Q61" s="236" t="str">
        <f>'テンプレート'!Q80</f>
        <v>ずらし</v>
      </c>
      <c r="R61" s="235" t="str">
        <f>'テンプレート'!R80</f>
        <v>相殺</v>
      </c>
      <c r="S61" s="236" t="str">
        <f>'テンプレート'!S80</f>
        <v>相殺ﾓｰｼｮﾝ</v>
      </c>
      <c r="T61" s="236" t="str">
        <f>'テンプレート'!T80</f>
        <v>飛び道具</v>
      </c>
      <c r="U61" s="236" t="str">
        <f>'テンプレート'!U80</f>
        <v>慣性反転</v>
      </c>
      <c r="V61" s="236" t="str">
        <f>'テンプレート'!V80</f>
        <v>向き反転</v>
      </c>
    </row>
    <row r="62" outlineLevel="1">
      <c r="A62" s="237" t="s">
        <v>184</v>
      </c>
      <c r="B62" s="402" t="s">
        <v>152</v>
      </c>
      <c r="C62" s="239" t="s">
        <v>2670</v>
      </c>
      <c r="D62" s="367" t="s">
        <v>3221</v>
      </c>
      <c r="E62" s="239" t="s">
        <v>73</v>
      </c>
      <c r="F62" s="138">
        <v>4.8</v>
      </c>
      <c r="G62" s="139" t="s">
        <v>75</v>
      </c>
      <c r="H62" s="163" t="s">
        <v>3222</v>
      </c>
      <c r="I62" s="164"/>
      <c r="J62" s="104"/>
      <c r="K62" s="138"/>
      <c r="L62" s="138"/>
      <c r="M62" s="145"/>
      <c r="N62" s="145"/>
      <c r="O62" s="138">
        <v>0.0</v>
      </c>
      <c r="P62" s="138">
        <v>1.0</v>
      </c>
      <c r="Q62" s="138">
        <v>1.0</v>
      </c>
      <c r="R62" s="145" t="b">
        <v>1</v>
      </c>
      <c r="S62" s="145" t="b">
        <v>1</v>
      </c>
      <c r="T62" s="145"/>
      <c r="U62" s="166" t="s">
        <v>186</v>
      </c>
      <c r="V62" s="166" t="b">
        <v>1</v>
      </c>
    </row>
    <row r="63" outlineLevel="1">
      <c r="A63" s="146"/>
      <c r="B63" s="402" t="s">
        <v>199</v>
      </c>
      <c r="C63" s="239" t="s">
        <v>3223</v>
      </c>
      <c r="D63" s="146"/>
      <c r="E63" s="239" t="s">
        <v>535</v>
      </c>
      <c r="F63" s="138">
        <v>3.0</v>
      </c>
      <c r="G63" s="139" t="s">
        <v>147</v>
      </c>
      <c r="H63" s="212"/>
      <c r="J63" s="210"/>
      <c r="K63" s="138"/>
      <c r="L63" s="138"/>
      <c r="M63" s="145"/>
      <c r="N63" s="145"/>
      <c r="O63" s="138">
        <v>0.0</v>
      </c>
      <c r="P63" s="138">
        <v>1.0</v>
      </c>
      <c r="Q63" s="138">
        <v>1.0</v>
      </c>
      <c r="R63" s="145" t="b">
        <v>1</v>
      </c>
      <c r="S63" s="145" t="b">
        <v>0</v>
      </c>
      <c r="T63" s="145"/>
      <c r="U63" s="146"/>
      <c r="V63" s="146"/>
    </row>
    <row r="64" outlineLevel="1">
      <c r="A64" s="146"/>
      <c r="B64" s="402" t="s">
        <v>3224</v>
      </c>
      <c r="C64" s="367" t="s">
        <v>2346</v>
      </c>
      <c r="D64" s="146"/>
      <c r="E64" s="239" t="s">
        <v>150</v>
      </c>
      <c r="F64" s="138">
        <v>6.0</v>
      </c>
      <c r="G64" s="139" t="s">
        <v>102</v>
      </c>
      <c r="H64" s="212"/>
      <c r="J64" s="210"/>
      <c r="K64" s="138"/>
      <c r="L64" s="138"/>
      <c r="M64" s="145"/>
      <c r="N64" s="145"/>
      <c r="O64" s="138"/>
      <c r="P64" s="138"/>
      <c r="Q64" s="138"/>
      <c r="R64" s="145" t="b">
        <v>0</v>
      </c>
      <c r="S64" s="145" t="b">
        <v>0</v>
      </c>
      <c r="T64" s="145" t="b">
        <v>0</v>
      </c>
      <c r="U64" s="146"/>
      <c r="V64" s="146"/>
    </row>
    <row r="65" outlineLevel="1">
      <c r="A65" s="156"/>
      <c r="B65" s="402" t="s">
        <v>3225</v>
      </c>
      <c r="C65" s="156"/>
      <c r="D65" s="156"/>
      <c r="E65" s="239" t="s">
        <v>86</v>
      </c>
      <c r="F65" s="138">
        <v>7.2</v>
      </c>
      <c r="G65" s="139" t="s">
        <v>102</v>
      </c>
      <c r="H65" s="106"/>
      <c r="I65" s="168"/>
      <c r="J65" s="107"/>
      <c r="K65" s="138"/>
      <c r="L65" s="138"/>
      <c r="M65" s="145"/>
      <c r="N65" s="145"/>
      <c r="O65" s="138">
        <v>0.0</v>
      </c>
      <c r="P65" s="138">
        <v>1.0</v>
      </c>
      <c r="Q65" s="138">
        <v>1.0</v>
      </c>
      <c r="R65" s="145" t="b">
        <v>1</v>
      </c>
      <c r="S65" s="145" t="b">
        <v>0</v>
      </c>
      <c r="T65" s="145"/>
      <c r="U65" s="156"/>
      <c r="V65" s="156"/>
    </row>
    <row r="66" outlineLevel="1">
      <c r="A66" s="230" t="s">
        <v>859</v>
      </c>
      <c r="B66" s="109"/>
      <c r="C66" s="231" t="s">
        <v>48</v>
      </c>
      <c r="D66" s="231" t="s">
        <v>49</v>
      </c>
      <c r="E66" s="232" t="s">
        <v>50</v>
      </c>
      <c r="F66" s="233" t="s">
        <v>51</v>
      </c>
      <c r="G66" s="232" t="s">
        <v>52</v>
      </c>
      <c r="H66" s="382" t="s">
        <v>53</v>
      </c>
      <c r="I66" s="110"/>
      <c r="J66" s="109"/>
      <c r="K66" s="235" t="str">
        <f>'テンプレート'!K85</f>
        <v>ベクトル</v>
      </c>
      <c r="L66" s="235" t="str">
        <f>'テンプレート'!L85</f>
        <v>KBG (R.E.)</v>
      </c>
      <c r="M66" s="235" t="str">
        <f>'テンプレート'!M85</f>
        <v>BKB (R.A.)</v>
      </c>
      <c r="N66" s="235" t="str">
        <f>'テンプレート'!N85</f>
        <v>FKB (R.F.)</v>
      </c>
      <c r="O66" s="236" t="str">
        <f>'テンプレート'!O85</f>
        <v>盾削り値</v>
      </c>
      <c r="P66" s="235" t="str">
        <f>'テンプレート'!P85</f>
        <v>ﾋｯﾄｽﾄｯﾌﾟ</v>
      </c>
      <c r="Q66" s="236" t="str">
        <f>'テンプレート'!Q85</f>
        <v>ずらし</v>
      </c>
      <c r="R66" s="235" t="str">
        <f>'テンプレート'!R85</f>
        <v>相殺</v>
      </c>
      <c r="S66" s="236" t="str">
        <f>'テンプレート'!S85</f>
        <v>相殺ﾓｰｼｮﾝ</v>
      </c>
      <c r="T66" s="236" t="str">
        <f>'テンプレート'!T85</f>
        <v>飛び道具</v>
      </c>
      <c r="U66" s="236" t="str">
        <f>'テンプレート'!U85</f>
        <v>慣性反転</v>
      </c>
      <c r="V66" s="236" t="str">
        <f>'テンプレート'!V85</f>
        <v>向き反転</v>
      </c>
    </row>
    <row r="67" outlineLevel="1">
      <c r="A67" s="237" t="s">
        <v>184</v>
      </c>
      <c r="B67" s="624" t="s">
        <v>860</v>
      </c>
      <c r="C67" s="365" t="s">
        <v>3226</v>
      </c>
      <c r="D67" s="365" t="s">
        <v>164</v>
      </c>
      <c r="E67" s="239" t="s">
        <v>73</v>
      </c>
      <c r="F67" s="138">
        <v>4.8</v>
      </c>
      <c r="G67" s="239" t="s">
        <v>75</v>
      </c>
      <c r="H67" s="386" t="s">
        <v>3227</v>
      </c>
      <c r="I67" s="164"/>
      <c r="J67" s="104"/>
      <c r="K67" s="138"/>
      <c r="L67" s="138"/>
      <c r="M67" s="145"/>
      <c r="N67" s="145"/>
      <c r="O67" s="138">
        <v>0.0</v>
      </c>
      <c r="P67" s="138">
        <v>1.0</v>
      </c>
      <c r="Q67" s="138">
        <v>1.0</v>
      </c>
      <c r="R67" s="145" t="b">
        <v>0</v>
      </c>
      <c r="S67" s="145" t="b">
        <v>0</v>
      </c>
      <c r="T67" s="145"/>
      <c r="U67" s="166" t="b">
        <v>0</v>
      </c>
      <c r="V67" s="166" t="b">
        <v>0</v>
      </c>
    </row>
    <row r="68" outlineLevel="1">
      <c r="A68" s="146"/>
      <c r="B68" s="468" t="s">
        <v>677</v>
      </c>
      <c r="C68" s="783"/>
      <c r="D68" s="2080" t="s">
        <v>129</v>
      </c>
      <c r="E68" s="783"/>
      <c r="F68" s="783"/>
      <c r="G68" s="783"/>
      <c r="H68" s="106"/>
      <c r="I68" s="168"/>
      <c r="J68" s="107"/>
      <c r="K68" s="138"/>
      <c r="L68" s="138"/>
      <c r="M68" s="145"/>
      <c r="N68" s="145"/>
      <c r="O68" s="138"/>
      <c r="P68" s="138"/>
      <c r="Q68" s="138"/>
      <c r="R68" s="145" t="b">
        <v>0</v>
      </c>
      <c r="S68" s="145" t="b">
        <v>0</v>
      </c>
      <c r="T68" s="145" t="b">
        <v>0</v>
      </c>
      <c r="U68" s="146"/>
      <c r="V68" s="146"/>
    </row>
    <row r="69" outlineLevel="1">
      <c r="A69" s="156"/>
      <c r="B69" s="624" t="s">
        <v>863</v>
      </c>
      <c r="C69" s="239" t="s">
        <v>64</v>
      </c>
      <c r="D69" s="239" t="s">
        <v>3228</v>
      </c>
      <c r="E69" s="239" t="s">
        <v>150</v>
      </c>
      <c r="F69" s="138">
        <v>6.0</v>
      </c>
      <c r="G69" s="239" t="s">
        <v>102</v>
      </c>
      <c r="H69" s="151" t="s">
        <v>3229</v>
      </c>
      <c r="I69" s="110"/>
      <c r="J69" s="109"/>
      <c r="K69" s="138"/>
      <c r="L69" s="138"/>
      <c r="M69" s="145"/>
      <c r="N69" s="145"/>
      <c r="O69" s="138"/>
      <c r="P69" s="138"/>
      <c r="Q69" s="138"/>
      <c r="R69" s="145" t="b">
        <v>0</v>
      </c>
      <c r="S69" s="145" t="b">
        <v>0</v>
      </c>
      <c r="T69" s="145" t="b">
        <v>0</v>
      </c>
      <c r="U69" s="156"/>
      <c r="V69" s="156"/>
    </row>
    <row r="70">
      <c r="A70" s="223"/>
      <c r="B70" s="224"/>
      <c r="C70" s="225"/>
      <c r="D70" s="225"/>
      <c r="E70" s="226"/>
      <c r="F70" s="226"/>
      <c r="G70" s="226"/>
      <c r="H70" s="227"/>
      <c r="I70" s="227"/>
      <c r="J70" s="228"/>
      <c r="K70" s="228"/>
      <c r="L70" s="228"/>
      <c r="M70" s="228"/>
      <c r="N70" s="228"/>
      <c r="O70" s="228"/>
      <c r="P70" s="228"/>
      <c r="Q70" s="118"/>
      <c r="R70" s="118"/>
      <c r="S70" s="118"/>
      <c r="T70" s="118"/>
      <c r="U70" s="118"/>
      <c r="V70" s="118"/>
    </row>
    <row r="71">
      <c r="A71" s="264" t="s">
        <v>211</v>
      </c>
      <c r="B71" s="104"/>
      <c r="C71" s="227"/>
      <c r="D71" s="227"/>
      <c r="E71" s="228"/>
      <c r="F71" s="265"/>
      <c r="G71" s="265"/>
      <c r="H71" s="228"/>
      <c r="I71" s="228"/>
      <c r="J71" s="228"/>
      <c r="K71" s="228"/>
      <c r="L71" s="228"/>
      <c r="M71" s="228"/>
      <c r="N71" s="118"/>
      <c r="O71" s="118"/>
      <c r="P71" s="118"/>
      <c r="Q71" s="228"/>
      <c r="R71" s="228"/>
      <c r="S71" s="228"/>
      <c r="T71" s="228"/>
      <c r="U71" s="228"/>
      <c r="V71" s="228"/>
    </row>
    <row r="72" outlineLevel="1">
      <c r="A72" s="106"/>
      <c r="B72" s="107"/>
      <c r="C72" s="266" t="s">
        <v>48</v>
      </c>
      <c r="D72" s="266" t="s">
        <v>49</v>
      </c>
      <c r="E72" s="266" t="s">
        <v>50</v>
      </c>
      <c r="F72" s="267" t="s">
        <v>51</v>
      </c>
      <c r="G72" s="227"/>
      <c r="H72" s="227"/>
      <c r="I72" s="227"/>
      <c r="J72" s="228"/>
      <c r="K72" s="228"/>
      <c r="L72" s="228"/>
      <c r="M72" s="228"/>
      <c r="N72" s="228"/>
      <c r="O72" s="228"/>
      <c r="P72" s="228"/>
      <c r="Q72" s="228"/>
      <c r="R72" s="228"/>
      <c r="S72" s="228"/>
      <c r="T72" s="228"/>
      <c r="U72" s="228"/>
      <c r="V72" s="228"/>
    </row>
    <row r="73" outlineLevel="1">
      <c r="A73" s="268" t="s">
        <v>212</v>
      </c>
      <c r="B73" s="269" t="s">
        <v>212</v>
      </c>
      <c r="C73" s="239" t="s">
        <v>213</v>
      </c>
      <c r="D73" s="239" t="s">
        <v>86</v>
      </c>
      <c r="E73" s="239" t="s">
        <v>214</v>
      </c>
      <c r="F73" s="138">
        <v>1.56</v>
      </c>
      <c r="G73" s="227"/>
      <c r="H73" s="227"/>
      <c r="I73" s="227"/>
      <c r="J73" s="228"/>
      <c r="K73" s="228"/>
      <c r="L73" s="228"/>
      <c r="M73" s="228"/>
      <c r="N73" s="228"/>
      <c r="O73" s="228"/>
      <c r="P73" s="228"/>
      <c r="Q73" s="228"/>
      <c r="R73" s="228"/>
      <c r="S73" s="228"/>
      <c r="T73" s="228"/>
      <c r="U73" s="228"/>
      <c r="V73" s="228"/>
    </row>
    <row r="74" outlineLevel="1">
      <c r="A74" s="270" t="s">
        <v>215</v>
      </c>
      <c r="B74" s="269" t="s">
        <v>216</v>
      </c>
      <c r="C74" s="239" t="s">
        <v>217</v>
      </c>
      <c r="D74" s="239" t="s">
        <v>224</v>
      </c>
      <c r="E74" s="271"/>
      <c r="F74" s="272"/>
      <c r="G74" s="272"/>
      <c r="H74" s="227"/>
      <c r="I74" s="227"/>
      <c r="J74" s="228"/>
      <c r="K74" s="228"/>
      <c r="L74" s="228"/>
      <c r="M74" s="228"/>
      <c r="N74" s="228"/>
      <c r="O74" s="228"/>
      <c r="P74" s="228"/>
      <c r="Q74" s="228"/>
      <c r="R74" s="228"/>
      <c r="S74" s="228"/>
      <c r="T74" s="228"/>
      <c r="U74" s="228"/>
      <c r="V74" s="228"/>
    </row>
    <row r="75" outlineLevel="1">
      <c r="A75" s="212"/>
      <c r="B75" s="269" t="s">
        <v>219</v>
      </c>
      <c r="C75" s="239" t="s">
        <v>518</v>
      </c>
      <c r="D75" s="239" t="s">
        <v>393</v>
      </c>
      <c r="E75" s="271"/>
      <c r="F75" s="272"/>
      <c r="G75" s="272"/>
      <c r="H75" s="227"/>
      <c r="I75" s="227"/>
      <c r="J75" s="228"/>
      <c r="K75" s="228"/>
      <c r="L75" s="228"/>
      <c r="M75" s="228"/>
      <c r="N75" s="228"/>
      <c r="O75" s="228"/>
      <c r="P75" s="228"/>
      <c r="Q75" s="228"/>
      <c r="R75" s="228"/>
      <c r="S75" s="228"/>
      <c r="T75" s="228"/>
      <c r="U75" s="228"/>
      <c r="V75" s="228"/>
    </row>
    <row r="76" outlineLevel="1">
      <c r="A76" s="106"/>
      <c r="B76" s="269" t="s">
        <v>222</v>
      </c>
      <c r="C76" s="239" t="s">
        <v>220</v>
      </c>
      <c r="D76" s="239" t="s">
        <v>118</v>
      </c>
      <c r="E76" s="227"/>
      <c r="F76" s="272"/>
      <c r="G76" s="272"/>
      <c r="H76" s="227"/>
      <c r="I76" s="227"/>
      <c r="J76" s="228"/>
      <c r="K76" s="228"/>
      <c r="L76" s="228"/>
      <c r="M76" s="228"/>
      <c r="N76" s="228"/>
      <c r="O76" s="228"/>
      <c r="P76" s="228"/>
      <c r="Q76" s="228"/>
      <c r="R76" s="228"/>
      <c r="S76" s="228"/>
      <c r="T76" s="228"/>
      <c r="U76" s="228"/>
      <c r="V76" s="228"/>
    </row>
    <row r="77" outlineLevel="1">
      <c r="A77" s="273" t="s">
        <v>225</v>
      </c>
      <c r="B77" s="109"/>
      <c r="C77" s="266" t="s">
        <v>48</v>
      </c>
      <c r="D77" s="266" t="s">
        <v>49</v>
      </c>
      <c r="E77" s="266" t="s">
        <v>50</v>
      </c>
      <c r="F77" s="267" t="s">
        <v>51</v>
      </c>
      <c r="G77" s="1168" t="s">
        <v>53</v>
      </c>
      <c r="H77" s="110"/>
      <c r="I77" s="110"/>
      <c r="J77" s="109"/>
      <c r="K77" s="275" t="str">
        <f>'テンプレート'!K97</f>
        <v>ベクトル</v>
      </c>
      <c r="L77" s="275" t="str">
        <f>'テンプレート'!L97</f>
        <v>KBG (R.E.)</v>
      </c>
      <c r="M77" s="275" t="str">
        <f>'テンプレート'!M97</f>
        <v>BKB (R.A.)</v>
      </c>
      <c r="N77" s="275" t="str">
        <f>'テンプレート'!N97</f>
        <v>FKB (R.F.)</v>
      </c>
      <c r="O77" s="276" t="str">
        <f>'テンプレート'!O97</f>
        <v>盾削り値</v>
      </c>
      <c r="P77" s="275" t="str">
        <f>'テンプレート'!P97</f>
        <v>ﾋｯﾄｽﾄｯﾌﾟ</v>
      </c>
      <c r="Q77" s="276" t="str">
        <f>'テンプレート'!Q97</f>
        <v>ずらし</v>
      </c>
      <c r="R77" s="277"/>
      <c r="S77" s="277"/>
      <c r="T77" s="277"/>
      <c r="U77" s="277"/>
      <c r="V77" s="277"/>
    </row>
    <row r="78" outlineLevel="1">
      <c r="A78" s="278" t="s">
        <v>226</v>
      </c>
      <c r="B78" s="269" t="s">
        <v>227</v>
      </c>
      <c r="C78" s="239" t="s">
        <v>128</v>
      </c>
      <c r="D78" s="367" t="s">
        <v>964</v>
      </c>
      <c r="E78" s="239" t="s">
        <v>150</v>
      </c>
      <c r="F78" s="138">
        <v>6.0</v>
      </c>
      <c r="G78" s="1170"/>
      <c r="H78" s="164"/>
      <c r="I78" s="164"/>
      <c r="J78" s="104"/>
      <c r="K78" s="282"/>
      <c r="L78" s="282"/>
      <c r="M78" s="363"/>
      <c r="N78" s="363"/>
      <c r="O78" s="145">
        <v>0.0</v>
      </c>
      <c r="P78" s="145">
        <v>1.0</v>
      </c>
      <c r="Q78" s="145">
        <v>1.0</v>
      </c>
      <c r="R78" s="277"/>
      <c r="S78" s="228"/>
      <c r="T78" s="228"/>
      <c r="U78" s="228"/>
      <c r="V78" s="228"/>
    </row>
    <row r="79" outlineLevel="1">
      <c r="A79" s="156"/>
      <c r="B79" s="269" t="s">
        <v>225</v>
      </c>
      <c r="C79" s="239" t="s">
        <v>232</v>
      </c>
      <c r="D79" s="156"/>
      <c r="E79" s="239" t="s">
        <v>73</v>
      </c>
      <c r="F79" s="138">
        <v>4.8</v>
      </c>
      <c r="G79" s="106"/>
      <c r="H79" s="168"/>
      <c r="I79" s="168"/>
      <c r="J79" s="107"/>
      <c r="K79" s="282"/>
      <c r="L79" s="282"/>
      <c r="M79" s="363"/>
      <c r="N79" s="363"/>
      <c r="O79" s="261"/>
      <c r="P79" s="261"/>
      <c r="Q79" s="261"/>
      <c r="R79" s="277"/>
      <c r="S79" s="228"/>
      <c r="T79" s="228"/>
      <c r="U79" s="228"/>
      <c r="V79" s="228"/>
    </row>
    <row r="80" outlineLevel="1">
      <c r="A80" s="278" t="s">
        <v>229</v>
      </c>
      <c r="B80" s="269" t="s">
        <v>227</v>
      </c>
      <c r="C80" s="239" t="s">
        <v>173</v>
      </c>
      <c r="D80" s="367" t="s">
        <v>111</v>
      </c>
      <c r="E80" s="239" t="s">
        <v>86</v>
      </c>
      <c r="F80" s="138">
        <v>7.199999999999999</v>
      </c>
      <c r="G80" s="1170"/>
      <c r="H80" s="164"/>
      <c r="I80" s="164"/>
      <c r="J80" s="104"/>
      <c r="K80" s="282"/>
      <c r="L80" s="282"/>
      <c r="M80" s="363"/>
      <c r="N80" s="363"/>
      <c r="O80" s="145">
        <v>0.0</v>
      </c>
      <c r="P80" s="145">
        <v>1.0</v>
      </c>
      <c r="Q80" s="145">
        <v>1.0</v>
      </c>
      <c r="R80" s="277"/>
      <c r="S80" s="228"/>
      <c r="T80" s="228"/>
      <c r="U80" s="228"/>
      <c r="V80" s="228"/>
    </row>
    <row r="81" outlineLevel="1">
      <c r="A81" s="156"/>
      <c r="B81" s="269" t="s">
        <v>225</v>
      </c>
      <c r="C81" s="239" t="s">
        <v>268</v>
      </c>
      <c r="D81" s="156"/>
      <c r="E81" s="239" t="s">
        <v>150</v>
      </c>
      <c r="F81" s="138">
        <v>6.0</v>
      </c>
      <c r="G81" s="106"/>
      <c r="H81" s="168"/>
      <c r="I81" s="168"/>
      <c r="J81" s="107"/>
      <c r="K81" s="282"/>
      <c r="L81" s="282"/>
      <c r="M81" s="363"/>
      <c r="N81" s="363"/>
      <c r="O81" s="261"/>
      <c r="P81" s="261"/>
      <c r="Q81" s="261"/>
      <c r="R81" s="277"/>
      <c r="S81" s="228"/>
      <c r="T81" s="228"/>
      <c r="U81" s="228"/>
      <c r="V81" s="228"/>
    </row>
    <row r="82" outlineLevel="1">
      <c r="A82" s="278" t="s">
        <v>233</v>
      </c>
      <c r="B82" s="269" t="s">
        <v>227</v>
      </c>
      <c r="C82" s="239" t="s">
        <v>876</v>
      </c>
      <c r="D82" s="367" t="s">
        <v>146</v>
      </c>
      <c r="E82" s="239" t="s">
        <v>150</v>
      </c>
      <c r="F82" s="138">
        <v>6.0</v>
      </c>
      <c r="G82" s="1170"/>
      <c r="H82" s="164"/>
      <c r="I82" s="164"/>
      <c r="J82" s="104"/>
      <c r="K82" s="282"/>
      <c r="L82" s="282"/>
      <c r="M82" s="363"/>
      <c r="N82" s="363"/>
      <c r="O82" s="145">
        <v>0.0</v>
      </c>
      <c r="P82" s="145">
        <v>1.0</v>
      </c>
      <c r="Q82" s="145">
        <v>1.0</v>
      </c>
      <c r="R82" s="277"/>
      <c r="S82" s="228"/>
      <c r="T82" s="228"/>
      <c r="U82" s="228"/>
      <c r="V82" s="228"/>
    </row>
    <row r="83" outlineLevel="1">
      <c r="A83" s="156"/>
      <c r="B83" s="269" t="s">
        <v>225</v>
      </c>
      <c r="C83" s="239" t="s">
        <v>105</v>
      </c>
      <c r="D83" s="156"/>
      <c r="E83" s="239" t="s">
        <v>176</v>
      </c>
      <c r="F83" s="138">
        <v>2.4</v>
      </c>
      <c r="G83" s="106"/>
      <c r="H83" s="168"/>
      <c r="I83" s="168"/>
      <c r="J83" s="107"/>
      <c r="K83" s="282"/>
      <c r="L83" s="282"/>
      <c r="M83" s="363"/>
      <c r="N83" s="363"/>
      <c r="O83" s="261"/>
      <c r="P83" s="261"/>
      <c r="Q83" s="261"/>
      <c r="R83" s="277"/>
      <c r="S83" s="117"/>
      <c r="T83" s="117"/>
      <c r="U83" s="117"/>
      <c r="V83" s="117"/>
    </row>
    <row r="84" outlineLevel="1">
      <c r="A84" s="278" t="s">
        <v>234</v>
      </c>
      <c r="B84" s="269" t="s">
        <v>227</v>
      </c>
      <c r="C84" s="261"/>
      <c r="D84" s="367" t="s">
        <v>628</v>
      </c>
      <c r="E84" s="261"/>
      <c r="F84" s="261"/>
      <c r="G84" s="283" t="s">
        <v>3230</v>
      </c>
      <c r="H84" s="164"/>
      <c r="I84" s="164"/>
      <c r="J84" s="104"/>
      <c r="K84" s="261"/>
      <c r="L84" s="261"/>
      <c r="M84" s="261"/>
      <c r="N84" s="261"/>
      <c r="O84" s="261"/>
      <c r="P84" s="261"/>
      <c r="Q84" s="261"/>
      <c r="R84" s="277"/>
      <c r="S84" s="117"/>
      <c r="T84" s="117"/>
      <c r="U84" s="117"/>
      <c r="V84" s="117"/>
    </row>
    <row r="85" outlineLevel="1">
      <c r="A85" s="156"/>
      <c r="B85" s="269" t="s">
        <v>225</v>
      </c>
      <c r="C85" s="239" t="s">
        <v>876</v>
      </c>
      <c r="D85" s="156"/>
      <c r="E85" s="239" t="s">
        <v>1855</v>
      </c>
      <c r="F85" s="138">
        <v>10.2</v>
      </c>
      <c r="G85" s="106"/>
      <c r="H85" s="168"/>
      <c r="I85" s="168"/>
      <c r="J85" s="107"/>
      <c r="K85" s="282"/>
      <c r="L85" s="282"/>
      <c r="M85" s="363"/>
      <c r="N85" s="363"/>
      <c r="O85" s="261"/>
      <c r="P85" s="261"/>
      <c r="Q85" s="261"/>
      <c r="R85" s="277"/>
      <c r="S85" s="117"/>
      <c r="T85" s="117"/>
      <c r="U85" s="117"/>
      <c r="V85" s="117"/>
    </row>
    <row r="86">
      <c r="A86" s="223"/>
      <c r="B86" s="224"/>
      <c r="C86" s="225"/>
      <c r="D86" s="225"/>
      <c r="E86" s="227"/>
      <c r="F86" s="177"/>
      <c r="G86" s="177"/>
      <c r="H86" s="227"/>
      <c r="I86" s="227"/>
      <c r="J86" s="228"/>
      <c r="K86" s="228"/>
      <c r="L86" s="111"/>
      <c r="M86" s="111"/>
      <c r="N86" s="111"/>
      <c r="O86" s="117"/>
      <c r="P86" s="117"/>
      <c r="Q86" s="111"/>
      <c r="R86" s="111"/>
      <c r="S86" s="111"/>
      <c r="T86" s="111"/>
      <c r="U86" s="111"/>
      <c r="V86" s="111"/>
    </row>
    <row r="87">
      <c r="A87" s="284" t="s">
        <v>241</v>
      </c>
      <c r="B87" s="104"/>
      <c r="C87" s="265"/>
      <c r="D87" s="111"/>
      <c r="E87" s="111"/>
      <c r="F87" s="111"/>
      <c r="G87" s="111"/>
      <c r="H87" s="111"/>
      <c r="I87" s="111"/>
      <c r="J87" s="118"/>
      <c r="K87" s="111"/>
      <c r="L87" s="111"/>
      <c r="M87" s="111"/>
      <c r="N87" s="111"/>
      <c r="O87" s="111"/>
      <c r="P87" s="111"/>
      <c r="Q87" s="118"/>
      <c r="R87" s="111"/>
      <c r="S87" s="111"/>
      <c r="T87" s="111"/>
      <c r="U87" s="111"/>
      <c r="V87" s="111"/>
    </row>
    <row r="88" outlineLevel="1">
      <c r="A88" s="106"/>
      <c r="B88" s="107"/>
      <c r="C88" s="285" t="s">
        <v>235</v>
      </c>
      <c r="D88" s="285" t="s">
        <v>236</v>
      </c>
      <c r="E88" s="285" t="s">
        <v>49</v>
      </c>
      <c r="F88" s="285" t="s">
        <v>237</v>
      </c>
      <c r="G88" s="286"/>
      <c r="H88" s="227"/>
      <c r="I88" s="227"/>
      <c r="J88" s="228"/>
      <c r="K88" s="228"/>
      <c r="L88" s="111"/>
      <c r="M88" s="111"/>
      <c r="N88" s="111"/>
      <c r="O88" s="111"/>
      <c r="P88" s="111"/>
      <c r="Q88" s="111"/>
      <c r="R88" s="111"/>
      <c r="S88" s="111"/>
      <c r="T88" s="111"/>
      <c r="U88" s="111"/>
      <c r="V88" s="111"/>
    </row>
    <row r="89" outlineLevel="1">
      <c r="A89" s="287" t="s">
        <v>395</v>
      </c>
      <c r="B89" s="288" t="s">
        <v>216</v>
      </c>
      <c r="C89" s="113" t="str">
        <f t="array" ref="C89">INDEX('回避'!$C$3:$U$84, MATCH($A$1,'回避'!$A$3:$A$91,0), MATCH(C88,'回避'!$C$2:$F$2,0))</f>
        <v>3-17</v>
      </c>
      <c r="D89" s="113" t="str">
        <f t="array" ref="D89">INDEX('回避'!$C$3:$U$84, MATCH($A$1,'回避'!$A$3:$A$91,0), MATCH(D88,'回避'!$C$2:$F$2,0))</f>
        <v>6-17</v>
      </c>
      <c r="E89" s="113" t="str">
        <f t="array" ref="E89">INDEX('回避'!$C$3:$U$84, MATCH($A$1,'回避'!$A$3:$A$91,0), MATCH(E88,'回避'!$C$2:$F$2,0))</f>
        <v>25 (20)</v>
      </c>
      <c r="F89" s="113" t="str">
        <f t="array" ref="F89">INDEX('回避'!$C$3:$U$84, MATCH($A$1,'回避'!$A$3:$A$91,0), MATCH(F88,'回避'!$C$2:$F$2,0))</f>
        <v>33 (27)</v>
      </c>
      <c r="G89" s="272"/>
      <c r="H89" s="227"/>
      <c r="I89" s="227"/>
      <c r="J89" s="228"/>
      <c r="K89" s="228"/>
      <c r="L89" s="228"/>
      <c r="M89" s="111"/>
      <c r="N89" s="111"/>
      <c r="O89" s="111"/>
      <c r="P89" s="111"/>
      <c r="Q89" s="111"/>
      <c r="R89" s="111"/>
      <c r="S89" s="111"/>
      <c r="T89" s="111"/>
      <c r="U89" s="111"/>
      <c r="V89" s="111"/>
    </row>
    <row r="90" outlineLevel="1">
      <c r="A90" s="212"/>
      <c r="B90" s="288" t="s">
        <v>245</v>
      </c>
      <c r="C90" s="113" t="str">
        <f t="array" ref="C90">INDEX('回避'!$G$3:$U$84, MATCH($A$1,'回避'!$A$3:$A$91,0), MATCH(C88,'回避'!$G$2:$J$2,0))</f>
        <v>4-15</v>
      </c>
      <c r="D90" s="113" t="str">
        <f t="array" ref="D90">INDEX('回避'!$G$3:$U$84, MATCH($A$1,'回避'!$A$3:$A$91,0), MATCH(D88,'回避'!$G$2:$J$2,0))</f>
        <v>8-14</v>
      </c>
      <c r="E90" s="113" t="str">
        <f t="array" ref="E90">INDEX('回避'!$G$3:$U$84, MATCH($A$1,'回避'!$A$3:$A$91,0), MATCH(E88,'回避'!$G$2:$J$2,0))</f>
        <v>29</v>
      </c>
      <c r="F90" s="113">
        <f t="array" ref="F90">INDEX('回避'!$G$3:$U$84, MATCH($A$1,'回避'!$A$3:$A$91,0), MATCH(F88,'回避'!$G$2:$J$2,0))</f>
        <v>38</v>
      </c>
      <c r="G90" s="289"/>
      <c r="H90" s="227"/>
      <c r="I90" s="227"/>
      <c r="J90" s="228"/>
      <c r="K90" s="228"/>
      <c r="L90" s="228"/>
      <c r="M90" s="228"/>
      <c r="N90" s="228"/>
      <c r="O90" s="111"/>
      <c r="P90" s="111"/>
      <c r="Q90" s="111"/>
      <c r="R90" s="111"/>
      <c r="S90" s="111"/>
      <c r="T90" s="111"/>
      <c r="U90" s="111"/>
      <c r="V90" s="111"/>
    </row>
    <row r="91" outlineLevel="1">
      <c r="A91" s="106"/>
      <c r="B91" s="288" t="s">
        <v>246</v>
      </c>
      <c r="C91" s="113" t="str">
        <f t="array" ref="C91">INDEX('回避'!$K$3:$U$84, MATCH($A$1,'回避'!$A$3:$A$91,0), MATCH(C88,'回避'!$K$2:$N$2,0))</f>
        <v>5-16</v>
      </c>
      <c r="D91" s="113" t="str">
        <f t="array" ref="D91">INDEX('回避'!$K$3:$U$84, MATCH($A$1,'回避'!$A$3:$A$91,0), MATCH(D88,'回避'!$K$2:$N$2,0))</f>
        <v>9-14</v>
      </c>
      <c r="E91" s="113" t="str">
        <f t="array" ref="E91">INDEX('回避'!$K$3:$U$84, MATCH($A$1,'回避'!$A$3:$A$91,0), MATCH(E88,'回避'!$K$2:$N$2,0))</f>
        <v>34</v>
      </c>
      <c r="F91" s="113" t="str">
        <f t="array" ref="F91">INDEX('回避'!$K$3:$U$84, MATCH($A$1,'回避'!$A$3:$A$91,0), MATCH(F88,'回避'!$K$2:$N$2,0))</f>
        <v>51</v>
      </c>
      <c r="G91" s="289"/>
      <c r="H91" s="290"/>
      <c r="I91" s="290"/>
      <c r="J91" s="117"/>
      <c r="K91" s="117"/>
      <c r="L91" s="117"/>
      <c r="M91" s="117"/>
      <c r="N91" s="117"/>
      <c r="O91" s="111"/>
      <c r="P91" s="111"/>
      <c r="Q91" s="111"/>
      <c r="R91" s="111"/>
      <c r="S91" s="111"/>
      <c r="T91" s="111"/>
      <c r="U91" s="111"/>
      <c r="V91" s="111"/>
    </row>
    <row r="92" outlineLevel="1">
      <c r="A92" s="287" t="s">
        <v>396</v>
      </c>
      <c r="B92" s="288" t="s">
        <v>397</v>
      </c>
      <c r="C92" s="113" t="str">
        <f t="array" ref="C92">INDEX('回避'!$O$3:$U$84, MATCH($A$1,'回避'!$A$3:$A$91,0), MATCH(C88,'回避'!$O$2:$R$2,0))</f>
        <v>2-26</v>
      </c>
      <c r="D92" s="113" t="str">
        <f t="array" ref="D92">INDEX('回避'!$O$3:$U$84, MATCH($A$1,'回避'!$A$3:$A$91,0), MATCH(D88,'回避'!$O$2:$R$2,0))</f>
        <v>5-24</v>
      </c>
      <c r="E92" s="113" t="str">
        <f t="array" ref="E92">INDEX('回避'!$O$3:$U$84, MATCH($A$1,'回避'!$A$3:$A$91,0), MATCH(E88,'回避'!$O$2:$R$2,0))</f>
        <v>44</v>
      </c>
      <c r="F92" s="177"/>
      <c r="G92" s="177"/>
      <c r="H92" s="118"/>
      <c r="I92" s="118"/>
      <c r="J92" s="111"/>
      <c r="K92" s="111"/>
      <c r="L92" s="111"/>
      <c r="M92" s="111"/>
      <c r="N92" s="111"/>
      <c r="O92" s="228"/>
      <c r="P92" s="228"/>
      <c r="Q92" s="228"/>
      <c r="R92" s="228"/>
      <c r="S92" s="228"/>
      <c r="T92" s="228"/>
      <c r="U92" s="228"/>
      <c r="V92" s="228"/>
    </row>
    <row r="93" outlineLevel="1">
      <c r="A93" s="106"/>
      <c r="B93" s="288" t="s">
        <v>398</v>
      </c>
      <c r="C93" s="113" t="str">
        <f t="array" ref="C93">INDEX('回避'!$S$3:$U$84, MATCH($A$1,'回避'!$A$3:$A$91,0), MATCH(C88,'回避'!$S$2:$U$2,0))</f>
        <v>2-20</v>
      </c>
      <c r="D93" s="113" t="str">
        <f t="array" ref="D93">INDEX('回避'!$S$3:$U$84, MATCH($A$1,'回避'!$A$3:$A$91,0), MATCH(D88,'回避'!$S$2:$U$2,0))</f>
        <v>5-19</v>
      </c>
      <c r="E93" s="113" t="str">
        <f t="array" ref="E93">INDEX('回避'!$S$3:$U$84, MATCH($A$1,'回避'!$A$3:$A$91,0), MATCH(E88,'回避'!$S$2:$U$2,0))</f>
        <v>真横：73
真上：93
真下：61</v>
      </c>
      <c r="F93" s="289"/>
      <c r="G93" s="289"/>
      <c r="H93" s="118"/>
      <c r="I93" s="118"/>
      <c r="J93" s="117"/>
      <c r="K93" s="117"/>
      <c r="L93" s="117"/>
      <c r="M93" s="117"/>
      <c r="N93" s="111"/>
      <c r="O93" s="118"/>
      <c r="P93" s="118"/>
      <c r="Q93" s="118"/>
      <c r="R93" s="118"/>
      <c r="S93" s="118"/>
      <c r="T93" s="118"/>
      <c r="U93" s="118"/>
      <c r="V93" s="118"/>
    </row>
    <row r="94">
      <c r="A94" s="291"/>
      <c r="B94" s="292"/>
      <c r="C94" s="286"/>
      <c r="D94" s="286"/>
      <c r="E94" s="293"/>
      <c r="F94" s="286"/>
      <c r="G94" s="286"/>
      <c r="H94" s="286"/>
      <c r="I94" s="286"/>
      <c r="J94" s="111"/>
      <c r="K94" s="227"/>
      <c r="L94" s="227"/>
      <c r="M94" s="227"/>
      <c r="N94" s="227"/>
      <c r="O94" s="118"/>
      <c r="P94" s="118"/>
      <c r="Q94" s="118"/>
      <c r="R94" s="118"/>
      <c r="S94" s="118"/>
      <c r="T94" s="118"/>
      <c r="U94" s="118"/>
      <c r="V94" s="118"/>
    </row>
    <row r="95">
      <c r="A95" s="294" t="s">
        <v>238</v>
      </c>
      <c r="B95" s="104"/>
      <c r="C95" s="228"/>
      <c r="D95" s="117"/>
      <c r="E95" s="228"/>
      <c r="F95" s="114"/>
      <c r="G95" s="114"/>
      <c r="H95" s="117"/>
      <c r="I95" s="117"/>
      <c r="J95" s="118"/>
      <c r="K95" s="118"/>
      <c r="L95" s="118"/>
      <c r="M95" s="118"/>
      <c r="N95" s="118"/>
      <c r="O95" s="118"/>
      <c r="P95" s="118"/>
      <c r="Q95" s="118"/>
      <c r="R95" s="118"/>
      <c r="S95" s="118"/>
      <c r="T95" s="118"/>
      <c r="U95" s="118"/>
      <c r="V95" s="118"/>
    </row>
    <row r="96" outlineLevel="1">
      <c r="A96" s="106"/>
      <c r="B96" s="107"/>
      <c r="C96" s="295" t="s">
        <v>235</v>
      </c>
      <c r="D96" s="295" t="s">
        <v>49</v>
      </c>
      <c r="E96" s="295" t="s">
        <v>48</v>
      </c>
      <c r="F96" s="295" t="s">
        <v>50</v>
      </c>
      <c r="G96" s="296" t="s">
        <v>51</v>
      </c>
      <c r="H96" s="228"/>
      <c r="I96" s="228"/>
      <c r="J96" s="117"/>
      <c r="K96" s="297" t="str">
        <f>'テンプレート'!K116</f>
        <v>アイテム取得</v>
      </c>
      <c r="L96" s="109"/>
      <c r="M96" s="298" t="str">
        <f>'テンプレート'!M116</f>
        <v>取得フレーム</v>
      </c>
      <c r="N96" s="298" t="str">
        <f>'テンプレート'!N116</f>
        <v>全体フレーム</v>
      </c>
      <c r="O96" s="118"/>
      <c r="P96" s="118"/>
      <c r="Q96" s="118"/>
      <c r="R96" s="118"/>
      <c r="S96" s="118"/>
      <c r="T96" s="118"/>
      <c r="U96" s="118"/>
      <c r="V96" s="118"/>
    </row>
    <row r="97" outlineLevel="1">
      <c r="A97" s="299" t="s">
        <v>239</v>
      </c>
      <c r="B97" s="300" t="s">
        <v>240</v>
      </c>
      <c r="C97" s="301"/>
      <c r="D97" s="113">
        <f t="array" ref="D97">INDEX('崖行動・受け身'!$C$3:$C98, MATCH($A$1,'崖行動・受け身'!$A$3:$A$115,0), MATCH(D96,'崖行動・受け身'!$C$2,0))</f>
        <v>19</v>
      </c>
      <c r="E97" s="301"/>
      <c r="F97" s="301"/>
      <c r="G97" s="301"/>
      <c r="H97" s="228"/>
      <c r="I97" s="228"/>
      <c r="J97" s="111"/>
      <c r="K97" s="302" t="str">
        <f>'テンプレート'!K117</f>
        <v>小アイテム</v>
      </c>
      <c r="L97" s="303" t="str">
        <f>'テンプレート'!L117</f>
        <v>その場</v>
      </c>
      <c r="M97" s="113" t="str">
        <f t="array" ref="M97">INDEX('アイテム'!$C$3:$D$115, MATCH($A$1,'アイテム'!$A$3:$A$115,0), MATCH(M$96,'アイテム'!$C$2:$AK$2,0))</f>
        <v>2</v>
      </c>
      <c r="N97" s="113">
        <f t="array" ref="N97">INDEX('アイテム'!$C$3:$D$115, MATCH($A$1,'アイテム'!$A$3:$A$115,0), MATCH(N$96,'アイテム'!$C$2:$AK$2,0))</f>
        <v>7</v>
      </c>
      <c r="O97" s="118"/>
      <c r="P97" s="118"/>
      <c r="Q97" s="118"/>
      <c r="R97" s="118"/>
      <c r="S97" s="118"/>
      <c r="T97" s="118"/>
      <c r="U97" s="118"/>
      <c r="V97" s="118"/>
    </row>
    <row r="98" outlineLevel="1">
      <c r="A98" s="146"/>
      <c r="B98" s="300" t="s">
        <v>216</v>
      </c>
      <c r="C98" s="113" t="str">
        <f t="array" ref="C98">INDEX('崖行動・受け身'!$D$3:$E98, MATCH($A$1,'崖行動・受け身'!$A$3:$A$115,0), MATCH(C96,'崖行動・受け身'!$D$2:$E$2,0))</f>
        <v>1-33</v>
      </c>
      <c r="D98" s="113">
        <f t="array" ref="D98">INDEX('崖行動・受け身'!$D$3:$E98, MATCH($A$1,'崖行動・受け身'!$A$3:$A$115,0), MATCH(D96,'崖行動・受け身'!$D$2:$E$2,0))</f>
        <v>34</v>
      </c>
      <c r="E98" s="301"/>
      <c r="F98" s="301"/>
      <c r="G98" s="301"/>
      <c r="H98" s="228"/>
      <c r="I98" s="228"/>
      <c r="J98" s="117"/>
      <c r="K98" s="156"/>
      <c r="L98" s="303" t="str">
        <f>'テンプレート'!L118</f>
        <v>歩き</v>
      </c>
      <c r="M98" s="113" t="str">
        <f t="array" ref="M98">INDEX('アイテム'!$E$3:$F$115, MATCH($A$1,'アイテム'!$A$3:$A$115,0), MATCH(M$96,'アイテム'!$E$2:$AK$2,0))</f>
        <v>2</v>
      </c>
      <c r="N98" s="113">
        <f t="array" ref="N98">INDEX('アイテム'!$E$3:$F$115, MATCH($A$1,'アイテム'!$A$3:$A$115,0), MATCH(N$96,'アイテム'!$E$2:$AK$2,0))</f>
        <v>19</v>
      </c>
      <c r="O98" s="118"/>
      <c r="P98" s="118"/>
      <c r="Q98" s="118"/>
      <c r="R98" s="118"/>
      <c r="S98" s="118"/>
      <c r="T98" s="118"/>
      <c r="U98" s="118"/>
      <c r="V98" s="118"/>
    </row>
    <row r="99" outlineLevel="1">
      <c r="A99" s="146"/>
      <c r="B99" s="300" t="s">
        <v>241</v>
      </c>
      <c r="C99" s="113" t="str">
        <f t="array" ref="C99">INDEX('崖行動・受け身'!$F$3:$G$115, MATCH($A$1,'崖行動・受け身'!$A$3:$A$115,0), MATCH(C96,'崖行動・受け身'!$F$2:$G$2,0))</f>
        <v>1-24</v>
      </c>
      <c r="D99" s="113">
        <f t="array" ref="D99">INDEX('崖行動・受け身'!$F$3:$G$115, MATCH($A$1,'崖行動・受け身'!$A$3:$A$115,0), MATCH(D96,'崖行動・受け身'!$F$2:$G$2,0))</f>
        <v>45</v>
      </c>
      <c r="E99" s="301"/>
      <c r="F99" s="301"/>
      <c r="G99" s="301"/>
      <c r="H99" s="228"/>
      <c r="I99" s="228"/>
      <c r="J99" s="111"/>
      <c r="K99" s="304" t="str">
        <f>'テンプレート'!K119</f>
        <v>アイテム投擲</v>
      </c>
      <c r="L99" s="109"/>
      <c r="M99" s="298" t="str">
        <f>'テンプレート'!M119</f>
        <v>投擲フレーム</v>
      </c>
      <c r="N99" s="298" t="str">
        <f>'テンプレート'!N119</f>
        <v>全体フレーム</v>
      </c>
      <c r="O99" s="118"/>
      <c r="P99" s="118"/>
      <c r="Q99" s="118"/>
      <c r="R99" s="118"/>
      <c r="S99" s="118"/>
      <c r="T99" s="118"/>
      <c r="U99" s="118"/>
      <c r="V99" s="118"/>
    </row>
    <row r="100" outlineLevel="1">
      <c r="A100" s="146"/>
      <c r="B100" s="300" t="s">
        <v>242</v>
      </c>
      <c r="C100" s="113" t="str">
        <f t="array" ref="C100">INDEX('崖行動・受け身'!$H$3:$I$115, MATCH($A$1,'崖行動・受け身'!$A$3:$A$115,0), MATCH(C96,'崖行動・受け身'!$H$2:$I$2,0))</f>
        <v>1-12</v>
      </c>
      <c r="D100" s="113">
        <f t="array" ref="D100">INDEX('崖行動・受け身'!$H$3:$I$115, MATCH($A$1,'崖行動・受け身'!$A$3:$A$115,0), MATCH(D96,'崖行動・受け身'!$H$2:$I$2,0))</f>
        <v>14</v>
      </c>
      <c r="E100" s="301"/>
      <c r="F100" s="301"/>
      <c r="G100" s="301"/>
      <c r="H100" s="228"/>
      <c r="I100" s="228"/>
      <c r="J100" s="117"/>
      <c r="K100" s="1030" t="str">
        <f>'テンプレート'!K120</f>
        <v>地上投擲</v>
      </c>
      <c r="L100" s="303" t="str">
        <f>'テンプレート'!L120</f>
        <v>前投げ</v>
      </c>
      <c r="M100" s="113" t="str">
        <f t="array" ref="M100">INDEX('アイテム'!$G$3:$H$115, MATCH($A$1,'アイテム'!$A$3:$A$115,0), MATCH(M$99,'アイテム'!$G$2:$AK$2,0))</f>
        <v>8</v>
      </c>
      <c r="N100" s="113">
        <f t="array" ref="N100">INDEX('アイテム'!$G$3:$H$115, MATCH($A$1,'アイテム'!$A$3:$A$115,0), MATCH(N$99,'アイテム'!$G$2:$AK$2,0))</f>
        <v>24</v>
      </c>
      <c r="O100" s="111"/>
      <c r="P100" s="111"/>
      <c r="Q100" s="111"/>
      <c r="R100" s="111"/>
      <c r="S100" s="111"/>
      <c r="T100" s="111"/>
      <c r="U100" s="111"/>
      <c r="V100" s="111"/>
    </row>
    <row r="101" outlineLevel="1">
      <c r="A101" s="156"/>
      <c r="B101" s="300" t="s">
        <v>243</v>
      </c>
      <c r="C101" s="113" t="str">
        <f t="array" ref="C101">INDEX('崖行動・受け身'!$J$3:$M$115, MATCH($A$1,'崖行動・受け身'!$A$3:$A$115,0), MATCH(C96,'崖行動・受け身'!$J$2:$M$2,0))</f>
        <v>1-26</v>
      </c>
      <c r="D101" s="113">
        <f t="array" ref="D101">INDEX('崖行動・受け身'!$J$3:$M$115, MATCH($A$1,'崖行動・受け身'!$A$3:$A$115,0), MATCH(D96,'崖行動・受け身'!$J$2:$M$2,0))</f>
        <v>55</v>
      </c>
      <c r="E101" s="113" t="str">
        <f t="array" ref="E101">INDEX('崖行動・受け身'!$J$3:$M$115, MATCH($A$1,'崖行動・受け身'!$A$3:$A$115,0), MATCH(E96,'崖行動・受け身'!$J$2:$M$2,0))</f>
        <v>24-26</v>
      </c>
      <c r="F101" s="113">
        <f t="array" ref="F101">INDEX('崖行動・受け身'!$J$3:$M$115, MATCH($A$1,'崖行動・受け身'!$A$3:$A$115,0), MATCH(F96,'崖行動・受け身'!$J$2:$M$2,0))</f>
        <v>9</v>
      </c>
      <c r="G101" s="113">
        <f>F101*1.2</f>
        <v>10.8</v>
      </c>
      <c r="H101" s="228"/>
      <c r="I101" s="228"/>
      <c r="J101" s="111"/>
      <c r="K101" s="146"/>
      <c r="L101" s="303" t="str">
        <f>'テンプレート'!L121</f>
        <v>後投げ</v>
      </c>
      <c r="M101" s="113" t="str">
        <f t="array" ref="M101">INDEX('アイテム'!$I$3:$J$115, MATCH($A$1,'アイテム'!$A$3:$A$115,0), MATCH(M$99,'アイテム'!$I$2:$AK$2,0))</f>
        <v>11</v>
      </c>
      <c r="N101" s="113">
        <f t="array" ref="N101">INDEX('アイテム'!$I$3:$J$115, MATCH($A$1,'アイテム'!$A$3:$A$115,0), MATCH(N$99,'アイテム'!$I$2:$AK$2,0))</f>
        <v>24</v>
      </c>
      <c r="O101" s="111"/>
      <c r="P101" s="111"/>
      <c r="Q101" s="111"/>
      <c r="R101" s="111"/>
      <c r="S101" s="111"/>
      <c r="T101" s="111"/>
      <c r="U101" s="111"/>
      <c r="V101" s="111"/>
    </row>
    <row r="102" outlineLevel="1">
      <c r="A102" s="299" t="s">
        <v>244</v>
      </c>
      <c r="B102" s="300" t="s">
        <v>216</v>
      </c>
      <c r="C102" s="113" t="str">
        <f t="array" ref="C102">INDEX('崖行動・受け身'!$N$3:$O$115, MATCH($A$1,'崖行動・受け身'!$A$3:$A$115,0), MATCH(C96,'崖行動・受け身'!$N$2:$O$2,0))</f>
        <v>1-20</v>
      </c>
      <c r="D102" s="113">
        <f t="array" ref="D102">INDEX('崖行動・受け身'!$N$3:$O$115, MATCH($A$1,'崖行動・受け身'!$A$3:$A$115,0), MATCH(D96,'崖行動・受け身'!$N$2:$O$2,0))</f>
        <v>26</v>
      </c>
      <c r="E102" s="301"/>
      <c r="F102" s="301"/>
      <c r="G102" s="301"/>
      <c r="H102" s="228"/>
      <c r="I102" s="228"/>
      <c r="J102" s="117"/>
      <c r="K102" s="146"/>
      <c r="L102" s="303" t="str">
        <f>'テンプレート'!L122</f>
        <v>上投げ</v>
      </c>
      <c r="M102" s="113" t="str">
        <f t="array" ref="M102">INDEX('アイテム'!$K$3:$L$115, MATCH($A$1,'アイテム'!$A$3:$A$115,0), MATCH(M$99,'アイテム'!$K$2:$AK$2,0))</f>
        <v>12</v>
      </c>
      <c r="N102" s="113">
        <f t="array" ref="N102">INDEX('アイテム'!$K$3:$L$115, MATCH($A$1,'アイテム'!$A$3:$A$115,0), MATCH(N$99,'アイテム'!$K$2:$AK$2,0))</f>
        <v>23</v>
      </c>
      <c r="O102" s="228"/>
      <c r="P102" s="228"/>
      <c r="Q102" s="228"/>
      <c r="R102" s="228"/>
      <c r="S102" s="228"/>
      <c r="T102" s="228"/>
      <c r="U102" s="228"/>
      <c r="V102" s="228"/>
    </row>
    <row r="103" outlineLevel="1">
      <c r="A103" s="146"/>
      <c r="B103" s="300" t="s">
        <v>245</v>
      </c>
      <c r="C103" s="113" t="str">
        <f t="array" ref="C103">INDEX('崖行動・受け身'!$P$3:$Q$115, MATCH($A$1,'崖行動・受け身'!$A$3:$A$115,0), MATCH(C96,'崖行動・受け身'!$P$2:$Q$2,0))</f>
        <v>1-20</v>
      </c>
      <c r="D103" s="113">
        <f t="array" ref="D103">INDEX('崖行動・受け身'!$P$3:$Q$115, MATCH($A$1,'崖行動・受け身'!$A$3:$A$115,0), MATCH(D96,'崖行動・受け身'!$P$2:$Q$2,0))</f>
        <v>40</v>
      </c>
      <c r="E103" s="301"/>
      <c r="F103" s="301"/>
      <c r="G103" s="301"/>
      <c r="H103" s="228"/>
      <c r="I103" s="228"/>
      <c r="J103" s="111"/>
      <c r="K103" s="146"/>
      <c r="L103" s="303" t="str">
        <f>'テンプレート'!L123</f>
        <v>下投げ</v>
      </c>
      <c r="M103" s="113" t="str">
        <f t="array" ref="M103">INDEX('アイテム'!$M$3:$N$115, MATCH($A$1,'アイテム'!$A$3:$A$115,0), MATCH(M$99,'アイテム'!$M$2:$AK$2,0))</f>
        <v>7</v>
      </c>
      <c r="N103" s="113">
        <f t="array" ref="N103">INDEX('アイテム'!$M$3:$N$115, MATCH($A$1,'アイテム'!$A$3:$A$115,0), MATCH(N$99,'アイテム'!$M$2:$AK$2,0))</f>
        <v>19</v>
      </c>
      <c r="O103" s="118"/>
      <c r="P103" s="118"/>
      <c r="Q103" s="118"/>
      <c r="R103" s="118"/>
      <c r="S103" s="118"/>
      <c r="T103" s="118"/>
      <c r="U103" s="118"/>
      <c r="V103" s="118"/>
    </row>
    <row r="104" outlineLevel="1">
      <c r="A104" s="156"/>
      <c r="B104" s="300" t="s">
        <v>246</v>
      </c>
      <c r="C104" s="113" t="str">
        <f t="array" ref="C104">INDEX('崖行動・受け身'!$R$3:$S$115, MATCH($A$1,'崖行動・受け身'!$A$3:$A$115,0), MATCH(C96,'崖行動・受け身'!$R$2:$S$2,0))</f>
        <v>1-20</v>
      </c>
      <c r="D104" s="113">
        <f t="array" ref="D104">INDEX('崖行動・受け身'!$R$3:$S$115, MATCH($A$1,'崖行動・受け身'!$A$3:$A$115,0), MATCH(D96,'崖行動・受け身'!$R$2:$S$2,0))</f>
        <v>40</v>
      </c>
      <c r="E104" s="301"/>
      <c r="F104" s="301"/>
      <c r="G104" s="301"/>
      <c r="H104" s="228"/>
      <c r="I104" s="228"/>
      <c r="J104" s="117"/>
      <c r="K104" s="146"/>
      <c r="L104" s="306" t="str">
        <f>'テンプレート'!L124</f>
        <v>ダッシュ</v>
      </c>
      <c r="M104" s="113" t="str">
        <f t="array" ref="M104">INDEX('アイテム'!$O$3:$P$115, MATCH($A$1,'アイテム'!$A$3:$A$115,0), MATCH(M$99,'アイテム'!$O$2:$AK$2,0))</f>
        <v>5</v>
      </c>
      <c r="N104" s="113">
        <f t="array" ref="N104">INDEX('アイテム'!$O$3:$P$115, MATCH($A$1,'アイテム'!$A$3:$A$115,0), MATCH(N$99,'アイテム'!$O$2:$AK$2,0))</f>
        <v>29</v>
      </c>
      <c r="O104" s="118"/>
      <c r="P104" s="118"/>
      <c r="Q104" s="118"/>
      <c r="R104" s="118"/>
      <c r="S104" s="118"/>
      <c r="T104" s="118"/>
      <c r="U104" s="118"/>
      <c r="V104" s="118"/>
    </row>
    <row r="105" outlineLevel="1">
      <c r="A105" s="299" t="s">
        <v>247</v>
      </c>
      <c r="B105" s="300" t="s">
        <v>248</v>
      </c>
      <c r="C105" s="301"/>
      <c r="D105" s="113" t="str">
        <f t="array" ref="D105">INDEX('起きあがり'!$C$3:$C98, MATCH($A$1,'起きあがり'!$A$3:$A$115,0), MATCH(D96,'起きあがり'!$C$2:$AD$2,0))</f>
        <v>25</v>
      </c>
      <c r="E105" s="301"/>
      <c r="F105" s="301"/>
      <c r="G105" s="301"/>
      <c r="H105" s="228"/>
      <c r="I105" s="228"/>
      <c r="J105" s="111"/>
      <c r="K105" s="156"/>
      <c r="L105" s="306" t="str">
        <f>'テンプレート'!L125</f>
        <v>その場捨て</v>
      </c>
      <c r="M105" s="113" t="str">
        <f t="array" ref="M105">INDEX('アイテム'!$Q$3:$R$115, MATCH($A$1,'アイテム'!$A$3:$A$115,0), MATCH(M$99,'アイテム'!$Q$2:$AK$2,0))</f>
        <v>6</v>
      </c>
      <c r="N105" s="113">
        <f t="array" ref="N105">INDEX('アイテム'!$Q$3:$R$115, MATCH($A$1,'アイテム'!$A$3:$A$115,0), MATCH(N$99,'アイテム'!$Q$2:$AK$2,0))</f>
        <v>23</v>
      </c>
      <c r="O105" s="118"/>
      <c r="P105" s="118"/>
      <c r="Q105" s="118"/>
      <c r="R105" s="118"/>
      <c r="S105" s="118"/>
      <c r="T105" s="118"/>
      <c r="U105" s="118"/>
      <c r="V105" s="118"/>
    </row>
    <row r="106" outlineLevel="1">
      <c r="A106" s="146"/>
      <c r="B106" s="300" t="s">
        <v>216</v>
      </c>
      <c r="C106" s="307" t="str">
        <f t="array" ref="C106">INDEX('起きあがり'!$D$3:$E98, MATCH($A$1,'起きあがり'!$A$3:$A$115,0), MATCH(C96,'起きあがり'!$D$2:$AD$2,0))</f>
        <v>1-22</v>
      </c>
      <c r="D106" s="308">
        <f t="array" ref="D106">INDEX('起きあがり'!$D$3:$E98, MATCH($A$1,'起きあがり'!$A$3:$A$115,0), MATCH(D96,'起きあがり'!$D$2:$AD$2,0))</f>
        <v>29</v>
      </c>
      <c r="E106" s="301"/>
      <c r="F106" s="301"/>
      <c r="G106" s="301"/>
      <c r="H106" s="228"/>
      <c r="I106" s="228"/>
      <c r="J106" s="117"/>
      <c r="K106" s="1030" t="str">
        <f>'テンプレート'!K126</f>
        <v>空中投擲</v>
      </c>
      <c r="L106" s="303" t="str">
        <f>'テンプレート'!L126</f>
        <v>前投げ</v>
      </c>
      <c r="M106" s="113" t="str">
        <f t="array" ref="M106">INDEX('アイテム'!$S$3:$T$115, MATCH($A$1,'アイテム'!$A$3:$A$115,0), MATCH(M$99,'アイテム'!$S$2:$AK$2,0))</f>
        <v>8</v>
      </c>
      <c r="N106" s="113">
        <f t="array" ref="N106">INDEX('アイテム'!$S$3:$T$115, MATCH($A$1,'アイテム'!$A$3:$A$115,0), MATCH(N$99,'アイテム'!$S$2:$AK$2,0))</f>
        <v>24</v>
      </c>
      <c r="O106" s="118"/>
      <c r="P106" s="118"/>
      <c r="Q106" s="118"/>
      <c r="R106" s="118"/>
      <c r="S106" s="118"/>
      <c r="T106" s="118"/>
      <c r="U106" s="118"/>
      <c r="V106" s="118"/>
    </row>
    <row r="107" outlineLevel="1">
      <c r="A107" s="146"/>
      <c r="B107" s="300" t="s">
        <v>245</v>
      </c>
      <c r="C107" s="307" t="str">
        <f t="array" ref="C107">INDEX('起きあがり'!$F$3:$G$115, MATCH($A$1,'起きあがり'!$A$3:$A$115,0), MATCH(C96,'起きあがり'!$F$2:$AD$2,0))</f>
        <v>1-21</v>
      </c>
      <c r="D107" s="308">
        <f t="array" ref="D107">INDEX('起きあがり'!$F$3:$G$115, MATCH($A$1,'起きあがり'!$A$3:$A$115,0), MATCH(D96,'起きあがり'!$F$2:$AD$2,0))</f>
        <v>35</v>
      </c>
      <c r="E107" s="301"/>
      <c r="F107" s="301"/>
      <c r="G107" s="301"/>
      <c r="H107" s="228"/>
      <c r="I107" s="228"/>
      <c r="J107" s="111"/>
      <c r="K107" s="146"/>
      <c r="L107" s="303" t="str">
        <f>'テンプレート'!L127</f>
        <v>後投げ</v>
      </c>
      <c r="M107" s="113" t="str">
        <f t="array" ref="M107">INDEX('アイテム'!$U$3:$V$115, MATCH($A$1,'アイテム'!$A$3:$A$115,0), MATCH(M$99,'アイテム'!$U$2:$AK$2,0))</f>
        <v>11</v>
      </c>
      <c r="N107" s="113">
        <f t="array" ref="N107">INDEX('アイテム'!$U$3:$V$115, MATCH($A$1,'アイテム'!$A$3:$A$115,0), MATCH(N$99,'アイテム'!$U$2:$AK$2,0))</f>
        <v>24</v>
      </c>
      <c r="O107" s="118"/>
      <c r="P107" s="118"/>
      <c r="Q107" s="118"/>
      <c r="R107" s="118"/>
      <c r="S107" s="118"/>
      <c r="T107" s="118"/>
      <c r="U107" s="118"/>
      <c r="V107" s="118"/>
    </row>
    <row r="108" outlineLevel="1">
      <c r="A108" s="146"/>
      <c r="B108" s="300" t="s">
        <v>246</v>
      </c>
      <c r="C108" s="113" t="str">
        <f t="array" ref="C108">INDEX('起きあがり'!$H$3:$I$115, MATCH($A$1,'起きあがり'!$A$3:$A$115,0), MATCH(C96,'起きあがり'!$H$2:$AD$2,0))</f>
        <v>1-22</v>
      </c>
      <c r="D108" s="113">
        <f t="array" ref="D108">INDEX('起きあがり'!$H$3:$I$115, MATCH($A$1,'起きあがり'!$A$3:$A$115,0), MATCH(D96,'起きあがり'!$H$2:$AD$2,0))</f>
        <v>35</v>
      </c>
      <c r="E108" s="301"/>
      <c r="F108" s="301"/>
      <c r="G108" s="301"/>
      <c r="H108" s="228"/>
      <c r="I108" s="228"/>
      <c r="J108" s="117"/>
      <c r="K108" s="146"/>
      <c r="L108" s="303" t="str">
        <f>'テンプレート'!L128</f>
        <v>上投げ</v>
      </c>
      <c r="M108" s="113" t="str">
        <f t="array" ref="M108">INDEX('アイテム'!$W$3:$X$115, MATCH($A$1,'アイテム'!$A$3:$A$115,0), MATCH(M$99,'アイテム'!$W$2:$AK$2,0))</f>
        <v>12</v>
      </c>
      <c r="N108" s="113">
        <f t="array" ref="N108">INDEX('アイテム'!$W$3:$X$115, MATCH($A$1,'アイテム'!$A$3:$A$115,0), MATCH(N$99,'アイテム'!$W$2:$AK$2,0))</f>
        <v>23</v>
      </c>
      <c r="O108" s="118"/>
      <c r="P108" s="118"/>
      <c r="Q108" s="118"/>
      <c r="R108" s="118"/>
      <c r="S108" s="118"/>
      <c r="T108" s="118"/>
      <c r="U108" s="118"/>
      <c r="V108" s="118"/>
    </row>
    <row r="109" outlineLevel="1">
      <c r="A109" s="146"/>
      <c r="B109" s="300" t="s">
        <v>249</v>
      </c>
      <c r="C109" s="309" t="str">
        <f t="array" ref="C109">INDEX('起きあがり'!$J$3:$M$115, MATCH($A$1,'起きあがり'!$A$3:$A$115,0), MATCH(C96,'起きあがり'!$J$2:$AD$2,0))</f>
        <v>1-22</v>
      </c>
      <c r="D109" s="310">
        <f t="array" ref="D109">INDEX('起きあがり'!$J$3:$M$115, MATCH($A$1,'起きあがり'!$A$3:$A$115,0), MATCH(D96,'起きあがり'!$J$2:$AD$2,0))</f>
        <v>45</v>
      </c>
      <c r="E109" s="307" t="str">
        <f t="array" ref="E109">INDEX('起きあがり'!$J$3:$M$115, MATCH($A$1,'起きあがり'!$A$3:$A$115,0), MATCH(E96,'起きあがり'!$J$2:$AD$2,0))</f>
        <v>16-17</v>
      </c>
      <c r="F109" s="308">
        <f t="array" ref="F109">INDEX('起きあがり'!$J$3:$M$115, MATCH($A$1,'起きあがり'!$A$3:$A$115,0), MATCH(F96,'起きあがり'!$J$2:$AD$2,0))</f>
        <v>7</v>
      </c>
      <c r="G109" s="113">
        <f t="shared" ref="G109:G110" si="1">F109*1.2</f>
        <v>8.4</v>
      </c>
      <c r="H109" s="228"/>
      <c r="I109" s="228"/>
      <c r="J109" s="111"/>
      <c r="K109" s="156"/>
      <c r="L109" s="303" t="str">
        <f>'テンプレート'!L129</f>
        <v>下投げ</v>
      </c>
      <c r="M109" s="113" t="str">
        <f t="array" ref="M109">INDEX('アイテム'!$Y$3:$Z$115, MATCH($A$1,'アイテム'!$A$3:$A$115,0), MATCH(M$99,'アイテム'!$Y$2:$AK$2,0))</f>
        <v>7</v>
      </c>
      <c r="N109" s="113">
        <f t="array" ref="N109">INDEX('アイテム'!$Y$3:$Z$115, MATCH($A$1,'アイテム'!$A$3:$A$115,0), MATCH(N$99,'アイテム'!$Y$2:$AK$2,0))</f>
        <v>19</v>
      </c>
      <c r="O109" s="111"/>
      <c r="P109" s="111"/>
      <c r="Q109" s="111"/>
      <c r="R109" s="111"/>
      <c r="S109" s="111"/>
      <c r="T109" s="111"/>
      <c r="U109" s="111"/>
      <c r="V109" s="111"/>
    </row>
    <row r="110" outlineLevel="1">
      <c r="A110" s="156"/>
      <c r="B110" s="311" t="s">
        <v>250</v>
      </c>
      <c r="C110" s="156"/>
      <c r="D110" s="156"/>
      <c r="E110" s="307" t="str">
        <f t="array" ref="E110">INDEX('起きあがり'!$N$3:$O$115, MATCH($A$1,'起きあがり'!$A$3:$A$115,0), MATCH(E96,'起きあがり'!$N$2:$AD$2,0))</f>
        <v>21-22</v>
      </c>
      <c r="F110" s="308">
        <f t="array" ref="F110">INDEX('起きあがり'!$N$3:$O$115, MATCH($A$1,'起きあがり'!$A$3:$A$115,0), MATCH(F96,'起きあがり'!$N$2:$AD$2,0))</f>
        <v>7</v>
      </c>
      <c r="G110" s="113">
        <f t="shared" si="1"/>
        <v>8.4</v>
      </c>
      <c r="H110" s="228"/>
      <c r="I110" s="228"/>
      <c r="J110" s="111"/>
      <c r="K110" s="312" t="str">
        <f>'テンプレート'!K130</f>
        <v>踏み台ジャンプ</v>
      </c>
      <c r="L110" s="168"/>
      <c r="M110" s="298" t="str">
        <f>'テンプレート'!M130</f>
        <v>全体フレーム</v>
      </c>
      <c r="N110" s="114"/>
      <c r="O110" s="111"/>
      <c r="P110" s="111"/>
      <c r="Q110" s="111"/>
      <c r="R110" s="111"/>
      <c r="S110" s="111"/>
      <c r="T110" s="111"/>
      <c r="U110" s="111"/>
      <c r="V110" s="111"/>
    </row>
    <row r="111" outlineLevel="1">
      <c r="A111" s="299" t="s">
        <v>251</v>
      </c>
      <c r="B111" s="300" t="s">
        <v>248</v>
      </c>
      <c r="C111" s="301"/>
      <c r="D111" s="307" t="str">
        <f t="array" ref="D111">INDEX('起きあがり'!$C$3:$C98, MATCH($A$1,'起きあがり'!$A$3:$A$115,0), MATCH(D96,'起きあがり'!$C$2,0))</f>
        <v>25</v>
      </c>
      <c r="E111" s="301"/>
      <c r="F111" s="301"/>
      <c r="G111" s="301"/>
      <c r="H111" s="228"/>
      <c r="I111" s="228"/>
      <c r="J111" s="117"/>
      <c r="K111" s="313" t="str">
        <f>'テンプレート'!K131</f>
        <v>踏み</v>
      </c>
      <c r="L111" s="314" t="str">
        <f>'テンプレート'!L131</f>
        <v>踏み</v>
      </c>
      <c r="M111" s="113" t="str">
        <f t="array" ref="M111">INDEX('共通動作その他'!$C$3:$C$102, MATCH($A$1,'共通動作その他'!$A$3:$A$102,0), MATCH(M$110,'共通動作その他'!$C$2:$AA$2,0))</f>
        <v>-</v>
      </c>
      <c r="N111" s="315"/>
      <c r="O111" s="111"/>
      <c r="P111" s="111"/>
      <c r="Q111" s="111"/>
      <c r="R111" s="111"/>
      <c r="S111" s="111"/>
      <c r="T111" s="111"/>
      <c r="U111" s="111"/>
      <c r="V111" s="111"/>
    </row>
    <row r="112" outlineLevel="1">
      <c r="A112" s="146"/>
      <c r="B112" s="300" t="s">
        <v>216</v>
      </c>
      <c r="C112" s="307" t="str">
        <f t="array" ref="C112">INDEX('起きあがり'!$P$3:$Q$115, MATCH($A$1,'起きあがり'!$A$3:$A$115,0), MATCH(C96,'起きあがり'!$P$2:$AD$2,0))</f>
        <v>1-22</v>
      </c>
      <c r="D112" s="308">
        <f t="array" ref="D112">INDEX('起きあがり'!$P$3:$Q$115, MATCH($A$1,'起きあがり'!$A$3:$A$115,0), MATCH(D96,'起きあがり'!$P$2:$AD$2,0))</f>
        <v>29</v>
      </c>
      <c r="E112" s="301"/>
      <c r="F112" s="301"/>
      <c r="G112" s="301"/>
      <c r="H112" s="228"/>
      <c r="I112" s="228"/>
      <c r="J112" s="111"/>
      <c r="K112" s="305" t="str">
        <f>'テンプレート'!K132</f>
        <v>踏まれ</v>
      </c>
      <c r="L112" s="314" t="str">
        <f>'テンプレート'!L132</f>
        <v>地上踏まれ</v>
      </c>
      <c r="M112" s="113" t="str">
        <f t="array" ref="M112">INDEX('共通動作その他'!$D$3:$D$102, MATCH($A$1,'共通動作その他'!$A$3:$A$102,0), MATCH(M$110,'共通動作その他'!$D$2:$AA$2,0))</f>
        <v>-</v>
      </c>
      <c r="N112" s="315"/>
      <c r="O112" s="228"/>
      <c r="P112" s="228"/>
      <c r="Q112" s="228"/>
      <c r="R112" s="228"/>
      <c r="S112" s="228"/>
      <c r="T112" s="228"/>
      <c r="U112" s="228"/>
      <c r="V112" s="228"/>
    </row>
    <row r="113" outlineLevel="1">
      <c r="A113" s="146"/>
      <c r="B113" s="300" t="s">
        <v>245</v>
      </c>
      <c r="C113" s="307" t="str">
        <f t="array" ref="C113">INDEX('起きあがり'!$R$3:$S$115, MATCH($A$1,'起きあがり'!$A$3:$A$115,0), MATCH(C96,'起きあがり'!$R$2:$AD$2,0))</f>
        <v>1-19</v>
      </c>
      <c r="D113" s="308">
        <f t="array" ref="D113">INDEX('起きあがり'!$R$3:$S$115, MATCH($A$1,'起きあがり'!$A$3:$A$115,0), MATCH(D96,'起きあがり'!$R$2:$AD$2,0))</f>
        <v>35</v>
      </c>
      <c r="E113" s="301"/>
      <c r="F113" s="301"/>
      <c r="G113" s="301"/>
      <c r="H113" s="228"/>
      <c r="I113" s="228"/>
      <c r="J113" s="117"/>
      <c r="K113" s="146"/>
      <c r="L113" s="314" t="str">
        <f>'テンプレート'!L133</f>
        <v>地上硬直</v>
      </c>
      <c r="M113" s="113" t="str">
        <f t="array" ref="M113">INDEX('共通動作その他'!$E$3:$E$102, MATCH($A$1,'共通動作その他'!$A$3:$A$102,0), MATCH(M$110,'共通動作その他'!$E$2:$AA$2,0))</f>
        <v>-</v>
      </c>
      <c r="N113" s="102"/>
      <c r="O113" s="118"/>
      <c r="P113" s="118"/>
      <c r="Q113" s="118"/>
      <c r="R113" s="118"/>
      <c r="S113" s="118"/>
      <c r="T113" s="118"/>
      <c r="U113" s="118"/>
      <c r="V113" s="118"/>
    </row>
    <row r="114" outlineLevel="1">
      <c r="A114" s="146"/>
      <c r="B114" s="300" t="s">
        <v>246</v>
      </c>
      <c r="C114" s="307" t="str">
        <f t="array" ref="C114">INDEX('起きあがり'!$T$3:$U$115, MATCH($A$1,'起きあがり'!$A$3:$A$115,0), MATCH(C96,'起きあがり'!$T$2:$AD$2,0))</f>
        <v>1-24</v>
      </c>
      <c r="D114" s="308">
        <f t="array" ref="D114">INDEX('起きあがり'!$T$3:$U$115, MATCH($A$1,'起きあがり'!$A$3:$A$115,0), MATCH(D96,'起きあがり'!$T$2:$AD$2,0))</f>
        <v>35</v>
      </c>
      <c r="E114" s="301"/>
      <c r="F114" s="301"/>
      <c r="G114" s="301"/>
      <c r="H114" s="228"/>
      <c r="I114" s="228"/>
      <c r="J114" s="111"/>
      <c r="K114" s="146"/>
      <c r="L114" s="314" t="str">
        <f>'テンプレート'!L134</f>
        <v>空中踏まれ</v>
      </c>
      <c r="M114" s="113" t="str">
        <f t="array" ref="M114">INDEX('共通動作その他'!$F$3:$F$102, MATCH($A$1,'共通動作その他'!$A$3:$A$102,0), MATCH(M$110,'共通動作その他'!$F$2:$AA$2,0))</f>
        <v>-</v>
      </c>
      <c r="N114" s="102"/>
      <c r="O114" s="118"/>
      <c r="P114" s="118"/>
      <c r="Q114" s="118"/>
      <c r="R114" s="118"/>
      <c r="S114" s="118"/>
      <c r="T114" s="118"/>
      <c r="U114" s="118"/>
      <c r="V114" s="118"/>
    </row>
    <row r="115" outlineLevel="1">
      <c r="A115" s="146"/>
      <c r="B115" s="300" t="s">
        <v>249</v>
      </c>
      <c r="C115" s="309" t="str">
        <f t="array" ref="C115">INDEX('起きあがり'!$V$3:$Y$115, MATCH($A$1,'起きあがり'!$A$3:$A$115,0), MATCH(C96,'起きあがり'!$V$2:$AD$2,0))</f>
        <v>1-22</v>
      </c>
      <c r="D115" s="310">
        <f t="array" ref="D115">INDEX('起きあがり'!$V$3:$Y$115, MATCH($A$1,'起きあがり'!$A$3:$A$115,0), MATCH(D96,'起きあがり'!$V$2:$AD$2,0))</f>
        <v>45</v>
      </c>
      <c r="E115" s="307" t="str">
        <f t="array" ref="E115">INDEX('起きあがり'!$V$3:$Y$115, MATCH($A$1,'起きあがり'!$A$3:$A$115,0), MATCH(E96,'起きあがり'!$V$2:$AD$2,0))</f>
        <v>16-17</v>
      </c>
      <c r="F115" s="308">
        <f t="array" ref="F115">INDEX('起きあがり'!$V$3:$Y$115, MATCH($A$1,'起きあがり'!$A$3:$A$115,0), MATCH(F96,'起きあがり'!$V$2:$AD$2,0))</f>
        <v>7</v>
      </c>
      <c r="G115" s="113">
        <f t="shared" ref="G115:G116" si="2">F115*1.2</f>
        <v>8.4</v>
      </c>
      <c r="H115" s="228"/>
      <c r="I115" s="228"/>
      <c r="J115" s="117"/>
      <c r="K115" s="146"/>
      <c r="L115" s="314" t="str">
        <f>'テンプレート'!L135</f>
        <v>空中落下</v>
      </c>
      <c r="M115" s="113" t="str">
        <f t="array" ref="M115">INDEX('共通動作その他'!$G$3:$G$102, MATCH($A$1,'共通動作その他'!$A$3:$A$102,0), MATCH(M$110,'共通動作その他'!$G$2:$AA$2,0))</f>
        <v>-</v>
      </c>
      <c r="N115" s="102"/>
      <c r="O115" s="118"/>
      <c r="P115" s="118"/>
      <c r="Q115" s="118"/>
      <c r="R115" s="118"/>
      <c r="S115" s="118"/>
      <c r="T115" s="118"/>
      <c r="U115" s="118"/>
      <c r="V115" s="118"/>
    </row>
    <row r="116" outlineLevel="1">
      <c r="A116" s="156"/>
      <c r="B116" s="311" t="s">
        <v>250</v>
      </c>
      <c r="C116" s="156"/>
      <c r="D116" s="156"/>
      <c r="E116" s="307" t="str">
        <f t="array" ref="E116">INDEX('起きあがり'!$Z$3:$AA$115, MATCH($A$1,'起きあがり'!$A$3:$A$115,0), MATCH(E96,'起きあがり'!$Z$2:$AD$2,0))</f>
        <v>21-22</v>
      </c>
      <c r="F116" s="308">
        <f t="array" ref="F116">INDEX('起きあがり'!$Z$3:$AA$115, MATCH($A$1,'起きあがり'!$A$3:$A$115,0), MATCH(F96,'起きあがり'!$Z$2:$AD$2,0))</f>
        <v>7</v>
      </c>
      <c r="G116" s="113">
        <f t="shared" si="2"/>
        <v>8.4</v>
      </c>
      <c r="H116" s="228"/>
      <c r="I116" s="228"/>
      <c r="J116" s="117"/>
      <c r="K116" s="304" t="str">
        <f>'テンプレート'!K136</f>
        <v>倒れダメージ</v>
      </c>
      <c r="L116" s="110"/>
      <c r="M116" s="298" t="str">
        <f>'テンプレート'!M136</f>
        <v>全体フレーム</v>
      </c>
      <c r="N116" s="102"/>
      <c r="O116" s="118"/>
      <c r="P116" s="118"/>
      <c r="Q116" s="118"/>
      <c r="R116" s="118"/>
      <c r="S116" s="118"/>
      <c r="T116" s="118"/>
      <c r="U116" s="118"/>
      <c r="V116" s="118"/>
    </row>
    <row r="117" outlineLevel="1">
      <c r="A117" s="299" t="s">
        <v>252</v>
      </c>
      <c r="B117" s="300" t="s">
        <v>253</v>
      </c>
      <c r="C117" s="307" t="str">
        <f t="array" ref="C117">INDEX('転倒'!$C$3:$D98, MATCH($A$1,'転倒'!$A$3:$A$115,0), MATCH(C96,'転倒'!$C$2:$AC$2,0))</f>
        <v>1-5</v>
      </c>
      <c r="D117" s="308">
        <f t="array" ref="D117">INDEX('転倒'!$C$3:$D98, MATCH($A$1,'転倒'!$A$3:$A$115,0), MATCH(D96,'転倒'!$C$2:$AC$2,0))</f>
        <v>29</v>
      </c>
      <c r="E117" s="301"/>
      <c r="F117" s="301"/>
      <c r="G117" s="301"/>
      <c r="H117" s="228"/>
      <c r="I117" s="228"/>
      <c r="J117" s="111"/>
      <c r="K117" s="313" t="str">
        <f>'テンプレート'!K137</f>
        <v>あお向け倒れ</v>
      </c>
      <c r="L117" s="306" t="str">
        <f>'テンプレート'!L137</f>
        <v>モーション大</v>
      </c>
      <c r="M117" s="113" t="str">
        <f t="array" ref="M117">INDEX('共通動作その他'!$H$3:$H$102, MATCH($A$1,'共通動作その他'!$A$3:$A$102,0), MATCH(M$116,'共通動作その他'!$H$2:$AA$2,0))</f>
        <v>-</v>
      </c>
      <c r="N117" s="315"/>
      <c r="O117" s="118"/>
      <c r="P117" s="118"/>
      <c r="Q117" s="118"/>
      <c r="R117" s="118"/>
      <c r="S117" s="118"/>
      <c r="T117" s="118"/>
      <c r="U117" s="118"/>
      <c r="V117" s="118"/>
    </row>
    <row r="118" outlineLevel="1">
      <c r="A118" s="146"/>
      <c r="B118" s="300" t="s">
        <v>254</v>
      </c>
      <c r="C118" s="307" t="str">
        <f t="array" ref="C118">INDEX('転倒'!$E$3:$F98, MATCH($A$1,'転倒'!$A$3:$A$115,0), MATCH(C96,'転倒'!$E$2:$AC$2,0))</f>
        <v>1-5</v>
      </c>
      <c r="D118" s="308">
        <f t="array" ref="D118">INDEX('転倒'!$E$3:$F98, MATCH($A$1,'転倒'!$A$3:$A$115,0), MATCH(D96,'転倒'!$E$2:$AC$2,0))</f>
        <v>39</v>
      </c>
      <c r="E118" s="301"/>
      <c r="F118" s="301"/>
      <c r="G118" s="301"/>
      <c r="H118" s="228"/>
      <c r="I118" s="228"/>
      <c r="J118" s="117"/>
      <c r="K118" s="313" t="str">
        <f>'テンプレート'!K138</f>
        <v>うつ伏せ倒れ</v>
      </c>
      <c r="L118" s="306" t="str">
        <f>'テンプレート'!L138</f>
        <v>モーション大</v>
      </c>
      <c r="M118" s="113" t="str">
        <f t="array" ref="M118">INDEX('共通動作その他'!$I$3:$I$102, MATCH($A$1,'共通動作その他'!$A$3:$A$102,0), MATCH(M$116,'共通動作その他'!$I$2:$AA$2,0))</f>
        <v>-</v>
      </c>
      <c r="N118" s="315"/>
      <c r="O118" s="118"/>
      <c r="P118" s="118"/>
      <c r="Q118" s="118"/>
      <c r="R118" s="118"/>
      <c r="S118" s="118"/>
      <c r="T118" s="118"/>
      <c r="U118" s="118"/>
      <c r="V118" s="118"/>
    </row>
    <row r="119" outlineLevel="1">
      <c r="A119" s="146"/>
      <c r="B119" s="300" t="s">
        <v>216</v>
      </c>
      <c r="C119" s="307" t="str">
        <f t="array" ref="C119">INDEX('転倒'!$G$3:$H$115, MATCH($A$1,'転倒'!$A$3:$A$115,0), MATCH(C96,'転倒'!$G$2:$AC$2,0))</f>
        <v>1-16</v>
      </c>
      <c r="D119" s="308">
        <f t="array" ref="D119">INDEX('転倒'!$G$3:$H$115, MATCH($A$1,'転倒'!$A$3:$A$115,0), MATCH(D96,'転倒'!$G$2:$AC$2,0))</f>
        <v>21</v>
      </c>
      <c r="E119" s="301"/>
      <c r="F119" s="301"/>
      <c r="G119" s="301"/>
      <c r="H119" s="228"/>
      <c r="I119" s="228"/>
      <c r="J119" s="111"/>
      <c r="K119" s="304" t="str">
        <f>'テンプレート'!K139</f>
        <v/>
      </c>
      <c r="L119" s="110"/>
      <c r="M119" s="298" t="str">
        <f>'テンプレート'!M139</f>
        <v/>
      </c>
      <c r="N119" s="102"/>
      <c r="O119" s="118"/>
      <c r="P119" s="118"/>
      <c r="Q119" s="118"/>
      <c r="R119" s="118"/>
      <c r="S119" s="118"/>
      <c r="T119" s="118"/>
      <c r="U119" s="118"/>
      <c r="V119" s="118"/>
    </row>
    <row r="120" outlineLevel="1">
      <c r="A120" s="146"/>
      <c r="B120" s="300" t="s">
        <v>245</v>
      </c>
      <c r="C120" s="307" t="str">
        <f t="array" ref="C120">INDEX('転倒'!$I$3:$J$115, MATCH($A$1,'転倒'!$A$3:$A$115,0), MATCH(C96,'転倒'!$I$2:$AC$2,0))</f>
        <v>1-9</v>
      </c>
      <c r="D120" s="308">
        <f t="array" ref="D120">INDEX('転倒'!$I$3:$J$115, MATCH($A$1,'転倒'!$A$3:$A$115,0), MATCH(D96,'転倒'!$I$2:$AC$2,0))</f>
        <v>28</v>
      </c>
      <c r="E120" s="301"/>
      <c r="F120" s="301"/>
      <c r="G120" s="301"/>
      <c r="H120" s="228"/>
      <c r="I120" s="228"/>
      <c r="J120" s="228"/>
      <c r="K120" s="316" t="str">
        <f>'テンプレート'!K140</f>
        <v/>
      </c>
      <c r="L120" s="317" t="str">
        <f>'テンプレート'!L140</f>
        <v/>
      </c>
      <c r="M120" s="113" t="str">
        <f t="array" ref="M120">INDEX('共通動作その他'!$J$3:$J$102, MATCH($A$1,'共通動作その他'!$A$3:$A$102,0), MATCH(M$119,'共通動作その他'!$J$2:$AA$2,0))</f>
        <v>#N/A</v>
      </c>
      <c r="N120" s="102"/>
      <c r="O120" s="118"/>
      <c r="P120" s="118"/>
      <c r="Q120" s="118"/>
      <c r="R120" s="118"/>
      <c r="S120" s="118"/>
      <c r="T120" s="118"/>
      <c r="U120" s="118"/>
      <c r="V120" s="118"/>
    </row>
    <row r="121" outlineLevel="1">
      <c r="A121" s="146"/>
      <c r="B121" s="300" t="s">
        <v>246</v>
      </c>
      <c r="C121" s="307" t="str">
        <f t="array" ref="C121">INDEX('転倒'!$K$3:$L$115, MATCH($A$1,'転倒'!$A$3:$A$115,0), MATCH(C96,'転倒'!$K$2:$AC$2,0))</f>
        <v>1-9</v>
      </c>
      <c r="D121" s="308">
        <f t="array" ref="D121">INDEX('転倒'!$K$3:$L$115, MATCH($A$1,'転倒'!$A$3:$A$115,0), MATCH(D96,'転倒'!$K$2:$AC$2,0))</f>
        <v>28</v>
      </c>
      <c r="E121" s="301"/>
      <c r="F121" s="301"/>
      <c r="G121" s="301"/>
      <c r="H121" s="228"/>
      <c r="I121" s="228"/>
      <c r="J121" s="228"/>
      <c r="K121" s="102"/>
      <c r="L121" s="118"/>
      <c r="M121" s="118"/>
      <c r="N121" s="102"/>
      <c r="O121" s="118"/>
      <c r="P121" s="118"/>
      <c r="Q121" s="118"/>
      <c r="R121" s="118"/>
      <c r="S121" s="118"/>
      <c r="T121" s="118"/>
      <c r="U121" s="118"/>
      <c r="V121" s="118"/>
    </row>
    <row r="122" outlineLevel="1">
      <c r="A122" s="146"/>
      <c r="B122" s="300" t="s">
        <v>249</v>
      </c>
      <c r="C122" s="309" t="str">
        <f t="array" ref="C122">INDEX('転倒'!$M$3:$P$115, MATCH($A$1,'転倒'!$A$3:$A$115,0), MATCH(C96,'転倒'!$M$2:$AC$2,0))</f>
        <v>1-7</v>
      </c>
      <c r="D122" s="310">
        <f t="array" ref="D122">INDEX('転倒'!$M$3:$P$115, MATCH($A$1,'転倒'!$A$3:$A$115,0), MATCH(D96,'転倒'!$M$2:$AC$2,0))</f>
        <v>49</v>
      </c>
      <c r="E122" s="307" t="str">
        <f t="array" ref="E122">INDEX('転倒'!$M$3:$P$115, MATCH($A$1,'転倒'!$A$3:$A$115,0), MATCH(E96,'転倒'!$M$2:$AC$2,0))</f>
        <v>19-20</v>
      </c>
      <c r="F122" s="308">
        <f t="array" ref="F122">INDEX('転倒'!$M$3:$P$115, MATCH($A$1,'転倒'!$A$3:$A$115,0), MATCH(F96,'転倒'!$M$2:$AC$2,0))</f>
        <v>5</v>
      </c>
      <c r="G122" s="113">
        <f t="shared" ref="G122:G123" si="3">F122*1.2</f>
        <v>6</v>
      </c>
      <c r="H122" s="228"/>
      <c r="I122" s="228"/>
      <c r="J122" s="228"/>
      <c r="K122" s="118"/>
      <c r="L122" s="118"/>
      <c r="M122" s="118"/>
      <c r="N122" s="102"/>
      <c r="O122" s="102"/>
      <c r="P122" s="102"/>
      <c r="Q122" s="102"/>
      <c r="R122" s="118"/>
      <c r="S122" s="118"/>
      <c r="T122" s="118"/>
      <c r="U122" s="118"/>
      <c r="V122" s="118"/>
    </row>
    <row r="123" outlineLevel="1">
      <c r="A123" s="156"/>
      <c r="B123" s="311" t="s">
        <v>250</v>
      </c>
      <c r="C123" s="156"/>
      <c r="D123" s="156"/>
      <c r="E123" s="307" t="str">
        <f t="array" ref="E123">INDEX('転倒'!$Q$3:$R$115, MATCH($A$1,'転倒'!$A$3:$A$115,0), MATCH(E96,'転倒'!$Q$2:$AC$2,0))</f>
        <v>25-26</v>
      </c>
      <c r="F123" s="308">
        <f t="array" ref="F123">INDEX('転倒'!$Q$3:$R$115, MATCH($A$1,'転倒'!$A$3:$A$115,0), MATCH(F96,'転倒'!$Q$2:$AC$2,0))</f>
        <v>5</v>
      </c>
      <c r="G123" s="113">
        <f t="shared" si="3"/>
        <v>6</v>
      </c>
      <c r="H123" s="228"/>
      <c r="I123" s="228"/>
      <c r="J123" s="228"/>
      <c r="K123" s="118"/>
      <c r="L123" s="118"/>
      <c r="M123" s="118"/>
      <c r="N123" s="102"/>
      <c r="O123" s="102"/>
      <c r="P123" s="102"/>
      <c r="Q123" s="102"/>
      <c r="R123" s="118"/>
      <c r="S123" s="118"/>
      <c r="T123" s="118"/>
      <c r="U123" s="118"/>
      <c r="V123" s="118"/>
    </row>
    <row r="124" outlineLevel="1">
      <c r="A124" s="319"/>
      <c r="B124" s="320"/>
      <c r="C124" s="321"/>
      <c r="D124" s="321"/>
      <c r="E124" s="322"/>
      <c r="F124" s="322"/>
      <c r="G124" s="114"/>
      <c r="H124" s="228"/>
      <c r="I124" s="228"/>
      <c r="J124" s="228"/>
      <c r="K124" s="118"/>
      <c r="L124" s="118"/>
      <c r="M124" s="118"/>
      <c r="N124" s="102"/>
      <c r="O124" s="102"/>
      <c r="P124" s="102"/>
      <c r="Q124" s="102"/>
      <c r="R124" s="118"/>
      <c r="S124" s="118"/>
      <c r="T124" s="118"/>
      <c r="U124" s="118"/>
      <c r="V124" s="118"/>
    </row>
    <row r="125" outlineLevel="1">
      <c r="A125" s="323" t="s">
        <v>255</v>
      </c>
      <c r="B125" s="109"/>
      <c r="C125" s="321"/>
      <c r="D125" s="321"/>
      <c r="E125" s="322"/>
      <c r="F125" s="322"/>
      <c r="G125" s="114"/>
      <c r="H125" s="228"/>
      <c r="I125" s="228"/>
      <c r="J125" s="228"/>
      <c r="K125" s="118"/>
      <c r="L125" s="118"/>
      <c r="M125" s="118"/>
      <c r="N125" s="102"/>
      <c r="O125" s="102"/>
      <c r="P125" s="102"/>
      <c r="Q125" s="102"/>
      <c r="R125" s="118"/>
      <c r="S125" s="118"/>
      <c r="T125" s="118"/>
      <c r="U125" s="118"/>
      <c r="V125" s="118"/>
    </row>
    <row r="126" outlineLevel="1">
      <c r="A126" s="324" t="s">
        <v>256</v>
      </c>
      <c r="B126" s="109"/>
      <c r="C126" s="325" t="s">
        <v>257</v>
      </c>
      <c r="D126" s="325" t="s">
        <v>49</v>
      </c>
      <c r="E126" s="322"/>
      <c r="F126" s="322"/>
      <c r="G126" s="114"/>
      <c r="H126" s="228"/>
      <c r="I126" s="228"/>
      <c r="J126" s="228"/>
      <c r="K126" s="118"/>
      <c r="L126" s="118"/>
      <c r="M126" s="118"/>
      <c r="N126" s="102"/>
      <c r="O126" s="102"/>
      <c r="P126" s="102"/>
      <c r="Q126" s="102"/>
      <c r="R126" s="118"/>
      <c r="S126" s="118"/>
      <c r="T126" s="118"/>
      <c r="U126" s="118"/>
      <c r="V126" s="118"/>
    </row>
    <row r="127" outlineLevel="1">
      <c r="A127" s="326" t="s">
        <v>258</v>
      </c>
      <c r="B127" s="327" t="s">
        <v>216</v>
      </c>
      <c r="C127" s="328" t="str">
        <f t="array" ref="C127">INDEX('アイテム'!$C$3:$D$114, MATCH($A$1,'アイテム'!$A$3:$A$114,0), MATCH(C126,'アイテム'!$C$2:$AQ$2,0))</f>
        <v>2</v>
      </c>
      <c r="D127" s="328">
        <f t="array" ref="D127">INDEX('アイテム'!$C$3:$D$114, MATCH($A$1,'アイテム'!$A$3:$A$114,0), MATCH(D126,'アイテム'!$C$2:$AQ$2,0))</f>
        <v>7</v>
      </c>
      <c r="E127" s="322"/>
      <c r="F127" s="322"/>
      <c r="G127" s="114"/>
      <c r="H127" s="228"/>
      <c r="I127" s="228"/>
      <c r="J127" s="228"/>
      <c r="K127" s="118"/>
      <c r="L127" s="118"/>
      <c r="M127" s="118"/>
      <c r="N127" s="102"/>
      <c r="O127" s="102"/>
      <c r="P127" s="102"/>
      <c r="Q127" s="102"/>
      <c r="R127" s="118"/>
      <c r="S127" s="118"/>
      <c r="T127" s="118"/>
      <c r="U127" s="118"/>
      <c r="V127" s="118"/>
    </row>
    <row r="128" outlineLevel="1">
      <c r="A128" s="156"/>
      <c r="B128" s="327" t="s">
        <v>219</v>
      </c>
      <c r="C128" s="328" t="str">
        <f t="array" ref="C128">INDEX('アイテム'!$E$3:$F$114, MATCH($A$1,'アイテム'!$A$3:$A$114,0), MATCH(C126,'アイテム'!$C$2:$AQ$2,0))</f>
        <v>2</v>
      </c>
      <c r="D128" s="328">
        <f t="array" ref="D128">INDEX('アイテム'!$E$3:$F$114, MATCH($A$1,'アイテム'!$A$3:$A$114,0), MATCH(D126,'アイテム'!$C$2:$AQ$2,0))</f>
        <v>19</v>
      </c>
      <c r="E128" s="322"/>
      <c r="F128" s="322"/>
      <c r="G128" s="114"/>
      <c r="H128" s="228"/>
      <c r="I128" s="228"/>
      <c r="J128" s="228"/>
      <c r="K128" s="118"/>
      <c r="L128" s="118"/>
      <c r="M128" s="118"/>
      <c r="N128" s="102"/>
      <c r="O128" s="102"/>
      <c r="P128" s="102"/>
      <c r="Q128" s="102"/>
      <c r="R128" s="118"/>
      <c r="S128" s="118"/>
      <c r="T128" s="118"/>
      <c r="U128" s="118"/>
      <c r="V128" s="118"/>
    </row>
    <row r="129" outlineLevel="1">
      <c r="A129" s="329" t="s">
        <v>259</v>
      </c>
      <c r="B129" s="327" t="s">
        <v>216</v>
      </c>
      <c r="C129" s="328">
        <f t="array" ref="C129">INDEX('アイテム'!$AA$3:$AB$114, MATCH($A$1,'アイテム'!$A$3:$A$114,0), MATCH(C126,'アイテム'!$C$2:$AQ$2,0))</f>
        <v>3</v>
      </c>
      <c r="D129" s="328" t="str">
        <f t="array" ref="D129">INDEX('アイテム'!$AA$3:$AB$114, MATCH($A$1,'アイテム'!$A$3:$A$114,0), MATCH(D126,'アイテム'!$C$2:$AQ$2,0))</f>
        <v>12</v>
      </c>
      <c r="E129" s="322"/>
      <c r="F129" s="322"/>
      <c r="G129" s="114"/>
      <c r="H129" s="228"/>
      <c r="I129" s="228"/>
      <c r="J129" s="228"/>
      <c r="K129" s="118"/>
      <c r="L129" s="118"/>
      <c r="M129" s="118"/>
      <c r="N129" s="102"/>
      <c r="O129" s="102"/>
      <c r="P129" s="102"/>
      <c r="Q129" s="102"/>
      <c r="R129" s="118"/>
      <c r="S129" s="118"/>
      <c r="T129" s="118"/>
      <c r="U129" s="118"/>
      <c r="V129" s="118"/>
    </row>
    <row r="130" outlineLevel="1">
      <c r="A130" s="324" t="s">
        <v>260</v>
      </c>
      <c r="B130" s="109"/>
      <c r="C130" s="325" t="s">
        <v>261</v>
      </c>
      <c r="D130" s="325" t="s">
        <v>49</v>
      </c>
      <c r="E130" s="322"/>
      <c r="F130" s="322"/>
      <c r="G130" s="114"/>
      <c r="H130" s="228"/>
      <c r="I130" s="228"/>
      <c r="J130" s="228"/>
      <c r="K130" s="118"/>
      <c r="L130" s="118"/>
      <c r="M130" s="118"/>
      <c r="N130" s="102"/>
      <c r="O130" s="102"/>
      <c r="P130" s="102"/>
      <c r="Q130" s="102"/>
      <c r="R130" s="118"/>
      <c r="S130" s="118"/>
      <c r="T130" s="118"/>
      <c r="U130" s="118"/>
      <c r="V130" s="118"/>
    </row>
    <row r="131" outlineLevel="1">
      <c r="A131" s="326" t="s">
        <v>262</v>
      </c>
      <c r="B131" s="327" t="s">
        <v>226</v>
      </c>
      <c r="C131" s="328" t="str">
        <f t="array" ref="C131">INDEX('アイテム'!$G$3:$H$114, MATCH($A$1,'アイテム'!$A$3:$A$114,0), MATCH(C126,'アイテム'!$C$2:$AQ$2,0))</f>
        <v>8</v>
      </c>
      <c r="D131" s="328">
        <f t="array" ref="D131">INDEX('アイテム'!$G$3:$H$114, MATCH($A$1,'アイテム'!$A$3:$A$114,0), MATCH(D126,'アイテム'!$C$2:$AQ$2,0))</f>
        <v>24</v>
      </c>
      <c r="E131" s="322"/>
      <c r="F131" s="322"/>
      <c r="G131" s="114"/>
      <c r="H131" s="228"/>
      <c r="I131" s="228"/>
      <c r="J131" s="228"/>
      <c r="K131" s="118"/>
      <c r="L131" s="118"/>
      <c r="M131" s="118"/>
      <c r="N131" s="102"/>
      <c r="O131" s="102"/>
      <c r="P131" s="102"/>
      <c r="Q131" s="102"/>
      <c r="R131" s="118"/>
      <c r="S131" s="118"/>
      <c r="T131" s="118"/>
      <c r="U131" s="118"/>
      <c r="V131" s="118"/>
    </row>
    <row r="132" outlineLevel="1">
      <c r="A132" s="146"/>
      <c r="B132" s="327" t="s">
        <v>229</v>
      </c>
      <c r="C132" s="328" t="str">
        <f t="array" ref="C132">INDEX('アイテム'!$I$3:$J$114, MATCH($A$1,'アイテム'!$A$3:$A$114,0), MATCH(C126,'アイテム'!$C$2:$AQ$2,0))</f>
        <v>11</v>
      </c>
      <c r="D132" s="328">
        <f t="array" ref="D132">INDEX('アイテム'!$I$3:$J$114, MATCH($A$1,'アイテム'!$A$3:$A$114,0), MATCH(D126,'アイテム'!$C$2:$AQ$2,0))</f>
        <v>24</v>
      </c>
      <c r="E132" s="322"/>
      <c r="F132" s="322"/>
      <c r="G132" s="114"/>
      <c r="H132" s="228"/>
      <c r="I132" s="228"/>
      <c r="J132" s="228"/>
      <c r="K132" s="118"/>
      <c r="L132" s="118"/>
      <c r="M132" s="118"/>
      <c r="N132" s="102"/>
      <c r="O132" s="102"/>
      <c r="P132" s="102"/>
      <c r="Q132" s="102"/>
      <c r="R132" s="118"/>
      <c r="S132" s="118"/>
      <c r="T132" s="118"/>
      <c r="U132" s="118"/>
      <c r="V132" s="118"/>
    </row>
    <row r="133" outlineLevel="1">
      <c r="A133" s="146"/>
      <c r="B133" s="327" t="s">
        <v>233</v>
      </c>
      <c r="C133" s="328" t="str">
        <f t="array" ref="C133">INDEX('アイテム'!$K$3:$L$114, MATCH($A$1,'アイテム'!$A$3:$A$114,0), MATCH(C126,'アイテム'!$C$2:$AQ$2,0))</f>
        <v>12</v>
      </c>
      <c r="D133" s="328">
        <f t="array" ref="D133">INDEX('アイテム'!$K$3:$L$114, MATCH($A$1,'アイテム'!$A$3:$A$114,0), MATCH(D126,'アイテム'!$C$2:$AQ$2,0))</f>
        <v>23</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234</v>
      </c>
      <c r="C134" s="328" t="str">
        <f t="array" ref="C134">INDEX('アイテム'!$M$3:$N$114, MATCH($A$1,'アイテム'!$A$3:$A$114,0), MATCH(C126,'アイテム'!$C$2:$AQ$2,0))</f>
        <v>7</v>
      </c>
      <c r="D134" s="328">
        <f t="array" ref="D134">INDEX('アイテム'!$M$3:$N$114, MATCH($A$1,'アイテム'!$A$3:$A$114,0), MATCH(D126,'アイテム'!$C$2:$AQ$2,0))</f>
        <v>19</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219</v>
      </c>
      <c r="C135" s="328" t="str">
        <f t="array" ref="C135">INDEX('アイテム'!$O$3:$P$114, MATCH($A$1,'アイテム'!$A$3:$A$114,0), MATCH(C126,'アイテム'!$C$2:$AQ$2,0))</f>
        <v>5</v>
      </c>
      <c r="D135" s="328">
        <f t="array" ref="D135">INDEX('アイテム'!$O$3:$P$114, MATCH($A$1,'アイテム'!$A$3:$A$114,0), MATCH(D126,'アイテム'!$C$2:$AQ$2,0))</f>
        <v>29</v>
      </c>
      <c r="E135" s="322"/>
      <c r="F135" s="322"/>
      <c r="G135" s="114"/>
      <c r="H135" s="228"/>
      <c r="I135" s="228"/>
      <c r="J135" s="228"/>
      <c r="K135" s="118"/>
      <c r="L135" s="118"/>
      <c r="M135" s="118"/>
      <c r="N135" s="102"/>
      <c r="O135" s="102"/>
      <c r="P135" s="102"/>
      <c r="Q135" s="102"/>
      <c r="R135" s="118"/>
      <c r="S135" s="118"/>
      <c r="T135" s="118"/>
      <c r="U135" s="118"/>
      <c r="V135" s="118"/>
    </row>
    <row r="136" outlineLevel="1">
      <c r="A136" s="156"/>
      <c r="B136" s="327" t="s">
        <v>263</v>
      </c>
      <c r="C136" s="328" t="str">
        <f t="array" ref="C136">INDEX('アイテム'!$Q$3:$R$114, MATCH($A$1,'アイテム'!$A$3:$A$114,0), MATCH(C126,'アイテム'!$C$2:$AQ$2,0))</f>
        <v>6</v>
      </c>
      <c r="D136" s="328">
        <f t="array" ref="D136">INDEX('アイテム'!$Q$3:$R$114, MATCH($A$1,'アイテム'!$A$3:$A$114,0), MATCH(D126,'アイテム'!$C$2:$AQ$2,0))</f>
        <v>23</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264</v>
      </c>
      <c r="B137" s="327" t="s">
        <v>226</v>
      </c>
      <c r="C137" s="328" t="str">
        <f t="array" ref="C137">INDEX('アイテム'!$S$3:$T$114, MATCH($A$1,'アイテム'!$A$3:$A$114,0), MATCH(C126,'アイテム'!$C$2:$AQ$2,0))</f>
        <v>8</v>
      </c>
      <c r="D137" s="328">
        <f t="array" ref="D137">INDEX('アイテム'!$S$3:$T$114, MATCH($A$1,'アイテム'!$A$3:$A$114,0), MATCH(D126,'アイテム'!$C$2:$AQ$2,0))</f>
        <v>24</v>
      </c>
      <c r="E137" s="322"/>
      <c r="F137" s="322"/>
      <c r="G137" s="114"/>
      <c r="H137" s="228"/>
      <c r="I137" s="228"/>
      <c r="J137" s="228"/>
      <c r="K137" s="118"/>
      <c r="L137" s="118"/>
      <c r="M137" s="118"/>
      <c r="N137" s="102"/>
      <c r="O137" s="102"/>
      <c r="P137" s="102"/>
      <c r="Q137" s="102"/>
      <c r="R137" s="118"/>
      <c r="S137" s="118"/>
      <c r="T137" s="118"/>
      <c r="U137" s="118"/>
      <c r="V137" s="118"/>
    </row>
    <row r="138" outlineLevel="1">
      <c r="A138" s="146"/>
      <c r="B138" s="327" t="s">
        <v>229</v>
      </c>
      <c r="C138" s="328" t="str">
        <f t="array" ref="C138">INDEX('アイテム'!$U$3:$V$114, MATCH($A$1,'アイテム'!$A$3:$A$114,0), MATCH(C126,'アイテム'!$C$2:$AQ$2,0))</f>
        <v>11</v>
      </c>
      <c r="D138" s="328">
        <f t="array" ref="D138">INDEX('アイテム'!$U$3:$V$114, MATCH($A$1,'アイテム'!$A$3:$A$114,0), MATCH(D126,'アイテム'!$C$2:$AQ$2,0))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233</v>
      </c>
      <c r="C139" s="328" t="str">
        <f t="array" ref="C139">INDEX('アイテム'!$W$3:$X$114, MATCH($A$1,'アイテム'!$A$3:$A$114,0), MATCH(C126,'アイテム'!$C$2:$AQ$2,0))</f>
        <v>12</v>
      </c>
      <c r="D139" s="328">
        <f t="array" ref="D139">INDEX('アイテム'!$W$3:$X$114, MATCH($A$1,'アイテム'!$A$3:$A$114,0), MATCH(D126,'アイテム'!$C$2:$AQ$2,0))</f>
        <v>23</v>
      </c>
      <c r="E139" s="322"/>
      <c r="F139" s="322"/>
      <c r="G139" s="114"/>
      <c r="H139" s="228"/>
      <c r="I139" s="228"/>
      <c r="J139" s="228"/>
      <c r="K139" s="118"/>
      <c r="L139" s="118"/>
      <c r="M139" s="118"/>
      <c r="N139" s="102"/>
      <c r="O139" s="102"/>
      <c r="P139" s="102"/>
      <c r="Q139" s="102"/>
      <c r="R139" s="118"/>
      <c r="S139" s="118"/>
      <c r="T139" s="118"/>
      <c r="U139" s="118"/>
      <c r="V139" s="118"/>
    </row>
    <row r="140" outlineLevel="1">
      <c r="A140" s="156"/>
      <c r="B140" s="327" t="s">
        <v>234</v>
      </c>
      <c r="C140" s="328" t="str">
        <f t="array" ref="C140">INDEX('アイテム'!$Y$3:$Z$114, MATCH($A$1,'アイテム'!$A$3:$A$114,0), MATCH(C126,'アイテム'!$C$2:$AQ$2,0))</f>
        <v>7</v>
      </c>
      <c r="D140" s="328">
        <f t="array" ref="D140">INDEX('アイテム'!$Y$3:$Z$114, MATCH($A$1,'アイテム'!$A$3:$A$114,0), MATCH(D126,'アイテム'!$C$2:$AQ$2,0))</f>
        <v>19</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265</v>
      </c>
      <c r="B141" s="327" t="s">
        <v>226</v>
      </c>
      <c r="C141" s="328">
        <f t="array" ref="C141">INDEX('アイテム'!$AC$3:$AD$114, MATCH($A$1,'アイテム'!$A$3:$A$114,0), MATCH(C126,'アイテム'!$C$2:$AQ$2,0))</f>
        <v>14</v>
      </c>
      <c r="D141" s="328" t="str">
        <f t="array" ref="D141">INDEX('アイテム'!$AC$3:$AD$114, MATCH($A$1,'アイテム'!$A$3:$A$114,0), MATCH(D126,'アイテム'!$C$2:$AQ$2,0))</f>
        <v>30</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229</v>
      </c>
      <c r="C142" s="328">
        <f t="array" ref="C142">INDEX('アイテム'!$AE$3:$AF$114, MATCH($A$1,'アイテム'!$A$3:$A$114,0), MATCH(C126,'アイテム'!$C$2:$AQ$2,0))</f>
        <v>15</v>
      </c>
      <c r="D142" s="328" t="str">
        <f t="array" ref="D142">INDEX('アイテム'!$AE$3:$AF$114, MATCH($A$1,'アイテム'!$A$3:$A$114,0), MATCH(D126,'アイテム'!$C$2:$AQ$2,0))</f>
        <v>30</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233</v>
      </c>
      <c r="C143" s="328">
        <f t="array" ref="C143">INDEX('アイテム'!$AG$3:$AH$114, MATCH($A$1,'アイテム'!$A$3:$A$114,0), MATCH(C126,'アイテム'!$C$2:$AQ$2,0))</f>
        <v>11</v>
      </c>
      <c r="D143" s="328" t="str">
        <f t="array" ref="D143">INDEX('アイテム'!$AG$3:$AH$114, MATCH($A$1,'アイテム'!$A$3:$A$114,0), MATCH(D126,'アイテム'!$C$2:$AQ$2,0))</f>
        <v>22</v>
      </c>
      <c r="E143" s="322"/>
      <c r="F143" s="322"/>
      <c r="G143" s="114"/>
      <c r="H143" s="228"/>
      <c r="I143" s="228"/>
      <c r="J143" s="228"/>
      <c r="K143" s="118"/>
      <c r="L143" s="118"/>
      <c r="M143" s="118"/>
      <c r="N143" s="102"/>
      <c r="O143" s="102"/>
      <c r="P143" s="102"/>
      <c r="Q143" s="102"/>
      <c r="R143" s="118"/>
      <c r="S143" s="118"/>
      <c r="T143" s="118"/>
      <c r="U143" s="118"/>
      <c r="V143" s="118"/>
    </row>
    <row r="144" outlineLevel="1">
      <c r="A144" s="156"/>
      <c r="B144" s="327" t="s">
        <v>234</v>
      </c>
      <c r="C144" s="328">
        <f t="array" ref="C144">INDEX('アイテム'!$AI$3:$AJ$114, MATCH($A$1,'アイテム'!$A$3:$A$114,0), MATCH(C126,'アイテム'!$C$2:$AQ$2,0))</f>
        <v>9</v>
      </c>
      <c r="D144" s="328" t="str">
        <f t="array" ref="D144">INDEX('アイテム'!$AI$3:$AJ$114, MATCH($A$1,'アイテム'!$A$3:$A$114,0), MATCH(D126,'アイテム'!$C$2:$AQ$2,0))</f>
        <v>22</v>
      </c>
      <c r="E144" s="322"/>
      <c r="F144" s="322"/>
      <c r="G144" s="114"/>
      <c r="H144" s="228"/>
      <c r="I144" s="228"/>
      <c r="J144" s="228"/>
      <c r="K144" s="118"/>
      <c r="L144" s="118"/>
      <c r="M144" s="118"/>
      <c r="N144" s="102"/>
      <c r="O144" s="102"/>
      <c r="P144" s="102"/>
      <c r="Q144" s="102"/>
      <c r="R144" s="118"/>
      <c r="S144" s="118"/>
      <c r="T144" s="118"/>
      <c r="U144" s="118"/>
      <c r="V144" s="118"/>
    </row>
  </sheetData>
  <mergeCells count="133">
    <mergeCell ref="H35:J35"/>
    <mergeCell ref="H36:J36"/>
    <mergeCell ref="H37:J38"/>
    <mergeCell ref="H39:J40"/>
    <mergeCell ref="I44:I45"/>
    <mergeCell ref="J44:J45"/>
    <mergeCell ref="H52:J52"/>
    <mergeCell ref="H53:J56"/>
    <mergeCell ref="H57:J57"/>
    <mergeCell ref="H58:J60"/>
    <mergeCell ref="H61:J61"/>
    <mergeCell ref="H62:J65"/>
    <mergeCell ref="H66:J66"/>
    <mergeCell ref="H67:J68"/>
    <mergeCell ref="K97:K98"/>
    <mergeCell ref="K100:K105"/>
    <mergeCell ref="K106:K109"/>
    <mergeCell ref="K110:L110"/>
    <mergeCell ref="K112:K115"/>
    <mergeCell ref="K116:L116"/>
    <mergeCell ref="K119:L119"/>
    <mergeCell ref="G77:J77"/>
    <mergeCell ref="G78:J79"/>
    <mergeCell ref="G80:J81"/>
    <mergeCell ref="G82:J83"/>
    <mergeCell ref="G84:J85"/>
    <mergeCell ref="K96:L96"/>
    <mergeCell ref="K99:L99"/>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30"/>
    <mergeCell ref="U29:U30"/>
    <mergeCell ref="H31:J32"/>
    <mergeCell ref="H33:J34"/>
    <mergeCell ref="D37:D38"/>
    <mergeCell ref="D39:D40"/>
    <mergeCell ref="U31:U32"/>
    <mergeCell ref="U33:U34"/>
    <mergeCell ref="U37:U38"/>
    <mergeCell ref="U39:U40"/>
    <mergeCell ref="R43:V43"/>
    <mergeCell ref="R44:V45"/>
    <mergeCell ref="R46:V46"/>
    <mergeCell ref="U62:U65"/>
    <mergeCell ref="V62:V65"/>
    <mergeCell ref="U67:U69"/>
    <mergeCell ref="V67:V69"/>
    <mergeCell ref="H69:J69"/>
    <mergeCell ref="R47:V47"/>
    <mergeCell ref="R48:V48"/>
    <mergeCell ref="R49:V49"/>
    <mergeCell ref="U53:U56"/>
    <mergeCell ref="V53:V56"/>
    <mergeCell ref="U58:U60"/>
    <mergeCell ref="V58:V60"/>
    <mergeCell ref="C109:C110"/>
    <mergeCell ref="C122:C123"/>
    <mergeCell ref="A117:A123"/>
    <mergeCell ref="A125:B125"/>
    <mergeCell ref="A126:B126"/>
    <mergeCell ref="A127:A128"/>
    <mergeCell ref="A130:B130"/>
    <mergeCell ref="A131:A136"/>
    <mergeCell ref="A137:A140"/>
    <mergeCell ref="A141:A144"/>
    <mergeCell ref="A92:A93"/>
    <mergeCell ref="A97:A101"/>
    <mergeCell ref="A102:A104"/>
    <mergeCell ref="A105:A110"/>
    <mergeCell ref="D109:D110"/>
    <mergeCell ref="A111:A116"/>
    <mergeCell ref="D122:D123"/>
    <mergeCell ref="A24:B25"/>
    <mergeCell ref="A26:A28"/>
    <mergeCell ref="A29:A30"/>
    <mergeCell ref="D29:D30"/>
    <mergeCell ref="A31:A32"/>
    <mergeCell ref="D31:D32"/>
    <mergeCell ref="D33:D34"/>
    <mergeCell ref="A33:A34"/>
    <mergeCell ref="A37:A38"/>
    <mergeCell ref="A39:A40"/>
    <mergeCell ref="A42:B43"/>
    <mergeCell ref="A44:A45"/>
    <mergeCell ref="D44:D45"/>
    <mergeCell ref="A51:B51"/>
    <mergeCell ref="D62:D65"/>
    <mergeCell ref="C64:C65"/>
    <mergeCell ref="D78:D79"/>
    <mergeCell ref="D80:D81"/>
    <mergeCell ref="D82:D83"/>
    <mergeCell ref="D84:D85"/>
    <mergeCell ref="A52:B52"/>
    <mergeCell ref="A53:A56"/>
    <mergeCell ref="D53:D56"/>
    <mergeCell ref="A57:B57"/>
    <mergeCell ref="D58:D60"/>
    <mergeCell ref="C59:C60"/>
    <mergeCell ref="A61:B61"/>
    <mergeCell ref="A58:A60"/>
    <mergeCell ref="A62:A65"/>
    <mergeCell ref="A66:B66"/>
    <mergeCell ref="A67:A69"/>
    <mergeCell ref="A71:B72"/>
    <mergeCell ref="A74:A76"/>
    <mergeCell ref="A77:B77"/>
    <mergeCell ref="A78:A79"/>
    <mergeCell ref="A80:A81"/>
    <mergeCell ref="A82:A83"/>
    <mergeCell ref="A84:A85"/>
    <mergeCell ref="A87:B88"/>
    <mergeCell ref="A89:A91"/>
    <mergeCell ref="A95:B96"/>
    <mergeCell ref="C115:C116"/>
    <mergeCell ref="D115:D116"/>
  </mergeCells>
  <conditionalFormatting sqref="K1:K15 K17:K120">
    <cfRule type="containsText" dxfId="0" priority="1" operator="containsText" text="361">
      <formula>NOT(ISERROR(SEARCH(("361"),(K1))))</formula>
    </cfRule>
  </conditionalFormatting>
  <conditionalFormatting sqref="K1:K15 K17:K120">
    <cfRule type="containsText" dxfId="1" priority="2" operator="containsText" text="363">
      <formula>NOT(ISERROR(SEARCH(("363"),(K1))))</formula>
    </cfRule>
  </conditionalFormatting>
  <conditionalFormatting sqref="K1:K15 K17:K120">
    <cfRule type="containsText" dxfId="1" priority="3" operator="containsText" text="365">
      <formula>NOT(ISERROR(SEARCH(("365"),(K1))))</formula>
    </cfRule>
  </conditionalFormatting>
  <conditionalFormatting sqref="K1:K15 K17:K120">
    <cfRule type="containsText" dxfId="1" priority="4" operator="containsText" text="366">
      <formula>NOT(ISERROR(SEARCH(("366"),(K1))))</formula>
    </cfRule>
  </conditionalFormatting>
  <conditionalFormatting sqref="K1:K15 K17:K120">
    <cfRule type="containsText" dxfId="1" priority="5" operator="containsText" text="367">
      <formula>NOT(ISERROR(SEARCH(("367"),(K1))))</formula>
    </cfRule>
  </conditionalFormatting>
  <conditionalFormatting sqref="P78:P85">
    <cfRule type="cellIs" dxfId="2" priority="6" operator="equal">
      <formula>"敵のみ"</formula>
    </cfRule>
  </conditionalFormatting>
  <conditionalFormatting sqref="C78:C85">
    <cfRule type="cellIs" dxfId="3" priority="7" operator="equal">
      <formula>"-"</formula>
    </cfRule>
  </conditionalFormatting>
  <conditionalFormatting sqref="O1:O144 C84 E84:F84 K84:N84 P84:P85 Q84">
    <cfRule type="cellIs" dxfId="4" priority="8" operator="greaterThan">
      <formula>0</formula>
    </cfRule>
  </conditionalFormatting>
  <conditionalFormatting sqref="P1:Q144">
    <cfRule type="cellIs" dxfId="5" priority="9" operator="lessThan">
      <formula>1</formula>
    </cfRule>
  </conditionalFormatting>
  <conditionalFormatting sqref="P1:Q144">
    <cfRule type="cellIs" dxfId="4" priority="10" operator="greaterThan">
      <formula>1</formula>
    </cfRule>
  </conditionalFormatting>
  <conditionalFormatting sqref="N25:N85">
    <cfRule type="cellIs" dxfId="6" priority="11" operator="greaterThan">
      <formula>0</formula>
    </cfRule>
  </conditionalFormatting>
  <conditionalFormatting sqref="N1:N15 N17:N144">
    <cfRule type="containsText" dxfId="6" priority="12" operator="containsText" text="/">
      <formula>NOT(ISERROR(SEARCH(("/"),(N1))))</formula>
    </cfRule>
  </conditionalFormatting>
  <drawing r:id="rId2"/>
  <legacyDrawing r:id="rId3"/>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4AA72"/>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081">
        <v>45.0</v>
      </c>
      <c r="B1" s="2082"/>
      <c r="C1" s="2083" t="str">
        <f>IMAGE(VLOOKUP($A$1,Fighters!A2:AI114,12,FALSE),1)</f>
        <v>#REF!</v>
      </c>
      <c r="D1" s="2084"/>
      <c r="E1" s="2084"/>
      <c r="F1" s="2084"/>
      <c r="G1" s="2085"/>
      <c r="H1" s="2086"/>
      <c r="I1" s="2084"/>
      <c r="J1" s="2085"/>
      <c r="K1" s="2087"/>
      <c r="L1" s="2084"/>
      <c r="M1" s="2085"/>
      <c r="N1" s="2088"/>
      <c r="O1" s="2088"/>
      <c r="P1" s="2088"/>
      <c r="Q1" s="2088"/>
      <c r="R1" s="2089"/>
      <c r="S1" s="2089"/>
      <c r="T1" s="2089"/>
      <c r="U1" s="2089"/>
      <c r="V1" s="2089"/>
    </row>
    <row r="2">
      <c r="A2" s="2090" t="str">
        <f>VLOOKUP($A$1,Fighters!$A$2:$AI$81,6,FALSE)</f>
        <v>#24aa72</v>
      </c>
      <c r="B2" s="2082"/>
      <c r="C2" s="2091"/>
      <c r="G2" s="2092"/>
      <c r="H2" s="2093"/>
      <c r="I2" s="2094"/>
      <c r="J2" s="2095"/>
      <c r="K2" s="2093"/>
      <c r="L2" s="2094"/>
      <c r="M2" s="2095"/>
      <c r="N2" s="2088"/>
      <c r="O2" s="2088"/>
      <c r="P2" s="2088"/>
      <c r="Q2" s="2088"/>
      <c r="R2" s="2089"/>
      <c r="S2" s="2089"/>
      <c r="T2" s="2089"/>
      <c r="U2" s="2089"/>
      <c r="V2" s="2089"/>
    </row>
    <row r="3">
      <c r="A3" s="2090" t="str">
        <f>VLOOKUP($A$1,Fighters!$A$2:$AI$81,14,FALSE)</f>
        <v>45. むらびと</v>
      </c>
      <c r="B3" s="2082"/>
      <c r="C3" s="2091"/>
      <c r="G3" s="2092"/>
      <c r="H3" s="2096"/>
      <c r="I3" s="2096"/>
      <c r="J3" s="2096"/>
      <c r="K3" s="2097"/>
      <c r="L3" s="2097"/>
      <c r="M3" s="2097"/>
      <c r="N3" s="2088"/>
      <c r="O3" s="2088"/>
      <c r="P3" s="2088"/>
      <c r="Q3" s="2088"/>
      <c r="R3" s="2098"/>
      <c r="S3" s="2089"/>
      <c r="T3" s="2089"/>
      <c r="U3" s="2089"/>
      <c r="V3" s="2089"/>
    </row>
    <row r="4">
      <c r="A4" s="2090" t="str">
        <f>VLOOKUP($A$1,Fighters!$A$2:$AI$81,13,FALSE)</f>
        <v>0</v>
      </c>
      <c r="B4" s="2082"/>
      <c r="C4" s="2091"/>
      <c r="G4" s="2092"/>
      <c r="H4" s="2099"/>
      <c r="I4" s="2099"/>
      <c r="J4" s="2096"/>
      <c r="K4" s="2097"/>
      <c r="L4" s="2097"/>
      <c r="M4" s="2097"/>
      <c r="N4" s="2088"/>
      <c r="O4" s="2088"/>
      <c r="P4" s="2088"/>
      <c r="Q4" s="2088"/>
      <c r="R4" s="2098"/>
      <c r="S4" s="2089"/>
      <c r="T4" s="2089"/>
      <c r="U4" s="2089"/>
      <c r="V4" s="2089"/>
    </row>
    <row r="5" ht="16.5" customHeight="1">
      <c r="A5" s="2081"/>
      <c r="B5" s="2082"/>
      <c r="C5" s="2091"/>
      <c r="G5" s="2092"/>
      <c r="H5" s="2100"/>
      <c r="I5" s="2100"/>
      <c r="J5" s="2101"/>
      <c r="K5" s="2102"/>
      <c r="L5" s="2103"/>
      <c r="M5" s="2103"/>
      <c r="N5" s="2088"/>
      <c r="O5" s="2088"/>
      <c r="P5" s="2088"/>
      <c r="Q5" s="2088"/>
      <c r="R5" s="2098"/>
      <c r="S5" s="2089"/>
      <c r="T5" s="2089"/>
      <c r="U5" s="2089"/>
      <c r="V5" s="2089"/>
    </row>
    <row r="6">
      <c r="A6" s="2082"/>
      <c r="B6" s="2082"/>
      <c r="C6" s="2091"/>
      <c r="G6" s="2092"/>
      <c r="H6" s="2099"/>
      <c r="I6" s="2104" t="s">
        <v>39</v>
      </c>
      <c r="J6" s="2102"/>
      <c r="K6" s="2105"/>
      <c r="L6" s="2103"/>
      <c r="M6" s="2103"/>
      <c r="N6" s="2088"/>
      <c r="O6" s="2088"/>
      <c r="P6" s="2088"/>
      <c r="Q6" s="2088"/>
      <c r="R6" s="2098"/>
      <c r="S6" s="2089"/>
      <c r="T6" s="2089"/>
      <c r="U6" s="2089"/>
      <c r="V6" s="2089"/>
    </row>
    <row r="7">
      <c r="A7" s="2082"/>
      <c r="B7" s="2082"/>
      <c r="C7" s="2091"/>
      <c r="G7" s="2092"/>
      <c r="H7" s="2100"/>
      <c r="I7" s="2100"/>
      <c r="J7" s="2102"/>
      <c r="K7" s="2105"/>
      <c r="L7" s="2103"/>
      <c r="M7" s="2103"/>
      <c r="N7" s="2088"/>
      <c r="O7" s="2088"/>
      <c r="P7" s="2088"/>
      <c r="Q7" s="2088"/>
      <c r="R7" s="2098"/>
      <c r="S7" s="2089"/>
      <c r="T7" s="2089"/>
      <c r="U7" s="2089"/>
      <c r="V7" s="2089"/>
    </row>
    <row r="8">
      <c r="A8" s="2082"/>
      <c r="B8" s="2082"/>
      <c r="C8" s="2091"/>
      <c r="G8" s="2092"/>
      <c r="H8" s="2106">
        <v>44489.75744553241</v>
      </c>
      <c r="I8" s="2084"/>
      <c r="J8" s="2085"/>
      <c r="K8" s="2102"/>
      <c r="L8" s="2103"/>
      <c r="M8" s="2103"/>
      <c r="N8" s="2088"/>
      <c r="O8" s="2088"/>
      <c r="P8" s="2088"/>
      <c r="Q8" s="2088"/>
      <c r="R8" s="2098"/>
      <c r="S8" s="2089"/>
      <c r="T8" s="2089"/>
      <c r="U8" s="2089"/>
      <c r="V8" s="2089"/>
    </row>
    <row r="9">
      <c r="A9" s="2082"/>
      <c r="B9" s="2082"/>
      <c r="C9" s="2091"/>
      <c r="G9" s="2092"/>
      <c r="H9" s="2093"/>
      <c r="I9" s="2094"/>
      <c r="J9" s="2095"/>
      <c r="K9" s="2089"/>
      <c r="L9" s="2088"/>
      <c r="M9" s="2088"/>
      <c r="N9" s="2088"/>
      <c r="O9" s="2088"/>
      <c r="P9" s="2088"/>
      <c r="Q9" s="2088"/>
      <c r="R9" s="2098"/>
      <c r="S9" s="2089"/>
      <c r="T9" s="2089"/>
      <c r="U9" s="2089"/>
      <c r="V9" s="2089"/>
    </row>
    <row r="10">
      <c r="A10" s="2082"/>
      <c r="B10" s="2082"/>
      <c r="C10" s="2091"/>
      <c r="G10" s="2092"/>
      <c r="H10" s="2107"/>
      <c r="I10" s="2107"/>
      <c r="J10" s="2089"/>
      <c r="K10" s="2089"/>
      <c r="L10" s="2088"/>
      <c r="M10" s="2088"/>
      <c r="N10" s="2088"/>
      <c r="O10" s="2088"/>
      <c r="P10" s="2088"/>
      <c r="Q10" s="2088"/>
      <c r="R10" s="2098"/>
      <c r="S10" s="2089"/>
      <c r="T10" s="2089"/>
      <c r="U10" s="2089"/>
      <c r="V10" s="2089"/>
    </row>
    <row r="11">
      <c r="A11" s="2108" t="s">
        <v>40</v>
      </c>
      <c r="B11" s="2085"/>
      <c r="C11" s="2091"/>
      <c r="G11" s="2092"/>
      <c r="H11" s="2100"/>
      <c r="I11" s="2100"/>
      <c r="J11" s="2089"/>
      <c r="K11" s="2089"/>
      <c r="L11" s="2088"/>
      <c r="M11" s="2088"/>
      <c r="N11" s="2088"/>
      <c r="O11" s="2088"/>
      <c r="P11" s="2088"/>
      <c r="Q11" s="2088"/>
      <c r="R11" s="2098"/>
      <c r="S11" s="2089"/>
      <c r="T11" s="2089"/>
      <c r="U11" s="2089"/>
      <c r="V11" s="2089"/>
    </row>
    <row r="12">
      <c r="A12" s="2093"/>
      <c r="B12" s="2095"/>
      <c r="C12" s="2093"/>
      <c r="D12" s="2094"/>
      <c r="E12" s="2094"/>
      <c r="F12" s="2094"/>
      <c r="G12" s="2095"/>
      <c r="H12" s="2109"/>
      <c r="I12" s="2109"/>
      <c r="J12" s="2082"/>
      <c r="K12" s="2082"/>
      <c r="L12" s="2088"/>
      <c r="M12" s="2088"/>
      <c r="N12" s="2088"/>
      <c r="O12" s="2088"/>
      <c r="P12" s="2088"/>
      <c r="Q12" s="2088"/>
      <c r="R12" s="2098"/>
      <c r="S12" s="2089"/>
      <c r="T12" s="2089"/>
      <c r="U12" s="2089"/>
      <c r="V12" s="208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92 [53rd]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1.815 [62nd]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1.092 [50th]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56F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32.5 [45th]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1.397 [83rd]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0.131 [5th]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15.69 [49th]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13F [73rd]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0.987 [61st]</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32.5 [50th]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1.32 [77th]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2.112 [77th]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0.078 [71st]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71</v>
      </c>
      <c r="D26" s="139" t="s">
        <v>65</v>
      </c>
      <c r="E26" s="139" t="s">
        <v>213</v>
      </c>
      <c r="F26" s="138">
        <v>1.2</v>
      </c>
      <c r="G26" s="139" t="s">
        <v>170</v>
      </c>
      <c r="H26" s="140" t="s">
        <v>3231</v>
      </c>
      <c r="I26" s="110"/>
      <c r="J26" s="109"/>
      <c r="K26" s="138"/>
      <c r="L26" s="282"/>
      <c r="M26" s="363"/>
      <c r="N26" s="363"/>
      <c r="O26" s="145">
        <v>0.0</v>
      </c>
      <c r="P26" s="145">
        <v>1.0</v>
      </c>
      <c r="Q26" s="145">
        <v>1.0</v>
      </c>
      <c r="R26" s="100"/>
      <c r="S26" s="100"/>
      <c r="T26" s="100"/>
      <c r="U26" s="145" t="s">
        <v>69</v>
      </c>
      <c r="V26" s="100"/>
    </row>
    <row r="27" outlineLevel="1">
      <c r="A27" s="146"/>
      <c r="B27" s="147" t="s">
        <v>3232</v>
      </c>
      <c r="C27" s="216" t="s">
        <v>717</v>
      </c>
      <c r="D27" s="216" t="s">
        <v>193</v>
      </c>
      <c r="E27" s="216" t="s">
        <v>176</v>
      </c>
      <c r="F27" s="138">
        <v>2.4</v>
      </c>
      <c r="G27" s="139" t="s">
        <v>60</v>
      </c>
      <c r="H27" s="140"/>
      <c r="I27" s="110"/>
      <c r="J27" s="109"/>
      <c r="K27" s="282"/>
      <c r="L27" s="282"/>
      <c r="M27" s="363"/>
      <c r="N27" s="363"/>
      <c r="O27" s="145"/>
      <c r="P27" s="145"/>
      <c r="Q27" s="145"/>
      <c r="R27" s="100"/>
      <c r="S27" s="100"/>
      <c r="T27" s="100"/>
      <c r="U27" s="145" t="s">
        <v>76</v>
      </c>
      <c r="V27" s="100"/>
    </row>
    <row r="28" outlineLevel="1">
      <c r="A28" s="146"/>
      <c r="B28" s="147" t="s">
        <v>63</v>
      </c>
      <c r="C28" s="216" t="s">
        <v>71</v>
      </c>
      <c r="D28" s="216" t="s">
        <v>173</v>
      </c>
      <c r="E28" s="216" t="s">
        <v>213</v>
      </c>
      <c r="F28" s="138">
        <v>1.2</v>
      </c>
      <c r="G28" s="139" t="s">
        <v>170</v>
      </c>
      <c r="H28" s="140" t="s">
        <v>3233</v>
      </c>
      <c r="I28" s="110"/>
      <c r="J28" s="109"/>
      <c r="K28" s="282"/>
      <c r="L28" s="282"/>
      <c r="M28" s="363"/>
      <c r="N28" s="363"/>
      <c r="O28" s="145">
        <v>0.0</v>
      </c>
      <c r="P28" s="145">
        <v>1.0</v>
      </c>
      <c r="Q28" s="145">
        <v>1.0</v>
      </c>
      <c r="R28" s="100"/>
      <c r="S28" s="100"/>
      <c r="T28" s="100"/>
      <c r="U28" s="145" t="s">
        <v>76</v>
      </c>
      <c r="V28" s="100"/>
    </row>
    <row r="29" outlineLevel="1">
      <c r="A29" s="156"/>
      <c r="B29" s="147" t="s">
        <v>3234</v>
      </c>
      <c r="C29" s="216" t="s">
        <v>717</v>
      </c>
      <c r="D29" s="216" t="s">
        <v>193</v>
      </c>
      <c r="E29" s="216" t="s">
        <v>176</v>
      </c>
      <c r="F29" s="138">
        <v>2.4</v>
      </c>
      <c r="G29" s="139" t="s">
        <v>60</v>
      </c>
      <c r="H29" s="140"/>
      <c r="I29" s="110"/>
      <c r="J29" s="109"/>
      <c r="K29" s="282"/>
      <c r="L29" s="282"/>
      <c r="M29" s="363"/>
      <c r="N29" s="363"/>
      <c r="O29" s="145">
        <v>0.0</v>
      </c>
      <c r="P29" s="145">
        <v>1.0</v>
      </c>
      <c r="Q29" s="145">
        <v>1.0</v>
      </c>
      <c r="R29" s="100"/>
      <c r="S29" s="100"/>
      <c r="T29" s="100"/>
      <c r="U29" s="145" t="s">
        <v>62</v>
      </c>
      <c r="V29" s="100"/>
    </row>
    <row r="30" outlineLevel="1">
      <c r="A30" s="133" t="s">
        <v>77</v>
      </c>
      <c r="B30" s="160"/>
      <c r="C30" s="216" t="s">
        <v>1886</v>
      </c>
      <c r="D30" s="195" t="s">
        <v>393</v>
      </c>
      <c r="E30" s="216" t="s">
        <v>128</v>
      </c>
      <c r="F30" s="138">
        <v>12.0</v>
      </c>
      <c r="G30" s="139" t="s">
        <v>147</v>
      </c>
      <c r="H30" s="283" t="s">
        <v>3235</v>
      </c>
      <c r="I30" s="164"/>
      <c r="J30" s="104"/>
      <c r="K30" s="138"/>
      <c r="L30" s="282"/>
      <c r="M30" s="363"/>
      <c r="N30" s="363"/>
      <c r="O30" s="145">
        <v>0.0</v>
      </c>
      <c r="P30" s="145">
        <v>1.0</v>
      </c>
      <c r="Q30" s="145">
        <v>1.0</v>
      </c>
      <c r="R30" s="100"/>
      <c r="S30" s="100"/>
      <c r="T30" s="100"/>
      <c r="U30" s="166" t="s">
        <v>69</v>
      </c>
      <c r="V30" s="100"/>
    </row>
    <row r="31" outlineLevel="1">
      <c r="A31" s="156"/>
      <c r="B31" s="147" t="s">
        <v>84</v>
      </c>
      <c r="C31" s="216" t="s">
        <v>3236</v>
      </c>
      <c r="D31" s="107"/>
      <c r="E31" s="216" t="s">
        <v>86</v>
      </c>
      <c r="F31" s="138">
        <v>7.199999999999999</v>
      </c>
      <c r="G31" s="139" t="s">
        <v>60</v>
      </c>
      <c r="H31" s="106"/>
      <c r="I31" s="168"/>
      <c r="J31" s="107"/>
      <c r="K31" s="282"/>
      <c r="L31" s="282"/>
      <c r="M31" s="363"/>
      <c r="N31" s="363"/>
      <c r="O31" s="145">
        <v>0.0</v>
      </c>
      <c r="P31" s="145">
        <v>1.0</v>
      </c>
      <c r="Q31" s="145">
        <v>1.0</v>
      </c>
      <c r="R31" s="100"/>
      <c r="S31" s="100"/>
      <c r="T31" s="100"/>
      <c r="U31" s="156"/>
      <c r="V31" s="100"/>
    </row>
    <row r="32" outlineLevel="1">
      <c r="A32" s="170" t="s">
        <v>89</v>
      </c>
      <c r="B32" s="147"/>
      <c r="C32" s="216" t="s">
        <v>563</v>
      </c>
      <c r="D32" s="216" t="s">
        <v>72</v>
      </c>
      <c r="E32" s="216" t="s">
        <v>274</v>
      </c>
      <c r="F32" s="138">
        <v>10.799999999999999</v>
      </c>
      <c r="G32" s="139" t="s">
        <v>275</v>
      </c>
      <c r="H32" s="366"/>
      <c r="I32" s="110"/>
      <c r="J32" s="109"/>
      <c r="K32" s="138"/>
      <c r="L32" s="282"/>
      <c r="M32" s="363"/>
      <c r="N32" s="363"/>
      <c r="O32" s="145">
        <v>0.0</v>
      </c>
      <c r="P32" s="145">
        <v>1.0</v>
      </c>
      <c r="Q32" s="145">
        <v>1.0</v>
      </c>
      <c r="R32" s="100"/>
      <c r="S32" s="100"/>
      <c r="T32" s="100"/>
      <c r="U32" s="145" t="s">
        <v>96</v>
      </c>
      <c r="V32" s="100"/>
    </row>
    <row r="33" outlineLevel="1">
      <c r="A33" s="133" t="s">
        <v>97</v>
      </c>
      <c r="B33" s="147" t="s">
        <v>125</v>
      </c>
      <c r="C33" s="216" t="s">
        <v>3237</v>
      </c>
      <c r="D33" s="195" t="s">
        <v>111</v>
      </c>
      <c r="E33" s="216" t="s">
        <v>150</v>
      </c>
      <c r="F33" s="138">
        <v>6.0</v>
      </c>
      <c r="G33" s="139" t="s">
        <v>102</v>
      </c>
      <c r="H33" s="386" t="s">
        <v>3238</v>
      </c>
      <c r="I33" s="164"/>
      <c r="J33" s="104"/>
      <c r="K33" s="282"/>
      <c r="L33" s="282"/>
      <c r="M33" s="363"/>
      <c r="N33" s="363"/>
      <c r="O33" s="145">
        <v>0.0</v>
      </c>
      <c r="P33" s="145">
        <v>1.0</v>
      </c>
      <c r="Q33" s="145">
        <v>1.0</v>
      </c>
      <c r="R33" s="100"/>
      <c r="S33" s="100"/>
      <c r="T33" s="100"/>
      <c r="U33" s="166" t="s">
        <v>62</v>
      </c>
      <c r="V33" s="100"/>
    </row>
    <row r="34" outlineLevel="1">
      <c r="A34" s="156"/>
      <c r="B34" s="147" t="s">
        <v>131</v>
      </c>
      <c r="C34" s="216" t="s">
        <v>2021</v>
      </c>
      <c r="D34" s="107"/>
      <c r="E34" s="216" t="s">
        <v>86</v>
      </c>
      <c r="F34" s="138">
        <v>7.199999999999999</v>
      </c>
      <c r="G34" s="139" t="s">
        <v>102</v>
      </c>
      <c r="H34" s="106"/>
      <c r="I34" s="168"/>
      <c r="J34" s="107"/>
      <c r="K34" s="145"/>
      <c r="L34" s="363"/>
      <c r="M34" s="363"/>
      <c r="N34" s="363"/>
      <c r="O34" s="145">
        <v>0.0</v>
      </c>
      <c r="P34" s="145">
        <v>1.0</v>
      </c>
      <c r="Q34" s="145">
        <v>1.0</v>
      </c>
      <c r="R34" s="100"/>
      <c r="S34" s="100"/>
      <c r="T34" s="100"/>
      <c r="U34" s="156"/>
      <c r="V34" s="100"/>
    </row>
    <row r="35" outlineLevel="1">
      <c r="A35" s="133" t="s">
        <v>103</v>
      </c>
      <c r="B35" s="147" t="s">
        <v>350</v>
      </c>
      <c r="C35" s="195" t="s">
        <v>835</v>
      </c>
      <c r="D35" s="195" t="s">
        <v>79</v>
      </c>
      <c r="E35" s="216" t="s">
        <v>640</v>
      </c>
      <c r="F35" s="138" t="s">
        <v>641</v>
      </c>
      <c r="G35" s="139" t="s">
        <v>1302</v>
      </c>
      <c r="H35" s="283"/>
      <c r="I35" s="164"/>
      <c r="J35" s="104"/>
      <c r="K35" s="145"/>
      <c r="L35" s="363"/>
      <c r="M35" s="363"/>
      <c r="N35" s="363"/>
      <c r="O35" s="145">
        <v>0.0</v>
      </c>
      <c r="P35" s="145">
        <v>1.0</v>
      </c>
      <c r="Q35" s="145">
        <v>1.0</v>
      </c>
      <c r="R35" s="100"/>
      <c r="S35" s="100"/>
      <c r="T35" s="100"/>
      <c r="U35" s="166" t="s">
        <v>69</v>
      </c>
      <c r="V35" s="100"/>
    </row>
    <row r="36" outlineLevel="1">
      <c r="A36" s="156"/>
      <c r="B36" s="147" t="s">
        <v>356</v>
      </c>
      <c r="C36" s="107"/>
      <c r="D36" s="107"/>
      <c r="E36" s="216" t="s">
        <v>129</v>
      </c>
      <c r="F36" s="138">
        <v>14.4</v>
      </c>
      <c r="G36" s="409"/>
      <c r="H36" s="106"/>
      <c r="I36" s="168"/>
      <c r="J36" s="107"/>
      <c r="K36" s="145"/>
      <c r="L36" s="363"/>
      <c r="M36" s="363"/>
      <c r="N36" s="363"/>
      <c r="O36" s="145"/>
      <c r="P36" s="145"/>
      <c r="Q36" s="145"/>
      <c r="R36" s="100"/>
      <c r="S36" s="100"/>
      <c r="T36" s="100"/>
      <c r="U36" s="156"/>
      <c r="V36" s="100"/>
    </row>
    <row r="37" ht="30.75" customHeight="1" outlineLevel="1">
      <c r="A37" s="133" t="s">
        <v>109</v>
      </c>
      <c r="B37" s="147"/>
      <c r="C37" s="467" t="s">
        <v>3239</v>
      </c>
      <c r="D37" s="455" t="s">
        <v>185</v>
      </c>
      <c r="E37" s="467" t="s">
        <v>386</v>
      </c>
      <c r="F37" s="138">
        <v>18.0</v>
      </c>
      <c r="G37" s="139" t="s">
        <v>121</v>
      </c>
      <c r="H37" s="283" t="s">
        <v>3240</v>
      </c>
      <c r="I37" s="164"/>
      <c r="J37" s="104"/>
      <c r="K37" s="282"/>
      <c r="L37" s="282"/>
      <c r="M37" s="363"/>
      <c r="N37" s="363"/>
      <c r="O37" s="145">
        <v>0.0</v>
      </c>
      <c r="P37" s="145">
        <v>1.0</v>
      </c>
      <c r="Q37" s="145">
        <v>1.0</v>
      </c>
      <c r="R37" s="100"/>
      <c r="S37" s="100"/>
      <c r="T37" s="100"/>
      <c r="U37" s="166" t="s">
        <v>1008</v>
      </c>
      <c r="V37" s="100"/>
    </row>
    <row r="38" ht="30.75" customHeight="1" outlineLevel="1">
      <c r="A38" s="156"/>
      <c r="B38" s="147" t="s">
        <v>84</v>
      </c>
      <c r="C38" s="467" t="s">
        <v>3241</v>
      </c>
      <c r="D38" s="107"/>
      <c r="E38" s="467" t="s">
        <v>394</v>
      </c>
      <c r="F38" s="138">
        <v>20.4</v>
      </c>
      <c r="G38" s="139" t="s">
        <v>88</v>
      </c>
      <c r="H38" s="106"/>
      <c r="I38" s="168"/>
      <c r="J38" s="107"/>
      <c r="K38" s="282"/>
      <c r="L38" s="282"/>
      <c r="M38" s="363"/>
      <c r="N38" s="363"/>
      <c r="O38" s="145">
        <v>0.0</v>
      </c>
      <c r="P38" s="145">
        <v>1.0</v>
      </c>
      <c r="Q38" s="145">
        <v>1.0</v>
      </c>
      <c r="R38" s="100"/>
      <c r="S38" s="100"/>
      <c r="T38" s="100"/>
      <c r="U38" s="156"/>
      <c r="V38" s="100"/>
    </row>
    <row r="39" outlineLevel="1">
      <c r="A39" s="133" t="s">
        <v>116</v>
      </c>
      <c r="B39" s="147" t="s">
        <v>683</v>
      </c>
      <c r="C39" s="467" t="s">
        <v>373</v>
      </c>
      <c r="D39" s="455" t="s">
        <v>892</v>
      </c>
      <c r="E39" s="467" t="s">
        <v>204</v>
      </c>
      <c r="F39" s="138">
        <v>3.5999999999999996</v>
      </c>
      <c r="G39" s="139" t="s">
        <v>60</v>
      </c>
      <c r="H39" s="283" t="s">
        <v>3242</v>
      </c>
      <c r="I39" s="164"/>
      <c r="J39" s="104"/>
      <c r="K39" s="363"/>
      <c r="L39" s="363"/>
      <c r="M39" s="363"/>
      <c r="N39" s="363"/>
      <c r="O39" s="145">
        <v>0.0</v>
      </c>
      <c r="P39" s="145">
        <v>1.0</v>
      </c>
      <c r="Q39" s="145">
        <v>1.0</v>
      </c>
      <c r="R39" s="100"/>
      <c r="S39" s="100"/>
      <c r="T39" s="100"/>
      <c r="U39" s="166" t="s">
        <v>62</v>
      </c>
      <c r="V39" s="100"/>
    </row>
    <row r="40" outlineLevel="1">
      <c r="A40" s="146"/>
      <c r="B40" s="147" t="s">
        <v>2425</v>
      </c>
      <c r="C40" s="216" t="s">
        <v>3243</v>
      </c>
      <c r="D40" s="210"/>
      <c r="E40" s="450" t="s">
        <v>1024</v>
      </c>
      <c r="F40" s="138">
        <v>1.8</v>
      </c>
      <c r="G40" s="139" t="s">
        <v>170</v>
      </c>
      <c r="H40" s="212"/>
      <c r="J40" s="210"/>
      <c r="K40" s="363"/>
      <c r="L40" s="363"/>
      <c r="M40" s="363"/>
      <c r="N40" s="363"/>
      <c r="O40" s="145">
        <v>0.0</v>
      </c>
      <c r="P40" s="145">
        <v>1.0</v>
      </c>
      <c r="Q40" s="145">
        <v>1.0</v>
      </c>
      <c r="R40" s="100"/>
      <c r="S40" s="100"/>
      <c r="T40" s="100"/>
      <c r="U40" s="146"/>
      <c r="V40" s="100"/>
    </row>
    <row r="41" outlineLevel="1">
      <c r="A41" s="156"/>
      <c r="B41" s="147" t="s">
        <v>172</v>
      </c>
      <c r="C41" s="216" t="s">
        <v>3244</v>
      </c>
      <c r="D41" s="107"/>
      <c r="E41" s="450" t="s">
        <v>3245</v>
      </c>
      <c r="F41" s="138">
        <v>5.52</v>
      </c>
      <c r="G41" s="139" t="s">
        <v>147</v>
      </c>
      <c r="H41" s="106"/>
      <c r="I41" s="168"/>
      <c r="J41" s="107"/>
      <c r="K41" s="363"/>
      <c r="L41" s="363"/>
      <c r="M41" s="363"/>
      <c r="N41" s="363"/>
      <c r="O41" s="145">
        <v>0.0</v>
      </c>
      <c r="P41" s="145">
        <v>1.0</v>
      </c>
      <c r="Q41" s="145">
        <v>1.0</v>
      </c>
      <c r="R41" s="100"/>
      <c r="S41" s="100"/>
      <c r="T41" s="100"/>
      <c r="U41" s="156"/>
      <c r="V41" s="100"/>
    </row>
    <row r="42" outlineLevel="1">
      <c r="A42" s="133" t="s">
        <v>124</v>
      </c>
      <c r="B42" s="147" t="s">
        <v>125</v>
      </c>
      <c r="C42" s="216" t="s">
        <v>274</v>
      </c>
      <c r="D42" s="195" t="s">
        <v>185</v>
      </c>
      <c r="E42" s="467" t="s">
        <v>86</v>
      </c>
      <c r="F42" s="138">
        <v>7.199999999999999</v>
      </c>
      <c r="G42" s="139" t="s">
        <v>75</v>
      </c>
      <c r="H42" s="283" t="s">
        <v>3246</v>
      </c>
      <c r="I42" s="164"/>
      <c r="J42" s="104"/>
      <c r="K42" s="282"/>
      <c r="L42" s="282"/>
      <c r="M42" s="363"/>
      <c r="N42" s="363"/>
      <c r="O42" s="145">
        <v>0.0</v>
      </c>
      <c r="P42" s="145">
        <v>1.0</v>
      </c>
      <c r="Q42" s="145">
        <v>1.0</v>
      </c>
      <c r="R42" s="100"/>
      <c r="S42" s="100"/>
      <c r="T42" s="100"/>
      <c r="U42" s="166" t="s">
        <v>62</v>
      </c>
      <c r="V42" s="100"/>
    </row>
    <row r="43" outlineLevel="1">
      <c r="A43" s="146"/>
      <c r="B43" s="147" t="s">
        <v>430</v>
      </c>
      <c r="C43" s="216" t="s">
        <v>223</v>
      </c>
      <c r="D43" s="210"/>
      <c r="E43" s="467" t="s">
        <v>204</v>
      </c>
      <c r="F43" s="138">
        <v>3.5999999999999996</v>
      </c>
      <c r="G43" s="139" t="s">
        <v>60</v>
      </c>
      <c r="H43" s="212"/>
      <c r="J43" s="210"/>
      <c r="K43" s="282"/>
      <c r="L43" s="282"/>
      <c r="M43" s="363"/>
      <c r="N43" s="363"/>
      <c r="O43" s="145">
        <v>0.0</v>
      </c>
      <c r="P43" s="145">
        <v>1.0</v>
      </c>
      <c r="Q43" s="145">
        <v>1.0</v>
      </c>
      <c r="R43" s="100"/>
      <c r="S43" s="100"/>
      <c r="T43" s="100"/>
      <c r="U43" s="146"/>
      <c r="V43" s="100"/>
    </row>
    <row r="44" outlineLevel="1">
      <c r="A44" s="146"/>
      <c r="B44" s="147" t="s">
        <v>131</v>
      </c>
      <c r="C44" s="216" t="s">
        <v>99</v>
      </c>
      <c r="D44" s="210"/>
      <c r="E44" s="467" t="s">
        <v>86</v>
      </c>
      <c r="F44" s="138">
        <v>7.199999999999999</v>
      </c>
      <c r="G44" s="139" t="s">
        <v>75</v>
      </c>
      <c r="H44" s="212"/>
      <c r="J44" s="210"/>
      <c r="K44" s="282"/>
      <c r="L44" s="282"/>
      <c r="M44" s="363"/>
      <c r="N44" s="363"/>
      <c r="O44" s="145">
        <v>0.0</v>
      </c>
      <c r="P44" s="145">
        <v>1.0</v>
      </c>
      <c r="Q44" s="145">
        <v>1.0</v>
      </c>
      <c r="R44" s="100"/>
      <c r="S44" s="100"/>
      <c r="T44" s="100"/>
      <c r="U44" s="146"/>
      <c r="V44" s="100"/>
    </row>
    <row r="45" outlineLevel="1">
      <c r="A45" s="156"/>
      <c r="B45" s="147" t="s">
        <v>432</v>
      </c>
      <c r="C45" s="214" t="s">
        <v>574</v>
      </c>
      <c r="D45" s="107"/>
      <c r="E45" s="467" t="s">
        <v>204</v>
      </c>
      <c r="F45" s="138">
        <v>3.5999999999999996</v>
      </c>
      <c r="G45" s="139" t="s">
        <v>60</v>
      </c>
      <c r="H45" s="106"/>
      <c r="I45" s="168"/>
      <c r="J45" s="107"/>
      <c r="K45" s="282"/>
      <c r="L45" s="282"/>
      <c r="M45" s="363"/>
      <c r="N45" s="363"/>
      <c r="O45" s="145">
        <v>0.0</v>
      </c>
      <c r="P45" s="145">
        <v>1.0</v>
      </c>
      <c r="Q45" s="145">
        <v>1.0</v>
      </c>
      <c r="R45" s="100"/>
      <c r="S45" s="100"/>
      <c r="T45" s="100"/>
      <c r="U45" s="156"/>
      <c r="V45" s="100"/>
    </row>
    <row r="46">
      <c r="A46" s="118"/>
      <c r="B46" s="176"/>
      <c r="C46" s="118"/>
      <c r="D46" s="118"/>
      <c r="E46" s="118"/>
      <c r="F46" s="177"/>
      <c r="G46" s="177"/>
      <c r="H46" s="118"/>
      <c r="I46" s="118"/>
      <c r="J46" s="118"/>
      <c r="K46" s="118"/>
      <c r="L46" s="118"/>
      <c r="M46" s="118"/>
      <c r="N46" s="118"/>
      <c r="O46" s="118"/>
      <c r="P46" s="118"/>
      <c r="Q46" s="118"/>
      <c r="R46" s="118"/>
      <c r="S46" s="118"/>
      <c r="T46" s="118"/>
      <c r="U46" s="118"/>
      <c r="V46" s="118"/>
    </row>
    <row r="47">
      <c r="A47" s="178" t="s">
        <v>133</v>
      </c>
      <c r="B47" s="104"/>
      <c r="C47" s="179"/>
      <c r="D47" s="179"/>
      <c r="E47" s="179"/>
      <c r="F47" s="180"/>
      <c r="G47" s="179"/>
      <c r="H47" s="180"/>
      <c r="I47" s="180"/>
      <c r="J47" s="181"/>
      <c r="K47" s="180"/>
      <c r="L47" s="180"/>
      <c r="M47" s="180"/>
      <c r="N47" s="180"/>
      <c r="O47" s="180"/>
      <c r="P47" s="180"/>
      <c r="Q47" s="180"/>
      <c r="R47" s="180"/>
      <c r="S47" s="180"/>
      <c r="T47" s="180"/>
      <c r="U47" s="180"/>
      <c r="V47" s="180"/>
    </row>
    <row r="48" outlineLevel="1">
      <c r="A48" s="106"/>
      <c r="B48" s="107"/>
      <c r="C48" s="182" t="s">
        <v>48</v>
      </c>
      <c r="D48" s="183" t="s">
        <v>49</v>
      </c>
      <c r="E48" s="182" t="s">
        <v>50</v>
      </c>
      <c r="F48" s="184" t="s">
        <v>51</v>
      </c>
      <c r="G48" s="184" t="s">
        <v>134</v>
      </c>
      <c r="H48" s="185" t="s">
        <v>52</v>
      </c>
      <c r="I48" s="184" t="str">
        <f>'テンプレート'!I56</f>
        <v>着地隙</v>
      </c>
      <c r="J48" s="184" t="s">
        <v>136</v>
      </c>
      <c r="K48" s="184" t="str">
        <f>'テンプレート'!K56</f>
        <v>ベクトル</v>
      </c>
      <c r="L48" s="184" t="str">
        <f>'テンプレート'!L56</f>
        <v>KBG (R.E.)</v>
      </c>
      <c r="M48" s="184" t="str">
        <f>'テンプレート'!M56</f>
        <v>BKB (R.A.)</v>
      </c>
      <c r="N48" s="184" t="str">
        <f>'テンプレート'!N56</f>
        <v>FKB (R.F.)</v>
      </c>
      <c r="O48" s="186" t="str">
        <f>'テンプレート'!O56</f>
        <v>盾削り値</v>
      </c>
      <c r="P48" s="184" t="str">
        <f>'テンプレート'!P56</f>
        <v>ﾋｯﾄｽﾄｯﾌﾟ</v>
      </c>
      <c r="Q48" s="186" t="str">
        <f>'テンプレート'!Q56</f>
        <v>ずらし</v>
      </c>
      <c r="R48" s="187" t="str">
        <f>'テンプレート'!R56</f>
        <v>備考</v>
      </c>
      <c r="S48" s="110"/>
      <c r="T48" s="110"/>
      <c r="U48" s="110"/>
      <c r="V48" s="110"/>
    </row>
    <row r="49" outlineLevel="1">
      <c r="A49" s="188" t="s">
        <v>144</v>
      </c>
      <c r="B49" s="373"/>
      <c r="C49" s="239" t="s">
        <v>3247</v>
      </c>
      <c r="D49" s="374" t="s">
        <v>193</v>
      </c>
      <c r="E49" s="401" t="s">
        <v>274</v>
      </c>
      <c r="F49" s="193">
        <v>10.799999999999999</v>
      </c>
      <c r="G49" s="193">
        <v>9.18</v>
      </c>
      <c r="H49" s="138" t="s">
        <v>147</v>
      </c>
      <c r="I49" s="194" t="str">
        <f t="array" ref="I49">INDEX('空中攻撃'!$O$3:$AA$109, MATCH($A$1,'空中攻撃'!$A$3:$A$109,0), MATCH(A49,'空中攻撃'!$O$2:$S$2,0))</f>
        <v>8</v>
      </c>
      <c r="J49" s="195" t="s">
        <v>3248</v>
      </c>
      <c r="K49" s="376"/>
      <c r="L49" s="377"/>
      <c r="M49" s="825"/>
      <c r="N49" s="825"/>
      <c r="O49" s="199">
        <v>0.0</v>
      </c>
      <c r="P49" s="199">
        <v>1.0</v>
      </c>
      <c r="Q49" s="199">
        <v>1.0</v>
      </c>
      <c r="R49" s="456"/>
      <c r="S49" s="164"/>
      <c r="T49" s="164"/>
      <c r="U49" s="164"/>
      <c r="V49" s="104"/>
    </row>
    <row r="50" outlineLevel="1">
      <c r="A50" s="156"/>
      <c r="B50" s="373" t="s">
        <v>84</v>
      </c>
      <c r="C50" s="239" t="s">
        <v>3249</v>
      </c>
      <c r="D50" s="107"/>
      <c r="E50" s="239" t="s">
        <v>150</v>
      </c>
      <c r="F50" s="193">
        <v>6.0</v>
      </c>
      <c r="G50" s="193">
        <v>5.1</v>
      </c>
      <c r="H50" s="138" t="s">
        <v>60</v>
      </c>
      <c r="I50" s="156"/>
      <c r="J50" s="107"/>
      <c r="K50" s="376"/>
      <c r="L50" s="377"/>
      <c r="M50" s="825"/>
      <c r="N50" s="825"/>
      <c r="O50" s="199">
        <v>0.0</v>
      </c>
      <c r="P50" s="199">
        <v>1.0</v>
      </c>
      <c r="Q50" s="199">
        <v>1.0</v>
      </c>
      <c r="R50" s="106"/>
      <c r="S50" s="168"/>
      <c r="T50" s="168"/>
      <c r="U50" s="168"/>
      <c r="V50" s="107"/>
    </row>
    <row r="51" outlineLevel="1">
      <c r="A51" s="188" t="s">
        <v>151</v>
      </c>
      <c r="B51" s="373"/>
      <c r="C51" s="239" t="s">
        <v>627</v>
      </c>
      <c r="D51" s="374">
        <v>39.0</v>
      </c>
      <c r="E51" s="239" t="s">
        <v>93</v>
      </c>
      <c r="F51" s="193">
        <v>8.4</v>
      </c>
      <c r="G51" s="193">
        <v>7.140000000000001</v>
      </c>
      <c r="H51" s="138" t="s">
        <v>60</v>
      </c>
      <c r="I51" s="194" t="str">
        <f t="array" ref="I51">INDEX('空中攻撃'!$O$3:$AA$109, MATCH($A$1,'空中攻撃'!$A$3:$A$109,0), MATCH(A51,'空中攻撃'!$O$2:$S$2,0))</f>
        <v>14</v>
      </c>
      <c r="J51" s="195" t="s">
        <v>3250</v>
      </c>
      <c r="K51" s="376"/>
      <c r="L51" s="377"/>
      <c r="M51" s="825"/>
      <c r="N51" s="825"/>
      <c r="O51" s="199">
        <v>0.0</v>
      </c>
      <c r="P51" s="199">
        <v>1.0</v>
      </c>
      <c r="Q51" s="199">
        <v>1.0</v>
      </c>
      <c r="R51" s="163" t="s">
        <v>3251</v>
      </c>
      <c r="S51" s="164"/>
      <c r="T51" s="164"/>
      <c r="U51" s="164"/>
      <c r="V51" s="104"/>
    </row>
    <row r="52" outlineLevel="1">
      <c r="A52" s="146"/>
      <c r="B52" s="373" t="s">
        <v>187</v>
      </c>
      <c r="C52" s="239" t="s">
        <v>1691</v>
      </c>
      <c r="D52" s="210"/>
      <c r="E52" s="239" t="s">
        <v>73</v>
      </c>
      <c r="F52" s="193">
        <v>4.8</v>
      </c>
      <c r="G52" s="193">
        <v>4.08</v>
      </c>
      <c r="H52" s="138" t="s">
        <v>60</v>
      </c>
      <c r="I52" s="146"/>
      <c r="J52" s="210"/>
      <c r="K52" s="376"/>
      <c r="L52" s="377"/>
      <c r="M52" s="825"/>
      <c r="N52" s="825"/>
      <c r="O52" s="199">
        <v>0.0</v>
      </c>
      <c r="P52" s="199">
        <v>1.0</v>
      </c>
      <c r="Q52" s="199">
        <v>1.0</v>
      </c>
      <c r="R52" s="212"/>
      <c r="V52" s="210"/>
    </row>
    <row r="53" outlineLevel="1">
      <c r="A53" s="156"/>
      <c r="B53" s="373" t="s">
        <v>189</v>
      </c>
      <c r="C53" s="239" t="s">
        <v>2695</v>
      </c>
      <c r="D53" s="107"/>
      <c r="E53" s="239" t="s">
        <v>535</v>
      </c>
      <c r="F53" s="193">
        <v>3.0</v>
      </c>
      <c r="G53" s="193">
        <v>2.55</v>
      </c>
      <c r="H53" s="138" t="s">
        <v>170</v>
      </c>
      <c r="I53" s="156"/>
      <c r="J53" s="107"/>
      <c r="K53" s="376"/>
      <c r="L53" s="377"/>
      <c r="M53" s="825"/>
      <c r="N53" s="825"/>
      <c r="O53" s="199">
        <v>0.0</v>
      </c>
      <c r="P53" s="199">
        <v>1.0</v>
      </c>
      <c r="Q53" s="199">
        <v>1.0</v>
      </c>
      <c r="R53" s="106"/>
      <c r="S53" s="168"/>
      <c r="T53" s="168"/>
      <c r="U53" s="168"/>
      <c r="V53" s="107"/>
    </row>
    <row r="54" outlineLevel="1">
      <c r="A54" s="188" t="s">
        <v>157</v>
      </c>
      <c r="B54" s="373"/>
      <c r="C54" s="239" t="s">
        <v>721</v>
      </c>
      <c r="D54" s="374">
        <v>35.0</v>
      </c>
      <c r="E54" s="239" t="s">
        <v>274</v>
      </c>
      <c r="F54" s="193">
        <v>10.799999999999999</v>
      </c>
      <c r="G54" s="193">
        <v>9.18</v>
      </c>
      <c r="H54" s="138" t="s">
        <v>147</v>
      </c>
      <c r="I54" s="194">
        <f t="array" ref="I54">INDEX('空中攻撃'!$O$3:$AA$109, MATCH($A$1,'空中攻撃'!$A$3:$A$109,0), MATCH(A54,'空中攻撃'!$O$2:$S$2,0))</f>
        <v>14</v>
      </c>
      <c r="J54" s="195" t="s">
        <v>3250</v>
      </c>
      <c r="K54" s="376"/>
      <c r="L54" s="377"/>
      <c r="M54" s="825"/>
      <c r="N54" s="825"/>
      <c r="O54" s="199">
        <v>0.0</v>
      </c>
      <c r="P54" s="199">
        <v>1.0</v>
      </c>
      <c r="Q54" s="199">
        <v>1.0</v>
      </c>
      <c r="R54" s="163" t="s">
        <v>3251</v>
      </c>
      <c r="S54" s="164"/>
      <c r="T54" s="164"/>
      <c r="U54" s="164"/>
      <c r="V54" s="104"/>
    </row>
    <row r="55" outlineLevel="1">
      <c r="A55" s="146"/>
      <c r="B55" s="373" t="s">
        <v>187</v>
      </c>
      <c r="C55" s="239" t="s">
        <v>3209</v>
      </c>
      <c r="D55" s="210"/>
      <c r="E55" s="239" t="s">
        <v>150</v>
      </c>
      <c r="F55" s="193">
        <v>6.0</v>
      </c>
      <c r="G55" s="193">
        <v>5.1</v>
      </c>
      <c r="H55" s="138" t="s">
        <v>60</v>
      </c>
      <c r="I55" s="146"/>
      <c r="J55" s="210"/>
      <c r="K55" s="376"/>
      <c r="L55" s="377"/>
      <c r="M55" s="825"/>
      <c r="N55" s="825"/>
      <c r="O55" s="199">
        <v>0.0</v>
      </c>
      <c r="P55" s="199">
        <v>1.0</v>
      </c>
      <c r="Q55" s="199">
        <v>1.0</v>
      </c>
      <c r="R55" s="212"/>
      <c r="V55" s="210"/>
    </row>
    <row r="56" outlineLevel="1">
      <c r="A56" s="156"/>
      <c r="B56" s="373" t="s">
        <v>189</v>
      </c>
      <c r="C56" s="239" t="s">
        <v>3115</v>
      </c>
      <c r="D56" s="107"/>
      <c r="E56" s="239" t="s">
        <v>204</v>
      </c>
      <c r="F56" s="193">
        <v>3.5999999999999996</v>
      </c>
      <c r="G56" s="193">
        <v>3.06</v>
      </c>
      <c r="H56" s="138" t="s">
        <v>170</v>
      </c>
      <c r="I56" s="156"/>
      <c r="J56" s="107"/>
      <c r="K56" s="376"/>
      <c r="L56" s="377"/>
      <c r="M56" s="825"/>
      <c r="N56" s="825"/>
      <c r="O56" s="199">
        <v>0.0</v>
      </c>
      <c r="P56" s="199">
        <v>1.0</v>
      </c>
      <c r="Q56" s="199">
        <v>1.0</v>
      </c>
      <c r="R56" s="106"/>
      <c r="S56" s="168"/>
      <c r="T56" s="168"/>
      <c r="U56" s="168"/>
      <c r="V56" s="107"/>
    </row>
    <row r="57" outlineLevel="1">
      <c r="A57" s="188" t="s">
        <v>162</v>
      </c>
      <c r="B57" s="373" t="s">
        <v>3252</v>
      </c>
      <c r="C57" s="367" t="s">
        <v>217</v>
      </c>
      <c r="D57" s="374" t="s">
        <v>221</v>
      </c>
      <c r="E57" s="239" t="s">
        <v>80</v>
      </c>
      <c r="F57" s="193">
        <v>9.6</v>
      </c>
      <c r="G57" s="193">
        <v>8.16</v>
      </c>
      <c r="H57" s="138" t="s">
        <v>147</v>
      </c>
      <c r="I57" s="194" t="str">
        <f t="array" ref="I57">INDEX('空中攻撃'!$O$3:$AA$109, MATCH($A$1,'空中攻撃'!$A$3:$A$109,0), MATCH(A57,'空中攻撃'!$O$2:$S$2,0))</f>
        <v>12</v>
      </c>
      <c r="J57" s="195" t="s">
        <v>3253</v>
      </c>
      <c r="K57" s="377"/>
      <c r="L57" s="377"/>
      <c r="M57" s="825"/>
      <c r="N57" s="825"/>
      <c r="O57" s="199">
        <v>0.0</v>
      </c>
      <c r="P57" s="199">
        <v>1.0</v>
      </c>
      <c r="Q57" s="199">
        <v>1.0</v>
      </c>
      <c r="R57" s="163" t="s">
        <v>3254</v>
      </c>
      <c r="S57" s="164"/>
      <c r="T57" s="164"/>
      <c r="U57" s="164"/>
      <c r="V57" s="104"/>
    </row>
    <row r="58" outlineLevel="1">
      <c r="A58" s="146"/>
      <c r="B58" s="373" t="s">
        <v>3255</v>
      </c>
      <c r="C58" s="146"/>
      <c r="D58" s="210"/>
      <c r="E58" s="239" t="s">
        <v>128</v>
      </c>
      <c r="F58" s="193">
        <v>12.0</v>
      </c>
      <c r="G58" s="193">
        <v>10.2</v>
      </c>
      <c r="H58" s="138" t="s">
        <v>147</v>
      </c>
      <c r="I58" s="146"/>
      <c r="J58" s="210"/>
      <c r="K58" s="377"/>
      <c r="L58" s="377"/>
      <c r="M58" s="825"/>
      <c r="N58" s="825"/>
      <c r="O58" s="199"/>
      <c r="P58" s="199"/>
      <c r="Q58" s="199"/>
      <c r="R58" s="212"/>
      <c r="V58" s="210"/>
    </row>
    <row r="59" outlineLevel="1">
      <c r="A59" s="146"/>
      <c r="B59" s="373" t="s">
        <v>3256</v>
      </c>
      <c r="C59" s="156"/>
      <c r="D59" s="210"/>
      <c r="E59" s="239" t="s">
        <v>228</v>
      </c>
      <c r="F59" s="193">
        <v>15.6</v>
      </c>
      <c r="G59" s="193">
        <v>13.26</v>
      </c>
      <c r="H59" s="138" t="s">
        <v>75</v>
      </c>
      <c r="I59" s="146"/>
      <c r="J59" s="210"/>
      <c r="K59" s="377"/>
      <c r="L59" s="377"/>
      <c r="M59" s="825"/>
      <c r="N59" s="825"/>
      <c r="O59" s="199"/>
      <c r="P59" s="199"/>
      <c r="Q59" s="199"/>
      <c r="R59" s="212"/>
      <c r="V59" s="210"/>
    </row>
    <row r="60" outlineLevel="1">
      <c r="A60" s="146"/>
      <c r="B60" s="373" t="s">
        <v>3257</v>
      </c>
      <c r="C60" s="367" t="s">
        <v>3258</v>
      </c>
      <c r="D60" s="210"/>
      <c r="E60" s="239" t="s">
        <v>73</v>
      </c>
      <c r="F60" s="193">
        <v>4.8</v>
      </c>
      <c r="G60" s="193">
        <v>4.08</v>
      </c>
      <c r="H60" s="138" t="s">
        <v>60</v>
      </c>
      <c r="I60" s="146"/>
      <c r="J60" s="210"/>
      <c r="K60" s="377"/>
      <c r="L60" s="377"/>
      <c r="M60" s="825"/>
      <c r="N60" s="825"/>
      <c r="O60" s="199"/>
      <c r="P60" s="199"/>
      <c r="Q60" s="199"/>
      <c r="R60" s="212"/>
      <c r="V60" s="210"/>
    </row>
    <row r="61" outlineLevel="1">
      <c r="A61" s="146"/>
      <c r="B61" s="373" t="s">
        <v>3259</v>
      </c>
      <c r="C61" s="146"/>
      <c r="D61" s="210"/>
      <c r="E61" s="239" t="s">
        <v>150</v>
      </c>
      <c r="F61" s="193">
        <v>6.0</v>
      </c>
      <c r="G61" s="193">
        <v>5.1</v>
      </c>
      <c r="H61" s="138" t="s">
        <v>60</v>
      </c>
      <c r="I61" s="146"/>
      <c r="J61" s="210"/>
      <c r="K61" s="377"/>
      <c r="L61" s="377"/>
      <c r="M61" s="825"/>
      <c r="N61" s="825"/>
      <c r="O61" s="199"/>
      <c r="P61" s="199"/>
      <c r="Q61" s="199"/>
      <c r="R61" s="212"/>
      <c r="V61" s="210"/>
    </row>
    <row r="62" outlineLevel="1">
      <c r="A62" s="156"/>
      <c r="B62" s="373" t="s">
        <v>3260</v>
      </c>
      <c r="C62" s="156"/>
      <c r="D62" s="107"/>
      <c r="E62" s="239" t="s">
        <v>86</v>
      </c>
      <c r="F62" s="193">
        <v>7.199999999999999</v>
      </c>
      <c r="G62" s="193">
        <v>6.12</v>
      </c>
      <c r="H62" s="138" t="s">
        <v>60</v>
      </c>
      <c r="I62" s="156"/>
      <c r="J62" s="107"/>
      <c r="K62" s="377"/>
      <c r="L62" s="377"/>
      <c r="M62" s="825"/>
      <c r="N62" s="825"/>
      <c r="O62" s="199"/>
      <c r="P62" s="199"/>
      <c r="Q62" s="199"/>
      <c r="R62" s="106"/>
      <c r="S62" s="168"/>
      <c r="T62" s="168"/>
      <c r="U62" s="168"/>
      <c r="V62" s="107"/>
    </row>
    <row r="63" outlineLevel="1">
      <c r="A63" s="188" t="s">
        <v>166</v>
      </c>
      <c r="B63" s="373" t="s">
        <v>3252</v>
      </c>
      <c r="C63" s="901" t="s">
        <v>299</v>
      </c>
      <c r="D63" s="379" t="s">
        <v>221</v>
      </c>
      <c r="E63" s="239" t="s">
        <v>80</v>
      </c>
      <c r="F63" s="193">
        <v>9.6</v>
      </c>
      <c r="G63" s="193">
        <v>8.16</v>
      </c>
      <c r="H63" s="138" t="s">
        <v>147</v>
      </c>
      <c r="I63" s="194">
        <f t="array" ref="I63">INDEX('空中攻撃'!$O$3:$AA$109, MATCH($A$1,'空中攻撃'!$A$3:$A$109,0), MATCH(A63,'空中攻撃'!$O$2:$S$2,0))</f>
        <v>12</v>
      </c>
      <c r="J63" s="379" t="s">
        <v>3261</v>
      </c>
      <c r="K63" s="377"/>
      <c r="L63" s="377"/>
      <c r="M63" s="825"/>
      <c r="N63" s="825"/>
      <c r="O63" s="199">
        <v>0.0</v>
      </c>
      <c r="P63" s="199">
        <v>1.0</v>
      </c>
      <c r="Q63" s="199">
        <v>1.0</v>
      </c>
      <c r="R63" s="163" t="s">
        <v>3254</v>
      </c>
      <c r="S63" s="164"/>
      <c r="T63" s="164"/>
      <c r="U63" s="164"/>
      <c r="V63" s="104"/>
    </row>
    <row r="64" outlineLevel="1">
      <c r="A64" s="146"/>
      <c r="B64" s="373" t="s">
        <v>3255</v>
      </c>
      <c r="C64" s="146"/>
      <c r="D64" s="210"/>
      <c r="E64" s="239" t="s">
        <v>128</v>
      </c>
      <c r="F64" s="193">
        <v>12.0</v>
      </c>
      <c r="G64" s="193">
        <v>10.2</v>
      </c>
      <c r="H64" s="138" t="s">
        <v>147</v>
      </c>
      <c r="I64" s="146"/>
      <c r="J64" s="210"/>
      <c r="K64" s="377"/>
      <c r="L64" s="377"/>
      <c r="M64" s="825"/>
      <c r="N64" s="825"/>
      <c r="O64" s="199"/>
      <c r="P64" s="199"/>
      <c r="Q64" s="199"/>
      <c r="R64" s="212"/>
      <c r="V64" s="210"/>
    </row>
    <row r="65" outlineLevel="1">
      <c r="A65" s="146"/>
      <c r="B65" s="373" t="s">
        <v>3256</v>
      </c>
      <c r="C65" s="156"/>
      <c r="D65" s="210"/>
      <c r="E65" s="239" t="s">
        <v>228</v>
      </c>
      <c r="F65" s="193">
        <v>15.6</v>
      </c>
      <c r="G65" s="193">
        <v>13.26</v>
      </c>
      <c r="H65" s="138" t="s">
        <v>75</v>
      </c>
      <c r="I65" s="146"/>
      <c r="J65" s="210"/>
      <c r="K65" s="377"/>
      <c r="L65" s="377"/>
      <c r="M65" s="825"/>
      <c r="N65" s="825"/>
      <c r="O65" s="199"/>
      <c r="P65" s="199"/>
      <c r="Q65" s="199"/>
      <c r="R65" s="212"/>
      <c r="V65" s="210"/>
    </row>
    <row r="66" outlineLevel="1">
      <c r="A66" s="146"/>
      <c r="B66" s="373" t="s">
        <v>3257</v>
      </c>
      <c r="C66" s="901" t="s">
        <v>3262</v>
      </c>
      <c r="D66" s="210"/>
      <c r="E66" s="239" t="s">
        <v>73</v>
      </c>
      <c r="F66" s="193">
        <v>4.8</v>
      </c>
      <c r="G66" s="193">
        <v>4.08</v>
      </c>
      <c r="H66" s="138" t="s">
        <v>60</v>
      </c>
      <c r="I66" s="146"/>
      <c r="J66" s="210"/>
      <c r="K66" s="377"/>
      <c r="L66" s="377"/>
      <c r="M66" s="825"/>
      <c r="N66" s="825"/>
      <c r="O66" s="199"/>
      <c r="P66" s="199"/>
      <c r="Q66" s="199"/>
      <c r="R66" s="212"/>
      <c r="V66" s="210"/>
    </row>
    <row r="67" outlineLevel="1">
      <c r="A67" s="146"/>
      <c r="B67" s="373" t="s">
        <v>3259</v>
      </c>
      <c r="C67" s="146"/>
      <c r="D67" s="210"/>
      <c r="E67" s="239" t="s">
        <v>150</v>
      </c>
      <c r="F67" s="193">
        <v>6.0</v>
      </c>
      <c r="G67" s="193">
        <v>5.1</v>
      </c>
      <c r="H67" s="138" t="s">
        <v>60</v>
      </c>
      <c r="I67" s="146"/>
      <c r="J67" s="210"/>
      <c r="K67" s="377"/>
      <c r="L67" s="377"/>
      <c r="M67" s="825"/>
      <c r="N67" s="825"/>
      <c r="O67" s="199"/>
      <c r="P67" s="199"/>
      <c r="Q67" s="199"/>
      <c r="R67" s="212"/>
      <c r="V67" s="210"/>
    </row>
    <row r="68" outlineLevel="1">
      <c r="A68" s="156"/>
      <c r="B68" s="373" t="s">
        <v>3260</v>
      </c>
      <c r="C68" s="156"/>
      <c r="D68" s="107"/>
      <c r="E68" s="239" t="s">
        <v>86</v>
      </c>
      <c r="F68" s="193">
        <v>7.199999999999999</v>
      </c>
      <c r="G68" s="193">
        <v>6.12</v>
      </c>
      <c r="H68" s="138" t="s">
        <v>60</v>
      </c>
      <c r="I68" s="156"/>
      <c r="J68" s="107"/>
      <c r="K68" s="377"/>
      <c r="L68" s="377"/>
      <c r="M68" s="825"/>
      <c r="N68" s="825"/>
      <c r="O68" s="199"/>
      <c r="P68" s="199"/>
      <c r="Q68" s="199"/>
      <c r="R68" s="106"/>
      <c r="S68" s="168"/>
      <c r="T68" s="168"/>
      <c r="U68" s="168"/>
      <c r="V68" s="107"/>
    </row>
    <row r="69">
      <c r="A69" s="223"/>
      <c r="B69" s="224"/>
      <c r="C69" s="225"/>
      <c r="D69" s="225"/>
      <c r="E69" s="226"/>
      <c r="F69" s="226"/>
      <c r="G69" s="226"/>
      <c r="H69" s="227"/>
      <c r="I69" s="227"/>
      <c r="J69" s="228"/>
      <c r="K69" s="228"/>
      <c r="L69" s="228"/>
      <c r="M69" s="228"/>
      <c r="N69" s="228"/>
      <c r="O69" s="228"/>
      <c r="P69" s="228"/>
      <c r="Q69" s="118"/>
      <c r="R69" s="118"/>
      <c r="S69" s="118"/>
      <c r="T69" s="118"/>
      <c r="U69" s="118"/>
      <c r="V69" s="118"/>
    </row>
    <row r="70">
      <c r="A70" s="229" t="str">
        <f>'テンプレート'!A71</f>
        <v>必殺ワザ</v>
      </c>
      <c r="B70" s="109"/>
      <c r="C70" s="225"/>
      <c r="D70" s="225"/>
      <c r="E70" s="226"/>
      <c r="F70" s="226"/>
      <c r="G70" s="226"/>
      <c r="H70" s="227"/>
      <c r="I70" s="227"/>
      <c r="J70" s="228"/>
      <c r="K70" s="228"/>
      <c r="L70" s="228"/>
      <c r="M70" s="228"/>
      <c r="N70" s="228"/>
      <c r="O70" s="228"/>
      <c r="P70" s="228"/>
      <c r="Q70" s="118"/>
      <c r="R70" s="118"/>
      <c r="S70" s="118"/>
      <c r="T70" s="118"/>
      <c r="U70" s="118"/>
      <c r="V70" s="118"/>
    </row>
    <row r="71" outlineLevel="1">
      <c r="A71" s="230" t="str">
        <f>"NB ("&amp;VLOOKUP($A$1,Fighters!$A$2:$AI$81,15,FALSE)&amp;")"</f>
        <v>NB (しまう / とり出す)</v>
      </c>
      <c r="B71" s="109"/>
      <c r="C71" s="231" t="str">
        <f>'テンプレート'!C72</f>
        <v>判定持続</v>
      </c>
      <c r="D71" s="231" t="str">
        <f>'テンプレート'!D72</f>
        <v>全体フレーム</v>
      </c>
      <c r="E71" s="232" t="str">
        <f>'テンプレート'!E72</f>
        <v>基礎ダメージ</v>
      </c>
      <c r="F71" s="233" t="str">
        <f>'テンプレート'!F72</f>
        <v>ダメージ (1v1)</v>
      </c>
      <c r="G71" s="232" t="str">
        <f>'テンプレート'!G72</f>
        <v>ガード硬直</v>
      </c>
      <c r="H71" s="382" t="str">
        <f>'テンプレート'!H72</f>
        <v>備考</v>
      </c>
      <c r="I71" s="110"/>
      <c r="J71" s="109"/>
      <c r="K71" s="235" t="str">
        <f>'テンプレート'!K72</f>
        <v>ベクトル</v>
      </c>
      <c r="L71" s="235" t="str">
        <f>'テンプレート'!L72</f>
        <v>KBG (R.E.)</v>
      </c>
      <c r="M71" s="235" t="str">
        <f>'テンプレート'!M72</f>
        <v>BKB (R.A.)</v>
      </c>
      <c r="N71" s="235" t="str">
        <f>'テンプレート'!N72</f>
        <v>FKB (R.F.)</v>
      </c>
      <c r="O71" s="236" t="str">
        <f>'テンプレート'!O72</f>
        <v>盾削り値</v>
      </c>
      <c r="P71" s="235" t="str">
        <f>'テンプレート'!P72</f>
        <v>ﾋｯﾄｽﾄｯﾌﾟ</v>
      </c>
      <c r="Q71" s="236" t="str">
        <f>'テンプレート'!Q72</f>
        <v>ずらし</v>
      </c>
      <c r="R71" s="235" t="str">
        <f>'テンプレート'!R72</f>
        <v>相殺</v>
      </c>
      <c r="S71" s="236" t="str">
        <f>'テンプレート'!S72</f>
        <v>相殺ﾓｰｼｮﾝ</v>
      </c>
      <c r="T71" s="236" t="str">
        <f>'テンプレート'!T72</f>
        <v>飛び道具</v>
      </c>
      <c r="U71" s="236" t="str">
        <f>'テンプレート'!U72</f>
        <v>慣性反転</v>
      </c>
      <c r="V71" s="236" t="str">
        <f>'テンプレート'!V72</f>
        <v>向き反転</v>
      </c>
    </row>
    <row r="72" outlineLevel="1">
      <c r="A72" s="237" t="s">
        <v>184</v>
      </c>
      <c r="B72" s="243" t="s">
        <v>3263</v>
      </c>
      <c r="C72" s="239" t="s">
        <v>3264</v>
      </c>
      <c r="D72" s="239" t="s">
        <v>413</v>
      </c>
      <c r="E72" s="409"/>
      <c r="F72" s="409"/>
      <c r="G72" s="409"/>
      <c r="H72" s="151" t="s">
        <v>3265</v>
      </c>
      <c r="I72" s="110"/>
      <c r="J72" s="109"/>
      <c r="K72" s="281"/>
      <c r="L72" s="281"/>
      <c r="M72" s="281"/>
      <c r="N72" s="281"/>
      <c r="O72" s="281"/>
      <c r="P72" s="281"/>
      <c r="Q72" s="281"/>
      <c r="R72" s="281"/>
      <c r="S72" s="281"/>
      <c r="T72" s="281"/>
      <c r="U72" s="166" t="s">
        <v>186</v>
      </c>
      <c r="V72" s="166" t="b">
        <v>1</v>
      </c>
    </row>
    <row r="73" outlineLevel="1">
      <c r="A73" s="146"/>
      <c r="B73" s="663" t="s">
        <v>3266</v>
      </c>
      <c r="C73" s="239" t="s">
        <v>3267</v>
      </c>
      <c r="D73" s="239" t="s">
        <v>173</v>
      </c>
      <c r="E73" s="409"/>
      <c r="F73" s="409"/>
      <c r="G73" s="409"/>
      <c r="H73" s="151" t="s">
        <v>3268</v>
      </c>
      <c r="I73" s="110"/>
      <c r="J73" s="109"/>
      <c r="K73" s="281"/>
      <c r="L73" s="281"/>
      <c r="M73" s="281"/>
      <c r="N73" s="281"/>
      <c r="O73" s="281"/>
      <c r="P73" s="281"/>
      <c r="Q73" s="281"/>
      <c r="R73" s="281"/>
      <c r="S73" s="281"/>
      <c r="T73" s="281"/>
      <c r="U73" s="146"/>
      <c r="V73" s="146"/>
    </row>
    <row r="74" outlineLevel="1">
      <c r="A74" s="146"/>
      <c r="B74" s="663" t="s">
        <v>3269</v>
      </c>
      <c r="C74" s="239" t="s">
        <v>3267</v>
      </c>
      <c r="D74" s="239" t="s">
        <v>72</v>
      </c>
      <c r="E74" s="409"/>
      <c r="F74" s="409"/>
      <c r="G74" s="409"/>
      <c r="H74" s="2110" t="s">
        <v>3270</v>
      </c>
      <c r="I74" s="110"/>
      <c r="J74" s="109"/>
      <c r="K74" s="281"/>
      <c r="L74" s="281"/>
      <c r="M74" s="281"/>
      <c r="N74" s="281"/>
      <c r="O74" s="281"/>
      <c r="P74" s="281"/>
      <c r="Q74" s="281"/>
      <c r="R74" s="281"/>
      <c r="S74" s="281"/>
      <c r="T74" s="281"/>
      <c r="U74" s="146"/>
      <c r="V74" s="146"/>
    </row>
    <row r="75" outlineLevel="1">
      <c r="A75" s="146"/>
      <c r="B75" s="663" t="s">
        <v>3271</v>
      </c>
      <c r="C75" s="239" t="s">
        <v>3272</v>
      </c>
      <c r="D75" s="239" t="s">
        <v>99</v>
      </c>
      <c r="E75" s="409"/>
      <c r="F75" s="409"/>
      <c r="G75" s="409"/>
      <c r="H75" s="151" t="s">
        <v>3273</v>
      </c>
      <c r="I75" s="110"/>
      <c r="J75" s="109"/>
      <c r="K75" s="281"/>
      <c r="L75" s="281"/>
      <c r="M75" s="281"/>
      <c r="N75" s="281"/>
      <c r="O75" s="281"/>
      <c r="P75" s="281"/>
      <c r="Q75" s="281"/>
      <c r="R75" s="281"/>
      <c r="S75" s="281"/>
      <c r="T75" s="281"/>
      <c r="U75" s="146"/>
      <c r="V75" s="146"/>
    </row>
    <row r="76" outlineLevel="1">
      <c r="A76" s="146"/>
      <c r="B76" s="663" t="s">
        <v>3274</v>
      </c>
      <c r="C76" s="239" t="s">
        <v>2481</v>
      </c>
      <c r="D76" s="239" t="s">
        <v>164</v>
      </c>
      <c r="E76" s="409"/>
      <c r="F76" s="409"/>
      <c r="G76" s="409"/>
      <c r="H76" s="140" t="s">
        <v>3275</v>
      </c>
      <c r="I76" s="110"/>
      <c r="J76" s="109"/>
      <c r="K76" s="281"/>
      <c r="L76" s="281"/>
      <c r="M76" s="281"/>
      <c r="N76" s="281"/>
      <c r="O76" s="281"/>
      <c r="P76" s="281"/>
      <c r="Q76" s="281"/>
      <c r="R76" s="281"/>
      <c r="S76" s="281"/>
      <c r="T76" s="281"/>
      <c r="U76" s="146"/>
      <c r="V76" s="146"/>
    </row>
    <row r="77" outlineLevel="1">
      <c r="A77" s="146"/>
      <c r="B77" s="663" t="s">
        <v>3276</v>
      </c>
      <c r="C77" s="239" t="s">
        <v>3277</v>
      </c>
      <c r="D77" s="239" t="s">
        <v>3278</v>
      </c>
      <c r="E77" s="409"/>
      <c r="F77" s="409"/>
      <c r="G77" s="409"/>
      <c r="H77" s="140" t="s">
        <v>3279</v>
      </c>
      <c r="I77" s="110"/>
      <c r="J77" s="109"/>
      <c r="K77" s="281"/>
      <c r="L77" s="281"/>
      <c r="M77" s="281"/>
      <c r="N77" s="281"/>
      <c r="O77" s="281"/>
      <c r="P77" s="281"/>
      <c r="Q77" s="281"/>
      <c r="R77" s="281"/>
      <c r="S77" s="281"/>
      <c r="T77" s="281"/>
      <c r="U77" s="146"/>
      <c r="V77" s="146"/>
    </row>
    <row r="78" outlineLevel="1">
      <c r="A78" s="146"/>
      <c r="B78" s="663" t="s">
        <v>3280</v>
      </c>
      <c r="C78" s="239" t="s">
        <v>3281</v>
      </c>
      <c r="D78" s="239" t="s">
        <v>3278</v>
      </c>
      <c r="E78" s="409"/>
      <c r="F78" s="409"/>
      <c r="G78" s="409"/>
      <c r="H78" s="151" t="s">
        <v>3282</v>
      </c>
      <c r="I78" s="110"/>
      <c r="J78" s="109"/>
      <c r="K78" s="281"/>
      <c r="L78" s="281"/>
      <c r="M78" s="281"/>
      <c r="N78" s="281"/>
      <c r="O78" s="281"/>
      <c r="P78" s="281"/>
      <c r="Q78" s="281"/>
      <c r="R78" s="281"/>
      <c r="S78" s="281"/>
      <c r="T78" s="281"/>
      <c r="U78" s="156"/>
      <c r="V78" s="156"/>
    </row>
    <row r="79" outlineLevel="1">
      <c r="A79" s="230" t="s">
        <v>3283</v>
      </c>
      <c r="B79" s="109"/>
      <c r="C79" s="231" t="s">
        <v>48</v>
      </c>
      <c r="D79" s="231" t="s">
        <v>49</v>
      </c>
      <c r="E79" s="232" t="s">
        <v>50</v>
      </c>
      <c r="F79" s="233" t="s">
        <v>51</v>
      </c>
      <c r="G79" s="232" t="s">
        <v>52</v>
      </c>
      <c r="H79" s="382" t="s">
        <v>53</v>
      </c>
      <c r="I79" s="110"/>
      <c r="J79" s="109"/>
      <c r="K79" s="235" t="str">
        <f>'テンプレート'!K75</f>
        <v>ベクトル</v>
      </c>
      <c r="L79" s="235" t="str">
        <f>'テンプレート'!L75</f>
        <v>KBG (R.E.)</v>
      </c>
      <c r="M79" s="235" t="str">
        <f>'テンプレート'!M75</f>
        <v>BKB (R.A.)</v>
      </c>
      <c r="N79" s="235" t="str">
        <f>'テンプレート'!N75</f>
        <v>FKB (R.F.)</v>
      </c>
      <c r="O79" s="236" t="str">
        <f>'テンプレート'!O75</f>
        <v>盾削り値</v>
      </c>
      <c r="P79" s="235" t="str">
        <f>'テンプレート'!P75</f>
        <v>ﾋｯﾄｽﾄｯﾌﾟ</v>
      </c>
      <c r="Q79" s="236" t="str">
        <f>'テンプレート'!Q75</f>
        <v>ずらし</v>
      </c>
      <c r="R79" s="235" t="str">
        <f>'テンプレート'!R75</f>
        <v>相殺</v>
      </c>
      <c r="S79" s="236" t="str">
        <f>'テンプレート'!S75</f>
        <v>相殺ﾓｰｼｮﾝ</v>
      </c>
      <c r="T79" s="236" t="str">
        <f>'テンプレート'!T75</f>
        <v>飛び道具</v>
      </c>
      <c r="U79" s="236" t="str">
        <f>'テンプレート'!U75</f>
        <v>慣性反転</v>
      </c>
      <c r="V79" s="236" t="str">
        <f>'テンプレート'!V75</f>
        <v>向き反転</v>
      </c>
    </row>
    <row r="80" outlineLevel="1">
      <c r="A80" s="237" t="s">
        <v>184</v>
      </c>
      <c r="B80" s="243" t="s">
        <v>3284</v>
      </c>
      <c r="C80" s="239" t="s">
        <v>3285</v>
      </c>
      <c r="D80" s="367" t="s">
        <v>193</v>
      </c>
      <c r="E80" s="239" t="s">
        <v>93</v>
      </c>
      <c r="F80" s="138">
        <v>8.4</v>
      </c>
      <c r="G80" s="239" t="s">
        <v>60</v>
      </c>
      <c r="H80" s="283" t="s">
        <v>3286</v>
      </c>
      <c r="I80" s="164"/>
      <c r="J80" s="104"/>
      <c r="K80" s="282"/>
      <c r="L80" s="282"/>
      <c r="M80" s="363"/>
      <c r="N80" s="363"/>
      <c r="O80" s="138">
        <v>0.0</v>
      </c>
      <c r="P80" s="138">
        <v>1.0</v>
      </c>
      <c r="Q80" s="138">
        <v>1.0</v>
      </c>
      <c r="R80" s="145" t="b">
        <v>1</v>
      </c>
      <c r="S80" s="145" t="b">
        <v>0</v>
      </c>
      <c r="T80" s="145" t="b">
        <v>1</v>
      </c>
      <c r="U80" s="166" t="s">
        <v>3287</v>
      </c>
      <c r="V80" s="166" t="b">
        <v>1</v>
      </c>
    </row>
    <row r="81" outlineLevel="1">
      <c r="A81" s="146"/>
      <c r="B81" s="243" t="s">
        <v>3288</v>
      </c>
      <c r="C81" s="239" t="s">
        <v>3289</v>
      </c>
      <c r="D81" s="156"/>
      <c r="E81" s="139" t="s">
        <v>150</v>
      </c>
      <c r="F81" s="463">
        <v>6.0</v>
      </c>
      <c r="G81" s="239" t="s">
        <v>60</v>
      </c>
      <c r="H81" s="212"/>
      <c r="J81" s="210"/>
      <c r="K81" s="282"/>
      <c r="L81" s="282"/>
      <c r="M81" s="363"/>
      <c r="N81" s="363"/>
      <c r="O81" s="138"/>
      <c r="P81" s="138"/>
      <c r="Q81" s="138"/>
      <c r="R81" s="145" t="b">
        <v>0</v>
      </c>
      <c r="S81" s="145" t="b">
        <v>0</v>
      </c>
      <c r="T81" s="145" t="b">
        <v>1</v>
      </c>
      <c r="U81" s="146"/>
      <c r="V81" s="146"/>
    </row>
    <row r="82" outlineLevel="1">
      <c r="A82" s="146"/>
      <c r="B82" s="243" t="s">
        <v>1485</v>
      </c>
      <c r="C82" s="239" t="s">
        <v>3290</v>
      </c>
      <c r="D82" s="409"/>
      <c r="E82" s="139" t="s">
        <v>129</v>
      </c>
      <c r="F82" s="463">
        <v>14.4</v>
      </c>
      <c r="G82" s="239" t="s">
        <v>147</v>
      </c>
      <c r="H82" s="212"/>
      <c r="J82" s="210"/>
      <c r="K82" s="282"/>
      <c r="L82" s="282"/>
      <c r="M82" s="363"/>
      <c r="N82" s="363"/>
      <c r="O82" s="138"/>
      <c r="P82" s="138"/>
      <c r="Q82" s="138"/>
      <c r="R82" s="145" t="b">
        <v>0</v>
      </c>
      <c r="S82" s="145" t="b">
        <v>0</v>
      </c>
      <c r="T82" s="145" t="b">
        <v>1</v>
      </c>
      <c r="U82" s="146"/>
      <c r="V82" s="146"/>
    </row>
    <row r="83" outlineLevel="1">
      <c r="A83" s="146"/>
      <c r="B83" s="243" t="s">
        <v>3291</v>
      </c>
      <c r="C83" s="239" t="s">
        <v>3292</v>
      </c>
      <c r="D83" s="400"/>
      <c r="E83" s="239">
        <v>15.400000000000002</v>
      </c>
      <c r="F83" s="239">
        <v>18.480000000000004</v>
      </c>
      <c r="G83" s="239" t="s">
        <v>75</v>
      </c>
      <c r="H83" s="212"/>
      <c r="J83" s="210"/>
      <c r="K83" s="282"/>
      <c r="L83" s="282"/>
      <c r="M83" s="363"/>
      <c r="N83" s="363"/>
      <c r="O83" s="138"/>
      <c r="P83" s="138"/>
      <c r="Q83" s="138"/>
      <c r="R83" s="145" t="b">
        <v>0</v>
      </c>
      <c r="S83" s="145" t="b">
        <v>0</v>
      </c>
      <c r="T83" s="145" t="b">
        <v>0</v>
      </c>
      <c r="U83" s="146"/>
      <c r="V83" s="146"/>
    </row>
    <row r="84" outlineLevel="1">
      <c r="A84" s="146"/>
      <c r="B84" s="243" t="s">
        <v>3293</v>
      </c>
      <c r="C84" s="239" t="s">
        <v>3294</v>
      </c>
      <c r="D84" s="156"/>
      <c r="E84" s="239">
        <v>11.0</v>
      </c>
      <c r="F84" s="239">
        <v>13.200000000000001</v>
      </c>
      <c r="G84" s="239" t="s">
        <v>147</v>
      </c>
      <c r="H84" s="212"/>
      <c r="J84" s="210"/>
      <c r="K84" s="282"/>
      <c r="L84" s="282"/>
      <c r="M84" s="363"/>
      <c r="N84" s="363"/>
      <c r="O84" s="138"/>
      <c r="P84" s="138"/>
      <c r="Q84" s="138"/>
      <c r="R84" s="145" t="b">
        <v>0</v>
      </c>
      <c r="S84" s="145" t="b">
        <v>0</v>
      </c>
      <c r="T84" s="145" t="b">
        <v>0</v>
      </c>
      <c r="U84" s="146"/>
      <c r="V84" s="146"/>
    </row>
    <row r="85" outlineLevel="1">
      <c r="A85" s="146"/>
      <c r="B85" s="243" t="s">
        <v>3295</v>
      </c>
      <c r="C85" s="239" t="s">
        <v>3296</v>
      </c>
      <c r="D85" s="409"/>
      <c r="E85" s="139">
        <v>18.0</v>
      </c>
      <c r="F85" s="139">
        <v>21.6</v>
      </c>
      <c r="G85" s="239" t="s">
        <v>102</v>
      </c>
      <c r="H85" s="212"/>
      <c r="J85" s="210"/>
      <c r="K85" s="282"/>
      <c r="L85" s="282"/>
      <c r="M85" s="363"/>
      <c r="N85" s="363"/>
      <c r="O85" s="138"/>
      <c r="P85" s="138"/>
      <c r="Q85" s="138"/>
      <c r="R85" s="145" t="b">
        <v>0</v>
      </c>
      <c r="S85" s="145" t="b">
        <v>0</v>
      </c>
      <c r="T85" s="145" t="b">
        <v>0</v>
      </c>
      <c r="U85" s="146"/>
      <c r="V85" s="146"/>
    </row>
    <row r="86" outlineLevel="1">
      <c r="A86" s="146"/>
      <c r="B86" s="243" t="s">
        <v>3297</v>
      </c>
      <c r="C86" s="409"/>
      <c r="D86" s="239" t="s">
        <v>99</v>
      </c>
      <c r="E86" s="409"/>
      <c r="F86" s="409"/>
      <c r="G86" s="409"/>
      <c r="H86" s="106"/>
      <c r="I86" s="168"/>
      <c r="J86" s="107"/>
      <c r="K86" s="409"/>
      <c r="L86" s="409"/>
      <c r="M86" s="409"/>
      <c r="N86" s="409"/>
      <c r="O86" s="409"/>
      <c r="P86" s="409"/>
      <c r="Q86" s="409"/>
      <c r="R86" s="409"/>
      <c r="S86" s="409"/>
      <c r="T86" s="409"/>
      <c r="U86" s="156"/>
      <c r="V86" s="156"/>
    </row>
    <row r="87" outlineLevel="1">
      <c r="A87" s="230" t="s">
        <v>3298</v>
      </c>
      <c r="B87" s="109"/>
      <c r="C87" s="231" t="s">
        <v>48</v>
      </c>
      <c r="D87" s="231" t="s">
        <v>49</v>
      </c>
      <c r="E87" s="232" t="s">
        <v>50</v>
      </c>
      <c r="F87" s="233" t="s">
        <v>51</v>
      </c>
      <c r="G87" s="232" t="s">
        <v>52</v>
      </c>
      <c r="H87" s="382" t="s">
        <v>53</v>
      </c>
      <c r="I87" s="110"/>
      <c r="J87" s="109"/>
      <c r="K87" s="235" t="str">
        <f>'テンプレート'!K80</f>
        <v>ベクトル</v>
      </c>
      <c r="L87" s="235" t="str">
        <f>'テンプレート'!L80</f>
        <v>KBG (R.E.)</v>
      </c>
      <c r="M87" s="235" t="str">
        <f>'テンプレート'!M80</f>
        <v>BKB (R.A.)</v>
      </c>
      <c r="N87" s="235" t="str">
        <f>'テンプレート'!N80</f>
        <v>FKB (R.F.)</v>
      </c>
      <c r="O87" s="236" t="str">
        <f>'テンプレート'!O80</f>
        <v>盾削り値</v>
      </c>
      <c r="P87" s="235" t="str">
        <f>'テンプレート'!P80</f>
        <v>ﾋｯﾄｽﾄｯﾌﾟ</v>
      </c>
      <c r="Q87" s="236" t="str">
        <f>'テンプレート'!Q80</f>
        <v>ずらし</v>
      </c>
      <c r="R87" s="235" t="str">
        <f>'テンプレート'!R80</f>
        <v>相殺</v>
      </c>
      <c r="S87" s="236" t="str">
        <f>'テンプレート'!S80</f>
        <v>相殺ﾓｰｼｮﾝ</v>
      </c>
      <c r="T87" s="236" t="str">
        <f>'テンプレート'!T80</f>
        <v>飛び道具</v>
      </c>
      <c r="U87" s="236" t="str">
        <f>'テンプレート'!U80</f>
        <v>慣性反転</v>
      </c>
      <c r="V87" s="236" t="str">
        <f>'テンプレート'!V80</f>
        <v>向き反転</v>
      </c>
    </row>
    <row r="88" outlineLevel="1">
      <c r="A88" s="1202" t="s">
        <v>184</v>
      </c>
      <c r="B88" s="870"/>
      <c r="C88" s="409"/>
      <c r="D88" s="409"/>
      <c r="E88" s="409"/>
      <c r="F88" s="409"/>
      <c r="G88" s="409"/>
      <c r="H88" s="151" t="s">
        <v>3299</v>
      </c>
      <c r="I88" s="110"/>
      <c r="J88" s="109"/>
      <c r="K88" s="281"/>
      <c r="L88" s="281"/>
      <c r="M88" s="281"/>
      <c r="N88" s="281"/>
      <c r="O88" s="281"/>
      <c r="P88" s="281"/>
      <c r="Q88" s="281"/>
      <c r="R88" s="281"/>
      <c r="S88" s="281"/>
      <c r="T88" s="281"/>
      <c r="U88" s="145" t="s">
        <v>186</v>
      </c>
      <c r="V88" s="145" t="b">
        <v>1</v>
      </c>
    </row>
    <row r="89" outlineLevel="1">
      <c r="A89" s="230" t="s">
        <v>3300</v>
      </c>
      <c r="B89" s="109"/>
      <c r="C89" s="231" t="s">
        <v>48</v>
      </c>
      <c r="D89" s="231" t="s">
        <v>49</v>
      </c>
      <c r="E89" s="232" t="s">
        <v>50</v>
      </c>
      <c r="F89" s="233" t="s">
        <v>51</v>
      </c>
      <c r="G89" s="232" t="s">
        <v>52</v>
      </c>
      <c r="H89" s="382" t="s">
        <v>53</v>
      </c>
      <c r="I89" s="110"/>
      <c r="J89" s="109"/>
      <c r="K89" s="235" t="str">
        <f>'テンプレート'!K85</f>
        <v>ベクトル</v>
      </c>
      <c r="L89" s="235" t="str">
        <f>'テンプレート'!L85</f>
        <v>KBG (R.E.)</v>
      </c>
      <c r="M89" s="235" t="str">
        <f>'テンプレート'!M85</f>
        <v>BKB (R.A.)</v>
      </c>
      <c r="N89" s="235" t="str">
        <f>'テンプレート'!N85</f>
        <v>FKB (R.F.)</v>
      </c>
      <c r="O89" s="236" t="str">
        <f>'テンプレート'!O85</f>
        <v>盾削り値</v>
      </c>
      <c r="P89" s="235" t="str">
        <f>'テンプレート'!P85</f>
        <v>ﾋｯﾄｽﾄｯﾌﾟ</v>
      </c>
      <c r="Q89" s="236" t="str">
        <f>'テンプレート'!Q85</f>
        <v>ずらし</v>
      </c>
      <c r="R89" s="235" t="str">
        <f>'テンプレート'!R85</f>
        <v>相殺</v>
      </c>
      <c r="S89" s="236" t="str">
        <f>'テンプレート'!S85</f>
        <v>相殺ﾓｰｼｮﾝ</v>
      </c>
      <c r="T89" s="236" t="str">
        <f>'テンプレート'!T85</f>
        <v>飛び道具</v>
      </c>
      <c r="U89" s="236" t="str">
        <f>'テンプレート'!U85</f>
        <v>慣性反転</v>
      </c>
      <c r="V89" s="236" t="str">
        <f>'テンプレート'!V85</f>
        <v>向き反転</v>
      </c>
    </row>
    <row r="90" outlineLevel="1">
      <c r="A90" s="546" t="s">
        <v>3301</v>
      </c>
      <c r="B90" s="402" t="s">
        <v>668</v>
      </c>
      <c r="C90" s="239" t="s">
        <v>3302</v>
      </c>
      <c r="D90" s="365" t="s">
        <v>282</v>
      </c>
      <c r="E90" s="409"/>
      <c r="F90" s="409"/>
      <c r="G90" s="409"/>
      <c r="H90" s="163" t="s">
        <v>3303</v>
      </c>
      <c r="I90" s="164"/>
      <c r="J90" s="104"/>
      <c r="K90" s="281"/>
      <c r="L90" s="281"/>
      <c r="M90" s="281"/>
      <c r="N90" s="281"/>
      <c r="O90" s="281"/>
      <c r="P90" s="281"/>
      <c r="Q90" s="281"/>
      <c r="R90" s="281"/>
      <c r="S90" s="281"/>
      <c r="T90" s="281"/>
      <c r="U90" s="166" t="s">
        <v>3287</v>
      </c>
      <c r="V90" s="166"/>
    </row>
    <row r="91" outlineLevel="1">
      <c r="A91" s="156"/>
      <c r="B91" s="402" t="s">
        <v>666</v>
      </c>
      <c r="C91" s="409"/>
      <c r="D91" s="239" t="s">
        <v>146</v>
      </c>
      <c r="E91" s="409"/>
      <c r="F91" s="409"/>
      <c r="G91" s="409"/>
      <c r="H91" s="212"/>
      <c r="J91" s="210"/>
      <c r="K91" s="281"/>
      <c r="L91" s="281"/>
      <c r="M91" s="281"/>
      <c r="N91" s="281"/>
      <c r="O91" s="281"/>
      <c r="P91" s="281"/>
      <c r="Q91" s="281"/>
      <c r="R91" s="281"/>
      <c r="S91" s="281"/>
      <c r="T91" s="281"/>
      <c r="U91" s="156"/>
      <c r="V91" s="156"/>
    </row>
    <row r="92" outlineLevel="1">
      <c r="A92" s="1202" t="s">
        <v>3304</v>
      </c>
      <c r="B92" s="402" t="s">
        <v>3305</v>
      </c>
      <c r="C92" s="239" t="s">
        <v>3306</v>
      </c>
      <c r="D92" s="365" t="s">
        <v>185</v>
      </c>
      <c r="E92" s="239" t="s">
        <v>209</v>
      </c>
      <c r="F92" s="138">
        <v>0.0</v>
      </c>
      <c r="G92" s="409"/>
      <c r="H92" s="212"/>
      <c r="J92" s="210"/>
      <c r="K92" s="138"/>
      <c r="L92" s="138"/>
      <c r="M92" s="145"/>
      <c r="N92" s="145"/>
      <c r="O92" s="138">
        <v>0.0</v>
      </c>
      <c r="P92" s="138">
        <v>1.0</v>
      </c>
      <c r="Q92" s="138">
        <v>1.0</v>
      </c>
      <c r="R92" s="145"/>
      <c r="S92" s="145"/>
      <c r="T92" s="145" t="b">
        <v>1</v>
      </c>
      <c r="U92" s="145" t="s">
        <v>3287</v>
      </c>
      <c r="V92" s="145"/>
    </row>
    <row r="93" outlineLevel="1">
      <c r="A93" s="546" t="s">
        <v>3307</v>
      </c>
      <c r="B93" s="402" t="s">
        <v>3308</v>
      </c>
      <c r="C93" s="367" t="s">
        <v>549</v>
      </c>
      <c r="D93" s="239" t="s">
        <v>111</v>
      </c>
      <c r="E93" s="367" t="s">
        <v>119</v>
      </c>
      <c r="F93" s="394">
        <v>16.8</v>
      </c>
      <c r="G93" s="367" t="s">
        <v>297</v>
      </c>
      <c r="H93" s="212"/>
      <c r="J93" s="210"/>
      <c r="K93" s="394"/>
      <c r="L93" s="394"/>
      <c r="M93" s="166"/>
      <c r="N93" s="166"/>
      <c r="O93" s="394">
        <v>6.0</v>
      </c>
      <c r="P93" s="394">
        <v>1.0</v>
      </c>
      <c r="Q93" s="394">
        <v>1.0</v>
      </c>
      <c r="R93" s="166" t="b">
        <v>1</v>
      </c>
      <c r="S93" s="166"/>
      <c r="T93" s="166" t="b">
        <v>0</v>
      </c>
      <c r="U93" s="166" t="s">
        <v>186</v>
      </c>
      <c r="V93" s="166" t="b">
        <v>1</v>
      </c>
    </row>
    <row r="94" outlineLevel="1">
      <c r="A94" s="156"/>
      <c r="B94" s="402" t="s">
        <v>3309</v>
      </c>
      <c r="C94" s="156"/>
      <c r="D94" s="239" t="s">
        <v>628</v>
      </c>
      <c r="E94" s="156"/>
      <c r="F94" s="156"/>
      <c r="G94" s="156"/>
      <c r="H94" s="212"/>
      <c r="J94" s="210"/>
      <c r="K94" s="156"/>
      <c r="L94" s="156"/>
      <c r="M94" s="156"/>
      <c r="N94" s="156"/>
      <c r="O94" s="156"/>
      <c r="P94" s="156"/>
      <c r="Q94" s="156"/>
      <c r="R94" s="156"/>
      <c r="S94" s="156"/>
      <c r="T94" s="156"/>
      <c r="U94" s="156"/>
      <c r="V94" s="156"/>
    </row>
    <row r="95" outlineLevel="1">
      <c r="A95" s="546" t="s">
        <v>3310</v>
      </c>
      <c r="B95" s="402" t="s">
        <v>1489</v>
      </c>
      <c r="C95" s="239" t="s">
        <v>1691</v>
      </c>
      <c r="D95" s="400"/>
      <c r="E95" s="239" t="s">
        <v>466</v>
      </c>
      <c r="F95" s="138">
        <v>21.599999999999998</v>
      </c>
      <c r="G95" s="239" t="s">
        <v>102</v>
      </c>
      <c r="H95" s="212"/>
      <c r="J95" s="210"/>
      <c r="K95" s="290"/>
      <c r="L95" s="290"/>
      <c r="M95" s="117"/>
      <c r="N95" s="117"/>
      <c r="O95" s="290"/>
      <c r="P95" s="290"/>
      <c r="Q95" s="290"/>
      <c r="R95" s="100"/>
      <c r="S95" s="117" t="b">
        <v>0</v>
      </c>
      <c r="T95" s="117" t="b">
        <v>0</v>
      </c>
      <c r="U95" s="166" t="s">
        <v>76</v>
      </c>
      <c r="V95" s="166" t="s">
        <v>76</v>
      </c>
    </row>
    <row r="96" outlineLevel="1">
      <c r="A96" s="146"/>
      <c r="B96" s="402" t="s">
        <v>3311</v>
      </c>
      <c r="C96" s="239" t="s">
        <v>3312</v>
      </c>
      <c r="D96" s="156"/>
      <c r="E96" s="239" t="s">
        <v>228</v>
      </c>
      <c r="F96" s="138">
        <v>15.6</v>
      </c>
      <c r="G96" s="239" t="s">
        <v>75</v>
      </c>
      <c r="H96" s="212"/>
      <c r="J96" s="210"/>
      <c r="K96" s="290"/>
      <c r="L96" s="290"/>
      <c r="M96" s="117"/>
      <c r="N96" s="117"/>
      <c r="O96" s="290"/>
      <c r="P96" s="290"/>
      <c r="Q96" s="290"/>
      <c r="R96" s="100"/>
      <c r="S96" s="117" t="b">
        <v>0</v>
      </c>
      <c r="T96" s="117" t="b">
        <v>0</v>
      </c>
      <c r="U96" s="146"/>
      <c r="V96" s="146"/>
    </row>
    <row r="97" outlineLevel="1">
      <c r="A97" s="146"/>
      <c r="B97" s="402" t="s">
        <v>3313</v>
      </c>
      <c r="C97" s="367" t="s">
        <v>3314</v>
      </c>
      <c r="D97" s="400"/>
      <c r="E97" s="239" t="s">
        <v>92</v>
      </c>
      <c r="F97" s="138">
        <v>30.0</v>
      </c>
      <c r="G97" s="239" t="s">
        <v>95</v>
      </c>
      <c r="H97" s="212"/>
      <c r="J97" s="210"/>
      <c r="K97" s="290"/>
      <c r="L97" s="290"/>
      <c r="M97" s="117"/>
      <c r="N97" s="117"/>
      <c r="O97" s="290"/>
      <c r="P97" s="290"/>
      <c r="Q97" s="290"/>
      <c r="R97" s="100"/>
      <c r="S97" s="117" t="b">
        <v>0</v>
      </c>
      <c r="T97" s="117" t="b">
        <v>0</v>
      </c>
      <c r="U97" s="146"/>
      <c r="V97" s="146"/>
    </row>
    <row r="98" outlineLevel="1">
      <c r="A98" s="156"/>
      <c r="B98" s="402" t="s">
        <v>3315</v>
      </c>
      <c r="C98" s="156"/>
      <c r="D98" s="156"/>
      <c r="E98" s="239" t="s">
        <v>386</v>
      </c>
      <c r="F98" s="138">
        <v>18.0</v>
      </c>
      <c r="G98" s="239" t="s">
        <v>75</v>
      </c>
      <c r="H98" s="212"/>
      <c r="J98" s="210"/>
      <c r="K98" s="290"/>
      <c r="L98" s="290"/>
      <c r="M98" s="117"/>
      <c r="N98" s="117"/>
      <c r="O98" s="290"/>
      <c r="P98" s="290"/>
      <c r="Q98" s="290"/>
      <c r="R98" s="100"/>
      <c r="S98" s="117" t="b">
        <v>0</v>
      </c>
      <c r="T98" s="117" t="b">
        <v>0</v>
      </c>
      <c r="U98" s="156"/>
      <c r="V98" s="156"/>
    </row>
    <row r="99" outlineLevel="1">
      <c r="A99" s="237" t="s">
        <v>483</v>
      </c>
      <c r="B99" s="624" t="s">
        <v>3316</v>
      </c>
      <c r="C99" s="409"/>
      <c r="D99" s="409"/>
      <c r="E99" s="239" t="s">
        <v>80</v>
      </c>
      <c r="F99" s="138">
        <v>9.6</v>
      </c>
      <c r="G99" s="239" t="s">
        <v>60</v>
      </c>
      <c r="H99" s="212"/>
      <c r="J99" s="210"/>
      <c r="K99" s="290"/>
      <c r="L99" s="290"/>
      <c r="M99" s="117"/>
      <c r="N99" s="117"/>
      <c r="O99" s="290"/>
      <c r="P99" s="290"/>
      <c r="Q99" s="290"/>
      <c r="R99" s="100"/>
      <c r="S99" s="117" t="b">
        <v>0</v>
      </c>
      <c r="T99" s="117" t="b">
        <v>0</v>
      </c>
      <c r="U99" s="166" t="s">
        <v>76</v>
      </c>
      <c r="V99" s="166" t="s">
        <v>76</v>
      </c>
    </row>
    <row r="100" outlineLevel="1">
      <c r="A100" s="156"/>
      <c r="B100" s="624" t="s">
        <v>3317</v>
      </c>
      <c r="C100" s="409"/>
      <c r="D100" s="409"/>
      <c r="E100" s="239" t="s">
        <v>2704</v>
      </c>
      <c r="F100" s="138" t="s">
        <v>2705</v>
      </c>
      <c r="G100" s="239" t="s">
        <v>1483</v>
      </c>
      <c r="H100" s="106"/>
      <c r="I100" s="168"/>
      <c r="J100" s="107"/>
      <c r="K100" s="290"/>
      <c r="L100" s="290"/>
      <c r="M100" s="117"/>
      <c r="N100" s="117"/>
      <c r="O100" s="290"/>
      <c r="P100" s="290"/>
      <c r="Q100" s="290"/>
      <c r="R100" s="100"/>
      <c r="S100" s="117" t="b">
        <v>0</v>
      </c>
      <c r="T100" s="117" t="b">
        <v>0</v>
      </c>
      <c r="U100" s="156"/>
      <c r="V100" s="156"/>
    </row>
    <row r="101">
      <c r="A101" s="223"/>
      <c r="B101" s="224"/>
      <c r="C101" s="225"/>
      <c r="D101" s="225"/>
      <c r="E101" s="226"/>
      <c r="F101" s="226"/>
      <c r="G101" s="226"/>
      <c r="H101" s="227"/>
      <c r="I101" s="227"/>
      <c r="J101" s="228"/>
      <c r="K101" s="228"/>
      <c r="L101" s="228"/>
      <c r="M101" s="228"/>
      <c r="N101" s="228"/>
      <c r="O101" s="228"/>
      <c r="P101" s="228"/>
      <c r="Q101" s="118"/>
      <c r="R101" s="118"/>
      <c r="S101" s="118"/>
      <c r="T101" s="118"/>
      <c r="U101" s="118"/>
      <c r="V101" s="118"/>
    </row>
    <row r="102">
      <c r="A102" s="264" t="s">
        <v>211</v>
      </c>
      <c r="B102" s="104"/>
      <c r="C102" s="227"/>
      <c r="D102" s="227"/>
      <c r="E102" s="228"/>
      <c r="F102" s="265"/>
      <c r="G102" s="265"/>
      <c r="H102" s="228"/>
      <c r="I102" s="228"/>
      <c r="J102" s="228"/>
      <c r="K102" s="228"/>
      <c r="L102" s="228"/>
      <c r="M102" s="228"/>
      <c r="N102" s="118"/>
      <c r="O102" s="118"/>
      <c r="P102" s="118"/>
      <c r="Q102" s="228"/>
      <c r="R102" s="228"/>
      <c r="S102" s="228"/>
      <c r="T102" s="228"/>
      <c r="U102" s="228"/>
      <c r="V102" s="228"/>
    </row>
    <row r="103" outlineLevel="1">
      <c r="A103" s="106"/>
      <c r="B103" s="107"/>
      <c r="C103" s="266" t="s">
        <v>48</v>
      </c>
      <c r="D103" s="266" t="s">
        <v>49</v>
      </c>
      <c r="E103" s="266" t="s">
        <v>50</v>
      </c>
      <c r="F103" s="267" t="s">
        <v>51</v>
      </c>
      <c r="G103" s="1168" t="s">
        <v>53</v>
      </c>
      <c r="H103" s="110"/>
      <c r="I103" s="109"/>
      <c r="J103" s="228"/>
      <c r="K103" s="228"/>
      <c r="L103" s="228"/>
      <c r="M103" s="228"/>
      <c r="N103" s="228"/>
      <c r="O103" s="228"/>
      <c r="P103" s="228"/>
      <c r="Q103" s="228"/>
      <c r="R103" s="228"/>
      <c r="S103" s="228"/>
      <c r="T103" s="228"/>
      <c r="U103" s="228"/>
      <c r="V103" s="228"/>
    </row>
    <row r="104" outlineLevel="1">
      <c r="A104" s="268" t="s">
        <v>212</v>
      </c>
      <c r="B104" s="269" t="s">
        <v>212</v>
      </c>
      <c r="C104" s="239" t="s">
        <v>204</v>
      </c>
      <c r="D104" s="239" t="s">
        <v>86</v>
      </c>
      <c r="E104" s="239" t="s">
        <v>214</v>
      </c>
      <c r="F104" s="138">
        <v>1.56</v>
      </c>
      <c r="G104" s="2111"/>
      <c r="H104" s="110"/>
      <c r="I104" s="109"/>
      <c r="J104" s="228"/>
      <c r="K104" s="228"/>
      <c r="L104" s="228"/>
      <c r="M104" s="228"/>
      <c r="N104" s="228"/>
      <c r="O104" s="228"/>
      <c r="P104" s="228"/>
      <c r="Q104" s="228"/>
      <c r="R104" s="228"/>
      <c r="S104" s="228"/>
      <c r="T104" s="228"/>
      <c r="U104" s="228"/>
      <c r="V104" s="228"/>
    </row>
    <row r="105" outlineLevel="1">
      <c r="A105" s="270" t="s">
        <v>215</v>
      </c>
      <c r="B105" s="269" t="s">
        <v>216</v>
      </c>
      <c r="C105" s="239" t="s">
        <v>325</v>
      </c>
      <c r="D105" s="239" t="s">
        <v>127</v>
      </c>
      <c r="E105" s="2112"/>
      <c r="F105" s="104"/>
      <c r="G105" s="2113" t="s">
        <v>3318</v>
      </c>
      <c r="H105" s="110"/>
      <c r="I105" s="109"/>
      <c r="J105" s="228"/>
      <c r="K105" s="228"/>
      <c r="L105" s="228"/>
      <c r="M105" s="228"/>
      <c r="N105" s="228"/>
      <c r="O105" s="228"/>
      <c r="P105" s="228"/>
      <c r="Q105" s="228"/>
      <c r="R105" s="228"/>
      <c r="S105" s="228"/>
      <c r="T105" s="228"/>
      <c r="U105" s="228"/>
      <c r="V105" s="228"/>
    </row>
    <row r="106" outlineLevel="1">
      <c r="A106" s="212"/>
      <c r="B106" s="269" t="s">
        <v>219</v>
      </c>
      <c r="C106" s="239" t="s">
        <v>1137</v>
      </c>
      <c r="D106" s="239" t="s">
        <v>111</v>
      </c>
      <c r="E106" s="212"/>
      <c r="F106" s="210"/>
      <c r="G106" s="2113" t="s">
        <v>3319</v>
      </c>
      <c r="H106" s="110"/>
      <c r="I106" s="109"/>
      <c r="J106" s="228"/>
      <c r="K106" s="228"/>
      <c r="L106" s="228"/>
      <c r="M106" s="228"/>
      <c r="N106" s="228"/>
      <c r="O106" s="228"/>
      <c r="P106" s="228"/>
      <c r="Q106" s="228"/>
      <c r="R106" s="228"/>
      <c r="S106" s="228"/>
      <c r="T106" s="228"/>
      <c r="U106" s="228"/>
      <c r="V106" s="228"/>
    </row>
    <row r="107" outlineLevel="1">
      <c r="A107" s="106"/>
      <c r="B107" s="269" t="s">
        <v>222</v>
      </c>
      <c r="C107" s="239" t="s">
        <v>894</v>
      </c>
      <c r="D107" s="239" t="s">
        <v>393</v>
      </c>
      <c r="E107" s="106"/>
      <c r="F107" s="107"/>
      <c r="G107" s="2113" t="s">
        <v>3320</v>
      </c>
      <c r="H107" s="110"/>
      <c r="I107" s="109"/>
      <c r="J107" s="228"/>
      <c r="K107" s="228"/>
      <c r="L107" s="228"/>
      <c r="M107" s="228"/>
      <c r="N107" s="228"/>
      <c r="O107" s="228"/>
      <c r="P107" s="228"/>
      <c r="Q107" s="228"/>
      <c r="R107" s="228"/>
      <c r="S107" s="228"/>
      <c r="T107" s="228"/>
      <c r="U107" s="228"/>
      <c r="V107" s="228"/>
    </row>
    <row r="108" outlineLevel="1">
      <c r="A108" s="273" t="s">
        <v>225</v>
      </c>
      <c r="B108" s="109"/>
      <c r="C108" s="266" t="s">
        <v>48</v>
      </c>
      <c r="D108" s="266" t="s">
        <v>49</v>
      </c>
      <c r="E108" s="266" t="s">
        <v>50</v>
      </c>
      <c r="F108" s="267" t="s">
        <v>51</v>
      </c>
      <c r="G108" s="1168" t="s">
        <v>53</v>
      </c>
      <c r="H108" s="110"/>
      <c r="I108" s="110"/>
      <c r="J108" s="109"/>
      <c r="K108" s="275" t="str">
        <f>'テンプレート'!K97</f>
        <v>ベクトル</v>
      </c>
      <c r="L108" s="275" t="str">
        <f>'テンプレート'!L97</f>
        <v>KBG (R.E.)</v>
      </c>
      <c r="M108" s="275" t="str">
        <f>'テンプレート'!M97</f>
        <v>BKB (R.A.)</v>
      </c>
      <c r="N108" s="275" t="str">
        <f>'テンプレート'!N97</f>
        <v>FKB (R.F.)</v>
      </c>
      <c r="O108" s="276" t="str">
        <f>'テンプレート'!O97</f>
        <v>盾削り値</v>
      </c>
      <c r="P108" s="275" t="str">
        <f>'テンプレート'!P97</f>
        <v>ﾋｯﾄｽﾄｯﾌﾟ</v>
      </c>
      <c r="Q108" s="276" t="str">
        <f>'テンプレート'!Q97</f>
        <v>ずらし</v>
      </c>
      <c r="R108" s="277"/>
      <c r="S108" s="277"/>
      <c r="T108" s="277"/>
      <c r="U108" s="277"/>
      <c r="V108" s="277"/>
    </row>
    <row r="109" outlineLevel="1">
      <c r="A109" s="278" t="s">
        <v>226</v>
      </c>
      <c r="B109" s="269" t="s">
        <v>227</v>
      </c>
      <c r="C109" s="281"/>
      <c r="D109" s="279">
        <v>45.0</v>
      </c>
      <c r="E109" s="281"/>
      <c r="F109" s="281"/>
      <c r="G109" s="1491"/>
      <c r="H109" s="164"/>
      <c r="I109" s="164"/>
      <c r="J109" s="104"/>
      <c r="K109" s="281"/>
      <c r="L109" s="281"/>
      <c r="M109" s="281"/>
      <c r="N109" s="281"/>
      <c r="O109" s="281"/>
      <c r="P109" s="281"/>
      <c r="Q109" s="281"/>
      <c r="R109" s="277"/>
      <c r="S109" s="228"/>
      <c r="T109" s="228"/>
      <c r="U109" s="228"/>
      <c r="V109" s="228"/>
    </row>
    <row r="110" outlineLevel="1">
      <c r="A110" s="156"/>
      <c r="B110" s="269" t="s">
        <v>225</v>
      </c>
      <c r="C110" s="239" t="s">
        <v>386</v>
      </c>
      <c r="D110" s="156"/>
      <c r="E110" s="239" t="s">
        <v>274</v>
      </c>
      <c r="F110" s="138">
        <v>10.799999999999999</v>
      </c>
      <c r="G110" s="106"/>
      <c r="H110" s="168"/>
      <c r="I110" s="168"/>
      <c r="J110" s="107"/>
      <c r="K110" s="282"/>
      <c r="L110" s="282"/>
      <c r="M110" s="363"/>
      <c r="N110" s="363"/>
      <c r="O110" s="261"/>
      <c r="P110" s="261"/>
      <c r="Q110" s="261"/>
      <c r="R110" s="277"/>
      <c r="S110" s="228"/>
      <c r="T110" s="228"/>
      <c r="U110" s="228"/>
      <c r="V110" s="228"/>
    </row>
    <row r="111" outlineLevel="1">
      <c r="A111" s="278" t="s">
        <v>229</v>
      </c>
      <c r="B111" s="269" t="s">
        <v>227</v>
      </c>
      <c r="C111" s="281"/>
      <c r="D111" s="279">
        <v>45.0</v>
      </c>
      <c r="E111" s="281"/>
      <c r="F111" s="281"/>
      <c r="G111" s="1491"/>
      <c r="H111" s="164"/>
      <c r="I111" s="164"/>
      <c r="J111" s="104"/>
      <c r="K111" s="281"/>
      <c r="L111" s="281"/>
      <c r="M111" s="281"/>
      <c r="N111" s="281"/>
      <c r="O111" s="281"/>
      <c r="P111" s="281"/>
      <c r="Q111" s="281"/>
      <c r="R111" s="277"/>
      <c r="S111" s="228"/>
      <c r="T111" s="228"/>
      <c r="U111" s="228"/>
      <c r="V111" s="228"/>
    </row>
    <row r="112" outlineLevel="1">
      <c r="A112" s="156"/>
      <c r="B112" s="269" t="s">
        <v>225</v>
      </c>
      <c r="C112" s="239" t="s">
        <v>232</v>
      </c>
      <c r="D112" s="156"/>
      <c r="E112" s="239" t="s">
        <v>232</v>
      </c>
      <c r="F112" s="138">
        <v>13.2</v>
      </c>
      <c r="G112" s="106"/>
      <c r="H112" s="168"/>
      <c r="I112" s="168"/>
      <c r="J112" s="107"/>
      <c r="K112" s="282"/>
      <c r="L112" s="282"/>
      <c r="M112" s="363"/>
      <c r="N112" s="363"/>
      <c r="O112" s="261"/>
      <c r="P112" s="261"/>
      <c r="Q112" s="261"/>
      <c r="R112" s="277"/>
      <c r="S112" s="228"/>
      <c r="T112" s="228"/>
      <c r="U112" s="228"/>
      <c r="V112" s="228"/>
    </row>
    <row r="113" outlineLevel="1">
      <c r="A113" s="278" t="s">
        <v>233</v>
      </c>
      <c r="B113" s="269" t="s">
        <v>227</v>
      </c>
      <c r="C113" s="281"/>
      <c r="D113" s="279">
        <v>45.0</v>
      </c>
      <c r="E113" s="281"/>
      <c r="F113" s="281"/>
      <c r="G113" s="1491"/>
      <c r="H113" s="164"/>
      <c r="I113" s="164"/>
      <c r="J113" s="104"/>
      <c r="K113" s="281"/>
      <c r="L113" s="281"/>
      <c r="M113" s="281"/>
      <c r="N113" s="281"/>
      <c r="O113" s="281"/>
      <c r="P113" s="281"/>
      <c r="Q113" s="281"/>
      <c r="R113" s="277"/>
      <c r="S113" s="228"/>
      <c r="T113" s="228"/>
      <c r="U113" s="228"/>
      <c r="V113" s="228"/>
    </row>
    <row r="114" outlineLevel="1">
      <c r="A114" s="156"/>
      <c r="B114" s="269" t="s">
        <v>225</v>
      </c>
      <c r="C114" s="113">
        <v>13.0</v>
      </c>
      <c r="D114" s="156"/>
      <c r="E114" s="239" t="s">
        <v>128</v>
      </c>
      <c r="F114" s="138">
        <v>12.0</v>
      </c>
      <c r="G114" s="106"/>
      <c r="H114" s="168"/>
      <c r="I114" s="168"/>
      <c r="J114" s="107"/>
      <c r="K114" s="282"/>
      <c r="L114" s="282"/>
      <c r="M114" s="363"/>
      <c r="N114" s="363"/>
      <c r="O114" s="261"/>
      <c r="P114" s="261"/>
      <c r="Q114" s="261"/>
      <c r="R114" s="277"/>
      <c r="S114" s="117"/>
      <c r="T114" s="117"/>
      <c r="U114" s="117"/>
      <c r="V114" s="117"/>
    </row>
    <row r="115" outlineLevel="1">
      <c r="A115" s="278" t="s">
        <v>234</v>
      </c>
      <c r="B115" s="269" t="s">
        <v>227</v>
      </c>
      <c r="C115" s="281"/>
      <c r="D115" s="279">
        <v>35.0</v>
      </c>
      <c r="E115" s="281"/>
      <c r="F115" s="281"/>
      <c r="G115" s="283" t="s">
        <v>3321</v>
      </c>
      <c r="H115" s="164"/>
      <c r="I115" s="164"/>
      <c r="J115" s="104"/>
      <c r="K115" s="281"/>
      <c r="L115" s="281"/>
      <c r="M115" s="281"/>
      <c r="N115" s="281"/>
      <c r="O115" s="281"/>
      <c r="P115" s="281"/>
      <c r="Q115" s="281"/>
      <c r="R115" s="277"/>
      <c r="S115" s="117"/>
      <c r="T115" s="117"/>
      <c r="U115" s="117"/>
      <c r="V115" s="117"/>
    </row>
    <row r="116" outlineLevel="1">
      <c r="A116" s="156"/>
      <c r="B116" s="269" t="s">
        <v>225</v>
      </c>
      <c r="C116" s="239" t="s">
        <v>466</v>
      </c>
      <c r="D116" s="156"/>
      <c r="E116" s="239" t="s">
        <v>86</v>
      </c>
      <c r="F116" s="138">
        <v>7.199999999999999</v>
      </c>
      <c r="G116" s="106"/>
      <c r="H116" s="168"/>
      <c r="I116" s="168"/>
      <c r="J116" s="107"/>
      <c r="K116" s="282"/>
      <c r="L116" s="282"/>
      <c r="M116" s="363"/>
      <c r="N116" s="363"/>
      <c r="O116" s="261"/>
      <c r="P116" s="261"/>
      <c r="Q116" s="261"/>
      <c r="R116" s="277"/>
      <c r="S116" s="117"/>
      <c r="T116" s="117"/>
      <c r="U116" s="117"/>
      <c r="V116" s="117"/>
    </row>
    <row r="117">
      <c r="A117" s="223"/>
      <c r="B117" s="224"/>
      <c r="C117" s="225"/>
      <c r="D117" s="225"/>
      <c r="E117" s="227"/>
      <c r="F117" s="177"/>
      <c r="G117" s="177"/>
      <c r="H117" s="227"/>
      <c r="I117" s="227"/>
      <c r="J117" s="228"/>
      <c r="K117" s="228"/>
      <c r="L117" s="111"/>
      <c r="M117" s="111"/>
      <c r="N117" s="111"/>
      <c r="O117" s="117"/>
      <c r="P117" s="117"/>
      <c r="Q117" s="111"/>
      <c r="R117" s="111"/>
      <c r="S117" s="111"/>
      <c r="T117" s="111"/>
      <c r="U117" s="111"/>
      <c r="V117" s="111"/>
    </row>
    <row r="118">
      <c r="A118" s="284" t="s">
        <v>241</v>
      </c>
      <c r="B118" s="104"/>
      <c r="C118" s="265"/>
      <c r="D118" s="111"/>
      <c r="E118" s="111"/>
      <c r="F118" s="111"/>
      <c r="G118" s="111"/>
      <c r="H118" s="111"/>
      <c r="I118" s="111"/>
      <c r="J118" s="118"/>
      <c r="K118" s="111"/>
      <c r="L118" s="111"/>
      <c r="M118" s="111"/>
      <c r="N118" s="111"/>
      <c r="O118" s="111"/>
      <c r="P118" s="111"/>
      <c r="Q118" s="118"/>
      <c r="R118" s="111"/>
      <c r="S118" s="111"/>
      <c r="T118" s="111"/>
      <c r="U118" s="111"/>
      <c r="V118" s="111"/>
    </row>
    <row r="119" outlineLevel="1">
      <c r="A119" s="106"/>
      <c r="B119" s="107"/>
      <c r="C119" s="285" t="s">
        <v>235</v>
      </c>
      <c r="D119" s="285" t="s">
        <v>236</v>
      </c>
      <c r="E119" s="285" t="s">
        <v>49</v>
      </c>
      <c r="F119" s="285" t="s">
        <v>237</v>
      </c>
      <c r="G119" s="286"/>
      <c r="H119" s="227"/>
      <c r="I119" s="227"/>
      <c r="J119" s="228"/>
      <c r="K119" s="228"/>
      <c r="L119" s="111"/>
      <c r="M119" s="111"/>
      <c r="N119" s="111"/>
      <c r="O119" s="111"/>
      <c r="P119" s="111"/>
      <c r="Q119" s="111"/>
      <c r="R119" s="111"/>
      <c r="S119" s="111"/>
      <c r="T119" s="111"/>
      <c r="U119" s="111"/>
      <c r="V119" s="111"/>
    </row>
    <row r="120" outlineLevel="1">
      <c r="A120" s="287" t="s">
        <v>395</v>
      </c>
      <c r="B120" s="288" t="s">
        <v>216</v>
      </c>
      <c r="C120" s="113" t="str">
        <f t="array" ref="C120">INDEX('回避'!$C$3:$U$84, MATCH($A$1,'回避'!$A$3:$A$91,0), MATCH(C119,'回避'!$C$2:$F$2,0))</f>
        <v>3-17</v>
      </c>
      <c r="D120" s="113" t="str">
        <f t="array" ref="D120">INDEX('回避'!$C$3:$U$84, MATCH($A$1,'回避'!$A$3:$A$91,0), MATCH(D119,'回避'!$C$2:$F$2,0))</f>
        <v>6-17</v>
      </c>
      <c r="E120" s="113" t="str">
        <f t="array" ref="E120">INDEX('回避'!$C$3:$U$84, MATCH($A$1,'回避'!$A$3:$A$91,0), MATCH(E119,'回避'!$C$2:$F$2,0))</f>
        <v>25 (20)</v>
      </c>
      <c r="F120" s="113" t="str">
        <f t="array" ref="F120">INDEX('回避'!$C$3:$U$84, MATCH($A$1,'回避'!$A$3:$A$91,0), MATCH(F119,'回避'!$C$2:$F$2,0))</f>
        <v>33 (27)</v>
      </c>
      <c r="G120" s="272"/>
      <c r="H120" s="227"/>
      <c r="I120" s="227"/>
      <c r="J120" s="228"/>
      <c r="K120" s="228"/>
      <c r="L120" s="228"/>
      <c r="M120" s="111"/>
      <c r="N120" s="111"/>
      <c r="O120" s="111"/>
      <c r="P120" s="111"/>
      <c r="Q120" s="111"/>
      <c r="R120" s="111"/>
      <c r="S120" s="111"/>
      <c r="T120" s="111"/>
      <c r="U120" s="111"/>
      <c r="V120" s="111"/>
    </row>
    <row r="121" outlineLevel="1">
      <c r="A121" s="212"/>
      <c r="B121" s="288" t="s">
        <v>245</v>
      </c>
      <c r="C121" s="113" t="str">
        <f t="array" ref="C121">INDEX('回避'!$G$3:$U$84, MATCH($A$1,'回避'!$A$3:$A$91,0), MATCH(C119,'回避'!$G$2:$J$2,0))</f>
        <v>4-15</v>
      </c>
      <c r="D121" s="113" t="str">
        <f t="array" ref="D121">INDEX('回避'!$G$3:$U$84, MATCH($A$1,'回避'!$A$3:$A$91,0), MATCH(D119,'回避'!$G$2:$J$2,0))</f>
        <v>8-14</v>
      </c>
      <c r="E121" s="113" t="str">
        <f t="array" ref="E121">INDEX('回避'!$G$3:$U$84, MATCH($A$1,'回避'!$A$3:$A$91,0), MATCH(E119,'回避'!$G$2:$J$2,0))</f>
        <v>29</v>
      </c>
      <c r="F121" s="113">
        <f t="array" ref="F121">INDEX('回避'!$G$3:$U$84, MATCH($A$1,'回避'!$A$3:$A$91,0), MATCH(F119,'回避'!$G$2:$J$2,0))</f>
        <v>38</v>
      </c>
      <c r="G121" s="289"/>
      <c r="H121" s="227"/>
      <c r="I121" s="227"/>
      <c r="J121" s="228"/>
      <c r="K121" s="228"/>
      <c r="L121" s="228"/>
      <c r="M121" s="228"/>
      <c r="N121" s="228"/>
      <c r="O121" s="111"/>
      <c r="P121" s="111"/>
      <c r="Q121" s="111"/>
      <c r="R121" s="111"/>
      <c r="S121" s="111"/>
      <c r="T121" s="111"/>
      <c r="U121" s="111"/>
      <c r="V121" s="111"/>
    </row>
    <row r="122" outlineLevel="1">
      <c r="A122" s="106"/>
      <c r="B122" s="288" t="s">
        <v>246</v>
      </c>
      <c r="C122" s="113" t="str">
        <f t="array" ref="C122">INDEX('回避'!$K$3:$U$84, MATCH($A$1,'回避'!$A$3:$A$91,0), MATCH(C119,'回避'!$K$2:$N$2,0))</f>
        <v>5-16</v>
      </c>
      <c r="D122" s="113" t="str">
        <f t="array" ref="D122">INDEX('回避'!$K$3:$U$84, MATCH($A$1,'回避'!$A$3:$A$91,0), MATCH(D119,'回避'!$K$2:$N$2,0))</f>
        <v>9-14</v>
      </c>
      <c r="E122" s="113" t="str">
        <f t="array" ref="E122">INDEX('回避'!$K$3:$U$84, MATCH($A$1,'回避'!$A$3:$A$91,0), MATCH(E119,'回避'!$K$2:$N$2,0))</f>
        <v>34</v>
      </c>
      <c r="F122" s="113" t="str">
        <f t="array" ref="F122">INDEX('回避'!$K$3:$U$84, MATCH($A$1,'回避'!$A$3:$A$91,0), MATCH(F119,'回避'!$K$2:$N$2,0))</f>
        <v>51</v>
      </c>
      <c r="G122" s="289"/>
      <c r="H122" s="290"/>
      <c r="I122" s="290"/>
      <c r="J122" s="117"/>
      <c r="K122" s="117"/>
      <c r="L122" s="117"/>
      <c r="M122" s="117"/>
      <c r="N122" s="117"/>
      <c r="O122" s="111"/>
      <c r="P122" s="111"/>
      <c r="Q122" s="111"/>
      <c r="R122" s="111"/>
      <c r="S122" s="111"/>
      <c r="T122" s="111"/>
      <c r="U122" s="111"/>
      <c r="V122" s="111"/>
    </row>
    <row r="123" outlineLevel="1">
      <c r="A123" s="287" t="s">
        <v>396</v>
      </c>
      <c r="B123" s="288" t="s">
        <v>397</v>
      </c>
      <c r="C123" s="113" t="str">
        <f t="array" ref="C123">INDEX('回避'!$O$3:$U$84, MATCH($A$1,'回避'!$A$3:$A$91,0), MATCH(C119,'回避'!$O$2:$R$2,0))</f>
        <v>3-30</v>
      </c>
      <c r="D123" s="113" t="str">
        <f t="array" ref="D123">INDEX('回避'!$O$3:$U$84, MATCH($A$1,'回避'!$A$3:$A$91,0), MATCH(D119,'回避'!$O$2:$R$2,0))</f>
        <v>6-27</v>
      </c>
      <c r="E123" s="113" t="str">
        <f t="array" ref="E123">INDEX('回避'!$O$3:$U$84, MATCH($A$1,'回避'!$A$3:$A$91,0), MATCH(E119,'回避'!$O$2:$R$2,0))</f>
        <v>57</v>
      </c>
      <c r="F123" s="177"/>
      <c r="G123" s="177"/>
      <c r="H123" s="118"/>
      <c r="I123" s="118"/>
      <c r="J123" s="111"/>
      <c r="K123" s="111"/>
      <c r="L123" s="111"/>
      <c r="M123" s="111"/>
      <c r="N123" s="111"/>
      <c r="O123" s="228"/>
      <c r="P123" s="228"/>
      <c r="Q123" s="228"/>
      <c r="R123" s="228"/>
      <c r="S123" s="228"/>
      <c r="T123" s="228"/>
      <c r="U123" s="228"/>
      <c r="V123" s="228"/>
    </row>
    <row r="124" outlineLevel="1">
      <c r="A124" s="106"/>
      <c r="B124" s="288" t="s">
        <v>398</v>
      </c>
      <c r="C124" s="113" t="str">
        <f t="array" ref="C124">INDEX('回避'!$S$3:$U$84, MATCH($A$1,'回避'!$A$3:$A$91,0), MATCH(C119,'回避'!$S$2:$U$2,0))</f>
        <v>3-21</v>
      </c>
      <c r="D124" s="113" t="str">
        <f t="array" ref="D124">INDEX('回避'!$S$3:$U$84, MATCH($A$1,'回避'!$A$3:$A$91,0), MATCH(D119,'回避'!$S$2:$U$2,0))</f>
        <v>6-20</v>
      </c>
      <c r="E124" s="113" t="str">
        <f t="array" ref="E124">INDEX('回避'!$S$3:$U$84, MATCH($A$1,'回避'!$A$3:$A$91,0), MATCH(E119,'回避'!$S$2:$U$2,0))</f>
        <v>真横：96
真上：128
真下：80</v>
      </c>
      <c r="F124" s="289"/>
      <c r="G124" s="289"/>
      <c r="H124" s="118"/>
      <c r="I124" s="118"/>
      <c r="J124" s="117"/>
      <c r="K124" s="117"/>
      <c r="L124" s="117"/>
      <c r="M124" s="117"/>
      <c r="N124" s="111"/>
      <c r="O124" s="118"/>
      <c r="P124" s="118"/>
      <c r="Q124" s="118"/>
      <c r="R124" s="118"/>
      <c r="S124" s="118"/>
      <c r="T124" s="118"/>
      <c r="U124" s="118"/>
      <c r="V124" s="118"/>
    </row>
    <row r="125">
      <c r="A125" s="291"/>
      <c r="B125" s="292"/>
      <c r="C125" s="2114"/>
      <c r="D125" s="2114"/>
      <c r="E125" s="2115"/>
      <c r="F125" s="2114"/>
      <c r="G125" s="286"/>
      <c r="H125" s="286"/>
      <c r="I125" s="286"/>
      <c r="J125" s="111"/>
      <c r="K125" s="227"/>
      <c r="L125" s="227"/>
      <c r="M125" s="227"/>
      <c r="N125" s="227"/>
      <c r="O125" s="118"/>
      <c r="P125" s="118"/>
      <c r="Q125" s="118"/>
      <c r="R125" s="118"/>
      <c r="S125" s="118"/>
      <c r="T125" s="118"/>
      <c r="U125" s="118"/>
      <c r="V125" s="118"/>
    </row>
    <row r="126">
      <c r="A126" s="294" t="s">
        <v>238</v>
      </c>
      <c r="B126" s="104"/>
      <c r="C126" s="228"/>
      <c r="D126" s="117"/>
      <c r="E126" s="228"/>
      <c r="F126" s="114"/>
      <c r="G126" s="114"/>
      <c r="H126" s="117"/>
      <c r="I126" s="117"/>
      <c r="J126" s="118"/>
      <c r="K126" s="118"/>
      <c r="L126" s="118"/>
      <c r="M126" s="118"/>
      <c r="N126" s="118"/>
      <c r="O126" s="118"/>
      <c r="P126" s="118"/>
      <c r="Q126" s="118"/>
      <c r="R126" s="118"/>
      <c r="S126" s="118"/>
      <c r="T126" s="118"/>
      <c r="U126" s="118"/>
      <c r="V126" s="118"/>
    </row>
    <row r="127" outlineLevel="1">
      <c r="A127" s="106"/>
      <c r="B127" s="107"/>
      <c r="C127" s="295" t="s">
        <v>235</v>
      </c>
      <c r="D127" s="295" t="s">
        <v>49</v>
      </c>
      <c r="E127" s="295" t="s">
        <v>48</v>
      </c>
      <c r="F127" s="295" t="s">
        <v>50</v>
      </c>
      <c r="G127" s="296" t="s">
        <v>51</v>
      </c>
      <c r="H127" s="228"/>
      <c r="I127" s="228"/>
      <c r="J127" s="117"/>
      <c r="K127" s="297" t="str">
        <f>'テンプレート'!K116</f>
        <v>アイテム取得</v>
      </c>
      <c r="L127" s="109"/>
      <c r="M127" s="298" t="str">
        <f>'テンプレート'!M116</f>
        <v>取得フレーム</v>
      </c>
      <c r="N127" s="298" t="str">
        <f>'テンプレート'!N116</f>
        <v>全体フレーム</v>
      </c>
      <c r="O127" s="118"/>
      <c r="P127" s="118"/>
      <c r="Q127" s="118"/>
      <c r="R127" s="118"/>
      <c r="S127" s="118"/>
      <c r="T127" s="118"/>
      <c r="U127" s="118"/>
      <c r="V127" s="118"/>
    </row>
    <row r="128" outlineLevel="1">
      <c r="A128" s="299" t="s">
        <v>239</v>
      </c>
      <c r="B128" s="300" t="s">
        <v>240</v>
      </c>
      <c r="C128" s="301"/>
      <c r="D128" s="113">
        <f t="array" ref="D128">INDEX('崖行動・受け身'!$C$3:$C128, MATCH($A$1,'崖行動・受け身'!$A$3:$A$115,0), MATCH(D127,'崖行動・受け身'!$C$2,0))</f>
        <v>19</v>
      </c>
      <c r="E128" s="301"/>
      <c r="F128" s="301"/>
      <c r="G128" s="301"/>
      <c r="H128" s="228"/>
      <c r="I128" s="228"/>
      <c r="J128" s="111"/>
      <c r="K128" s="302" t="str">
        <f>'テンプレート'!K117</f>
        <v>小アイテム</v>
      </c>
      <c r="L128" s="303" t="str">
        <f>'テンプレート'!L117</f>
        <v>その場</v>
      </c>
      <c r="M128" s="113" t="s">
        <v>76</v>
      </c>
      <c r="N128" s="113">
        <v>7.0</v>
      </c>
      <c r="O128" s="118"/>
      <c r="P128" s="118"/>
      <c r="Q128" s="118"/>
      <c r="R128" s="118"/>
      <c r="S128" s="118"/>
      <c r="T128" s="118"/>
      <c r="U128" s="118"/>
      <c r="V128" s="118"/>
    </row>
    <row r="129" outlineLevel="1">
      <c r="A129" s="146"/>
      <c r="B129" s="300" t="s">
        <v>216</v>
      </c>
      <c r="C129" s="113" t="str">
        <f t="array" ref="C129">INDEX('崖行動・受け身'!$D$3:$E128, MATCH($A$1,'崖行動・受け身'!$A$3:$A$115,0), MATCH(C127,'崖行動・受け身'!$D$2:$E$2,0))</f>
        <v>1-33</v>
      </c>
      <c r="D129" s="113">
        <f t="array" ref="D129">INDEX('崖行動・受け身'!$D$3:$E128, MATCH($A$1,'崖行動・受け身'!$A$3:$A$115,0), MATCH(D127,'崖行動・受け身'!$D$2:$E$2,0))</f>
        <v>34</v>
      </c>
      <c r="E129" s="301"/>
      <c r="F129" s="301"/>
      <c r="G129" s="301"/>
      <c r="H129" s="228"/>
      <c r="I129" s="228"/>
      <c r="J129" s="117"/>
      <c r="K129" s="156"/>
      <c r="L129" s="303" t="str">
        <f>'テンプレート'!L118</f>
        <v>歩き</v>
      </c>
      <c r="M129" s="113" t="s">
        <v>76</v>
      </c>
      <c r="N129" s="113">
        <v>19.0</v>
      </c>
      <c r="O129" s="118"/>
      <c r="P129" s="118"/>
      <c r="Q129" s="118"/>
      <c r="R129" s="118"/>
      <c r="S129" s="118"/>
      <c r="T129" s="118"/>
      <c r="U129" s="118"/>
      <c r="V129" s="118"/>
    </row>
    <row r="130" outlineLevel="1">
      <c r="A130" s="146"/>
      <c r="B130" s="300" t="s">
        <v>241</v>
      </c>
      <c r="C130" s="113" t="str">
        <f t="array" ref="C130">INDEX('崖行動・受け身'!$F$3:$G$115, MATCH($A$1,'崖行動・受け身'!$A$3:$A$115,0), MATCH(C127,'崖行動・受け身'!$F$2:$G$2,0))</f>
        <v>1-24</v>
      </c>
      <c r="D130" s="113">
        <f t="array" ref="D130">INDEX('崖行動・受け身'!$F$3:$G$115, MATCH($A$1,'崖行動・受け身'!$A$3:$A$115,0), MATCH(D127,'崖行動・受け身'!$F$2:$G$2,0))</f>
        <v>45</v>
      </c>
      <c r="E130" s="301"/>
      <c r="F130" s="301"/>
      <c r="G130" s="301"/>
      <c r="H130" s="228"/>
      <c r="I130" s="228"/>
      <c r="J130" s="111"/>
      <c r="K130" s="304" t="str">
        <f>'テンプレート'!K119</f>
        <v>アイテム投擲</v>
      </c>
      <c r="L130" s="109"/>
      <c r="M130" s="298" t="str">
        <f>'テンプレート'!M119</f>
        <v>投擲フレーム</v>
      </c>
      <c r="N130" s="298" t="str">
        <f>'テンプレート'!N119</f>
        <v>全体フレーム</v>
      </c>
      <c r="O130" s="118"/>
      <c r="P130" s="118"/>
      <c r="Q130" s="118"/>
      <c r="R130" s="118"/>
      <c r="S130" s="118"/>
      <c r="T130" s="118"/>
      <c r="U130" s="118"/>
      <c r="V130" s="118"/>
    </row>
    <row r="131" outlineLevel="1">
      <c r="A131" s="146"/>
      <c r="B131" s="300" t="s">
        <v>242</v>
      </c>
      <c r="C131" s="113" t="str">
        <f t="array" ref="C131">INDEX('崖行動・受け身'!$H$3:$I$115, MATCH($A$1,'崖行動・受け身'!$A$3:$A$115,0), MATCH(C127,'崖行動・受け身'!$H$2:$I$2,0))</f>
        <v>1-12</v>
      </c>
      <c r="D131" s="113">
        <f t="array" ref="D131">INDEX('崖行動・受け身'!$H$3:$I$115, MATCH($A$1,'崖行動・受け身'!$A$3:$A$115,0), MATCH(D127,'崖行動・受け身'!$H$2:$I$2,0))</f>
        <v>14</v>
      </c>
      <c r="E131" s="301"/>
      <c r="F131" s="301"/>
      <c r="G131" s="301"/>
      <c r="H131" s="228"/>
      <c r="I131" s="228"/>
      <c r="J131" s="117"/>
      <c r="K131" s="305" t="str">
        <f>'テンプレート'!K120</f>
        <v>地上投擲</v>
      </c>
      <c r="L131" s="303" t="str">
        <f>'テンプレート'!L120</f>
        <v>前投げ</v>
      </c>
      <c r="M131" s="113" t="s">
        <v>232</v>
      </c>
      <c r="N131" s="113">
        <v>23.0</v>
      </c>
      <c r="O131" s="111"/>
      <c r="P131" s="111"/>
      <c r="Q131" s="111"/>
      <c r="R131" s="111"/>
      <c r="S131" s="111"/>
      <c r="T131" s="111"/>
      <c r="U131" s="111"/>
      <c r="V131" s="111"/>
    </row>
    <row r="132" outlineLevel="1">
      <c r="A132" s="156"/>
      <c r="B132" s="300" t="s">
        <v>243</v>
      </c>
      <c r="C132" s="113" t="str">
        <f t="array" ref="C132">INDEX('崖行動・受け身'!$J$3:$M$115, MATCH($A$1,'崖行動・受け身'!$A$3:$A$115,0), MATCH(C127,'崖行動・受け身'!$J$2:$M$2,0))</f>
        <v>1-25</v>
      </c>
      <c r="D132" s="113">
        <f t="array" ref="D132">INDEX('崖行動・受け身'!$J$3:$M$115, MATCH($A$1,'崖行動・受け身'!$A$3:$A$115,0), MATCH(D127,'崖行動・受け身'!$J$2:$M$2,0))</f>
        <v>55</v>
      </c>
      <c r="E132" s="113" t="str">
        <f t="array" ref="E132">INDEX('崖行動・受け身'!$J$3:$M$115, MATCH($A$1,'崖行動・受け身'!$A$3:$A$115,0), MATCH(E127,'崖行動・受け身'!$J$2:$M$2,0))</f>
        <v>23-25</v>
      </c>
      <c r="F132" s="113">
        <f t="array" ref="F132">INDEX('崖行動・受け身'!$J$3:$M$115, MATCH($A$1,'崖行動・受け身'!$A$3:$A$115,0), MATCH(F127,'崖行動・受け身'!$J$2:$M$2,0))</f>
        <v>9</v>
      </c>
      <c r="G132" s="113">
        <f>F132*1.2</f>
        <v>10.8</v>
      </c>
      <c r="H132" s="228"/>
      <c r="I132" s="228"/>
      <c r="J132" s="111"/>
      <c r="K132" s="146"/>
      <c r="L132" s="303" t="str">
        <f>'テンプレート'!L121</f>
        <v>後投げ</v>
      </c>
      <c r="M132" s="113" t="s">
        <v>232</v>
      </c>
      <c r="N132" s="113">
        <v>24.0</v>
      </c>
      <c r="O132" s="111"/>
      <c r="P132" s="111"/>
      <c r="Q132" s="111"/>
      <c r="R132" s="111"/>
      <c r="S132" s="111"/>
      <c r="T132" s="111"/>
      <c r="U132" s="111"/>
      <c r="V132" s="111"/>
    </row>
    <row r="133" outlineLevel="1">
      <c r="A133" s="299" t="s">
        <v>244</v>
      </c>
      <c r="B133" s="300" t="s">
        <v>216</v>
      </c>
      <c r="C133" s="113" t="str">
        <f t="array" ref="C133">INDEX('崖行動・受け身'!$N$3:$O$115, MATCH($A$1,'崖行動・受け身'!$A$3:$A$115,0), MATCH(C127,'崖行動・受け身'!$N$2:$O$2,0))</f>
        <v>1-20</v>
      </c>
      <c r="D133" s="113">
        <f t="array" ref="D133">INDEX('崖行動・受け身'!$N$3:$O$115, MATCH($A$1,'崖行動・受け身'!$A$3:$A$115,0), MATCH(D127,'崖行動・受け身'!$N$2:$O$2,0))</f>
        <v>26</v>
      </c>
      <c r="E133" s="301"/>
      <c r="F133" s="301"/>
      <c r="G133" s="301"/>
      <c r="H133" s="228"/>
      <c r="I133" s="228"/>
      <c r="J133" s="117"/>
      <c r="K133" s="146"/>
      <c r="L133" s="303" t="str">
        <f>'テンプレート'!L122</f>
        <v>上投げ</v>
      </c>
      <c r="M133" s="113" t="s">
        <v>128</v>
      </c>
      <c r="N133" s="113">
        <v>23.0</v>
      </c>
      <c r="O133" s="228"/>
      <c r="P133" s="228"/>
      <c r="Q133" s="228"/>
      <c r="R133" s="228"/>
      <c r="S133" s="228"/>
      <c r="T133" s="228"/>
      <c r="U133" s="228"/>
      <c r="V133" s="228"/>
    </row>
    <row r="134" outlineLevel="1">
      <c r="A134" s="146"/>
      <c r="B134" s="300" t="s">
        <v>245</v>
      </c>
      <c r="C134" s="113" t="str">
        <f t="array" ref="C134">INDEX('崖行動・受け身'!$P$3:$Q$115, MATCH($A$1,'崖行動・受け身'!$A$3:$A$115,0), MATCH(C127,'崖行動・受け身'!$P$2:$Q$2,0))</f>
        <v>1-20</v>
      </c>
      <c r="D134" s="113">
        <f t="array" ref="D134">INDEX('崖行動・受け身'!$P$3:$Q$115, MATCH($A$1,'崖行動・受け身'!$A$3:$A$115,0), MATCH(D127,'崖行動・受け身'!$P$2:$Q$2,0))</f>
        <v>40</v>
      </c>
      <c r="E134" s="301"/>
      <c r="F134" s="301"/>
      <c r="G134" s="301"/>
      <c r="H134" s="228"/>
      <c r="I134" s="228"/>
      <c r="J134" s="111"/>
      <c r="K134" s="146"/>
      <c r="L134" s="303" t="str">
        <f>'テンプレート'!L123</f>
        <v>下投げ</v>
      </c>
      <c r="M134" s="113" t="s">
        <v>128</v>
      </c>
      <c r="N134" s="113">
        <v>19.0</v>
      </c>
      <c r="O134" s="118"/>
      <c r="P134" s="118"/>
      <c r="Q134" s="118"/>
      <c r="R134" s="118"/>
      <c r="S134" s="118"/>
      <c r="T134" s="118"/>
      <c r="U134" s="118"/>
      <c r="V134" s="118"/>
    </row>
    <row r="135" outlineLevel="1">
      <c r="A135" s="156"/>
      <c r="B135" s="300" t="s">
        <v>246</v>
      </c>
      <c r="C135" s="113" t="str">
        <f t="array" ref="C135">INDEX('崖行動・受け身'!$R$3:$S$115, MATCH($A$1,'崖行動・受け身'!$A$3:$A$115,0), MATCH(C127,'崖行動・受け身'!$R$2:$S$2,0))</f>
        <v>1-20</v>
      </c>
      <c r="D135" s="113">
        <f t="array" ref="D135">INDEX('崖行動・受け身'!$R$3:$S$115, MATCH($A$1,'崖行動・受け身'!$A$3:$A$115,0), MATCH(D127,'崖行動・受け身'!$R$2:$S$2,0))</f>
        <v>40</v>
      </c>
      <c r="E135" s="301"/>
      <c r="F135" s="301"/>
      <c r="G135" s="301"/>
      <c r="H135" s="228"/>
      <c r="I135" s="228"/>
      <c r="J135" s="117"/>
      <c r="K135" s="146"/>
      <c r="L135" s="306" t="str">
        <f>'テンプレート'!L124</f>
        <v>ダッシュ</v>
      </c>
      <c r="M135" s="113" t="s">
        <v>150</v>
      </c>
      <c r="N135" s="113">
        <v>37.0</v>
      </c>
      <c r="O135" s="118"/>
      <c r="P135" s="118"/>
      <c r="Q135" s="118"/>
      <c r="R135" s="118"/>
      <c r="S135" s="118"/>
      <c r="T135" s="118"/>
      <c r="U135" s="118"/>
      <c r="V135" s="118"/>
    </row>
    <row r="136" outlineLevel="1">
      <c r="A136" s="299" t="s">
        <v>247</v>
      </c>
      <c r="B136" s="300" t="s">
        <v>248</v>
      </c>
      <c r="C136" s="301"/>
      <c r="D136" s="113" t="str">
        <f t="array" ref="D136">INDEX('起きあがり'!$C$3:$C128, MATCH($A$1,'起きあがり'!$A$3:$A$115,0), MATCH(D127,'起きあがり'!$C$2:$AD$2,0))</f>
        <v>25</v>
      </c>
      <c r="E136" s="301"/>
      <c r="F136" s="301"/>
      <c r="G136" s="301"/>
      <c r="H136" s="228"/>
      <c r="I136" s="228"/>
      <c r="J136" s="111"/>
      <c r="K136" s="156"/>
      <c r="L136" s="306" t="str">
        <f>'テンプレート'!L125</f>
        <v>その場捨て</v>
      </c>
      <c r="M136" s="113" t="s">
        <v>86</v>
      </c>
      <c r="N136" s="113">
        <v>23.0</v>
      </c>
      <c r="O136" s="118"/>
      <c r="P136" s="118"/>
      <c r="Q136" s="118"/>
      <c r="R136" s="118"/>
      <c r="S136" s="118"/>
      <c r="T136" s="118"/>
      <c r="U136" s="118"/>
      <c r="V136" s="118"/>
    </row>
    <row r="137" outlineLevel="1">
      <c r="A137" s="146"/>
      <c r="B137" s="300" t="s">
        <v>216</v>
      </c>
      <c r="C137" s="307" t="str">
        <f t="array" ref="C137">INDEX('起きあがり'!$D$3:$E128, MATCH($A$1,'起きあがり'!$A$3:$A$115,0), MATCH(C127,'起きあがり'!$D$2:$AD$2,0))</f>
        <v>1-22</v>
      </c>
      <c r="D137" s="308">
        <f t="array" ref="D137">INDEX('起きあがり'!$D$3:$E128, MATCH($A$1,'起きあがり'!$A$3:$A$115,0), MATCH(D127,'起きあがり'!$D$2:$AD$2,0))</f>
        <v>29</v>
      </c>
      <c r="E137" s="301"/>
      <c r="F137" s="301"/>
      <c r="G137" s="301"/>
      <c r="H137" s="228"/>
      <c r="I137" s="228"/>
      <c r="J137" s="117"/>
      <c r="K137" s="305" t="str">
        <f>'テンプレート'!K126</f>
        <v>空中投擲</v>
      </c>
      <c r="L137" s="303" t="str">
        <f>'テンプレート'!L126</f>
        <v>前投げ</v>
      </c>
      <c r="M137" s="113" t="s">
        <v>128</v>
      </c>
      <c r="N137" s="113">
        <v>24.0</v>
      </c>
      <c r="O137" s="118"/>
      <c r="P137" s="118"/>
      <c r="Q137" s="118"/>
      <c r="R137" s="118"/>
      <c r="S137" s="118"/>
      <c r="T137" s="118"/>
      <c r="U137" s="118"/>
      <c r="V137" s="118"/>
    </row>
    <row r="138" outlineLevel="1">
      <c r="A138" s="146"/>
      <c r="B138" s="300" t="s">
        <v>245</v>
      </c>
      <c r="C138" s="307" t="str">
        <f t="array" ref="C138">INDEX('起きあがり'!$F$3:$G$115, MATCH($A$1,'起きあがり'!$A$3:$A$115,0), MATCH(C127,'起きあがり'!$F$2:$AD$2,0))</f>
        <v>1-22</v>
      </c>
      <c r="D138" s="308">
        <f t="array" ref="D138">INDEX('起きあがり'!$F$3:$G$115, MATCH($A$1,'起きあがり'!$A$3:$A$115,0), MATCH(D127,'起きあがり'!$F$2:$AD$2,0))</f>
        <v>35</v>
      </c>
      <c r="E138" s="301"/>
      <c r="F138" s="301"/>
      <c r="G138" s="301"/>
      <c r="H138" s="228"/>
      <c r="I138" s="228"/>
      <c r="J138" s="111"/>
      <c r="K138" s="146"/>
      <c r="L138" s="303" t="str">
        <f>'テンプレート'!L127</f>
        <v>後投げ</v>
      </c>
      <c r="M138" s="113" t="s">
        <v>128</v>
      </c>
      <c r="N138" s="113">
        <v>24.0</v>
      </c>
      <c r="O138" s="118"/>
      <c r="P138" s="118"/>
      <c r="Q138" s="118"/>
      <c r="R138" s="118"/>
      <c r="S138" s="118"/>
      <c r="T138" s="118"/>
      <c r="U138" s="118"/>
      <c r="V138" s="118"/>
    </row>
    <row r="139" outlineLevel="1">
      <c r="A139" s="146"/>
      <c r="B139" s="300" t="s">
        <v>246</v>
      </c>
      <c r="C139" s="113" t="str">
        <f t="array" ref="C139">INDEX('起きあがり'!$H$3:$I$115, MATCH($A$1,'起きあがり'!$A$3:$A$115,0), MATCH(C127,'起きあがり'!$H$2:$AD$2,0))</f>
        <v>1-22</v>
      </c>
      <c r="D139" s="113">
        <f t="array" ref="D139">INDEX('起きあがり'!$H$3:$I$115, MATCH($A$1,'起きあがり'!$A$3:$A$115,0), MATCH(D127,'起きあがり'!$H$2:$AD$2,0))</f>
        <v>35</v>
      </c>
      <c r="E139" s="301"/>
      <c r="F139" s="301"/>
      <c r="G139" s="301"/>
      <c r="H139" s="228"/>
      <c r="I139" s="228"/>
      <c r="J139" s="117"/>
      <c r="K139" s="146"/>
      <c r="L139" s="303" t="str">
        <f>'テンプレート'!L128</f>
        <v>上投げ</v>
      </c>
      <c r="M139" s="113" t="s">
        <v>128</v>
      </c>
      <c r="N139" s="113">
        <v>23.0</v>
      </c>
      <c r="O139" s="118"/>
      <c r="P139" s="118"/>
      <c r="Q139" s="118"/>
      <c r="R139" s="118"/>
      <c r="S139" s="118"/>
      <c r="T139" s="118"/>
      <c r="U139" s="118"/>
      <c r="V139" s="118"/>
    </row>
    <row r="140" outlineLevel="1">
      <c r="A140" s="146"/>
      <c r="B140" s="300" t="s">
        <v>249</v>
      </c>
      <c r="C140" s="309" t="str">
        <f t="array" ref="C140">INDEX('起きあがり'!$J$3:$M$115, MATCH($A$1,'起きあがり'!$A$3:$A$115,0), MATCH(C127,'起きあがり'!$J$2:$AD$2,0))</f>
        <v>1-21</v>
      </c>
      <c r="D140" s="310">
        <f t="array" ref="D140">INDEX('起きあがり'!$J$3:$M$115, MATCH($A$1,'起きあがり'!$A$3:$A$115,0), MATCH(D127,'起きあがり'!$J$2:$AD$2,0))</f>
        <v>45</v>
      </c>
      <c r="E140" s="307" t="str">
        <f t="array" ref="E140">INDEX('起きあがり'!$J$3:$M$115, MATCH($A$1,'起きあがり'!$A$3:$A$115,0), MATCH(E127,'起きあがり'!$J$2:$AD$2,0))</f>
        <v>16-17</v>
      </c>
      <c r="F140" s="308">
        <f t="array" ref="F140">INDEX('起きあがり'!$J$3:$M$115, MATCH($A$1,'起きあがり'!$A$3:$A$115,0), MATCH(F127,'起きあがり'!$J$2:$AD$2,0))</f>
        <v>7</v>
      </c>
      <c r="G140" s="113">
        <f t="shared" ref="G140:G141" si="1">F140*1.2</f>
        <v>8.4</v>
      </c>
      <c r="H140" s="228"/>
      <c r="I140" s="228"/>
      <c r="J140" s="111"/>
      <c r="K140" s="156"/>
      <c r="L140" s="303" t="str">
        <f>'テンプレート'!L129</f>
        <v>下投げ</v>
      </c>
      <c r="M140" s="113" t="s">
        <v>274</v>
      </c>
      <c r="N140" s="113">
        <v>19.0</v>
      </c>
      <c r="O140" s="111"/>
      <c r="P140" s="111"/>
      <c r="Q140" s="111"/>
      <c r="R140" s="111"/>
      <c r="S140" s="111"/>
      <c r="T140" s="111"/>
      <c r="U140" s="111"/>
      <c r="V140" s="111"/>
    </row>
    <row r="141" outlineLevel="1">
      <c r="A141" s="156"/>
      <c r="B141" s="311" t="s">
        <v>250</v>
      </c>
      <c r="C141" s="156"/>
      <c r="D141" s="156"/>
      <c r="E141" s="307" t="str">
        <f t="array" ref="E141">INDEX('起きあがり'!$N$3:$O$115, MATCH($A$1,'起きあがり'!$A$3:$A$115,0), MATCH(E127,'起きあがり'!$N$2:$AD$2,0))</f>
        <v>20-21</v>
      </c>
      <c r="F141" s="308">
        <f t="array" ref="F141">INDEX('起きあがり'!$N$3:$O$115, MATCH($A$1,'起きあがり'!$A$3:$A$115,0), MATCH(F127,'起きあがり'!$N$2:$AD$2,0))</f>
        <v>7</v>
      </c>
      <c r="G141" s="113">
        <f t="shared" si="1"/>
        <v>8.4</v>
      </c>
      <c r="H141" s="228"/>
      <c r="I141" s="228"/>
      <c r="J141" s="111"/>
      <c r="K141" s="312" t="str">
        <f>'テンプレート'!K130</f>
        <v>踏み台ジャンプ</v>
      </c>
      <c r="L141" s="168"/>
      <c r="M141" s="298" t="str">
        <f>'テンプレート'!M130</f>
        <v>全体フレーム</v>
      </c>
      <c r="N141" s="114"/>
      <c r="O141" s="111"/>
      <c r="P141" s="111"/>
      <c r="Q141" s="111"/>
      <c r="R141" s="111"/>
      <c r="S141" s="111"/>
      <c r="T141" s="111"/>
      <c r="U141" s="111"/>
      <c r="V141" s="111"/>
    </row>
    <row r="142" outlineLevel="1">
      <c r="A142" s="299" t="s">
        <v>251</v>
      </c>
      <c r="B142" s="300" t="s">
        <v>248</v>
      </c>
      <c r="C142" s="301"/>
      <c r="D142" s="307" t="str">
        <f t="array" ref="D142">INDEX('起きあがり'!$C$3:$C128, MATCH($A$1,'起きあがり'!$A$3:$A$115,0), MATCH(D127,'起きあがり'!$C$2,0))</f>
        <v>25</v>
      </c>
      <c r="E142" s="301"/>
      <c r="F142" s="301"/>
      <c r="G142" s="301"/>
      <c r="H142" s="228"/>
      <c r="I142" s="228"/>
      <c r="J142" s="117"/>
      <c r="K142" s="313" t="str">
        <f>'テンプレート'!K131</f>
        <v>踏み</v>
      </c>
      <c r="L142" s="314" t="str">
        <f>'テンプレート'!L131</f>
        <v>踏み</v>
      </c>
      <c r="M142" s="113">
        <v>8.0</v>
      </c>
      <c r="N142" s="315"/>
      <c r="O142" s="111"/>
      <c r="P142" s="111"/>
      <c r="Q142" s="111"/>
      <c r="R142" s="111"/>
      <c r="S142" s="111"/>
      <c r="T142" s="111"/>
      <c r="U142" s="111"/>
      <c r="V142" s="111"/>
    </row>
    <row r="143" outlineLevel="1">
      <c r="A143" s="146"/>
      <c r="B143" s="300" t="s">
        <v>216</v>
      </c>
      <c r="C143" s="307" t="str">
        <f t="array" ref="C143">INDEX('起きあがり'!$P$3:$Q$115, MATCH($A$1,'起きあがり'!$A$3:$A$115,0), MATCH(C127,'起きあがり'!$P$2:$AD$2,0))</f>
        <v>1-22</v>
      </c>
      <c r="D143" s="308">
        <f t="array" ref="D143">INDEX('起きあがり'!$P$3:$Q$115, MATCH($A$1,'起きあがり'!$A$3:$A$115,0), MATCH(D127,'起きあがり'!$P$2:$AD$2,0))</f>
        <v>29</v>
      </c>
      <c r="E143" s="301"/>
      <c r="F143" s="301"/>
      <c r="G143" s="301"/>
      <c r="H143" s="228"/>
      <c r="I143" s="228"/>
      <c r="J143" s="111"/>
      <c r="K143" s="305" t="str">
        <f>'テンプレート'!K132</f>
        <v>踏まれ</v>
      </c>
      <c r="L143" s="314" t="str">
        <f>'テンプレート'!L132</f>
        <v>地上踏まれ</v>
      </c>
      <c r="M143" s="113" t="s">
        <v>76</v>
      </c>
      <c r="N143" s="315"/>
      <c r="O143" s="228"/>
      <c r="P143" s="228"/>
      <c r="Q143" s="228"/>
      <c r="R143" s="228"/>
      <c r="S143" s="228"/>
      <c r="T143" s="228"/>
      <c r="U143" s="228"/>
      <c r="V143" s="228"/>
    </row>
    <row r="144" outlineLevel="1">
      <c r="A144" s="146"/>
      <c r="B144" s="300" t="s">
        <v>245</v>
      </c>
      <c r="C144" s="307" t="str">
        <f t="array" ref="C144">INDEX('起きあがり'!$R$3:$S$115, MATCH($A$1,'起きあがり'!$A$3:$A$115,0), MATCH(C127,'起きあがり'!$R$2:$AD$2,0))</f>
        <v>1-22</v>
      </c>
      <c r="D144" s="308">
        <f t="array" ref="D144">INDEX('起きあがり'!$R$3:$S$115, MATCH($A$1,'起きあがり'!$A$3:$A$115,0), MATCH(D127,'起きあがり'!$R$2:$AD$2,0))</f>
        <v>35</v>
      </c>
      <c r="E144" s="301"/>
      <c r="F144" s="301"/>
      <c r="G144" s="301"/>
      <c r="H144" s="228"/>
      <c r="I144" s="228"/>
      <c r="J144" s="117"/>
      <c r="K144" s="146"/>
      <c r="L144" s="314" t="str">
        <f>'テンプレート'!L133</f>
        <v>地上硬直</v>
      </c>
      <c r="M144" s="113">
        <v>28.0</v>
      </c>
      <c r="N144" s="102"/>
      <c r="O144" s="118"/>
      <c r="P144" s="118"/>
      <c r="Q144" s="118"/>
      <c r="R144" s="118"/>
      <c r="S144" s="118"/>
      <c r="T144" s="118"/>
      <c r="U144" s="118"/>
      <c r="V144" s="118"/>
    </row>
    <row r="145" outlineLevel="1">
      <c r="A145" s="146"/>
      <c r="B145" s="300" t="s">
        <v>246</v>
      </c>
      <c r="C145" s="307" t="str">
        <f t="array" ref="C145">INDEX('起きあがり'!$T$3:$U$115, MATCH($A$1,'起きあがり'!$A$3:$A$115,0), MATCH(C127,'起きあがり'!$T$2:$AD$2,0))</f>
        <v>1-22</v>
      </c>
      <c r="D145" s="308">
        <f t="array" ref="D145">INDEX('起きあがり'!$T$3:$U$115, MATCH($A$1,'起きあがり'!$A$3:$A$115,0), MATCH(D127,'起きあがり'!$T$2:$AD$2,0))</f>
        <v>35</v>
      </c>
      <c r="E145" s="301"/>
      <c r="F145" s="301"/>
      <c r="G145" s="301"/>
      <c r="H145" s="228"/>
      <c r="I145" s="228"/>
      <c r="J145" s="111"/>
      <c r="K145" s="146"/>
      <c r="L145" s="314" t="str">
        <f>'テンプレート'!L134</f>
        <v>空中踏まれ</v>
      </c>
      <c r="M145" s="113">
        <v>8.0</v>
      </c>
      <c r="N145" s="102"/>
      <c r="O145" s="118"/>
      <c r="P145" s="118"/>
      <c r="Q145" s="118"/>
      <c r="R145" s="118"/>
      <c r="S145" s="118"/>
      <c r="T145" s="118"/>
      <c r="U145" s="118"/>
      <c r="V145" s="118"/>
    </row>
    <row r="146" outlineLevel="1">
      <c r="A146" s="146"/>
      <c r="B146" s="300" t="s">
        <v>249</v>
      </c>
      <c r="C146" s="309" t="str">
        <f t="array" ref="C146">INDEX('起きあがり'!$V$3:$Y$115, MATCH($A$1,'起きあがり'!$A$3:$A$115,0), MATCH(C127,'起きあがり'!$V$2:$AD$2,0))</f>
        <v>1-21</v>
      </c>
      <c r="D146" s="310">
        <f t="array" ref="D146">INDEX('起きあがり'!$V$3:$Y$115, MATCH($A$1,'起きあがり'!$A$3:$A$115,0), MATCH(D127,'起きあがり'!$V$2:$AD$2,0))</f>
        <v>45</v>
      </c>
      <c r="E146" s="307" t="str">
        <f t="array" ref="E146">INDEX('起きあがり'!$V$3:$Y$115, MATCH($A$1,'起きあがり'!$A$3:$A$115,0), MATCH(E127,'起きあがり'!$V$2:$AD$2,0))</f>
        <v>16-17</v>
      </c>
      <c r="F146" s="308">
        <f t="array" ref="F146">INDEX('起きあがり'!$V$3:$Y$115, MATCH($A$1,'起きあがり'!$A$3:$A$115,0), MATCH(F127,'起きあがり'!$V$2:$AD$2,0))</f>
        <v>7</v>
      </c>
      <c r="G146" s="113">
        <f t="shared" ref="G146:G147" si="2">F146*1.2</f>
        <v>8.4</v>
      </c>
      <c r="H146" s="228"/>
      <c r="I146" s="228"/>
      <c r="J146" s="117"/>
      <c r="K146" s="146"/>
      <c r="L146" s="314" t="str">
        <f>'テンプレート'!L135</f>
        <v>空中落下</v>
      </c>
      <c r="M146" s="113">
        <v>40.0</v>
      </c>
      <c r="N146" s="102"/>
      <c r="O146" s="118"/>
      <c r="P146" s="118"/>
      <c r="Q146" s="118"/>
      <c r="R146" s="118"/>
      <c r="S146" s="118"/>
      <c r="T146" s="118"/>
      <c r="U146" s="118"/>
      <c r="V146" s="118"/>
    </row>
    <row r="147" outlineLevel="1">
      <c r="A147" s="156"/>
      <c r="B147" s="311" t="s">
        <v>250</v>
      </c>
      <c r="C147" s="156"/>
      <c r="D147" s="156"/>
      <c r="E147" s="307" t="str">
        <f t="array" ref="E147">INDEX('起きあがり'!$Z$3:$AA$115, MATCH($A$1,'起きあがり'!$A$3:$A$115,0), MATCH(E127,'起きあがり'!$Z$2:$AD$2,0))</f>
        <v>20-21</v>
      </c>
      <c r="F147" s="308">
        <f t="array" ref="F147">INDEX('起きあがり'!$Z$3:$AA$115, MATCH($A$1,'起きあがり'!$A$3:$A$115,0), MATCH(F127,'起きあがり'!$Z$2:$AD$2,0))</f>
        <v>7</v>
      </c>
      <c r="G147" s="113">
        <f t="shared" si="2"/>
        <v>8.4</v>
      </c>
      <c r="H147" s="228"/>
      <c r="I147" s="228"/>
      <c r="J147" s="117"/>
      <c r="K147" s="304" t="str">
        <f>'テンプレート'!K136</f>
        <v>倒れダメージ</v>
      </c>
      <c r="L147" s="110"/>
      <c r="M147" s="298" t="str">
        <f>'テンプレート'!M136</f>
        <v>全体フレーム</v>
      </c>
      <c r="N147" s="102"/>
      <c r="O147" s="118"/>
      <c r="P147" s="118"/>
      <c r="Q147" s="118"/>
      <c r="R147" s="118"/>
      <c r="S147" s="118"/>
      <c r="T147" s="118"/>
      <c r="U147" s="118"/>
      <c r="V147" s="118"/>
    </row>
    <row r="148" outlineLevel="1">
      <c r="A148" s="299" t="s">
        <v>252</v>
      </c>
      <c r="B148" s="300" t="s">
        <v>253</v>
      </c>
      <c r="C148" s="307" t="str">
        <f t="array" ref="C148">INDEX('転倒'!$C$3:$D128, MATCH($A$1,'転倒'!$A$3:$A$115,0), MATCH(C127,'転倒'!$C$2:$AC$2,0))</f>
        <v>1-5</v>
      </c>
      <c r="D148" s="308">
        <f t="array" ref="D148">INDEX('転倒'!$C$3:$D128, MATCH($A$1,'転倒'!$A$3:$A$115,0), MATCH(D127,'転倒'!$C$2:$AC$2,0))</f>
        <v>29</v>
      </c>
      <c r="E148" s="301"/>
      <c r="F148" s="301"/>
      <c r="G148" s="301"/>
      <c r="H148" s="228"/>
      <c r="I148" s="228"/>
      <c r="J148" s="111"/>
      <c r="K148" s="313" t="str">
        <f>'テンプレート'!K137</f>
        <v>あお向け倒れ</v>
      </c>
      <c r="L148" s="306" t="str">
        <f>'テンプレート'!L137</f>
        <v>モーション大</v>
      </c>
      <c r="M148" s="113">
        <v>40.0</v>
      </c>
      <c r="N148" s="315"/>
      <c r="O148" s="118"/>
      <c r="P148" s="118"/>
      <c r="Q148" s="118"/>
      <c r="R148" s="118"/>
      <c r="S148" s="118"/>
      <c r="T148" s="118"/>
      <c r="U148" s="118"/>
      <c r="V148" s="118"/>
    </row>
    <row r="149" outlineLevel="1">
      <c r="A149" s="146"/>
      <c r="B149" s="300" t="s">
        <v>254</v>
      </c>
      <c r="C149" s="307" t="str">
        <f t="array" ref="C149">INDEX('転倒'!$E$3:$F128, MATCH($A$1,'転倒'!$A$3:$A$115,0), MATCH(C127,'転倒'!$E$2:$AC$2,0))</f>
        <v>1-5</v>
      </c>
      <c r="D149" s="308">
        <f t="array" ref="D149">INDEX('転倒'!$E$3:$F128, MATCH($A$1,'転倒'!$A$3:$A$115,0), MATCH(D127,'転倒'!$E$2:$AC$2,0))</f>
        <v>39</v>
      </c>
      <c r="E149" s="301"/>
      <c r="F149" s="301"/>
      <c r="G149" s="301"/>
      <c r="H149" s="228"/>
      <c r="I149" s="228"/>
      <c r="J149" s="117"/>
      <c r="K149" s="313" t="str">
        <f>'テンプレート'!K138</f>
        <v>うつ伏せ倒れ</v>
      </c>
      <c r="L149" s="306" t="str">
        <f>'テンプレート'!L138</f>
        <v>モーション大</v>
      </c>
      <c r="M149" s="113" t="s">
        <v>628</v>
      </c>
      <c r="N149" s="315"/>
      <c r="O149" s="118"/>
      <c r="P149" s="118"/>
      <c r="Q149" s="118"/>
      <c r="R149" s="118"/>
      <c r="S149" s="118"/>
      <c r="T149" s="118"/>
      <c r="U149" s="118"/>
      <c r="V149" s="118"/>
    </row>
    <row r="150" outlineLevel="1">
      <c r="A150" s="146"/>
      <c r="B150" s="300" t="s">
        <v>216</v>
      </c>
      <c r="C150" s="307" t="str">
        <f t="array" ref="C150">INDEX('転倒'!$G$3:$H$115, MATCH($A$1,'転倒'!$A$3:$A$115,0), MATCH(C127,'転倒'!$G$2:$AC$2,0))</f>
        <v>1-16</v>
      </c>
      <c r="D150" s="308">
        <f t="array" ref="D150">INDEX('転倒'!$G$3:$H$115, MATCH($A$1,'転倒'!$A$3:$A$115,0), MATCH(D127,'転倒'!$G$2:$AC$2,0))</f>
        <v>21</v>
      </c>
      <c r="E150" s="301"/>
      <c r="F150" s="301"/>
      <c r="G150" s="301"/>
      <c r="H150" s="228"/>
      <c r="I150" s="228"/>
      <c r="J150" s="111"/>
      <c r="K150" s="304" t="str">
        <f>'テンプレート'!K139</f>
        <v/>
      </c>
      <c r="L150" s="110"/>
      <c r="M150" s="298" t="str">
        <f>'テンプレート'!M139</f>
        <v/>
      </c>
      <c r="N150" s="102"/>
      <c r="O150" s="118"/>
      <c r="P150" s="118"/>
      <c r="Q150" s="118"/>
      <c r="R150" s="118"/>
      <c r="S150" s="118"/>
      <c r="T150" s="118"/>
      <c r="U150" s="118"/>
      <c r="V150" s="118"/>
    </row>
    <row r="151" outlineLevel="1">
      <c r="A151" s="146"/>
      <c r="B151" s="300" t="s">
        <v>245</v>
      </c>
      <c r="C151" s="307" t="str">
        <f t="array" ref="C151">INDEX('転倒'!$I$3:$J$115, MATCH($A$1,'転倒'!$A$3:$A$115,0), MATCH(C127,'転倒'!$I$2:$AC$2,0))</f>
        <v>1-9</v>
      </c>
      <c r="D151" s="308">
        <f t="array" ref="D151">INDEX('転倒'!$I$3:$J$115, MATCH($A$1,'転倒'!$A$3:$A$115,0), MATCH(D127,'転倒'!$I$2:$AC$2,0))</f>
        <v>28</v>
      </c>
      <c r="E151" s="301"/>
      <c r="F151" s="301"/>
      <c r="G151" s="301"/>
      <c r="H151" s="228"/>
      <c r="I151" s="228"/>
      <c r="J151" s="228"/>
      <c r="K151" s="316"/>
      <c r="L151" s="317" t="str">
        <f>'テンプレート'!L140</f>
        <v/>
      </c>
      <c r="M151" s="113" t="s">
        <v>76</v>
      </c>
      <c r="N151" s="102"/>
      <c r="O151" s="118"/>
      <c r="P151" s="118"/>
      <c r="Q151" s="118"/>
      <c r="R151" s="118"/>
      <c r="S151" s="118"/>
      <c r="T151" s="118"/>
      <c r="U151" s="118"/>
      <c r="V151" s="118"/>
    </row>
    <row r="152" outlineLevel="1">
      <c r="A152" s="146"/>
      <c r="B152" s="300" t="s">
        <v>246</v>
      </c>
      <c r="C152" s="307" t="str">
        <f t="array" ref="C152">INDEX('転倒'!$K$3:$L$115, MATCH($A$1,'転倒'!$A$3:$A$115,0), MATCH(C127,'転倒'!$K$2:$AC$2,0))</f>
        <v>1-9</v>
      </c>
      <c r="D152" s="308">
        <f t="array" ref="D152">INDEX('転倒'!$K$3:$L$115, MATCH($A$1,'転倒'!$A$3:$A$115,0), MATCH(D127,'転倒'!$K$2:$AC$2,0))</f>
        <v>28</v>
      </c>
      <c r="E152" s="301"/>
      <c r="F152" s="301"/>
      <c r="G152" s="301"/>
      <c r="H152" s="228"/>
      <c r="I152" s="228"/>
      <c r="J152" s="228"/>
      <c r="K152" s="318"/>
      <c r="L152" s="118"/>
      <c r="M152" s="118"/>
      <c r="N152" s="102"/>
      <c r="O152" s="118"/>
      <c r="P152" s="118"/>
      <c r="Q152" s="118"/>
      <c r="R152" s="118"/>
      <c r="S152" s="118"/>
      <c r="T152" s="118"/>
      <c r="U152" s="118"/>
      <c r="V152" s="118"/>
    </row>
    <row r="153" outlineLevel="1">
      <c r="A153" s="146"/>
      <c r="B153" s="300" t="s">
        <v>249</v>
      </c>
      <c r="C153" s="309" t="str">
        <f t="array" ref="C153">INDEX('転倒'!$M$3:$P$115, MATCH($A$1,'転倒'!$A$3:$A$115,0), MATCH(C127,'転倒'!$M$2:$AC$2,0))</f>
        <v>1-7</v>
      </c>
      <c r="D153" s="310">
        <f t="array" ref="D153">INDEX('転倒'!$M$3:$P$115, MATCH($A$1,'転倒'!$A$3:$A$115,0), MATCH(D127,'転倒'!$M$2:$AC$2,0))</f>
        <v>49</v>
      </c>
      <c r="E153" s="307" t="str">
        <f t="array" ref="E153">INDEX('転倒'!$M$3:$P$115, MATCH($A$1,'転倒'!$A$3:$A$115,0), MATCH(E127,'転倒'!$M$2:$AC$2,0))</f>
        <v>19-20</v>
      </c>
      <c r="F153" s="308">
        <f t="array" ref="F153">INDEX('転倒'!$M$3:$P$115, MATCH($A$1,'転倒'!$A$3:$A$115,0), MATCH(F127,'転倒'!$M$2:$AC$2,0))</f>
        <v>5</v>
      </c>
      <c r="G153" s="113">
        <f t="shared" ref="G153:G154" si="3">F153*1.2</f>
        <v>6</v>
      </c>
      <c r="H153" s="228"/>
      <c r="I153" s="228"/>
      <c r="J153" s="228"/>
      <c r="K153" s="118"/>
      <c r="L153" s="118"/>
      <c r="M153" s="118"/>
      <c r="N153" s="102"/>
      <c r="O153" s="102"/>
      <c r="P153" s="102"/>
      <c r="Q153" s="102"/>
      <c r="R153" s="118"/>
      <c r="S153" s="118"/>
      <c r="T153" s="118"/>
      <c r="U153" s="118"/>
      <c r="V153" s="118"/>
    </row>
    <row r="154" outlineLevel="1">
      <c r="A154" s="156"/>
      <c r="B154" s="311" t="s">
        <v>250</v>
      </c>
      <c r="C154" s="156"/>
      <c r="D154" s="156"/>
      <c r="E154" s="307" t="str">
        <f t="array" ref="E154">INDEX('転倒'!$Q$3:$R$115, MATCH($A$1,'転倒'!$A$3:$A$115,0), MATCH(E127,'転倒'!$Q$2:$AC$2,0))</f>
        <v>28-29</v>
      </c>
      <c r="F154" s="308">
        <f t="array" ref="F154">INDEX('転倒'!$Q$3:$R$115, MATCH($A$1,'転倒'!$A$3:$A$115,0), MATCH(F127,'転倒'!$Q$2:$AC$2,0))</f>
        <v>5</v>
      </c>
      <c r="G154" s="113">
        <f t="shared" si="3"/>
        <v>6</v>
      </c>
      <c r="H154" s="228"/>
      <c r="I154" s="228"/>
      <c r="J154" s="228"/>
      <c r="K154" s="118"/>
      <c r="L154" s="118"/>
      <c r="M154" s="118"/>
      <c r="N154" s="102"/>
      <c r="O154" s="102"/>
      <c r="P154" s="102"/>
      <c r="Q154" s="102"/>
      <c r="R154" s="118"/>
      <c r="S154" s="118"/>
      <c r="T154" s="118"/>
      <c r="U154" s="118"/>
      <c r="V154" s="118"/>
    </row>
    <row r="155" outlineLevel="1">
      <c r="A155" s="319"/>
      <c r="B155" s="320"/>
      <c r="C155" s="321"/>
      <c r="D155" s="321"/>
      <c r="E155" s="322"/>
      <c r="F155" s="322"/>
      <c r="G155" s="114"/>
      <c r="H155" s="228"/>
      <c r="I155" s="228"/>
      <c r="J155" s="228"/>
      <c r="K155" s="118"/>
      <c r="L155" s="118"/>
      <c r="M155" s="118"/>
      <c r="N155" s="102"/>
      <c r="O155" s="102"/>
      <c r="P155" s="102"/>
      <c r="Q155" s="102"/>
      <c r="R155" s="118"/>
      <c r="S155" s="118"/>
      <c r="T155" s="118"/>
      <c r="U155" s="118"/>
      <c r="V155" s="118"/>
    </row>
    <row r="156" outlineLevel="1">
      <c r="A156" s="323" t="s">
        <v>255</v>
      </c>
      <c r="B156" s="109"/>
      <c r="C156" s="321"/>
      <c r="D156" s="321"/>
      <c r="E156" s="322"/>
      <c r="F156" s="322"/>
      <c r="G156" s="114"/>
      <c r="H156" s="228"/>
      <c r="I156" s="228"/>
      <c r="J156" s="228"/>
      <c r="K156" s="118"/>
      <c r="L156" s="118"/>
      <c r="M156" s="118"/>
      <c r="N156" s="102"/>
      <c r="O156" s="102"/>
      <c r="P156" s="102"/>
      <c r="Q156" s="102"/>
      <c r="R156" s="118"/>
      <c r="S156" s="118"/>
      <c r="T156" s="118"/>
      <c r="U156" s="118"/>
      <c r="V156" s="118"/>
    </row>
    <row r="157" outlineLevel="1">
      <c r="A157" s="324" t="s">
        <v>256</v>
      </c>
      <c r="B157" s="109"/>
      <c r="C157" s="325" t="s">
        <v>257</v>
      </c>
      <c r="D157" s="325" t="s">
        <v>49</v>
      </c>
      <c r="E157" s="322"/>
      <c r="F157" s="322"/>
      <c r="G157" s="114"/>
      <c r="H157" s="228"/>
      <c r="I157" s="228"/>
      <c r="J157" s="228"/>
      <c r="K157" s="118"/>
      <c r="L157" s="118"/>
      <c r="M157" s="118"/>
      <c r="N157" s="102"/>
      <c r="O157" s="102"/>
      <c r="P157" s="102"/>
      <c r="Q157" s="102"/>
      <c r="R157" s="118"/>
      <c r="S157" s="118"/>
      <c r="T157" s="118"/>
      <c r="U157" s="118"/>
      <c r="V157" s="118"/>
    </row>
    <row r="158" outlineLevel="1">
      <c r="A158" s="326" t="s">
        <v>258</v>
      </c>
      <c r="B158" s="327" t="s">
        <v>216</v>
      </c>
      <c r="C158" s="328" t="str">
        <f t="array" ref="C158">INDEX('アイテム'!$C$3:$D$114, MATCH($A$1,'アイテム'!$A$3:$A$114,0), MATCH(C157,'アイテム'!$C$2:$AQ$2,0))</f>
        <v>2</v>
      </c>
      <c r="D158" s="328">
        <f t="array" ref="D158">INDEX('アイテム'!$C$3:$D$114, MATCH($A$1,'アイテム'!$A$3:$A$114,0), MATCH(D157,'アイテム'!$C$2:$AQ$2,0))</f>
        <v>7</v>
      </c>
      <c r="E158" s="322"/>
      <c r="F158" s="322"/>
      <c r="G158" s="114"/>
      <c r="H158" s="228"/>
      <c r="I158" s="228"/>
      <c r="J158" s="228"/>
      <c r="K158" s="118"/>
      <c r="L158" s="118"/>
      <c r="M158" s="118"/>
      <c r="N158" s="102"/>
      <c r="O158" s="102"/>
      <c r="P158" s="102"/>
      <c r="Q158" s="102"/>
      <c r="R158" s="118"/>
      <c r="S158" s="118"/>
      <c r="T158" s="118"/>
      <c r="U158" s="118"/>
      <c r="V158" s="118"/>
    </row>
    <row r="159" outlineLevel="1">
      <c r="A159" s="156"/>
      <c r="B159" s="327" t="s">
        <v>219</v>
      </c>
      <c r="C159" s="328" t="str">
        <f t="array" ref="C159">INDEX('アイテム'!$E$3:$F$114, MATCH($A$1,'アイテム'!$A$3:$A$114,0), MATCH(C157,'アイテム'!$C$2:$AQ$2,0))</f>
        <v>2</v>
      </c>
      <c r="D159" s="328">
        <f t="array" ref="D159">INDEX('アイテム'!$E$3:$F$114, MATCH($A$1,'アイテム'!$A$3:$A$114,0), MATCH(D157,'アイテム'!$C$2:$AQ$2,0))</f>
        <v>19</v>
      </c>
      <c r="E159" s="322"/>
      <c r="F159" s="322"/>
      <c r="G159" s="114"/>
      <c r="H159" s="228"/>
      <c r="I159" s="228"/>
      <c r="J159" s="228"/>
      <c r="K159" s="118"/>
      <c r="L159" s="118"/>
      <c r="M159" s="118"/>
      <c r="N159" s="102"/>
      <c r="O159" s="102"/>
      <c r="P159" s="102"/>
      <c r="Q159" s="102"/>
      <c r="R159" s="118"/>
      <c r="S159" s="118"/>
      <c r="T159" s="118"/>
      <c r="U159" s="118"/>
      <c r="V159" s="118"/>
    </row>
    <row r="160" outlineLevel="1">
      <c r="A160" s="329" t="s">
        <v>259</v>
      </c>
      <c r="B160" s="327" t="s">
        <v>216</v>
      </c>
      <c r="C160" s="328">
        <f t="array" ref="C160">INDEX('アイテム'!$AA$3:$AB$114, MATCH($A$1,'アイテム'!$A$3:$A$114,0), MATCH(C157,'アイテム'!$C$2:$AQ$2,0))</f>
        <v>2</v>
      </c>
      <c r="D160" s="328" t="str">
        <f t="array" ref="D160">INDEX('アイテム'!$AA$3:$AB$114, MATCH($A$1,'アイテム'!$A$3:$A$114,0), MATCH(D157,'アイテム'!$C$2:$AQ$2,0))</f>
        <v>12</v>
      </c>
      <c r="E160" s="322"/>
      <c r="F160" s="322"/>
      <c r="G160" s="114"/>
      <c r="H160" s="228"/>
      <c r="I160" s="228"/>
      <c r="J160" s="228"/>
      <c r="K160" s="118"/>
      <c r="L160" s="118"/>
      <c r="M160" s="118"/>
      <c r="N160" s="102"/>
      <c r="O160" s="102"/>
      <c r="P160" s="102"/>
      <c r="Q160" s="102"/>
      <c r="R160" s="118"/>
      <c r="S160" s="118"/>
      <c r="T160" s="118"/>
      <c r="U160" s="118"/>
      <c r="V160" s="118"/>
    </row>
    <row r="161" outlineLevel="1">
      <c r="A161" s="324" t="s">
        <v>260</v>
      </c>
      <c r="B161" s="109"/>
      <c r="C161" s="325" t="s">
        <v>261</v>
      </c>
      <c r="D161" s="325" t="s">
        <v>49</v>
      </c>
      <c r="E161" s="322"/>
      <c r="F161" s="322"/>
      <c r="G161" s="114"/>
      <c r="H161" s="228"/>
      <c r="I161" s="228"/>
      <c r="J161" s="228"/>
      <c r="K161" s="118"/>
      <c r="L161" s="118"/>
      <c r="M161" s="118"/>
      <c r="N161" s="102"/>
      <c r="O161" s="102"/>
      <c r="P161" s="102"/>
      <c r="Q161" s="102"/>
      <c r="R161" s="118"/>
      <c r="S161" s="118"/>
      <c r="T161" s="118"/>
      <c r="U161" s="118"/>
      <c r="V161" s="118"/>
    </row>
    <row r="162" outlineLevel="1">
      <c r="A162" s="326" t="s">
        <v>262</v>
      </c>
      <c r="B162" s="327" t="s">
        <v>226</v>
      </c>
      <c r="C162" s="328" t="str">
        <f t="array" ref="C162">INDEX('アイテム'!$G$3:$H$114, MATCH($A$1,'アイテム'!$A$3:$A$114,0), MATCH(C157,'アイテム'!$C$2:$AQ$2,0))</f>
        <v>11</v>
      </c>
      <c r="D162" s="328">
        <f t="array" ref="D162">INDEX('アイテム'!$G$3:$H$114, MATCH($A$1,'アイテム'!$A$3:$A$114,0), MATCH(D157,'アイテム'!$C$2:$AQ$2,0))</f>
        <v>24</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229</v>
      </c>
      <c r="C163" s="328" t="str">
        <f t="array" ref="C163">INDEX('アイテム'!$I$3:$J$114, MATCH($A$1,'アイテム'!$A$3:$A$114,0), MATCH(C157,'アイテム'!$C$2:$AQ$2,0))</f>
        <v>11</v>
      </c>
      <c r="D163" s="328">
        <f t="array" ref="D163">INDEX('アイテム'!$I$3:$J$114, MATCH($A$1,'アイテム'!$A$3:$A$114,0), MATCH(D157,'アイテム'!$C$2:$AQ$2,0))</f>
        <v>24</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233</v>
      </c>
      <c r="C164" s="328" t="str">
        <f t="array" ref="C164">INDEX('アイテム'!$K$3:$L$114, MATCH($A$1,'アイテム'!$A$3:$A$114,0), MATCH(C157,'アイテム'!$C$2:$AQ$2,0))</f>
        <v>10</v>
      </c>
      <c r="D164" s="328">
        <f t="array" ref="D164">INDEX('アイテム'!$K$3:$L$114, MATCH($A$1,'アイテム'!$A$3:$A$114,0), MATCH(D157,'アイテム'!$C$2:$AQ$2,0))</f>
        <v>23</v>
      </c>
      <c r="E164" s="322"/>
      <c r="F164" s="322"/>
      <c r="G164" s="114"/>
      <c r="H164" s="228"/>
      <c r="I164" s="228"/>
      <c r="J164" s="228"/>
      <c r="K164" s="118"/>
      <c r="L164" s="118"/>
      <c r="M164" s="118"/>
      <c r="N164" s="102"/>
      <c r="O164" s="102"/>
      <c r="P164" s="102"/>
      <c r="Q164" s="102"/>
      <c r="R164" s="118"/>
      <c r="S164" s="118"/>
      <c r="T164" s="118"/>
      <c r="U164" s="118"/>
      <c r="V164" s="118"/>
    </row>
    <row r="165" outlineLevel="1">
      <c r="A165" s="146"/>
      <c r="B165" s="327" t="s">
        <v>234</v>
      </c>
      <c r="C165" s="328" t="str">
        <f t="array" ref="C165">INDEX('アイテム'!$M$3:$N$114, MATCH($A$1,'アイテム'!$A$3:$A$114,0), MATCH(C157,'アイテム'!$C$2:$AQ$2,0))</f>
        <v>10</v>
      </c>
      <c r="D165" s="328">
        <f t="array" ref="D165">INDEX('アイテム'!$M$3:$N$114, MATCH($A$1,'アイテム'!$A$3:$A$114,0), MATCH(D157,'アイテム'!$C$2:$AQ$2,0))</f>
        <v>19</v>
      </c>
      <c r="E165" s="322"/>
      <c r="F165" s="322"/>
      <c r="G165" s="114"/>
      <c r="H165" s="228"/>
      <c r="I165" s="228"/>
      <c r="J165" s="228"/>
      <c r="K165" s="118"/>
      <c r="L165" s="118"/>
      <c r="M165" s="118"/>
      <c r="N165" s="102"/>
      <c r="O165" s="102"/>
      <c r="P165" s="102"/>
      <c r="Q165" s="102"/>
      <c r="R165" s="118"/>
      <c r="S165" s="118"/>
      <c r="T165" s="118"/>
      <c r="U165" s="118"/>
      <c r="V165" s="118"/>
    </row>
    <row r="166" outlineLevel="1">
      <c r="A166" s="146"/>
      <c r="B166" s="327" t="s">
        <v>219</v>
      </c>
      <c r="C166" s="328" t="str">
        <f t="array" ref="C166">INDEX('アイテム'!$O$3:$P$114, MATCH($A$1,'アイテム'!$A$3:$A$114,0), MATCH(C157,'アイテム'!$C$2:$AQ$2,0))</f>
        <v>5</v>
      </c>
      <c r="D166" s="328">
        <f t="array" ref="D166">INDEX('アイテム'!$O$3:$P$114, MATCH($A$1,'アイテム'!$A$3:$A$114,0), MATCH(D157,'アイテム'!$C$2:$AQ$2,0))</f>
        <v>29</v>
      </c>
      <c r="E166" s="322"/>
      <c r="F166" s="322"/>
      <c r="G166" s="114"/>
      <c r="H166" s="228"/>
      <c r="I166" s="228"/>
      <c r="J166" s="228"/>
      <c r="K166" s="118"/>
      <c r="L166" s="118"/>
      <c r="M166" s="118"/>
      <c r="N166" s="102"/>
      <c r="O166" s="102"/>
      <c r="P166" s="102"/>
      <c r="Q166" s="102"/>
      <c r="R166" s="118"/>
      <c r="S166" s="118"/>
      <c r="T166" s="118"/>
      <c r="U166" s="118"/>
      <c r="V166" s="118"/>
    </row>
    <row r="167" outlineLevel="1">
      <c r="A167" s="156"/>
      <c r="B167" s="327" t="s">
        <v>263</v>
      </c>
      <c r="C167" s="328" t="str">
        <f t="array" ref="C167">INDEX('アイテム'!$Q$3:$R$114, MATCH($A$1,'アイテム'!$A$3:$A$114,0), MATCH(C157,'アイテム'!$C$2:$AQ$2,0))</f>
        <v>6</v>
      </c>
      <c r="D167" s="328">
        <f t="array" ref="D167">INDEX('アイテム'!$Q$3:$R$114, MATCH($A$1,'アイテム'!$A$3:$A$114,0), MATCH(D157,'アイテム'!$C$2:$AQ$2,0))</f>
        <v>23</v>
      </c>
      <c r="E167" s="322"/>
      <c r="F167" s="322"/>
      <c r="G167" s="114"/>
      <c r="H167" s="228"/>
      <c r="I167" s="228"/>
      <c r="J167" s="228"/>
      <c r="K167" s="118"/>
      <c r="L167" s="118"/>
      <c r="M167" s="118"/>
      <c r="N167" s="102"/>
      <c r="O167" s="102"/>
      <c r="P167" s="102"/>
      <c r="Q167" s="102"/>
      <c r="R167" s="118"/>
      <c r="S167" s="118"/>
      <c r="T167" s="118"/>
      <c r="U167" s="118"/>
      <c r="V167" s="118"/>
    </row>
    <row r="168" outlineLevel="1">
      <c r="A168" s="326" t="s">
        <v>264</v>
      </c>
      <c r="B168" s="327" t="s">
        <v>226</v>
      </c>
      <c r="C168" s="328" t="str">
        <f t="array" ref="C168">INDEX('アイテム'!$S$3:$T$114, MATCH($A$1,'アイテム'!$A$3:$A$114,0), MATCH(C157,'アイテム'!$C$2:$AQ$2,0))</f>
        <v>11</v>
      </c>
      <c r="D168" s="328">
        <f t="array" ref="D168">INDEX('アイテム'!$S$3:$T$114, MATCH($A$1,'アイテム'!$A$3:$A$114,0), MATCH(D157,'アイテム'!$C$2:$AQ$2,0))</f>
        <v>24</v>
      </c>
      <c r="E168" s="322"/>
      <c r="F168" s="322"/>
      <c r="G168" s="114"/>
      <c r="H168" s="228"/>
      <c r="I168" s="228"/>
      <c r="J168" s="228"/>
      <c r="K168" s="118"/>
      <c r="L168" s="118"/>
      <c r="M168" s="118"/>
      <c r="N168" s="102"/>
      <c r="O168" s="102"/>
      <c r="P168" s="102"/>
      <c r="Q168" s="102"/>
      <c r="R168" s="118"/>
      <c r="S168" s="118"/>
      <c r="T168" s="118"/>
      <c r="U168" s="118"/>
      <c r="V168" s="118"/>
    </row>
    <row r="169" outlineLevel="1">
      <c r="A169" s="146"/>
      <c r="B169" s="327" t="s">
        <v>229</v>
      </c>
      <c r="C169" s="328" t="str">
        <f t="array" ref="C169">INDEX('アイテム'!$U$3:$V$114, MATCH($A$1,'アイテム'!$A$3:$A$114,0), MATCH(C157,'アイテム'!$C$2:$AQ$2,0))</f>
        <v>11</v>
      </c>
      <c r="D169" s="328">
        <f t="array" ref="D169">INDEX('アイテム'!$U$3:$V$114, MATCH($A$1,'アイテム'!$A$3:$A$114,0), MATCH(D157,'アイテム'!$C$2:$AQ$2,0))</f>
        <v>24</v>
      </c>
      <c r="E169" s="322"/>
      <c r="F169" s="322"/>
      <c r="G169" s="114"/>
      <c r="H169" s="228"/>
      <c r="I169" s="228"/>
      <c r="J169" s="228"/>
      <c r="K169" s="118"/>
      <c r="L169" s="118"/>
      <c r="M169" s="118"/>
      <c r="N169" s="102"/>
      <c r="O169" s="102"/>
      <c r="P169" s="102"/>
      <c r="Q169" s="102"/>
      <c r="R169" s="118"/>
      <c r="S169" s="118"/>
      <c r="T169" s="118"/>
      <c r="U169" s="118"/>
      <c r="V169" s="118"/>
    </row>
    <row r="170" outlineLevel="1">
      <c r="A170" s="146"/>
      <c r="B170" s="327" t="s">
        <v>233</v>
      </c>
      <c r="C170" s="328" t="str">
        <f t="array" ref="C170">INDEX('アイテム'!$W$3:$X$114, MATCH($A$1,'アイテム'!$A$3:$A$114,0), MATCH(C157,'アイテム'!$C$2:$AQ$2,0))</f>
        <v>10</v>
      </c>
      <c r="D170" s="328">
        <f t="array" ref="D170">INDEX('アイテム'!$W$3:$X$114, MATCH($A$1,'アイテム'!$A$3:$A$114,0), MATCH(D157,'アイテム'!$C$2:$AQ$2,0))</f>
        <v>23</v>
      </c>
      <c r="E170" s="322"/>
      <c r="F170" s="322"/>
      <c r="G170" s="114"/>
      <c r="H170" s="228"/>
      <c r="I170" s="228"/>
      <c r="J170" s="228"/>
      <c r="K170" s="118"/>
      <c r="L170" s="118"/>
      <c r="M170" s="118"/>
      <c r="N170" s="102"/>
      <c r="O170" s="102"/>
      <c r="P170" s="102"/>
      <c r="Q170" s="102"/>
      <c r="R170" s="118"/>
      <c r="S170" s="118"/>
      <c r="T170" s="118"/>
      <c r="U170" s="118"/>
      <c r="V170" s="118"/>
    </row>
    <row r="171" outlineLevel="1">
      <c r="A171" s="156"/>
      <c r="B171" s="327" t="s">
        <v>234</v>
      </c>
      <c r="C171" s="328" t="str">
        <f t="array" ref="C171">INDEX('アイテム'!$Y$3:$Z$114, MATCH($A$1,'アイテム'!$A$3:$A$114,0), MATCH(C157,'アイテム'!$C$2:$AQ$2,0))</f>
        <v>10</v>
      </c>
      <c r="D171" s="328">
        <f t="array" ref="D171">INDEX('アイテム'!$Y$3:$Z$114, MATCH($A$1,'アイテム'!$A$3:$A$114,0), MATCH(D157,'アイテム'!$C$2:$AQ$2,0))</f>
        <v>19</v>
      </c>
      <c r="E171" s="322"/>
      <c r="F171" s="322"/>
      <c r="G171" s="114"/>
      <c r="H171" s="228"/>
      <c r="I171" s="228"/>
      <c r="J171" s="228"/>
      <c r="K171" s="118"/>
      <c r="L171" s="118"/>
      <c r="M171" s="118"/>
      <c r="N171" s="102"/>
      <c r="O171" s="102"/>
      <c r="P171" s="102"/>
      <c r="Q171" s="102"/>
      <c r="R171" s="118"/>
      <c r="S171" s="118"/>
      <c r="T171" s="118"/>
      <c r="U171" s="118"/>
      <c r="V171" s="118"/>
    </row>
    <row r="172" outlineLevel="1">
      <c r="A172" s="326" t="s">
        <v>265</v>
      </c>
      <c r="B172" s="327" t="s">
        <v>226</v>
      </c>
      <c r="C172" s="328">
        <f t="array" ref="C172">INDEX('アイテム'!$AC$3:$AD$114, MATCH($A$1,'アイテム'!$A$3:$A$114,0), MATCH(C157,'アイテム'!$C$2:$AQ$2,0))</f>
        <v>14</v>
      </c>
      <c r="D172" s="328" t="str">
        <f t="array" ref="D172">INDEX('アイテム'!$AC$3:$AD$114, MATCH($A$1,'アイテム'!$A$3:$A$114,0), MATCH(D157,'アイテム'!$C$2:$AQ$2,0))</f>
        <v>30</v>
      </c>
      <c r="E172" s="322"/>
      <c r="F172" s="322"/>
      <c r="G172" s="114"/>
      <c r="H172" s="228"/>
      <c r="I172" s="228"/>
      <c r="J172" s="228"/>
      <c r="K172" s="118"/>
      <c r="L172" s="118"/>
      <c r="M172" s="118"/>
      <c r="N172" s="102"/>
      <c r="O172" s="102"/>
      <c r="P172" s="102"/>
      <c r="Q172" s="102"/>
      <c r="R172" s="118"/>
      <c r="S172" s="118"/>
      <c r="T172" s="118"/>
      <c r="U172" s="118"/>
      <c r="V172" s="118"/>
    </row>
    <row r="173" outlineLevel="1">
      <c r="A173" s="146"/>
      <c r="B173" s="327" t="s">
        <v>229</v>
      </c>
      <c r="C173" s="328">
        <f t="array" ref="C173">INDEX('アイテム'!$AE$3:$AF$114, MATCH($A$1,'アイテム'!$A$3:$A$114,0), MATCH(C157,'アイテム'!$C$2:$AQ$2,0))</f>
        <v>14</v>
      </c>
      <c r="D173" s="328" t="str">
        <f t="array" ref="D173">INDEX('アイテム'!$AE$3:$AF$114, MATCH($A$1,'アイテム'!$A$3:$A$114,0), MATCH(D157,'アイテム'!$C$2:$AQ$2,0))</f>
        <v>30</v>
      </c>
      <c r="E173" s="322"/>
      <c r="F173" s="322"/>
      <c r="G173" s="114"/>
      <c r="H173" s="228"/>
      <c r="I173" s="228"/>
      <c r="J173" s="228"/>
      <c r="K173" s="118"/>
      <c r="L173" s="118"/>
      <c r="M173" s="118"/>
      <c r="N173" s="102"/>
      <c r="O173" s="102"/>
      <c r="P173" s="102"/>
      <c r="Q173" s="102"/>
      <c r="R173" s="118"/>
      <c r="S173" s="118"/>
      <c r="T173" s="118"/>
      <c r="U173" s="118"/>
      <c r="V173" s="118"/>
    </row>
    <row r="174" outlineLevel="1">
      <c r="A174" s="146"/>
      <c r="B174" s="327" t="s">
        <v>233</v>
      </c>
      <c r="C174" s="328">
        <f t="array" ref="C174">INDEX('アイテム'!$AG$3:$AH$114, MATCH($A$1,'アイテム'!$A$3:$A$114,0), MATCH(C157,'アイテム'!$C$2:$AQ$2,0))</f>
        <v>11</v>
      </c>
      <c r="D174" s="328" t="str">
        <f t="array" ref="D174">INDEX('アイテム'!$AG$3:$AH$114, MATCH($A$1,'アイテム'!$A$3:$A$114,0), MATCH(D157,'アイテム'!$C$2:$AQ$2,0))</f>
        <v>22</v>
      </c>
      <c r="E174" s="322"/>
      <c r="F174" s="322"/>
      <c r="G174" s="114"/>
      <c r="H174" s="228"/>
      <c r="I174" s="228"/>
      <c r="J174" s="228"/>
      <c r="K174" s="118"/>
      <c r="L174" s="118"/>
      <c r="M174" s="118"/>
      <c r="N174" s="102"/>
      <c r="O174" s="102"/>
      <c r="P174" s="102"/>
      <c r="Q174" s="102"/>
      <c r="R174" s="118"/>
      <c r="S174" s="118"/>
      <c r="T174" s="118"/>
      <c r="U174" s="118"/>
      <c r="V174" s="118"/>
    </row>
    <row r="175" outlineLevel="1">
      <c r="A175" s="156"/>
      <c r="B175" s="327" t="s">
        <v>234</v>
      </c>
      <c r="C175" s="328">
        <f t="array" ref="C175">INDEX('アイテム'!$AI$3:$AJ$114, MATCH($A$1,'アイテム'!$A$3:$A$114,0), MATCH(C157,'アイテム'!$C$2:$AQ$2,0))</f>
        <v>9</v>
      </c>
      <c r="D175" s="328" t="str">
        <f t="array" ref="D175">INDEX('アイテム'!$AI$3:$AJ$114, MATCH($A$1,'アイテム'!$A$3:$A$114,0), MATCH(D157,'アイテム'!$C$2:$AQ$2,0))</f>
        <v>22</v>
      </c>
      <c r="E175" s="322"/>
      <c r="F175" s="322"/>
      <c r="G175" s="114"/>
      <c r="H175" s="228"/>
      <c r="I175" s="228"/>
      <c r="J175" s="228"/>
      <c r="K175" s="118"/>
      <c r="L175" s="118"/>
      <c r="M175" s="118"/>
      <c r="N175" s="102"/>
      <c r="O175" s="102"/>
      <c r="P175" s="102"/>
      <c r="Q175" s="102"/>
      <c r="R175" s="118"/>
      <c r="S175" s="118"/>
      <c r="T175" s="118"/>
      <c r="U175" s="118"/>
      <c r="V175" s="118"/>
    </row>
  </sheetData>
  <mergeCells count="189">
    <mergeCell ref="H26:J26"/>
    <mergeCell ref="H27:J27"/>
    <mergeCell ref="H28:J28"/>
    <mergeCell ref="H29:J29"/>
    <mergeCell ref="H30:J31"/>
    <mergeCell ref="H32:J32"/>
    <mergeCell ref="H33:J34"/>
    <mergeCell ref="H35:J36"/>
    <mergeCell ref="H37:J38"/>
    <mergeCell ref="I49:I50"/>
    <mergeCell ref="J49:J50"/>
    <mergeCell ref="I51:I53"/>
    <mergeCell ref="J51:J53"/>
    <mergeCell ref="J54:J56"/>
    <mergeCell ref="I54:I56"/>
    <mergeCell ref="I57:I62"/>
    <mergeCell ref="J57:J62"/>
    <mergeCell ref="I63:I68"/>
    <mergeCell ref="J63:J68"/>
    <mergeCell ref="H71:J71"/>
    <mergeCell ref="H72:J72"/>
    <mergeCell ref="L93:L94"/>
    <mergeCell ref="M93:M94"/>
    <mergeCell ref="N93:N94"/>
    <mergeCell ref="O93:O94"/>
    <mergeCell ref="P93:P94"/>
    <mergeCell ref="Q93:Q94"/>
    <mergeCell ref="H79:J79"/>
    <mergeCell ref="H80:J86"/>
    <mergeCell ref="H87:J87"/>
    <mergeCell ref="H88:J88"/>
    <mergeCell ref="H89:J89"/>
    <mergeCell ref="H90:J100"/>
    <mergeCell ref="K93:K94"/>
    <mergeCell ref="G103:I103"/>
    <mergeCell ref="G104:I104"/>
    <mergeCell ref="G105:I105"/>
    <mergeCell ref="G106:I106"/>
    <mergeCell ref="G107:I107"/>
    <mergeCell ref="G108:J108"/>
    <mergeCell ref="G109:J110"/>
    <mergeCell ref="K137:K140"/>
    <mergeCell ref="K141:L141"/>
    <mergeCell ref="K143:K146"/>
    <mergeCell ref="K147:L147"/>
    <mergeCell ref="K150:L150"/>
    <mergeCell ref="G111:J112"/>
    <mergeCell ref="G113:J114"/>
    <mergeCell ref="G115:J116"/>
    <mergeCell ref="K127:L127"/>
    <mergeCell ref="K128:K129"/>
    <mergeCell ref="K130:L130"/>
    <mergeCell ref="K131:K136"/>
    <mergeCell ref="U30:U31"/>
    <mergeCell ref="U33:U34"/>
    <mergeCell ref="U35:U36"/>
    <mergeCell ref="U37:U38"/>
    <mergeCell ref="U39:U41"/>
    <mergeCell ref="U42:U45"/>
    <mergeCell ref="R48:V48"/>
    <mergeCell ref="R49:V50"/>
    <mergeCell ref="R51:V53"/>
    <mergeCell ref="R54:V56"/>
    <mergeCell ref="R57:V62"/>
    <mergeCell ref="R63:V68"/>
    <mergeCell ref="U72:U78"/>
    <mergeCell ref="V72:V78"/>
    <mergeCell ref="U95:U98"/>
    <mergeCell ref="V95:V98"/>
    <mergeCell ref="U99:U100"/>
    <mergeCell ref="V99:V100"/>
    <mergeCell ref="U90:U91"/>
    <mergeCell ref="V90:V91"/>
    <mergeCell ref="R93:R94"/>
    <mergeCell ref="S93:S94"/>
    <mergeCell ref="T93:T94"/>
    <mergeCell ref="U93:U94"/>
    <mergeCell ref="V93:V94"/>
    <mergeCell ref="H6:H7"/>
    <mergeCell ref="H10:H11"/>
    <mergeCell ref="H73:J73"/>
    <mergeCell ref="H74:J74"/>
    <mergeCell ref="H75:J75"/>
    <mergeCell ref="H76:J76"/>
    <mergeCell ref="H77:J77"/>
    <mergeCell ref="H78:J78"/>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C35:C36"/>
    <mergeCell ref="D35:D36"/>
    <mergeCell ref="A39:A41"/>
    <mergeCell ref="D39:D41"/>
    <mergeCell ref="H39:J41"/>
    <mergeCell ref="A42:A45"/>
    <mergeCell ref="D42:D45"/>
    <mergeCell ref="H42:J45"/>
    <mergeCell ref="U80:U86"/>
    <mergeCell ref="V80:V86"/>
    <mergeCell ref="C93:C94"/>
    <mergeCell ref="C97:C98"/>
    <mergeCell ref="A72:A78"/>
    <mergeCell ref="A80:A86"/>
    <mergeCell ref="A87:B87"/>
    <mergeCell ref="A89:B89"/>
    <mergeCell ref="A90:A91"/>
    <mergeCell ref="A93:A94"/>
    <mergeCell ref="A95:A98"/>
    <mergeCell ref="A99:A100"/>
    <mergeCell ref="A102:B103"/>
    <mergeCell ref="A105:A107"/>
    <mergeCell ref="A108:B108"/>
    <mergeCell ref="A109:A110"/>
    <mergeCell ref="A111:A112"/>
    <mergeCell ref="A113:A114"/>
    <mergeCell ref="A136:A141"/>
    <mergeCell ref="C140:C141"/>
    <mergeCell ref="D140:D141"/>
    <mergeCell ref="C146:C147"/>
    <mergeCell ref="D146:D147"/>
    <mergeCell ref="A115:A116"/>
    <mergeCell ref="A118:B119"/>
    <mergeCell ref="A120:A122"/>
    <mergeCell ref="A123:A124"/>
    <mergeCell ref="A126:B127"/>
    <mergeCell ref="A128:A132"/>
    <mergeCell ref="A133:A135"/>
    <mergeCell ref="A158:A159"/>
    <mergeCell ref="A162:A167"/>
    <mergeCell ref="A168:A171"/>
    <mergeCell ref="A172:A175"/>
    <mergeCell ref="A142:A147"/>
    <mergeCell ref="A148:A154"/>
    <mergeCell ref="C153:C154"/>
    <mergeCell ref="D153:D154"/>
    <mergeCell ref="A156:B156"/>
    <mergeCell ref="A157:B157"/>
    <mergeCell ref="A161:B161"/>
    <mergeCell ref="D33:D34"/>
    <mergeCell ref="D37:D38"/>
    <mergeCell ref="A24:B25"/>
    <mergeCell ref="A26:A29"/>
    <mergeCell ref="A30:A31"/>
    <mergeCell ref="D30:D31"/>
    <mergeCell ref="A33:A34"/>
    <mergeCell ref="A35:A36"/>
    <mergeCell ref="A37:A38"/>
    <mergeCell ref="D54:D56"/>
    <mergeCell ref="C57:C59"/>
    <mergeCell ref="D57:D62"/>
    <mergeCell ref="C60:C62"/>
    <mergeCell ref="A47:B48"/>
    <mergeCell ref="A49:A50"/>
    <mergeCell ref="D49:D50"/>
    <mergeCell ref="A51:A53"/>
    <mergeCell ref="D51:D53"/>
    <mergeCell ref="A54:A56"/>
    <mergeCell ref="A57:A62"/>
    <mergeCell ref="A63:A68"/>
    <mergeCell ref="C63:C65"/>
    <mergeCell ref="D63:D68"/>
    <mergeCell ref="C66:C68"/>
    <mergeCell ref="A70:B70"/>
    <mergeCell ref="A71:B71"/>
    <mergeCell ref="A79:B79"/>
    <mergeCell ref="E105:F107"/>
    <mergeCell ref="D109:D110"/>
    <mergeCell ref="D111:D112"/>
    <mergeCell ref="D113:D114"/>
    <mergeCell ref="D115:D116"/>
    <mergeCell ref="D80:D81"/>
    <mergeCell ref="D83:D84"/>
    <mergeCell ref="E93:E94"/>
    <mergeCell ref="F93:F94"/>
    <mergeCell ref="G93:G94"/>
    <mergeCell ref="D95:D96"/>
    <mergeCell ref="D97:D98"/>
  </mergeCells>
  <conditionalFormatting sqref="K1:K15 K17:K71 K79:K85 K87 K89 K92:K93 K95:K108 K110 K112 K114 K116:K151">
    <cfRule type="containsText" dxfId="0" priority="1" operator="containsText" text="361">
      <formula>NOT(ISERROR(SEARCH(("361"),(K1))))</formula>
    </cfRule>
  </conditionalFormatting>
  <conditionalFormatting sqref="K1:K15 K17:K71 K79:K85 K87 K89 K92:K93 K95:K108 K110 K112 K114 K116:K151">
    <cfRule type="containsText" dxfId="1" priority="2" operator="containsText" text="363">
      <formula>NOT(ISERROR(SEARCH(("363"),(K1))))</formula>
    </cfRule>
  </conditionalFormatting>
  <conditionalFormatting sqref="K1:K15 K17:K71 K79:K85 K87 K89 K92:K93 K95:K108 K110 K112 K114 K116:K151">
    <cfRule type="containsText" dxfId="1" priority="3" operator="containsText" text="365">
      <formula>NOT(ISERROR(SEARCH(("365"),(K1))))</formula>
    </cfRule>
  </conditionalFormatting>
  <conditionalFormatting sqref="K1:K15 K17:K71 K79:K85 K87 K89 K92:K93 K95:K108 K110 K112 K114 K116:K151">
    <cfRule type="containsText" dxfId="1" priority="4" operator="containsText" text="366">
      <formula>NOT(ISERROR(SEARCH(("366"),(K1))))</formula>
    </cfRule>
  </conditionalFormatting>
  <conditionalFormatting sqref="K1:K15 K17:K71 K79:K85 K87 K89 K92:K93 K95:K108 K110 K112 K114 K116:K151">
    <cfRule type="containsText" dxfId="1" priority="5" operator="containsText" text="367">
      <formula>NOT(ISERROR(SEARCH(("367"),(K1))))</formula>
    </cfRule>
  </conditionalFormatting>
  <conditionalFormatting sqref="P110 P112 P114 P116">
    <cfRule type="cellIs" dxfId="2" priority="6" operator="equal">
      <formula>"敵のみ"</formula>
    </cfRule>
  </conditionalFormatting>
  <conditionalFormatting sqref="C110 C112 C114 C116">
    <cfRule type="cellIs" dxfId="3" priority="7" operator="equal">
      <formula>"-"</formula>
    </cfRule>
  </conditionalFormatting>
  <conditionalFormatting sqref="O1:O71 O79:O85 O87 O89 O92:O93 O95:O108 O110 O112 O114 O116:O175">
    <cfRule type="cellIs" dxfId="4" priority="8" operator="greaterThan">
      <formula>0</formula>
    </cfRule>
  </conditionalFormatting>
  <conditionalFormatting sqref="P1:Q71 P79:Q85 P87:Q87 P89:Q89 P92:Q93 P95:Q108 P110:Q110 P112:Q112 P114:Q114 P116:Q175">
    <cfRule type="cellIs" dxfId="5" priority="9" operator="lessThan">
      <formula>1</formula>
    </cfRule>
  </conditionalFormatting>
  <conditionalFormatting sqref="P1:Q71 P79:Q85 P87:Q87 P89:Q89 P92:Q93 P95:Q108 P110:Q110 P112:Q112 P114:Q114 P116:Q175">
    <cfRule type="cellIs" dxfId="4" priority="10" operator="greaterThan">
      <formula>1</formula>
    </cfRule>
  </conditionalFormatting>
  <conditionalFormatting sqref="N25:N71 N79:N85 N87 N89 N92:N93 N95:N108 N110 N112 N114 N116">
    <cfRule type="cellIs" dxfId="6" priority="11" operator="greaterThan">
      <formula>0</formula>
    </cfRule>
  </conditionalFormatting>
  <conditionalFormatting sqref="N1:N15 N17:N71 N79:N85 N87 N89 N92:N93 N95:N108 N110 N112 N114 N116:N175">
    <cfRule type="containsText" dxfId="6" priority="12" operator="containsText" text="/">
      <formula>NOT(ISERROR(SEARCH(("/"),(N1))))</formula>
    </cfRule>
  </conditionalFormatting>
  <drawing r:id="rId2"/>
  <legacyDrawing r:id="rId3"/>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E77D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116">
        <v>46.0</v>
      </c>
      <c r="B1" s="2117"/>
      <c r="C1" s="2118" t="str">
        <f>IMAGE(VLOOKUP($A$1,Fighters!A2:AI114,12,FALSE),1)</f>
        <v>#REF!</v>
      </c>
      <c r="D1" s="2119"/>
      <c r="E1" s="2119"/>
      <c r="F1" s="2119"/>
      <c r="G1" s="2120"/>
      <c r="H1" s="2121"/>
      <c r="I1" s="2119"/>
      <c r="J1" s="2120"/>
      <c r="K1" s="2122"/>
      <c r="L1" s="2119"/>
      <c r="M1" s="2120"/>
      <c r="N1" s="2123"/>
      <c r="O1" s="2123"/>
      <c r="P1" s="2123"/>
      <c r="Q1" s="2123"/>
      <c r="R1" s="2124"/>
      <c r="S1" s="2124"/>
      <c r="T1" s="2124"/>
      <c r="U1" s="2124"/>
      <c r="V1" s="2124"/>
    </row>
    <row r="2">
      <c r="A2" s="2125" t="str">
        <f>VLOOKUP($A$1,Fighters!$A$2:$AI$81,6,FALSE)</f>
        <v>#4e77db</v>
      </c>
      <c r="B2" s="2117"/>
      <c r="C2" s="2126"/>
      <c r="G2" s="2127"/>
      <c r="H2" s="2128"/>
      <c r="I2" s="2129"/>
      <c r="J2" s="2130"/>
      <c r="K2" s="2128"/>
      <c r="L2" s="2129"/>
      <c r="M2" s="2130"/>
      <c r="N2" s="2123"/>
      <c r="O2" s="2123"/>
      <c r="P2" s="2123"/>
      <c r="Q2" s="2123"/>
      <c r="R2" s="2124"/>
      <c r="S2" s="2124"/>
      <c r="T2" s="2124"/>
      <c r="U2" s="2124"/>
      <c r="V2" s="2124"/>
    </row>
    <row r="3">
      <c r="A3" s="2125" t="str">
        <f>VLOOKUP($A$1,Fighters!$A$2:$AI$81,14,FALSE)</f>
        <v>46. ロックマン</v>
      </c>
      <c r="B3" s="2117"/>
      <c r="C3" s="2126"/>
      <c r="G3" s="2127"/>
      <c r="H3" s="2131"/>
      <c r="I3" s="2131"/>
      <c r="J3" s="2131"/>
      <c r="K3" s="2132"/>
      <c r="L3" s="2132"/>
      <c r="M3" s="2132"/>
      <c r="N3" s="2123"/>
      <c r="O3" s="2123"/>
      <c r="P3" s="2123"/>
      <c r="Q3" s="2123"/>
      <c r="R3" s="2133"/>
      <c r="S3" s="2124"/>
      <c r="T3" s="2124"/>
      <c r="U3" s="2124"/>
      <c r="V3" s="2124"/>
    </row>
    <row r="4">
      <c r="A4" s="2125" t="str">
        <f>VLOOKUP($A$1,Fighters!$A$2:$AI$81,13,FALSE)</f>
        <v>0</v>
      </c>
      <c r="B4" s="2117"/>
      <c r="C4" s="2126"/>
      <c r="G4" s="2127"/>
      <c r="H4" s="2134"/>
      <c r="I4" s="2134"/>
      <c r="J4" s="2131"/>
      <c r="K4" s="2132"/>
      <c r="L4" s="2132"/>
      <c r="M4" s="2132"/>
      <c r="N4" s="2123"/>
      <c r="O4" s="2123"/>
      <c r="P4" s="2123"/>
      <c r="Q4" s="2123"/>
      <c r="R4" s="2133"/>
      <c r="S4" s="2124"/>
      <c r="T4" s="2124"/>
      <c r="U4" s="2124"/>
      <c r="V4" s="2124"/>
    </row>
    <row r="5" ht="16.5" customHeight="1">
      <c r="A5" s="2116"/>
      <c r="B5" s="2117"/>
      <c r="C5" s="2126"/>
      <c r="G5" s="2127"/>
      <c r="H5" s="2135"/>
      <c r="I5" s="2135"/>
      <c r="J5" s="2136"/>
      <c r="K5" s="2137"/>
      <c r="L5" s="2138"/>
      <c r="M5" s="2138"/>
      <c r="N5" s="2123"/>
      <c r="O5" s="2123"/>
      <c r="P5" s="2123"/>
      <c r="Q5" s="2123"/>
      <c r="R5" s="2133"/>
      <c r="S5" s="2124"/>
      <c r="T5" s="2124"/>
      <c r="U5" s="2124"/>
      <c r="V5" s="2124"/>
    </row>
    <row r="6">
      <c r="A6" s="2117"/>
      <c r="B6" s="2117"/>
      <c r="C6" s="2126"/>
      <c r="G6" s="2127"/>
      <c r="H6" s="2134"/>
      <c r="I6" s="2139" t="s">
        <v>39</v>
      </c>
      <c r="J6" s="2137"/>
      <c r="K6" s="2140"/>
      <c r="L6" s="2138"/>
      <c r="M6" s="2138"/>
      <c r="N6" s="2123"/>
      <c r="O6" s="2123"/>
      <c r="P6" s="2123"/>
      <c r="Q6" s="2123"/>
      <c r="R6" s="2133"/>
      <c r="S6" s="2124"/>
      <c r="T6" s="2124"/>
      <c r="U6" s="2124"/>
      <c r="V6" s="2124"/>
    </row>
    <row r="7">
      <c r="A7" s="2117"/>
      <c r="B7" s="2117"/>
      <c r="C7" s="2126"/>
      <c r="G7" s="2127"/>
      <c r="H7" s="2135"/>
      <c r="I7" s="2135"/>
      <c r="J7" s="2137"/>
      <c r="K7" s="2140"/>
      <c r="L7" s="2138"/>
      <c r="M7" s="2138"/>
      <c r="N7" s="2123"/>
      <c r="O7" s="2123"/>
      <c r="P7" s="2123"/>
      <c r="Q7" s="2123"/>
      <c r="R7" s="2133"/>
      <c r="S7" s="2124"/>
      <c r="T7" s="2124"/>
      <c r="U7" s="2124"/>
      <c r="V7" s="2124"/>
    </row>
    <row r="8">
      <c r="A8" s="2117"/>
      <c r="B8" s="2117"/>
      <c r="C8" s="2126"/>
      <c r="G8" s="2127"/>
      <c r="H8" s="2141">
        <v>44533.42014664352</v>
      </c>
      <c r="I8" s="2119"/>
      <c r="J8" s="2120"/>
      <c r="K8" s="2137"/>
      <c r="L8" s="2138"/>
      <c r="M8" s="2138"/>
      <c r="N8" s="2123"/>
      <c r="O8" s="2123"/>
      <c r="P8" s="2123"/>
      <c r="Q8" s="2123"/>
      <c r="R8" s="2133"/>
      <c r="S8" s="2124"/>
      <c r="T8" s="2124"/>
      <c r="U8" s="2124"/>
      <c r="V8" s="2124"/>
    </row>
    <row r="9">
      <c r="A9" s="2117"/>
      <c r="B9" s="2117"/>
      <c r="C9" s="2126"/>
      <c r="G9" s="2127"/>
      <c r="H9" s="2128"/>
      <c r="I9" s="2129"/>
      <c r="J9" s="2130"/>
      <c r="K9" s="2124"/>
      <c r="L9" s="2123"/>
      <c r="M9" s="2123"/>
      <c r="N9" s="2123"/>
      <c r="O9" s="2123"/>
      <c r="P9" s="2123"/>
      <c r="Q9" s="2123"/>
      <c r="R9" s="2133"/>
      <c r="S9" s="2124"/>
      <c r="T9" s="2124"/>
      <c r="U9" s="2124"/>
      <c r="V9" s="2124"/>
    </row>
    <row r="10">
      <c r="A10" s="2117"/>
      <c r="B10" s="2117"/>
      <c r="C10" s="2126"/>
      <c r="G10" s="2127"/>
      <c r="H10" s="2142"/>
      <c r="I10" s="2142"/>
      <c r="J10" s="2124"/>
      <c r="K10" s="2124"/>
      <c r="L10" s="2123"/>
      <c r="M10" s="2123"/>
      <c r="N10" s="2123"/>
      <c r="O10" s="2123"/>
      <c r="P10" s="2123"/>
      <c r="Q10" s="2123"/>
      <c r="R10" s="2133"/>
      <c r="S10" s="2124"/>
      <c r="T10" s="2124"/>
      <c r="U10" s="2124"/>
      <c r="V10" s="2124"/>
    </row>
    <row r="11">
      <c r="A11" s="2143" t="s">
        <v>40</v>
      </c>
      <c r="B11" s="2120"/>
      <c r="C11" s="2126"/>
      <c r="G11" s="2127"/>
      <c r="H11" s="2135"/>
      <c r="I11" s="2135"/>
      <c r="J11" s="2124"/>
      <c r="K11" s="2124"/>
      <c r="L11" s="2123"/>
      <c r="M11" s="2123"/>
      <c r="N11" s="2123"/>
      <c r="O11" s="2123"/>
      <c r="P11" s="2123"/>
      <c r="Q11" s="2123"/>
      <c r="R11" s="2133"/>
      <c r="S11" s="2124"/>
      <c r="T11" s="2124"/>
      <c r="U11" s="2124"/>
      <c r="V11" s="2124"/>
    </row>
    <row r="12">
      <c r="A12" s="2128"/>
      <c r="B12" s="2130"/>
      <c r="C12" s="2128"/>
      <c r="D12" s="2129"/>
      <c r="E12" s="2129"/>
      <c r="F12" s="2129"/>
      <c r="G12" s="2130"/>
      <c r="H12" s="2144"/>
      <c r="I12" s="2144"/>
      <c r="J12" s="2117"/>
      <c r="K12" s="2117"/>
      <c r="L12" s="2123"/>
      <c r="M12" s="2123"/>
      <c r="N12" s="2123"/>
      <c r="O12" s="2123"/>
      <c r="P12" s="2123"/>
      <c r="Q12" s="2123"/>
      <c r="R12" s="2133"/>
      <c r="S12" s="2124"/>
      <c r="T12" s="2124"/>
      <c r="U12" s="2124"/>
      <c r="V12" s="212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102 [29th]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29F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1.958 [36th]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1.132 [42nd]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47F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32.8 [44th]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1.602 [58th]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19F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0.094 [68th]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11.49 [86th]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1.155 [20th]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33F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0.11 [6th]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32.8 [46th]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22F [84th]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 [13th]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0.05 [1st]</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2.88 [13th]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0.107 [30th]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tr">
        <f>'テンプレート'!A24</f>
        <v>地上攻撃</v>
      </c>
      <c r="B24" s="104"/>
      <c r="C24" s="120"/>
      <c r="D24" s="121"/>
      <c r="E24" s="121"/>
      <c r="F24" s="122"/>
      <c r="G24" s="123"/>
      <c r="H24" s="121">
        <v>3.0</v>
      </c>
      <c r="I24" s="121"/>
      <c r="J24" s="121"/>
      <c r="K24" s="121"/>
      <c r="L24" s="124"/>
      <c r="M24" s="124"/>
      <c r="N24" s="125"/>
      <c r="O24" s="125"/>
      <c r="P24" s="125"/>
      <c r="Q24" s="126"/>
      <c r="R24" s="124"/>
      <c r="S24" s="124"/>
      <c r="T24" s="124"/>
      <c r="U24" s="124"/>
      <c r="V24" s="124"/>
    </row>
    <row r="25" outlineLevel="1">
      <c r="A25" s="106"/>
      <c r="B25" s="107"/>
      <c r="C25" s="127" t="str">
        <f>'テンプレート'!C25</f>
        <v>判定持続</v>
      </c>
      <c r="D25" s="128" t="str">
        <f>'テンプレート'!D25</f>
        <v>全体フレーム</v>
      </c>
      <c r="E25" s="128" t="str">
        <f>'テンプレート'!E25</f>
        <v>基礎ダメージ</v>
      </c>
      <c r="F25" s="129" t="str">
        <f>'テンプレート'!F25</f>
        <v>ダメージ (1v1)</v>
      </c>
      <c r="G25" s="128" t="str">
        <f>'テンプレート'!G25</f>
        <v>ガード硬直</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3322</v>
      </c>
      <c r="B26" s="134" t="s">
        <v>2625</v>
      </c>
      <c r="C26" s="616" t="s">
        <v>3323</v>
      </c>
      <c r="D26" s="549" t="s">
        <v>3324</v>
      </c>
      <c r="E26" s="139" t="s">
        <v>213</v>
      </c>
      <c r="F26" s="138">
        <v>1.2</v>
      </c>
      <c r="G26" s="139" t="s">
        <v>60</v>
      </c>
      <c r="H26" s="163" t="s">
        <v>3325</v>
      </c>
      <c r="I26" s="164"/>
      <c r="J26" s="104"/>
      <c r="K26" s="138"/>
      <c r="L26" s="282"/>
      <c r="M26" s="363"/>
      <c r="N26" s="363"/>
      <c r="O26" s="145">
        <v>1.0</v>
      </c>
      <c r="P26" s="145">
        <v>1.0</v>
      </c>
      <c r="Q26" s="145">
        <v>1.0</v>
      </c>
      <c r="R26" s="100"/>
      <c r="S26" s="100"/>
      <c r="T26" s="100"/>
      <c r="U26" s="166" t="s">
        <v>62</v>
      </c>
      <c r="V26" s="100"/>
    </row>
    <row r="27" outlineLevel="1">
      <c r="A27" s="146"/>
      <c r="B27" s="134" t="s">
        <v>3326</v>
      </c>
      <c r="C27" s="216" t="s">
        <v>975</v>
      </c>
      <c r="D27" s="210"/>
      <c r="E27" s="216" t="s">
        <v>176</v>
      </c>
      <c r="F27" s="138">
        <v>2.4</v>
      </c>
      <c r="G27" s="216" t="s">
        <v>170</v>
      </c>
      <c r="H27" s="212"/>
      <c r="J27" s="210"/>
      <c r="K27" s="282"/>
      <c r="L27" s="282"/>
      <c r="M27" s="363"/>
      <c r="N27" s="363"/>
      <c r="O27" s="145">
        <v>0.0</v>
      </c>
      <c r="P27" s="145">
        <v>1.0</v>
      </c>
      <c r="Q27" s="145">
        <v>0.5</v>
      </c>
      <c r="R27" s="100"/>
      <c r="S27" s="100"/>
      <c r="T27" s="100"/>
      <c r="U27" s="146"/>
      <c r="V27" s="100"/>
    </row>
    <row r="28" outlineLevel="1">
      <c r="A28" s="146"/>
      <c r="B28" s="134" t="s">
        <v>3327</v>
      </c>
      <c r="C28" s="216" t="s">
        <v>580</v>
      </c>
      <c r="D28" s="210"/>
      <c r="E28" s="216" t="s">
        <v>176</v>
      </c>
      <c r="F28" s="138">
        <v>2.4</v>
      </c>
      <c r="G28" s="216" t="s">
        <v>170</v>
      </c>
      <c r="H28" s="212"/>
      <c r="J28" s="210"/>
      <c r="K28" s="282"/>
      <c r="L28" s="282"/>
      <c r="M28" s="363"/>
      <c r="N28" s="363"/>
      <c r="O28" s="145">
        <v>0.0</v>
      </c>
      <c r="P28" s="145">
        <v>1.0</v>
      </c>
      <c r="Q28" s="145">
        <v>0.5</v>
      </c>
      <c r="R28" s="100"/>
      <c r="S28" s="100"/>
      <c r="T28" s="100"/>
      <c r="U28" s="146"/>
      <c r="V28" s="100"/>
    </row>
    <row r="29" outlineLevel="1">
      <c r="A29" s="146"/>
      <c r="B29" s="134" t="s">
        <v>3328</v>
      </c>
      <c r="C29" s="216" t="s">
        <v>1126</v>
      </c>
      <c r="D29" s="107"/>
      <c r="E29" s="216" t="s">
        <v>176</v>
      </c>
      <c r="F29" s="138">
        <v>2.4</v>
      </c>
      <c r="G29" s="216" t="s">
        <v>170</v>
      </c>
      <c r="H29" s="212"/>
      <c r="J29" s="210"/>
      <c r="K29" s="282"/>
      <c r="L29" s="282"/>
      <c r="M29" s="363"/>
      <c r="N29" s="363"/>
      <c r="O29" s="145">
        <v>0.0</v>
      </c>
      <c r="P29" s="145">
        <v>1.0</v>
      </c>
      <c r="Q29" s="145">
        <v>0.5</v>
      </c>
      <c r="R29" s="100"/>
      <c r="S29" s="100"/>
      <c r="T29" s="100"/>
      <c r="U29" s="156"/>
      <c r="V29" s="100"/>
    </row>
    <row r="30" outlineLevel="1">
      <c r="A30" s="146"/>
      <c r="B30" s="134" t="s">
        <v>2628</v>
      </c>
      <c r="C30" s="139" t="s">
        <v>3329</v>
      </c>
      <c r="D30" s="549" t="s">
        <v>3330</v>
      </c>
      <c r="E30" s="139" t="s">
        <v>213</v>
      </c>
      <c r="F30" s="138">
        <v>1.2</v>
      </c>
      <c r="G30" s="139" t="s">
        <v>60</v>
      </c>
      <c r="H30" s="212"/>
      <c r="J30" s="210"/>
      <c r="K30" s="282"/>
      <c r="L30" s="282"/>
      <c r="M30" s="363"/>
      <c r="N30" s="363"/>
      <c r="O30" s="145">
        <v>1.0</v>
      </c>
      <c r="P30" s="145">
        <v>1.0</v>
      </c>
      <c r="Q30" s="145">
        <v>1.0</v>
      </c>
      <c r="R30" s="100"/>
      <c r="S30" s="100"/>
      <c r="T30" s="100"/>
      <c r="U30" s="166" t="s">
        <v>62</v>
      </c>
      <c r="V30" s="100"/>
    </row>
    <row r="31" outlineLevel="1">
      <c r="A31" s="146"/>
      <c r="B31" s="134" t="s">
        <v>3331</v>
      </c>
      <c r="C31" s="216" t="s">
        <v>667</v>
      </c>
      <c r="D31" s="210"/>
      <c r="E31" s="216" t="s">
        <v>176</v>
      </c>
      <c r="F31" s="138">
        <v>2.4</v>
      </c>
      <c r="G31" s="216" t="s">
        <v>170</v>
      </c>
      <c r="H31" s="212"/>
      <c r="J31" s="210"/>
      <c r="K31" s="282"/>
      <c r="L31" s="282"/>
      <c r="M31" s="363"/>
      <c r="N31" s="363"/>
      <c r="O31" s="145">
        <v>0.0</v>
      </c>
      <c r="P31" s="145">
        <v>1.0</v>
      </c>
      <c r="Q31" s="145">
        <v>0.5</v>
      </c>
      <c r="R31" s="100"/>
      <c r="S31" s="100"/>
      <c r="T31" s="100"/>
      <c r="U31" s="146"/>
      <c r="V31" s="100"/>
    </row>
    <row r="32" outlineLevel="1">
      <c r="A32" s="146"/>
      <c r="B32" s="134" t="s">
        <v>3332</v>
      </c>
      <c r="C32" s="216" t="s">
        <v>792</v>
      </c>
      <c r="D32" s="210"/>
      <c r="E32" s="216" t="s">
        <v>176</v>
      </c>
      <c r="F32" s="138">
        <v>2.4</v>
      </c>
      <c r="G32" s="216" t="s">
        <v>170</v>
      </c>
      <c r="H32" s="212"/>
      <c r="J32" s="210"/>
      <c r="K32" s="282"/>
      <c r="L32" s="282"/>
      <c r="M32" s="363"/>
      <c r="N32" s="363"/>
      <c r="O32" s="145">
        <v>0.0</v>
      </c>
      <c r="P32" s="145">
        <v>1.0</v>
      </c>
      <c r="Q32" s="145">
        <v>0.5</v>
      </c>
      <c r="R32" s="100"/>
      <c r="S32" s="100"/>
      <c r="T32" s="100"/>
      <c r="U32" s="146"/>
      <c r="V32" s="100"/>
    </row>
    <row r="33" outlineLevel="1">
      <c r="A33" s="146"/>
      <c r="B33" s="134" t="s">
        <v>3333</v>
      </c>
      <c r="C33" s="216" t="s">
        <v>2383</v>
      </c>
      <c r="D33" s="107"/>
      <c r="E33" s="216" t="s">
        <v>176</v>
      </c>
      <c r="F33" s="138">
        <v>2.4</v>
      </c>
      <c r="G33" s="216" t="s">
        <v>170</v>
      </c>
      <c r="H33" s="212"/>
      <c r="J33" s="210"/>
      <c r="K33" s="282"/>
      <c r="L33" s="282"/>
      <c r="M33" s="363"/>
      <c r="N33" s="363"/>
      <c r="O33" s="145">
        <v>0.0</v>
      </c>
      <c r="P33" s="145">
        <v>1.0</v>
      </c>
      <c r="Q33" s="145">
        <v>0.5</v>
      </c>
      <c r="R33" s="100"/>
      <c r="S33" s="100"/>
      <c r="T33" s="100"/>
      <c r="U33" s="156"/>
      <c r="V33" s="100"/>
    </row>
    <row r="34" outlineLevel="1">
      <c r="A34" s="146"/>
      <c r="B34" s="134" t="s">
        <v>3334</v>
      </c>
      <c r="C34" s="139" t="s">
        <v>3335</v>
      </c>
      <c r="D34" s="549" t="s">
        <v>3336</v>
      </c>
      <c r="E34" s="139" t="s">
        <v>213</v>
      </c>
      <c r="F34" s="138">
        <v>1.2</v>
      </c>
      <c r="G34" s="139" t="s">
        <v>60</v>
      </c>
      <c r="H34" s="212"/>
      <c r="J34" s="210"/>
      <c r="K34" s="282"/>
      <c r="L34" s="282"/>
      <c r="M34" s="363"/>
      <c r="N34" s="363"/>
      <c r="O34" s="145">
        <v>1.0</v>
      </c>
      <c r="P34" s="145">
        <v>1.0</v>
      </c>
      <c r="Q34" s="145">
        <v>1.0</v>
      </c>
      <c r="R34" s="100"/>
      <c r="S34" s="100"/>
      <c r="T34" s="100"/>
      <c r="U34" s="166" t="s">
        <v>62</v>
      </c>
      <c r="V34" s="100"/>
    </row>
    <row r="35" outlineLevel="1">
      <c r="A35" s="146"/>
      <c r="B35" s="134" t="s">
        <v>3337</v>
      </c>
      <c r="C35" s="216" t="s">
        <v>3338</v>
      </c>
      <c r="D35" s="210"/>
      <c r="E35" s="216" t="s">
        <v>176</v>
      </c>
      <c r="F35" s="138">
        <v>2.4</v>
      </c>
      <c r="G35" s="216" t="s">
        <v>170</v>
      </c>
      <c r="H35" s="212"/>
      <c r="J35" s="210"/>
      <c r="K35" s="282"/>
      <c r="L35" s="282"/>
      <c r="M35" s="363"/>
      <c r="N35" s="363"/>
      <c r="O35" s="145">
        <v>0.0</v>
      </c>
      <c r="P35" s="145">
        <v>1.0</v>
      </c>
      <c r="Q35" s="145">
        <v>0.5</v>
      </c>
      <c r="R35" s="100"/>
      <c r="S35" s="100"/>
      <c r="T35" s="100"/>
      <c r="U35" s="146"/>
      <c r="V35" s="100"/>
    </row>
    <row r="36" outlineLevel="1">
      <c r="A36" s="146"/>
      <c r="B36" s="134" t="s">
        <v>3339</v>
      </c>
      <c r="C36" s="216" t="s">
        <v>1948</v>
      </c>
      <c r="D36" s="210"/>
      <c r="E36" s="216" t="s">
        <v>176</v>
      </c>
      <c r="F36" s="138">
        <v>2.4</v>
      </c>
      <c r="G36" s="216" t="s">
        <v>170</v>
      </c>
      <c r="H36" s="212"/>
      <c r="J36" s="210"/>
      <c r="K36" s="282"/>
      <c r="L36" s="282"/>
      <c r="M36" s="363"/>
      <c r="N36" s="363"/>
      <c r="O36" s="145">
        <v>0.0</v>
      </c>
      <c r="P36" s="145">
        <v>1.0</v>
      </c>
      <c r="Q36" s="145">
        <v>0.5</v>
      </c>
      <c r="R36" s="100"/>
      <c r="S36" s="100"/>
      <c r="T36" s="100"/>
      <c r="U36" s="146"/>
      <c r="V36" s="100"/>
    </row>
    <row r="37" outlineLevel="1">
      <c r="A37" s="156"/>
      <c r="B37" s="134" t="s">
        <v>3340</v>
      </c>
      <c r="C37" s="216" t="s">
        <v>3341</v>
      </c>
      <c r="D37" s="107"/>
      <c r="E37" s="216" t="s">
        <v>176</v>
      </c>
      <c r="F37" s="138">
        <v>2.4</v>
      </c>
      <c r="G37" s="216" t="s">
        <v>170</v>
      </c>
      <c r="H37" s="106"/>
      <c r="I37" s="168"/>
      <c r="J37" s="107"/>
      <c r="K37" s="282"/>
      <c r="L37" s="282"/>
      <c r="M37" s="363"/>
      <c r="N37" s="363"/>
      <c r="O37" s="145">
        <v>0.0</v>
      </c>
      <c r="P37" s="145">
        <v>1.0</v>
      </c>
      <c r="Q37" s="145">
        <v>0.5</v>
      </c>
      <c r="R37" s="100"/>
      <c r="S37" s="100"/>
      <c r="T37" s="100"/>
      <c r="U37" s="156"/>
      <c r="V37" s="100"/>
    </row>
    <row r="38" outlineLevel="1">
      <c r="A38" s="133" t="s">
        <v>77</v>
      </c>
      <c r="B38" s="147" t="s">
        <v>852</v>
      </c>
      <c r="C38" s="450" t="s">
        <v>3342</v>
      </c>
      <c r="D38" s="379" t="s">
        <v>424</v>
      </c>
      <c r="E38" s="216" t="s">
        <v>1614</v>
      </c>
      <c r="F38" s="138">
        <v>1.44</v>
      </c>
      <c r="G38" s="380" t="s">
        <v>170</v>
      </c>
      <c r="H38" s="163" t="s">
        <v>3343</v>
      </c>
      <c r="I38" s="164"/>
      <c r="J38" s="104"/>
      <c r="K38" s="138"/>
      <c r="L38" s="282"/>
      <c r="M38" s="363"/>
      <c r="N38" s="363"/>
      <c r="O38" s="145">
        <v>1.0</v>
      </c>
      <c r="P38" s="145">
        <v>1.0</v>
      </c>
      <c r="Q38" s="145">
        <v>1.0</v>
      </c>
      <c r="R38" s="100"/>
      <c r="S38" s="100"/>
      <c r="T38" s="100"/>
      <c r="U38" s="166" t="s">
        <v>69</v>
      </c>
      <c r="V38" s="100"/>
    </row>
    <row r="39" outlineLevel="1">
      <c r="A39" s="156"/>
      <c r="B39" s="147" t="s">
        <v>524</v>
      </c>
      <c r="C39" s="450" t="s">
        <v>193</v>
      </c>
      <c r="D39" s="107"/>
      <c r="E39" s="216" t="s">
        <v>73</v>
      </c>
      <c r="F39" s="138">
        <v>4.8</v>
      </c>
      <c r="G39" s="450" t="s">
        <v>123</v>
      </c>
      <c r="H39" s="106"/>
      <c r="I39" s="168"/>
      <c r="J39" s="107"/>
      <c r="K39" s="282"/>
      <c r="L39" s="282"/>
      <c r="M39" s="363"/>
      <c r="N39" s="363"/>
      <c r="O39" s="145">
        <v>1.0</v>
      </c>
      <c r="P39" s="145">
        <v>1.0</v>
      </c>
      <c r="Q39" s="145">
        <v>1.0</v>
      </c>
      <c r="R39" s="100"/>
      <c r="S39" s="100"/>
      <c r="T39" s="100"/>
      <c r="U39" s="156"/>
      <c r="V39" s="100"/>
    </row>
    <row r="40" ht="17.25" customHeight="1" outlineLevel="1">
      <c r="A40" s="133" t="s">
        <v>97</v>
      </c>
      <c r="B40" s="160"/>
      <c r="C40" s="216" t="s">
        <v>86</v>
      </c>
      <c r="D40" s="195" t="s">
        <v>3344</v>
      </c>
      <c r="E40" s="216" t="s">
        <v>394</v>
      </c>
      <c r="F40" s="138">
        <v>20.4</v>
      </c>
      <c r="G40" s="380" t="s">
        <v>1187</v>
      </c>
      <c r="H40" s="163" t="s">
        <v>3345</v>
      </c>
      <c r="I40" s="164"/>
      <c r="J40" s="104"/>
      <c r="K40" s="282"/>
      <c r="L40" s="282"/>
      <c r="M40" s="363"/>
      <c r="N40" s="363"/>
      <c r="O40" s="145">
        <v>0.0</v>
      </c>
      <c r="P40" s="145">
        <v>1.0</v>
      </c>
      <c r="Q40" s="145">
        <v>1.0</v>
      </c>
      <c r="R40" s="100"/>
      <c r="S40" s="100"/>
      <c r="T40" s="100"/>
      <c r="U40" s="166" t="s">
        <v>69</v>
      </c>
      <c r="V40" s="100"/>
    </row>
    <row r="41" ht="17.25" customHeight="1" outlineLevel="1">
      <c r="A41" s="146"/>
      <c r="B41" s="147" t="s">
        <v>187</v>
      </c>
      <c r="C41" s="216" t="s">
        <v>277</v>
      </c>
      <c r="D41" s="210"/>
      <c r="E41" s="216" t="s">
        <v>129</v>
      </c>
      <c r="F41" s="138">
        <v>14.399999999999999</v>
      </c>
      <c r="G41" s="380" t="s">
        <v>88</v>
      </c>
      <c r="H41" s="212"/>
      <c r="J41" s="210"/>
      <c r="K41" s="145"/>
      <c r="L41" s="363"/>
      <c r="M41" s="363"/>
      <c r="N41" s="363"/>
      <c r="O41" s="145">
        <v>0.0</v>
      </c>
      <c r="P41" s="145">
        <v>1.0</v>
      </c>
      <c r="Q41" s="145">
        <v>1.0</v>
      </c>
      <c r="R41" s="100"/>
      <c r="S41" s="100"/>
      <c r="T41" s="100"/>
      <c r="U41" s="146"/>
      <c r="V41" s="100"/>
    </row>
    <row r="42" ht="17.25" customHeight="1" outlineLevel="1">
      <c r="A42" s="156"/>
      <c r="B42" s="147" t="s">
        <v>189</v>
      </c>
      <c r="C42" s="216" t="s">
        <v>1106</v>
      </c>
      <c r="D42" s="107"/>
      <c r="E42" s="216" t="s">
        <v>80</v>
      </c>
      <c r="F42" s="138">
        <v>9.6</v>
      </c>
      <c r="G42" s="380" t="s">
        <v>123</v>
      </c>
      <c r="H42" s="106"/>
      <c r="I42" s="168"/>
      <c r="J42" s="107"/>
      <c r="K42" s="145"/>
      <c r="L42" s="363"/>
      <c r="M42" s="363"/>
      <c r="N42" s="363"/>
      <c r="O42" s="145">
        <v>0.0</v>
      </c>
      <c r="P42" s="145">
        <v>1.0</v>
      </c>
      <c r="Q42" s="145">
        <v>1.0</v>
      </c>
      <c r="R42" s="100"/>
      <c r="S42" s="100"/>
      <c r="T42" s="100"/>
      <c r="U42" s="156"/>
      <c r="V42" s="100"/>
    </row>
    <row r="43" ht="21.0" customHeight="1" outlineLevel="1">
      <c r="A43" s="133" t="s">
        <v>103</v>
      </c>
      <c r="B43" s="160"/>
      <c r="C43" s="216" t="s">
        <v>713</v>
      </c>
      <c r="D43" s="195" t="s">
        <v>374</v>
      </c>
      <c r="E43" s="216" t="s">
        <v>80</v>
      </c>
      <c r="F43" s="138">
        <v>9.6</v>
      </c>
      <c r="G43" s="380" t="s">
        <v>123</v>
      </c>
      <c r="H43" s="163" t="s">
        <v>3346</v>
      </c>
      <c r="I43" s="164"/>
      <c r="J43" s="104"/>
      <c r="K43" s="145"/>
      <c r="L43" s="363"/>
      <c r="M43" s="363"/>
      <c r="N43" s="363"/>
      <c r="O43" s="145">
        <v>0.0</v>
      </c>
      <c r="P43" s="145">
        <v>1.0</v>
      </c>
      <c r="Q43" s="145">
        <v>1.0</v>
      </c>
      <c r="R43" s="100"/>
      <c r="S43" s="100"/>
      <c r="T43" s="100"/>
      <c r="U43" s="166" t="s">
        <v>69</v>
      </c>
      <c r="V43" s="100"/>
    </row>
    <row r="44" ht="21.0" customHeight="1" outlineLevel="1">
      <c r="A44" s="156"/>
      <c r="B44" s="147" t="s">
        <v>84</v>
      </c>
      <c r="C44" s="216" t="s">
        <v>1176</v>
      </c>
      <c r="D44" s="107"/>
      <c r="E44" s="216" t="s">
        <v>150</v>
      </c>
      <c r="F44" s="138">
        <v>6.0</v>
      </c>
      <c r="G44" s="380" t="s">
        <v>102</v>
      </c>
      <c r="H44" s="106"/>
      <c r="I44" s="168"/>
      <c r="J44" s="107"/>
      <c r="K44" s="363"/>
      <c r="L44" s="363"/>
      <c r="M44" s="363"/>
      <c r="N44" s="363"/>
      <c r="O44" s="145">
        <v>0.0</v>
      </c>
      <c r="P44" s="145">
        <v>1.0</v>
      </c>
      <c r="Q44" s="145">
        <v>1.0</v>
      </c>
      <c r="R44" s="100"/>
      <c r="S44" s="100"/>
      <c r="T44" s="100"/>
      <c r="U44" s="156"/>
      <c r="V44" s="100"/>
    </row>
    <row r="45" outlineLevel="1">
      <c r="A45" s="133" t="s">
        <v>109</v>
      </c>
      <c r="B45" s="147" t="s">
        <v>473</v>
      </c>
      <c r="C45" s="216" t="s">
        <v>3347</v>
      </c>
      <c r="D45" s="216" t="s">
        <v>289</v>
      </c>
      <c r="E45" s="216" t="s">
        <v>3348</v>
      </c>
      <c r="F45" s="138">
        <v>13.799999999999999</v>
      </c>
      <c r="G45" s="450" t="s">
        <v>147</v>
      </c>
      <c r="H45" s="163" t="s">
        <v>3349</v>
      </c>
      <c r="I45" s="164"/>
      <c r="J45" s="104"/>
      <c r="K45" s="282"/>
      <c r="L45" s="282"/>
      <c r="M45" s="363"/>
      <c r="N45" s="363"/>
      <c r="O45" s="145">
        <v>0.0</v>
      </c>
      <c r="P45" s="145">
        <v>1.0</v>
      </c>
      <c r="Q45" s="145">
        <v>1.0</v>
      </c>
      <c r="R45" s="100"/>
      <c r="S45" s="100"/>
      <c r="T45" s="100"/>
      <c r="U45" s="166" t="s">
        <v>88</v>
      </c>
      <c r="V45" s="100"/>
    </row>
    <row r="46" outlineLevel="1">
      <c r="A46" s="156"/>
      <c r="B46" s="147" t="s">
        <v>340</v>
      </c>
      <c r="C46" s="216" t="s">
        <v>3350</v>
      </c>
      <c r="D46" s="216" t="s">
        <v>3351</v>
      </c>
      <c r="E46" s="216" t="s">
        <v>3352</v>
      </c>
      <c r="F46" s="138">
        <v>17.939999999999998</v>
      </c>
      <c r="G46" s="450" t="s">
        <v>147</v>
      </c>
      <c r="H46" s="106"/>
      <c r="I46" s="168"/>
      <c r="J46" s="107"/>
      <c r="K46" s="282"/>
      <c r="L46" s="282"/>
      <c r="M46" s="363"/>
      <c r="N46" s="363"/>
      <c r="O46" s="145"/>
      <c r="P46" s="145"/>
      <c r="Q46" s="145"/>
      <c r="R46" s="100"/>
      <c r="S46" s="100"/>
      <c r="T46" s="100"/>
      <c r="U46" s="156"/>
      <c r="V46" s="100"/>
    </row>
    <row r="47" outlineLevel="1">
      <c r="A47" s="133" t="s">
        <v>116</v>
      </c>
      <c r="B47" s="147" t="s">
        <v>125</v>
      </c>
      <c r="C47" s="216" t="s">
        <v>80</v>
      </c>
      <c r="D47" s="195" t="s">
        <v>1160</v>
      </c>
      <c r="E47" s="216" t="s">
        <v>176</v>
      </c>
      <c r="F47" s="138">
        <v>2.4</v>
      </c>
      <c r="G47" s="380" t="s">
        <v>60</v>
      </c>
      <c r="H47" s="163" t="s">
        <v>3353</v>
      </c>
      <c r="I47" s="164"/>
      <c r="J47" s="104"/>
      <c r="K47" s="363"/>
      <c r="L47" s="363"/>
      <c r="M47" s="363"/>
      <c r="N47" s="363"/>
      <c r="O47" s="145">
        <v>0.0</v>
      </c>
      <c r="P47" s="145">
        <v>0.0</v>
      </c>
      <c r="Q47" s="145">
        <v>0.0</v>
      </c>
      <c r="R47" s="100"/>
      <c r="S47" s="100"/>
      <c r="T47" s="100"/>
      <c r="U47" s="166" t="s">
        <v>62</v>
      </c>
      <c r="V47" s="100"/>
    </row>
    <row r="48" outlineLevel="1">
      <c r="A48" s="146"/>
      <c r="B48" s="147" t="s">
        <v>360</v>
      </c>
      <c r="C48" s="216" t="s">
        <v>3354</v>
      </c>
      <c r="D48" s="210"/>
      <c r="E48" s="216" t="s">
        <v>1024</v>
      </c>
      <c r="F48" s="138">
        <v>1.7999999999999998</v>
      </c>
      <c r="G48" s="380" t="s">
        <v>170</v>
      </c>
      <c r="H48" s="212"/>
      <c r="J48" s="210"/>
      <c r="K48" s="363"/>
      <c r="L48" s="363"/>
      <c r="M48" s="363"/>
      <c r="N48" s="363"/>
      <c r="O48" s="145">
        <v>0.0</v>
      </c>
      <c r="P48" s="145">
        <v>0.0</v>
      </c>
      <c r="Q48" s="145">
        <v>0.7</v>
      </c>
      <c r="R48" s="100"/>
      <c r="S48" s="100"/>
      <c r="T48" s="100"/>
      <c r="U48" s="146"/>
      <c r="V48" s="100"/>
    </row>
    <row r="49" outlineLevel="1">
      <c r="A49" s="156"/>
      <c r="B49" s="147" t="s">
        <v>365</v>
      </c>
      <c r="C49" s="216" t="s">
        <v>271</v>
      </c>
      <c r="D49" s="107"/>
      <c r="E49" s="216" t="s">
        <v>86</v>
      </c>
      <c r="F49" s="138">
        <v>7.199999999999999</v>
      </c>
      <c r="G49" s="380" t="s">
        <v>75</v>
      </c>
      <c r="H49" s="106"/>
      <c r="I49" s="168"/>
      <c r="J49" s="107"/>
      <c r="K49" s="363"/>
      <c r="L49" s="363"/>
      <c r="M49" s="363"/>
      <c r="N49" s="363"/>
      <c r="O49" s="145">
        <v>0.0</v>
      </c>
      <c r="P49" s="145">
        <v>1.0</v>
      </c>
      <c r="Q49" s="145">
        <v>1.0</v>
      </c>
      <c r="R49" s="100"/>
      <c r="S49" s="100"/>
      <c r="T49" s="100"/>
      <c r="U49" s="156"/>
      <c r="V49" s="100"/>
    </row>
    <row r="50" outlineLevel="1">
      <c r="A50" s="133" t="s">
        <v>124</v>
      </c>
      <c r="B50" s="160"/>
      <c r="C50" s="216" t="s">
        <v>394</v>
      </c>
      <c r="D50" s="195" t="s">
        <v>2533</v>
      </c>
      <c r="E50" s="216" t="s">
        <v>394</v>
      </c>
      <c r="F50" s="138">
        <v>20.4</v>
      </c>
      <c r="G50" s="380" t="s">
        <v>88</v>
      </c>
      <c r="H50" s="163" t="s">
        <v>3355</v>
      </c>
      <c r="I50" s="164"/>
      <c r="J50" s="104"/>
      <c r="K50" s="282"/>
      <c r="L50" s="282"/>
      <c r="M50" s="363"/>
      <c r="N50" s="363"/>
      <c r="O50" s="145">
        <v>0.0</v>
      </c>
      <c r="P50" s="145">
        <v>1.0</v>
      </c>
      <c r="Q50" s="145">
        <v>1.0</v>
      </c>
      <c r="R50" s="100"/>
      <c r="S50" s="100"/>
      <c r="T50" s="100"/>
      <c r="U50" s="166" t="s">
        <v>62</v>
      </c>
      <c r="V50" s="100"/>
    </row>
    <row r="51" outlineLevel="1">
      <c r="A51" s="146"/>
      <c r="B51" s="147" t="s">
        <v>187</v>
      </c>
      <c r="C51" s="216" t="s">
        <v>653</v>
      </c>
      <c r="D51" s="210"/>
      <c r="E51" s="216" t="s">
        <v>119</v>
      </c>
      <c r="F51" s="138">
        <v>16.8</v>
      </c>
      <c r="G51" s="380" t="s">
        <v>121</v>
      </c>
      <c r="H51" s="212"/>
      <c r="J51" s="210"/>
      <c r="K51" s="282"/>
      <c r="L51" s="282"/>
      <c r="M51" s="363"/>
      <c r="N51" s="363"/>
      <c r="O51" s="145">
        <v>0.0</v>
      </c>
      <c r="P51" s="145">
        <v>1.0</v>
      </c>
      <c r="Q51" s="145">
        <v>1.0</v>
      </c>
      <c r="R51" s="100"/>
      <c r="S51" s="100"/>
      <c r="T51" s="100"/>
      <c r="U51" s="146"/>
      <c r="V51" s="100"/>
    </row>
    <row r="52" outlineLevel="1">
      <c r="A52" s="156"/>
      <c r="B52" s="147" t="s">
        <v>189</v>
      </c>
      <c r="C52" s="216" t="s">
        <v>3356</v>
      </c>
      <c r="D52" s="107"/>
      <c r="E52" s="216" t="s">
        <v>274</v>
      </c>
      <c r="F52" s="138">
        <v>10.799999999999999</v>
      </c>
      <c r="G52" s="380" t="s">
        <v>95</v>
      </c>
      <c r="H52" s="106"/>
      <c r="I52" s="168"/>
      <c r="J52" s="107"/>
      <c r="K52" s="282"/>
      <c r="L52" s="282"/>
      <c r="M52" s="363"/>
      <c r="N52" s="363"/>
      <c r="O52" s="145">
        <v>0.0</v>
      </c>
      <c r="P52" s="145">
        <v>1.0</v>
      </c>
      <c r="Q52" s="145">
        <v>1.0</v>
      </c>
      <c r="R52" s="100"/>
      <c r="S52" s="100"/>
      <c r="T52" s="100"/>
      <c r="U52" s="156"/>
      <c r="V52" s="100"/>
    </row>
    <row r="53">
      <c r="A53" s="118"/>
      <c r="B53" s="176"/>
      <c r="C53" s="118"/>
      <c r="D53" s="118"/>
      <c r="E53" s="118"/>
      <c r="F53" s="177"/>
      <c r="G53" s="177"/>
      <c r="H53" s="118"/>
      <c r="I53" s="118"/>
      <c r="J53" s="118"/>
      <c r="K53" s="118"/>
      <c r="L53" s="118"/>
      <c r="M53" s="118"/>
      <c r="N53" s="118"/>
      <c r="O53" s="118"/>
      <c r="P53" s="118"/>
      <c r="Q53" s="118"/>
      <c r="R53" s="118"/>
      <c r="S53" s="118"/>
      <c r="T53" s="118"/>
      <c r="U53" s="118"/>
      <c r="V53" s="118"/>
    </row>
    <row r="54">
      <c r="A54" s="178" t="str">
        <f>'テンプレート'!A55</f>
        <v>空中攻撃</v>
      </c>
      <c r="B54" s="104"/>
      <c r="C54" s="179"/>
      <c r="D54" s="179"/>
      <c r="E54" s="179"/>
      <c r="F54" s="180"/>
      <c r="G54" s="179"/>
      <c r="H54" s="180"/>
      <c r="I54" s="180"/>
      <c r="J54" s="181"/>
      <c r="K54" s="180"/>
      <c r="L54" s="180"/>
      <c r="M54" s="180"/>
      <c r="N54" s="180"/>
      <c r="O54" s="180"/>
      <c r="P54" s="180"/>
      <c r="Q54" s="180"/>
      <c r="R54" s="180"/>
      <c r="S54" s="180"/>
      <c r="T54" s="180"/>
      <c r="U54" s="180"/>
      <c r="V54" s="180"/>
    </row>
    <row r="55" outlineLevel="1">
      <c r="A55" s="106"/>
      <c r="B55" s="107"/>
      <c r="C55" s="182" t="str">
        <f>'テンプレート'!C56</f>
        <v>判定持続</v>
      </c>
      <c r="D55" s="183" t="str">
        <f>'テンプレート'!D56</f>
        <v>全体フレーム</v>
      </c>
      <c r="E55" s="182" t="str">
        <f>'テンプレート'!E56</f>
        <v>基礎ダメージ</v>
      </c>
      <c r="F55" s="184" t="str">
        <f>'テンプレート'!F56</f>
        <v>ダメージ (1v1)</v>
      </c>
      <c r="G55" s="184" t="str">
        <f>'テンプレート'!G56</f>
        <v>ダメ (1v1+小J)</v>
      </c>
      <c r="H55" s="185" t="str">
        <f>'テンプレート'!H56</f>
        <v>ガード硬直</v>
      </c>
      <c r="I55" s="184" t="str">
        <f>'テンプレート'!I56</f>
        <v>着地隙</v>
      </c>
      <c r="J55" s="184" t="s">
        <v>136</v>
      </c>
      <c r="K55" s="184" t="str">
        <f>'テンプレート'!K56</f>
        <v>ベクトル</v>
      </c>
      <c r="L55" s="184" t="str">
        <f>'テンプレート'!L56</f>
        <v>KBG (R.E.)</v>
      </c>
      <c r="M55" s="184" t="str">
        <f>'テンプレート'!M56</f>
        <v>BKB (R.A.)</v>
      </c>
      <c r="N55" s="184" t="str">
        <f>'テンプレート'!N56</f>
        <v>FKB (R.F.)</v>
      </c>
      <c r="O55" s="186" t="str">
        <f>'テンプレート'!O56</f>
        <v>盾削り値</v>
      </c>
      <c r="P55" s="184" t="str">
        <f>'テンプレート'!P56</f>
        <v>ﾋｯﾄｽﾄｯﾌﾟ</v>
      </c>
      <c r="Q55" s="186" t="str">
        <f>'テンプレート'!Q56</f>
        <v>ずらし</v>
      </c>
      <c r="R55" s="187" t="str">
        <f>'テンプレート'!R56</f>
        <v>備考</v>
      </c>
      <c r="S55" s="110"/>
      <c r="T55" s="110"/>
      <c r="U55" s="110"/>
      <c r="V55" s="110"/>
    </row>
    <row r="56" outlineLevel="1">
      <c r="A56" s="188" t="s">
        <v>144</v>
      </c>
      <c r="B56" s="373" t="s">
        <v>2625</v>
      </c>
      <c r="C56" s="239" t="s">
        <v>3357</v>
      </c>
      <c r="D56" s="289" t="s">
        <v>72</v>
      </c>
      <c r="E56" s="239" t="s">
        <v>176</v>
      </c>
      <c r="F56" s="138">
        <v>2.4</v>
      </c>
      <c r="G56" s="138">
        <v>2.04</v>
      </c>
      <c r="H56" s="216" t="s">
        <v>170</v>
      </c>
      <c r="I56" s="279" t="s">
        <v>76</v>
      </c>
      <c r="J56" s="279" t="s">
        <v>76</v>
      </c>
      <c r="K56" s="376"/>
      <c r="L56" s="377"/>
      <c r="M56" s="825"/>
      <c r="N56" s="825"/>
      <c r="O56" s="199">
        <v>1.0</v>
      </c>
      <c r="P56" s="199">
        <v>1.0</v>
      </c>
      <c r="Q56" s="199">
        <v>1.0</v>
      </c>
      <c r="R56" s="163" t="s">
        <v>3358</v>
      </c>
      <c r="S56" s="164"/>
      <c r="T56" s="164"/>
      <c r="U56" s="164"/>
      <c r="V56" s="104"/>
    </row>
    <row r="57" outlineLevel="1">
      <c r="A57" s="146"/>
      <c r="B57" s="373" t="s">
        <v>3326</v>
      </c>
      <c r="C57" s="239" t="s">
        <v>975</v>
      </c>
      <c r="E57" s="239" t="s">
        <v>176</v>
      </c>
      <c r="F57" s="138">
        <v>2.4</v>
      </c>
      <c r="G57" s="138">
        <v>2.04</v>
      </c>
      <c r="H57" s="216" t="s">
        <v>170</v>
      </c>
      <c r="I57" s="146"/>
      <c r="J57" s="146"/>
      <c r="K57" s="376"/>
      <c r="L57" s="377"/>
      <c r="M57" s="825"/>
      <c r="N57" s="825"/>
      <c r="O57" s="199">
        <v>0.0</v>
      </c>
      <c r="P57" s="199">
        <v>1.0</v>
      </c>
      <c r="Q57" s="199">
        <v>0.5</v>
      </c>
      <c r="R57" s="212"/>
      <c r="V57" s="210"/>
    </row>
    <row r="58" outlineLevel="1">
      <c r="A58" s="146"/>
      <c r="B58" s="373" t="s">
        <v>3327</v>
      </c>
      <c r="C58" s="239" t="s">
        <v>580</v>
      </c>
      <c r="E58" s="239" t="s">
        <v>176</v>
      </c>
      <c r="F58" s="138">
        <v>2.4</v>
      </c>
      <c r="G58" s="138">
        <v>2.04</v>
      </c>
      <c r="H58" s="216" t="s">
        <v>170</v>
      </c>
      <c r="I58" s="146"/>
      <c r="J58" s="146"/>
      <c r="K58" s="376"/>
      <c r="L58" s="377"/>
      <c r="M58" s="825"/>
      <c r="N58" s="825"/>
      <c r="O58" s="199">
        <v>0.0</v>
      </c>
      <c r="P58" s="199">
        <v>1.0</v>
      </c>
      <c r="Q58" s="199">
        <v>0.5</v>
      </c>
      <c r="R58" s="212"/>
      <c r="V58" s="210"/>
    </row>
    <row r="59" outlineLevel="1">
      <c r="A59" s="146"/>
      <c r="B59" s="373" t="s">
        <v>3328</v>
      </c>
      <c r="C59" s="239" t="s">
        <v>1126</v>
      </c>
      <c r="D59" s="168"/>
      <c r="E59" s="239" t="s">
        <v>176</v>
      </c>
      <c r="F59" s="138">
        <v>2.4</v>
      </c>
      <c r="G59" s="138">
        <v>2.04</v>
      </c>
      <c r="H59" s="216" t="s">
        <v>170</v>
      </c>
      <c r="I59" s="156"/>
      <c r="J59" s="156"/>
      <c r="K59" s="376"/>
      <c r="L59" s="377"/>
      <c r="M59" s="825"/>
      <c r="N59" s="825"/>
      <c r="O59" s="199">
        <v>0.0</v>
      </c>
      <c r="P59" s="199">
        <v>1.0</v>
      </c>
      <c r="Q59" s="199">
        <v>0.5</v>
      </c>
      <c r="R59" s="106"/>
      <c r="S59" s="168"/>
      <c r="T59" s="168"/>
      <c r="U59" s="168"/>
      <c r="V59" s="107"/>
    </row>
    <row r="60" outlineLevel="1">
      <c r="A60" s="146"/>
      <c r="B60" s="373" t="s">
        <v>2628</v>
      </c>
      <c r="C60" s="239" t="s">
        <v>378</v>
      </c>
      <c r="D60" s="289" t="s">
        <v>146</v>
      </c>
      <c r="E60" s="239" t="s">
        <v>176</v>
      </c>
      <c r="F60" s="138">
        <v>2.4</v>
      </c>
      <c r="G60" s="138">
        <v>2.04</v>
      </c>
      <c r="H60" s="216" t="s">
        <v>170</v>
      </c>
      <c r="I60" s="279" t="s">
        <v>76</v>
      </c>
      <c r="J60" s="279" t="s">
        <v>76</v>
      </c>
      <c r="K60" s="376"/>
      <c r="L60" s="377"/>
      <c r="M60" s="825"/>
      <c r="N60" s="825"/>
      <c r="O60" s="199">
        <v>1.0</v>
      </c>
      <c r="P60" s="199">
        <v>1.0</v>
      </c>
      <c r="Q60" s="199">
        <v>1.0</v>
      </c>
      <c r="R60" s="163" t="s">
        <v>3358</v>
      </c>
      <c r="S60" s="164"/>
      <c r="T60" s="164"/>
      <c r="U60" s="164"/>
      <c r="V60" s="104"/>
    </row>
    <row r="61" outlineLevel="1">
      <c r="A61" s="146"/>
      <c r="B61" s="373" t="s">
        <v>3331</v>
      </c>
      <c r="C61" s="239" t="s">
        <v>667</v>
      </c>
      <c r="E61" s="239" t="s">
        <v>176</v>
      </c>
      <c r="F61" s="138">
        <v>2.4</v>
      </c>
      <c r="G61" s="138">
        <v>2.04</v>
      </c>
      <c r="H61" s="216" t="s">
        <v>170</v>
      </c>
      <c r="I61" s="146"/>
      <c r="J61" s="146"/>
      <c r="K61" s="376"/>
      <c r="L61" s="377"/>
      <c r="M61" s="825"/>
      <c r="N61" s="825"/>
      <c r="O61" s="199">
        <v>0.0</v>
      </c>
      <c r="P61" s="199">
        <v>1.0</v>
      </c>
      <c r="Q61" s="199">
        <v>0.5</v>
      </c>
      <c r="R61" s="212"/>
      <c r="V61" s="210"/>
    </row>
    <row r="62" outlineLevel="1">
      <c r="A62" s="146"/>
      <c r="B62" s="373" t="s">
        <v>3332</v>
      </c>
      <c r="C62" s="239" t="s">
        <v>792</v>
      </c>
      <c r="E62" s="239" t="s">
        <v>176</v>
      </c>
      <c r="F62" s="138">
        <v>2.4</v>
      </c>
      <c r="G62" s="138">
        <v>2.04</v>
      </c>
      <c r="H62" s="216" t="s">
        <v>170</v>
      </c>
      <c r="I62" s="146"/>
      <c r="J62" s="146"/>
      <c r="K62" s="376"/>
      <c r="L62" s="377"/>
      <c r="M62" s="825"/>
      <c r="N62" s="825"/>
      <c r="O62" s="199">
        <v>0.0</v>
      </c>
      <c r="P62" s="199">
        <v>1.0</v>
      </c>
      <c r="Q62" s="199">
        <v>0.5</v>
      </c>
      <c r="R62" s="212"/>
      <c r="V62" s="210"/>
    </row>
    <row r="63" outlineLevel="1">
      <c r="A63" s="146"/>
      <c r="B63" s="373" t="s">
        <v>3333</v>
      </c>
      <c r="C63" s="239" t="s">
        <v>2383</v>
      </c>
      <c r="D63" s="168"/>
      <c r="E63" s="239" t="s">
        <v>176</v>
      </c>
      <c r="F63" s="138">
        <v>2.4</v>
      </c>
      <c r="G63" s="138">
        <v>2.04</v>
      </c>
      <c r="H63" s="216" t="s">
        <v>170</v>
      </c>
      <c r="I63" s="156"/>
      <c r="J63" s="156"/>
      <c r="K63" s="376"/>
      <c r="L63" s="377"/>
      <c r="M63" s="825"/>
      <c r="N63" s="825"/>
      <c r="O63" s="199">
        <v>0.0</v>
      </c>
      <c r="P63" s="199">
        <v>1.0</v>
      </c>
      <c r="Q63" s="199">
        <v>0.5</v>
      </c>
      <c r="R63" s="106"/>
      <c r="S63" s="168"/>
      <c r="T63" s="168"/>
      <c r="U63" s="168"/>
      <c r="V63" s="107"/>
    </row>
    <row r="64" outlineLevel="1">
      <c r="A64" s="146"/>
      <c r="B64" s="373" t="s">
        <v>3334</v>
      </c>
      <c r="C64" s="239" t="s">
        <v>1619</v>
      </c>
      <c r="D64" s="289" t="s">
        <v>600</v>
      </c>
      <c r="E64" s="239" t="s">
        <v>176</v>
      </c>
      <c r="F64" s="138">
        <v>2.4</v>
      </c>
      <c r="G64" s="138">
        <v>2.04</v>
      </c>
      <c r="H64" s="216" t="s">
        <v>170</v>
      </c>
      <c r="I64" s="279" t="s">
        <v>76</v>
      </c>
      <c r="J64" s="279" t="s">
        <v>76</v>
      </c>
      <c r="K64" s="376"/>
      <c r="L64" s="377"/>
      <c r="M64" s="825"/>
      <c r="N64" s="825"/>
      <c r="O64" s="199">
        <v>1.0</v>
      </c>
      <c r="P64" s="199">
        <v>1.0</v>
      </c>
      <c r="Q64" s="199">
        <v>1.0</v>
      </c>
      <c r="R64" s="163" t="s">
        <v>3358</v>
      </c>
      <c r="S64" s="164"/>
      <c r="T64" s="164"/>
      <c r="U64" s="164"/>
      <c r="V64" s="104"/>
    </row>
    <row r="65" outlineLevel="1">
      <c r="A65" s="146"/>
      <c r="B65" s="373" t="s">
        <v>3337</v>
      </c>
      <c r="C65" s="239" t="s">
        <v>3338</v>
      </c>
      <c r="E65" s="239" t="s">
        <v>176</v>
      </c>
      <c r="F65" s="138">
        <v>2.4</v>
      </c>
      <c r="G65" s="138">
        <v>2.04</v>
      </c>
      <c r="H65" s="216" t="s">
        <v>170</v>
      </c>
      <c r="I65" s="146"/>
      <c r="J65" s="146"/>
      <c r="K65" s="376"/>
      <c r="L65" s="377"/>
      <c r="M65" s="825"/>
      <c r="N65" s="825"/>
      <c r="O65" s="199">
        <v>0.0</v>
      </c>
      <c r="P65" s="199">
        <v>1.0</v>
      </c>
      <c r="Q65" s="199">
        <v>0.5</v>
      </c>
      <c r="R65" s="212"/>
      <c r="V65" s="210"/>
    </row>
    <row r="66" outlineLevel="1">
      <c r="A66" s="146"/>
      <c r="B66" s="373" t="s">
        <v>3339</v>
      </c>
      <c r="C66" s="239" t="s">
        <v>1948</v>
      </c>
      <c r="E66" s="239" t="s">
        <v>176</v>
      </c>
      <c r="F66" s="138">
        <v>2.4</v>
      </c>
      <c r="G66" s="138">
        <v>2.04</v>
      </c>
      <c r="H66" s="216" t="s">
        <v>170</v>
      </c>
      <c r="I66" s="146"/>
      <c r="J66" s="146"/>
      <c r="K66" s="376"/>
      <c r="L66" s="377"/>
      <c r="M66" s="825"/>
      <c r="N66" s="825"/>
      <c r="O66" s="199">
        <v>0.0</v>
      </c>
      <c r="P66" s="199">
        <v>1.0</v>
      </c>
      <c r="Q66" s="199">
        <v>0.5</v>
      </c>
      <c r="R66" s="212"/>
      <c r="V66" s="210"/>
    </row>
    <row r="67" outlineLevel="1">
      <c r="A67" s="156"/>
      <c r="B67" s="373" t="s">
        <v>3340</v>
      </c>
      <c r="C67" s="239" t="s">
        <v>3341</v>
      </c>
      <c r="D67" s="168"/>
      <c r="E67" s="239" t="s">
        <v>176</v>
      </c>
      <c r="F67" s="138">
        <v>2.4</v>
      </c>
      <c r="G67" s="138">
        <v>2.04</v>
      </c>
      <c r="H67" s="216" t="s">
        <v>170</v>
      </c>
      <c r="I67" s="156"/>
      <c r="J67" s="156"/>
      <c r="K67" s="376"/>
      <c r="L67" s="377"/>
      <c r="M67" s="825"/>
      <c r="N67" s="825"/>
      <c r="O67" s="199">
        <v>0.0</v>
      </c>
      <c r="P67" s="199">
        <v>1.0</v>
      </c>
      <c r="Q67" s="199">
        <v>0.5</v>
      </c>
      <c r="R67" s="106"/>
      <c r="S67" s="168"/>
      <c r="T67" s="168"/>
      <c r="U67" s="168"/>
      <c r="V67" s="107"/>
    </row>
    <row r="68" outlineLevel="1">
      <c r="A68" s="188" t="s">
        <v>151</v>
      </c>
      <c r="B68" s="373"/>
      <c r="C68" s="239" t="s">
        <v>3359</v>
      </c>
      <c r="D68" s="374">
        <v>40.0</v>
      </c>
      <c r="E68" s="239" t="s">
        <v>3360</v>
      </c>
      <c r="F68" s="138" t="s">
        <v>3361</v>
      </c>
      <c r="G68" s="138" t="s">
        <v>3362</v>
      </c>
      <c r="H68" s="138" t="s">
        <v>451</v>
      </c>
      <c r="I68" s="454" t="str">
        <f t="array" ref="I68">INDEX('空中攻撃'!$O$3:$AA$109, MATCH($A$1,'空中攻撃'!$A$3:$A$109,0), MATCH(A68,'空中攻撃'!$O$2:$S$2,0))</f>
        <v>11</v>
      </c>
      <c r="J68" s="455" t="s">
        <v>148</v>
      </c>
      <c r="K68" s="376"/>
      <c r="L68" s="377"/>
      <c r="M68" s="825"/>
      <c r="N68" s="825"/>
      <c r="O68" s="199">
        <v>0.0</v>
      </c>
      <c r="P68" s="199">
        <v>1.0</v>
      </c>
      <c r="Q68" s="199">
        <v>1.0</v>
      </c>
      <c r="R68" s="1124"/>
      <c r="S68" s="164"/>
      <c r="T68" s="164"/>
      <c r="U68" s="164"/>
      <c r="V68" s="104"/>
    </row>
    <row r="69" outlineLevel="1">
      <c r="A69" s="156"/>
      <c r="B69" s="373" t="s">
        <v>84</v>
      </c>
      <c r="C69" s="239" t="s">
        <v>1378</v>
      </c>
      <c r="D69" s="107"/>
      <c r="E69" s="239" t="s">
        <v>150</v>
      </c>
      <c r="F69" s="138">
        <v>6.0</v>
      </c>
      <c r="G69" s="138">
        <v>5.1</v>
      </c>
      <c r="H69" s="138" t="s">
        <v>60</v>
      </c>
      <c r="I69" s="156"/>
      <c r="J69" s="107"/>
      <c r="K69" s="376"/>
      <c r="L69" s="377"/>
      <c r="M69" s="825"/>
      <c r="N69" s="825"/>
      <c r="O69" s="199">
        <v>0.0</v>
      </c>
      <c r="P69" s="199">
        <v>1.0</v>
      </c>
      <c r="Q69" s="199">
        <v>1.0</v>
      </c>
      <c r="R69" s="106"/>
      <c r="S69" s="168"/>
      <c r="T69" s="168"/>
      <c r="U69" s="168"/>
      <c r="V69" s="107"/>
    </row>
    <row r="70" outlineLevel="1">
      <c r="A70" s="188" t="s">
        <v>157</v>
      </c>
      <c r="B70" s="373" t="s">
        <v>125</v>
      </c>
      <c r="C70" s="239" t="s">
        <v>717</v>
      </c>
      <c r="D70" s="195" t="s">
        <v>393</v>
      </c>
      <c r="E70" s="239" t="s">
        <v>204</v>
      </c>
      <c r="F70" s="138">
        <v>3.5999999999999996</v>
      </c>
      <c r="G70" s="138">
        <v>3.06</v>
      </c>
      <c r="H70" s="138" t="s">
        <v>170</v>
      </c>
      <c r="I70" s="454">
        <f t="array" ref="I70">INDEX('空中攻撃'!$O$3:$AA$109, MATCH($A$1,'空中攻撃'!$A$3:$A$109,0), MATCH(A70,'空中攻撃'!$O$2:$S$2,0))</f>
        <v>20</v>
      </c>
      <c r="J70" s="455" t="s">
        <v>649</v>
      </c>
      <c r="K70" s="376"/>
      <c r="L70" s="377"/>
      <c r="M70" s="825"/>
      <c r="N70" s="825"/>
      <c r="O70" s="199">
        <v>0.0</v>
      </c>
      <c r="P70" s="199">
        <v>1.0</v>
      </c>
      <c r="Q70" s="199">
        <v>1.0</v>
      </c>
      <c r="R70" s="1124"/>
      <c r="S70" s="164"/>
      <c r="T70" s="164"/>
      <c r="U70" s="164"/>
      <c r="V70" s="104"/>
    </row>
    <row r="71" outlineLevel="1">
      <c r="A71" s="146"/>
      <c r="B71" s="373" t="s">
        <v>131</v>
      </c>
      <c r="C71" s="239" t="s">
        <v>319</v>
      </c>
      <c r="D71" s="210"/>
      <c r="E71" s="239" t="s">
        <v>73</v>
      </c>
      <c r="F71" s="138">
        <v>4.8</v>
      </c>
      <c r="G71" s="138">
        <v>4.08</v>
      </c>
      <c r="H71" s="138" t="s">
        <v>60</v>
      </c>
      <c r="I71" s="146"/>
      <c r="J71" s="210"/>
      <c r="K71" s="376"/>
      <c r="L71" s="377"/>
      <c r="M71" s="825"/>
      <c r="N71" s="825"/>
      <c r="O71" s="199">
        <v>0.0</v>
      </c>
      <c r="P71" s="199">
        <v>1.0</v>
      </c>
      <c r="Q71" s="199">
        <v>1.0</v>
      </c>
      <c r="R71" s="212"/>
      <c r="V71" s="210"/>
    </row>
    <row r="72" outlineLevel="1">
      <c r="A72" s="156"/>
      <c r="B72" s="373" t="s">
        <v>434</v>
      </c>
      <c r="C72" s="239" t="s">
        <v>223</v>
      </c>
      <c r="D72" s="107"/>
      <c r="E72" s="239" t="s">
        <v>150</v>
      </c>
      <c r="F72" s="138">
        <v>6.0</v>
      </c>
      <c r="G72" s="138">
        <v>5.1</v>
      </c>
      <c r="H72" s="138" t="s">
        <v>60</v>
      </c>
      <c r="I72" s="156"/>
      <c r="J72" s="107"/>
      <c r="K72" s="376"/>
      <c r="L72" s="377"/>
      <c r="M72" s="825"/>
      <c r="N72" s="825"/>
      <c r="O72" s="199">
        <v>0.0</v>
      </c>
      <c r="P72" s="199">
        <v>1.0</v>
      </c>
      <c r="Q72" s="199">
        <v>1.0</v>
      </c>
      <c r="R72" s="106"/>
      <c r="S72" s="168"/>
      <c r="T72" s="168"/>
      <c r="U72" s="168"/>
      <c r="V72" s="107"/>
    </row>
    <row r="73" outlineLevel="1">
      <c r="A73" s="188" t="s">
        <v>162</v>
      </c>
      <c r="B73" s="373" t="s">
        <v>604</v>
      </c>
      <c r="C73" s="244" t="s">
        <v>3363</v>
      </c>
      <c r="D73" s="374" t="s">
        <v>892</v>
      </c>
      <c r="E73" s="239" t="s">
        <v>204</v>
      </c>
      <c r="F73" s="138">
        <v>3.5999999999999996</v>
      </c>
      <c r="G73" s="138">
        <v>3.06</v>
      </c>
      <c r="H73" s="138" t="s">
        <v>170</v>
      </c>
      <c r="I73" s="454" t="str">
        <f t="array" ref="I73">INDEX('空中攻撃'!$O$3:$AA$109, MATCH($A$1,'空中攻撃'!$A$3:$A$109,0), MATCH(A73,'空中攻撃'!$O$2:$S$2,0))</f>
        <v>20</v>
      </c>
      <c r="J73" s="455" t="s">
        <v>3364</v>
      </c>
      <c r="K73" s="377"/>
      <c r="L73" s="377"/>
      <c r="M73" s="825"/>
      <c r="N73" s="825"/>
      <c r="O73" s="199">
        <v>0.0</v>
      </c>
      <c r="P73" s="199">
        <v>0.2</v>
      </c>
      <c r="Q73" s="199">
        <v>0.7</v>
      </c>
      <c r="R73" s="163" t="s">
        <v>3365</v>
      </c>
      <c r="S73" s="164"/>
      <c r="T73" s="164"/>
      <c r="U73" s="164"/>
      <c r="V73" s="104"/>
    </row>
    <row r="74" outlineLevel="1">
      <c r="A74" s="146"/>
      <c r="B74" s="373" t="s">
        <v>606</v>
      </c>
      <c r="C74" s="244" t="s">
        <v>3366</v>
      </c>
      <c r="D74" s="210"/>
      <c r="E74" s="239" t="s">
        <v>176</v>
      </c>
      <c r="F74" s="138">
        <v>2.4</v>
      </c>
      <c r="G74" s="138">
        <v>2.04</v>
      </c>
      <c r="H74" s="138" t="s">
        <v>170</v>
      </c>
      <c r="I74" s="146"/>
      <c r="J74" s="210"/>
      <c r="K74" s="377"/>
      <c r="L74" s="377"/>
      <c r="M74" s="825"/>
      <c r="N74" s="825"/>
      <c r="O74" s="199">
        <v>0.0</v>
      </c>
      <c r="P74" s="199">
        <v>0.2</v>
      </c>
      <c r="Q74" s="199">
        <v>0.7</v>
      </c>
      <c r="R74" s="212"/>
      <c r="V74" s="210"/>
    </row>
    <row r="75" outlineLevel="1">
      <c r="A75" s="146"/>
      <c r="B75" s="373" t="s">
        <v>608</v>
      </c>
      <c r="C75" s="244" t="s">
        <v>3367</v>
      </c>
      <c r="D75" s="210"/>
      <c r="E75" s="239" t="s">
        <v>213</v>
      </c>
      <c r="F75" s="138">
        <v>1.2</v>
      </c>
      <c r="G75" s="138">
        <v>1.02</v>
      </c>
      <c r="H75" s="138" t="s">
        <v>170</v>
      </c>
      <c r="I75" s="146"/>
      <c r="J75" s="210"/>
      <c r="K75" s="377"/>
      <c r="L75" s="377"/>
      <c r="M75" s="825"/>
      <c r="N75" s="825"/>
      <c r="O75" s="199">
        <v>0.0</v>
      </c>
      <c r="P75" s="199">
        <v>0.2</v>
      </c>
      <c r="Q75" s="199">
        <v>0.7</v>
      </c>
      <c r="R75" s="212"/>
      <c r="V75" s="210"/>
    </row>
    <row r="76" outlineLevel="1">
      <c r="A76" s="156"/>
      <c r="B76" s="373" t="s">
        <v>202</v>
      </c>
      <c r="C76" s="239" t="s">
        <v>3368</v>
      </c>
      <c r="D76" s="107"/>
      <c r="E76" s="239" t="s">
        <v>176</v>
      </c>
      <c r="F76" s="138">
        <v>2.4</v>
      </c>
      <c r="G76" s="138">
        <v>2.04</v>
      </c>
      <c r="H76" s="138" t="s">
        <v>170</v>
      </c>
      <c r="I76" s="156"/>
      <c r="J76" s="107"/>
      <c r="K76" s="377"/>
      <c r="L76" s="377"/>
      <c r="M76" s="825"/>
      <c r="N76" s="825"/>
      <c r="O76" s="199">
        <v>0.0</v>
      </c>
      <c r="P76" s="199">
        <v>0.2</v>
      </c>
      <c r="Q76" s="199">
        <v>0.7</v>
      </c>
      <c r="R76" s="106"/>
      <c r="S76" s="168"/>
      <c r="T76" s="168"/>
      <c r="U76" s="168"/>
      <c r="V76" s="107"/>
    </row>
    <row r="77" outlineLevel="1">
      <c r="A77" s="188" t="s">
        <v>166</v>
      </c>
      <c r="B77" s="373" t="s">
        <v>152</v>
      </c>
      <c r="C77" s="239" t="s">
        <v>1053</v>
      </c>
      <c r="D77" s="374">
        <v>64.0</v>
      </c>
      <c r="E77" s="239" t="s">
        <v>119</v>
      </c>
      <c r="F77" s="138">
        <v>16.8</v>
      </c>
      <c r="G77" s="138">
        <v>14.280000000000001</v>
      </c>
      <c r="H77" s="138" t="s">
        <v>75</v>
      </c>
      <c r="I77" s="454">
        <f t="array" ref="I77">INDEX('空中攻撃'!$O$3:$AA$109, MATCH($A$1,'空中攻撃'!$A$3:$A$109,0), MATCH(A77,'空中攻撃'!$O$2:$S$2,0))</f>
        <v>14</v>
      </c>
      <c r="J77" s="455" t="s">
        <v>3369</v>
      </c>
      <c r="K77" s="377"/>
      <c r="L77" s="377"/>
      <c r="M77" s="825"/>
      <c r="N77" s="825"/>
      <c r="O77" s="199">
        <v>0.0</v>
      </c>
      <c r="P77" s="199">
        <v>1.0</v>
      </c>
      <c r="Q77" s="199">
        <v>1.0</v>
      </c>
      <c r="R77" s="163" t="s">
        <v>3251</v>
      </c>
      <c r="S77" s="164"/>
      <c r="T77" s="164"/>
      <c r="U77" s="164"/>
      <c r="V77" s="104"/>
    </row>
    <row r="78" outlineLevel="1">
      <c r="A78" s="156"/>
      <c r="B78" s="373" t="s">
        <v>155</v>
      </c>
      <c r="C78" s="239" t="s">
        <v>3370</v>
      </c>
      <c r="D78" s="107"/>
      <c r="E78" s="239" t="s">
        <v>129</v>
      </c>
      <c r="F78" s="138">
        <v>14.399999999999999</v>
      </c>
      <c r="G78" s="138">
        <v>12.24</v>
      </c>
      <c r="H78" s="138" t="s">
        <v>75</v>
      </c>
      <c r="I78" s="156"/>
      <c r="J78" s="107"/>
      <c r="K78" s="377"/>
      <c r="L78" s="377"/>
      <c r="M78" s="825"/>
      <c r="N78" s="825"/>
      <c r="O78" s="199">
        <v>0.0</v>
      </c>
      <c r="P78" s="199">
        <v>1.0</v>
      </c>
      <c r="Q78" s="199">
        <v>1.0</v>
      </c>
      <c r="R78" s="106"/>
      <c r="S78" s="168"/>
      <c r="T78" s="168"/>
      <c r="U78" s="168"/>
      <c r="V78" s="107"/>
    </row>
    <row r="79">
      <c r="A79" s="223"/>
      <c r="B79" s="224"/>
      <c r="C79" s="225"/>
      <c r="D79" s="225"/>
      <c r="E79" s="226"/>
      <c r="F79" s="226"/>
      <c r="G79" s="226"/>
      <c r="H79" s="227"/>
      <c r="I79" s="227"/>
      <c r="J79" s="228"/>
      <c r="K79" s="228"/>
      <c r="L79" s="228"/>
      <c r="M79" s="228"/>
      <c r="N79" s="228"/>
      <c r="O79" s="228"/>
      <c r="P79" s="228"/>
      <c r="Q79" s="118"/>
      <c r="R79" s="118"/>
      <c r="S79" s="118"/>
      <c r="T79" s="118"/>
      <c r="U79" s="118"/>
      <c r="V79" s="118"/>
    </row>
    <row r="80">
      <c r="A80" s="229" t="str">
        <f>'テンプレート'!A71</f>
        <v>必殺ワザ</v>
      </c>
      <c r="B80" s="109"/>
      <c r="C80" s="225"/>
      <c r="D80" s="225"/>
      <c r="E80" s="226"/>
      <c r="F80" s="226"/>
      <c r="G80" s="226"/>
      <c r="H80" s="227"/>
      <c r="I80" s="227"/>
      <c r="J80" s="228"/>
      <c r="K80" s="228"/>
      <c r="L80" s="228"/>
      <c r="M80" s="228"/>
      <c r="N80" s="228"/>
      <c r="O80" s="228"/>
      <c r="P80" s="228"/>
      <c r="Q80" s="118"/>
      <c r="R80" s="118"/>
      <c r="S80" s="118"/>
      <c r="T80" s="118"/>
      <c r="U80" s="118"/>
      <c r="V80" s="118"/>
    </row>
    <row r="81" outlineLevel="1">
      <c r="A81" s="230" t="str">
        <f>"NB ("&amp;VLOOKUP($A$1,Fighters!$A$2:$AI$81,15,FALSE)&amp;")"</f>
        <v>NB (メタルブレード)</v>
      </c>
      <c r="B81" s="109"/>
      <c r="C81" s="231" t="s">
        <v>48</v>
      </c>
      <c r="D81" s="231" t="s">
        <v>49</v>
      </c>
      <c r="E81" s="232" t="s">
        <v>50</v>
      </c>
      <c r="F81" s="233" t="s">
        <v>51</v>
      </c>
      <c r="G81" s="232" t="s">
        <v>52</v>
      </c>
      <c r="H81" s="382" t="str">
        <f>'テンプレート'!H72</f>
        <v>備考</v>
      </c>
      <c r="I81" s="110"/>
      <c r="J81" s="109"/>
      <c r="K81" s="235" t="str">
        <f>'テンプレート'!K72</f>
        <v>ベクトル</v>
      </c>
      <c r="L81" s="235" t="str">
        <f>'テンプレート'!L72</f>
        <v>KBG (R.E.)</v>
      </c>
      <c r="M81" s="235" t="str">
        <f>'テンプレート'!M72</f>
        <v>BKB (R.A.)</v>
      </c>
      <c r="N81" s="235" t="str">
        <f>'テンプレート'!N72</f>
        <v>FKB (R.F.)</v>
      </c>
      <c r="O81" s="236" t="str">
        <f>'テンプレート'!O72</f>
        <v>盾削り値</v>
      </c>
      <c r="P81" s="235" t="str">
        <f>'テンプレート'!P72</f>
        <v>ﾋｯﾄｽﾄｯﾌﾟ</v>
      </c>
      <c r="Q81" s="236" t="str">
        <f>'テンプレート'!Q72</f>
        <v>ずらし</v>
      </c>
      <c r="R81" s="235" t="str">
        <f>'テンプレート'!R72</f>
        <v>相殺</v>
      </c>
      <c r="S81" s="236" t="str">
        <f>'テンプレート'!S72</f>
        <v>相殺ﾓｰｼｮﾝ</v>
      </c>
      <c r="T81" s="236" t="str">
        <f>'テンプレート'!T72</f>
        <v>飛び道具</v>
      </c>
      <c r="U81" s="236" t="str">
        <f>'テンプレート'!U72</f>
        <v>慣性反転</v>
      </c>
      <c r="V81" s="236" t="str">
        <f>'テンプレート'!V72</f>
        <v>向き反転</v>
      </c>
    </row>
    <row r="82" outlineLevel="1">
      <c r="A82" s="237" t="s">
        <v>184</v>
      </c>
      <c r="B82" s="243" t="s">
        <v>226</v>
      </c>
      <c r="C82" s="244" t="s">
        <v>3371</v>
      </c>
      <c r="D82" s="239" t="s">
        <v>221</v>
      </c>
      <c r="E82" s="239" t="s">
        <v>150</v>
      </c>
      <c r="F82" s="138">
        <v>6.0</v>
      </c>
      <c r="G82" s="774" t="s">
        <v>60</v>
      </c>
      <c r="H82" s="163" t="s">
        <v>3372</v>
      </c>
      <c r="I82" s="164"/>
      <c r="J82" s="104"/>
      <c r="K82" s="282"/>
      <c r="L82" s="282"/>
      <c r="M82" s="363"/>
      <c r="N82" s="363"/>
      <c r="O82" s="138">
        <v>0.0</v>
      </c>
      <c r="P82" s="138">
        <v>1.0</v>
      </c>
      <c r="Q82" s="138">
        <v>1.0</v>
      </c>
      <c r="R82" s="145" t="b">
        <v>1</v>
      </c>
      <c r="S82" s="145" t="b">
        <v>0</v>
      </c>
      <c r="T82" s="145" t="b">
        <v>1</v>
      </c>
      <c r="U82" s="166" t="s">
        <v>186</v>
      </c>
      <c r="V82" s="166" t="b">
        <v>1</v>
      </c>
    </row>
    <row r="83" outlineLevel="1">
      <c r="A83" s="156"/>
      <c r="B83" s="663" t="s">
        <v>229</v>
      </c>
      <c r="C83" s="244" t="s">
        <v>3373</v>
      </c>
      <c r="D83" s="239" t="s">
        <v>393</v>
      </c>
      <c r="E83" s="239" t="s">
        <v>150</v>
      </c>
      <c r="F83" s="138">
        <v>6.0</v>
      </c>
      <c r="G83" s="774" t="s">
        <v>60</v>
      </c>
      <c r="H83" s="212"/>
      <c r="J83" s="210"/>
      <c r="K83" s="282"/>
      <c r="L83" s="282"/>
      <c r="M83" s="363"/>
      <c r="N83" s="363"/>
      <c r="O83" s="138">
        <v>0.0</v>
      </c>
      <c r="P83" s="138">
        <v>1.0</v>
      </c>
      <c r="Q83" s="138">
        <v>1.0</v>
      </c>
      <c r="R83" s="145" t="b">
        <v>1</v>
      </c>
      <c r="S83" s="145" t="b">
        <v>0</v>
      </c>
      <c r="T83" s="145" t="b">
        <v>1</v>
      </c>
      <c r="U83" s="146"/>
      <c r="V83" s="146"/>
    </row>
    <row r="84" outlineLevel="1">
      <c r="A84" s="259" t="s">
        <v>483</v>
      </c>
      <c r="B84" s="663"/>
      <c r="C84" s="244" t="s">
        <v>3374</v>
      </c>
      <c r="D84" s="409"/>
      <c r="E84" s="139" t="s">
        <v>204</v>
      </c>
      <c r="F84" s="138">
        <v>3.5999999999999996</v>
      </c>
      <c r="G84" s="774" t="s">
        <v>170</v>
      </c>
      <c r="H84" s="106"/>
      <c r="I84" s="168"/>
      <c r="J84" s="107"/>
      <c r="K84" s="282"/>
      <c r="L84" s="282"/>
      <c r="M84" s="363"/>
      <c r="N84" s="363"/>
      <c r="O84" s="138">
        <v>0.0</v>
      </c>
      <c r="P84" s="138">
        <v>1.0</v>
      </c>
      <c r="Q84" s="138">
        <v>1.0</v>
      </c>
      <c r="R84" s="145" t="b">
        <v>1</v>
      </c>
      <c r="S84" s="145" t="b">
        <v>0</v>
      </c>
      <c r="T84" s="145" t="b">
        <v>1</v>
      </c>
      <c r="U84" s="156"/>
      <c r="V84" s="156"/>
    </row>
    <row r="85" outlineLevel="1">
      <c r="A85" s="230" t="str">
        <f>"横B ("&amp;VLOOKUP($A$1,Fighters!$A$2:$AI$81,16,FALSE)&amp;")"</f>
        <v>横B (クラッシュボム)</v>
      </c>
      <c r="B85" s="109"/>
      <c r="C85" s="231" t="s">
        <v>48</v>
      </c>
      <c r="D85" s="231" t="s">
        <v>49</v>
      </c>
      <c r="E85" s="232" t="s">
        <v>50</v>
      </c>
      <c r="F85" s="233" t="s">
        <v>51</v>
      </c>
      <c r="G85" s="232" t="s">
        <v>52</v>
      </c>
      <c r="H85" s="382" t="str">
        <f>'テンプレート'!H75</f>
        <v>備考</v>
      </c>
      <c r="I85" s="110"/>
      <c r="J85" s="109"/>
      <c r="K85" s="235" t="str">
        <f>'テンプレート'!K75</f>
        <v>ベクトル</v>
      </c>
      <c r="L85" s="235" t="str">
        <f>'テンプレート'!L75</f>
        <v>KBG (R.E.)</v>
      </c>
      <c r="M85" s="235" t="str">
        <f>'テンプレート'!M75</f>
        <v>BKB (R.A.)</v>
      </c>
      <c r="N85" s="235" t="str">
        <f>'テンプレート'!N75</f>
        <v>FKB (R.F.)</v>
      </c>
      <c r="O85" s="236" t="str">
        <f>'テンプレート'!O75</f>
        <v>盾削り値</v>
      </c>
      <c r="P85" s="235" t="str">
        <f>'テンプレート'!P75</f>
        <v>ﾋｯﾄｽﾄｯﾌﾟ</v>
      </c>
      <c r="Q85" s="236" t="str">
        <f>'テンプレート'!Q75</f>
        <v>ずらし</v>
      </c>
      <c r="R85" s="235" t="str">
        <f>'テンプレート'!R75</f>
        <v>相殺</v>
      </c>
      <c r="S85" s="236" t="str">
        <f>'テンプレート'!S75</f>
        <v>相殺ﾓｰｼｮﾝ</v>
      </c>
      <c r="T85" s="236" t="str">
        <f>'テンプレート'!T75</f>
        <v>飛び道具</v>
      </c>
      <c r="U85" s="236" t="str">
        <f>'テンプレート'!U75</f>
        <v>慣性反転</v>
      </c>
      <c r="V85" s="236" t="str">
        <f>'テンプレート'!V75</f>
        <v>向き反転</v>
      </c>
    </row>
    <row r="86" outlineLevel="1">
      <c r="A86" s="237" t="s">
        <v>184</v>
      </c>
      <c r="B86" s="243" t="s">
        <v>3375</v>
      </c>
      <c r="C86" s="239" t="s">
        <v>3376</v>
      </c>
      <c r="D86" s="455" t="s">
        <v>393</v>
      </c>
      <c r="E86" s="239" t="s">
        <v>209</v>
      </c>
      <c r="F86" s="138">
        <v>0.0</v>
      </c>
      <c r="G86" s="409"/>
      <c r="H86" s="163" t="s">
        <v>3377</v>
      </c>
      <c r="I86" s="164"/>
      <c r="J86" s="104"/>
      <c r="K86" s="282"/>
      <c r="L86" s="282"/>
      <c r="M86" s="363"/>
      <c r="N86" s="363"/>
      <c r="O86" s="138">
        <v>0.0</v>
      </c>
      <c r="P86" s="138">
        <v>1.0</v>
      </c>
      <c r="Q86" s="138">
        <v>1.0</v>
      </c>
      <c r="R86" s="145" t="b">
        <v>1</v>
      </c>
      <c r="S86" s="145" t="b">
        <v>0</v>
      </c>
      <c r="T86" s="145" t="b">
        <v>1</v>
      </c>
      <c r="U86" s="166" t="s">
        <v>186</v>
      </c>
      <c r="V86" s="166" t="b">
        <v>1</v>
      </c>
    </row>
    <row r="87" outlineLevel="1">
      <c r="A87" s="146"/>
      <c r="B87" s="663" t="s">
        <v>3378</v>
      </c>
      <c r="C87" s="239" t="s">
        <v>3379</v>
      </c>
      <c r="D87" s="409"/>
      <c r="E87" s="365" t="s">
        <v>1024</v>
      </c>
      <c r="F87" s="138">
        <v>1.8</v>
      </c>
      <c r="G87" s="774" t="s">
        <v>170</v>
      </c>
      <c r="H87" s="212"/>
      <c r="J87" s="210"/>
      <c r="K87" s="138"/>
      <c r="L87" s="138"/>
      <c r="M87" s="145"/>
      <c r="N87" s="145"/>
      <c r="O87" s="138">
        <v>1.0</v>
      </c>
      <c r="P87" s="138">
        <v>1.0</v>
      </c>
      <c r="Q87" s="138">
        <v>1.0</v>
      </c>
      <c r="R87" s="145" t="b">
        <v>1</v>
      </c>
      <c r="S87" s="145" t="b">
        <v>0</v>
      </c>
      <c r="T87" s="145" t="b">
        <v>1</v>
      </c>
      <c r="U87" s="146"/>
      <c r="V87" s="146"/>
    </row>
    <row r="88" outlineLevel="1">
      <c r="A88" s="146"/>
      <c r="B88" s="663" t="s">
        <v>3380</v>
      </c>
      <c r="C88" s="239" t="s">
        <v>2159</v>
      </c>
      <c r="D88" s="409"/>
      <c r="E88" s="239" t="s">
        <v>73</v>
      </c>
      <c r="F88" s="138">
        <v>4.8</v>
      </c>
      <c r="G88" s="774" t="s">
        <v>170</v>
      </c>
      <c r="H88" s="106"/>
      <c r="I88" s="168"/>
      <c r="J88" s="107"/>
      <c r="K88" s="138"/>
      <c r="L88" s="138"/>
      <c r="M88" s="145"/>
      <c r="N88" s="145"/>
      <c r="O88" s="138">
        <v>0.0</v>
      </c>
      <c r="P88" s="138">
        <v>1.0</v>
      </c>
      <c r="Q88" s="138">
        <v>1.0</v>
      </c>
      <c r="R88" s="145" t="b">
        <v>1</v>
      </c>
      <c r="S88" s="145" t="b">
        <v>0</v>
      </c>
      <c r="T88" s="145" t="b">
        <v>1</v>
      </c>
      <c r="U88" s="156"/>
      <c r="V88" s="156"/>
    </row>
    <row r="89" outlineLevel="1">
      <c r="A89" s="230" t="str">
        <f>"上B ("&amp;VLOOKUP($A$1,Fighters!$A$2:$AI$81,17,FALSE)&amp;")"</f>
        <v>上B (ラッシュコイル)</v>
      </c>
      <c r="B89" s="109"/>
      <c r="C89" s="231" t="s">
        <v>48</v>
      </c>
      <c r="D89" s="231" t="s">
        <v>49</v>
      </c>
      <c r="E89" s="232" t="s">
        <v>50</v>
      </c>
      <c r="F89" s="233" t="s">
        <v>51</v>
      </c>
      <c r="G89" s="232" t="s">
        <v>52</v>
      </c>
      <c r="H89" s="382" t="str">
        <f>'テンプレート'!H80</f>
        <v>備考</v>
      </c>
      <c r="I89" s="110"/>
      <c r="J89" s="109"/>
      <c r="K89" s="235" t="str">
        <f>'テンプレート'!K80</f>
        <v>ベクトル</v>
      </c>
      <c r="L89" s="235" t="str">
        <f>'テンプレート'!L80</f>
        <v>KBG (R.E.)</v>
      </c>
      <c r="M89" s="235" t="str">
        <f>'テンプレート'!M80</f>
        <v>BKB (R.A.)</v>
      </c>
      <c r="N89" s="235" t="str">
        <f>'テンプレート'!N80</f>
        <v>FKB (R.F.)</v>
      </c>
      <c r="O89" s="236" t="str">
        <f>'テンプレート'!O80</f>
        <v>盾削り値</v>
      </c>
      <c r="P89" s="235" t="str">
        <f>'テンプレート'!P80</f>
        <v>ﾋｯﾄｽﾄｯﾌﾟ</v>
      </c>
      <c r="Q89" s="236" t="str">
        <f>'テンプレート'!Q80</f>
        <v>ずらし</v>
      </c>
      <c r="R89" s="235" t="str">
        <f>'テンプレート'!R80</f>
        <v>相殺</v>
      </c>
      <c r="S89" s="236" t="str">
        <f>'テンプレート'!S80</f>
        <v>相殺ﾓｰｼｮﾝ</v>
      </c>
      <c r="T89" s="236" t="str">
        <f>'テンプレート'!T80</f>
        <v>飛び道具</v>
      </c>
      <c r="U89" s="236" t="str">
        <f>'テンプレート'!U80</f>
        <v>慣性反転</v>
      </c>
      <c r="V89" s="236" t="str">
        <f>'テンプレート'!V80</f>
        <v>向き反転</v>
      </c>
    </row>
    <row r="90" outlineLevel="1">
      <c r="A90" s="1202" t="s">
        <v>184</v>
      </c>
      <c r="B90" s="870"/>
      <c r="C90" s="409"/>
      <c r="D90" s="239" t="s">
        <v>384</v>
      </c>
      <c r="E90" s="409"/>
      <c r="F90" s="409"/>
      <c r="G90" s="409"/>
      <c r="H90" s="140" t="s">
        <v>3381</v>
      </c>
      <c r="I90" s="110"/>
      <c r="J90" s="109"/>
      <c r="K90" s="281"/>
      <c r="L90" s="281"/>
      <c r="M90" s="281"/>
      <c r="N90" s="281"/>
      <c r="O90" s="281"/>
      <c r="P90" s="281"/>
      <c r="Q90" s="281"/>
      <c r="R90" s="281"/>
      <c r="S90" s="281"/>
      <c r="T90" s="281"/>
      <c r="U90" s="145" t="s">
        <v>186</v>
      </c>
      <c r="V90" s="145" t="b">
        <v>1</v>
      </c>
    </row>
    <row r="91" outlineLevel="1">
      <c r="A91" s="230" t="str">
        <f>"下B ("&amp;VLOOKUP($A$1,Fighters!$A$2:$AI$81,18,FALSE)&amp;")"</f>
        <v>下B (リーフシールド)</v>
      </c>
      <c r="B91" s="109"/>
      <c r="C91" s="231" t="s">
        <v>48</v>
      </c>
      <c r="D91" s="231" t="s">
        <v>49</v>
      </c>
      <c r="E91" s="232" t="s">
        <v>50</v>
      </c>
      <c r="F91" s="233" t="s">
        <v>51</v>
      </c>
      <c r="G91" s="232" t="s">
        <v>52</v>
      </c>
      <c r="H91" s="382" t="str">
        <f>'テンプレート'!H85</f>
        <v>備考</v>
      </c>
      <c r="I91" s="110"/>
      <c r="J91" s="109"/>
      <c r="K91" s="235" t="str">
        <f>'テンプレート'!K85</f>
        <v>ベクトル</v>
      </c>
      <c r="L91" s="235" t="str">
        <f>'テンプレート'!L85</f>
        <v>KBG (R.E.)</v>
      </c>
      <c r="M91" s="235" t="str">
        <f>'テンプレート'!M85</f>
        <v>BKB (R.A.)</v>
      </c>
      <c r="N91" s="235" t="str">
        <f>'テンプレート'!N85</f>
        <v>FKB (R.F.)</v>
      </c>
      <c r="O91" s="236" t="str">
        <f>'テンプレート'!O85</f>
        <v>盾削り値</v>
      </c>
      <c r="P91" s="235" t="str">
        <f>'テンプレート'!P85</f>
        <v>ﾋｯﾄｽﾄｯﾌﾟ</v>
      </c>
      <c r="Q91" s="236" t="str">
        <f>'テンプレート'!Q85</f>
        <v>ずらし</v>
      </c>
      <c r="R91" s="235" t="str">
        <f>'テンプレート'!R85</f>
        <v>相殺</v>
      </c>
      <c r="S91" s="236" t="str">
        <f>'テンプレート'!S85</f>
        <v>相殺ﾓｰｼｮﾝ</v>
      </c>
      <c r="T91" s="236" t="str">
        <f>'テンプレート'!T85</f>
        <v>飛び道具</v>
      </c>
      <c r="U91" s="236" t="str">
        <f>'テンプレート'!U85</f>
        <v>慣性反転</v>
      </c>
      <c r="V91" s="236" t="str">
        <f>'テンプレート'!V85</f>
        <v>向き反転</v>
      </c>
    </row>
    <row r="92" outlineLevel="1">
      <c r="A92" s="546" t="s">
        <v>184</v>
      </c>
      <c r="B92" s="402" t="s">
        <v>3382</v>
      </c>
      <c r="C92" s="365" t="s">
        <v>3383</v>
      </c>
      <c r="D92" s="365" t="s">
        <v>193</v>
      </c>
      <c r="E92" s="239" t="s">
        <v>1024</v>
      </c>
      <c r="F92" s="138">
        <v>1.7999999999999998</v>
      </c>
      <c r="G92" s="774" t="s">
        <v>170</v>
      </c>
      <c r="H92" s="283" t="s">
        <v>3384</v>
      </c>
      <c r="I92" s="164"/>
      <c r="J92" s="104"/>
      <c r="K92" s="138"/>
      <c r="L92" s="138"/>
      <c r="M92" s="145"/>
      <c r="N92" s="145"/>
      <c r="O92" s="138">
        <v>0.0</v>
      </c>
      <c r="P92" s="138">
        <v>1.0</v>
      </c>
      <c r="Q92" s="138">
        <v>1.0</v>
      </c>
      <c r="R92" s="145" t="b">
        <v>1</v>
      </c>
      <c r="S92" s="145" t="b">
        <v>0</v>
      </c>
      <c r="T92" s="145" t="b">
        <v>1</v>
      </c>
      <c r="U92" s="166" t="s">
        <v>186</v>
      </c>
      <c r="V92" s="166" t="b">
        <v>1</v>
      </c>
    </row>
    <row r="93" outlineLevel="1">
      <c r="A93" s="156"/>
      <c r="B93" s="402" t="s">
        <v>1578</v>
      </c>
      <c r="C93" s="239" t="s">
        <v>3385</v>
      </c>
      <c r="D93" s="365" t="s">
        <v>300</v>
      </c>
      <c r="E93" s="239" t="s">
        <v>2143</v>
      </c>
      <c r="F93" s="138">
        <v>4.56</v>
      </c>
      <c r="G93" s="774" t="s">
        <v>170</v>
      </c>
      <c r="H93" s="106"/>
      <c r="I93" s="168"/>
      <c r="J93" s="107"/>
      <c r="K93" s="138"/>
      <c r="L93" s="138"/>
      <c r="M93" s="145"/>
      <c r="N93" s="145"/>
      <c r="O93" s="138">
        <v>0.0</v>
      </c>
      <c r="P93" s="138">
        <v>1.0</v>
      </c>
      <c r="Q93" s="138">
        <v>1.0</v>
      </c>
      <c r="R93" s="145" t="b">
        <v>1</v>
      </c>
      <c r="S93" s="145" t="b">
        <v>0</v>
      </c>
      <c r="T93" s="145" t="b">
        <v>1</v>
      </c>
      <c r="U93" s="156"/>
      <c r="V93" s="156"/>
    </row>
    <row r="94">
      <c r="A94" s="223"/>
      <c r="B94" s="224"/>
      <c r="C94" s="225"/>
      <c r="D94" s="225"/>
      <c r="E94" s="226"/>
      <c r="F94" s="226"/>
      <c r="G94" s="226"/>
      <c r="H94" s="227"/>
      <c r="I94" s="227"/>
      <c r="J94" s="228"/>
      <c r="K94" s="228"/>
      <c r="L94" s="228"/>
      <c r="M94" s="228"/>
      <c r="N94" s="228"/>
      <c r="O94" s="228"/>
      <c r="P94" s="228"/>
      <c r="Q94" s="118"/>
      <c r="R94" s="118"/>
      <c r="S94" s="118"/>
      <c r="T94" s="118"/>
      <c r="U94" s="118"/>
      <c r="V94" s="118"/>
    </row>
    <row r="95">
      <c r="A95" s="264" t="s">
        <v>211</v>
      </c>
      <c r="B95" s="104"/>
      <c r="C95" s="227"/>
      <c r="D95" s="227"/>
      <c r="E95" s="228"/>
      <c r="F95" s="265"/>
      <c r="G95" s="265"/>
      <c r="H95" s="228"/>
      <c r="I95" s="228"/>
      <c r="J95" s="228"/>
      <c r="K95" s="228"/>
      <c r="L95" s="228"/>
      <c r="M95" s="228"/>
      <c r="N95" s="118"/>
      <c r="O95" s="118"/>
      <c r="P95" s="118"/>
      <c r="Q95" s="228"/>
      <c r="R95" s="228"/>
      <c r="S95" s="228"/>
      <c r="T95" s="228"/>
      <c r="U95" s="228"/>
      <c r="V95" s="228"/>
    </row>
    <row r="96" outlineLevel="1">
      <c r="A96" s="106"/>
      <c r="B96" s="107"/>
      <c r="C96" s="266" t="s">
        <v>48</v>
      </c>
      <c r="D96" s="266" t="s">
        <v>49</v>
      </c>
      <c r="E96" s="266" t="s">
        <v>50</v>
      </c>
      <c r="F96" s="267" t="s">
        <v>51</v>
      </c>
      <c r="G96" s="227"/>
      <c r="H96" s="227"/>
      <c r="I96" s="227"/>
      <c r="J96" s="228"/>
      <c r="K96" s="228"/>
      <c r="L96" s="228"/>
      <c r="M96" s="228"/>
      <c r="N96" s="228"/>
      <c r="O96" s="228"/>
      <c r="P96" s="228"/>
      <c r="Q96" s="228"/>
      <c r="R96" s="228"/>
      <c r="S96" s="228"/>
      <c r="T96" s="228"/>
      <c r="U96" s="228"/>
      <c r="V96" s="228"/>
    </row>
    <row r="97" outlineLevel="1">
      <c r="A97" s="268" t="s">
        <v>212</v>
      </c>
      <c r="B97" s="269" t="s">
        <v>212</v>
      </c>
      <c r="C97" s="239" t="s">
        <v>213</v>
      </c>
      <c r="D97" s="239" t="s">
        <v>86</v>
      </c>
      <c r="E97" s="239" t="s">
        <v>214</v>
      </c>
      <c r="F97" s="138">
        <v>1.56</v>
      </c>
      <c r="G97" s="227"/>
      <c r="H97" s="227"/>
      <c r="I97" s="227"/>
      <c r="J97" s="228"/>
      <c r="K97" s="228"/>
      <c r="L97" s="228"/>
      <c r="M97" s="228"/>
      <c r="N97" s="228"/>
      <c r="O97" s="228"/>
      <c r="P97" s="228"/>
      <c r="Q97" s="228"/>
      <c r="R97" s="228"/>
      <c r="S97" s="228"/>
      <c r="T97" s="228"/>
      <c r="U97" s="228"/>
      <c r="V97" s="228"/>
    </row>
    <row r="98" outlineLevel="1">
      <c r="A98" s="270" t="s">
        <v>215</v>
      </c>
      <c r="B98" s="269" t="s">
        <v>216</v>
      </c>
      <c r="C98" s="239" t="s">
        <v>217</v>
      </c>
      <c r="D98" s="239" t="s">
        <v>79</v>
      </c>
      <c r="E98" s="271"/>
      <c r="F98" s="272"/>
      <c r="G98" s="272"/>
      <c r="H98" s="227"/>
      <c r="I98" s="227"/>
      <c r="J98" s="228"/>
      <c r="K98" s="228"/>
      <c r="L98" s="228"/>
      <c r="M98" s="228"/>
      <c r="N98" s="228"/>
      <c r="O98" s="228"/>
      <c r="P98" s="228"/>
      <c r="Q98" s="228"/>
      <c r="R98" s="228"/>
      <c r="S98" s="228"/>
      <c r="T98" s="228"/>
      <c r="U98" s="228"/>
      <c r="V98" s="228"/>
    </row>
    <row r="99" outlineLevel="1">
      <c r="A99" s="212"/>
      <c r="B99" s="269" t="s">
        <v>219</v>
      </c>
      <c r="C99" s="239" t="s">
        <v>220</v>
      </c>
      <c r="D99" s="239" t="s">
        <v>146</v>
      </c>
      <c r="E99" s="271"/>
      <c r="F99" s="272"/>
      <c r="G99" s="272"/>
      <c r="H99" s="227"/>
      <c r="I99" s="227"/>
      <c r="J99" s="228"/>
      <c r="K99" s="228"/>
      <c r="L99" s="228"/>
      <c r="M99" s="228"/>
      <c r="N99" s="228"/>
      <c r="O99" s="228"/>
      <c r="P99" s="228"/>
      <c r="Q99" s="228"/>
      <c r="R99" s="228"/>
      <c r="S99" s="228"/>
      <c r="T99" s="228"/>
      <c r="U99" s="228"/>
      <c r="V99" s="228"/>
    </row>
    <row r="100" outlineLevel="1">
      <c r="A100" s="106"/>
      <c r="B100" s="269" t="s">
        <v>222</v>
      </c>
      <c r="C100" s="239" t="s">
        <v>223</v>
      </c>
      <c r="D100" s="239" t="s">
        <v>628</v>
      </c>
      <c r="E100" s="227"/>
      <c r="F100" s="272"/>
      <c r="G100" s="272"/>
      <c r="H100" s="227"/>
      <c r="I100" s="227"/>
      <c r="J100" s="228"/>
      <c r="K100" s="228"/>
      <c r="L100" s="228"/>
      <c r="M100" s="228"/>
      <c r="N100" s="228"/>
      <c r="O100" s="228"/>
      <c r="P100" s="228"/>
      <c r="Q100" s="228"/>
      <c r="R100" s="228"/>
      <c r="S100" s="228"/>
      <c r="T100" s="228"/>
      <c r="U100" s="228"/>
      <c r="V100" s="228"/>
    </row>
    <row r="101" outlineLevel="1">
      <c r="A101" s="273" t="s">
        <v>225</v>
      </c>
      <c r="B101" s="109"/>
      <c r="C101" s="266" t="s">
        <v>48</v>
      </c>
      <c r="D101" s="266" t="s">
        <v>49</v>
      </c>
      <c r="E101" s="266" t="s">
        <v>50</v>
      </c>
      <c r="F101" s="267" t="s">
        <v>51</v>
      </c>
      <c r="G101" s="1168" t="s">
        <v>53</v>
      </c>
      <c r="H101" s="110"/>
      <c r="I101" s="110"/>
      <c r="J101" s="109"/>
      <c r="K101" s="275" t="str">
        <f>'テンプレート'!K97</f>
        <v>ベクトル</v>
      </c>
      <c r="L101" s="275" t="str">
        <f>'テンプレート'!L97</f>
        <v>KBG (R.E.)</v>
      </c>
      <c r="M101" s="275" t="str">
        <f>'テンプレート'!M97</f>
        <v>BKB (R.A.)</v>
      </c>
      <c r="N101" s="275" t="str">
        <f>'テンプレート'!N97</f>
        <v>FKB (R.F.)</v>
      </c>
      <c r="O101" s="276" t="str">
        <f>'テンプレート'!O97</f>
        <v>盾削り値</v>
      </c>
      <c r="P101" s="275" t="str">
        <f>'テンプレート'!P97</f>
        <v>ﾋｯﾄｽﾄｯﾌﾟ</v>
      </c>
      <c r="Q101" s="276" t="str">
        <f>'テンプレート'!Q97</f>
        <v>ずらし</v>
      </c>
      <c r="R101" s="277"/>
      <c r="S101" s="277"/>
      <c r="T101" s="277"/>
      <c r="U101" s="277"/>
      <c r="V101" s="277"/>
    </row>
    <row r="102" outlineLevel="1">
      <c r="A102" s="278" t="s">
        <v>226</v>
      </c>
      <c r="B102" s="269" t="s">
        <v>227</v>
      </c>
      <c r="C102" s="261"/>
      <c r="D102" s="279">
        <v>32.0</v>
      </c>
      <c r="E102" s="261"/>
      <c r="F102" s="261"/>
      <c r="G102" s="1170"/>
      <c r="H102" s="164"/>
      <c r="I102" s="164"/>
      <c r="J102" s="104"/>
      <c r="K102" s="261"/>
      <c r="L102" s="261"/>
      <c r="M102" s="261"/>
      <c r="N102" s="261"/>
      <c r="O102" s="261"/>
      <c r="P102" s="261"/>
      <c r="Q102" s="261"/>
      <c r="R102" s="277"/>
      <c r="S102" s="228"/>
      <c r="T102" s="228"/>
      <c r="U102" s="228"/>
      <c r="V102" s="228"/>
    </row>
    <row r="103" outlineLevel="1">
      <c r="A103" s="156"/>
      <c r="B103" s="269" t="s">
        <v>225</v>
      </c>
      <c r="C103" s="239" t="s">
        <v>128</v>
      </c>
      <c r="D103" s="156"/>
      <c r="E103" s="239" t="s">
        <v>80</v>
      </c>
      <c r="F103" s="138">
        <v>9.6</v>
      </c>
      <c r="G103" s="106"/>
      <c r="H103" s="168"/>
      <c r="I103" s="168"/>
      <c r="J103" s="107"/>
      <c r="K103" s="282"/>
      <c r="L103" s="282"/>
      <c r="M103" s="363"/>
      <c r="N103" s="363"/>
      <c r="O103" s="261"/>
      <c r="P103" s="261"/>
      <c r="Q103" s="261"/>
      <c r="R103" s="277"/>
      <c r="S103" s="228"/>
      <c r="T103" s="228"/>
      <c r="U103" s="228"/>
      <c r="V103" s="228"/>
    </row>
    <row r="104" outlineLevel="1">
      <c r="A104" s="278" t="s">
        <v>229</v>
      </c>
      <c r="B104" s="269" t="s">
        <v>227</v>
      </c>
      <c r="C104" s="261"/>
      <c r="D104" s="279">
        <v>43.0</v>
      </c>
      <c r="E104" s="261"/>
      <c r="F104" s="261"/>
      <c r="G104" s="1170"/>
      <c r="H104" s="164"/>
      <c r="I104" s="164"/>
      <c r="J104" s="104"/>
      <c r="K104" s="261"/>
      <c r="L104" s="261"/>
      <c r="M104" s="261"/>
      <c r="N104" s="261"/>
      <c r="O104" s="261"/>
      <c r="P104" s="261"/>
      <c r="Q104" s="261"/>
      <c r="R104" s="277"/>
      <c r="S104" s="228"/>
      <c r="T104" s="228"/>
      <c r="U104" s="228"/>
      <c r="V104" s="228"/>
    </row>
    <row r="105" outlineLevel="1">
      <c r="A105" s="156"/>
      <c r="B105" s="269" t="s">
        <v>225</v>
      </c>
      <c r="C105" s="113">
        <v>18.0</v>
      </c>
      <c r="D105" s="156"/>
      <c r="E105" s="239" t="s">
        <v>232</v>
      </c>
      <c r="F105" s="138">
        <v>13.2</v>
      </c>
      <c r="G105" s="106"/>
      <c r="H105" s="168"/>
      <c r="I105" s="168"/>
      <c r="J105" s="107"/>
      <c r="K105" s="282"/>
      <c r="L105" s="282"/>
      <c r="M105" s="363"/>
      <c r="N105" s="363"/>
      <c r="O105" s="261"/>
      <c r="P105" s="261"/>
      <c r="Q105" s="261"/>
      <c r="R105" s="277"/>
      <c r="S105" s="228"/>
      <c r="T105" s="228"/>
      <c r="U105" s="228"/>
      <c r="V105" s="228"/>
    </row>
    <row r="106" outlineLevel="1">
      <c r="A106" s="278" t="s">
        <v>233</v>
      </c>
      <c r="B106" s="269" t="s">
        <v>227</v>
      </c>
      <c r="C106" s="261"/>
      <c r="D106" s="279">
        <v>39.0</v>
      </c>
      <c r="E106" s="261"/>
      <c r="F106" s="261"/>
      <c r="G106" s="1170"/>
      <c r="H106" s="164"/>
      <c r="I106" s="164"/>
      <c r="J106" s="104"/>
      <c r="K106" s="261"/>
      <c r="L106" s="261"/>
      <c r="M106" s="261"/>
      <c r="N106" s="261"/>
      <c r="O106" s="261"/>
      <c r="P106" s="261"/>
      <c r="Q106" s="261"/>
      <c r="R106" s="277"/>
      <c r="S106" s="228"/>
      <c r="T106" s="228"/>
      <c r="U106" s="228"/>
      <c r="V106" s="228"/>
    </row>
    <row r="107" outlineLevel="1">
      <c r="A107" s="156"/>
      <c r="B107" s="269" t="s">
        <v>225</v>
      </c>
      <c r="C107" s="113">
        <v>12.0</v>
      </c>
      <c r="D107" s="156"/>
      <c r="E107" s="239" t="s">
        <v>93</v>
      </c>
      <c r="F107" s="138">
        <v>8.4</v>
      </c>
      <c r="G107" s="106"/>
      <c r="H107" s="168"/>
      <c r="I107" s="168"/>
      <c r="J107" s="107"/>
      <c r="K107" s="282"/>
      <c r="L107" s="282"/>
      <c r="M107" s="363"/>
      <c r="N107" s="363"/>
      <c r="O107" s="261"/>
      <c r="P107" s="261"/>
      <c r="Q107" s="261"/>
      <c r="R107" s="277"/>
      <c r="S107" s="117"/>
      <c r="T107" s="117"/>
      <c r="U107" s="117"/>
      <c r="V107" s="117"/>
    </row>
    <row r="108" outlineLevel="1">
      <c r="A108" s="278" t="s">
        <v>234</v>
      </c>
      <c r="B108" s="269" t="s">
        <v>227</v>
      </c>
      <c r="C108" s="261"/>
      <c r="D108" s="279">
        <v>39.0</v>
      </c>
      <c r="E108" s="261"/>
      <c r="F108" s="261"/>
      <c r="G108" s="283" t="s">
        <v>3386</v>
      </c>
      <c r="H108" s="164"/>
      <c r="I108" s="164"/>
      <c r="J108" s="104"/>
      <c r="K108" s="261"/>
      <c r="L108" s="261"/>
      <c r="M108" s="261"/>
      <c r="N108" s="261"/>
      <c r="O108" s="261"/>
      <c r="P108" s="261"/>
      <c r="Q108" s="261"/>
      <c r="R108" s="277"/>
      <c r="S108" s="117"/>
      <c r="T108" s="117"/>
      <c r="U108" s="117"/>
      <c r="V108" s="117"/>
    </row>
    <row r="109" outlineLevel="1">
      <c r="A109" s="156"/>
      <c r="B109" s="269" t="s">
        <v>225</v>
      </c>
      <c r="C109" s="113" t="s">
        <v>394</v>
      </c>
      <c r="D109" s="156"/>
      <c r="E109" s="239" t="s">
        <v>1438</v>
      </c>
      <c r="F109" s="138">
        <v>5.3999999999999995</v>
      </c>
      <c r="G109" s="106"/>
      <c r="H109" s="168"/>
      <c r="I109" s="168"/>
      <c r="J109" s="107"/>
      <c r="K109" s="282"/>
      <c r="L109" s="282"/>
      <c r="M109" s="363"/>
      <c r="N109" s="363"/>
      <c r="O109" s="261"/>
      <c r="P109" s="261"/>
      <c r="Q109" s="261"/>
      <c r="R109" s="277"/>
      <c r="S109" s="117"/>
      <c r="T109" s="117"/>
      <c r="U109" s="117"/>
      <c r="V109" s="117"/>
    </row>
    <row r="110">
      <c r="A110" s="223"/>
      <c r="B110" s="224"/>
      <c r="C110" s="225"/>
      <c r="D110" s="225"/>
      <c r="E110" s="227"/>
      <c r="F110" s="177"/>
      <c r="G110" s="177"/>
      <c r="H110" s="227"/>
      <c r="I110" s="227"/>
      <c r="J110" s="228"/>
      <c r="K110" s="228"/>
      <c r="L110" s="111"/>
      <c r="M110" s="111"/>
      <c r="N110" s="111"/>
      <c r="O110" s="117"/>
      <c r="P110" s="117"/>
      <c r="Q110" s="111"/>
      <c r="R110" s="111"/>
      <c r="S110" s="111"/>
      <c r="T110" s="111"/>
      <c r="U110" s="111"/>
      <c r="V110" s="111"/>
    </row>
    <row r="111">
      <c r="A111" s="284" t="s">
        <v>241</v>
      </c>
      <c r="B111" s="104"/>
      <c r="C111" s="265"/>
      <c r="D111" s="111"/>
      <c r="E111" s="111"/>
      <c r="F111" s="111"/>
      <c r="G111" s="111"/>
      <c r="H111" s="111"/>
      <c r="I111" s="111"/>
      <c r="J111" s="118"/>
      <c r="K111" s="111"/>
      <c r="L111" s="111"/>
      <c r="M111" s="111"/>
      <c r="N111" s="111"/>
      <c r="O111" s="111"/>
      <c r="P111" s="111"/>
      <c r="Q111" s="118"/>
      <c r="R111" s="111"/>
      <c r="S111" s="111"/>
      <c r="T111" s="111"/>
      <c r="U111" s="111"/>
      <c r="V111" s="111"/>
    </row>
    <row r="112" outlineLevel="1">
      <c r="A112" s="106"/>
      <c r="B112" s="107"/>
      <c r="C112" s="285" t="s">
        <v>235</v>
      </c>
      <c r="D112" s="285" t="s">
        <v>236</v>
      </c>
      <c r="E112" s="285" t="s">
        <v>49</v>
      </c>
      <c r="F112" s="285" t="s">
        <v>237</v>
      </c>
      <c r="G112" s="286"/>
      <c r="H112" s="227"/>
      <c r="I112" s="227"/>
      <c r="J112" s="228"/>
      <c r="K112" s="228"/>
      <c r="L112" s="111"/>
      <c r="M112" s="111"/>
      <c r="N112" s="111"/>
      <c r="O112" s="111"/>
      <c r="P112" s="111"/>
      <c r="Q112" s="111"/>
      <c r="R112" s="111"/>
      <c r="S112" s="111"/>
      <c r="T112" s="111"/>
      <c r="U112" s="111"/>
      <c r="V112" s="111"/>
    </row>
    <row r="113" outlineLevel="1">
      <c r="A113" s="287" t="s">
        <v>395</v>
      </c>
      <c r="B113" s="288" t="s">
        <v>216</v>
      </c>
      <c r="C113" s="113" t="str">
        <f t="array" ref="C113">INDEX('回避'!$C$3:$U$84, MATCH($A$1,'回避'!$A$3:$A$91,0), MATCH(C112,'回避'!$C$2:$F$2,0))</f>
        <v>3-17</v>
      </c>
      <c r="D113" s="113" t="str">
        <f t="array" ref="D113">INDEX('回避'!$C$3:$U$84, MATCH($A$1,'回避'!$A$3:$A$91,0), MATCH(D112,'回避'!$C$2:$F$2,0))</f>
        <v>6-17</v>
      </c>
      <c r="E113" s="113" t="str">
        <f t="array" ref="E113">INDEX('回避'!$C$3:$U$84, MATCH($A$1,'回避'!$A$3:$A$91,0), MATCH(E112,'回避'!$C$2:$F$2,0))</f>
        <v>25 (20)</v>
      </c>
      <c r="F113" s="113" t="str">
        <f t="array" ref="F113">INDEX('回避'!$C$3:$U$84, MATCH($A$1,'回避'!$A$3:$A$91,0), MATCH(F112,'回避'!$C$2:$F$2,0))</f>
        <v>33 (27)</v>
      </c>
      <c r="G113" s="272"/>
      <c r="H113" s="227"/>
      <c r="I113" s="227"/>
      <c r="J113" s="228"/>
      <c r="K113" s="228"/>
      <c r="L113" s="228"/>
      <c r="M113" s="111"/>
      <c r="N113" s="111"/>
      <c r="O113" s="111"/>
      <c r="P113" s="111"/>
      <c r="Q113" s="111"/>
      <c r="R113" s="111"/>
      <c r="S113" s="111"/>
      <c r="T113" s="111"/>
      <c r="U113" s="111"/>
      <c r="V113" s="111"/>
    </row>
    <row r="114" outlineLevel="1">
      <c r="A114" s="212"/>
      <c r="B114" s="288" t="s">
        <v>245</v>
      </c>
      <c r="C114" s="113" t="str">
        <f t="array" ref="C114">INDEX('回避'!$G$3:$U$84, MATCH($A$1,'回避'!$A$3:$A$91,0), MATCH(C112,'回避'!$G$2:$J$2,0))</f>
        <v>4-15</v>
      </c>
      <c r="D114" s="113" t="str">
        <f t="array" ref="D114">INDEX('回避'!$G$3:$U$84, MATCH($A$1,'回避'!$A$3:$A$91,0), MATCH(D112,'回避'!$G$2:$J$2,0))</f>
        <v>8-14</v>
      </c>
      <c r="E114" s="113" t="str">
        <f t="array" ref="E114">INDEX('回避'!$G$3:$U$84, MATCH($A$1,'回避'!$A$3:$A$91,0), MATCH(E112,'回避'!$G$2:$J$2,0))</f>
        <v>29</v>
      </c>
      <c r="F114" s="113">
        <f t="array" ref="F114">INDEX('回避'!$G$3:$U$84, MATCH($A$1,'回避'!$A$3:$A$91,0), MATCH(F112,'回避'!$G$2:$J$2,0))</f>
        <v>38</v>
      </c>
      <c r="G114" s="289"/>
      <c r="H114" s="227"/>
      <c r="I114" s="227"/>
      <c r="J114" s="228"/>
      <c r="K114" s="228"/>
      <c r="L114" s="228"/>
      <c r="M114" s="228"/>
      <c r="N114" s="228"/>
      <c r="O114" s="111"/>
      <c r="P114" s="111"/>
      <c r="Q114" s="111"/>
      <c r="R114" s="111"/>
      <c r="S114" s="111"/>
      <c r="T114" s="111"/>
      <c r="U114" s="111"/>
      <c r="V114" s="111"/>
    </row>
    <row r="115" outlineLevel="1">
      <c r="A115" s="106"/>
      <c r="B115" s="288" t="s">
        <v>246</v>
      </c>
      <c r="C115" s="113" t="str">
        <f t="array" ref="C115">INDEX('回避'!$K$3:$U$84, MATCH($A$1,'回避'!$A$3:$A$91,0), MATCH(C112,'回避'!$K$2:$N$2,0))</f>
        <v>5-16</v>
      </c>
      <c r="D115" s="113" t="str">
        <f t="array" ref="D115">INDEX('回避'!$K$3:$U$84, MATCH($A$1,'回避'!$A$3:$A$91,0), MATCH(D112,'回避'!$K$2:$N$2,0))</f>
        <v>9-14</v>
      </c>
      <c r="E115" s="113" t="str">
        <f t="array" ref="E115">INDEX('回避'!$K$3:$U$84, MATCH($A$1,'回避'!$A$3:$A$91,0), MATCH(E112,'回避'!$K$2:$N$2,0))</f>
        <v>34</v>
      </c>
      <c r="F115" s="113" t="str">
        <f t="array" ref="F115">INDEX('回避'!$K$3:$U$84, MATCH($A$1,'回避'!$A$3:$A$91,0), MATCH(F112,'回避'!$K$2:$N$2,0))</f>
        <v>51</v>
      </c>
      <c r="G115" s="289"/>
      <c r="H115" s="290"/>
      <c r="I115" s="290"/>
      <c r="J115" s="117"/>
      <c r="K115" s="117"/>
      <c r="L115" s="117"/>
      <c r="M115" s="117"/>
      <c r="N115" s="117"/>
      <c r="O115" s="111"/>
      <c r="P115" s="111"/>
      <c r="Q115" s="111"/>
      <c r="R115" s="111"/>
      <c r="S115" s="111"/>
      <c r="T115" s="111"/>
      <c r="U115" s="111"/>
      <c r="V115" s="111"/>
    </row>
    <row r="116" outlineLevel="1">
      <c r="A116" s="287" t="s">
        <v>396</v>
      </c>
      <c r="B116" s="288" t="s">
        <v>397</v>
      </c>
      <c r="C116" s="113" t="str">
        <f t="array" ref="C116">INDEX('回避'!$O$3:$U$84, MATCH($A$1,'回避'!$A$3:$A$91,0), MATCH(C112,'回避'!$O$2:$R$2,0))</f>
        <v>3-30</v>
      </c>
      <c r="D116" s="113" t="str">
        <f t="array" ref="D116">INDEX('回避'!$O$3:$U$84, MATCH($A$1,'回避'!$A$3:$A$91,0), MATCH(D112,'回避'!$O$2:$R$2,0))</f>
        <v>6-27</v>
      </c>
      <c r="E116" s="113" t="str">
        <f t="array" ref="E116">INDEX('回避'!$O$3:$U$84, MATCH($A$1,'回避'!$A$3:$A$91,0), MATCH(E112,'回避'!$O$2:$R$2,0))</f>
        <v>45</v>
      </c>
      <c r="F116" s="177"/>
      <c r="G116" s="177"/>
      <c r="H116" s="118"/>
      <c r="I116" s="118"/>
      <c r="J116" s="111"/>
      <c r="K116" s="111"/>
      <c r="L116" s="111"/>
      <c r="M116" s="111"/>
      <c r="N116" s="111"/>
      <c r="O116" s="228"/>
      <c r="P116" s="228"/>
      <c r="Q116" s="228"/>
      <c r="R116" s="228"/>
      <c r="S116" s="228"/>
      <c r="T116" s="228"/>
      <c r="U116" s="228"/>
      <c r="V116" s="228"/>
    </row>
    <row r="117" outlineLevel="1">
      <c r="A117" s="106"/>
      <c r="B117" s="288" t="s">
        <v>398</v>
      </c>
      <c r="C117" s="113" t="str">
        <f t="array" ref="C117">INDEX('回避'!$S$3:$U$84, MATCH($A$1,'回避'!$A$3:$A$91,0), MATCH(C112,'回避'!$S$2:$U$2,0))</f>
        <v>3-21</v>
      </c>
      <c r="D117" s="113" t="str">
        <f t="array" ref="D117">INDEX('回避'!$S$3:$U$84, MATCH($A$1,'回避'!$A$3:$A$91,0), MATCH(D112,'回避'!$S$2:$U$2,0))</f>
        <v>6-20</v>
      </c>
      <c r="E117" s="113" t="str">
        <f t="array" ref="E117">INDEX('回避'!$S$3:$U$84, MATCH($A$1,'回避'!$A$3:$A$91,0), MATCH(E112,'回避'!$S$2:$U$2,0))</f>
        <v>真横：76
真上：98
真下：63</v>
      </c>
      <c r="F117" s="289"/>
      <c r="G117" s="289"/>
      <c r="H117" s="118"/>
      <c r="I117" s="118"/>
      <c r="J117" s="117"/>
      <c r="K117" s="117"/>
      <c r="L117" s="117"/>
      <c r="M117" s="117"/>
      <c r="N117" s="111"/>
      <c r="O117" s="118"/>
      <c r="P117" s="118"/>
      <c r="Q117" s="118"/>
      <c r="R117" s="118"/>
      <c r="S117" s="118"/>
      <c r="T117" s="118"/>
      <c r="U117" s="118"/>
      <c r="V117" s="118"/>
    </row>
    <row r="118">
      <c r="A118" s="291"/>
      <c r="B118" s="292"/>
      <c r="C118" s="286"/>
      <c r="D118" s="286"/>
      <c r="E118" s="293"/>
      <c r="F118" s="286"/>
      <c r="G118" s="286"/>
      <c r="H118" s="286"/>
      <c r="I118" s="286"/>
      <c r="J118" s="111"/>
      <c r="K118" s="227"/>
      <c r="L118" s="227"/>
      <c r="M118" s="227"/>
      <c r="N118" s="227"/>
      <c r="O118" s="118"/>
      <c r="P118" s="118"/>
      <c r="Q118" s="118"/>
      <c r="R118" s="118"/>
      <c r="S118" s="118"/>
      <c r="T118" s="118"/>
      <c r="U118" s="118"/>
      <c r="V118" s="118"/>
    </row>
    <row r="119">
      <c r="A119" s="294" t="s">
        <v>238</v>
      </c>
      <c r="B119" s="104"/>
      <c r="C119" s="228"/>
      <c r="D119" s="117"/>
      <c r="E119" s="228"/>
      <c r="F119" s="114"/>
      <c r="G119" s="114"/>
      <c r="H119" s="117"/>
      <c r="I119" s="117"/>
      <c r="J119" s="118"/>
      <c r="K119" s="118"/>
      <c r="L119" s="118"/>
      <c r="M119" s="118"/>
      <c r="N119" s="118"/>
      <c r="O119" s="118"/>
      <c r="P119" s="118"/>
      <c r="Q119" s="118"/>
      <c r="R119" s="118"/>
      <c r="S119" s="118"/>
      <c r="T119" s="118"/>
      <c r="U119" s="118"/>
      <c r="V119" s="118"/>
    </row>
    <row r="120" outlineLevel="1">
      <c r="A120" s="106"/>
      <c r="B120" s="107"/>
      <c r="C120" s="295" t="s">
        <v>235</v>
      </c>
      <c r="D120" s="295" t="s">
        <v>49</v>
      </c>
      <c r="E120" s="295" t="s">
        <v>48</v>
      </c>
      <c r="F120" s="295" t="s">
        <v>50</v>
      </c>
      <c r="G120" s="296" t="s">
        <v>51</v>
      </c>
      <c r="H120" s="228"/>
      <c r="I120" s="228"/>
      <c r="J120" s="117"/>
      <c r="K120" s="297" t="str">
        <f>'テンプレート'!K116</f>
        <v>アイテム取得</v>
      </c>
      <c r="L120" s="109"/>
      <c r="M120" s="298" t="str">
        <f>'テンプレート'!M116</f>
        <v>取得フレーム</v>
      </c>
      <c r="N120" s="298" t="str">
        <f>'テンプレート'!N116</f>
        <v>全体フレーム</v>
      </c>
      <c r="O120" s="118"/>
      <c r="P120" s="118"/>
      <c r="Q120" s="118"/>
      <c r="R120" s="118"/>
      <c r="S120" s="118"/>
      <c r="T120" s="118"/>
      <c r="U120" s="118"/>
      <c r="V120" s="118"/>
    </row>
    <row r="121" outlineLevel="1">
      <c r="A121" s="299" t="s">
        <v>239</v>
      </c>
      <c r="B121" s="300" t="s">
        <v>240</v>
      </c>
      <c r="C121" s="301"/>
      <c r="D121" s="113">
        <f t="array" ref="D121">INDEX('崖行動・受け身'!$C$3:$C126, MATCH($A$1,'崖行動・受け身'!$A$3:$A$115,0), MATCH(D120,'崖行動・受け身'!$C$2,0))</f>
        <v>19</v>
      </c>
      <c r="E121" s="301"/>
      <c r="F121" s="301"/>
      <c r="G121" s="301"/>
      <c r="H121" s="228"/>
      <c r="I121" s="228"/>
      <c r="J121" s="111"/>
      <c r="K121" s="302" t="str">
        <f>'テンプレート'!K117</f>
        <v>小アイテム</v>
      </c>
      <c r="L121" s="303" t="str">
        <f>'テンプレート'!L117</f>
        <v>その場</v>
      </c>
      <c r="M121" s="113" t="s">
        <v>76</v>
      </c>
      <c r="N121" s="113">
        <v>7.0</v>
      </c>
      <c r="O121" s="118"/>
      <c r="P121" s="118"/>
      <c r="Q121" s="118"/>
      <c r="R121" s="118"/>
      <c r="S121" s="118"/>
      <c r="T121" s="118"/>
      <c r="U121" s="118"/>
      <c r="V121" s="118"/>
    </row>
    <row r="122" outlineLevel="1">
      <c r="A122" s="146"/>
      <c r="B122" s="300" t="s">
        <v>216</v>
      </c>
      <c r="C122" s="113" t="str">
        <f t="array" ref="C122">INDEX('崖行動・受け身'!$D$3:$E126, MATCH($A$1,'崖行動・受け身'!$A$3:$A$115,0), MATCH(C120,'崖行動・受け身'!$D$2:$E$2,0))</f>
        <v>1-33</v>
      </c>
      <c r="D122" s="113">
        <f t="array" ref="D122">INDEX('崖行動・受け身'!$D$3:$E126, MATCH($A$1,'崖行動・受け身'!$A$3:$A$115,0), MATCH(D120,'崖行動・受け身'!$D$2:$E$2,0))</f>
        <v>34</v>
      </c>
      <c r="E122" s="301"/>
      <c r="F122" s="301"/>
      <c r="G122" s="301"/>
      <c r="H122" s="228"/>
      <c r="I122" s="228"/>
      <c r="J122" s="117"/>
      <c r="K122" s="156"/>
      <c r="L122" s="303" t="str">
        <f>'テンプレート'!L118</f>
        <v>歩き</v>
      </c>
      <c r="M122" s="113" t="s">
        <v>76</v>
      </c>
      <c r="N122" s="113">
        <v>23.0</v>
      </c>
      <c r="O122" s="118"/>
      <c r="P122" s="118"/>
      <c r="Q122" s="118"/>
      <c r="R122" s="118"/>
      <c r="S122" s="118"/>
      <c r="T122" s="118"/>
      <c r="U122" s="118"/>
      <c r="V122" s="118"/>
    </row>
    <row r="123" outlineLevel="1">
      <c r="A123" s="146"/>
      <c r="B123" s="300" t="s">
        <v>241</v>
      </c>
      <c r="C123" s="113" t="str">
        <f t="array" ref="C123">INDEX('崖行動・受け身'!$F$3:$G$115, MATCH($A$1,'崖行動・受け身'!$A$3:$A$115,0), MATCH(C120,'崖行動・受け身'!$F$2:$G$2,0))</f>
        <v>1-28</v>
      </c>
      <c r="D123" s="113">
        <f t="array" ref="D123">INDEX('崖行動・受け身'!$F$3:$G$115, MATCH($A$1,'崖行動・受け身'!$A$3:$A$115,0), MATCH(D120,'崖行動・受け身'!$F$2:$G$2,0))</f>
        <v>45</v>
      </c>
      <c r="E123" s="301"/>
      <c r="F123" s="301"/>
      <c r="G123" s="301"/>
      <c r="H123" s="228"/>
      <c r="I123" s="228"/>
      <c r="J123" s="111"/>
      <c r="K123" s="304" t="str">
        <f>'テンプレート'!K119</f>
        <v>アイテム投擲</v>
      </c>
      <c r="L123" s="109"/>
      <c r="M123" s="298" t="str">
        <f>'テンプレート'!M119</f>
        <v>投擲フレーム</v>
      </c>
      <c r="N123" s="298" t="str">
        <f>'テンプレート'!N119</f>
        <v>全体フレーム</v>
      </c>
      <c r="O123" s="118"/>
      <c r="P123" s="118"/>
      <c r="Q123" s="118"/>
      <c r="R123" s="118"/>
      <c r="S123" s="118"/>
      <c r="T123" s="118"/>
      <c r="U123" s="118"/>
      <c r="V123" s="118"/>
    </row>
    <row r="124" outlineLevel="1">
      <c r="A124" s="146"/>
      <c r="B124" s="300" t="s">
        <v>242</v>
      </c>
      <c r="C124" s="113" t="str">
        <f t="array" ref="C124">INDEX('崖行動・受け身'!$H$3:$I$115, MATCH($A$1,'崖行動・受け身'!$A$3:$A$115,0), MATCH(C120,'崖行動・受け身'!$H$2:$I$2,0))</f>
        <v>1-12</v>
      </c>
      <c r="D124" s="113">
        <f t="array" ref="D124">INDEX('崖行動・受け身'!$H$3:$I$115, MATCH($A$1,'崖行動・受け身'!$A$3:$A$115,0), MATCH(D120,'崖行動・受け身'!$H$2:$I$2,0))</f>
        <v>14</v>
      </c>
      <c r="E124" s="301"/>
      <c r="F124" s="301"/>
      <c r="G124" s="301"/>
      <c r="H124" s="228"/>
      <c r="I124" s="228"/>
      <c r="J124" s="117"/>
      <c r="K124" s="305" t="str">
        <f>'テンプレート'!K120</f>
        <v>地上投擲</v>
      </c>
      <c r="L124" s="303" t="str">
        <f>'テンプレート'!L120</f>
        <v>前投げ</v>
      </c>
      <c r="M124" s="113" t="s">
        <v>232</v>
      </c>
      <c r="N124" s="113">
        <v>24.0</v>
      </c>
      <c r="O124" s="111"/>
      <c r="P124" s="111"/>
      <c r="Q124" s="111"/>
      <c r="R124" s="111"/>
      <c r="S124" s="111"/>
      <c r="T124" s="111"/>
      <c r="U124" s="111"/>
      <c r="V124" s="111"/>
    </row>
    <row r="125" outlineLevel="1">
      <c r="A125" s="156"/>
      <c r="B125" s="300" t="s">
        <v>243</v>
      </c>
      <c r="C125" s="113" t="str">
        <f t="array" ref="C125">INDEX('崖行動・受け身'!$J$3:$M$115, MATCH($A$1,'崖行動・受け身'!$A$3:$A$115,0), MATCH(C120,'崖行動・受け身'!$J$2:$M$2,0))</f>
        <v>1-26</v>
      </c>
      <c r="D125" s="113">
        <f t="array" ref="D125">INDEX('崖行動・受け身'!$J$3:$M$115, MATCH($A$1,'崖行動・受け身'!$A$3:$A$115,0), MATCH(D120,'崖行動・受け身'!$J$2:$M$2,0))</f>
        <v>55</v>
      </c>
      <c r="E125" s="113" t="str">
        <f t="array" ref="E125">INDEX('崖行動・受け身'!$J$3:$M$115, MATCH($A$1,'崖行動・受け身'!$A$3:$A$115,0), MATCH(E120,'崖行動・受け身'!$J$2:$M$2,0))</f>
        <v>24-26</v>
      </c>
      <c r="F125" s="113">
        <f t="array" ref="F125">INDEX('崖行動・受け身'!$J$3:$M$115, MATCH($A$1,'崖行動・受け身'!$A$3:$A$115,0), MATCH(F120,'崖行動・受け身'!$J$2:$M$2,0))</f>
        <v>9</v>
      </c>
      <c r="G125" s="113">
        <f>F125*1.2</f>
        <v>10.8</v>
      </c>
      <c r="H125" s="228"/>
      <c r="I125" s="228"/>
      <c r="J125" s="111"/>
      <c r="K125" s="146"/>
      <c r="L125" s="303" t="str">
        <f>'テンプレート'!L121</f>
        <v>後投げ</v>
      </c>
      <c r="M125" s="113" t="s">
        <v>232</v>
      </c>
      <c r="N125" s="113">
        <v>24.0</v>
      </c>
      <c r="O125" s="111"/>
      <c r="P125" s="111"/>
      <c r="Q125" s="111"/>
      <c r="R125" s="111"/>
      <c r="S125" s="111"/>
      <c r="T125" s="111"/>
      <c r="U125" s="111"/>
      <c r="V125" s="111"/>
    </row>
    <row r="126" outlineLevel="1">
      <c r="A126" s="299" t="s">
        <v>244</v>
      </c>
      <c r="B126" s="300" t="s">
        <v>216</v>
      </c>
      <c r="C126" s="113" t="str">
        <f t="array" ref="C126">INDEX('崖行動・受け身'!$N$3:$O$115, MATCH($A$1,'崖行動・受け身'!$A$3:$A$115,0), MATCH(C120,'崖行動・受け身'!$N$2:$O$2,0))</f>
        <v>1-20</v>
      </c>
      <c r="D126" s="113">
        <f t="array" ref="D126">INDEX('崖行動・受け身'!$N$3:$O$115, MATCH($A$1,'崖行動・受け身'!$A$3:$A$115,0), MATCH(D120,'崖行動・受け身'!$N$2:$O$2,0))</f>
        <v>26</v>
      </c>
      <c r="E126" s="301"/>
      <c r="F126" s="301"/>
      <c r="G126" s="301"/>
      <c r="H126" s="228"/>
      <c r="I126" s="228"/>
      <c r="J126" s="117"/>
      <c r="K126" s="146"/>
      <c r="L126" s="303" t="str">
        <f>'テンプレート'!L122</f>
        <v>上投げ</v>
      </c>
      <c r="M126" s="113" t="s">
        <v>232</v>
      </c>
      <c r="N126" s="113">
        <v>23.0</v>
      </c>
      <c r="O126" s="228"/>
      <c r="P126" s="228"/>
      <c r="Q126" s="228"/>
      <c r="R126" s="228"/>
      <c r="S126" s="228"/>
      <c r="T126" s="228"/>
      <c r="U126" s="228"/>
      <c r="V126" s="228"/>
    </row>
    <row r="127" outlineLevel="1">
      <c r="A127" s="146"/>
      <c r="B127" s="300" t="s">
        <v>245</v>
      </c>
      <c r="C127" s="113" t="str">
        <f t="array" ref="C127">INDEX('崖行動・受け身'!$P$3:$Q$115, MATCH($A$1,'崖行動・受け身'!$A$3:$A$115,0), MATCH(C120,'崖行動・受け身'!$P$2:$Q$2,0))</f>
        <v>1-20</v>
      </c>
      <c r="D127" s="365">
        <f t="array" ref="D127">INDEX('崖行動・受け身'!$P$3:$Q$115, MATCH($A$1,'崖行動・受け身'!$A$3:$A$115,0), MATCH(D120,'崖行動・受け身'!$P$2:$Q$2,0))</f>
        <v>40</v>
      </c>
      <c r="E127" s="301"/>
      <c r="F127" s="301"/>
      <c r="G127" s="301"/>
      <c r="H127" s="228"/>
      <c r="I127" s="228"/>
      <c r="J127" s="111"/>
      <c r="K127" s="146"/>
      <c r="L127" s="303" t="str">
        <f>'テンプレート'!L123</f>
        <v>下投げ</v>
      </c>
      <c r="M127" s="113" t="s">
        <v>232</v>
      </c>
      <c r="N127" s="113">
        <v>19.0</v>
      </c>
      <c r="O127" s="118"/>
      <c r="P127" s="118"/>
      <c r="Q127" s="118"/>
      <c r="R127" s="118"/>
      <c r="S127" s="118"/>
      <c r="T127" s="118"/>
      <c r="U127" s="118"/>
      <c r="V127" s="118"/>
    </row>
    <row r="128" outlineLevel="1">
      <c r="A128" s="156"/>
      <c r="B128" s="300" t="s">
        <v>246</v>
      </c>
      <c r="C128" s="113" t="str">
        <f t="array" ref="C128">INDEX('崖行動・受け身'!$R$3:$S$115, MATCH($A$1,'崖行動・受け身'!$A$3:$A$115,0), MATCH(C120,'崖行動・受け身'!$R$2:$S$2,0))</f>
        <v>1-20</v>
      </c>
      <c r="D128" s="365">
        <f t="array" ref="D128">INDEX('崖行動・受け身'!$R$3:$S$115, MATCH($A$1,'崖行動・受け身'!$A$3:$A$115,0), MATCH(D120,'崖行動・受け身'!$R$2:$S$2,0))</f>
        <v>40</v>
      </c>
      <c r="E128" s="301"/>
      <c r="F128" s="301"/>
      <c r="G128" s="301"/>
      <c r="H128" s="228"/>
      <c r="I128" s="228"/>
      <c r="J128" s="117"/>
      <c r="K128" s="146"/>
      <c r="L128" s="306" t="str">
        <f>'テンプレート'!L124</f>
        <v>ダッシュ</v>
      </c>
      <c r="M128" s="113" t="s">
        <v>232</v>
      </c>
      <c r="N128" s="113">
        <v>37.0</v>
      </c>
      <c r="O128" s="118"/>
      <c r="P128" s="118"/>
      <c r="Q128" s="118"/>
      <c r="R128" s="118"/>
      <c r="S128" s="118"/>
      <c r="T128" s="118"/>
      <c r="U128" s="118"/>
      <c r="V128" s="118"/>
    </row>
    <row r="129" outlineLevel="1">
      <c r="A129" s="299" t="s">
        <v>247</v>
      </c>
      <c r="B129" s="300" t="s">
        <v>248</v>
      </c>
      <c r="C129" s="301"/>
      <c r="D129" s="113" t="str">
        <f t="array" ref="D129">INDEX('起きあがり'!$C$3:$C126, MATCH($A$1,'起きあがり'!$A$3:$A$115,0), MATCH(D120,'起きあがり'!$C$2:$AD$2,0))</f>
        <v>25</v>
      </c>
      <c r="E129" s="301"/>
      <c r="F129" s="301"/>
      <c r="G129" s="301"/>
      <c r="H129" s="228"/>
      <c r="I129" s="228"/>
      <c r="J129" s="111"/>
      <c r="K129" s="156"/>
      <c r="L129" s="306" t="str">
        <f>'テンプレート'!L125</f>
        <v>その場捨て</v>
      </c>
      <c r="M129" s="113" t="s">
        <v>232</v>
      </c>
      <c r="N129" s="113">
        <v>29.0</v>
      </c>
      <c r="O129" s="118"/>
      <c r="P129" s="118"/>
      <c r="Q129" s="118"/>
      <c r="R129" s="118"/>
      <c r="S129" s="118"/>
      <c r="T129" s="118"/>
      <c r="U129" s="118"/>
      <c r="V129" s="118"/>
    </row>
    <row r="130" outlineLevel="1">
      <c r="A130" s="146"/>
      <c r="B130" s="300" t="s">
        <v>216</v>
      </c>
      <c r="C130" s="307" t="str">
        <f t="array" ref="C130">INDEX('起きあがり'!$D$3:$E126, MATCH($A$1,'起きあがり'!$A$3:$A$115,0), MATCH(C120,'起きあがり'!$D$2:$AD$2,0))</f>
        <v>1-22</v>
      </c>
      <c r="D130" s="308">
        <f t="array" ref="D130">INDEX('起きあがり'!$D$3:$E126, MATCH($A$1,'起きあがり'!$A$3:$A$115,0), MATCH(D120,'起きあがり'!$D$2:$AD$2,0))</f>
        <v>29</v>
      </c>
      <c r="E130" s="301"/>
      <c r="F130" s="301"/>
      <c r="G130" s="301"/>
      <c r="H130" s="228"/>
      <c r="I130" s="228"/>
      <c r="J130" s="117"/>
      <c r="K130" s="305" t="str">
        <f>'テンプレート'!K126</f>
        <v>空中投擲</v>
      </c>
      <c r="L130" s="303" t="str">
        <f>'テンプレート'!L126</f>
        <v>前投げ</v>
      </c>
      <c r="M130" s="113" t="s">
        <v>232</v>
      </c>
      <c r="N130" s="113">
        <v>24.0</v>
      </c>
      <c r="O130" s="118"/>
      <c r="P130" s="118"/>
      <c r="Q130" s="118"/>
      <c r="R130" s="118"/>
      <c r="S130" s="118"/>
      <c r="T130" s="118"/>
      <c r="U130" s="118"/>
      <c r="V130" s="118"/>
    </row>
    <row r="131" outlineLevel="1">
      <c r="A131" s="146"/>
      <c r="B131" s="300" t="s">
        <v>245</v>
      </c>
      <c r="C131" s="307" t="str">
        <f t="array" ref="C131">INDEX('起きあがり'!$F$3:$G$115, MATCH($A$1,'起きあがり'!$A$3:$A$115,0), MATCH(C120,'起きあがり'!$F$2:$AD$2,0))</f>
        <v>1-21</v>
      </c>
      <c r="D131" s="308">
        <f t="array" ref="D131">INDEX('起きあがり'!$F$3:$G$115, MATCH($A$1,'起きあがり'!$A$3:$A$115,0), MATCH(D120,'起きあがり'!$F$2:$AD$2,0))</f>
        <v>35</v>
      </c>
      <c r="E131" s="301"/>
      <c r="F131" s="301"/>
      <c r="G131" s="301"/>
      <c r="H131" s="228"/>
      <c r="I131" s="228"/>
      <c r="J131" s="111"/>
      <c r="K131" s="146"/>
      <c r="L131" s="303" t="str">
        <f>'テンプレート'!L127</f>
        <v>後投げ</v>
      </c>
      <c r="M131" s="113" t="s">
        <v>232</v>
      </c>
      <c r="N131" s="113">
        <v>24.0</v>
      </c>
      <c r="O131" s="118"/>
      <c r="P131" s="118"/>
      <c r="Q131" s="118"/>
      <c r="R131" s="118"/>
      <c r="S131" s="118"/>
      <c r="T131" s="118"/>
      <c r="U131" s="118"/>
      <c r="V131" s="118"/>
    </row>
    <row r="132" outlineLevel="1">
      <c r="A132" s="146"/>
      <c r="B132" s="300" t="s">
        <v>246</v>
      </c>
      <c r="C132" s="113" t="str">
        <f t="array" ref="C132">INDEX('起きあがり'!$H$3:$I$115, MATCH($A$1,'起きあがり'!$A$3:$A$115,0), MATCH(C120,'起きあがり'!$H$2:$AD$2,0))</f>
        <v>1-22</v>
      </c>
      <c r="D132" s="113">
        <f t="array" ref="D132">INDEX('起きあがり'!$H$3:$I$115, MATCH($A$1,'起きあがり'!$A$3:$A$115,0), MATCH(D120,'起きあがり'!$H$2:$AD$2,0))</f>
        <v>35</v>
      </c>
      <c r="E132" s="301"/>
      <c r="F132" s="301"/>
      <c r="G132" s="301"/>
      <c r="H132" s="228"/>
      <c r="I132" s="228"/>
      <c r="J132" s="117"/>
      <c r="K132" s="146"/>
      <c r="L132" s="303" t="str">
        <f>'テンプレート'!L128</f>
        <v>上投げ</v>
      </c>
      <c r="M132" s="113" t="s">
        <v>232</v>
      </c>
      <c r="N132" s="113">
        <v>23.0</v>
      </c>
      <c r="O132" s="118"/>
      <c r="P132" s="118"/>
      <c r="Q132" s="118"/>
      <c r="R132" s="118"/>
      <c r="S132" s="118"/>
      <c r="T132" s="118"/>
      <c r="U132" s="118"/>
      <c r="V132" s="118"/>
    </row>
    <row r="133" outlineLevel="1">
      <c r="A133" s="146"/>
      <c r="B133" s="300" t="s">
        <v>249</v>
      </c>
      <c r="C133" s="309" t="str">
        <f t="array" ref="C133">INDEX('起きあがり'!$J$3:$M$115, MATCH($A$1,'起きあがり'!$A$3:$A$115,0), MATCH(C120,'起きあがり'!$J$2:$AD$2,0))</f>
        <v>1-25</v>
      </c>
      <c r="D133" s="310">
        <f t="array" ref="D133">INDEX('起きあがり'!$J$3:$M$115, MATCH($A$1,'起きあがり'!$A$3:$A$115,0), MATCH(D120,'起きあがり'!$J$2:$AD$2,0))</f>
        <v>45</v>
      </c>
      <c r="E133" s="307" t="str">
        <f t="array" ref="E133">INDEX('起きあがり'!$J$3:$M$115, MATCH($A$1,'起きあがり'!$A$3:$A$115,0), MATCH(E120,'起きあがり'!$J$2:$AD$2,0))</f>
        <v>14-15</v>
      </c>
      <c r="F133" s="308">
        <f t="array" ref="F133">INDEX('起きあがり'!$J$3:$M$115, MATCH($A$1,'起きあがり'!$A$3:$A$115,0), MATCH(F120,'起きあがり'!$J$2:$AD$2,0))</f>
        <v>7</v>
      </c>
      <c r="G133" s="113">
        <f t="shared" ref="G133:G134" si="1">F133*1.2</f>
        <v>8.4</v>
      </c>
      <c r="H133" s="228"/>
      <c r="I133" s="228"/>
      <c r="J133" s="111"/>
      <c r="K133" s="156"/>
      <c r="L133" s="303" t="str">
        <f>'テンプレート'!L129</f>
        <v>下投げ</v>
      </c>
      <c r="M133" s="113" t="s">
        <v>232</v>
      </c>
      <c r="N133" s="113">
        <v>19.0</v>
      </c>
      <c r="O133" s="111"/>
      <c r="P133" s="111"/>
      <c r="Q133" s="111"/>
      <c r="R133" s="111"/>
      <c r="S133" s="111"/>
      <c r="T133" s="111"/>
      <c r="U133" s="111"/>
      <c r="V133" s="111"/>
    </row>
    <row r="134" outlineLevel="1">
      <c r="A134" s="156"/>
      <c r="B134" s="311" t="s">
        <v>250</v>
      </c>
      <c r="C134" s="156"/>
      <c r="D134" s="156"/>
      <c r="E134" s="307" t="str">
        <f t="array" ref="E134">INDEX('起きあがり'!$N$3:$O$115, MATCH($A$1,'起きあがり'!$A$3:$A$115,0), MATCH(E120,'起きあがり'!$N$2:$AD$2,0))</f>
        <v>24-25</v>
      </c>
      <c r="F134" s="308">
        <f t="array" ref="F134">INDEX('起きあがり'!$N$3:$O$115, MATCH($A$1,'起きあがり'!$A$3:$A$115,0), MATCH(F120,'起きあがり'!$N$2:$AD$2,0))</f>
        <v>7</v>
      </c>
      <c r="G134" s="113">
        <f t="shared" si="1"/>
        <v>8.4</v>
      </c>
      <c r="H134" s="228"/>
      <c r="I134" s="228"/>
      <c r="J134" s="111"/>
      <c r="K134" s="312" t="str">
        <f>'テンプレート'!K130</f>
        <v>踏み台ジャンプ</v>
      </c>
      <c r="L134" s="168"/>
      <c r="M134" s="298" t="str">
        <f>'テンプレート'!M130</f>
        <v>全体フレーム</v>
      </c>
      <c r="N134" s="114"/>
      <c r="O134" s="111"/>
      <c r="P134" s="111"/>
      <c r="Q134" s="111"/>
      <c r="R134" s="111"/>
      <c r="S134" s="111"/>
      <c r="T134" s="111"/>
      <c r="U134" s="111"/>
      <c r="V134" s="111"/>
    </row>
    <row r="135" outlineLevel="1">
      <c r="A135" s="299" t="s">
        <v>251</v>
      </c>
      <c r="B135" s="300" t="s">
        <v>248</v>
      </c>
      <c r="C135" s="301"/>
      <c r="D135" s="307" t="str">
        <f t="array" ref="D135">INDEX('起きあがり'!$C$3:$C126, MATCH($A$1,'起きあがり'!$A$3:$A$115,0), MATCH(D120,'起きあがり'!$C$2,0))</f>
        <v>25</v>
      </c>
      <c r="E135" s="301"/>
      <c r="F135" s="301"/>
      <c r="G135" s="301"/>
      <c r="H135" s="228"/>
      <c r="I135" s="228"/>
      <c r="J135" s="117"/>
      <c r="K135" s="313" t="str">
        <f>'テンプレート'!K131</f>
        <v>踏み</v>
      </c>
      <c r="L135" s="314" t="str">
        <f>'テンプレート'!L131</f>
        <v>踏み</v>
      </c>
      <c r="M135" s="113">
        <v>7.0</v>
      </c>
      <c r="N135" s="315"/>
      <c r="O135" s="111"/>
      <c r="P135" s="111"/>
      <c r="Q135" s="111"/>
      <c r="R135" s="111"/>
      <c r="S135" s="111"/>
      <c r="T135" s="111"/>
      <c r="U135" s="111"/>
      <c r="V135" s="111"/>
    </row>
    <row r="136" outlineLevel="1">
      <c r="A136" s="146"/>
      <c r="B136" s="300" t="s">
        <v>216</v>
      </c>
      <c r="C136" s="307" t="str">
        <f t="array" ref="C136">INDEX('起きあがり'!$P$3:$Q$115, MATCH($A$1,'起きあがり'!$A$3:$A$115,0), MATCH(C120,'起きあがり'!$P$2:$AD$2,0))</f>
        <v>1-22</v>
      </c>
      <c r="D136" s="308">
        <f t="array" ref="D136">INDEX('起きあがり'!$P$3:$Q$115, MATCH($A$1,'起きあがり'!$A$3:$A$115,0), MATCH(D120,'起きあがり'!$P$2:$AD$2,0))</f>
        <v>29</v>
      </c>
      <c r="E136" s="301"/>
      <c r="F136" s="301"/>
      <c r="G136" s="301"/>
      <c r="H136" s="228"/>
      <c r="I136" s="228"/>
      <c r="J136" s="111"/>
      <c r="K136" s="305" t="str">
        <f>'テンプレート'!K132</f>
        <v>踏まれ</v>
      </c>
      <c r="L136" s="314" t="str">
        <f>'テンプレート'!L132</f>
        <v>地上踏まれ</v>
      </c>
      <c r="M136" s="113" t="s">
        <v>76</v>
      </c>
      <c r="N136" s="315"/>
      <c r="O136" s="228"/>
      <c r="P136" s="228"/>
      <c r="Q136" s="228"/>
      <c r="R136" s="228"/>
      <c r="S136" s="228"/>
      <c r="T136" s="228"/>
      <c r="U136" s="228"/>
      <c r="V136" s="228"/>
    </row>
    <row r="137" outlineLevel="1">
      <c r="A137" s="146"/>
      <c r="B137" s="300" t="s">
        <v>245</v>
      </c>
      <c r="C137" s="307" t="str">
        <f t="array" ref="C137">INDEX('起きあがり'!$R$3:$S$115, MATCH($A$1,'起きあがり'!$A$3:$A$115,0), MATCH(C120,'起きあがり'!$R$2:$AD$2,0))</f>
        <v>1-19</v>
      </c>
      <c r="D137" s="308">
        <f t="array" ref="D137">INDEX('起きあがり'!$R$3:$S$115, MATCH($A$1,'起きあがり'!$A$3:$A$115,0), MATCH(D120,'起きあがり'!$R$2:$AD$2,0))</f>
        <v>35</v>
      </c>
      <c r="E137" s="301"/>
      <c r="F137" s="301"/>
      <c r="G137" s="301"/>
      <c r="H137" s="228"/>
      <c r="I137" s="228"/>
      <c r="J137" s="117"/>
      <c r="K137" s="146"/>
      <c r="L137" s="314" t="str">
        <f>'テンプレート'!L133</f>
        <v>地上硬直</v>
      </c>
      <c r="M137" s="113">
        <v>27.0</v>
      </c>
      <c r="N137" s="102"/>
      <c r="O137" s="118"/>
      <c r="P137" s="118"/>
      <c r="Q137" s="118"/>
      <c r="R137" s="118"/>
      <c r="S137" s="118"/>
      <c r="T137" s="118"/>
      <c r="U137" s="118"/>
      <c r="V137" s="118"/>
    </row>
    <row r="138" outlineLevel="1">
      <c r="A138" s="146"/>
      <c r="B138" s="300" t="s">
        <v>246</v>
      </c>
      <c r="C138" s="307" t="str">
        <f t="array" ref="C138">INDEX('起きあがり'!$T$3:$U$115, MATCH($A$1,'起きあがり'!$A$3:$A$115,0), MATCH(C120,'起きあがり'!$T$2:$AD$2,0))</f>
        <v>1-24</v>
      </c>
      <c r="D138" s="308">
        <f t="array" ref="D138">INDEX('起きあがり'!$T$3:$U$115, MATCH($A$1,'起きあがり'!$A$3:$A$115,0), MATCH(D120,'起きあがり'!$T$2:$AD$2,0))</f>
        <v>35</v>
      </c>
      <c r="E138" s="301"/>
      <c r="F138" s="301"/>
      <c r="G138" s="301"/>
      <c r="H138" s="228"/>
      <c r="I138" s="228"/>
      <c r="J138" s="111"/>
      <c r="K138" s="146"/>
      <c r="L138" s="314" t="str">
        <f>'テンプレート'!L134</f>
        <v>空中踏まれ</v>
      </c>
      <c r="M138" s="113">
        <v>8.0</v>
      </c>
      <c r="N138" s="102"/>
      <c r="O138" s="118"/>
      <c r="P138" s="118"/>
      <c r="Q138" s="118"/>
      <c r="R138" s="118"/>
      <c r="S138" s="118"/>
      <c r="T138" s="118"/>
      <c r="U138" s="118"/>
      <c r="V138" s="118"/>
    </row>
    <row r="139" outlineLevel="1">
      <c r="A139" s="146"/>
      <c r="B139" s="300" t="s">
        <v>249</v>
      </c>
      <c r="C139" s="309" t="str">
        <f t="array" ref="C139">INDEX('起きあがり'!$V$3:$Y$115, MATCH($A$1,'起きあがり'!$A$3:$A$115,0), MATCH(C120,'起きあがり'!$V$2:$AD$2,0))</f>
        <v>1-25</v>
      </c>
      <c r="D139" s="310">
        <f t="array" ref="D139">INDEX('起きあがり'!$V$3:$Y$115, MATCH($A$1,'起きあがり'!$A$3:$A$115,0), MATCH(D120,'起きあがり'!$V$2:$AD$2,0))</f>
        <v>45</v>
      </c>
      <c r="E139" s="307" t="str">
        <f t="array" ref="E139">INDEX('起きあがり'!$V$3:$Y$115, MATCH($A$1,'起きあがり'!$A$3:$A$115,0), MATCH(E120,'起きあがり'!$V$2:$AD$2,0))</f>
        <v>14-15</v>
      </c>
      <c r="F139" s="308">
        <f t="array" ref="F139">INDEX('起きあがり'!$V$3:$Y$115, MATCH($A$1,'起きあがり'!$A$3:$A$115,0), MATCH(F120,'起きあがり'!$V$2:$AD$2,0))</f>
        <v>7</v>
      </c>
      <c r="G139" s="113">
        <f t="shared" ref="G139:G140" si="2">F139*1.2</f>
        <v>8.4</v>
      </c>
      <c r="H139" s="228"/>
      <c r="I139" s="228"/>
      <c r="J139" s="117"/>
      <c r="K139" s="146"/>
      <c r="L139" s="314" t="str">
        <f>'テンプレート'!L135</f>
        <v>空中落下</v>
      </c>
      <c r="M139" s="113">
        <v>33.0</v>
      </c>
      <c r="N139" s="102"/>
      <c r="O139" s="118"/>
      <c r="P139" s="118"/>
      <c r="Q139" s="118"/>
      <c r="R139" s="118"/>
      <c r="S139" s="118"/>
      <c r="T139" s="118"/>
      <c r="U139" s="118"/>
      <c r="V139" s="118"/>
    </row>
    <row r="140" outlineLevel="1">
      <c r="A140" s="156"/>
      <c r="B140" s="311" t="s">
        <v>250</v>
      </c>
      <c r="C140" s="156"/>
      <c r="D140" s="156"/>
      <c r="E140" s="307" t="str">
        <f t="array" ref="E140">INDEX('起きあがり'!$Z$3:$AA$115, MATCH($A$1,'起きあがり'!$A$3:$A$115,0), MATCH(E120,'起きあがり'!$Z$2:$AD$2,0))</f>
        <v>24-25</v>
      </c>
      <c r="F140" s="308">
        <f t="array" ref="F140">INDEX('起きあがり'!$Z$3:$AA$115, MATCH($A$1,'起きあがり'!$A$3:$A$115,0), MATCH(F120,'起きあがり'!$Z$2:$AD$2,0))</f>
        <v>7</v>
      </c>
      <c r="G140" s="113">
        <f t="shared" si="2"/>
        <v>8.4</v>
      </c>
      <c r="H140" s="228"/>
      <c r="I140" s="228"/>
      <c r="J140" s="117"/>
      <c r="K140" s="304" t="str">
        <f>'テンプレート'!K136</f>
        <v>倒れダメージ</v>
      </c>
      <c r="L140" s="110"/>
      <c r="M140" s="298" t="str">
        <f>'テンプレート'!M136</f>
        <v>全体フレーム</v>
      </c>
      <c r="N140" s="102"/>
      <c r="O140" s="118"/>
      <c r="P140" s="118"/>
      <c r="Q140" s="118"/>
      <c r="R140" s="118"/>
      <c r="S140" s="118"/>
      <c r="T140" s="118"/>
      <c r="U140" s="118"/>
      <c r="V140" s="118"/>
    </row>
    <row r="141" outlineLevel="1">
      <c r="A141" s="299" t="s">
        <v>252</v>
      </c>
      <c r="B141" s="300" t="s">
        <v>253</v>
      </c>
      <c r="C141" s="307" t="str">
        <f t="array" ref="C141">INDEX('転倒'!$C$3:$D126, MATCH($A$1,'転倒'!$A$3:$A$115,0), MATCH(C120,'転倒'!$C$2:$AC$2,0))</f>
        <v>1-5</v>
      </c>
      <c r="D141" s="308">
        <f t="array" ref="D141">INDEX('転倒'!$C$3:$D126, MATCH($A$1,'転倒'!$A$3:$A$115,0), MATCH(D120,'転倒'!$C$2:$AC$2,0))</f>
        <v>29</v>
      </c>
      <c r="E141" s="301"/>
      <c r="F141" s="301"/>
      <c r="G141" s="301"/>
      <c r="H141" s="228"/>
      <c r="I141" s="228"/>
      <c r="J141" s="111"/>
      <c r="K141" s="313" t="str">
        <f>'テンプレート'!K137</f>
        <v>あお向け倒れ</v>
      </c>
      <c r="L141" s="306" t="str">
        <f>'テンプレート'!L137</f>
        <v>モーション大</v>
      </c>
      <c r="M141" s="113">
        <v>39.0</v>
      </c>
      <c r="N141" s="315"/>
      <c r="O141" s="118"/>
      <c r="P141" s="118"/>
      <c r="Q141" s="118"/>
      <c r="R141" s="118"/>
      <c r="S141" s="118"/>
      <c r="T141" s="118"/>
      <c r="U141" s="118"/>
      <c r="V141" s="118"/>
    </row>
    <row r="142" outlineLevel="1">
      <c r="A142" s="146"/>
      <c r="B142" s="300" t="s">
        <v>254</v>
      </c>
      <c r="C142" s="307" t="str">
        <f t="array" ref="C142">INDEX('転倒'!$E$3:$F126, MATCH($A$1,'転倒'!$A$3:$A$115,0), MATCH(C120,'転倒'!$E$2:$AC$2,0))</f>
        <v>1-5</v>
      </c>
      <c r="D142" s="308">
        <f t="array" ref="D142">INDEX('転倒'!$E$3:$F126, MATCH($A$1,'転倒'!$A$3:$A$115,0), MATCH(D120,'転倒'!$E$2:$AC$2,0))</f>
        <v>39</v>
      </c>
      <c r="E142" s="301"/>
      <c r="F142" s="301"/>
      <c r="G142" s="301"/>
      <c r="H142" s="228"/>
      <c r="I142" s="228"/>
      <c r="J142" s="117"/>
      <c r="K142" s="313" t="str">
        <f>'テンプレート'!K138</f>
        <v>うつ伏せ倒れ</v>
      </c>
      <c r="L142" s="306" t="str">
        <f>'テンプレート'!L138</f>
        <v>モーション大</v>
      </c>
      <c r="M142" s="113" t="s">
        <v>118</v>
      </c>
      <c r="N142" s="315"/>
      <c r="O142" s="118"/>
      <c r="P142" s="118"/>
      <c r="Q142" s="118"/>
      <c r="R142" s="118"/>
      <c r="S142" s="118"/>
      <c r="T142" s="118"/>
      <c r="U142" s="118"/>
      <c r="V142" s="118"/>
    </row>
    <row r="143" outlineLevel="1">
      <c r="A143" s="146"/>
      <c r="B143" s="300" t="s">
        <v>216</v>
      </c>
      <c r="C143" s="307" t="str">
        <f t="array" ref="C143">INDEX('転倒'!$G$3:$H$115, MATCH($A$1,'転倒'!$A$3:$A$115,0), MATCH(C120,'転倒'!$G$2:$AC$2,0))</f>
        <v>1-16</v>
      </c>
      <c r="D143" s="308">
        <f t="array" ref="D143">INDEX('転倒'!$G$3:$H$115, MATCH($A$1,'転倒'!$A$3:$A$115,0), MATCH(D120,'転倒'!$G$2:$AC$2,0))</f>
        <v>21</v>
      </c>
      <c r="E143" s="301"/>
      <c r="F143" s="301"/>
      <c r="G143" s="301"/>
      <c r="H143" s="228"/>
      <c r="I143" s="228"/>
      <c r="J143" s="111"/>
      <c r="K143" s="304" t="str">
        <f>'テンプレート'!K139</f>
        <v/>
      </c>
      <c r="L143" s="110"/>
      <c r="M143" s="298" t="str">
        <f>'テンプレート'!M139</f>
        <v/>
      </c>
      <c r="N143" s="102"/>
      <c r="O143" s="118"/>
      <c r="P143" s="118"/>
      <c r="Q143" s="118"/>
      <c r="R143" s="118"/>
      <c r="S143" s="118"/>
      <c r="T143" s="118"/>
      <c r="U143" s="118"/>
      <c r="V143" s="118"/>
    </row>
    <row r="144" outlineLevel="1">
      <c r="A144" s="146"/>
      <c r="B144" s="300" t="s">
        <v>245</v>
      </c>
      <c r="C144" s="307" t="str">
        <f t="array" ref="C144">INDEX('転倒'!$I$3:$J$115, MATCH($A$1,'転倒'!$A$3:$A$115,0), MATCH(C120,'転倒'!$I$2:$AC$2,0))</f>
        <v>1-9</v>
      </c>
      <c r="D144" s="308">
        <f t="array" ref="D144">INDEX('転倒'!$I$3:$J$115, MATCH($A$1,'転倒'!$A$3:$A$115,0), MATCH(D120,'転倒'!$I$2:$AC$2,0))</f>
        <v>28</v>
      </c>
      <c r="E144" s="301"/>
      <c r="F144" s="301"/>
      <c r="G144" s="301"/>
      <c r="H144" s="228"/>
      <c r="I144" s="228"/>
      <c r="J144" s="228"/>
      <c r="K144" s="316"/>
      <c r="L144" s="317" t="str">
        <f>'テンプレート'!L140</f>
        <v/>
      </c>
      <c r="M144" s="113" t="s">
        <v>76</v>
      </c>
      <c r="N144" s="102"/>
      <c r="O144" s="118"/>
      <c r="P144" s="118"/>
      <c r="Q144" s="118"/>
      <c r="R144" s="118"/>
      <c r="S144" s="118"/>
      <c r="T144" s="118"/>
      <c r="U144" s="118"/>
      <c r="V144" s="118"/>
    </row>
    <row r="145" outlineLevel="1">
      <c r="A145" s="146"/>
      <c r="B145" s="300" t="s">
        <v>246</v>
      </c>
      <c r="C145" s="307" t="str">
        <f t="array" ref="C145">INDEX('転倒'!$K$3:$L$115, MATCH($A$1,'転倒'!$A$3:$A$115,0), MATCH(C120,'転倒'!$K$2:$AC$2,0))</f>
        <v>1-9</v>
      </c>
      <c r="D145" s="308">
        <f t="array" ref="D145">INDEX('転倒'!$K$3:$L$115, MATCH($A$1,'転倒'!$A$3:$A$115,0), MATCH(D120,'転倒'!$K$2:$AC$2,0))</f>
        <v>28</v>
      </c>
      <c r="E145" s="301"/>
      <c r="F145" s="301"/>
      <c r="G145" s="301"/>
      <c r="H145" s="228"/>
      <c r="I145" s="228"/>
      <c r="J145" s="228"/>
      <c r="K145" s="318"/>
      <c r="L145" s="118"/>
      <c r="M145" s="118"/>
      <c r="N145" s="102"/>
      <c r="O145" s="118"/>
      <c r="P145" s="118"/>
      <c r="Q145" s="118"/>
      <c r="R145" s="118"/>
      <c r="S145" s="118"/>
      <c r="T145" s="118"/>
      <c r="U145" s="118"/>
      <c r="V145" s="118"/>
    </row>
    <row r="146" outlineLevel="1">
      <c r="A146" s="146"/>
      <c r="B146" s="300" t="s">
        <v>249</v>
      </c>
      <c r="C146" s="309" t="str">
        <f t="array" ref="C146">INDEX('転倒'!$M$3:$P$115, MATCH($A$1,'転倒'!$A$3:$A$115,0), MATCH(C120,'転倒'!$M$2:$AC$2,0))</f>
        <v>1-7</v>
      </c>
      <c r="D146" s="310">
        <f t="array" ref="D146">INDEX('転倒'!$M$3:$P$115, MATCH($A$1,'転倒'!$A$3:$A$115,0), MATCH(D120,'転倒'!$M$2:$AC$2,0))</f>
        <v>49</v>
      </c>
      <c r="E146" s="307" t="str">
        <f t="array" ref="E146">INDEX('転倒'!$M$3:$P$115, MATCH($A$1,'転倒'!$A$3:$A$115,0), MATCH(E120,'転倒'!$M$2:$AC$2,0))</f>
        <v>14-15</v>
      </c>
      <c r="F146" s="308">
        <f t="array" ref="F146">INDEX('転倒'!$M$3:$P$115, MATCH($A$1,'転倒'!$A$3:$A$115,0), MATCH(F120,'転倒'!$M$2:$AC$2,0))</f>
        <v>5</v>
      </c>
      <c r="G146" s="113">
        <f t="shared" ref="G146:G147" si="3">F146*1.2</f>
        <v>6</v>
      </c>
      <c r="H146" s="228"/>
      <c r="I146" s="228"/>
      <c r="J146" s="228"/>
      <c r="K146" s="118"/>
      <c r="L146" s="118"/>
      <c r="M146" s="118"/>
      <c r="N146" s="102"/>
      <c r="O146" s="102"/>
      <c r="P146" s="102"/>
      <c r="Q146" s="102"/>
      <c r="R146" s="118"/>
      <c r="S146" s="118"/>
      <c r="T146" s="118"/>
      <c r="U146" s="118"/>
      <c r="V146" s="118"/>
    </row>
    <row r="147" outlineLevel="1">
      <c r="A147" s="156"/>
      <c r="B147" s="311" t="s">
        <v>250</v>
      </c>
      <c r="C147" s="156"/>
      <c r="D147" s="156"/>
      <c r="E147" s="307" t="str">
        <f t="array" ref="E147">INDEX('転倒'!$Q$3:$R$115, MATCH($A$1,'転倒'!$A$3:$A$115,0), MATCH(E120,'転倒'!$Q$2:$AC$2,0))</f>
        <v>24-25</v>
      </c>
      <c r="F147" s="308">
        <f t="array" ref="F147">INDEX('転倒'!$Q$3:$R$115, MATCH($A$1,'転倒'!$A$3:$A$115,0), MATCH(F120,'転倒'!$Q$2:$AC$2,0))</f>
        <v>5</v>
      </c>
      <c r="G147" s="113">
        <f t="shared" si="3"/>
        <v>6</v>
      </c>
      <c r="H147" s="228"/>
      <c r="I147" s="228"/>
      <c r="J147" s="228"/>
      <c r="K147" s="118"/>
      <c r="L147" s="118"/>
      <c r="M147" s="118"/>
      <c r="N147" s="102"/>
      <c r="O147" s="102"/>
      <c r="P147" s="102"/>
      <c r="Q147" s="102"/>
      <c r="R147" s="118"/>
      <c r="S147" s="118"/>
      <c r="T147" s="118"/>
      <c r="U147" s="118"/>
      <c r="V147" s="118"/>
    </row>
    <row r="148" outlineLevel="1">
      <c r="A148" s="319"/>
      <c r="B148" s="320"/>
      <c r="C148" s="321"/>
      <c r="D148" s="321"/>
      <c r="E148" s="322"/>
      <c r="F148" s="322"/>
      <c r="G148" s="114"/>
      <c r="H148" s="228"/>
      <c r="I148" s="228"/>
      <c r="J148" s="228"/>
      <c r="K148" s="118"/>
      <c r="L148" s="118"/>
      <c r="M148" s="118"/>
      <c r="N148" s="102"/>
      <c r="O148" s="102"/>
      <c r="P148" s="102"/>
      <c r="Q148" s="102"/>
      <c r="R148" s="118"/>
      <c r="S148" s="118"/>
      <c r="T148" s="118"/>
      <c r="U148" s="118"/>
      <c r="V148" s="118"/>
    </row>
    <row r="149" outlineLevel="1">
      <c r="A149" s="323" t="s">
        <v>255</v>
      </c>
      <c r="B149" s="109"/>
      <c r="C149" s="321"/>
      <c r="D149" s="321"/>
      <c r="E149" s="322"/>
      <c r="F149" s="322"/>
      <c r="G149" s="114"/>
      <c r="H149" s="228"/>
      <c r="I149" s="228"/>
      <c r="J149" s="228"/>
      <c r="K149" s="118"/>
      <c r="L149" s="118"/>
      <c r="M149" s="118"/>
      <c r="N149" s="102"/>
      <c r="O149" s="102"/>
      <c r="P149" s="102"/>
      <c r="Q149" s="102"/>
      <c r="R149" s="118"/>
      <c r="S149" s="118"/>
      <c r="T149" s="118"/>
      <c r="U149" s="118"/>
      <c r="V149" s="118"/>
    </row>
    <row r="150" outlineLevel="1">
      <c r="A150" s="324" t="s">
        <v>256</v>
      </c>
      <c r="B150" s="109"/>
      <c r="C150" s="325" t="s">
        <v>257</v>
      </c>
      <c r="D150" s="325" t="s">
        <v>49</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258</v>
      </c>
      <c r="B151" s="327" t="s">
        <v>216</v>
      </c>
      <c r="C151" s="328" t="str">
        <f t="array" ref="C151">INDEX('アイテム'!$C$3:$D$114, MATCH($A$1,'アイテム'!$A$3:$A$114,0), MATCH(C150,'アイテム'!$C$2:$AQ$2,0))</f>
        <v>2</v>
      </c>
      <c r="D151" s="328">
        <f t="array" ref="D151">INDEX('アイテム'!$C$3:$D$114, MATCH($A$1,'アイテム'!$A$3:$A$114,0), MATCH(D150,'アイテム'!$C$2:$AQ$2,0))</f>
        <v>7</v>
      </c>
      <c r="E151" s="322"/>
      <c r="F151" s="322"/>
      <c r="G151" s="114"/>
      <c r="H151" s="228"/>
      <c r="I151" s="228"/>
      <c r="J151" s="228"/>
      <c r="K151" s="118"/>
      <c r="L151" s="118"/>
      <c r="M151" s="118"/>
      <c r="N151" s="102"/>
      <c r="O151" s="102"/>
      <c r="P151" s="102"/>
      <c r="Q151" s="102"/>
      <c r="R151" s="118"/>
      <c r="S151" s="118"/>
      <c r="T151" s="118"/>
      <c r="U151" s="118"/>
      <c r="V151" s="118"/>
    </row>
    <row r="152" outlineLevel="1">
      <c r="A152" s="156"/>
      <c r="B152" s="327" t="s">
        <v>219</v>
      </c>
      <c r="C152" s="328" t="str">
        <f t="array" ref="C152">INDEX('アイテム'!$E$3:$F$114, MATCH($A$1,'アイテム'!$A$3:$A$114,0), MATCH(C150,'アイテム'!$C$2:$AQ$2,0))</f>
        <v>2</v>
      </c>
      <c r="D152" s="328">
        <f t="array" ref="D152">INDEX('アイテム'!$E$3:$F$114, MATCH($A$1,'アイテム'!$A$3:$A$114,0), MATCH(D150,'アイテム'!$C$2:$AQ$2,0))</f>
        <v>19</v>
      </c>
      <c r="E152" s="322"/>
      <c r="F152" s="322"/>
      <c r="G152" s="114"/>
      <c r="H152" s="228"/>
      <c r="I152" s="228"/>
      <c r="J152" s="228"/>
      <c r="K152" s="118"/>
      <c r="L152" s="118"/>
      <c r="M152" s="118"/>
      <c r="N152" s="102"/>
      <c r="O152" s="102"/>
      <c r="P152" s="102"/>
      <c r="Q152" s="102"/>
      <c r="R152" s="118"/>
      <c r="S152" s="118"/>
      <c r="T152" s="118"/>
      <c r="U152" s="118"/>
      <c r="V152" s="118"/>
    </row>
    <row r="153" outlineLevel="1">
      <c r="A153" s="329" t="s">
        <v>259</v>
      </c>
      <c r="B153" s="327" t="s">
        <v>216</v>
      </c>
      <c r="C153" s="328">
        <f t="array" ref="C153">INDEX('アイテム'!$AA$3:$AB$114, MATCH($A$1,'アイテム'!$A$3:$A$114,0), MATCH(C150,'アイテム'!$C$2:$AQ$2,0))</f>
        <v>3</v>
      </c>
      <c r="D153" s="328" t="str">
        <f t="array" ref="D153">INDEX('アイテム'!$AA$3:$AB$114, MATCH($A$1,'アイテム'!$A$3:$A$114,0), MATCH(D150,'アイテム'!$C$2:$AQ$2,0))</f>
        <v>12</v>
      </c>
      <c r="E153" s="322"/>
      <c r="F153" s="322"/>
      <c r="G153" s="114"/>
      <c r="H153" s="228"/>
      <c r="I153" s="228"/>
      <c r="J153" s="228"/>
      <c r="K153" s="118"/>
      <c r="L153" s="118"/>
      <c r="M153" s="118"/>
      <c r="N153" s="102"/>
      <c r="O153" s="102"/>
      <c r="P153" s="102"/>
      <c r="Q153" s="102"/>
      <c r="R153" s="118"/>
      <c r="S153" s="118"/>
      <c r="T153" s="118"/>
      <c r="U153" s="118"/>
      <c r="V153" s="118"/>
    </row>
    <row r="154" outlineLevel="1">
      <c r="A154" s="324" t="s">
        <v>260</v>
      </c>
      <c r="B154" s="109"/>
      <c r="C154" s="325" t="s">
        <v>261</v>
      </c>
      <c r="D154" s="325" t="s">
        <v>49</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262</v>
      </c>
      <c r="B155" s="327" t="s">
        <v>226</v>
      </c>
      <c r="C155" s="328" t="str">
        <f t="array" ref="C155">INDEX('アイテム'!$G$3:$H$114, MATCH($A$1,'アイテム'!$A$3:$A$114,0), MATCH(C150,'アイテム'!$C$2:$AQ$2,0))</f>
        <v>11</v>
      </c>
      <c r="D155" s="328">
        <f t="array" ref="D155">INDEX('アイテム'!$G$3:$H$114, MATCH($A$1,'アイテム'!$A$3:$A$114,0), MATCH(D150,'アイテム'!$C$2:$AQ$2,0))</f>
        <v>24</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229</v>
      </c>
      <c r="C156" s="328" t="str">
        <f t="array" ref="C156">INDEX('アイテム'!$I$3:$J$114, MATCH($A$1,'アイテム'!$A$3:$A$114,0), MATCH(C150,'アイテム'!$C$2:$AQ$2,0))</f>
        <v>11</v>
      </c>
      <c r="D156" s="328">
        <f t="array" ref="D156">INDEX('アイテム'!$I$3:$J$114, MATCH($A$1,'アイテム'!$A$3:$A$114,0), MATCH(D150,'アイテム'!$C$2:$AQ$2,0))</f>
        <v>24</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233</v>
      </c>
      <c r="C157" s="328" t="str">
        <f t="array" ref="C157">INDEX('アイテム'!$K$3:$L$114, MATCH($A$1,'アイテム'!$A$3:$A$114,0), MATCH(C150,'アイテム'!$C$2:$AQ$2,0))</f>
        <v>11</v>
      </c>
      <c r="D157" s="328">
        <f t="array" ref="D157">INDEX('アイテム'!$K$3:$L$114, MATCH($A$1,'アイテム'!$A$3:$A$114,0), MATCH(D150,'アイテム'!$C$2:$AQ$2,0))</f>
        <v>23</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234</v>
      </c>
      <c r="C158" s="328" t="str">
        <f t="array" ref="C158">INDEX('アイテム'!$M$3:$N$114, MATCH($A$1,'アイテム'!$A$3:$A$114,0), MATCH(C150,'アイテム'!$C$2:$AQ$2,0))</f>
        <v>11</v>
      </c>
      <c r="D158" s="328">
        <f t="array" ref="D158">INDEX('アイテム'!$M$3:$N$114, MATCH($A$1,'アイテム'!$A$3:$A$114,0), MATCH(D150,'アイテム'!$C$2:$AQ$2,0))</f>
        <v>19</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219</v>
      </c>
      <c r="C159" s="328" t="str">
        <f t="array" ref="C159">INDEX('アイテム'!$O$3:$P$114, MATCH($A$1,'アイテム'!$A$3:$A$114,0), MATCH(C150,'アイテム'!$C$2:$AQ$2,0))</f>
        <v>11</v>
      </c>
      <c r="D159" s="328">
        <f t="array" ref="D159">INDEX('アイテム'!$O$3:$P$114, MATCH($A$1,'アイテム'!$A$3:$A$114,0), MATCH(D150,'アイテム'!$C$2:$AQ$2,0))</f>
        <v>29</v>
      </c>
      <c r="E159" s="322"/>
      <c r="F159" s="322"/>
      <c r="G159" s="114"/>
      <c r="H159" s="228"/>
      <c r="I159" s="228"/>
      <c r="J159" s="228"/>
      <c r="K159" s="118"/>
      <c r="L159" s="118"/>
      <c r="M159" s="118"/>
      <c r="N159" s="102"/>
      <c r="O159" s="102"/>
      <c r="P159" s="102"/>
      <c r="Q159" s="102"/>
      <c r="R159" s="118"/>
      <c r="S159" s="118"/>
      <c r="T159" s="118"/>
      <c r="U159" s="118"/>
      <c r="V159" s="118"/>
    </row>
    <row r="160" outlineLevel="1">
      <c r="A160" s="156"/>
      <c r="B160" s="327" t="s">
        <v>263</v>
      </c>
      <c r="C160" s="328" t="str">
        <f t="array" ref="C160">INDEX('アイテム'!$Q$3:$R$114, MATCH($A$1,'アイテム'!$A$3:$A$114,0), MATCH(C150,'アイテム'!$C$2:$AQ$2,0))</f>
        <v>11</v>
      </c>
      <c r="D160" s="328">
        <f t="array" ref="D160">INDEX('アイテム'!$Q$3:$R$114, MATCH($A$1,'アイテム'!$A$3:$A$114,0), MATCH(D150,'アイテム'!$C$2:$AQ$2,0))</f>
        <v>23</v>
      </c>
      <c r="E160" s="322"/>
      <c r="F160" s="322"/>
      <c r="G160" s="114"/>
      <c r="H160" s="228"/>
      <c r="I160" s="228"/>
      <c r="J160" s="228"/>
      <c r="K160" s="118"/>
      <c r="L160" s="118"/>
      <c r="M160" s="118"/>
      <c r="N160" s="102"/>
      <c r="O160" s="102"/>
      <c r="P160" s="102"/>
      <c r="Q160" s="102"/>
      <c r="R160" s="118"/>
      <c r="S160" s="118"/>
      <c r="T160" s="118"/>
      <c r="U160" s="118"/>
      <c r="V160" s="118"/>
    </row>
    <row r="161" outlineLevel="1">
      <c r="A161" s="326" t="s">
        <v>264</v>
      </c>
      <c r="B161" s="327" t="s">
        <v>226</v>
      </c>
      <c r="C161" s="328" t="str">
        <f t="array" ref="C161">INDEX('アイテム'!$S$3:$T$114, MATCH($A$1,'アイテム'!$A$3:$A$114,0), MATCH(C150,'アイテム'!$C$2:$AQ$2,0))</f>
        <v>11</v>
      </c>
      <c r="D161" s="328">
        <f t="array" ref="D161">INDEX('アイテム'!$S$3:$T$114, MATCH($A$1,'アイテム'!$A$3:$A$114,0), MATCH(D150,'アイテム'!$C$2:$AQ$2,0))</f>
        <v>24</v>
      </c>
      <c r="E161" s="322"/>
      <c r="F161" s="322"/>
      <c r="G161" s="114"/>
      <c r="H161" s="228"/>
      <c r="I161" s="228"/>
      <c r="J161" s="228"/>
      <c r="K161" s="118"/>
      <c r="L161" s="118"/>
      <c r="M161" s="118"/>
      <c r="N161" s="102"/>
      <c r="O161" s="102"/>
      <c r="P161" s="102"/>
      <c r="Q161" s="102"/>
      <c r="R161" s="118"/>
      <c r="S161" s="118"/>
      <c r="T161" s="118"/>
      <c r="U161" s="118"/>
      <c r="V161" s="118"/>
    </row>
    <row r="162" outlineLevel="1">
      <c r="A162" s="146"/>
      <c r="B162" s="327" t="s">
        <v>229</v>
      </c>
      <c r="C162" s="328" t="str">
        <f t="array" ref="C162">INDEX('アイテム'!$U$3:$V$114, MATCH($A$1,'アイテム'!$A$3:$A$114,0), MATCH(C150,'アイテム'!$C$2:$AQ$2,0))</f>
        <v>11</v>
      </c>
      <c r="D162" s="328">
        <f t="array" ref="D162">INDEX('アイテム'!$U$3:$V$114, MATCH($A$1,'アイテム'!$A$3:$A$114,0), MATCH(D150,'アイテム'!$C$2:$AQ$2,0))</f>
        <v>24</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233</v>
      </c>
      <c r="C163" s="328" t="str">
        <f t="array" ref="C163">INDEX('アイテム'!$W$3:$X$114, MATCH($A$1,'アイテム'!$A$3:$A$114,0), MATCH(C150,'アイテム'!$C$2:$AQ$2,0))</f>
        <v>11</v>
      </c>
      <c r="D163" s="328">
        <f t="array" ref="D163">INDEX('アイテム'!$W$3:$X$114, MATCH($A$1,'アイテム'!$A$3:$A$114,0), MATCH(D150,'アイテム'!$C$2:$AQ$2,0))</f>
        <v>23</v>
      </c>
      <c r="E163" s="322"/>
      <c r="F163" s="322"/>
      <c r="G163" s="114"/>
      <c r="H163" s="228"/>
      <c r="I163" s="228"/>
      <c r="J163" s="228"/>
      <c r="K163" s="118"/>
      <c r="L163" s="118"/>
      <c r="M163" s="118"/>
      <c r="N163" s="102"/>
      <c r="O163" s="102"/>
      <c r="P163" s="102"/>
      <c r="Q163" s="102"/>
      <c r="R163" s="118"/>
      <c r="S163" s="118"/>
      <c r="T163" s="118"/>
      <c r="U163" s="118"/>
      <c r="V163" s="118"/>
    </row>
    <row r="164" outlineLevel="1">
      <c r="A164" s="156"/>
      <c r="B164" s="327" t="s">
        <v>234</v>
      </c>
      <c r="C164" s="328" t="str">
        <f t="array" ref="C164">INDEX('アイテム'!$Y$3:$Z$114, MATCH($A$1,'アイテム'!$A$3:$A$114,0), MATCH(C150,'アイテム'!$C$2:$AQ$2,0))</f>
        <v>11</v>
      </c>
      <c r="D164" s="328">
        <f t="array" ref="D164">INDEX('アイテム'!$Y$3:$Z$114, MATCH($A$1,'アイテム'!$A$3:$A$114,0), MATCH(D150,'アイテム'!$C$2:$AQ$2,0))</f>
        <v>19</v>
      </c>
      <c r="E164" s="322"/>
      <c r="F164" s="322"/>
      <c r="G164" s="114"/>
      <c r="H164" s="228"/>
      <c r="I164" s="228"/>
      <c r="J164" s="228"/>
      <c r="K164" s="118"/>
      <c r="L164" s="118"/>
      <c r="M164" s="118"/>
      <c r="N164" s="102"/>
      <c r="O164" s="102"/>
      <c r="P164" s="102"/>
      <c r="Q164" s="102"/>
      <c r="R164" s="118"/>
      <c r="S164" s="118"/>
      <c r="T164" s="118"/>
      <c r="U164" s="118"/>
      <c r="V164" s="118"/>
    </row>
    <row r="165" outlineLevel="1">
      <c r="A165" s="326" t="s">
        <v>265</v>
      </c>
      <c r="B165" s="327" t="s">
        <v>226</v>
      </c>
      <c r="C165" s="328">
        <f t="array" ref="C165">INDEX('アイテム'!$AC$3:$AD$114, MATCH($A$1,'アイテム'!$A$3:$A$114,0), MATCH(C150,'アイテム'!$C$2:$AQ$2,0))</f>
        <v>14</v>
      </c>
      <c r="D165" s="328" t="str">
        <f t="array" ref="D165">INDEX('アイテム'!$AC$3:$AD$114, MATCH($A$1,'アイテム'!$A$3:$A$114,0), MATCH(D150,'アイテム'!$C$2:$AQ$2,0))</f>
        <v>30</v>
      </c>
      <c r="E165" s="322"/>
      <c r="F165" s="322"/>
      <c r="G165" s="114"/>
      <c r="H165" s="228"/>
      <c r="I165" s="228"/>
      <c r="J165" s="228"/>
      <c r="K165" s="118"/>
      <c r="L165" s="118"/>
      <c r="M165" s="118"/>
      <c r="N165" s="102"/>
      <c r="O165" s="102"/>
      <c r="P165" s="102"/>
      <c r="Q165" s="102"/>
      <c r="R165" s="118"/>
      <c r="S165" s="118"/>
      <c r="T165" s="118"/>
      <c r="U165" s="118"/>
      <c r="V165" s="118"/>
    </row>
    <row r="166" outlineLevel="1">
      <c r="A166" s="146"/>
      <c r="B166" s="327" t="s">
        <v>229</v>
      </c>
      <c r="C166" s="328">
        <f t="array" ref="C166">INDEX('アイテム'!$AE$3:$AF$114, MATCH($A$1,'アイテム'!$A$3:$A$114,0), MATCH(C150,'アイテム'!$C$2:$AQ$2,0))</f>
        <v>15</v>
      </c>
      <c r="D166" s="328" t="str">
        <f t="array" ref="D166">INDEX('アイテム'!$AE$3:$AF$114, MATCH($A$1,'アイテム'!$A$3:$A$114,0), MATCH(D150,'アイテム'!$C$2:$AQ$2,0))</f>
        <v>30</v>
      </c>
      <c r="E166" s="322"/>
      <c r="F166" s="322"/>
      <c r="G166" s="114"/>
      <c r="H166" s="228"/>
      <c r="I166" s="228"/>
      <c r="J166" s="228"/>
      <c r="K166" s="118"/>
      <c r="L166" s="118"/>
      <c r="M166" s="118"/>
      <c r="N166" s="102"/>
      <c r="O166" s="102"/>
      <c r="P166" s="102"/>
      <c r="Q166" s="102"/>
      <c r="R166" s="118"/>
      <c r="S166" s="118"/>
      <c r="T166" s="118"/>
      <c r="U166" s="118"/>
      <c r="V166" s="118"/>
    </row>
    <row r="167" outlineLevel="1">
      <c r="A167" s="146"/>
      <c r="B167" s="327" t="s">
        <v>233</v>
      </c>
      <c r="C167" s="328">
        <f t="array" ref="C167">INDEX('アイテム'!$AG$3:$AH$114, MATCH($A$1,'アイテム'!$A$3:$A$114,0), MATCH(C150,'アイテム'!$C$2:$AQ$2,0))</f>
        <v>11</v>
      </c>
      <c r="D167" s="328" t="str">
        <f t="array" ref="D167">INDEX('アイテム'!$AG$3:$AH$114, MATCH($A$1,'アイテム'!$A$3:$A$114,0), MATCH(D150,'アイテム'!$C$2:$AQ$2,0))</f>
        <v>22</v>
      </c>
      <c r="E167" s="322"/>
      <c r="F167" s="322"/>
      <c r="G167" s="114"/>
      <c r="H167" s="228"/>
      <c r="I167" s="228"/>
      <c r="J167" s="228"/>
      <c r="K167" s="118"/>
      <c r="L167" s="118"/>
      <c r="M167" s="118"/>
      <c r="N167" s="102"/>
      <c r="O167" s="102"/>
      <c r="P167" s="102"/>
      <c r="Q167" s="102"/>
      <c r="R167" s="118"/>
      <c r="S167" s="118"/>
      <c r="T167" s="118"/>
      <c r="U167" s="118"/>
      <c r="V167" s="118"/>
    </row>
    <row r="168" outlineLevel="1">
      <c r="A168" s="156"/>
      <c r="B168" s="327" t="s">
        <v>234</v>
      </c>
      <c r="C168" s="328">
        <f t="array" ref="C168">INDEX('アイテム'!$AI$3:$AJ$114, MATCH($A$1,'アイテム'!$A$3:$A$114,0), MATCH(C150,'アイテム'!$C$2:$AQ$2,0))</f>
        <v>9</v>
      </c>
      <c r="D168" s="328" t="str">
        <f t="array" ref="D168">INDEX('アイテム'!$AI$3:$AJ$114, MATCH($A$1,'アイテム'!$A$3:$A$114,0), MATCH(D150,'アイテム'!$C$2:$AQ$2,0))</f>
        <v>22</v>
      </c>
      <c r="E168" s="322"/>
      <c r="F168" s="322"/>
      <c r="G168" s="114"/>
      <c r="H168" s="228"/>
      <c r="I168" s="228"/>
      <c r="J168" s="228"/>
      <c r="K168" s="118"/>
      <c r="L168" s="118"/>
      <c r="M168" s="118"/>
      <c r="N168" s="102"/>
      <c r="O168" s="102"/>
      <c r="P168" s="102"/>
      <c r="Q168" s="102"/>
      <c r="R168" s="118"/>
      <c r="S168" s="118"/>
      <c r="T168" s="118"/>
      <c r="U168" s="118"/>
      <c r="V168" s="118"/>
    </row>
  </sheetData>
  <mergeCells count="153">
    <mergeCell ref="A50:A52"/>
    <mergeCell ref="A54:B55"/>
    <mergeCell ref="A56:A67"/>
    <mergeCell ref="A68:A69"/>
    <mergeCell ref="A70:A72"/>
    <mergeCell ref="A73:A76"/>
    <mergeCell ref="A77:A78"/>
    <mergeCell ref="A82:A83"/>
    <mergeCell ref="A85:B85"/>
    <mergeCell ref="A86:A88"/>
    <mergeCell ref="A89:B89"/>
    <mergeCell ref="A91:B91"/>
    <mergeCell ref="A92:A93"/>
    <mergeCell ref="A95:B96"/>
    <mergeCell ref="A98:A100"/>
    <mergeCell ref="A101:B101"/>
    <mergeCell ref="A102:A103"/>
    <mergeCell ref="A104:A105"/>
    <mergeCell ref="A106:A107"/>
    <mergeCell ref="A108:A109"/>
    <mergeCell ref="A111:B112"/>
    <mergeCell ref="C139:C140"/>
    <mergeCell ref="D139:D140"/>
    <mergeCell ref="C146:C147"/>
    <mergeCell ref="D146:D147"/>
    <mergeCell ref="A113:A115"/>
    <mergeCell ref="A116:A117"/>
    <mergeCell ref="A119:B120"/>
    <mergeCell ref="A121:A125"/>
    <mergeCell ref="A126:A128"/>
    <mergeCell ref="C133:C134"/>
    <mergeCell ref="D133:D134"/>
    <mergeCell ref="A155:A160"/>
    <mergeCell ref="A161:A164"/>
    <mergeCell ref="A165:A168"/>
    <mergeCell ref="A129:A134"/>
    <mergeCell ref="A135:A140"/>
    <mergeCell ref="A141:A147"/>
    <mergeCell ref="A149:B149"/>
    <mergeCell ref="A150:B150"/>
    <mergeCell ref="A151:A152"/>
    <mergeCell ref="A154:B154"/>
    <mergeCell ref="U30:U33"/>
    <mergeCell ref="U34:U37"/>
    <mergeCell ref="R55:V55"/>
    <mergeCell ref="R56:V59"/>
    <mergeCell ref="R60:V63"/>
    <mergeCell ref="R64:V67"/>
    <mergeCell ref="R68:V69"/>
    <mergeCell ref="R70:V72"/>
    <mergeCell ref="R73:V76"/>
    <mergeCell ref="R77:V78"/>
    <mergeCell ref="U82:U84"/>
    <mergeCell ref="V82:V84"/>
    <mergeCell ref="U86:U88"/>
    <mergeCell ref="V86:V88"/>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D34:D37"/>
    <mergeCell ref="D38:D39"/>
    <mergeCell ref="D47:D49"/>
    <mergeCell ref="U26:U29"/>
    <mergeCell ref="U38:U39"/>
    <mergeCell ref="U40:U42"/>
    <mergeCell ref="U43:U44"/>
    <mergeCell ref="U45:U46"/>
    <mergeCell ref="U47:U49"/>
    <mergeCell ref="U50:U52"/>
    <mergeCell ref="A45:A46"/>
    <mergeCell ref="A47:A49"/>
    <mergeCell ref="H47:J49"/>
    <mergeCell ref="U92:U93"/>
    <mergeCell ref="V92:V93"/>
    <mergeCell ref="I68:I69"/>
    <mergeCell ref="I70:I72"/>
    <mergeCell ref="J70:J72"/>
    <mergeCell ref="I73:I76"/>
    <mergeCell ref="J73:J76"/>
    <mergeCell ref="I77:I78"/>
    <mergeCell ref="J77:J78"/>
    <mergeCell ref="H82:J84"/>
    <mergeCell ref="H85:J85"/>
    <mergeCell ref="H86:J88"/>
    <mergeCell ref="H89:J89"/>
    <mergeCell ref="H90:J90"/>
    <mergeCell ref="H91:J91"/>
    <mergeCell ref="H92:J93"/>
    <mergeCell ref="K140:L140"/>
    <mergeCell ref="K143:L143"/>
    <mergeCell ref="K120:L120"/>
    <mergeCell ref="K121:K122"/>
    <mergeCell ref="K123:L123"/>
    <mergeCell ref="K124:K129"/>
    <mergeCell ref="K130:K133"/>
    <mergeCell ref="K134:L134"/>
    <mergeCell ref="K136:K139"/>
    <mergeCell ref="A24:B25"/>
    <mergeCell ref="A26:A37"/>
    <mergeCell ref="D26:D29"/>
    <mergeCell ref="H26:J37"/>
    <mergeCell ref="D30:D33"/>
    <mergeCell ref="A38:A39"/>
    <mergeCell ref="H38:J39"/>
    <mergeCell ref="A40:A42"/>
    <mergeCell ref="D40:D42"/>
    <mergeCell ref="H40:J42"/>
    <mergeCell ref="A43:A44"/>
    <mergeCell ref="H43:J44"/>
    <mergeCell ref="H45:J46"/>
    <mergeCell ref="H50:J52"/>
    <mergeCell ref="I56:I59"/>
    <mergeCell ref="J56:J59"/>
    <mergeCell ref="I60:I63"/>
    <mergeCell ref="J60:J63"/>
    <mergeCell ref="I64:I67"/>
    <mergeCell ref="J64:J67"/>
    <mergeCell ref="J68:J69"/>
    <mergeCell ref="D73:D76"/>
    <mergeCell ref="D77:D78"/>
    <mergeCell ref="D102:D103"/>
    <mergeCell ref="D104:D105"/>
    <mergeCell ref="D106:D107"/>
    <mergeCell ref="D108:D109"/>
    <mergeCell ref="D43:D44"/>
    <mergeCell ref="D50:D52"/>
    <mergeCell ref="D56:D59"/>
    <mergeCell ref="D60:D63"/>
    <mergeCell ref="D64:D67"/>
    <mergeCell ref="D68:D69"/>
    <mergeCell ref="D70:D72"/>
    <mergeCell ref="A80:B80"/>
    <mergeCell ref="A81:B81"/>
    <mergeCell ref="H81:J81"/>
    <mergeCell ref="G101:J101"/>
    <mergeCell ref="G102:J103"/>
    <mergeCell ref="G104:J105"/>
    <mergeCell ref="G106:J107"/>
    <mergeCell ref="G108:J109"/>
  </mergeCells>
  <conditionalFormatting sqref="K1:K15 K17:K89 K91:K144 C102 E102:F102 C104 E104:F104 C106 E106:F106 C108 E108:F108">
    <cfRule type="containsText" dxfId="0" priority="1" operator="containsText" text="361">
      <formula>NOT(ISERROR(SEARCH(("361"),(K1))))</formula>
    </cfRule>
  </conditionalFormatting>
  <conditionalFormatting sqref="K1:K15 K17:K89 K91:K144 C102 E102:F102 C104 E104:F104 C106 E106:F106 C108 E108:F108">
    <cfRule type="containsText" dxfId="1" priority="2" operator="containsText" text="363">
      <formula>NOT(ISERROR(SEARCH(("363"),(K1))))</formula>
    </cfRule>
  </conditionalFormatting>
  <conditionalFormatting sqref="K1:K15 K17:K89 K91:K144 C102 E102:F102 C104 E104:F104 C106 E106:F106 C108 E108:F108">
    <cfRule type="containsText" dxfId="1" priority="3" operator="containsText" text="365">
      <formula>NOT(ISERROR(SEARCH(("365"),(K1))))</formula>
    </cfRule>
  </conditionalFormatting>
  <conditionalFormatting sqref="K1:K15 K17:K89 K91:K144 C102 E102:F102 C104 E104:F104 C106 E106:F106 C108 E108:F108">
    <cfRule type="containsText" dxfId="1" priority="4" operator="containsText" text="366">
      <formula>NOT(ISERROR(SEARCH(("366"),(K1))))</formula>
    </cfRule>
  </conditionalFormatting>
  <conditionalFormatting sqref="K1:K15 K17:K89 K91:K144 C102 E102:F102 C104 E104:F104 C106 E106:F106 C108 E108:F108">
    <cfRule type="containsText" dxfId="1" priority="5" operator="containsText" text="367">
      <formula>NOT(ISERROR(SEARCH(("367"),(K1))))</formula>
    </cfRule>
  </conditionalFormatting>
  <conditionalFormatting sqref="P102:P109">
    <cfRule type="cellIs" dxfId="2" priority="6" operator="equal">
      <formula>"敵のみ"</formula>
    </cfRule>
  </conditionalFormatting>
  <conditionalFormatting sqref="C102:C109">
    <cfRule type="cellIs" dxfId="3" priority="7" operator="equal">
      <formula>"-"</formula>
    </cfRule>
  </conditionalFormatting>
  <conditionalFormatting sqref="O1:O89 O91:O168 C102 E102:F102 K102:N102 P102:Q102 C104 E104:F104 K104:N104 P104:Q104 C106 E106:F106 K106:N106 P106:Q106 C108 E108:F108 K108:N108 P108:P109 Q108">
    <cfRule type="cellIs" dxfId="4" priority="8" operator="greaterThan">
      <formula>0</formula>
    </cfRule>
  </conditionalFormatting>
  <conditionalFormatting sqref="P1:Q89 P91:Q168">
    <cfRule type="cellIs" dxfId="5" priority="9" operator="lessThan">
      <formula>1</formula>
    </cfRule>
  </conditionalFormatting>
  <conditionalFormatting sqref="P1:Q89 P91:Q168">
    <cfRule type="cellIs" dxfId="4" priority="10" operator="greaterThan">
      <formula>1</formula>
    </cfRule>
  </conditionalFormatting>
  <conditionalFormatting sqref="N25:N89 N91:N109">
    <cfRule type="cellIs" dxfId="6" priority="11" operator="greaterThan">
      <formula>0</formula>
    </cfRule>
  </conditionalFormatting>
  <conditionalFormatting sqref="N1:N15 N17:N89 N91:N168">
    <cfRule type="containsText" dxfId="6" priority="12" operator="containsText" text="/">
      <formula>NOT(ISERROR(SEARCH(("/"),(N1))))</formula>
    </cfRule>
  </conditionalFormatting>
  <drawing r:id="rId2"/>
  <legacyDrawing r:id="rId3"/>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1E0DC"/>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145">
        <v>47.0</v>
      </c>
      <c r="B1" s="2146"/>
      <c r="C1" s="2147" t="str">
        <f>IMAGE(VLOOKUP($A$1,Fighters!A2:AI114,12,FALSE),1)</f>
        <v>#REF!</v>
      </c>
      <c r="D1" s="2148"/>
      <c r="E1" s="2148"/>
      <c r="F1" s="2148"/>
      <c r="G1" s="2149"/>
      <c r="H1" s="2150"/>
      <c r="I1" s="2148"/>
      <c r="J1" s="2149"/>
      <c r="K1" s="2151"/>
      <c r="L1" s="2148"/>
      <c r="M1" s="2149"/>
      <c r="N1" s="2152"/>
      <c r="O1" s="2152"/>
      <c r="P1" s="2152"/>
      <c r="Q1" s="2152"/>
      <c r="R1" s="2153"/>
      <c r="S1" s="2153"/>
      <c r="T1" s="2153"/>
      <c r="U1" s="2153"/>
      <c r="V1" s="2153"/>
    </row>
    <row r="2">
      <c r="A2" s="2154" t="str">
        <f>VLOOKUP($A$1,Fighters!$A$2:$AI$81,6,FALSE)</f>
        <v>#e1e0dc</v>
      </c>
      <c r="B2" s="2146"/>
      <c r="C2" s="2155"/>
      <c r="G2" s="2156"/>
      <c r="H2" s="2157"/>
      <c r="I2" s="2158"/>
      <c r="J2" s="2159"/>
      <c r="K2" s="2157"/>
      <c r="L2" s="2158"/>
      <c r="M2" s="2159"/>
      <c r="N2" s="2152"/>
      <c r="O2" s="2152"/>
      <c r="P2" s="2152"/>
      <c r="Q2" s="2152"/>
      <c r="R2" s="2153"/>
      <c r="S2" s="2153"/>
      <c r="T2" s="2153"/>
      <c r="U2" s="2153"/>
      <c r="V2" s="2153"/>
    </row>
    <row r="3">
      <c r="A3" s="2154" t="str">
        <f>VLOOKUP($A$1,Fighters!$A$2:$AI$81,14,FALSE)</f>
        <v>47. Wii Fit トレーナー</v>
      </c>
      <c r="B3" s="2146"/>
      <c r="C3" s="2155"/>
      <c r="G3" s="2156"/>
      <c r="H3" s="2160"/>
      <c r="I3" s="2160"/>
      <c r="J3" s="2160"/>
      <c r="K3" s="2161"/>
      <c r="L3" s="2161"/>
      <c r="M3" s="2161"/>
      <c r="N3" s="2152"/>
      <c r="O3" s="2152"/>
      <c r="P3" s="2152"/>
      <c r="Q3" s="2152"/>
      <c r="R3" s="2162"/>
      <c r="S3" s="2153"/>
      <c r="T3" s="2153"/>
      <c r="U3" s="2153"/>
      <c r="V3" s="2153"/>
    </row>
    <row r="4">
      <c r="A4" s="2154" t="str">
        <f>VLOOKUP($A$1,Fighters!$A$2:$AI$81,13,FALSE)</f>
        <v>0</v>
      </c>
      <c r="B4" s="2146"/>
      <c r="C4" s="2155"/>
      <c r="G4" s="2156"/>
      <c r="H4" s="2163"/>
      <c r="I4" s="2163"/>
      <c r="J4" s="2160"/>
      <c r="K4" s="2161"/>
      <c r="L4" s="2161"/>
      <c r="M4" s="2161"/>
      <c r="N4" s="2152"/>
      <c r="O4" s="2152"/>
      <c r="P4" s="2152"/>
      <c r="Q4" s="2152"/>
      <c r="R4" s="2162"/>
      <c r="S4" s="2153"/>
      <c r="T4" s="2153"/>
      <c r="U4" s="2153"/>
      <c r="V4" s="2153"/>
    </row>
    <row r="5" ht="16.5" customHeight="1">
      <c r="A5" s="2145"/>
      <c r="B5" s="2146"/>
      <c r="C5" s="2155"/>
      <c r="G5" s="2156"/>
      <c r="H5" s="2164"/>
      <c r="I5" s="2164"/>
      <c r="J5" s="2165"/>
      <c r="K5" s="2166"/>
      <c r="L5" s="2167"/>
      <c r="M5" s="2167"/>
      <c r="N5" s="2152"/>
      <c r="O5" s="2152"/>
      <c r="P5" s="2152"/>
      <c r="Q5" s="2152"/>
      <c r="R5" s="2162"/>
      <c r="S5" s="2153"/>
      <c r="T5" s="2153"/>
      <c r="U5" s="2153"/>
      <c r="V5" s="2153"/>
    </row>
    <row r="6">
      <c r="A6" s="2146"/>
      <c r="B6" s="2146"/>
      <c r="C6" s="2155"/>
      <c r="G6" s="2156"/>
      <c r="H6" s="2163"/>
      <c r="I6" s="2168" t="s">
        <v>39</v>
      </c>
      <c r="J6" s="2166"/>
      <c r="K6" s="2169"/>
      <c r="L6" s="2167"/>
      <c r="M6" s="2167"/>
      <c r="N6" s="2152"/>
      <c r="O6" s="2152"/>
      <c r="P6" s="2152"/>
      <c r="Q6" s="2152"/>
      <c r="R6" s="2162"/>
      <c r="S6" s="2153"/>
      <c r="T6" s="2153"/>
      <c r="U6" s="2153"/>
      <c r="V6" s="2153"/>
    </row>
    <row r="7">
      <c r="A7" s="2146"/>
      <c r="B7" s="2146"/>
      <c r="C7" s="2155"/>
      <c r="G7" s="2156"/>
      <c r="H7" s="2164"/>
      <c r="I7" s="2164"/>
      <c r="J7" s="2166"/>
      <c r="K7" s="2169"/>
      <c r="L7" s="2167"/>
      <c r="M7" s="2167"/>
      <c r="N7" s="2152"/>
      <c r="O7" s="2152"/>
      <c r="P7" s="2152"/>
      <c r="Q7" s="2152"/>
      <c r="R7" s="2162"/>
      <c r="S7" s="2153"/>
      <c r="T7" s="2153"/>
      <c r="U7" s="2153"/>
      <c r="V7" s="2153"/>
    </row>
    <row r="8">
      <c r="A8" s="2146"/>
      <c r="B8" s="2146"/>
      <c r="C8" s="2155"/>
      <c r="G8" s="2156"/>
      <c r="H8" s="2170">
        <v>44379.844710879624</v>
      </c>
      <c r="I8" s="2148"/>
      <c r="J8" s="2149"/>
      <c r="K8" s="2166"/>
      <c r="L8" s="2167"/>
      <c r="M8" s="2167"/>
      <c r="N8" s="2152"/>
      <c r="O8" s="2152"/>
      <c r="P8" s="2152"/>
      <c r="Q8" s="2152"/>
      <c r="R8" s="2162"/>
      <c r="S8" s="2153"/>
      <c r="T8" s="2153"/>
      <c r="U8" s="2153"/>
      <c r="V8" s="2153"/>
    </row>
    <row r="9">
      <c r="A9" s="2146"/>
      <c r="B9" s="2146"/>
      <c r="C9" s="2155"/>
      <c r="G9" s="2156"/>
      <c r="H9" s="2157"/>
      <c r="I9" s="2158"/>
      <c r="J9" s="2159"/>
      <c r="K9" s="2153"/>
      <c r="L9" s="2152"/>
      <c r="M9" s="2152"/>
      <c r="N9" s="2152"/>
      <c r="O9" s="2152"/>
      <c r="P9" s="2152"/>
      <c r="Q9" s="2152"/>
      <c r="R9" s="2162"/>
      <c r="S9" s="2153"/>
      <c r="T9" s="2153"/>
      <c r="U9" s="2153"/>
      <c r="V9" s="2153"/>
    </row>
    <row r="10">
      <c r="A10" s="2146"/>
      <c r="B10" s="2146"/>
      <c r="C10" s="2155"/>
      <c r="G10" s="2156"/>
      <c r="H10" s="2171"/>
      <c r="I10" s="2171"/>
      <c r="J10" s="2153"/>
      <c r="K10" s="2153"/>
      <c r="L10" s="2152"/>
      <c r="M10" s="2152"/>
      <c r="N10" s="2152"/>
      <c r="O10" s="2152"/>
      <c r="P10" s="2152"/>
      <c r="Q10" s="2152"/>
      <c r="R10" s="2162"/>
      <c r="S10" s="2153"/>
      <c r="T10" s="2153"/>
      <c r="U10" s="2153"/>
      <c r="V10" s="2153"/>
    </row>
    <row r="11">
      <c r="A11" s="2172" t="s">
        <v>40</v>
      </c>
      <c r="B11" s="2149"/>
      <c r="C11" s="2155"/>
      <c r="G11" s="2156"/>
      <c r="H11" s="2164"/>
      <c r="I11" s="2164"/>
      <c r="J11" s="2153"/>
      <c r="K11" s="2153"/>
      <c r="L11" s="2152"/>
      <c r="M11" s="2152"/>
      <c r="N11" s="2152"/>
      <c r="O11" s="2152"/>
      <c r="P11" s="2152"/>
      <c r="Q11" s="2152"/>
      <c r="R11" s="2162"/>
      <c r="S11" s="2153"/>
      <c r="T11" s="2153"/>
      <c r="U11" s="2153"/>
      <c r="V11" s="2153"/>
    </row>
    <row r="12">
      <c r="A12" s="2157"/>
      <c r="B12" s="2159"/>
      <c r="C12" s="2157"/>
      <c r="D12" s="2158"/>
      <c r="E12" s="2158"/>
      <c r="F12" s="2158"/>
      <c r="G12" s="2159"/>
      <c r="H12" s="2173"/>
      <c r="I12" s="2173"/>
      <c r="J12" s="2146"/>
      <c r="K12" s="2146"/>
      <c r="L12" s="2152"/>
      <c r="M12" s="2152"/>
      <c r="N12" s="2152"/>
      <c r="O12" s="2152"/>
      <c r="P12" s="2152"/>
      <c r="Q12" s="2152"/>
      <c r="R12" s="2162"/>
      <c r="S12" s="2153"/>
      <c r="T12" s="2153"/>
      <c r="U12" s="2153"/>
      <c r="V12" s="215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96 [40th]</v>
      </c>
      <c r="G17" s="112" t="str">
        <f>'テンプレート'!G17</f>
        <v>小J滞空</v>
      </c>
      <c r="H17" s="113" t="s">
        <v>695</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2.024 [28th]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1.224 [25th]</v>
      </c>
      <c r="G18" s="112" t="str">
        <f>'テンプレート'!G18</f>
        <v>大J滞空</v>
      </c>
      <c r="H18" s="113" t="s">
        <v>3387</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35.6 [19th]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1.866 [30th]</v>
      </c>
      <c r="G19" s="112" t="str">
        <f>'テンプレート'!G19</f>
        <v>小J急降下滞空</v>
      </c>
      <c r="H19" s="113" t="s">
        <v>3388</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0.128 [12th]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17.18 [25th]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1.019 [52nd]</v>
      </c>
      <c r="G20" s="112" t="str">
        <f>'テンプレート'!G20</f>
        <v>大J急降下滞空</v>
      </c>
      <c r="H20" s="113" t="s">
        <v>3389</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 [21st]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35.6 [26th]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16F [3rd]</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 [80th]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2.08 [80th]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 [45th]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21"/>
      <c r="B24" s="121"/>
      <c r="C24" s="108" t="s">
        <v>3390</v>
      </c>
      <c r="D24" s="109"/>
      <c r="E24" s="98"/>
      <c r="F24" s="101"/>
      <c r="G24" s="123"/>
      <c r="H24" s="121"/>
      <c r="I24" s="121"/>
      <c r="J24" s="121"/>
      <c r="K24" s="121"/>
      <c r="L24" s="124"/>
      <c r="M24" s="124"/>
      <c r="N24" s="125"/>
      <c r="O24" s="125"/>
      <c r="P24" s="125"/>
      <c r="Q24" s="126"/>
      <c r="R24" s="124"/>
      <c r="S24" s="124"/>
      <c r="T24" s="124"/>
      <c r="U24" s="124"/>
      <c r="V24" s="124"/>
    </row>
    <row r="25">
      <c r="A25" s="121"/>
      <c r="B25" s="121"/>
      <c r="C25" s="108" t="s">
        <v>3391</v>
      </c>
      <c r="D25" s="2174" t="s">
        <v>3392</v>
      </c>
      <c r="E25" s="1932" t="s">
        <v>3393</v>
      </c>
      <c r="F25" s="123"/>
      <c r="G25" s="123"/>
      <c r="H25" s="121"/>
      <c r="I25" s="121"/>
      <c r="J25" s="121"/>
      <c r="K25" s="121"/>
      <c r="L25" s="124"/>
      <c r="M25" s="124"/>
      <c r="N25" s="125"/>
      <c r="O25" s="125"/>
      <c r="P25" s="125"/>
      <c r="Q25" s="126"/>
      <c r="R25" s="124"/>
      <c r="S25" s="124"/>
      <c r="T25" s="124"/>
      <c r="U25" s="124"/>
      <c r="V25" s="124"/>
    </row>
    <row r="26">
      <c r="A26" s="121"/>
      <c r="B26" s="121"/>
      <c r="C26" s="2175" t="s">
        <v>50</v>
      </c>
      <c r="D26" s="2176" t="s">
        <v>3394</v>
      </c>
      <c r="E26" s="409"/>
      <c r="F26" s="123"/>
      <c r="G26" s="123"/>
      <c r="H26" s="121"/>
      <c r="I26" s="121"/>
      <c r="J26" s="121"/>
      <c r="K26" s="121"/>
      <c r="L26" s="124"/>
      <c r="M26" s="124"/>
      <c r="N26" s="125"/>
      <c r="O26" s="125"/>
      <c r="P26" s="125"/>
      <c r="Q26" s="126"/>
      <c r="R26" s="124"/>
      <c r="S26" s="124"/>
      <c r="T26" s="124"/>
      <c r="U26" s="124"/>
      <c r="V26" s="124"/>
    </row>
    <row r="27">
      <c r="A27" s="121"/>
      <c r="B27" s="121"/>
      <c r="C27" s="2175" t="s">
        <v>3395</v>
      </c>
      <c r="D27" s="2176" t="s">
        <v>3396</v>
      </c>
      <c r="E27" s="409"/>
      <c r="F27" s="123"/>
      <c r="G27" s="123"/>
      <c r="H27" s="121"/>
      <c r="I27" s="121"/>
      <c r="J27" s="121"/>
      <c r="K27" s="121"/>
      <c r="L27" s="124"/>
      <c r="M27" s="124"/>
      <c r="N27" s="125"/>
      <c r="O27" s="125"/>
      <c r="P27" s="125"/>
      <c r="Q27" s="126"/>
      <c r="R27" s="124"/>
      <c r="S27" s="124"/>
      <c r="T27" s="124"/>
      <c r="U27" s="124"/>
      <c r="V27" s="124"/>
    </row>
    <row r="28">
      <c r="A28" s="121"/>
      <c r="B28" s="121"/>
      <c r="C28" s="112" t="s">
        <v>3397</v>
      </c>
      <c r="D28" s="113" t="s">
        <v>1614</v>
      </c>
      <c r="E28" s="113" t="s">
        <v>3398</v>
      </c>
      <c r="F28" s="123"/>
      <c r="G28" s="123"/>
      <c r="H28" s="121"/>
      <c r="I28" s="121"/>
      <c r="J28" s="121"/>
      <c r="K28" s="121"/>
      <c r="L28" s="124"/>
      <c r="M28" s="124"/>
      <c r="N28" s="125"/>
      <c r="O28" s="125"/>
      <c r="P28" s="125"/>
      <c r="Q28" s="126"/>
      <c r="R28" s="124"/>
      <c r="S28" s="124"/>
      <c r="T28" s="124"/>
      <c r="U28" s="124"/>
      <c r="V28" s="124"/>
    </row>
    <row r="29">
      <c r="A29" s="121"/>
      <c r="B29" s="121"/>
      <c r="C29" s="112" t="s">
        <v>3399</v>
      </c>
      <c r="D29" s="113" t="s">
        <v>1614</v>
      </c>
      <c r="E29" s="113">
        <f t="array" ref="E29">MULTIPLY(INDEX('行動フレーム・能力値'!$C$2:$AD$115, MATCH($A$1,'行動フレーム・能力値'!$A$2:$A$115,0), MATCH(E18,'行動フレーム・能力値'!$C$1:$AD$1,0)),D29)</f>
        <v>1.4688</v>
      </c>
      <c r="F29" s="123"/>
      <c r="G29" s="123"/>
      <c r="H29" s="121"/>
      <c r="I29" s="121"/>
      <c r="J29" s="121"/>
      <c r="K29" s="121"/>
      <c r="L29" s="124"/>
      <c r="M29" s="124"/>
      <c r="N29" s="125"/>
      <c r="O29" s="125"/>
      <c r="P29" s="125"/>
      <c r="Q29" s="126"/>
      <c r="R29" s="124"/>
      <c r="S29" s="124"/>
      <c r="T29" s="124"/>
      <c r="U29" s="124"/>
      <c r="V29" s="124"/>
    </row>
    <row r="30">
      <c r="A30" s="121"/>
      <c r="B30" s="121"/>
      <c r="C30" s="112" t="s">
        <v>3400</v>
      </c>
      <c r="D30" s="113" t="s">
        <v>3401</v>
      </c>
      <c r="E30" s="113">
        <f t="array" ref="E30">MULTIPLY(INDEX('能力値その他'!$C$2:$AD$115, MATCH($A$1,'能力値その他'!$A$2:$A$115,0), MATCH(K17,'能力値その他'!$C$1:$AD$1,0)),D30)</f>
        <v>2.28712</v>
      </c>
      <c r="F30" s="123"/>
      <c r="G30" s="123"/>
      <c r="H30" s="121"/>
      <c r="I30" s="121"/>
      <c r="J30" s="121"/>
      <c r="K30" s="121"/>
      <c r="L30" s="124"/>
      <c r="M30" s="124"/>
      <c r="N30" s="125"/>
      <c r="O30" s="125"/>
      <c r="P30" s="125"/>
      <c r="Q30" s="126"/>
      <c r="R30" s="124"/>
      <c r="S30" s="124"/>
      <c r="T30" s="124"/>
      <c r="U30" s="124"/>
      <c r="V30" s="124"/>
    </row>
    <row r="31">
      <c r="A31" s="121"/>
      <c r="B31" s="121"/>
      <c r="C31" s="112" t="s">
        <v>3402</v>
      </c>
      <c r="D31" s="113" t="s">
        <v>3401</v>
      </c>
      <c r="E31" s="113">
        <f>0.044 + 0.10978 * D31</f>
        <v>0.1680514</v>
      </c>
      <c r="F31" s="123"/>
      <c r="G31" s="123"/>
      <c r="H31" s="121"/>
      <c r="I31" s="121"/>
      <c r="J31" s="121"/>
      <c r="K31" s="121"/>
      <c r="L31" s="124"/>
      <c r="M31" s="124"/>
      <c r="N31" s="125"/>
      <c r="O31" s="125"/>
      <c r="P31" s="125"/>
      <c r="Q31" s="126"/>
      <c r="R31" s="124"/>
      <c r="S31" s="124"/>
      <c r="T31" s="124"/>
      <c r="U31" s="124"/>
      <c r="V31" s="124"/>
    </row>
    <row r="32">
      <c r="A32" s="121"/>
      <c r="B32" s="121"/>
      <c r="C32" s="112" t="s">
        <v>3403</v>
      </c>
      <c r="D32" s="113" t="s">
        <v>3401</v>
      </c>
      <c r="E32" s="113">
        <f t="array" ref="E32">MULTIPLY(INDEX('行動フレーム・能力値'!$C$2:$AD$115, MATCH($A$1,'行動フレーム・能力値'!$A$2:$A$115,0), MATCH(E19,'行動フレーム・能力値'!$C$1:$AD$1,0)),D32)</f>
        <v>2.10858</v>
      </c>
      <c r="F32" s="123"/>
      <c r="G32" s="123"/>
      <c r="H32" s="121"/>
      <c r="I32" s="121"/>
      <c r="J32" s="121"/>
      <c r="K32" s="121"/>
      <c r="L32" s="124"/>
      <c r="M32" s="124"/>
      <c r="N32" s="125"/>
      <c r="O32" s="125"/>
      <c r="P32" s="125"/>
      <c r="Q32" s="126"/>
      <c r="R32" s="124"/>
      <c r="S32" s="124"/>
      <c r="T32" s="124"/>
      <c r="U32" s="124"/>
      <c r="V32" s="124"/>
    </row>
    <row r="33">
      <c r="A33" s="121"/>
      <c r="B33" s="121"/>
      <c r="C33" s="112" t="s">
        <v>3404</v>
      </c>
      <c r="D33" s="113" t="s">
        <v>3401</v>
      </c>
      <c r="E33" s="113">
        <f t="array" ref="E33">MULTIPLY(INDEX('能力値その他'!$C$2:$AD$115, MATCH($A$1,'能力値その他'!$A$2:$A$115,0), MATCH(K19,'能力値その他'!$C$1:$AD$1,0)),D33)</f>
        <v>0.14464</v>
      </c>
      <c r="F33" s="123"/>
      <c r="G33" s="123"/>
      <c r="H33" s="121"/>
      <c r="I33" s="121"/>
      <c r="J33" s="121"/>
      <c r="K33" s="121"/>
      <c r="L33" s="124"/>
      <c r="M33" s="124"/>
      <c r="N33" s="125"/>
      <c r="O33" s="125"/>
      <c r="P33" s="125"/>
      <c r="Q33" s="126"/>
      <c r="R33" s="124"/>
      <c r="S33" s="124"/>
      <c r="T33" s="124"/>
      <c r="U33" s="124"/>
      <c r="V33" s="124"/>
    </row>
    <row r="34">
      <c r="A34" s="121"/>
      <c r="B34" s="121"/>
      <c r="C34" s="112" t="s">
        <v>3405</v>
      </c>
      <c r="D34" s="113" t="s">
        <v>1614</v>
      </c>
      <c r="E34" s="113" t="s">
        <v>3406</v>
      </c>
      <c r="F34" s="123"/>
      <c r="G34" s="123"/>
      <c r="H34" s="121"/>
      <c r="I34" s="121"/>
      <c r="J34" s="121"/>
      <c r="K34" s="121"/>
      <c r="L34" s="124"/>
      <c r="M34" s="124"/>
      <c r="N34" s="125"/>
      <c r="O34" s="125"/>
      <c r="P34" s="125"/>
      <c r="Q34" s="126"/>
      <c r="R34" s="124"/>
      <c r="S34" s="124"/>
      <c r="T34" s="124"/>
      <c r="U34" s="124"/>
      <c r="V34" s="124"/>
    </row>
    <row r="35">
      <c r="A35" s="121"/>
      <c r="B35" s="121"/>
      <c r="C35" s="112" t="s">
        <v>1584</v>
      </c>
      <c r="D35" s="113" t="s">
        <v>1614</v>
      </c>
      <c r="E35" s="113">
        <f t="array" ref="E35">MULTIPLY(INDEX('行動フレーム・能力値'!$C$2:$AD$115, MATCH($A$1,'行動フレーム・能力値'!$A$2:$A$115,0), MATCH(E20,'行動フレーム・能力値'!$C$1:$AD$1,0)),D35)</f>
        <v>1.2228</v>
      </c>
      <c r="F35" s="123"/>
      <c r="G35" s="123"/>
      <c r="H35" s="121"/>
      <c r="I35" s="121"/>
      <c r="J35" s="121"/>
      <c r="K35" s="121"/>
      <c r="L35" s="124"/>
      <c r="M35" s="124"/>
      <c r="N35" s="125"/>
      <c r="O35" s="125"/>
      <c r="P35" s="125"/>
      <c r="Q35" s="126"/>
      <c r="R35" s="124"/>
      <c r="S35" s="124"/>
      <c r="T35" s="124"/>
      <c r="U35" s="124"/>
      <c r="V35" s="124"/>
    </row>
    <row r="36">
      <c r="A36" s="121"/>
      <c r="B36" s="121"/>
      <c r="C36" s="112" t="s">
        <v>3407</v>
      </c>
      <c r="D36" s="113" t="s">
        <v>1614</v>
      </c>
      <c r="E36" s="113">
        <f t="array" ref="E36">MULTIPLY(INDEX('行動フレーム・能力値'!$C$2:$AD$115, MATCH($A$1,'行動フレーム・能力値'!$A$2:$A$115,0), MATCH(E21,'行動フレーム・能力値'!$C$1:$AD$1,0)),D36)</f>
        <v>1.56</v>
      </c>
      <c r="F36" s="123"/>
      <c r="G36" s="123"/>
      <c r="H36" s="121"/>
      <c r="I36" s="121"/>
      <c r="J36" s="121"/>
      <c r="K36" s="121"/>
      <c r="L36" s="124"/>
      <c r="M36" s="124"/>
      <c r="N36" s="125"/>
      <c r="O36" s="125"/>
      <c r="P36" s="125"/>
      <c r="Q36" s="126"/>
      <c r="R36" s="124"/>
      <c r="S36" s="124"/>
      <c r="T36" s="124"/>
      <c r="U36" s="124"/>
      <c r="V36" s="124"/>
    </row>
    <row r="37">
      <c r="A37" s="121"/>
      <c r="B37" s="121"/>
      <c r="C37" s="112" t="s">
        <v>3408</v>
      </c>
      <c r="D37" s="113" t="s">
        <v>1614</v>
      </c>
      <c r="E37" s="113">
        <f t="array" ref="E37">MULTIPLY(INDEX('能力値その他'!$C$2:$AD$115, MATCH($A$1,'能力値その他'!$A$2:$A$115,0), MATCH(K22,'能力値その他'!$C$1:$AD$1,0)),D37)</f>
        <v>0.108</v>
      </c>
      <c r="F37" s="123"/>
      <c r="G37" s="123"/>
      <c r="H37" s="121"/>
      <c r="I37" s="121"/>
      <c r="J37" s="121"/>
      <c r="K37" s="121"/>
      <c r="L37" s="124"/>
      <c r="M37" s="124"/>
      <c r="N37" s="125"/>
      <c r="O37" s="125"/>
      <c r="P37" s="125"/>
      <c r="Q37" s="126"/>
      <c r="R37" s="124"/>
      <c r="S37" s="124"/>
      <c r="T37" s="124"/>
      <c r="U37" s="124"/>
      <c r="V37" s="124"/>
    </row>
    <row r="38">
      <c r="A38" s="121"/>
      <c r="B38" s="121"/>
      <c r="C38" s="120"/>
      <c r="D38" s="121"/>
      <c r="E38" s="121"/>
      <c r="F38" s="122"/>
      <c r="G38" s="123"/>
      <c r="H38" s="121"/>
      <c r="I38" s="121"/>
      <c r="J38" s="121"/>
      <c r="K38" s="121"/>
      <c r="L38" s="124"/>
      <c r="M38" s="124"/>
      <c r="N38" s="125"/>
      <c r="O38" s="125"/>
      <c r="P38" s="125"/>
      <c r="Q38" s="126"/>
      <c r="R38" s="124"/>
      <c r="S38" s="124"/>
      <c r="T38" s="124"/>
      <c r="U38" s="124"/>
      <c r="V38" s="124"/>
    </row>
    <row r="39">
      <c r="A39" s="119" t="s">
        <v>47</v>
      </c>
      <c r="B39" s="104"/>
      <c r="C39" s="120"/>
      <c r="D39" s="121"/>
      <c r="E39" s="121"/>
      <c r="F39" s="122"/>
      <c r="G39" s="123"/>
      <c r="H39" s="121"/>
      <c r="I39" s="121"/>
      <c r="J39" s="121"/>
      <c r="K39" s="121"/>
      <c r="L39" s="124"/>
      <c r="M39" s="124"/>
      <c r="N39" s="125"/>
      <c r="O39" s="125"/>
      <c r="P39" s="125"/>
      <c r="Q39" s="126"/>
      <c r="R39" s="124"/>
      <c r="S39" s="124"/>
      <c r="T39" s="124"/>
      <c r="U39" s="124"/>
      <c r="V39" s="124"/>
    </row>
    <row r="40" outlineLevel="1">
      <c r="A40" s="106"/>
      <c r="B40" s="107"/>
      <c r="C40" s="127" t="s">
        <v>48</v>
      </c>
      <c r="D40" s="128" t="s">
        <v>49</v>
      </c>
      <c r="E40" s="128" t="s">
        <v>50</v>
      </c>
      <c r="F40" s="129" t="s">
        <v>51</v>
      </c>
      <c r="G40" s="128" t="s">
        <v>52</v>
      </c>
      <c r="H40" s="130" t="str">
        <f>'テンプレート'!H25</f>
        <v>備考</v>
      </c>
      <c r="I40" s="110"/>
      <c r="J40" s="109"/>
      <c r="K40" s="131" t="str">
        <f>'テンプレート'!K25</f>
        <v>ベクトル</v>
      </c>
      <c r="L40" s="131" t="str">
        <f>'テンプレート'!L25</f>
        <v>KBG (R.E.)</v>
      </c>
      <c r="M40" s="131" t="str">
        <f>'テンプレート'!M25</f>
        <v>BKB (R.A.)</v>
      </c>
      <c r="N40" s="131" t="str">
        <f>'テンプレート'!N25</f>
        <v>FKB (R.F.)</v>
      </c>
      <c r="O40" s="132" t="str">
        <f>'テンプレート'!O25</f>
        <v>盾削り値</v>
      </c>
      <c r="P40" s="131" t="str">
        <f>'テンプレート'!P25</f>
        <v>ﾋｯﾄｽﾄｯﾌﾟ</v>
      </c>
      <c r="Q40" s="132" t="str">
        <f>'テンプレート'!Q25</f>
        <v>ずらし</v>
      </c>
      <c r="R40" s="100"/>
      <c r="S40" s="100"/>
      <c r="T40" s="100"/>
      <c r="U40" s="127" t="s">
        <v>54</v>
      </c>
      <c r="V40" s="100"/>
    </row>
    <row r="41" ht="19.5" customHeight="1" outlineLevel="1">
      <c r="A41" s="133" t="s">
        <v>266</v>
      </c>
      <c r="B41" s="134" t="s">
        <v>55</v>
      </c>
      <c r="C41" s="139" t="s">
        <v>717</v>
      </c>
      <c r="D41" s="549" t="s">
        <v>3409</v>
      </c>
      <c r="E41" s="139" t="s">
        <v>176</v>
      </c>
      <c r="F41" s="138">
        <v>2.4</v>
      </c>
      <c r="G41" s="139" t="s">
        <v>60</v>
      </c>
      <c r="H41" s="283" t="s">
        <v>3410</v>
      </c>
      <c r="I41" s="164"/>
      <c r="J41" s="104"/>
      <c r="K41" s="138"/>
      <c r="L41" s="282"/>
      <c r="M41" s="363"/>
      <c r="N41" s="363"/>
      <c r="O41" s="145">
        <v>0.0</v>
      </c>
      <c r="P41" s="145">
        <v>1.0</v>
      </c>
      <c r="Q41" s="145">
        <v>1.0</v>
      </c>
      <c r="R41" s="100"/>
      <c r="S41" s="100"/>
      <c r="T41" s="100"/>
      <c r="U41" s="166" t="s">
        <v>62</v>
      </c>
      <c r="V41" s="100"/>
    </row>
    <row r="42" ht="19.5" customHeight="1" outlineLevel="1">
      <c r="A42" s="146"/>
      <c r="B42" s="147" t="s">
        <v>3411</v>
      </c>
      <c r="C42" s="216" t="s">
        <v>150</v>
      </c>
      <c r="D42" s="107"/>
      <c r="E42" s="216" t="s">
        <v>176</v>
      </c>
      <c r="F42" s="138">
        <v>2.4</v>
      </c>
      <c r="G42" s="139" t="s">
        <v>60</v>
      </c>
      <c r="H42" s="106"/>
      <c r="I42" s="168"/>
      <c r="J42" s="107"/>
      <c r="K42" s="282"/>
      <c r="L42" s="282"/>
      <c r="M42" s="363"/>
      <c r="N42" s="363"/>
      <c r="O42" s="145">
        <v>0.0</v>
      </c>
      <c r="P42" s="145">
        <v>1.0</v>
      </c>
      <c r="Q42" s="145">
        <v>1.0</v>
      </c>
      <c r="R42" s="100"/>
      <c r="S42" s="100"/>
      <c r="T42" s="100"/>
      <c r="U42" s="156"/>
      <c r="V42" s="100"/>
    </row>
    <row r="43" outlineLevel="1">
      <c r="A43" s="146"/>
      <c r="B43" s="147" t="s">
        <v>63</v>
      </c>
      <c r="C43" s="216" t="s">
        <v>71</v>
      </c>
      <c r="D43" s="216" t="s">
        <v>99</v>
      </c>
      <c r="E43" s="216" t="s">
        <v>176</v>
      </c>
      <c r="F43" s="138">
        <v>2.4</v>
      </c>
      <c r="G43" s="139" t="s">
        <v>60</v>
      </c>
      <c r="H43" s="140" t="s">
        <v>3412</v>
      </c>
      <c r="I43" s="110"/>
      <c r="J43" s="109"/>
      <c r="K43" s="282"/>
      <c r="L43" s="282"/>
      <c r="M43" s="363"/>
      <c r="N43" s="363"/>
      <c r="O43" s="145">
        <v>0.0</v>
      </c>
      <c r="P43" s="145">
        <v>1.0</v>
      </c>
      <c r="Q43" s="145">
        <v>1.0</v>
      </c>
      <c r="R43" s="100"/>
      <c r="S43" s="100"/>
      <c r="T43" s="100"/>
      <c r="U43" s="145" t="s">
        <v>69</v>
      </c>
      <c r="V43" s="100"/>
    </row>
    <row r="44" outlineLevel="1">
      <c r="A44" s="156"/>
      <c r="B44" s="147" t="s">
        <v>70</v>
      </c>
      <c r="C44" s="216" t="s">
        <v>267</v>
      </c>
      <c r="D44" s="216" t="s">
        <v>118</v>
      </c>
      <c r="E44" s="216" t="s">
        <v>204</v>
      </c>
      <c r="F44" s="138">
        <v>3.5999999999999996</v>
      </c>
      <c r="G44" s="139" t="s">
        <v>147</v>
      </c>
      <c r="H44" s="159"/>
      <c r="I44" s="110"/>
      <c r="J44" s="109"/>
      <c r="K44" s="282"/>
      <c r="L44" s="282"/>
      <c r="M44" s="363"/>
      <c r="N44" s="363"/>
      <c r="O44" s="145">
        <v>0.0</v>
      </c>
      <c r="P44" s="145">
        <v>1.0</v>
      </c>
      <c r="Q44" s="145">
        <v>1.0</v>
      </c>
      <c r="R44" s="100"/>
      <c r="S44" s="100"/>
      <c r="T44" s="100"/>
      <c r="U44" s="145" t="s">
        <v>76</v>
      </c>
      <c r="V44" s="100"/>
    </row>
    <row r="45" outlineLevel="1">
      <c r="A45" s="133" t="s">
        <v>77</v>
      </c>
      <c r="B45" s="147"/>
      <c r="C45" s="216" t="s">
        <v>549</v>
      </c>
      <c r="D45" s="195" t="s">
        <v>282</v>
      </c>
      <c r="E45" s="216" t="s">
        <v>128</v>
      </c>
      <c r="F45" s="138">
        <v>12.0</v>
      </c>
      <c r="G45" s="2177" t="s">
        <v>407</v>
      </c>
      <c r="H45" s="163" t="s">
        <v>3413</v>
      </c>
      <c r="I45" s="164"/>
      <c r="J45" s="104"/>
      <c r="K45" s="138"/>
      <c r="L45" s="282"/>
      <c r="M45" s="363"/>
      <c r="N45" s="363"/>
      <c r="O45" s="145">
        <v>0.0</v>
      </c>
      <c r="P45" s="145">
        <v>1.0</v>
      </c>
      <c r="Q45" s="145">
        <v>1.0</v>
      </c>
      <c r="R45" s="100"/>
      <c r="S45" s="100"/>
      <c r="T45" s="100"/>
      <c r="U45" s="166" t="s">
        <v>69</v>
      </c>
      <c r="V45" s="100"/>
    </row>
    <row r="46" outlineLevel="1">
      <c r="A46" s="156"/>
      <c r="B46" s="147" t="s">
        <v>84</v>
      </c>
      <c r="C46" s="216" t="s">
        <v>505</v>
      </c>
      <c r="D46" s="107"/>
      <c r="E46" s="216" t="s">
        <v>86</v>
      </c>
      <c r="F46" s="138">
        <v>7.199999999999999</v>
      </c>
      <c r="G46" s="2177" t="s">
        <v>121</v>
      </c>
      <c r="H46" s="106"/>
      <c r="I46" s="168"/>
      <c r="J46" s="107"/>
      <c r="K46" s="138"/>
      <c r="L46" s="282"/>
      <c r="M46" s="363"/>
      <c r="N46" s="363"/>
      <c r="O46" s="145"/>
      <c r="P46" s="145"/>
      <c r="Q46" s="145"/>
      <c r="R46" s="100"/>
      <c r="S46" s="100"/>
      <c r="T46" s="100"/>
      <c r="U46" s="156"/>
      <c r="V46" s="100"/>
    </row>
    <row r="47" outlineLevel="1">
      <c r="A47" s="170" t="s">
        <v>89</v>
      </c>
      <c r="B47" s="147"/>
      <c r="C47" s="216" t="s">
        <v>322</v>
      </c>
      <c r="D47" s="216" t="s">
        <v>964</v>
      </c>
      <c r="E47" s="216" t="s">
        <v>232</v>
      </c>
      <c r="F47" s="138">
        <v>13.2</v>
      </c>
      <c r="G47" s="139" t="s">
        <v>121</v>
      </c>
      <c r="H47" s="159"/>
      <c r="I47" s="110"/>
      <c r="J47" s="109"/>
      <c r="K47" s="138"/>
      <c r="L47" s="282"/>
      <c r="M47" s="363"/>
      <c r="N47" s="363"/>
      <c r="O47" s="145">
        <v>0.0</v>
      </c>
      <c r="P47" s="145">
        <v>1.0</v>
      </c>
      <c r="Q47" s="145">
        <v>1.0</v>
      </c>
      <c r="R47" s="100"/>
      <c r="S47" s="100"/>
      <c r="T47" s="100"/>
      <c r="U47" s="145" t="s">
        <v>96</v>
      </c>
      <c r="V47" s="100"/>
    </row>
    <row r="48" outlineLevel="1">
      <c r="A48" s="170" t="s">
        <v>97</v>
      </c>
      <c r="B48" s="160"/>
      <c r="C48" s="216" t="s">
        <v>1055</v>
      </c>
      <c r="D48" s="216" t="s">
        <v>99</v>
      </c>
      <c r="E48" s="216" t="s">
        <v>1548</v>
      </c>
      <c r="F48" s="138" t="s">
        <v>1549</v>
      </c>
      <c r="G48" s="139" t="s">
        <v>1550</v>
      </c>
      <c r="H48" s="140" t="s">
        <v>3414</v>
      </c>
      <c r="I48" s="110"/>
      <c r="J48" s="109"/>
      <c r="K48" s="282"/>
      <c r="L48" s="282"/>
      <c r="M48" s="363"/>
      <c r="N48" s="363"/>
      <c r="O48" s="145">
        <v>0.0</v>
      </c>
      <c r="P48" s="145">
        <v>1.0</v>
      </c>
      <c r="Q48" s="145">
        <v>1.0</v>
      </c>
      <c r="R48" s="100"/>
      <c r="S48" s="100"/>
      <c r="T48" s="100"/>
      <c r="U48" s="145" t="s">
        <v>62</v>
      </c>
      <c r="V48" s="100"/>
    </row>
    <row r="49" outlineLevel="1">
      <c r="A49" s="170" t="s">
        <v>103</v>
      </c>
      <c r="B49" s="147"/>
      <c r="C49" s="216" t="s">
        <v>272</v>
      </c>
      <c r="D49" s="216" t="s">
        <v>282</v>
      </c>
      <c r="E49" s="216" t="s">
        <v>3415</v>
      </c>
      <c r="F49" s="138" t="s">
        <v>3416</v>
      </c>
      <c r="G49" s="139" t="s">
        <v>3417</v>
      </c>
      <c r="H49" s="151" t="s">
        <v>3418</v>
      </c>
      <c r="I49" s="110"/>
      <c r="J49" s="109"/>
      <c r="K49" s="145"/>
      <c r="L49" s="363"/>
      <c r="M49" s="363"/>
      <c r="N49" s="363"/>
      <c r="O49" s="145">
        <v>0.0</v>
      </c>
      <c r="P49" s="145">
        <v>1.0</v>
      </c>
      <c r="Q49" s="145">
        <v>1.0</v>
      </c>
      <c r="R49" s="100"/>
      <c r="S49" s="100"/>
      <c r="T49" s="100"/>
      <c r="U49" s="145" t="s">
        <v>69</v>
      </c>
      <c r="V49" s="100"/>
    </row>
    <row r="50" outlineLevel="1">
      <c r="A50" s="170" t="s">
        <v>109</v>
      </c>
      <c r="B50" s="147"/>
      <c r="C50" s="216" t="s">
        <v>409</v>
      </c>
      <c r="D50" s="216" t="s">
        <v>402</v>
      </c>
      <c r="E50" s="216" t="s">
        <v>635</v>
      </c>
      <c r="F50" s="138" t="s">
        <v>636</v>
      </c>
      <c r="G50" s="139" t="s">
        <v>637</v>
      </c>
      <c r="H50" s="151" t="s">
        <v>560</v>
      </c>
      <c r="I50" s="110"/>
      <c r="J50" s="109"/>
      <c r="K50" s="282"/>
      <c r="L50" s="282"/>
      <c r="M50" s="363"/>
      <c r="N50" s="363"/>
      <c r="O50" s="145">
        <v>0.0</v>
      </c>
      <c r="P50" s="145">
        <v>1.0</v>
      </c>
      <c r="Q50" s="145">
        <v>1.0</v>
      </c>
      <c r="R50" s="100"/>
      <c r="S50" s="100"/>
      <c r="T50" s="100"/>
      <c r="U50" s="145" t="s">
        <v>123</v>
      </c>
      <c r="V50" s="100"/>
    </row>
    <row r="51" ht="21.75" customHeight="1" outlineLevel="1">
      <c r="A51" s="133" t="s">
        <v>116</v>
      </c>
      <c r="B51" s="160"/>
      <c r="C51" s="450" t="s">
        <v>299</v>
      </c>
      <c r="D51" s="379" t="s">
        <v>289</v>
      </c>
      <c r="E51" s="216" t="s">
        <v>3419</v>
      </c>
      <c r="F51" s="138" t="s">
        <v>3420</v>
      </c>
      <c r="G51" s="139" t="s">
        <v>3421</v>
      </c>
      <c r="H51" s="386" t="s">
        <v>3422</v>
      </c>
      <c r="I51" s="164"/>
      <c r="J51" s="104"/>
      <c r="K51" s="363"/>
      <c r="L51" s="363"/>
      <c r="M51" s="363"/>
      <c r="N51" s="363"/>
      <c r="O51" s="145">
        <v>0.0</v>
      </c>
      <c r="P51" s="145">
        <v>1.0</v>
      </c>
      <c r="Q51" s="145">
        <v>1.0</v>
      </c>
      <c r="R51" s="100"/>
      <c r="S51" s="100"/>
      <c r="T51" s="100"/>
      <c r="U51" s="166" t="s">
        <v>62</v>
      </c>
      <c r="V51" s="100"/>
    </row>
    <row r="52" ht="21.75" customHeight="1" outlineLevel="1">
      <c r="A52" s="156"/>
      <c r="B52" s="147" t="s">
        <v>84</v>
      </c>
      <c r="C52" s="450" t="s">
        <v>842</v>
      </c>
      <c r="D52" s="107"/>
      <c r="E52" s="216" t="s">
        <v>3423</v>
      </c>
      <c r="F52" s="138" t="s">
        <v>3424</v>
      </c>
      <c r="G52" s="139" t="s">
        <v>3425</v>
      </c>
      <c r="H52" s="106"/>
      <c r="I52" s="168"/>
      <c r="J52" s="107"/>
      <c r="K52" s="363"/>
      <c r="L52" s="363"/>
      <c r="M52" s="363"/>
      <c r="N52" s="363"/>
      <c r="O52" s="145">
        <v>0.0</v>
      </c>
      <c r="P52" s="145">
        <v>1.0</v>
      </c>
      <c r="Q52" s="145">
        <v>1.0</v>
      </c>
      <c r="R52" s="100"/>
      <c r="S52" s="100"/>
      <c r="T52" s="100"/>
      <c r="U52" s="156"/>
      <c r="V52" s="100"/>
    </row>
    <row r="53" outlineLevel="1">
      <c r="A53" s="170" t="s">
        <v>124</v>
      </c>
      <c r="B53" s="147"/>
      <c r="C53" s="216" t="s">
        <v>2670</v>
      </c>
      <c r="D53" s="450" t="s">
        <v>374</v>
      </c>
      <c r="E53" s="216" t="s">
        <v>640</v>
      </c>
      <c r="F53" s="138" t="s">
        <v>641</v>
      </c>
      <c r="G53" s="139" t="s">
        <v>642</v>
      </c>
      <c r="H53" s="151" t="s">
        <v>442</v>
      </c>
      <c r="I53" s="110"/>
      <c r="J53" s="109"/>
      <c r="K53" s="282"/>
      <c r="L53" s="282"/>
      <c r="M53" s="363"/>
      <c r="N53" s="363"/>
      <c r="O53" s="145">
        <v>0.0</v>
      </c>
      <c r="P53" s="145">
        <v>1.0</v>
      </c>
      <c r="Q53" s="145">
        <v>1.0</v>
      </c>
      <c r="R53" s="100"/>
      <c r="S53" s="100"/>
      <c r="T53" s="100"/>
      <c r="U53" s="145" t="s">
        <v>69</v>
      </c>
      <c r="V53" s="100"/>
    </row>
    <row r="54">
      <c r="A54" s="118"/>
      <c r="B54" s="176"/>
      <c r="C54" s="118"/>
      <c r="D54" s="118"/>
      <c r="E54" s="118"/>
      <c r="F54" s="177"/>
      <c r="G54" s="177"/>
      <c r="H54" s="118"/>
      <c r="I54" s="118"/>
      <c r="J54" s="118"/>
      <c r="K54" s="118"/>
      <c r="L54" s="118"/>
      <c r="M54" s="118"/>
      <c r="N54" s="118"/>
      <c r="O54" s="118"/>
      <c r="P54" s="118"/>
      <c r="Q54" s="118"/>
      <c r="R54" s="118"/>
      <c r="S54" s="118"/>
      <c r="T54" s="118"/>
      <c r="U54" s="118"/>
      <c r="V54" s="118"/>
    </row>
    <row r="55">
      <c r="A55" s="178" t="s">
        <v>133</v>
      </c>
      <c r="B55" s="104"/>
      <c r="C55" s="179"/>
      <c r="D55" s="179"/>
      <c r="E55" s="179"/>
      <c r="F55" s="180"/>
      <c r="G55" s="179"/>
      <c r="H55" s="180"/>
      <c r="I55" s="180"/>
      <c r="J55" s="181"/>
      <c r="K55" s="180"/>
      <c r="L55" s="180"/>
      <c r="M55" s="180"/>
      <c r="N55" s="180"/>
      <c r="O55" s="180"/>
      <c r="P55" s="180"/>
      <c r="Q55" s="180"/>
      <c r="R55" s="180"/>
      <c r="S55" s="180"/>
      <c r="T55" s="180"/>
      <c r="U55" s="180"/>
      <c r="V55" s="180"/>
    </row>
    <row r="56" outlineLevel="1">
      <c r="A56" s="106"/>
      <c r="B56" s="107"/>
      <c r="C56" s="182" t="s">
        <v>48</v>
      </c>
      <c r="D56" s="183" t="s">
        <v>49</v>
      </c>
      <c r="E56" s="182" t="s">
        <v>50</v>
      </c>
      <c r="F56" s="184" t="s">
        <v>51</v>
      </c>
      <c r="G56" s="184" t="s">
        <v>134</v>
      </c>
      <c r="H56" s="185" t="str">
        <f>'テンプレート'!H56</f>
        <v>ガード硬直</v>
      </c>
      <c r="I56" s="184" t="str">
        <f>'テンプレート'!I56</f>
        <v>着地隙</v>
      </c>
      <c r="J56" s="184" t="s">
        <v>136</v>
      </c>
      <c r="K56" s="184" t="str">
        <f>'テンプレート'!K56</f>
        <v>ベクトル</v>
      </c>
      <c r="L56" s="184" t="str">
        <f>'テンプレート'!L56</f>
        <v>KBG (R.E.)</v>
      </c>
      <c r="M56" s="184" t="str">
        <f>'テンプレート'!M56</f>
        <v>BKB (R.A.)</v>
      </c>
      <c r="N56" s="184" t="str">
        <f>'テンプレート'!N56</f>
        <v>FKB (R.F.)</v>
      </c>
      <c r="O56" s="186" t="str">
        <f>'テンプレート'!O56</f>
        <v>盾削り値</v>
      </c>
      <c r="P56" s="184" t="str">
        <f>'テンプレート'!P56</f>
        <v>ﾋｯﾄｽﾄｯﾌﾟ</v>
      </c>
      <c r="Q56" s="186" t="str">
        <f>'テンプレート'!Q56</f>
        <v>ずらし</v>
      </c>
      <c r="R56" s="187" t="str">
        <f>'テンプレート'!R56</f>
        <v>備考</v>
      </c>
      <c r="S56" s="110"/>
      <c r="T56" s="110"/>
      <c r="U56" s="110"/>
      <c r="V56" s="110"/>
    </row>
    <row r="57" outlineLevel="1">
      <c r="A57" s="188" t="s">
        <v>144</v>
      </c>
      <c r="B57" s="373" t="s">
        <v>125</v>
      </c>
      <c r="C57" s="239" t="s">
        <v>835</v>
      </c>
      <c r="D57" s="374" t="s">
        <v>218</v>
      </c>
      <c r="E57" s="401" t="s">
        <v>150</v>
      </c>
      <c r="F57" s="193">
        <v>6.0</v>
      </c>
      <c r="G57" s="193">
        <v>5.1</v>
      </c>
      <c r="H57" s="138" t="s">
        <v>60</v>
      </c>
      <c r="I57" s="194" t="str">
        <f t="array" ref="I57">INDEX('空中攻撃'!$O$3:$AA$109, MATCH($A$1,'空中攻撃'!$A$3:$A$109,0), MATCH(A57,'空中攻撃'!$O$2:$S$2,0))</f>
        <v>8</v>
      </c>
      <c r="J57" s="195" t="s">
        <v>1600</v>
      </c>
      <c r="K57" s="376"/>
      <c r="L57" s="377"/>
      <c r="M57" s="825"/>
      <c r="N57" s="825"/>
      <c r="O57" s="199">
        <v>0.0</v>
      </c>
      <c r="P57" s="199">
        <v>1.0</v>
      </c>
      <c r="Q57" s="199">
        <v>1.0</v>
      </c>
      <c r="R57" s="1124"/>
      <c r="S57" s="164"/>
      <c r="T57" s="164"/>
      <c r="U57" s="164"/>
      <c r="V57" s="104"/>
    </row>
    <row r="58" outlineLevel="1">
      <c r="A58" s="156"/>
      <c r="B58" s="373" t="s">
        <v>131</v>
      </c>
      <c r="C58" s="239" t="s">
        <v>373</v>
      </c>
      <c r="D58" s="107"/>
      <c r="E58" s="239" t="s">
        <v>274</v>
      </c>
      <c r="F58" s="138">
        <v>10.799999999999999</v>
      </c>
      <c r="G58" s="138">
        <v>9.18</v>
      </c>
      <c r="H58" s="138" t="s">
        <v>147</v>
      </c>
      <c r="I58" s="156"/>
      <c r="J58" s="107"/>
      <c r="K58" s="376"/>
      <c r="L58" s="377"/>
      <c r="M58" s="825"/>
      <c r="N58" s="825"/>
      <c r="O58" s="199">
        <v>0.0</v>
      </c>
      <c r="P58" s="199">
        <v>1.0</v>
      </c>
      <c r="Q58" s="199">
        <v>1.0</v>
      </c>
      <c r="R58" s="106"/>
      <c r="S58" s="168"/>
      <c r="T58" s="168"/>
      <c r="U58" s="168"/>
      <c r="V58" s="107"/>
    </row>
    <row r="59" outlineLevel="1">
      <c r="A59" s="188" t="s">
        <v>151</v>
      </c>
      <c r="B59" s="373"/>
      <c r="C59" s="239" t="s">
        <v>274</v>
      </c>
      <c r="D59" s="379" t="s">
        <v>193</v>
      </c>
      <c r="E59" s="239" t="s">
        <v>3426</v>
      </c>
      <c r="F59" s="138" t="s">
        <v>3427</v>
      </c>
      <c r="G59" s="138" t="s">
        <v>3428</v>
      </c>
      <c r="H59" s="138" t="s">
        <v>3429</v>
      </c>
      <c r="I59" s="901" t="s">
        <v>93</v>
      </c>
      <c r="J59" s="379" t="s">
        <v>1007</v>
      </c>
      <c r="K59" s="376"/>
      <c r="L59" s="377"/>
      <c r="M59" s="825"/>
      <c r="N59" s="825"/>
      <c r="O59" s="199">
        <v>0.0</v>
      </c>
      <c r="P59" s="199">
        <v>1.0</v>
      </c>
      <c r="Q59" s="199">
        <v>1.0</v>
      </c>
      <c r="R59" s="1124"/>
      <c r="S59" s="164"/>
      <c r="T59" s="164"/>
      <c r="U59" s="164"/>
      <c r="V59" s="104"/>
    </row>
    <row r="60" outlineLevel="1">
      <c r="A60" s="146"/>
      <c r="B60" s="373" t="s">
        <v>187</v>
      </c>
      <c r="C60" s="239" t="s">
        <v>128</v>
      </c>
      <c r="D60" s="210"/>
      <c r="E60" s="239" t="s">
        <v>2275</v>
      </c>
      <c r="F60" s="138" t="s">
        <v>2276</v>
      </c>
      <c r="G60" s="138" t="s">
        <v>3430</v>
      </c>
      <c r="H60" s="138" t="s">
        <v>1321</v>
      </c>
      <c r="I60" s="146"/>
      <c r="J60" s="210"/>
      <c r="K60" s="376"/>
      <c r="L60" s="377"/>
      <c r="M60" s="825"/>
      <c r="N60" s="825"/>
      <c r="O60" s="199"/>
      <c r="P60" s="199"/>
      <c r="Q60" s="199"/>
      <c r="R60" s="212"/>
      <c r="V60" s="210"/>
    </row>
    <row r="61" outlineLevel="1">
      <c r="A61" s="156"/>
      <c r="B61" s="373" t="s">
        <v>189</v>
      </c>
      <c r="C61" s="239" t="s">
        <v>2374</v>
      </c>
      <c r="D61" s="107"/>
      <c r="E61" s="239" t="s">
        <v>3431</v>
      </c>
      <c r="F61" s="138" t="s">
        <v>510</v>
      </c>
      <c r="G61" s="138" t="s">
        <v>3432</v>
      </c>
      <c r="H61" s="138" t="s">
        <v>914</v>
      </c>
      <c r="I61" s="156"/>
      <c r="J61" s="107"/>
      <c r="K61" s="376"/>
      <c r="L61" s="377"/>
      <c r="M61" s="825"/>
      <c r="N61" s="825"/>
      <c r="O61" s="199">
        <v>0.0</v>
      </c>
      <c r="P61" s="199">
        <v>1.0</v>
      </c>
      <c r="Q61" s="199">
        <v>1.0</v>
      </c>
      <c r="R61" s="106"/>
      <c r="S61" s="168"/>
      <c r="T61" s="168"/>
      <c r="U61" s="168"/>
      <c r="V61" s="107"/>
    </row>
    <row r="62" outlineLevel="1">
      <c r="A62" s="188" t="s">
        <v>157</v>
      </c>
      <c r="B62" s="373"/>
      <c r="C62" s="239" t="s">
        <v>150</v>
      </c>
      <c r="D62" s="374">
        <v>48.0</v>
      </c>
      <c r="E62" s="239" t="s">
        <v>3433</v>
      </c>
      <c r="F62" s="138" t="s">
        <v>3434</v>
      </c>
      <c r="G62" s="138" t="s">
        <v>3435</v>
      </c>
      <c r="H62" s="138" t="s">
        <v>2026</v>
      </c>
      <c r="I62" s="194">
        <f t="array" ref="I62">INDEX('空中攻撃'!$O$3:$AA$109, MATCH($A$1,'空中攻撃'!$A$3:$A$109,0), MATCH(A62,'空中攻撃'!$O$2:$S$2,0))</f>
        <v>12</v>
      </c>
      <c r="J62" s="195" t="s">
        <v>154</v>
      </c>
      <c r="K62" s="376"/>
      <c r="L62" s="377"/>
      <c r="M62" s="825"/>
      <c r="N62" s="825"/>
      <c r="O62" s="199">
        <v>0.0</v>
      </c>
      <c r="P62" s="199">
        <v>1.0</v>
      </c>
      <c r="Q62" s="199">
        <v>1.0</v>
      </c>
      <c r="R62" s="1124"/>
      <c r="S62" s="164"/>
      <c r="T62" s="164"/>
      <c r="U62" s="164"/>
      <c r="V62" s="104"/>
    </row>
    <row r="63" outlineLevel="1">
      <c r="A63" s="156"/>
      <c r="B63" s="373" t="s">
        <v>84</v>
      </c>
      <c r="C63" s="239" t="s">
        <v>2692</v>
      </c>
      <c r="D63" s="107"/>
      <c r="E63" s="239" t="s">
        <v>86</v>
      </c>
      <c r="F63" s="138">
        <v>7.199999999999999</v>
      </c>
      <c r="G63" s="138">
        <v>6.12</v>
      </c>
      <c r="H63" s="138" t="s">
        <v>60</v>
      </c>
      <c r="I63" s="156"/>
      <c r="J63" s="107"/>
      <c r="K63" s="376"/>
      <c r="L63" s="377"/>
      <c r="M63" s="825"/>
      <c r="N63" s="825"/>
      <c r="O63" s="199">
        <v>0.0</v>
      </c>
      <c r="P63" s="199">
        <v>1.0</v>
      </c>
      <c r="Q63" s="199">
        <v>1.0</v>
      </c>
      <c r="R63" s="106"/>
      <c r="S63" s="168"/>
      <c r="T63" s="168"/>
      <c r="U63" s="168"/>
      <c r="V63" s="107"/>
    </row>
    <row r="64" outlineLevel="1">
      <c r="A64" s="213" t="s">
        <v>162</v>
      </c>
      <c r="B64" s="373"/>
      <c r="C64" s="239" t="s">
        <v>322</v>
      </c>
      <c r="D64" s="380" t="s">
        <v>118</v>
      </c>
      <c r="E64" s="239" t="s">
        <v>128</v>
      </c>
      <c r="F64" s="138">
        <v>12.0</v>
      </c>
      <c r="G64" s="138">
        <v>10.2</v>
      </c>
      <c r="H64" s="138" t="s">
        <v>147</v>
      </c>
      <c r="I64" s="215" t="str">
        <f t="array" ref="I64">INDEX('空中攻撃'!$O$3:$AA$109, MATCH($A$1,'空中攻撃'!$A$3:$A$109,0), MATCH(A64,'空中攻撃'!$O$2:$S$2,0))</f>
        <v>9</v>
      </c>
      <c r="J64" s="216" t="s">
        <v>2986</v>
      </c>
      <c r="K64" s="377"/>
      <c r="L64" s="377"/>
      <c r="M64" s="825"/>
      <c r="N64" s="825"/>
      <c r="O64" s="199">
        <v>0.0</v>
      </c>
      <c r="P64" s="199">
        <v>1.0</v>
      </c>
      <c r="Q64" s="199">
        <v>1.0</v>
      </c>
      <c r="R64" s="1127"/>
      <c r="S64" s="110"/>
      <c r="T64" s="110"/>
      <c r="U64" s="110"/>
      <c r="V64" s="109"/>
    </row>
    <row r="65" outlineLevel="1">
      <c r="A65" s="188" t="s">
        <v>166</v>
      </c>
      <c r="B65" s="373" t="s">
        <v>1684</v>
      </c>
      <c r="C65" s="367" t="s">
        <v>460</v>
      </c>
      <c r="D65" s="195" t="s">
        <v>118</v>
      </c>
      <c r="E65" s="239" t="s">
        <v>228</v>
      </c>
      <c r="F65" s="138">
        <v>15.6</v>
      </c>
      <c r="G65" s="138">
        <v>13.26</v>
      </c>
      <c r="H65" s="138" t="s">
        <v>75</v>
      </c>
      <c r="I65" s="194">
        <f t="array" ref="I65">INDEX('空中攻撃'!$O$3:$AA$109, MATCH($A$1,'空中攻撃'!$A$3:$A$109,0), MATCH(A65,'空中攻撃'!$O$2:$S$2,0))</f>
        <v>12</v>
      </c>
      <c r="J65" s="195" t="s">
        <v>3436</v>
      </c>
      <c r="K65" s="377"/>
      <c r="L65" s="377"/>
      <c r="M65" s="825"/>
      <c r="N65" s="825"/>
      <c r="O65" s="199">
        <v>0.0</v>
      </c>
      <c r="P65" s="199">
        <v>1.0</v>
      </c>
      <c r="Q65" s="199">
        <v>1.0</v>
      </c>
      <c r="R65" s="163"/>
      <c r="S65" s="164"/>
      <c r="T65" s="164"/>
      <c r="U65" s="164"/>
      <c r="V65" s="104"/>
    </row>
    <row r="66" outlineLevel="1">
      <c r="A66" s="146"/>
      <c r="B66" s="373" t="s">
        <v>1686</v>
      </c>
      <c r="C66" s="156"/>
      <c r="D66" s="210"/>
      <c r="E66" s="239" t="s">
        <v>119</v>
      </c>
      <c r="F66" s="138">
        <v>16.8</v>
      </c>
      <c r="G66" s="138">
        <v>14.280000000000001</v>
      </c>
      <c r="H66" s="409"/>
      <c r="I66" s="146"/>
      <c r="J66" s="210"/>
      <c r="K66" s="377"/>
      <c r="L66" s="377"/>
      <c r="M66" s="825"/>
      <c r="N66" s="825"/>
      <c r="O66" s="199"/>
      <c r="P66" s="199"/>
      <c r="Q66" s="199"/>
      <c r="R66" s="212"/>
      <c r="V66" s="210"/>
    </row>
    <row r="67" outlineLevel="1">
      <c r="A67" s="156"/>
      <c r="B67" s="373" t="s">
        <v>84</v>
      </c>
      <c r="C67" s="239" t="s">
        <v>312</v>
      </c>
      <c r="D67" s="107"/>
      <c r="E67" s="239" t="s">
        <v>128</v>
      </c>
      <c r="F67" s="138">
        <v>12.0</v>
      </c>
      <c r="G67" s="138">
        <v>10.2</v>
      </c>
      <c r="H67" s="138" t="s">
        <v>147</v>
      </c>
      <c r="I67" s="156"/>
      <c r="J67" s="107"/>
      <c r="K67" s="377"/>
      <c r="L67" s="377"/>
      <c r="M67" s="825"/>
      <c r="N67" s="825"/>
      <c r="O67" s="199">
        <v>0.0</v>
      </c>
      <c r="P67" s="199">
        <v>1.0</v>
      </c>
      <c r="Q67" s="199">
        <v>1.0</v>
      </c>
      <c r="R67" s="106"/>
      <c r="S67" s="168"/>
      <c r="T67" s="168"/>
      <c r="U67" s="168"/>
      <c r="V67" s="107"/>
    </row>
    <row r="68">
      <c r="A68" s="223"/>
      <c r="B68" s="224"/>
      <c r="C68" s="225"/>
      <c r="D68" s="225"/>
      <c r="E68" s="226"/>
      <c r="F68" s="226"/>
      <c r="G68" s="226"/>
      <c r="H68" s="227"/>
      <c r="I68" s="227"/>
      <c r="J68" s="228"/>
      <c r="K68" s="228"/>
      <c r="L68" s="228"/>
      <c r="M68" s="228"/>
      <c r="N68" s="228"/>
      <c r="O68" s="228"/>
      <c r="P68" s="228"/>
      <c r="Q68" s="118"/>
      <c r="R68" s="118"/>
      <c r="S68" s="118"/>
      <c r="T68" s="118"/>
      <c r="U68" s="118"/>
      <c r="V68" s="118"/>
    </row>
    <row r="69">
      <c r="A69" s="229" t="s">
        <v>177</v>
      </c>
      <c r="B69" s="109"/>
      <c r="C69" s="225"/>
      <c r="D69" s="225"/>
      <c r="E69" s="226"/>
      <c r="F69" s="226"/>
      <c r="G69" s="226"/>
      <c r="H69" s="227"/>
      <c r="I69" s="227"/>
      <c r="J69" s="228"/>
      <c r="K69" s="228"/>
      <c r="L69" s="228"/>
      <c r="M69" s="228"/>
      <c r="N69" s="228"/>
      <c r="O69" s="228"/>
      <c r="P69" s="228"/>
      <c r="Q69" s="118"/>
      <c r="R69" s="118"/>
      <c r="S69" s="118"/>
      <c r="T69" s="118"/>
      <c r="U69" s="118"/>
      <c r="V69" s="118"/>
    </row>
    <row r="70" outlineLevel="1">
      <c r="A70" s="230" t="s">
        <v>3437</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236" t="s">
        <v>183</v>
      </c>
    </row>
    <row r="71" outlineLevel="1">
      <c r="A71" s="237" t="s">
        <v>184</v>
      </c>
      <c r="B71" s="663" t="s">
        <v>3438</v>
      </c>
      <c r="C71" s="239" t="s">
        <v>3439</v>
      </c>
      <c r="D71" s="409"/>
      <c r="E71" s="239" t="s">
        <v>209</v>
      </c>
      <c r="F71" s="138">
        <v>0.0</v>
      </c>
      <c r="G71" s="409"/>
      <c r="H71" s="163" t="s">
        <v>3440</v>
      </c>
      <c r="I71" s="164"/>
      <c r="J71" s="104"/>
      <c r="K71" s="282"/>
      <c r="L71" s="282"/>
      <c r="M71" s="363"/>
      <c r="N71" s="363"/>
      <c r="O71" s="138"/>
      <c r="P71" s="138"/>
      <c r="Q71" s="138"/>
      <c r="R71" s="145" t="b">
        <v>0</v>
      </c>
      <c r="S71" s="145" t="b">
        <v>0</v>
      </c>
      <c r="T71" s="145" t="b">
        <v>0</v>
      </c>
      <c r="U71" s="166" t="s">
        <v>186</v>
      </c>
      <c r="V71" s="166" t="b">
        <v>1</v>
      </c>
    </row>
    <row r="72" outlineLevel="1">
      <c r="A72" s="146"/>
      <c r="B72" s="663" t="s">
        <v>473</v>
      </c>
      <c r="C72" s="367" t="s">
        <v>3441</v>
      </c>
      <c r="D72" s="367" t="s">
        <v>402</v>
      </c>
      <c r="E72" s="239" t="s">
        <v>150</v>
      </c>
      <c r="F72" s="138">
        <v>6.0</v>
      </c>
      <c r="G72" s="139" t="s">
        <v>60</v>
      </c>
      <c r="H72" s="212"/>
      <c r="J72" s="210"/>
      <c r="K72" s="282"/>
      <c r="L72" s="282"/>
      <c r="M72" s="363"/>
      <c r="N72" s="363"/>
      <c r="O72" s="138">
        <v>0.0</v>
      </c>
      <c r="P72" s="138">
        <v>1.0</v>
      </c>
      <c r="Q72" s="138">
        <v>1.0</v>
      </c>
      <c r="R72" s="145" t="b">
        <v>1</v>
      </c>
      <c r="S72" s="145" t="b">
        <v>0</v>
      </c>
      <c r="T72" s="145" t="b">
        <v>1</v>
      </c>
      <c r="U72" s="146"/>
      <c r="V72" s="146"/>
    </row>
    <row r="73" outlineLevel="1">
      <c r="A73" s="146"/>
      <c r="B73" s="663" t="s">
        <v>340</v>
      </c>
      <c r="C73" s="156"/>
      <c r="D73" s="156"/>
      <c r="E73" s="239" t="s">
        <v>65</v>
      </c>
      <c r="F73" s="138">
        <v>25.2</v>
      </c>
      <c r="G73" s="139" t="s">
        <v>102</v>
      </c>
      <c r="H73" s="212"/>
      <c r="J73" s="210"/>
      <c r="K73" s="282"/>
      <c r="L73" s="282"/>
      <c r="M73" s="363"/>
      <c r="N73" s="363"/>
      <c r="O73" s="138">
        <v>0.0</v>
      </c>
      <c r="P73" s="138">
        <v>1.0</v>
      </c>
      <c r="Q73" s="138">
        <v>1.0</v>
      </c>
      <c r="R73" s="145" t="b">
        <v>1</v>
      </c>
      <c r="S73" s="145" t="b">
        <v>0</v>
      </c>
      <c r="T73" s="145" t="b">
        <v>1</v>
      </c>
      <c r="U73" s="146"/>
      <c r="V73" s="146"/>
    </row>
    <row r="74" outlineLevel="1">
      <c r="A74" s="156"/>
      <c r="B74" s="663" t="s">
        <v>1578</v>
      </c>
      <c r="C74" s="409"/>
      <c r="D74" s="239" t="s">
        <v>118</v>
      </c>
      <c r="E74" s="409"/>
      <c r="F74" s="409"/>
      <c r="G74" s="409"/>
      <c r="H74" s="106"/>
      <c r="I74" s="168"/>
      <c r="J74" s="107"/>
      <c r="K74" s="282"/>
      <c r="L74" s="282"/>
      <c r="M74" s="363"/>
      <c r="N74" s="363"/>
      <c r="O74" s="138"/>
      <c r="P74" s="138"/>
      <c r="Q74" s="138"/>
      <c r="R74" s="145" t="b">
        <v>0</v>
      </c>
      <c r="S74" s="145" t="b">
        <v>0</v>
      </c>
      <c r="T74" s="145" t="b">
        <v>0</v>
      </c>
      <c r="U74" s="156"/>
      <c r="V74" s="156"/>
    </row>
    <row r="75" outlineLevel="1">
      <c r="A75" s="230" t="s">
        <v>3442</v>
      </c>
      <c r="B75" s="109"/>
      <c r="C75" s="231" t="s">
        <v>48</v>
      </c>
      <c r="D75" s="231" t="s">
        <v>49</v>
      </c>
      <c r="E75" s="232" t="s">
        <v>50</v>
      </c>
      <c r="F75" s="233" t="s">
        <v>51</v>
      </c>
      <c r="G75" s="232" t="s">
        <v>52</v>
      </c>
      <c r="H75" s="382" t="s">
        <v>53</v>
      </c>
      <c r="I75" s="110"/>
      <c r="J75" s="109"/>
      <c r="K75" s="235" t="s">
        <v>137</v>
      </c>
      <c r="L75" s="235" t="s">
        <v>138</v>
      </c>
      <c r="M75" s="235" t="s">
        <v>139</v>
      </c>
      <c r="N75" s="235" t="s">
        <v>140</v>
      </c>
      <c r="O75" s="236" t="s">
        <v>141</v>
      </c>
      <c r="P75" s="235" t="s">
        <v>142</v>
      </c>
      <c r="Q75" s="236" t="s">
        <v>143</v>
      </c>
      <c r="R75" s="235" t="s">
        <v>179</v>
      </c>
      <c r="S75" s="236" t="s">
        <v>180</v>
      </c>
      <c r="T75" s="236" t="s">
        <v>181</v>
      </c>
      <c r="U75" s="236" t="s">
        <v>182</v>
      </c>
      <c r="V75" s="236" t="s">
        <v>183</v>
      </c>
    </row>
    <row r="76" ht="23.25" customHeight="1" outlineLevel="1">
      <c r="A76" s="237" t="s">
        <v>184</v>
      </c>
      <c r="B76" s="243" t="s">
        <v>3443</v>
      </c>
      <c r="C76" s="239" t="s">
        <v>1262</v>
      </c>
      <c r="D76" s="409"/>
      <c r="E76" s="139" t="s">
        <v>3444</v>
      </c>
      <c r="F76" s="463" t="s">
        <v>3445</v>
      </c>
      <c r="G76" s="139" t="s">
        <v>3446</v>
      </c>
      <c r="H76" s="283" t="s">
        <v>3447</v>
      </c>
      <c r="I76" s="164"/>
      <c r="J76" s="104"/>
      <c r="K76" s="282"/>
      <c r="L76" s="282"/>
      <c r="M76" s="363"/>
      <c r="N76" s="363"/>
      <c r="O76" s="138"/>
      <c r="P76" s="138"/>
      <c r="Q76" s="138"/>
      <c r="R76" s="145" t="b">
        <v>0</v>
      </c>
      <c r="S76" s="145" t="b">
        <v>0</v>
      </c>
      <c r="T76" s="145" t="b">
        <v>0</v>
      </c>
      <c r="U76" s="166" t="b">
        <v>0</v>
      </c>
      <c r="V76" s="166" t="b">
        <v>1</v>
      </c>
    </row>
    <row r="77" ht="23.25" customHeight="1" outlineLevel="1">
      <c r="A77" s="146"/>
      <c r="B77" s="243" t="s">
        <v>1089</v>
      </c>
      <c r="C77" s="239" t="s">
        <v>561</v>
      </c>
      <c r="D77" s="367" t="s">
        <v>628</v>
      </c>
      <c r="E77" s="239" t="s">
        <v>386</v>
      </c>
      <c r="F77" s="138">
        <v>18.0</v>
      </c>
      <c r="G77" s="139" t="s">
        <v>82</v>
      </c>
      <c r="H77" s="212"/>
      <c r="J77" s="210"/>
      <c r="K77" s="282"/>
      <c r="L77" s="282"/>
      <c r="M77" s="363"/>
      <c r="N77" s="363"/>
      <c r="O77" s="138">
        <v>0.0</v>
      </c>
      <c r="P77" s="138">
        <v>1.0</v>
      </c>
      <c r="Q77" s="138">
        <v>1.0</v>
      </c>
      <c r="R77" s="145" t="b">
        <v>1</v>
      </c>
      <c r="S77" s="145" t="b">
        <v>0</v>
      </c>
      <c r="T77" s="145"/>
      <c r="U77" s="146"/>
      <c r="V77" s="146"/>
    </row>
    <row r="78" ht="23.25" customHeight="1" outlineLevel="1">
      <c r="A78" s="156"/>
      <c r="B78" s="243" t="s">
        <v>3448</v>
      </c>
      <c r="C78" s="239" t="s">
        <v>894</v>
      </c>
      <c r="D78" s="156"/>
      <c r="E78" s="239" t="s">
        <v>128</v>
      </c>
      <c r="F78" s="138">
        <v>12.0</v>
      </c>
      <c r="G78" s="139" t="s">
        <v>121</v>
      </c>
      <c r="H78" s="212"/>
      <c r="J78" s="210"/>
      <c r="K78" s="138"/>
      <c r="L78" s="138"/>
      <c r="M78" s="145"/>
      <c r="N78" s="145"/>
      <c r="O78" s="138">
        <v>0.0</v>
      </c>
      <c r="P78" s="138">
        <v>1.0</v>
      </c>
      <c r="Q78" s="138">
        <v>1.0</v>
      </c>
      <c r="R78" s="145" t="b">
        <v>1</v>
      </c>
      <c r="S78" s="145" t="b">
        <v>0</v>
      </c>
      <c r="T78" s="145"/>
      <c r="U78" s="146"/>
      <c r="V78" s="146"/>
    </row>
    <row r="79" ht="23.25" customHeight="1" outlineLevel="1">
      <c r="A79" s="237" t="s">
        <v>332</v>
      </c>
      <c r="B79" s="243" t="s">
        <v>1499</v>
      </c>
      <c r="C79" s="239" t="s">
        <v>523</v>
      </c>
      <c r="D79" s="367" t="s">
        <v>402</v>
      </c>
      <c r="E79" s="239" t="s">
        <v>386</v>
      </c>
      <c r="F79" s="138">
        <v>18.0</v>
      </c>
      <c r="G79" s="139" t="s">
        <v>82</v>
      </c>
      <c r="H79" s="212"/>
      <c r="J79" s="210"/>
      <c r="K79" s="138"/>
      <c r="L79" s="138"/>
      <c r="M79" s="145"/>
      <c r="N79" s="145"/>
      <c r="O79" s="138">
        <v>0.0</v>
      </c>
      <c r="P79" s="138">
        <v>1.0</v>
      </c>
      <c r="Q79" s="138">
        <v>1.0</v>
      </c>
      <c r="R79" s="145" t="b">
        <v>1</v>
      </c>
      <c r="S79" s="145" t="b">
        <v>0</v>
      </c>
      <c r="T79" s="145"/>
      <c r="U79" s="146"/>
      <c r="V79" s="146"/>
    </row>
    <row r="80" ht="23.25" customHeight="1" outlineLevel="1">
      <c r="A80" s="156"/>
      <c r="B80" s="243" t="s">
        <v>3449</v>
      </c>
      <c r="C80" s="239" t="s">
        <v>2524</v>
      </c>
      <c r="D80" s="156"/>
      <c r="E80" s="239" t="s">
        <v>128</v>
      </c>
      <c r="F80" s="138">
        <v>12.0</v>
      </c>
      <c r="G80" s="139" t="s">
        <v>121</v>
      </c>
      <c r="H80" s="212"/>
      <c r="J80" s="210"/>
      <c r="K80" s="138"/>
      <c r="L80" s="138"/>
      <c r="M80" s="145"/>
      <c r="N80" s="145"/>
      <c r="O80" s="138">
        <v>0.0</v>
      </c>
      <c r="P80" s="138">
        <v>1.0</v>
      </c>
      <c r="Q80" s="138">
        <v>1.0</v>
      </c>
      <c r="R80" s="145" t="b">
        <v>1</v>
      </c>
      <c r="S80" s="145" t="b">
        <v>0</v>
      </c>
      <c r="T80" s="145"/>
      <c r="U80" s="146"/>
      <c r="V80" s="146"/>
    </row>
    <row r="81" ht="23.25" customHeight="1" outlineLevel="1">
      <c r="A81" s="237" t="s">
        <v>344</v>
      </c>
      <c r="B81" s="243" t="s">
        <v>1499</v>
      </c>
      <c r="C81" s="239" t="s">
        <v>574</v>
      </c>
      <c r="D81" s="367" t="s">
        <v>300</v>
      </c>
      <c r="E81" s="239" t="s">
        <v>386</v>
      </c>
      <c r="F81" s="138">
        <v>18.0</v>
      </c>
      <c r="G81" s="139" t="s">
        <v>82</v>
      </c>
      <c r="H81" s="212"/>
      <c r="J81" s="210"/>
      <c r="K81" s="138"/>
      <c r="L81" s="138"/>
      <c r="M81" s="145"/>
      <c r="N81" s="145"/>
      <c r="O81" s="138">
        <v>0.0</v>
      </c>
      <c r="P81" s="138">
        <v>1.0</v>
      </c>
      <c r="Q81" s="138">
        <v>1.0</v>
      </c>
      <c r="R81" s="145" t="b">
        <v>1</v>
      </c>
      <c r="S81" s="145" t="b">
        <v>0</v>
      </c>
      <c r="T81" s="145"/>
      <c r="U81" s="146"/>
      <c r="V81" s="146"/>
    </row>
    <row r="82" ht="23.25" customHeight="1" outlineLevel="1">
      <c r="A82" s="156"/>
      <c r="B82" s="243" t="s">
        <v>3449</v>
      </c>
      <c r="C82" s="239" t="s">
        <v>3450</v>
      </c>
      <c r="D82" s="156"/>
      <c r="E82" s="239" t="s">
        <v>128</v>
      </c>
      <c r="F82" s="138">
        <v>12.0</v>
      </c>
      <c r="G82" s="139" t="s">
        <v>121</v>
      </c>
      <c r="H82" s="106"/>
      <c r="I82" s="168"/>
      <c r="J82" s="107"/>
      <c r="K82" s="138"/>
      <c r="L82" s="138"/>
      <c r="M82" s="145"/>
      <c r="N82" s="145"/>
      <c r="O82" s="138">
        <v>0.0</v>
      </c>
      <c r="P82" s="138">
        <v>1.0</v>
      </c>
      <c r="Q82" s="138">
        <v>1.0</v>
      </c>
      <c r="R82" s="145" t="b">
        <v>1</v>
      </c>
      <c r="S82" s="145" t="b">
        <v>0</v>
      </c>
      <c r="T82" s="145"/>
      <c r="U82" s="156"/>
      <c r="V82" s="156"/>
    </row>
    <row r="83" outlineLevel="1">
      <c r="A83" s="230" t="s">
        <v>3451</v>
      </c>
      <c r="B83" s="109"/>
      <c r="C83" s="231" t="s">
        <v>48</v>
      </c>
      <c r="D83" s="231" t="s">
        <v>49</v>
      </c>
      <c r="E83" s="232" t="s">
        <v>50</v>
      </c>
      <c r="F83" s="233" t="s">
        <v>51</v>
      </c>
      <c r="G83" s="232" t="s">
        <v>52</v>
      </c>
      <c r="H83" s="382" t="s">
        <v>53</v>
      </c>
      <c r="I83" s="110"/>
      <c r="J83" s="109"/>
      <c r="K83" s="235" t="s">
        <v>137</v>
      </c>
      <c r="L83" s="235" t="s">
        <v>138</v>
      </c>
      <c r="M83" s="235" t="s">
        <v>139</v>
      </c>
      <c r="N83" s="235" t="s">
        <v>140</v>
      </c>
      <c r="O83" s="236" t="s">
        <v>141</v>
      </c>
      <c r="P83" s="235" t="s">
        <v>142</v>
      </c>
      <c r="Q83" s="236" t="s">
        <v>143</v>
      </c>
      <c r="R83" s="235" t="s">
        <v>179</v>
      </c>
      <c r="S83" s="236" t="s">
        <v>180</v>
      </c>
      <c r="T83" s="236" t="s">
        <v>181</v>
      </c>
      <c r="U83" s="236" t="s">
        <v>182</v>
      </c>
      <c r="V83" s="236" t="s">
        <v>183</v>
      </c>
    </row>
    <row r="84" outlineLevel="1">
      <c r="A84" s="1202" t="s">
        <v>184</v>
      </c>
      <c r="B84" s="402"/>
      <c r="C84" s="239" t="s">
        <v>3452</v>
      </c>
      <c r="D84" s="409"/>
      <c r="E84" s="239" t="s">
        <v>150</v>
      </c>
      <c r="F84" s="138">
        <v>6.0</v>
      </c>
      <c r="G84" s="139" t="s">
        <v>60</v>
      </c>
      <c r="H84" s="151" t="s">
        <v>3453</v>
      </c>
      <c r="I84" s="110"/>
      <c r="J84" s="109"/>
      <c r="K84" s="138"/>
      <c r="L84" s="138"/>
      <c r="M84" s="145"/>
      <c r="N84" s="145"/>
      <c r="O84" s="138">
        <v>0.0</v>
      </c>
      <c r="P84" s="138">
        <v>1.0</v>
      </c>
      <c r="Q84" s="138">
        <v>1.0</v>
      </c>
      <c r="R84" s="145" t="b">
        <v>0</v>
      </c>
      <c r="S84" s="145" t="b">
        <v>0</v>
      </c>
      <c r="T84" s="145" t="b">
        <v>1</v>
      </c>
      <c r="U84" s="145" t="s">
        <v>186</v>
      </c>
      <c r="V84" s="145" t="b">
        <v>0</v>
      </c>
    </row>
    <row r="85" outlineLevel="1">
      <c r="A85" s="230" t="s">
        <v>3454</v>
      </c>
      <c r="B85" s="109"/>
      <c r="C85" s="231" t="s">
        <v>48</v>
      </c>
      <c r="D85" s="231" t="s">
        <v>49</v>
      </c>
      <c r="E85" s="232" t="s">
        <v>50</v>
      </c>
      <c r="F85" s="233" t="s">
        <v>51</v>
      </c>
      <c r="G85" s="232" t="s">
        <v>52</v>
      </c>
      <c r="H85" s="382" t="s">
        <v>53</v>
      </c>
      <c r="I85" s="110"/>
      <c r="J85" s="109"/>
      <c r="K85" s="235" t="s">
        <v>137</v>
      </c>
      <c r="L85" s="235" t="s">
        <v>138</v>
      </c>
      <c r="M85" s="235" t="s">
        <v>139</v>
      </c>
      <c r="N85" s="235" t="s">
        <v>140</v>
      </c>
      <c r="O85" s="236" t="s">
        <v>141</v>
      </c>
      <c r="P85" s="235" t="s">
        <v>142</v>
      </c>
      <c r="Q85" s="236" t="s">
        <v>143</v>
      </c>
      <c r="R85" s="235" t="s">
        <v>179</v>
      </c>
      <c r="S85" s="236" t="s">
        <v>180</v>
      </c>
      <c r="T85" s="236" t="s">
        <v>181</v>
      </c>
      <c r="U85" s="236" t="s">
        <v>182</v>
      </c>
      <c r="V85" s="236" t="s">
        <v>183</v>
      </c>
    </row>
    <row r="86" outlineLevel="1">
      <c r="A86" s="396" t="s">
        <v>332</v>
      </c>
      <c r="B86" s="402" t="s">
        <v>668</v>
      </c>
      <c r="C86" s="409"/>
      <c r="D86" s="239" t="s">
        <v>268</v>
      </c>
      <c r="E86" s="409"/>
      <c r="F86" s="409"/>
      <c r="G86" s="409"/>
      <c r="H86" s="283" t="s">
        <v>3455</v>
      </c>
      <c r="I86" s="164"/>
      <c r="J86" s="104"/>
      <c r="K86" s="281"/>
      <c r="L86" s="281"/>
      <c r="M86" s="281"/>
      <c r="N86" s="281"/>
      <c r="O86" s="281"/>
      <c r="P86" s="281"/>
      <c r="Q86" s="281"/>
      <c r="R86" s="281"/>
      <c r="S86" s="281"/>
      <c r="T86" s="281"/>
      <c r="U86" s="166" t="b">
        <v>0</v>
      </c>
      <c r="V86" s="166" t="b">
        <v>0</v>
      </c>
    </row>
    <row r="87" outlineLevel="1">
      <c r="A87" s="156"/>
      <c r="B87" s="402" t="s">
        <v>666</v>
      </c>
      <c r="C87" s="409"/>
      <c r="D87" s="239" t="s">
        <v>541</v>
      </c>
      <c r="E87" s="409"/>
      <c r="F87" s="409"/>
      <c r="G87" s="409"/>
      <c r="H87" s="212"/>
      <c r="J87" s="210"/>
      <c r="K87" s="281"/>
      <c r="L87" s="281"/>
      <c r="M87" s="281"/>
      <c r="N87" s="281"/>
      <c r="O87" s="281"/>
      <c r="P87" s="281"/>
      <c r="Q87" s="281"/>
      <c r="R87" s="281"/>
      <c r="S87" s="281"/>
      <c r="T87" s="281"/>
      <c r="U87" s="146"/>
      <c r="V87" s="146"/>
    </row>
    <row r="88" outlineLevel="1">
      <c r="A88" s="396" t="s">
        <v>344</v>
      </c>
      <c r="B88" s="402" t="s">
        <v>668</v>
      </c>
      <c r="C88" s="409"/>
      <c r="D88" s="239" t="s">
        <v>386</v>
      </c>
      <c r="E88" s="409"/>
      <c r="F88" s="409"/>
      <c r="G88" s="409"/>
      <c r="H88" s="212"/>
      <c r="J88" s="210"/>
      <c r="K88" s="281"/>
      <c r="L88" s="281"/>
      <c r="M88" s="281"/>
      <c r="N88" s="281"/>
      <c r="O88" s="281"/>
      <c r="P88" s="281"/>
      <c r="Q88" s="281"/>
      <c r="R88" s="281"/>
      <c r="S88" s="281"/>
      <c r="T88" s="281"/>
      <c r="U88" s="146"/>
      <c r="V88" s="146"/>
    </row>
    <row r="89" outlineLevel="1">
      <c r="A89" s="156"/>
      <c r="B89" s="402" t="s">
        <v>666</v>
      </c>
      <c r="C89" s="409"/>
      <c r="D89" s="239" t="s">
        <v>541</v>
      </c>
      <c r="E89" s="409"/>
      <c r="F89" s="409"/>
      <c r="G89" s="409"/>
      <c r="H89" s="106"/>
      <c r="I89" s="168"/>
      <c r="J89" s="107"/>
      <c r="K89" s="281"/>
      <c r="L89" s="281"/>
      <c r="M89" s="281"/>
      <c r="N89" s="281"/>
      <c r="O89" s="281"/>
      <c r="P89" s="281"/>
      <c r="Q89" s="281"/>
      <c r="R89" s="281"/>
      <c r="S89" s="281"/>
      <c r="T89" s="281"/>
      <c r="U89" s="156"/>
      <c r="V89" s="156"/>
    </row>
    <row r="90">
      <c r="A90" s="223"/>
      <c r="B90" s="224"/>
      <c r="C90" s="225"/>
      <c r="D90" s="225"/>
      <c r="E90" s="226"/>
      <c r="F90" s="226"/>
      <c r="G90" s="226"/>
      <c r="H90" s="227"/>
      <c r="I90" s="227"/>
      <c r="J90" s="228"/>
      <c r="K90" s="228"/>
      <c r="L90" s="228"/>
      <c r="M90" s="228"/>
      <c r="N90" s="228"/>
      <c r="O90" s="228"/>
      <c r="P90" s="228"/>
      <c r="Q90" s="118"/>
      <c r="R90" s="118"/>
      <c r="S90" s="118"/>
      <c r="T90" s="118"/>
      <c r="U90" s="118"/>
      <c r="V90" s="118"/>
    </row>
    <row r="91">
      <c r="A91" s="264" t="s">
        <v>211</v>
      </c>
      <c r="B91" s="104"/>
      <c r="C91" s="227"/>
      <c r="D91" s="227"/>
      <c r="E91" s="228"/>
      <c r="F91" s="265"/>
      <c r="G91" s="265"/>
      <c r="H91" s="228"/>
      <c r="I91" s="228"/>
      <c r="J91" s="228"/>
      <c r="K91" s="228"/>
      <c r="L91" s="228"/>
      <c r="M91" s="228"/>
      <c r="N91" s="118"/>
      <c r="O91" s="118"/>
      <c r="P91" s="118"/>
      <c r="Q91" s="228"/>
      <c r="R91" s="228"/>
      <c r="S91" s="228"/>
      <c r="T91" s="228"/>
      <c r="U91" s="228"/>
      <c r="V91" s="228"/>
    </row>
    <row r="92" outlineLevel="1">
      <c r="A92" s="106"/>
      <c r="B92" s="107"/>
      <c r="C92" s="266" t="s">
        <v>48</v>
      </c>
      <c r="D92" s="266" t="s">
        <v>49</v>
      </c>
      <c r="E92" s="266" t="s">
        <v>50</v>
      </c>
      <c r="F92" s="267" t="s">
        <v>51</v>
      </c>
      <c r="G92" s="227"/>
      <c r="H92" s="227"/>
      <c r="I92" s="227"/>
      <c r="J92" s="228"/>
      <c r="K92" s="228"/>
      <c r="L92" s="228"/>
      <c r="M92" s="228"/>
      <c r="N92" s="228"/>
      <c r="O92" s="228"/>
      <c r="P92" s="228"/>
      <c r="Q92" s="228"/>
      <c r="R92" s="228"/>
      <c r="S92" s="228"/>
      <c r="T92" s="228"/>
      <c r="U92" s="228"/>
      <c r="V92" s="228"/>
    </row>
    <row r="93" outlineLevel="1">
      <c r="A93" s="268" t="s">
        <v>212</v>
      </c>
      <c r="B93" s="269" t="s">
        <v>212</v>
      </c>
      <c r="C93" s="239" t="s">
        <v>213</v>
      </c>
      <c r="D93" s="239" t="s">
        <v>86</v>
      </c>
      <c r="E93" s="239" t="s">
        <v>214</v>
      </c>
      <c r="F93" s="138">
        <v>1.56</v>
      </c>
      <c r="G93" s="227"/>
      <c r="H93" s="227"/>
      <c r="I93" s="227"/>
      <c r="J93" s="228"/>
      <c r="K93" s="228"/>
      <c r="L93" s="228"/>
      <c r="M93" s="228"/>
      <c r="N93" s="228"/>
      <c r="O93" s="228"/>
      <c r="P93" s="228"/>
      <c r="Q93" s="228"/>
      <c r="R93" s="228"/>
      <c r="S93" s="228"/>
      <c r="T93" s="228"/>
      <c r="U93" s="228"/>
      <c r="V93" s="228"/>
    </row>
    <row r="94" outlineLevel="1">
      <c r="A94" s="270" t="s">
        <v>215</v>
      </c>
      <c r="B94" s="269" t="s">
        <v>216</v>
      </c>
      <c r="C94" s="239" t="s">
        <v>217</v>
      </c>
      <c r="D94" s="239" t="s">
        <v>218</v>
      </c>
      <c r="E94" s="271"/>
      <c r="F94" s="272"/>
      <c r="G94" s="272"/>
      <c r="H94" s="227"/>
      <c r="I94" s="227"/>
      <c r="J94" s="228"/>
      <c r="K94" s="228"/>
      <c r="L94" s="228"/>
      <c r="M94" s="228"/>
      <c r="N94" s="228"/>
      <c r="O94" s="228"/>
      <c r="P94" s="228"/>
      <c r="Q94" s="228"/>
      <c r="R94" s="228"/>
      <c r="S94" s="228"/>
      <c r="T94" s="228"/>
      <c r="U94" s="228"/>
      <c r="V94" s="228"/>
    </row>
    <row r="95" outlineLevel="1">
      <c r="A95" s="212"/>
      <c r="B95" s="269" t="s">
        <v>219</v>
      </c>
      <c r="C95" s="239" t="s">
        <v>220</v>
      </c>
      <c r="D95" s="239" t="s">
        <v>221</v>
      </c>
      <c r="E95" s="271"/>
      <c r="F95" s="272"/>
      <c r="G95" s="272"/>
      <c r="H95" s="227"/>
      <c r="I95" s="227"/>
      <c r="J95" s="228"/>
      <c r="K95" s="228"/>
      <c r="L95" s="228"/>
      <c r="M95" s="228"/>
      <c r="N95" s="228"/>
      <c r="O95" s="228"/>
      <c r="P95" s="228"/>
      <c r="Q95" s="228"/>
      <c r="R95" s="228"/>
      <c r="S95" s="228"/>
      <c r="T95" s="228"/>
      <c r="U95" s="228"/>
      <c r="V95" s="228"/>
    </row>
    <row r="96" outlineLevel="1">
      <c r="A96" s="106"/>
      <c r="B96" s="269" t="s">
        <v>222</v>
      </c>
      <c r="C96" s="239" t="s">
        <v>223</v>
      </c>
      <c r="D96" s="239" t="s">
        <v>79</v>
      </c>
      <c r="E96" s="227"/>
      <c r="F96" s="272"/>
      <c r="G96" s="272"/>
      <c r="H96" s="227"/>
      <c r="I96" s="227"/>
      <c r="J96" s="228"/>
      <c r="K96" s="228"/>
      <c r="L96" s="228"/>
      <c r="M96" s="228"/>
      <c r="N96" s="228"/>
      <c r="O96" s="228"/>
      <c r="P96" s="228"/>
      <c r="Q96" s="228"/>
      <c r="R96" s="228"/>
      <c r="S96" s="228"/>
      <c r="T96" s="228"/>
      <c r="U96" s="228"/>
      <c r="V96" s="228"/>
    </row>
    <row r="97" outlineLevel="1">
      <c r="A97" s="273" t="s">
        <v>225</v>
      </c>
      <c r="B97" s="109"/>
      <c r="C97" s="266" t="s">
        <v>48</v>
      </c>
      <c r="D97" s="266" t="s">
        <v>49</v>
      </c>
      <c r="E97" s="266" t="s">
        <v>50</v>
      </c>
      <c r="F97" s="267" t="s">
        <v>51</v>
      </c>
      <c r="G97" s="1168" t="s">
        <v>53</v>
      </c>
      <c r="H97" s="110"/>
      <c r="I97" s="110"/>
      <c r="J97" s="109"/>
      <c r="K97" s="275" t="str">
        <f>'テンプレート'!K97</f>
        <v>ベクトル</v>
      </c>
      <c r="L97" s="275" t="str">
        <f>'テンプレート'!L97</f>
        <v>KBG (R.E.)</v>
      </c>
      <c r="M97" s="275" t="str">
        <f>'テンプレート'!M97</f>
        <v>BKB (R.A.)</v>
      </c>
      <c r="N97" s="275" t="str">
        <f>'テンプレート'!N97</f>
        <v>FKB (R.F.)</v>
      </c>
      <c r="O97" s="276" t="str">
        <f>'テンプレート'!O97</f>
        <v>盾削り値</v>
      </c>
      <c r="P97" s="275" t="str">
        <f>'テンプレート'!P97</f>
        <v>ﾋｯﾄｽﾄｯﾌﾟ</v>
      </c>
      <c r="Q97" s="276" t="str">
        <f>'テンプレート'!Q97</f>
        <v>ずらし</v>
      </c>
      <c r="R97" s="277"/>
      <c r="S97" s="277"/>
      <c r="T97" s="277"/>
      <c r="U97" s="277"/>
      <c r="V97" s="277"/>
    </row>
    <row r="98" outlineLevel="1">
      <c r="A98" s="278" t="s">
        <v>226</v>
      </c>
      <c r="B98" s="269" t="s">
        <v>227</v>
      </c>
      <c r="C98" s="113" t="s">
        <v>3456</v>
      </c>
      <c r="D98" s="279">
        <v>49.0</v>
      </c>
      <c r="E98" s="239" t="s">
        <v>204</v>
      </c>
      <c r="F98" s="138">
        <v>3.5999999999999996</v>
      </c>
      <c r="G98" s="1170"/>
      <c r="H98" s="164"/>
      <c r="I98" s="164"/>
      <c r="J98" s="104"/>
      <c r="K98" s="282"/>
      <c r="L98" s="282"/>
      <c r="M98" s="363"/>
      <c r="N98" s="363"/>
      <c r="O98" s="145">
        <v>0.0</v>
      </c>
      <c r="P98" s="145">
        <v>1.0</v>
      </c>
      <c r="Q98" s="145">
        <v>1.0</v>
      </c>
      <c r="R98" s="277"/>
      <c r="S98" s="228"/>
      <c r="T98" s="228"/>
      <c r="U98" s="228"/>
      <c r="V98" s="228"/>
    </row>
    <row r="99" outlineLevel="1">
      <c r="A99" s="156"/>
      <c r="B99" s="269" t="s">
        <v>225</v>
      </c>
      <c r="C99" s="113">
        <v>38.0</v>
      </c>
      <c r="D99" s="156"/>
      <c r="E99" s="239" t="s">
        <v>93</v>
      </c>
      <c r="F99" s="138">
        <v>8.4</v>
      </c>
      <c r="G99" s="106"/>
      <c r="H99" s="168"/>
      <c r="I99" s="168"/>
      <c r="J99" s="107"/>
      <c r="K99" s="282"/>
      <c r="L99" s="282"/>
      <c r="M99" s="363"/>
      <c r="N99" s="363"/>
      <c r="O99" s="261"/>
      <c r="P99" s="261"/>
      <c r="Q99" s="261"/>
      <c r="R99" s="277"/>
      <c r="S99" s="228"/>
      <c r="T99" s="228"/>
      <c r="U99" s="228"/>
      <c r="V99" s="228"/>
    </row>
    <row r="100" outlineLevel="1">
      <c r="A100" s="278" t="s">
        <v>229</v>
      </c>
      <c r="B100" s="269" t="s">
        <v>227</v>
      </c>
      <c r="C100" s="113" t="s">
        <v>334</v>
      </c>
      <c r="D100" s="279">
        <v>49.0</v>
      </c>
      <c r="E100" s="239" t="s">
        <v>204</v>
      </c>
      <c r="F100" s="138">
        <v>3.5999999999999996</v>
      </c>
      <c r="G100" s="1170"/>
      <c r="H100" s="164"/>
      <c r="I100" s="164"/>
      <c r="J100" s="104"/>
      <c r="K100" s="282"/>
      <c r="L100" s="282"/>
      <c r="M100" s="363"/>
      <c r="N100" s="363"/>
      <c r="O100" s="145">
        <v>0.0</v>
      </c>
      <c r="P100" s="145">
        <v>1.0</v>
      </c>
      <c r="Q100" s="145">
        <v>1.0</v>
      </c>
      <c r="R100" s="277"/>
      <c r="S100" s="228"/>
      <c r="T100" s="228"/>
      <c r="U100" s="228"/>
      <c r="V100" s="228"/>
    </row>
    <row r="101" outlineLevel="1">
      <c r="A101" s="156"/>
      <c r="B101" s="269" t="s">
        <v>225</v>
      </c>
      <c r="C101" s="113">
        <v>21.0</v>
      </c>
      <c r="D101" s="156"/>
      <c r="E101" s="239" t="s">
        <v>86</v>
      </c>
      <c r="F101" s="138">
        <v>7.199999999999999</v>
      </c>
      <c r="G101" s="106"/>
      <c r="H101" s="168"/>
      <c r="I101" s="168"/>
      <c r="J101" s="107"/>
      <c r="K101" s="282"/>
      <c r="L101" s="282"/>
      <c r="M101" s="363"/>
      <c r="N101" s="363"/>
      <c r="O101" s="261"/>
      <c r="P101" s="261"/>
      <c r="Q101" s="261"/>
      <c r="R101" s="277"/>
      <c r="S101" s="228"/>
      <c r="T101" s="228"/>
      <c r="U101" s="228"/>
      <c r="V101" s="228"/>
    </row>
    <row r="102" outlineLevel="1">
      <c r="A102" s="278" t="s">
        <v>233</v>
      </c>
      <c r="B102" s="269" t="s">
        <v>227</v>
      </c>
      <c r="C102" s="281"/>
      <c r="D102" s="279">
        <v>49.0</v>
      </c>
      <c r="E102" s="281"/>
      <c r="F102" s="281"/>
      <c r="G102" s="1170"/>
      <c r="H102" s="164"/>
      <c r="I102" s="164"/>
      <c r="J102" s="104"/>
      <c r="K102" s="281"/>
      <c r="L102" s="281"/>
      <c r="M102" s="281"/>
      <c r="N102" s="281"/>
      <c r="O102" s="281"/>
      <c r="P102" s="281"/>
      <c r="Q102" s="281"/>
      <c r="R102" s="277"/>
      <c r="S102" s="228"/>
      <c r="T102" s="228"/>
      <c r="U102" s="228"/>
      <c r="V102" s="228"/>
    </row>
    <row r="103" outlineLevel="1">
      <c r="A103" s="156"/>
      <c r="B103" s="269" t="s">
        <v>225</v>
      </c>
      <c r="C103" s="113">
        <v>28.0</v>
      </c>
      <c r="D103" s="156"/>
      <c r="E103" s="239" t="s">
        <v>80</v>
      </c>
      <c r="F103" s="138">
        <v>9.6</v>
      </c>
      <c r="G103" s="106"/>
      <c r="H103" s="168"/>
      <c r="I103" s="168"/>
      <c r="J103" s="107"/>
      <c r="K103" s="282"/>
      <c r="L103" s="282"/>
      <c r="M103" s="363"/>
      <c r="N103" s="363"/>
      <c r="O103" s="261"/>
      <c r="P103" s="261"/>
      <c r="Q103" s="261"/>
      <c r="R103" s="277"/>
      <c r="S103" s="117"/>
      <c r="T103" s="117"/>
      <c r="U103" s="117"/>
      <c r="V103" s="117"/>
    </row>
    <row r="104" outlineLevel="1">
      <c r="A104" s="278" t="s">
        <v>234</v>
      </c>
      <c r="B104" s="269" t="s">
        <v>227</v>
      </c>
      <c r="C104" s="281"/>
      <c r="D104" s="367" t="s">
        <v>185</v>
      </c>
      <c r="E104" s="281"/>
      <c r="F104" s="281"/>
      <c r="G104" s="1170"/>
      <c r="H104" s="164"/>
      <c r="I104" s="164"/>
      <c r="J104" s="104"/>
      <c r="K104" s="281"/>
      <c r="L104" s="281"/>
      <c r="M104" s="281"/>
      <c r="N104" s="281"/>
      <c r="O104" s="281"/>
      <c r="P104" s="281"/>
      <c r="Q104" s="281"/>
      <c r="R104" s="277"/>
      <c r="S104" s="117"/>
      <c r="T104" s="117"/>
      <c r="U104" s="117"/>
      <c r="V104" s="117"/>
    </row>
    <row r="105" outlineLevel="1">
      <c r="A105" s="156"/>
      <c r="B105" s="269" t="s">
        <v>225</v>
      </c>
      <c r="C105" s="239" t="s">
        <v>268</v>
      </c>
      <c r="D105" s="156"/>
      <c r="E105" s="239" t="s">
        <v>93</v>
      </c>
      <c r="F105" s="138">
        <v>8.4</v>
      </c>
      <c r="G105" s="106"/>
      <c r="H105" s="168"/>
      <c r="I105" s="168"/>
      <c r="J105" s="107"/>
      <c r="K105" s="282"/>
      <c r="L105" s="282"/>
      <c r="M105" s="363"/>
      <c r="N105" s="363"/>
      <c r="O105" s="261"/>
      <c r="P105" s="281"/>
      <c r="Q105" s="261"/>
      <c r="R105" s="277"/>
      <c r="S105" s="117"/>
      <c r="T105" s="117"/>
      <c r="U105" s="117"/>
      <c r="V105" s="117"/>
    </row>
    <row r="106">
      <c r="A106" s="223"/>
      <c r="B106" s="224"/>
      <c r="C106" s="225"/>
      <c r="D106" s="225"/>
      <c r="E106" s="227"/>
      <c r="F106" s="177"/>
      <c r="G106" s="177"/>
      <c r="H106" s="227"/>
      <c r="I106" s="227"/>
      <c r="J106" s="228"/>
      <c r="K106" s="228"/>
      <c r="L106" s="111"/>
      <c r="M106" s="111"/>
      <c r="N106" s="111"/>
      <c r="O106" s="117"/>
      <c r="P106" s="117"/>
      <c r="Q106" s="111"/>
      <c r="R106" s="111"/>
      <c r="S106" s="111"/>
      <c r="T106" s="111"/>
      <c r="U106" s="111"/>
      <c r="V106" s="111"/>
    </row>
    <row r="107">
      <c r="A107" s="284" t="s">
        <v>241</v>
      </c>
      <c r="B107" s="104"/>
      <c r="C107" s="265"/>
      <c r="D107" s="111"/>
      <c r="E107" s="111"/>
      <c r="F107" s="111"/>
      <c r="G107" s="111"/>
      <c r="H107" s="111"/>
      <c r="I107" s="111"/>
      <c r="J107" s="118"/>
      <c r="K107" s="111"/>
      <c r="L107" s="111"/>
      <c r="M107" s="111"/>
      <c r="N107" s="111"/>
      <c r="O107" s="111"/>
      <c r="P107" s="111"/>
      <c r="Q107" s="118"/>
      <c r="R107" s="111"/>
      <c r="S107" s="111"/>
      <c r="T107" s="111"/>
      <c r="U107" s="111"/>
      <c r="V107" s="111"/>
    </row>
    <row r="108" outlineLevel="1">
      <c r="A108" s="106"/>
      <c r="B108" s="107"/>
      <c r="C108" s="285" t="s">
        <v>235</v>
      </c>
      <c r="D108" s="285" t="s">
        <v>236</v>
      </c>
      <c r="E108" s="285" t="s">
        <v>49</v>
      </c>
      <c r="F108" s="285" t="s">
        <v>237</v>
      </c>
      <c r="G108" s="286"/>
      <c r="H108" s="227"/>
      <c r="I108" s="227"/>
      <c r="J108" s="228"/>
      <c r="K108" s="228"/>
      <c r="L108" s="111"/>
      <c r="M108" s="111"/>
      <c r="N108" s="111"/>
      <c r="O108" s="111"/>
      <c r="P108" s="111"/>
      <c r="Q108" s="111"/>
      <c r="R108" s="111"/>
      <c r="S108" s="111"/>
      <c r="T108" s="111"/>
      <c r="U108" s="111"/>
      <c r="V108" s="111"/>
    </row>
    <row r="109" outlineLevel="1">
      <c r="A109" s="287" t="s">
        <v>395</v>
      </c>
      <c r="B109" s="288" t="s">
        <v>216</v>
      </c>
      <c r="C109" s="113" t="str">
        <f t="array" ref="C109">INDEX('回避'!$C$3:$U$84, MATCH($A$1,'回避'!$A$3:$A$91,0), MATCH(C108,'回避'!$C$2:$F$2,0))</f>
        <v>3-17</v>
      </c>
      <c r="D109" s="113" t="str">
        <f t="array" ref="D109">INDEX('回避'!$C$3:$U$84, MATCH($A$1,'回避'!$A$3:$A$91,0), MATCH(D108,'回避'!$C$2:$F$2,0))</f>
        <v>6-17</v>
      </c>
      <c r="E109" s="113" t="str">
        <f t="array" ref="E109">INDEX('回避'!$C$3:$U$84, MATCH($A$1,'回避'!$A$3:$A$91,0), MATCH(E108,'回避'!$C$2:$F$2,0))</f>
        <v>25 (20)</v>
      </c>
      <c r="F109" s="113" t="str">
        <f t="array" ref="F109">INDEX('回避'!$C$3:$U$84, MATCH($A$1,'回避'!$A$3:$A$91,0), MATCH(F108,'回避'!$C$2:$F$2,0))</f>
        <v>33 (27)</v>
      </c>
      <c r="G109" s="272"/>
      <c r="H109" s="227"/>
      <c r="I109" s="227"/>
      <c r="J109" s="228"/>
      <c r="K109" s="228"/>
      <c r="L109" s="228"/>
      <c r="M109" s="111"/>
      <c r="N109" s="111"/>
      <c r="O109" s="111"/>
      <c r="P109" s="111"/>
      <c r="Q109" s="111"/>
      <c r="R109" s="111"/>
      <c r="S109" s="111"/>
      <c r="T109" s="111"/>
      <c r="U109" s="111"/>
      <c r="V109" s="111"/>
    </row>
    <row r="110" outlineLevel="1">
      <c r="A110" s="212"/>
      <c r="B110" s="288" t="s">
        <v>245</v>
      </c>
      <c r="C110" s="113" t="str">
        <f t="array" ref="C110">INDEX('回避'!$G$3:$U$84, MATCH($A$1,'回避'!$A$3:$A$91,0), MATCH(C108,'回避'!$G$2:$J$2,0))</f>
        <v>4-15</v>
      </c>
      <c r="D110" s="113" t="str">
        <f t="array" ref="D110">INDEX('回避'!$G$3:$U$84, MATCH($A$1,'回避'!$A$3:$A$91,0), MATCH(D108,'回避'!$G$2:$J$2,0))</f>
        <v>8-14</v>
      </c>
      <c r="E110" s="113" t="str">
        <f t="array" ref="E110">INDEX('回避'!$G$3:$U$84, MATCH($A$1,'回避'!$A$3:$A$91,0), MATCH(E108,'回避'!$G$2:$J$2,0))</f>
        <v>29</v>
      </c>
      <c r="F110" s="113">
        <f t="array" ref="F110">INDEX('回避'!$G$3:$U$84, MATCH($A$1,'回避'!$A$3:$A$91,0), MATCH(F108,'回避'!$G$2:$J$2,0))</f>
        <v>38</v>
      </c>
      <c r="G110" s="289"/>
      <c r="H110" s="227"/>
      <c r="I110" s="227"/>
      <c r="J110" s="228"/>
      <c r="K110" s="228"/>
      <c r="L110" s="228"/>
      <c r="M110" s="228"/>
      <c r="N110" s="228"/>
      <c r="O110" s="111"/>
      <c r="P110" s="111"/>
      <c r="Q110" s="111"/>
      <c r="R110" s="111"/>
      <c r="S110" s="111"/>
      <c r="T110" s="111"/>
      <c r="U110" s="111"/>
      <c r="V110" s="111"/>
    </row>
    <row r="111" outlineLevel="1">
      <c r="A111" s="106"/>
      <c r="B111" s="288" t="s">
        <v>246</v>
      </c>
      <c r="C111" s="113" t="str">
        <f t="array" ref="C111">INDEX('回避'!$K$3:$U$84, MATCH($A$1,'回避'!$A$3:$A$91,0), MATCH(C108,'回避'!$K$2:$N$2,0))</f>
        <v>5-16</v>
      </c>
      <c r="D111" s="113" t="str">
        <f t="array" ref="D111">INDEX('回避'!$K$3:$U$84, MATCH($A$1,'回避'!$A$3:$A$91,0), MATCH(D108,'回避'!$K$2:$N$2,0))</f>
        <v>9-14</v>
      </c>
      <c r="E111" s="113" t="str">
        <f t="array" ref="E111">INDEX('回避'!$K$3:$U$84, MATCH($A$1,'回避'!$A$3:$A$91,0), MATCH(E108,'回避'!$K$2:$N$2,0))</f>
        <v>34</v>
      </c>
      <c r="F111" s="113" t="str">
        <f t="array" ref="F111">INDEX('回避'!$K$3:$U$84, MATCH($A$1,'回避'!$A$3:$A$91,0), MATCH(F108,'回避'!$K$2:$N$2,0))</f>
        <v>51</v>
      </c>
      <c r="G111" s="289"/>
      <c r="H111" s="290"/>
      <c r="I111" s="290"/>
      <c r="J111" s="117"/>
      <c r="K111" s="117"/>
      <c r="L111" s="117"/>
      <c r="M111" s="117"/>
      <c r="N111" s="117"/>
      <c r="O111" s="111"/>
      <c r="P111" s="111"/>
      <c r="Q111" s="111"/>
      <c r="R111" s="111"/>
      <c r="S111" s="111"/>
      <c r="T111" s="111"/>
      <c r="U111" s="111"/>
      <c r="V111" s="111"/>
    </row>
    <row r="112" outlineLevel="1">
      <c r="A112" s="287" t="s">
        <v>396</v>
      </c>
      <c r="B112" s="288" t="s">
        <v>397</v>
      </c>
      <c r="C112" s="113" t="str">
        <f t="array" ref="C112">INDEX('回避'!$O$3:$U$84, MATCH($A$1,'回避'!$A$3:$A$91,0), MATCH(C108,'回避'!$O$2:$R$2,0))</f>
        <v>3-28</v>
      </c>
      <c r="D112" s="113" t="str">
        <f t="array" ref="D112">INDEX('回避'!$O$3:$U$84, MATCH($A$1,'回避'!$A$3:$A$91,0), MATCH(D108,'回避'!$O$2:$R$2,0))</f>
        <v>6-26</v>
      </c>
      <c r="E112" s="113" t="str">
        <f t="array" ref="E112">INDEX('回避'!$O$3:$U$84, MATCH($A$1,'回避'!$A$3:$A$91,0), MATCH(E108,'回避'!$O$2:$R$2,0))</f>
        <v>57</v>
      </c>
      <c r="F112" s="177"/>
      <c r="G112" s="177"/>
      <c r="H112" s="118"/>
      <c r="I112" s="118"/>
      <c r="J112" s="111"/>
      <c r="K112" s="111"/>
      <c r="L112" s="111"/>
      <c r="M112" s="111"/>
      <c r="N112" s="111"/>
      <c r="O112" s="228"/>
      <c r="P112" s="228"/>
      <c r="Q112" s="228"/>
      <c r="R112" s="228"/>
      <c r="S112" s="228"/>
      <c r="T112" s="228"/>
      <c r="U112" s="228"/>
      <c r="V112" s="228"/>
    </row>
    <row r="113" outlineLevel="1">
      <c r="A113" s="106"/>
      <c r="B113" s="288" t="s">
        <v>398</v>
      </c>
      <c r="C113" s="113" t="str">
        <f t="array" ref="C113">INDEX('回避'!$S$3:$U$84, MATCH($A$1,'回避'!$A$3:$A$91,0), MATCH(C108,'回避'!$S$2:$U$2,0))</f>
        <v>3-21</v>
      </c>
      <c r="D113" s="113" t="str">
        <f t="array" ref="D113">INDEX('回避'!$S$3:$U$84, MATCH($A$1,'回避'!$A$3:$A$91,0), MATCH(D108,'回避'!$S$2:$U$2,0))</f>
        <v>6-20</v>
      </c>
      <c r="E113" s="113" t="str">
        <f t="array" ref="E113">INDEX('回避'!$S$3:$U$84, MATCH($A$1,'回避'!$A$3:$A$91,0), MATCH(E108,'回避'!$S$2:$U$2,0))</f>
        <v>真横：96
真上：124
真下：80</v>
      </c>
      <c r="F113" s="289"/>
      <c r="G113" s="289"/>
      <c r="H113" s="118"/>
      <c r="I113" s="118"/>
      <c r="J113" s="117"/>
      <c r="K113" s="117"/>
      <c r="L113" s="117"/>
      <c r="M113" s="117"/>
      <c r="N113" s="111"/>
      <c r="O113" s="118"/>
      <c r="P113" s="118"/>
      <c r="Q113" s="118"/>
      <c r="R113" s="118"/>
      <c r="S113" s="118"/>
      <c r="T113" s="118"/>
      <c r="U113" s="118"/>
      <c r="V113" s="118"/>
    </row>
    <row r="114">
      <c r="A114" s="291"/>
      <c r="B114" s="292"/>
      <c r="C114" s="286"/>
      <c r="D114" s="286"/>
      <c r="E114" s="293"/>
      <c r="F114" s="286"/>
      <c r="G114" s="286"/>
      <c r="H114" s="286"/>
      <c r="I114" s="286"/>
      <c r="J114" s="111"/>
      <c r="K114" s="227"/>
      <c r="L114" s="227"/>
      <c r="M114" s="227"/>
      <c r="N114" s="227"/>
      <c r="O114" s="118"/>
      <c r="P114" s="118"/>
      <c r="Q114" s="118"/>
      <c r="R114" s="118"/>
      <c r="S114" s="118"/>
      <c r="T114" s="118"/>
      <c r="U114" s="118"/>
      <c r="V114" s="118"/>
    </row>
    <row r="115">
      <c r="A115" s="294" t="s">
        <v>238</v>
      </c>
      <c r="B115" s="104"/>
      <c r="C115" s="228"/>
      <c r="D115" s="117"/>
      <c r="E115" s="228"/>
      <c r="F115" s="114"/>
      <c r="G115" s="114"/>
      <c r="H115" s="117"/>
      <c r="I115" s="117"/>
      <c r="J115" s="118"/>
      <c r="K115" s="118"/>
      <c r="L115" s="118"/>
      <c r="M115" s="118"/>
      <c r="N115" s="118"/>
      <c r="O115" s="118"/>
      <c r="P115" s="118"/>
      <c r="Q115" s="118"/>
      <c r="R115" s="118"/>
      <c r="S115" s="118"/>
      <c r="T115" s="118"/>
      <c r="U115" s="118"/>
      <c r="V115" s="118"/>
    </row>
    <row r="116" outlineLevel="1">
      <c r="A116" s="106"/>
      <c r="B116" s="107"/>
      <c r="C116" s="295" t="s">
        <v>235</v>
      </c>
      <c r="D116" s="295" t="s">
        <v>49</v>
      </c>
      <c r="E116" s="295" t="s">
        <v>48</v>
      </c>
      <c r="F116" s="295" t="s">
        <v>50</v>
      </c>
      <c r="G116" s="296" t="s">
        <v>51</v>
      </c>
      <c r="H116" s="228"/>
      <c r="I116" s="228"/>
      <c r="J116" s="117"/>
      <c r="K116" s="297" t="str">
        <f>'テンプレート'!K116</f>
        <v>アイテム取得</v>
      </c>
      <c r="L116" s="109"/>
      <c r="M116" s="298" t="str">
        <f>'テンプレート'!M116</f>
        <v>取得フレーム</v>
      </c>
      <c r="N116" s="298" t="str">
        <f>'テンプレート'!N116</f>
        <v>全体フレーム</v>
      </c>
      <c r="O116" s="118"/>
      <c r="P116" s="118"/>
      <c r="Q116" s="118"/>
      <c r="R116" s="118"/>
      <c r="S116" s="118"/>
      <c r="T116" s="118"/>
      <c r="U116" s="118"/>
      <c r="V116" s="118"/>
    </row>
    <row r="117" outlineLevel="1">
      <c r="A117" s="299" t="s">
        <v>239</v>
      </c>
      <c r="B117" s="300" t="s">
        <v>240</v>
      </c>
      <c r="C117" s="301"/>
      <c r="D117" s="113">
        <f t="array" ref="D117">INDEX('崖行動・受け身'!$C$3:$C120, MATCH($A$1,'崖行動・受け身'!$A$3:$A$115,0), MATCH(D116,'崖行動・受け身'!$C$2,0))</f>
        <v>19</v>
      </c>
      <c r="E117" s="301"/>
      <c r="F117" s="301"/>
      <c r="G117" s="301"/>
      <c r="H117" s="228"/>
      <c r="I117" s="228"/>
      <c r="J117" s="111"/>
      <c r="K117" s="302" t="str">
        <f>'テンプレート'!K117</f>
        <v>小アイテム</v>
      </c>
      <c r="L117" s="303" t="str">
        <f>'テンプレート'!L117</f>
        <v>その場</v>
      </c>
      <c r="M117" s="113" t="s">
        <v>76</v>
      </c>
      <c r="N117" s="113">
        <v>7.0</v>
      </c>
      <c r="O117" s="118"/>
      <c r="P117" s="118"/>
      <c r="Q117" s="118"/>
      <c r="R117" s="118"/>
      <c r="S117" s="118"/>
      <c r="T117" s="118"/>
      <c r="U117" s="118"/>
      <c r="V117" s="118"/>
    </row>
    <row r="118" outlineLevel="1">
      <c r="A118" s="146"/>
      <c r="B118" s="300" t="s">
        <v>216</v>
      </c>
      <c r="C118" s="113" t="str">
        <f t="array" ref="C118">INDEX('崖行動・受け身'!$D$3:$E120, MATCH($A$1,'崖行動・受け身'!$A$3:$A$115,0), MATCH(C116,'崖行動・受け身'!$D$2:$E$2,0))</f>
        <v>1-33</v>
      </c>
      <c r="D118" s="113">
        <f t="array" ref="D118">INDEX('崖行動・受け身'!$D$3:$E120, MATCH($A$1,'崖行動・受け身'!$A$3:$A$115,0), MATCH(D116,'崖行動・受け身'!$D$2:$E$2,0))</f>
        <v>34</v>
      </c>
      <c r="E118" s="301"/>
      <c r="F118" s="301"/>
      <c r="G118" s="301"/>
      <c r="H118" s="228"/>
      <c r="I118" s="228"/>
      <c r="J118" s="117"/>
      <c r="K118" s="156"/>
      <c r="L118" s="303" t="str">
        <f>'テンプレート'!L118</f>
        <v>歩き</v>
      </c>
      <c r="M118" s="113" t="s">
        <v>76</v>
      </c>
      <c r="N118" s="113">
        <v>19.0</v>
      </c>
      <c r="O118" s="118"/>
      <c r="P118" s="118"/>
      <c r="Q118" s="118"/>
      <c r="R118" s="118"/>
      <c r="S118" s="118"/>
      <c r="T118" s="118"/>
      <c r="U118" s="118"/>
      <c r="V118" s="118"/>
    </row>
    <row r="119" outlineLevel="1">
      <c r="A119" s="146"/>
      <c r="B119" s="300" t="s">
        <v>241</v>
      </c>
      <c r="C119" s="113" t="str">
        <f t="array" ref="C119">INDEX('崖行動・受け身'!$F$3:$G$115, MATCH($A$1,'崖行動・受け身'!$A$3:$A$115,0), MATCH(C116,'崖行動・受け身'!$F$2:$G$2,0))</f>
        <v>1-25</v>
      </c>
      <c r="D119" s="113">
        <f t="array" ref="D119">INDEX('崖行動・受け身'!$F$3:$G$115, MATCH($A$1,'崖行動・受け身'!$A$3:$A$115,0), MATCH(D116,'崖行動・受け身'!$F$2:$G$2,0))</f>
        <v>45</v>
      </c>
      <c r="E119" s="301"/>
      <c r="F119" s="301"/>
      <c r="G119" s="301"/>
      <c r="H119" s="228"/>
      <c r="I119" s="228"/>
      <c r="J119" s="111"/>
      <c r="K119" s="304" t="str">
        <f>'テンプレート'!K119</f>
        <v>アイテム投擲</v>
      </c>
      <c r="L119" s="109"/>
      <c r="M119" s="298" t="str">
        <f>'テンプレート'!M119</f>
        <v>投擲フレーム</v>
      </c>
      <c r="N119" s="298" t="str">
        <f>'テンプレート'!N119</f>
        <v>全体フレーム</v>
      </c>
      <c r="O119" s="118"/>
      <c r="P119" s="118"/>
      <c r="Q119" s="118"/>
      <c r="R119" s="118"/>
      <c r="S119" s="118"/>
      <c r="T119" s="118"/>
      <c r="U119" s="118"/>
      <c r="V119" s="118"/>
    </row>
    <row r="120" outlineLevel="1">
      <c r="A120" s="146"/>
      <c r="B120" s="300" t="s">
        <v>242</v>
      </c>
      <c r="C120" s="113" t="str">
        <f t="array" ref="C120">INDEX('崖行動・受け身'!$H$3:$I$115, MATCH($A$1,'崖行動・受け身'!$A$3:$A$115,0), MATCH(C116,'崖行動・受け身'!$H$2:$I$2,0))</f>
        <v>1-12</v>
      </c>
      <c r="D120" s="113">
        <f t="array" ref="D120">INDEX('崖行動・受け身'!$H$3:$I$115, MATCH($A$1,'崖行動・受け身'!$A$3:$A$115,0), MATCH(D116,'崖行動・受け身'!$H$2:$I$2,0))</f>
        <v>14</v>
      </c>
      <c r="E120" s="301"/>
      <c r="F120" s="301"/>
      <c r="G120" s="301"/>
      <c r="H120" s="228"/>
      <c r="I120" s="228"/>
      <c r="J120" s="117"/>
      <c r="K120" s="305" t="str">
        <f>'テンプレート'!K120</f>
        <v>地上投擲</v>
      </c>
      <c r="L120" s="303" t="str">
        <f>'テンプレート'!L120</f>
        <v>前投げ</v>
      </c>
      <c r="M120" s="113" t="s">
        <v>128</v>
      </c>
      <c r="N120" s="113">
        <v>26.0</v>
      </c>
      <c r="O120" s="111"/>
      <c r="P120" s="111"/>
      <c r="Q120" s="111"/>
      <c r="R120" s="111"/>
      <c r="S120" s="111"/>
      <c r="T120" s="111"/>
      <c r="U120" s="111"/>
      <c r="V120" s="111"/>
    </row>
    <row r="121" outlineLevel="1">
      <c r="A121" s="156"/>
      <c r="B121" s="300" t="s">
        <v>243</v>
      </c>
      <c r="C121" s="113" t="str">
        <f t="array" ref="C121">INDEX('崖行動・受け身'!$J$3:$M$115, MATCH($A$1,'崖行動・受け身'!$A$3:$A$115,0), MATCH(C116,'崖行動・受け身'!$J$2:$M$2,0))</f>
        <v>1-21</v>
      </c>
      <c r="D121" s="113">
        <f t="array" ref="D121">INDEX('崖行動・受け身'!$J$3:$M$115, MATCH($A$1,'崖行動・受け身'!$A$3:$A$115,0), MATCH(D116,'崖行動・受け身'!$J$2:$M$2,0))</f>
        <v>55</v>
      </c>
      <c r="E121" s="113" t="str">
        <f t="array" ref="E121">INDEX('崖行動・受け身'!$J$3:$M$115, MATCH($A$1,'崖行動・受け身'!$A$3:$A$115,0), MATCH(E116,'崖行動・受け身'!$J$2:$M$2,0))</f>
        <v>19-21</v>
      </c>
      <c r="F121" s="113">
        <f t="array" ref="F121">INDEX('崖行動・受け身'!$J$3:$M$115, MATCH($A$1,'崖行動・受け身'!$A$3:$A$115,0), MATCH(F116,'崖行動・受け身'!$J$2:$M$2,0))</f>
        <v>9</v>
      </c>
      <c r="G121" s="113">
        <f>F121*1.2</f>
        <v>10.8</v>
      </c>
      <c r="H121" s="228"/>
      <c r="I121" s="228"/>
      <c r="J121" s="111"/>
      <c r="K121" s="146"/>
      <c r="L121" s="303" t="str">
        <f>'テンプレート'!L121</f>
        <v>後投げ</v>
      </c>
      <c r="M121" s="113" t="s">
        <v>128</v>
      </c>
      <c r="N121" s="113">
        <v>24.0</v>
      </c>
      <c r="O121" s="111"/>
      <c r="P121" s="111"/>
      <c r="Q121" s="111"/>
      <c r="R121" s="111"/>
      <c r="S121" s="111"/>
      <c r="T121" s="111"/>
      <c r="U121" s="111"/>
      <c r="V121" s="111"/>
    </row>
    <row r="122" outlineLevel="1">
      <c r="A122" s="299" t="s">
        <v>244</v>
      </c>
      <c r="B122" s="300" t="s">
        <v>216</v>
      </c>
      <c r="C122" s="113" t="str">
        <f t="array" ref="C122">INDEX('崖行動・受け身'!$N$3:$O$115, MATCH($A$1,'崖行動・受け身'!$A$3:$A$115,0), MATCH(C116,'崖行動・受け身'!$N$2:$O$2,0))</f>
        <v>1-20</v>
      </c>
      <c r="D122" s="113">
        <f t="array" ref="D122">INDEX('崖行動・受け身'!$N$3:$O$115, MATCH($A$1,'崖行動・受け身'!$A$3:$A$115,0), MATCH(D116,'崖行動・受け身'!$N$2:$O$2,0))</f>
        <v>26</v>
      </c>
      <c r="E122" s="301"/>
      <c r="F122" s="301"/>
      <c r="G122" s="301"/>
      <c r="H122" s="228"/>
      <c r="I122" s="228"/>
      <c r="J122" s="117"/>
      <c r="K122" s="146"/>
      <c r="L122" s="303" t="str">
        <f>'テンプレート'!L122</f>
        <v>上投げ</v>
      </c>
      <c r="M122" s="113" t="s">
        <v>232</v>
      </c>
      <c r="N122" s="113">
        <v>25.0</v>
      </c>
      <c r="O122" s="228"/>
      <c r="P122" s="228"/>
      <c r="Q122" s="228"/>
      <c r="R122" s="228"/>
      <c r="S122" s="228"/>
      <c r="T122" s="228"/>
      <c r="U122" s="228"/>
      <c r="V122" s="228"/>
    </row>
    <row r="123" outlineLevel="1">
      <c r="A123" s="146"/>
      <c r="B123" s="300" t="s">
        <v>245</v>
      </c>
      <c r="C123" s="113" t="str">
        <f t="array" ref="C123">INDEX('崖行動・受け身'!$P$3:$Q$115, MATCH($A$1,'崖行動・受け身'!$A$3:$A$115,0), MATCH(C116,'崖行動・受け身'!$P$2:$Q$2,0))</f>
        <v>1-20</v>
      </c>
      <c r="D123" s="113">
        <f t="array" ref="D123">INDEX('崖行動・受け身'!$P$3:$Q$115, MATCH($A$1,'崖行動・受け身'!$A$3:$A$115,0), MATCH(D116,'崖行動・受け身'!$P$2:$Q$2,0))</f>
        <v>40</v>
      </c>
      <c r="E123" s="301"/>
      <c r="F123" s="301"/>
      <c r="G123" s="301"/>
      <c r="H123" s="228"/>
      <c r="I123" s="228"/>
      <c r="J123" s="111"/>
      <c r="K123" s="146"/>
      <c r="L123" s="303" t="str">
        <f>'テンプレート'!L123</f>
        <v>下投げ</v>
      </c>
      <c r="M123" s="113" t="s">
        <v>274</v>
      </c>
      <c r="N123" s="113">
        <v>24.0</v>
      </c>
      <c r="O123" s="118"/>
      <c r="P123" s="118"/>
      <c r="Q123" s="118"/>
      <c r="R123" s="118"/>
      <c r="S123" s="118"/>
      <c r="T123" s="118"/>
      <c r="U123" s="118"/>
      <c r="V123" s="118"/>
    </row>
    <row r="124" outlineLevel="1">
      <c r="A124" s="156"/>
      <c r="B124" s="300" t="s">
        <v>246</v>
      </c>
      <c r="C124" s="113" t="str">
        <f t="array" ref="C124">INDEX('崖行動・受け身'!$R$3:$S$115, MATCH($A$1,'崖行動・受け身'!$A$3:$A$115,0), MATCH(C116,'崖行動・受け身'!$R$2:$S$2,0))</f>
        <v>1-20</v>
      </c>
      <c r="D124" s="113">
        <f t="array" ref="D124">INDEX('崖行動・受け身'!$R$3:$S$115, MATCH($A$1,'崖行動・受け身'!$A$3:$A$115,0), MATCH(D116,'崖行動・受け身'!$R$2:$S$2,0))</f>
        <v>40</v>
      </c>
      <c r="E124" s="301"/>
      <c r="F124" s="301"/>
      <c r="G124" s="301"/>
      <c r="H124" s="228"/>
      <c r="I124" s="228"/>
      <c r="J124" s="117"/>
      <c r="K124" s="146"/>
      <c r="L124" s="306" t="str">
        <f>'テンプレート'!L124</f>
        <v>ダッシュ</v>
      </c>
      <c r="M124" s="113" t="s">
        <v>150</v>
      </c>
      <c r="N124" s="113">
        <v>41.0</v>
      </c>
      <c r="O124" s="118"/>
      <c r="P124" s="118"/>
      <c r="Q124" s="118"/>
      <c r="R124" s="118"/>
      <c r="S124" s="118"/>
      <c r="T124" s="118"/>
      <c r="U124" s="118"/>
      <c r="V124" s="118"/>
    </row>
    <row r="125" outlineLevel="1">
      <c r="A125" s="299" t="s">
        <v>247</v>
      </c>
      <c r="B125" s="300" t="s">
        <v>248</v>
      </c>
      <c r="C125" s="301"/>
      <c r="D125" s="113" t="str">
        <f t="array" ref="D125">INDEX('起きあがり'!$C$3:$C120, MATCH($A$1,'起きあがり'!$A$3:$A$115,0), MATCH(D116,'起きあがり'!$C$2:$AD$2,0))</f>
        <v>25</v>
      </c>
      <c r="E125" s="301"/>
      <c r="F125" s="301"/>
      <c r="G125" s="301"/>
      <c r="H125" s="228"/>
      <c r="I125" s="228"/>
      <c r="J125" s="111"/>
      <c r="K125" s="156"/>
      <c r="L125" s="306" t="str">
        <f>'テンプレート'!L125</f>
        <v>その場捨て</v>
      </c>
      <c r="M125" s="113" t="s">
        <v>150</v>
      </c>
      <c r="N125" s="113">
        <v>24.0</v>
      </c>
      <c r="O125" s="118"/>
      <c r="P125" s="118"/>
      <c r="Q125" s="118"/>
      <c r="R125" s="118"/>
      <c r="S125" s="118"/>
      <c r="T125" s="118"/>
      <c r="U125" s="118"/>
      <c r="V125" s="118"/>
    </row>
    <row r="126" outlineLevel="1">
      <c r="A126" s="146"/>
      <c r="B126" s="300" t="s">
        <v>216</v>
      </c>
      <c r="C126" s="307" t="str">
        <f t="array" ref="C126">INDEX('起きあがり'!$D$3:$E120, MATCH($A$1,'起きあがり'!$A$3:$A$115,0), MATCH(C116,'起きあがり'!$D$2:$AD$2,0))</f>
        <v>1-22</v>
      </c>
      <c r="D126" s="308">
        <f t="array" ref="D126">INDEX('起きあがり'!$D$3:$E120, MATCH($A$1,'起きあがり'!$A$3:$A$115,0), MATCH(D116,'起きあがり'!$D$2:$AD$2,0))</f>
        <v>29</v>
      </c>
      <c r="E126" s="301"/>
      <c r="F126" s="301"/>
      <c r="G126" s="301"/>
      <c r="H126" s="228"/>
      <c r="I126" s="228"/>
      <c r="J126" s="117"/>
      <c r="K126" s="305" t="str">
        <f>'テンプレート'!K126</f>
        <v>空中投擲</v>
      </c>
      <c r="L126" s="303" t="str">
        <f>'テンプレート'!L126</f>
        <v>前投げ</v>
      </c>
      <c r="M126" s="113" t="s">
        <v>128</v>
      </c>
      <c r="N126" s="113">
        <v>26.0</v>
      </c>
      <c r="O126" s="118"/>
      <c r="P126" s="118"/>
      <c r="Q126" s="118"/>
      <c r="R126" s="118"/>
      <c r="S126" s="118"/>
      <c r="T126" s="118"/>
      <c r="U126" s="118"/>
      <c r="V126" s="118"/>
    </row>
    <row r="127" outlineLevel="1">
      <c r="A127" s="146"/>
      <c r="B127" s="300" t="s">
        <v>245</v>
      </c>
      <c r="C127" s="307" t="str">
        <f t="array" ref="C127">INDEX('起きあがり'!$F$3:$G$115, MATCH($A$1,'起きあがり'!$A$3:$A$115,0), MATCH(C116,'起きあがり'!$F$2:$AD$2,0))</f>
        <v>1-20</v>
      </c>
      <c r="D127" s="308">
        <f t="array" ref="D127">INDEX('起きあがり'!$F$3:$G$115, MATCH($A$1,'起きあがり'!$A$3:$A$115,0), MATCH(D116,'起きあがり'!$F$2:$AD$2,0))</f>
        <v>35</v>
      </c>
      <c r="E127" s="301"/>
      <c r="F127" s="301"/>
      <c r="G127" s="301"/>
      <c r="H127" s="228"/>
      <c r="I127" s="228"/>
      <c r="J127" s="111"/>
      <c r="K127" s="146"/>
      <c r="L127" s="303" t="str">
        <f>'テンプレート'!L127</f>
        <v>後投げ</v>
      </c>
      <c r="M127" s="113" t="s">
        <v>128</v>
      </c>
      <c r="N127" s="113">
        <v>26.0</v>
      </c>
      <c r="O127" s="118"/>
      <c r="P127" s="118"/>
      <c r="Q127" s="118"/>
      <c r="R127" s="118"/>
      <c r="S127" s="118"/>
      <c r="T127" s="118"/>
      <c r="U127" s="118"/>
      <c r="V127" s="118"/>
    </row>
    <row r="128" outlineLevel="1">
      <c r="A128" s="146"/>
      <c r="B128" s="300" t="s">
        <v>246</v>
      </c>
      <c r="C128" s="113" t="str">
        <f t="array" ref="C128">INDEX('起きあがり'!$H$3:$I$115, MATCH($A$1,'起きあがり'!$A$3:$A$115,0), MATCH(C116,'起きあがり'!$H$2:$AD$2,0))</f>
        <v>1-20</v>
      </c>
      <c r="D128" s="113">
        <f t="array" ref="D128">INDEX('起きあがり'!$H$3:$I$115, MATCH($A$1,'起きあがり'!$A$3:$A$115,0), MATCH(D116,'起きあがり'!$H$2:$AD$2,0))</f>
        <v>35</v>
      </c>
      <c r="E128" s="301"/>
      <c r="F128" s="301"/>
      <c r="G128" s="301"/>
      <c r="H128" s="228"/>
      <c r="I128" s="228"/>
      <c r="J128" s="117"/>
      <c r="K128" s="146"/>
      <c r="L128" s="303" t="str">
        <f>'テンプレート'!L128</f>
        <v>上投げ</v>
      </c>
      <c r="M128" s="113" t="s">
        <v>232</v>
      </c>
      <c r="N128" s="113">
        <v>28.0</v>
      </c>
      <c r="O128" s="118"/>
      <c r="P128" s="118"/>
      <c r="Q128" s="118"/>
      <c r="R128" s="118"/>
      <c r="S128" s="118"/>
      <c r="T128" s="118"/>
      <c r="U128" s="118"/>
      <c r="V128" s="118"/>
    </row>
    <row r="129" outlineLevel="1">
      <c r="A129" s="146"/>
      <c r="B129" s="300" t="s">
        <v>249</v>
      </c>
      <c r="C129" s="309" t="str">
        <f t="array" ref="C129">INDEX('起きあがり'!$J$3:$M$115, MATCH($A$1,'起きあがり'!$A$3:$A$115,0), MATCH(C116,'起きあがり'!$J$2:$AD$2,0))</f>
        <v>1-24</v>
      </c>
      <c r="D129" s="310">
        <f t="array" ref="D129">INDEX('起きあがり'!$J$3:$M$115, MATCH($A$1,'起きあがり'!$A$3:$A$115,0), MATCH(D116,'起きあがり'!$J$2:$AD$2,0))</f>
        <v>45</v>
      </c>
      <c r="E129" s="307" t="str">
        <f t="array" ref="E129">INDEX('起きあがり'!$J$3:$M$115, MATCH($A$1,'起きあがり'!$A$3:$A$115,0), MATCH(E116,'起きあがり'!$J$2:$AD$2,0))</f>
        <v>15-16</v>
      </c>
      <c r="F129" s="308">
        <f t="array" ref="F129">INDEX('起きあがり'!$J$3:$M$115, MATCH($A$1,'起きあがり'!$A$3:$A$115,0), MATCH(F116,'起きあがり'!$J$2:$AD$2,0))</f>
        <v>7</v>
      </c>
      <c r="G129" s="113">
        <f t="shared" ref="G129:G130" si="1">F129*1.2</f>
        <v>8.4</v>
      </c>
      <c r="H129" s="228"/>
      <c r="I129" s="228"/>
      <c r="J129" s="111"/>
      <c r="K129" s="156"/>
      <c r="L129" s="303" t="str">
        <f>'テンプレート'!L129</f>
        <v>下投げ</v>
      </c>
      <c r="M129" s="113" t="s">
        <v>274</v>
      </c>
      <c r="N129" s="113">
        <v>26.0</v>
      </c>
      <c r="O129" s="111"/>
      <c r="P129" s="111"/>
      <c r="Q129" s="111"/>
      <c r="R129" s="111"/>
      <c r="S129" s="111"/>
      <c r="T129" s="111"/>
      <c r="U129" s="111"/>
      <c r="V129" s="111"/>
    </row>
    <row r="130" outlineLevel="1">
      <c r="A130" s="156"/>
      <c r="B130" s="311" t="s">
        <v>250</v>
      </c>
      <c r="C130" s="156"/>
      <c r="D130" s="156"/>
      <c r="E130" s="307" t="str">
        <f t="array" ref="E130">INDEX('起きあがり'!$N$3:$O$115, MATCH($A$1,'起きあがり'!$A$3:$A$115,0), MATCH(E116,'起きあがり'!$N$2:$AD$2,0))</f>
        <v>23-24</v>
      </c>
      <c r="F130" s="308">
        <f t="array" ref="F130">INDEX('起きあがり'!$N$3:$O$115, MATCH($A$1,'起きあがり'!$A$3:$A$115,0), MATCH(F116,'起きあがり'!$N$2:$AD$2,0))</f>
        <v>7</v>
      </c>
      <c r="G130" s="113">
        <f t="shared" si="1"/>
        <v>8.4</v>
      </c>
      <c r="H130" s="228"/>
      <c r="I130" s="228"/>
      <c r="J130" s="111"/>
      <c r="K130" s="312" t="str">
        <f>'テンプレート'!K130</f>
        <v>踏み台ジャンプ</v>
      </c>
      <c r="L130" s="168"/>
      <c r="M130" s="298" t="str">
        <f>'テンプレート'!M130</f>
        <v>全体フレーム</v>
      </c>
      <c r="N130" s="114"/>
      <c r="O130" s="111"/>
      <c r="P130" s="111"/>
      <c r="Q130" s="111"/>
      <c r="R130" s="111"/>
      <c r="S130" s="111"/>
      <c r="T130" s="111"/>
      <c r="U130" s="111"/>
      <c r="V130" s="111"/>
    </row>
    <row r="131" outlineLevel="1">
      <c r="A131" s="299" t="s">
        <v>251</v>
      </c>
      <c r="B131" s="300" t="s">
        <v>248</v>
      </c>
      <c r="C131" s="301"/>
      <c r="D131" s="307" t="str">
        <f t="array" ref="D131">INDEX('起きあがり'!$C$3:$C120, MATCH($A$1,'起きあがり'!$A$3:$A$115,0), MATCH(D116,'起きあがり'!$C$2,0))</f>
        <v>25</v>
      </c>
      <c r="E131" s="301"/>
      <c r="F131" s="301"/>
      <c r="G131" s="301"/>
      <c r="H131" s="228"/>
      <c r="I131" s="228"/>
      <c r="J131" s="117"/>
      <c r="K131" s="313" t="str">
        <f>'テンプレート'!K131</f>
        <v>踏み</v>
      </c>
      <c r="L131" s="314" t="str">
        <f>'テンプレート'!L131</f>
        <v>踏み</v>
      </c>
      <c r="M131" s="113">
        <v>8.0</v>
      </c>
      <c r="N131" s="315"/>
      <c r="O131" s="111"/>
      <c r="P131" s="111"/>
      <c r="Q131" s="111"/>
      <c r="R131" s="111"/>
      <c r="S131" s="111"/>
      <c r="T131" s="111"/>
      <c r="U131" s="111"/>
      <c r="V131" s="111"/>
    </row>
    <row r="132" outlineLevel="1">
      <c r="A132" s="146"/>
      <c r="B132" s="300" t="s">
        <v>216</v>
      </c>
      <c r="C132" s="307" t="str">
        <f t="array" ref="C132">INDEX('起きあがり'!$P$3:$Q$115, MATCH($A$1,'起きあがり'!$A$3:$A$115,0), MATCH(C116,'起きあがり'!$P$2:$AD$2,0))</f>
        <v>1-22</v>
      </c>
      <c r="D132" s="308">
        <f t="array" ref="D132">INDEX('起きあがり'!$P$3:$Q$115, MATCH($A$1,'起きあがり'!$A$3:$A$115,0), MATCH(D116,'起きあがり'!$P$2:$AD$2,0))</f>
        <v>29</v>
      </c>
      <c r="E132" s="301"/>
      <c r="F132" s="301"/>
      <c r="G132" s="301"/>
      <c r="H132" s="228"/>
      <c r="I132" s="228"/>
      <c r="J132" s="111"/>
      <c r="K132" s="305" t="str">
        <f>'テンプレート'!K132</f>
        <v>踏まれ</v>
      </c>
      <c r="L132" s="314" t="str">
        <f>'テンプレート'!L132</f>
        <v>地上踏まれ</v>
      </c>
      <c r="M132" s="113" t="s">
        <v>76</v>
      </c>
      <c r="N132" s="315"/>
      <c r="O132" s="228"/>
      <c r="P132" s="228"/>
      <c r="Q132" s="228"/>
      <c r="R132" s="228"/>
      <c r="S132" s="228"/>
      <c r="T132" s="228"/>
      <c r="U132" s="228"/>
      <c r="V132" s="228"/>
    </row>
    <row r="133" outlineLevel="1">
      <c r="A133" s="146"/>
      <c r="B133" s="300" t="s">
        <v>245</v>
      </c>
      <c r="C133" s="307" t="str">
        <f t="array" ref="C133">INDEX('起きあがり'!$R$3:$S$115, MATCH($A$1,'起きあがり'!$A$3:$A$115,0), MATCH(C116,'起きあがり'!$R$2:$AD$2,0))</f>
        <v>1-20</v>
      </c>
      <c r="D133" s="308">
        <f t="array" ref="D133">INDEX('起きあがり'!$R$3:$S$115, MATCH($A$1,'起きあがり'!$A$3:$A$115,0), MATCH(D116,'起きあがり'!$R$2:$AD$2,0))</f>
        <v>35</v>
      </c>
      <c r="E133" s="301"/>
      <c r="F133" s="301"/>
      <c r="G133" s="301"/>
      <c r="H133" s="228"/>
      <c r="I133" s="228"/>
      <c r="J133" s="117"/>
      <c r="K133" s="146"/>
      <c r="L133" s="314" t="str">
        <f>'テンプレート'!L133</f>
        <v>地上硬直</v>
      </c>
      <c r="M133" s="113">
        <v>26.0</v>
      </c>
      <c r="N133" s="102"/>
      <c r="O133" s="118"/>
      <c r="P133" s="118"/>
      <c r="Q133" s="118"/>
      <c r="R133" s="118"/>
      <c r="S133" s="118"/>
      <c r="T133" s="118"/>
      <c r="U133" s="118"/>
      <c r="V133" s="118"/>
    </row>
    <row r="134" outlineLevel="1">
      <c r="A134" s="146"/>
      <c r="B134" s="300" t="s">
        <v>246</v>
      </c>
      <c r="C134" s="307" t="str">
        <f t="array" ref="C134">INDEX('起きあがり'!$T$3:$U$115, MATCH($A$1,'起きあがり'!$A$3:$A$115,0), MATCH(C116,'起きあがり'!$T$2:$AD$2,0))</f>
        <v>1-20</v>
      </c>
      <c r="D134" s="308">
        <f t="array" ref="D134">INDEX('起きあがり'!$T$3:$U$115, MATCH($A$1,'起きあがり'!$A$3:$A$115,0), MATCH(D116,'起きあがり'!$T$2:$AD$2,0))</f>
        <v>35</v>
      </c>
      <c r="E134" s="301"/>
      <c r="F134" s="301"/>
      <c r="G134" s="301"/>
      <c r="H134" s="228"/>
      <c r="I134" s="228"/>
      <c r="J134" s="111"/>
      <c r="K134" s="146"/>
      <c r="L134" s="314" t="str">
        <f>'テンプレート'!L134</f>
        <v>空中踏まれ</v>
      </c>
      <c r="M134" s="113">
        <v>11.0</v>
      </c>
      <c r="N134" s="102"/>
      <c r="O134" s="118"/>
      <c r="P134" s="118"/>
      <c r="Q134" s="118"/>
      <c r="R134" s="118"/>
      <c r="S134" s="118"/>
      <c r="T134" s="118"/>
      <c r="U134" s="118"/>
      <c r="V134" s="118"/>
    </row>
    <row r="135" outlineLevel="1">
      <c r="A135" s="146"/>
      <c r="B135" s="300" t="s">
        <v>249</v>
      </c>
      <c r="C135" s="309" t="str">
        <f t="array" ref="C135">INDEX('起きあがり'!$V$3:$Y$115, MATCH($A$1,'起きあがり'!$A$3:$A$115,0), MATCH(C116,'起きあがり'!$V$2:$AD$2,0))</f>
        <v>1-24</v>
      </c>
      <c r="D135" s="310">
        <f t="array" ref="D135">INDEX('起きあがり'!$V$3:$Y$115, MATCH($A$1,'起きあがり'!$A$3:$A$115,0), MATCH(D116,'起きあがり'!$V$2:$AD$2,0))</f>
        <v>45</v>
      </c>
      <c r="E135" s="307" t="str">
        <f t="array" ref="E135">INDEX('起きあがり'!$V$3:$Y$115, MATCH($A$1,'起きあがり'!$A$3:$A$115,0), MATCH(E116,'起きあがり'!$V$2:$AD$2,0))</f>
        <v>15-16</v>
      </c>
      <c r="F135" s="308">
        <f t="array" ref="F135">INDEX('起きあがり'!$V$3:$Y$115, MATCH($A$1,'起きあがり'!$A$3:$A$115,0), MATCH(F116,'起きあがり'!$V$2:$AD$2,0))</f>
        <v>7</v>
      </c>
      <c r="G135" s="113">
        <f t="shared" ref="G135:G136" si="2">F135*1.2</f>
        <v>8.4</v>
      </c>
      <c r="H135" s="228"/>
      <c r="I135" s="228"/>
      <c r="J135" s="117"/>
      <c r="K135" s="146"/>
      <c r="L135" s="314" t="str">
        <f>'テンプレート'!L135</f>
        <v>空中落下</v>
      </c>
      <c r="M135" s="113">
        <v>40.0</v>
      </c>
      <c r="N135" s="102"/>
      <c r="O135" s="118"/>
      <c r="P135" s="118"/>
      <c r="Q135" s="118"/>
      <c r="R135" s="118"/>
      <c r="S135" s="118"/>
      <c r="T135" s="118"/>
      <c r="U135" s="118"/>
      <c r="V135" s="118"/>
    </row>
    <row r="136" outlineLevel="1">
      <c r="A136" s="156"/>
      <c r="B136" s="311" t="s">
        <v>250</v>
      </c>
      <c r="C136" s="156"/>
      <c r="D136" s="156"/>
      <c r="E136" s="307" t="str">
        <f t="array" ref="E136">INDEX('起きあがり'!$Z$3:$AA$115, MATCH($A$1,'起きあがり'!$A$3:$A$115,0), MATCH(E116,'起きあがり'!$Z$2:$AD$2,0))</f>
        <v>23-24</v>
      </c>
      <c r="F136" s="308">
        <f t="array" ref="F136">INDEX('起きあがり'!$Z$3:$AA$115, MATCH($A$1,'起きあがり'!$A$3:$A$115,0), MATCH(F116,'起きあがり'!$Z$2:$AD$2,0))</f>
        <v>7</v>
      </c>
      <c r="G136" s="113">
        <f t="shared" si="2"/>
        <v>8.4</v>
      </c>
      <c r="H136" s="228"/>
      <c r="I136" s="228"/>
      <c r="J136" s="117"/>
      <c r="K136" s="304" t="str">
        <f>'テンプレート'!K136</f>
        <v>倒れダメージ</v>
      </c>
      <c r="L136" s="110"/>
      <c r="M136" s="298" t="str">
        <f>'テンプレート'!M136</f>
        <v>全体フレーム</v>
      </c>
      <c r="N136" s="102"/>
      <c r="O136" s="118"/>
      <c r="P136" s="118"/>
      <c r="Q136" s="118"/>
      <c r="R136" s="118"/>
      <c r="S136" s="118"/>
      <c r="T136" s="118"/>
      <c r="U136" s="118"/>
      <c r="V136" s="118"/>
    </row>
    <row r="137" outlineLevel="1">
      <c r="A137" s="299" t="s">
        <v>252</v>
      </c>
      <c r="B137" s="300" t="s">
        <v>253</v>
      </c>
      <c r="C137" s="307" t="str">
        <f t="array" ref="C137">INDEX('転倒'!$C$3:$D120, MATCH($A$1,'転倒'!$A$3:$A$115,0), MATCH(C116,'転倒'!$C$2:$AC$2,0))</f>
        <v>1-5</v>
      </c>
      <c r="D137" s="308">
        <f t="array" ref="D137">INDEX('転倒'!$C$3:$D120, MATCH($A$1,'転倒'!$A$3:$A$115,0), MATCH(D116,'転倒'!$C$2:$AC$2,0))</f>
        <v>29</v>
      </c>
      <c r="E137" s="301"/>
      <c r="F137" s="301"/>
      <c r="G137" s="301"/>
      <c r="H137" s="228"/>
      <c r="I137" s="228"/>
      <c r="J137" s="111"/>
      <c r="K137" s="313" t="str">
        <f>'テンプレート'!K137</f>
        <v>あお向け倒れ</v>
      </c>
      <c r="L137" s="306" t="str">
        <f>'テンプレート'!L137</f>
        <v>モーション大</v>
      </c>
      <c r="M137" s="113">
        <v>38.0</v>
      </c>
      <c r="N137" s="315"/>
      <c r="O137" s="118"/>
      <c r="P137" s="118"/>
      <c r="Q137" s="118"/>
      <c r="R137" s="118"/>
      <c r="S137" s="118"/>
      <c r="T137" s="118"/>
      <c r="U137" s="118"/>
      <c r="V137" s="118"/>
    </row>
    <row r="138" outlineLevel="1">
      <c r="A138" s="146"/>
      <c r="B138" s="300" t="s">
        <v>254</v>
      </c>
      <c r="C138" s="307" t="str">
        <f t="array" ref="C138">INDEX('転倒'!$E$3:$F120, MATCH($A$1,'転倒'!$A$3:$A$115,0), MATCH(C116,'転倒'!$E$2:$AC$2,0))</f>
        <v>1-5</v>
      </c>
      <c r="D138" s="308">
        <f t="array" ref="D138">INDEX('転倒'!$E$3:$F120, MATCH($A$1,'転倒'!$A$3:$A$115,0), MATCH(D116,'転倒'!$E$2:$AC$2,0))</f>
        <v>39</v>
      </c>
      <c r="E138" s="301"/>
      <c r="F138" s="301"/>
      <c r="G138" s="301"/>
      <c r="H138" s="228"/>
      <c r="I138" s="228"/>
      <c r="J138" s="117"/>
      <c r="K138" s="313" t="str">
        <f>'テンプレート'!K138</f>
        <v>うつ伏せ倒れ</v>
      </c>
      <c r="L138" s="306" t="str">
        <f>'テンプレート'!L138</f>
        <v>モーション大</v>
      </c>
      <c r="M138" s="113" t="s">
        <v>118</v>
      </c>
      <c r="N138" s="315"/>
      <c r="O138" s="118"/>
      <c r="P138" s="118"/>
      <c r="Q138" s="118"/>
      <c r="R138" s="118"/>
      <c r="S138" s="118"/>
      <c r="T138" s="118"/>
      <c r="U138" s="118"/>
      <c r="V138" s="118"/>
    </row>
    <row r="139" outlineLevel="1">
      <c r="A139" s="146"/>
      <c r="B139" s="300" t="s">
        <v>216</v>
      </c>
      <c r="C139" s="307" t="str">
        <f t="array" ref="C139">INDEX('転倒'!$G$3:$H$115, MATCH($A$1,'転倒'!$A$3:$A$115,0), MATCH(C116,'転倒'!$G$2:$AC$2,0))</f>
        <v>1-16</v>
      </c>
      <c r="D139" s="308">
        <f t="array" ref="D139">INDEX('転倒'!$G$3:$H$115, MATCH($A$1,'転倒'!$A$3:$A$115,0), MATCH(D116,'転倒'!$G$2:$AC$2,0))</f>
        <v>21</v>
      </c>
      <c r="E139" s="301"/>
      <c r="F139" s="301"/>
      <c r="G139" s="301"/>
      <c r="H139" s="228"/>
      <c r="I139" s="228"/>
      <c r="J139" s="111"/>
      <c r="K139" s="304" t="str">
        <f>'テンプレート'!K139</f>
        <v/>
      </c>
      <c r="L139" s="110"/>
      <c r="M139" s="298" t="str">
        <f>'テンプレート'!M139</f>
        <v/>
      </c>
      <c r="N139" s="102"/>
      <c r="O139" s="118"/>
      <c r="P139" s="118"/>
      <c r="Q139" s="118"/>
      <c r="R139" s="118"/>
      <c r="S139" s="118"/>
      <c r="T139" s="118"/>
      <c r="U139" s="118"/>
      <c r="V139" s="118"/>
    </row>
    <row r="140" outlineLevel="1">
      <c r="A140" s="146"/>
      <c r="B140" s="300" t="s">
        <v>245</v>
      </c>
      <c r="C140" s="307" t="str">
        <f t="array" ref="C140">INDEX('転倒'!$I$3:$J$115, MATCH($A$1,'転倒'!$A$3:$A$115,0), MATCH(C116,'転倒'!$I$2:$AC$2,0))</f>
        <v>1-9</v>
      </c>
      <c r="D140" s="308">
        <f t="array" ref="D140">INDEX('転倒'!$I$3:$J$115, MATCH($A$1,'転倒'!$A$3:$A$115,0), MATCH(D116,'転倒'!$I$2:$AC$2,0))</f>
        <v>28</v>
      </c>
      <c r="E140" s="301"/>
      <c r="F140" s="301"/>
      <c r="G140" s="301"/>
      <c r="H140" s="228"/>
      <c r="I140" s="228"/>
      <c r="J140" s="228"/>
      <c r="K140" s="316"/>
      <c r="L140" s="317" t="str">
        <f>'テンプレート'!L140</f>
        <v/>
      </c>
      <c r="M140" s="113" t="s">
        <v>76</v>
      </c>
      <c r="N140" s="102"/>
      <c r="O140" s="118"/>
      <c r="P140" s="118"/>
      <c r="Q140" s="118"/>
      <c r="R140" s="118"/>
      <c r="S140" s="118"/>
      <c r="T140" s="118"/>
      <c r="U140" s="118"/>
      <c r="V140" s="118"/>
    </row>
    <row r="141" outlineLevel="1">
      <c r="A141" s="146"/>
      <c r="B141" s="300" t="s">
        <v>246</v>
      </c>
      <c r="C141" s="307" t="str">
        <f t="array" ref="C141">INDEX('転倒'!$K$3:$L$115, MATCH($A$1,'転倒'!$A$3:$A$115,0), MATCH(C116,'転倒'!$K$2:$AC$2,0))</f>
        <v>1-9</v>
      </c>
      <c r="D141" s="308">
        <f t="array" ref="D141">INDEX('転倒'!$K$3:$L$115, MATCH($A$1,'転倒'!$A$3:$A$115,0), MATCH(D116,'転倒'!$K$2:$AC$2,0))</f>
        <v>28</v>
      </c>
      <c r="E141" s="301"/>
      <c r="F141" s="301"/>
      <c r="G141" s="301"/>
      <c r="H141" s="228"/>
      <c r="I141" s="228"/>
      <c r="J141" s="228"/>
      <c r="K141" s="318"/>
      <c r="L141" s="118"/>
      <c r="M141" s="118"/>
      <c r="N141" s="102"/>
      <c r="O141" s="118"/>
      <c r="P141" s="118"/>
      <c r="Q141" s="118"/>
      <c r="R141" s="118"/>
      <c r="S141" s="118"/>
      <c r="T141" s="118"/>
      <c r="U141" s="118"/>
      <c r="V141" s="118"/>
    </row>
    <row r="142" outlineLevel="1">
      <c r="A142" s="146"/>
      <c r="B142" s="300" t="s">
        <v>249</v>
      </c>
      <c r="C142" s="309" t="str">
        <f t="array" ref="C142">INDEX('転倒'!$M$3:$P$115, MATCH($A$1,'転倒'!$A$3:$A$115,0), MATCH(C116,'転倒'!$M$2:$AC$2,0))</f>
        <v>1-7</v>
      </c>
      <c r="D142" s="310">
        <f t="array" ref="D142">INDEX('転倒'!$M$3:$P$115, MATCH($A$1,'転倒'!$A$3:$A$115,0), MATCH(D116,'転倒'!$M$2:$AC$2,0))</f>
        <v>49</v>
      </c>
      <c r="E142" s="307" t="str">
        <f t="array" ref="E142">INDEX('転倒'!$M$3:$P$115, MATCH($A$1,'転倒'!$A$3:$A$115,0), MATCH(E116,'転倒'!$M$2:$AC$2,0))</f>
        <v>19-20</v>
      </c>
      <c r="F142" s="308">
        <f t="array" ref="F142">INDEX('転倒'!$M$3:$P$115, MATCH($A$1,'転倒'!$A$3:$A$115,0), MATCH(F116,'転倒'!$M$2:$AC$2,0))</f>
        <v>5</v>
      </c>
      <c r="G142" s="113">
        <f t="shared" ref="G142:G143" si="3">F142*1.2</f>
        <v>6</v>
      </c>
      <c r="H142" s="228"/>
      <c r="I142" s="228"/>
      <c r="J142" s="228"/>
      <c r="K142" s="118"/>
      <c r="L142" s="118"/>
      <c r="M142" s="118"/>
      <c r="N142" s="102"/>
      <c r="O142" s="102"/>
      <c r="P142" s="102"/>
      <c r="Q142" s="102"/>
      <c r="R142" s="118"/>
      <c r="S142" s="118"/>
      <c r="T142" s="118"/>
      <c r="U142" s="118"/>
      <c r="V142" s="118"/>
    </row>
    <row r="143" outlineLevel="1">
      <c r="A143" s="156"/>
      <c r="B143" s="311" t="s">
        <v>250</v>
      </c>
      <c r="C143" s="156"/>
      <c r="D143" s="156"/>
      <c r="E143" s="307" t="str">
        <f t="array" ref="E143">INDEX('転倒'!$Q$3:$R$115, MATCH($A$1,'転倒'!$A$3:$A$115,0), MATCH(E116,'転倒'!$Q$2:$AC$2,0))</f>
        <v>27-28</v>
      </c>
      <c r="F143" s="308">
        <f t="array" ref="F143">INDEX('転倒'!$Q$3:$R$115, MATCH($A$1,'転倒'!$A$3:$A$115,0), MATCH(F116,'転倒'!$Q$2:$AC$2,0))</f>
        <v>5</v>
      </c>
      <c r="G143" s="113">
        <f t="shared" si="3"/>
        <v>6</v>
      </c>
      <c r="H143" s="228"/>
      <c r="I143" s="228"/>
      <c r="J143" s="228"/>
      <c r="K143" s="118"/>
      <c r="L143" s="118"/>
      <c r="M143" s="118"/>
      <c r="N143" s="102"/>
      <c r="O143" s="102"/>
      <c r="P143" s="102"/>
      <c r="Q143" s="102"/>
      <c r="R143" s="118"/>
      <c r="S143" s="118"/>
      <c r="T143" s="118"/>
      <c r="U143" s="118"/>
      <c r="V143" s="118"/>
    </row>
    <row r="144" outlineLevel="1">
      <c r="A144" s="319"/>
      <c r="B144" s="320"/>
      <c r="C144" s="321"/>
      <c r="D144" s="321"/>
      <c r="E144" s="322"/>
      <c r="F144" s="322"/>
      <c r="G144" s="114"/>
      <c r="H144" s="228"/>
      <c r="I144" s="228"/>
      <c r="J144" s="228"/>
      <c r="K144" s="118"/>
      <c r="L144" s="118"/>
      <c r="M144" s="118"/>
      <c r="N144" s="102"/>
      <c r="O144" s="102"/>
      <c r="P144" s="102"/>
      <c r="Q144" s="102"/>
      <c r="R144" s="118"/>
      <c r="S144" s="118"/>
      <c r="T144" s="118"/>
      <c r="U144" s="118"/>
      <c r="V144" s="118"/>
    </row>
    <row r="145" outlineLevel="1">
      <c r="A145" s="323" t="s">
        <v>255</v>
      </c>
      <c r="B145" s="109"/>
      <c r="C145" s="321"/>
      <c r="D145" s="321"/>
      <c r="E145" s="322"/>
      <c r="F145" s="322"/>
      <c r="G145" s="114"/>
      <c r="H145" s="228"/>
      <c r="I145" s="228"/>
      <c r="J145" s="228"/>
      <c r="K145" s="118"/>
      <c r="L145" s="118"/>
      <c r="M145" s="118"/>
      <c r="N145" s="102"/>
      <c r="O145" s="102"/>
      <c r="P145" s="102"/>
      <c r="Q145" s="102"/>
      <c r="R145" s="118"/>
      <c r="S145" s="118"/>
      <c r="T145" s="118"/>
      <c r="U145" s="118"/>
      <c r="V145" s="118"/>
    </row>
    <row r="146" outlineLevel="1">
      <c r="A146" s="324" t="s">
        <v>256</v>
      </c>
      <c r="B146" s="109"/>
      <c r="C146" s="325" t="s">
        <v>257</v>
      </c>
      <c r="D146" s="325" t="s">
        <v>49</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258</v>
      </c>
      <c r="B147" s="327" t="s">
        <v>216</v>
      </c>
      <c r="C147" s="328" t="str">
        <f t="array" ref="C147">INDEX('アイテム'!$C$3:$D$114, MATCH($A$1,'アイテム'!$A$3:$A$114,0), MATCH(C146,'アイテム'!$C$2:$AQ$2,0))</f>
        <v>2</v>
      </c>
      <c r="D147" s="328">
        <f t="array" ref="D147">INDEX('アイテム'!$C$3:$D$114, MATCH($A$1,'アイテム'!$A$3:$A$114,0), MATCH(D146,'アイテム'!$C$2:$AQ$2,0))</f>
        <v>7</v>
      </c>
      <c r="E147" s="322"/>
      <c r="F147" s="322"/>
      <c r="G147" s="114"/>
      <c r="H147" s="228"/>
      <c r="I147" s="228"/>
      <c r="J147" s="228"/>
      <c r="K147" s="118"/>
      <c r="L147" s="118"/>
      <c r="M147" s="118"/>
      <c r="N147" s="102"/>
      <c r="O147" s="102"/>
      <c r="P147" s="102"/>
      <c r="Q147" s="102"/>
      <c r="R147" s="118"/>
      <c r="S147" s="118"/>
      <c r="T147" s="118"/>
      <c r="U147" s="118"/>
      <c r="V147" s="118"/>
    </row>
    <row r="148" outlineLevel="1">
      <c r="A148" s="156"/>
      <c r="B148" s="327" t="s">
        <v>219</v>
      </c>
      <c r="C148" s="328" t="str">
        <f t="array" ref="C148">INDEX('アイテム'!$E$3:$F$114, MATCH($A$1,'アイテム'!$A$3:$A$114,0), MATCH(C146,'アイテム'!$C$2:$AQ$2,0))</f>
        <v>2</v>
      </c>
      <c r="D148" s="328">
        <f t="array" ref="D148">INDEX('アイテム'!$E$3:$F$114, MATCH($A$1,'アイテム'!$A$3:$A$114,0), MATCH(D146,'アイテム'!$C$2:$AQ$2,0))</f>
        <v>19</v>
      </c>
      <c r="E148" s="322"/>
      <c r="F148" s="322"/>
      <c r="G148" s="114"/>
      <c r="H148" s="228"/>
      <c r="I148" s="228"/>
      <c r="J148" s="228"/>
      <c r="K148" s="118"/>
      <c r="L148" s="118"/>
      <c r="M148" s="118"/>
      <c r="N148" s="102"/>
      <c r="O148" s="102"/>
      <c r="P148" s="102"/>
      <c r="Q148" s="102"/>
      <c r="R148" s="118"/>
      <c r="S148" s="118"/>
      <c r="T148" s="118"/>
      <c r="U148" s="118"/>
      <c r="V148" s="118"/>
    </row>
    <row r="149" outlineLevel="1">
      <c r="A149" s="329" t="s">
        <v>259</v>
      </c>
      <c r="B149" s="327" t="s">
        <v>216</v>
      </c>
      <c r="C149" s="328">
        <f t="array" ref="C149">INDEX('アイテム'!$AA$3:$AB$114, MATCH($A$1,'アイテム'!$A$3:$A$114,0), MATCH(C146,'アイテム'!$C$2:$AQ$2,0))</f>
        <v>3</v>
      </c>
      <c r="D149" s="328" t="str">
        <f t="array" ref="D149">INDEX('アイテム'!$AA$3:$AB$114, MATCH($A$1,'アイテム'!$A$3:$A$114,0), MATCH(D146,'アイテム'!$C$2:$AQ$2,0))</f>
        <v>12</v>
      </c>
      <c r="E149" s="322"/>
      <c r="F149" s="322"/>
      <c r="G149" s="114"/>
      <c r="H149" s="228"/>
      <c r="I149" s="228"/>
      <c r="J149" s="228"/>
      <c r="K149" s="118"/>
      <c r="L149" s="118"/>
      <c r="M149" s="118"/>
      <c r="N149" s="102"/>
      <c r="O149" s="102"/>
      <c r="P149" s="102"/>
      <c r="Q149" s="102"/>
      <c r="R149" s="118"/>
      <c r="S149" s="118"/>
      <c r="T149" s="118"/>
      <c r="U149" s="118"/>
      <c r="V149" s="118"/>
    </row>
    <row r="150" outlineLevel="1">
      <c r="A150" s="324" t="s">
        <v>260</v>
      </c>
      <c r="B150" s="109"/>
      <c r="C150" s="325" t="s">
        <v>261</v>
      </c>
      <c r="D150" s="325" t="s">
        <v>49</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262</v>
      </c>
      <c r="B151" s="327" t="s">
        <v>226</v>
      </c>
      <c r="C151" s="328" t="str">
        <f t="array" ref="C151">INDEX('アイテム'!$G$3:$H$114, MATCH($A$1,'アイテム'!$A$3:$A$114,0), MATCH(C146,'アイテム'!$C$2:$AQ$2,0))</f>
        <v>10</v>
      </c>
      <c r="D151" s="328">
        <f t="array" ref="D151">INDEX('アイテム'!$G$3:$H$114, MATCH($A$1,'アイテム'!$A$3:$A$114,0), MATCH(D146,'アイテム'!$C$2:$AQ$2,0))</f>
        <v>24</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229</v>
      </c>
      <c r="C152" s="328" t="str">
        <f t="array" ref="C152">INDEX('アイテム'!$I$3:$J$114, MATCH($A$1,'アイテム'!$A$3:$A$114,0), MATCH(C146,'アイテム'!$C$2:$AQ$2,0))</f>
        <v>10</v>
      </c>
      <c r="D152" s="328">
        <f t="array" ref="D152">INDEX('アイテム'!$I$3:$J$114, MATCH($A$1,'アイテム'!$A$3:$A$114,0), MATCH(D146,'アイテム'!$C$2:$AQ$2,0))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233</v>
      </c>
      <c r="C153" s="328" t="str">
        <f t="array" ref="C153">INDEX('アイテム'!$K$3:$L$114, MATCH($A$1,'アイテム'!$A$3:$A$114,0), MATCH(C146,'アイテム'!$C$2:$AQ$2,0))</f>
        <v>11</v>
      </c>
      <c r="D153" s="328">
        <f t="array" ref="D153">INDEX('アイテム'!$K$3:$L$114, MATCH($A$1,'アイテム'!$A$3:$A$114,0), MATCH(D146,'アイテム'!$C$2:$AQ$2,0))</f>
        <v>23</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234</v>
      </c>
      <c r="C154" s="328" t="str">
        <f t="array" ref="C154">INDEX('アイテム'!$M$3:$N$114, MATCH($A$1,'アイテム'!$A$3:$A$114,0), MATCH(C146,'アイテム'!$C$2:$AQ$2,0))</f>
        <v>9</v>
      </c>
      <c r="D154" s="328">
        <f t="array" ref="D154">INDEX('アイテム'!$M$3:$N$114, MATCH($A$1,'アイテム'!$A$3:$A$114,0), MATCH(D146,'アイテム'!$C$2:$AQ$2,0))</f>
        <v>19</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219</v>
      </c>
      <c r="C155" s="328" t="str">
        <f t="array" ref="C155">INDEX('アイテム'!$O$3:$P$114, MATCH($A$1,'アイテム'!$A$3:$A$114,0), MATCH(C146,'アイテム'!$C$2:$AQ$2,0))</f>
        <v>5</v>
      </c>
      <c r="D155" s="328">
        <f t="array" ref="D155">INDEX('アイテム'!$O$3:$P$114, MATCH($A$1,'アイテム'!$A$3:$A$114,0), MATCH(D146,'アイテム'!$C$2:$AQ$2,0))</f>
        <v>29</v>
      </c>
      <c r="E155" s="322"/>
      <c r="F155" s="322"/>
      <c r="G155" s="114"/>
      <c r="H155" s="228"/>
      <c r="I155" s="228"/>
      <c r="J155" s="228"/>
      <c r="K155" s="118"/>
      <c r="L155" s="118"/>
      <c r="M155" s="118"/>
      <c r="N155" s="102"/>
      <c r="O155" s="102"/>
      <c r="P155" s="102"/>
      <c r="Q155" s="102"/>
      <c r="R155" s="118"/>
      <c r="S155" s="118"/>
      <c r="T155" s="118"/>
      <c r="U155" s="118"/>
      <c r="V155" s="118"/>
    </row>
    <row r="156" outlineLevel="1">
      <c r="A156" s="156"/>
      <c r="B156" s="327" t="s">
        <v>263</v>
      </c>
      <c r="C156" s="328" t="str">
        <f t="array" ref="C156">INDEX('アイテム'!$Q$3:$R$114, MATCH($A$1,'アイテム'!$A$3:$A$114,0), MATCH(C146,'アイテム'!$C$2:$AQ$2,0))</f>
        <v>5</v>
      </c>
      <c r="D156" s="328">
        <f t="array" ref="D156">INDEX('アイテム'!$Q$3:$R$114, MATCH($A$1,'アイテム'!$A$3:$A$114,0), MATCH(D146,'アイテム'!$C$2:$AQ$2,0))</f>
        <v>23</v>
      </c>
      <c r="E156" s="322"/>
      <c r="F156" s="322"/>
      <c r="G156" s="114"/>
      <c r="H156" s="228"/>
      <c r="I156" s="228"/>
      <c r="J156" s="228"/>
      <c r="K156" s="118"/>
      <c r="L156" s="118"/>
      <c r="M156" s="118"/>
      <c r="N156" s="102"/>
      <c r="O156" s="102"/>
      <c r="P156" s="102"/>
      <c r="Q156" s="102"/>
      <c r="R156" s="118"/>
      <c r="S156" s="118"/>
      <c r="T156" s="118"/>
      <c r="U156" s="118"/>
      <c r="V156" s="118"/>
    </row>
    <row r="157" outlineLevel="1">
      <c r="A157" s="326" t="s">
        <v>264</v>
      </c>
      <c r="B157" s="327" t="s">
        <v>226</v>
      </c>
      <c r="C157" s="328" t="str">
        <f t="array" ref="C157">INDEX('アイテム'!$S$3:$T$114, MATCH($A$1,'アイテム'!$A$3:$A$114,0), MATCH(C146,'アイテム'!$C$2:$AQ$2,0))</f>
        <v>10</v>
      </c>
      <c r="D157" s="328">
        <f t="array" ref="D157">INDEX('アイテム'!$S$3:$T$114, MATCH($A$1,'アイテム'!$A$3:$A$114,0), MATCH(D146,'アイテム'!$C$2:$AQ$2,0))</f>
        <v>24</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229</v>
      </c>
      <c r="C158" s="328" t="str">
        <f t="array" ref="C158">INDEX('アイテム'!$U$3:$V$114, MATCH($A$1,'アイテム'!$A$3:$A$114,0), MATCH(C146,'アイテム'!$C$2:$AQ$2,0))</f>
        <v>10</v>
      </c>
      <c r="D158" s="328">
        <f t="array" ref="D158">INDEX('アイテム'!$U$3:$V$114, MATCH($A$1,'アイテム'!$A$3:$A$114,0), MATCH(D146,'アイテム'!$C$2:$AQ$2,0))</f>
        <v>24</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233</v>
      </c>
      <c r="C159" s="328" t="str">
        <f t="array" ref="C159">INDEX('アイテム'!$W$3:$X$114, MATCH($A$1,'アイテム'!$A$3:$A$114,0), MATCH(C146,'アイテム'!$C$2:$AQ$2,0))</f>
        <v>11</v>
      </c>
      <c r="D159" s="328">
        <f t="array" ref="D159">INDEX('アイテム'!$W$3:$X$114, MATCH($A$1,'アイテム'!$A$3:$A$114,0), MATCH(D146,'アイテム'!$C$2:$AQ$2,0))</f>
        <v>23</v>
      </c>
      <c r="E159" s="322"/>
      <c r="F159" s="322"/>
      <c r="G159" s="114"/>
      <c r="H159" s="228"/>
      <c r="I159" s="228"/>
      <c r="J159" s="228"/>
      <c r="K159" s="118"/>
      <c r="L159" s="118"/>
      <c r="M159" s="118"/>
      <c r="N159" s="102"/>
      <c r="O159" s="102"/>
      <c r="P159" s="102"/>
      <c r="Q159" s="102"/>
      <c r="R159" s="118"/>
      <c r="S159" s="118"/>
      <c r="T159" s="118"/>
      <c r="U159" s="118"/>
      <c r="V159" s="118"/>
    </row>
    <row r="160" outlineLevel="1">
      <c r="A160" s="156"/>
      <c r="B160" s="327" t="s">
        <v>234</v>
      </c>
      <c r="C160" s="328" t="str">
        <f t="array" ref="C160">INDEX('アイテム'!$Y$3:$Z$114, MATCH($A$1,'アイテム'!$A$3:$A$114,0), MATCH(C146,'アイテム'!$C$2:$AQ$2,0))</f>
        <v>9</v>
      </c>
      <c r="D160" s="328">
        <f t="array" ref="D160">INDEX('アイテム'!$Y$3:$Z$114, MATCH($A$1,'アイテム'!$A$3:$A$114,0), MATCH(D146,'アイテム'!$C$2:$AQ$2,0))</f>
        <v>19</v>
      </c>
      <c r="E160" s="322"/>
      <c r="F160" s="322"/>
      <c r="G160" s="114"/>
      <c r="H160" s="228"/>
      <c r="I160" s="228"/>
      <c r="J160" s="228"/>
      <c r="K160" s="118"/>
      <c r="L160" s="118"/>
      <c r="M160" s="118"/>
      <c r="N160" s="102"/>
      <c r="O160" s="102"/>
      <c r="P160" s="102"/>
      <c r="Q160" s="102"/>
      <c r="R160" s="118"/>
      <c r="S160" s="118"/>
      <c r="T160" s="118"/>
      <c r="U160" s="118"/>
      <c r="V160" s="118"/>
    </row>
    <row r="161" outlineLevel="1">
      <c r="A161" s="326" t="s">
        <v>265</v>
      </c>
      <c r="B161" s="327" t="s">
        <v>226</v>
      </c>
      <c r="C161" s="328">
        <f t="array" ref="C161">INDEX('アイテム'!$AC$3:$AD$114, MATCH($A$1,'アイテム'!$A$3:$A$114,0), MATCH(C146,'アイテム'!$C$2:$AQ$2,0))</f>
        <v>14</v>
      </c>
      <c r="D161" s="328" t="str">
        <f t="array" ref="D161">INDEX('アイテム'!$AC$3:$AD$114, MATCH($A$1,'アイテム'!$A$3:$A$114,0), MATCH(D146,'アイテム'!$C$2:$AQ$2,0))</f>
        <v>30</v>
      </c>
      <c r="E161" s="322"/>
      <c r="F161" s="322"/>
      <c r="G161" s="114"/>
      <c r="H161" s="228"/>
      <c r="I161" s="228"/>
      <c r="J161" s="228"/>
      <c r="K161" s="118"/>
      <c r="L161" s="118"/>
      <c r="M161" s="118"/>
      <c r="N161" s="102"/>
      <c r="O161" s="102"/>
      <c r="P161" s="102"/>
      <c r="Q161" s="102"/>
      <c r="R161" s="118"/>
      <c r="S161" s="118"/>
      <c r="T161" s="118"/>
      <c r="U161" s="118"/>
      <c r="V161" s="118"/>
    </row>
    <row r="162" outlineLevel="1">
      <c r="A162" s="146"/>
      <c r="B162" s="327" t="s">
        <v>229</v>
      </c>
      <c r="C162" s="328">
        <f t="array" ref="C162">INDEX('アイテム'!$AE$3:$AF$114, MATCH($A$1,'アイテム'!$A$3:$A$114,0), MATCH(C146,'アイテム'!$C$2:$AQ$2,0))</f>
        <v>15</v>
      </c>
      <c r="D162" s="328" t="str">
        <f t="array" ref="D162">INDEX('アイテム'!$AE$3:$AF$114, MATCH($A$1,'アイテム'!$A$3:$A$114,0), MATCH(D146,'アイテム'!$C$2:$AQ$2,0))</f>
        <v>30</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233</v>
      </c>
      <c r="C163" s="328">
        <f t="array" ref="C163">INDEX('アイテム'!$AG$3:$AH$114, MATCH($A$1,'アイテム'!$A$3:$A$114,0), MATCH(C146,'アイテム'!$C$2:$AQ$2,0))</f>
        <v>11</v>
      </c>
      <c r="D163" s="328" t="str">
        <f t="array" ref="D163">INDEX('アイテム'!$AG$3:$AH$114, MATCH($A$1,'アイテム'!$A$3:$A$114,0), MATCH(D146,'アイテム'!$C$2:$AQ$2,0))</f>
        <v>22</v>
      </c>
      <c r="E163" s="322"/>
      <c r="F163" s="322"/>
      <c r="G163" s="114"/>
      <c r="H163" s="228"/>
      <c r="I163" s="228"/>
      <c r="J163" s="228"/>
      <c r="K163" s="118"/>
      <c r="L163" s="118"/>
      <c r="M163" s="118"/>
      <c r="N163" s="102"/>
      <c r="O163" s="102"/>
      <c r="P163" s="102"/>
      <c r="Q163" s="102"/>
      <c r="R163" s="118"/>
      <c r="S163" s="118"/>
      <c r="T163" s="118"/>
      <c r="U163" s="118"/>
      <c r="V163" s="118"/>
    </row>
    <row r="164" outlineLevel="1">
      <c r="A164" s="156"/>
      <c r="B164" s="327" t="s">
        <v>234</v>
      </c>
      <c r="C164" s="328">
        <f t="array" ref="C164">INDEX('アイテム'!$AI$3:$AJ$114, MATCH($A$1,'アイテム'!$A$3:$A$114,0), MATCH(C146,'アイテム'!$C$2:$AQ$2,0))</f>
        <v>13</v>
      </c>
      <c r="D164" s="328" t="str">
        <f t="array" ref="D164">INDEX('アイテム'!$AI$3:$AJ$114, MATCH($A$1,'アイテム'!$A$3:$A$114,0), MATCH(D146,'アイテム'!$C$2:$AQ$2,0))</f>
        <v>22</v>
      </c>
      <c r="E164" s="322"/>
      <c r="F164" s="322"/>
      <c r="G164" s="114"/>
      <c r="H164" s="228"/>
      <c r="I164" s="228"/>
      <c r="J164" s="228"/>
      <c r="K164" s="118"/>
      <c r="L164" s="118"/>
      <c r="M164" s="118"/>
      <c r="N164" s="102"/>
      <c r="O164" s="102"/>
      <c r="P164" s="102"/>
      <c r="Q164" s="102"/>
      <c r="R164" s="118"/>
      <c r="S164" s="118"/>
      <c r="T164" s="118"/>
      <c r="U164" s="118"/>
      <c r="V164" s="118"/>
    </row>
  </sheetData>
  <mergeCells count="139">
    <mergeCell ref="I59:I61"/>
    <mergeCell ref="J59:J61"/>
    <mergeCell ref="R59:V61"/>
    <mergeCell ref="I62:I63"/>
    <mergeCell ref="J62:J63"/>
    <mergeCell ref="R62:V63"/>
    <mergeCell ref="R64:V64"/>
    <mergeCell ref="I65:I67"/>
    <mergeCell ref="J65:J67"/>
    <mergeCell ref="R65:V67"/>
    <mergeCell ref="H70:J70"/>
    <mergeCell ref="H71:J74"/>
    <mergeCell ref="U71:U74"/>
    <mergeCell ref="V71:V74"/>
    <mergeCell ref="H76:J82"/>
    <mergeCell ref="H83:J83"/>
    <mergeCell ref="H84:J84"/>
    <mergeCell ref="H85:J85"/>
    <mergeCell ref="H86:J89"/>
    <mergeCell ref="A88:A89"/>
    <mergeCell ref="H75:J75"/>
    <mergeCell ref="U76:U82"/>
    <mergeCell ref="V76:V82"/>
    <mergeCell ref="A79:A80"/>
    <mergeCell ref="D79:D80"/>
    <mergeCell ref="A81:A82"/>
    <mergeCell ref="D81:D82"/>
    <mergeCell ref="K132:K135"/>
    <mergeCell ref="K136:L136"/>
    <mergeCell ref="K139:L139"/>
    <mergeCell ref="K116:L116"/>
    <mergeCell ref="K117:K118"/>
    <mergeCell ref="K119:L119"/>
    <mergeCell ref="K120:K125"/>
    <mergeCell ref="A122:A124"/>
    <mergeCell ref="K126:K129"/>
    <mergeCell ref="K130:L130"/>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C24:D24"/>
    <mergeCell ref="A39:B40"/>
    <mergeCell ref="H40:J40"/>
    <mergeCell ref="D41:D42"/>
    <mergeCell ref="H41:J42"/>
    <mergeCell ref="U41:U42"/>
    <mergeCell ref="H43:J43"/>
    <mergeCell ref="H44:J44"/>
    <mergeCell ref="U45:U46"/>
    <mergeCell ref="A41:A44"/>
    <mergeCell ref="D45:D46"/>
    <mergeCell ref="H45:J46"/>
    <mergeCell ref="H47:J47"/>
    <mergeCell ref="H48:J48"/>
    <mergeCell ref="H49:J49"/>
    <mergeCell ref="D51:D52"/>
    <mergeCell ref="H53:J53"/>
    <mergeCell ref="H50:J50"/>
    <mergeCell ref="H51:J52"/>
    <mergeCell ref="U51:U52"/>
    <mergeCell ref="R56:V56"/>
    <mergeCell ref="I57:I58"/>
    <mergeCell ref="J57:J58"/>
    <mergeCell ref="R57:V58"/>
    <mergeCell ref="U86:U89"/>
    <mergeCell ref="V86:V89"/>
    <mergeCell ref="G97:J97"/>
    <mergeCell ref="G98:J99"/>
    <mergeCell ref="G100:J101"/>
    <mergeCell ref="G102:J103"/>
    <mergeCell ref="G104:J105"/>
    <mergeCell ref="C142:C143"/>
    <mergeCell ref="D142:D143"/>
    <mergeCell ref="A125:A130"/>
    <mergeCell ref="C129:C130"/>
    <mergeCell ref="D129:D130"/>
    <mergeCell ref="A131:A136"/>
    <mergeCell ref="C135:C136"/>
    <mergeCell ref="D135:D136"/>
    <mergeCell ref="A137:A143"/>
    <mergeCell ref="D59:D61"/>
    <mergeCell ref="D62:D63"/>
    <mergeCell ref="D77:D78"/>
    <mergeCell ref="A45:A46"/>
    <mergeCell ref="A51:A52"/>
    <mergeCell ref="A55:B56"/>
    <mergeCell ref="A57:A58"/>
    <mergeCell ref="D57:D58"/>
    <mergeCell ref="A59:A61"/>
    <mergeCell ref="A62:A63"/>
    <mergeCell ref="A65:A67"/>
    <mergeCell ref="C65:C66"/>
    <mergeCell ref="D65:D67"/>
    <mergeCell ref="A69:B69"/>
    <mergeCell ref="A70:B70"/>
    <mergeCell ref="C72:C73"/>
    <mergeCell ref="D72:D73"/>
    <mergeCell ref="A71:A74"/>
    <mergeCell ref="A75:B75"/>
    <mergeCell ref="A76:A78"/>
    <mergeCell ref="A83:B83"/>
    <mergeCell ref="A85:B85"/>
    <mergeCell ref="A86:A87"/>
    <mergeCell ref="A91:B92"/>
    <mergeCell ref="A94:A96"/>
    <mergeCell ref="A97:B97"/>
    <mergeCell ref="A98:A99"/>
    <mergeCell ref="D98:D99"/>
    <mergeCell ref="A100:A101"/>
    <mergeCell ref="D100:D101"/>
    <mergeCell ref="D102:D103"/>
    <mergeCell ref="D104:D105"/>
    <mergeCell ref="A102:A103"/>
    <mergeCell ref="A104:A105"/>
    <mergeCell ref="A107:B108"/>
    <mergeCell ref="A109:A111"/>
    <mergeCell ref="A112:A113"/>
    <mergeCell ref="A115:B116"/>
    <mergeCell ref="A117:A121"/>
    <mergeCell ref="A145:B145"/>
    <mergeCell ref="A146:B146"/>
    <mergeCell ref="A147:A148"/>
    <mergeCell ref="A150:B150"/>
    <mergeCell ref="A151:A156"/>
    <mergeCell ref="A157:A160"/>
    <mergeCell ref="A161:A164"/>
  </mergeCells>
  <conditionalFormatting sqref="K1:K15 K17:K85 K90:K101 K103 K105:K140">
    <cfRule type="containsText" dxfId="0" priority="1" operator="containsText" text="361">
      <formula>NOT(ISERROR(SEARCH(("361"),(K1))))</formula>
    </cfRule>
  </conditionalFormatting>
  <conditionalFormatting sqref="K1:K15 K17:K85 K90:K101 K103 K105:K140">
    <cfRule type="containsText" dxfId="1" priority="2" operator="containsText" text="363">
      <formula>NOT(ISERROR(SEARCH(("363"),(K1))))</formula>
    </cfRule>
  </conditionalFormatting>
  <conditionalFormatting sqref="K1:K15 K17:K85 K90:K101 K103 K105:K140">
    <cfRule type="containsText" dxfId="1" priority="3" operator="containsText" text="365">
      <formula>NOT(ISERROR(SEARCH(("365"),(K1))))</formula>
    </cfRule>
  </conditionalFormatting>
  <conditionalFormatting sqref="K1:K15 K17:K85 K90:K101 K103 K105:K140">
    <cfRule type="containsText" dxfId="1" priority="4" operator="containsText" text="366">
      <formula>NOT(ISERROR(SEARCH(("366"),(K1))))</formula>
    </cfRule>
  </conditionalFormatting>
  <conditionalFormatting sqref="K1:K15 K17:K85 K90:K101 K103 K105:K140">
    <cfRule type="containsText" dxfId="1" priority="5" operator="containsText" text="367">
      <formula>NOT(ISERROR(SEARCH(("367"),(K1))))</formula>
    </cfRule>
  </conditionalFormatting>
  <conditionalFormatting sqref="P98:P101 P103">
    <cfRule type="cellIs" dxfId="2" priority="6" operator="equal">
      <formula>"敵のみ"</formula>
    </cfRule>
  </conditionalFormatting>
  <conditionalFormatting sqref="C98:C101 C103 C105">
    <cfRule type="cellIs" dxfId="3" priority="7" operator="equal">
      <formula>"-"</formula>
    </cfRule>
  </conditionalFormatting>
  <conditionalFormatting sqref="O1:O85 O90:O101 O103 O105:O164">
    <cfRule type="cellIs" dxfId="4" priority="8" operator="greaterThan">
      <formula>0</formula>
    </cfRule>
  </conditionalFormatting>
  <conditionalFormatting sqref="P1:Q85 P90:Q101 P103:Q103 Q105:Q164 P106:P164">
    <cfRule type="cellIs" dxfId="5" priority="9" operator="lessThan">
      <formula>1</formula>
    </cfRule>
  </conditionalFormatting>
  <conditionalFormatting sqref="P1:Q85 P90:Q101 P103:Q103 Q105:Q164 P106:P164">
    <cfRule type="cellIs" dxfId="4" priority="10" operator="greaterThan">
      <formula>1</formula>
    </cfRule>
  </conditionalFormatting>
  <conditionalFormatting sqref="N40:N85 N90:N101 N103 N105">
    <cfRule type="cellIs" dxfId="6" priority="11" operator="greaterThan">
      <formula>0</formula>
    </cfRule>
  </conditionalFormatting>
  <conditionalFormatting sqref="N1:N15 N17:N85 N90:N101 N103 N105:N164">
    <cfRule type="containsText" dxfId="6" priority="12" operator="containsText" text="/">
      <formula>NOT(ISERROR(SEARCH(("/"),(N1))))</formula>
    </cfRule>
  </conditionalFormatting>
  <drawing r:id="rId2"/>
  <legacyDrawing r:id="rId3"/>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6DED1"/>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178">
        <v>48.0</v>
      </c>
      <c r="B1" s="2179"/>
      <c r="C1" s="2180" t="str">
        <f>IMAGE(VLOOKUP($A$1,Fighters!A2:AI114,12,FALSE),1)</f>
        <v>#REF!</v>
      </c>
      <c r="D1" s="2181"/>
      <c r="E1" s="2181"/>
      <c r="F1" s="2181"/>
      <c r="G1" s="2182"/>
      <c r="H1" s="2183"/>
      <c r="I1" s="2181"/>
      <c r="J1" s="2182"/>
      <c r="K1" s="2184"/>
      <c r="L1" s="2181"/>
      <c r="M1" s="2182"/>
      <c r="N1" s="2185"/>
      <c r="O1" s="2185"/>
      <c r="P1" s="2185"/>
      <c r="Q1" s="2185"/>
      <c r="R1" s="2186"/>
      <c r="S1" s="2186"/>
      <c r="T1" s="2186"/>
      <c r="U1" s="2186"/>
      <c r="V1" s="2186"/>
    </row>
    <row r="2">
      <c r="A2" s="2187" t="str">
        <f>VLOOKUP($A$1,Fighters!$A$2:$AI$81,6,FALSE)</f>
        <v>#86ded1</v>
      </c>
      <c r="B2" s="2179"/>
      <c r="C2" s="2188"/>
      <c r="G2" s="2189"/>
      <c r="H2" s="2190"/>
      <c r="I2" s="2191"/>
      <c r="J2" s="2192"/>
      <c r="K2" s="2190"/>
      <c r="L2" s="2191"/>
      <c r="M2" s="2192"/>
      <c r="N2" s="2185"/>
      <c r="O2" s="2185"/>
      <c r="P2" s="2185"/>
      <c r="Q2" s="2185"/>
      <c r="R2" s="2186"/>
      <c r="S2" s="2186"/>
      <c r="T2" s="2186"/>
      <c r="U2" s="2186"/>
      <c r="V2" s="2186"/>
    </row>
    <row r="3">
      <c r="A3" s="2187" t="str">
        <f>VLOOKUP($A$1,Fighters!$A$2:$AI$81,14,FALSE)</f>
        <v>48. ロゼッタ&amp;チコ</v>
      </c>
      <c r="B3" s="2179"/>
      <c r="C3" s="2188"/>
      <c r="G3" s="2189"/>
      <c r="H3" s="2193"/>
      <c r="I3" s="2193"/>
      <c r="J3" s="2193"/>
      <c r="K3" s="2194"/>
      <c r="L3" s="2194"/>
      <c r="M3" s="2194"/>
      <c r="N3" s="2185"/>
      <c r="O3" s="2185"/>
      <c r="P3" s="2185"/>
      <c r="Q3" s="2185"/>
      <c r="R3" s="2195"/>
      <c r="S3" s="2186"/>
      <c r="T3" s="2186"/>
      <c r="U3" s="2186"/>
      <c r="V3" s="2186"/>
    </row>
    <row r="4">
      <c r="A4" s="2187" t="str">
        <f>VLOOKUP($A$1,Fighters!$A$2:$AI$81,13,FALSE)</f>
        <v>0</v>
      </c>
      <c r="B4" s="2179"/>
      <c r="C4" s="2188"/>
      <c r="G4" s="2189"/>
      <c r="H4" s="2196"/>
      <c r="I4" s="2196"/>
      <c r="J4" s="2193"/>
      <c r="K4" s="2194"/>
      <c r="L4" s="2194"/>
      <c r="M4" s="2194"/>
      <c r="N4" s="2185"/>
      <c r="O4" s="2185"/>
      <c r="P4" s="2185"/>
      <c r="Q4" s="2185"/>
      <c r="R4" s="2195"/>
      <c r="S4" s="2186"/>
      <c r="T4" s="2186"/>
      <c r="U4" s="2186"/>
      <c r="V4" s="2186"/>
    </row>
    <row r="5" ht="16.5" customHeight="1">
      <c r="A5" s="2178"/>
      <c r="B5" s="2179"/>
      <c r="C5" s="2188"/>
      <c r="G5" s="2189"/>
      <c r="H5" s="2197"/>
      <c r="I5" s="2197"/>
      <c r="J5" s="2198"/>
      <c r="K5" s="2199"/>
      <c r="L5" s="2200"/>
      <c r="M5" s="2200"/>
      <c r="N5" s="2185"/>
      <c r="O5" s="2185"/>
      <c r="P5" s="2185"/>
      <c r="Q5" s="2185"/>
      <c r="R5" s="2195"/>
      <c r="S5" s="2186"/>
      <c r="T5" s="2186"/>
      <c r="U5" s="2186"/>
      <c r="V5" s="2186"/>
    </row>
    <row r="6">
      <c r="A6" s="2179"/>
      <c r="B6" s="2179"/>
      <c r="C6" s="2188"/>
      <c r="G6" s="2189"/>
      <c r="H6" s="2196"/>
      <c r="I6" s="2201" t="s">
        <v>39</v>
      </c>
      <c r="J6" s="2199"/>
      <c r="K6" s="2202"/>
      <c r="L6" s="2200"/>
      <c r="M6" s="2200"/>
      <c r="N6" s="2185"/>
      <c r="O6" s="2185"/>
      <c r="P6" s="2185"/>
      <c r="Q6" s="2185"/>
      <c r="R6" s="2195"/>
      <c r="S6" s="2186"/>
      <c r="T6" s="2186"/>
      <c r="U6" s="2186"/>
      <c r="V6" s="2186"/>
    </row>
    <row r="7">
      <c r="A7" s="2179"/>
      <c r="B7" s="2179"/>
      <c r="C7" s="2188"/>
      <c r="G7" s="2189"/>
      <c r="H7" s="2197"/>
      <c r="I7" s="2197"/>
      <c r="J7" s="2199"/>
      <c r="K7" s="2202"/>
      <c r="L7" s="2200"/>
      <c r="M7" s="2200"/>
      <c r="N7" s="2185"/>
      <c r="O7" s="2185"/>
      <c r="P7" s="2185"/>
      <c r="Q7" s="2185"/>
      <c r="R7" s="2195"/>
      <c r="S7" s="2186"/>
      <c r="T7" s="2186"/>
      <c r="U7" s="2186"/>
      <c r="V7" s="2186"/>
    </row>
    <row r="8">
      <c r="A8" s="2179"/>
      <c r="B8" s="2179"/>
      <c r="C8" s="2188"/>
      <c r="G8" s="2189"/>
      <c r="H8" s="2203">
        <v>44379.83950700231</v>
      </c>
      <c r="I8" s="2181"/>
      <c r="J8" s="2182"/>
      <c r="K8" s="2199"/>
      <c r="L8" s="2200"/>
      <c r="M8" s="2200"/>
      <c r="N8" s="2185"/>
      <c r="O8" s="2185"/>
      <c r="P8" s="2185"/>
      <c r="Q8" s="2185"/>
      <c r="R8" s="2195"/>
      <c r="S8" s="2186"/>
      <c r="T8" s="2186"/>
      <c r="U8" s="2186"/>
      <c r="V8" s="2186"/>
    </row>
    <row r="9">
      <c r="A9" s="2179"/>
      <c r="B9" s="2179"/>
      <c r="C9" s="2188"/>
      <c r="G9" s="2189"/>
      <c r="H9" s="2190"/>
      <c r="I9" s="2191"/>
      <c r="J9" s="2192"/>
      <c r="K9" s="2186"/>
      <c r="L9" s="2185"/>
      <c r="M9" s="2185"/>
      <c r="N9" s="2185"/>
      <c r="O9" s="2185"/>
      <c r="P9" s="2185"/>
      <c r="Q9" s="2185"/>
      <c r="R9" s="2195"/>
      <c r="S9" s="2186"/>
      <c r="T9" s="2186"/>
      <c r="U9" s="2186"/>
      <c r="V9" s="2186"/>
    </row>
    <row r="10">
      <c r="A10" s="2179"/>
      <c r="B10" s="2179"/>
      <c r="C10" s="2188"/>
      <c r="G10" s="2189"/>
      <c r="H10" s="2204"/>
      <c r="I10" s="2204"/>
      <c r="J10" s="2186"/>
      <c r="K10" s="2186"/>
      <c r="L10" s="2185"/>
      <c r="M10" s="2185"/>
      <c r="N10" s="2185"/>
      <c r="O10" s="2185"/>
      <c r="P10" s="2185"/>
      <c r="Q10" s="2185"/>
      <c r="R10" s="2195"/>
      <c r="S10" s="2186"/>
      <c r="T10" s="2186"/>
      <c r="U10" s="2186"/>
      <c r="V10" s="2186"/>
    </row>
    <row r="11">
      <c r="A11" s="2205" t="s">
        <v>40</v>
      </c>
      <c r="B11" s="2182"/>
      <c r="C11" s="2188"/>
      <c r="G11" s="2189"/>
      <c r="H11" s="2197"/>
      <c r="I11" s="2197"/>
      <c r="J11" s="2186"/>
      <c r="K11" s="2186"/>
      <c r="L11" s="2185"/>
      <c r="M11" s="2185"/>
      <c r="N11" s="2185"/>
      <c r="O11" s="2185"/>
      <c r="P11" s="2185"/>
      <c r="Q11" s="2185"/>
      <c r="R11" s="2195"/>
      <c r="S11" s="2186"/>
      <c r="T11" s="2186"/>
      <c r="U11" s="2186"/>
      <c r="V11" s="2186"/>
    </row>
    <row r="12">
      <c r="A12" s="2190"/>
      <c r="B12" s="2192"/>
      <c r="C12" s="2190"/>
      <c r="D12" s="2191"/>
      <c r="E12" s="2191"/>
      <c r="F12" s="2191"/>
      <c r="G12" s="2192"/>
      <c r="H12" s="2206"/>
      <c r="I12" s="2206"/>
      <c r="J12" s="2179"/>
      <c r="K12" s="2179"/>
      <c r="L12" s="2185"/>
      <c r="M12" s="2185"/>
      <c r="N12" s="2185"/>
      <c r="O12" s="2185"/>
      <c r="P12" s="2185"/>
      <c r="Q12" s="2185"/>
      <c r="R12" s="2195"/>
      <c r="S12" s="2186"/>
      <c r="T12" s="2186"/>
      <c r="U12" s="2186"/>
      <c r="V12" s="218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82 [74th]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50F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2.035 [25th]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1.138 [39th]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71F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0.17391 [13th]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40 [6th]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1.795 [35th]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36F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0.099 [63rd]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19.37 [6th]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1.05 [43rd]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0.11 [6th]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40 [12th]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23F [85th]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1.2 [86th]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1.92 [86th]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0.062 [88th]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150</v>
      </c>
      <c r="D26" s="549" t="s">
        <v>718</v>
      </c>
      <c r="E26" s="139" t="s">
        <v>176</v>
      </c>
      <c r="F26" s="138">
        <v>2.4</v>
      </c>
      <c r="G26" s="139" t="s">
        <v>60</v>
      </c>
      <c r="H26" s="140" t="s">
        <v>3457</v>
      </c>
      <c r="I26" s="110"/>
      <c r="J26" s="109"/>
      <c r="K26" s="138"/>
      <c r="L26" s="282"/>
      <c r="M26" s="363"/>
      <c r="N26" s="363"/>
      <c r="O26" s="145">
        <v>0.0</v>
      </c>
      <c r="P26" s="145">
        <v>1.0</v>
      </c>
      <c r="Q26" s="145">
        <v>1.0</v>
      </c>
      <c r="R26" s="1584"/>
      <c r="S26" s="1584"/>
      <c r="T26" s="1584"/>
      <c r="U26" s="166" t="s">
        <v>62</v>
      </c>
      <c r="V26" s="100"/>
    </row>
    <row r="27" outlineLevel="1">
      <c r="A27" s="146"/>
      <c r="B27" s="147" t="s">
        <v>3458</v>
      </c>
      <c r="C27" s="2207" t="s">
        <v>73</v>
      </c>
      <c r="D27" s="107"/>
      <c r="E27" s="2208" t="s">
        <v>213</v>
      </c>
      <c r="F27" s="1940">
        <v>1.2</v>
      </c>
      <c r="G27" s="2208" t="s">
        <v>170</v>
      </c>
      <c r="H27" s="2209"/>
      <c r="I27" s="110"/>
      <c r="J27" s="109"/>
      <c r="K27" s="2210"/>
      <c r="L27" s="2210"/>
      <c r="M27" s="2210"/>
      <c r="N27" s="2210"/>
      <c r="O27" s="1940">
        <v>0.0</v>
      </c>
      <c r="P27" s="1940">
        <v>1.0</v>
      </c>
      <c r="Q27" s="1940">
        <v>1.0</v>
      </c>
      <c r="R27" s="1584"/>
      <c r="S27" s="1584"/>
      <c r="T27" s="1584"/>
      <c r="U27" s="156"/>
      <c r="V27" s="100"/>
    </row>
    <row r="28" outlineLevel="1">
      <c r="A28" s="146"/>
      <c r="B28" s="147" t="s">
        <v>63</v>
      </c>
      <c r="C28" s="216" t="s">
        <v>217</v>
      </c>
      <c r="D28" s="549" t="s">
        <v>268</v>
      </c>
      <c r="E28" s="139" t="s">
        <v>176</v>
      </c>
      <c r="F28" s="138">
        <v>2.4</v>
      </c>
      <c r="G28" s="139" t="s">
        <v>60</v>
      </c>
      <c r="H28" s="140" t="s">
        <v>3459</v>
      </c>
      <c r="I28" s="110"/>
      <c r="J28" s="109"/>
      <c r="K28" s="282"/>
      <c r="L28" s="282"/>
      <c r="M28" s="363"/>
      <c r="N28" s="363"/>
      <c r="O28" s="145">
        <v>0.0</v>
      </c>
      <c r="P28" s="145">
        <v>1.0</v>
      </c>
      <c r="Q28" s="145">
        <v>1.0</v>
      </c>
      <c r="R28" s="1584"/>
      <c r="S28" s="1584"/>
      <c r="T28" s="1584"/>
      <c r="U28" s="166" t="s">
        <v>69</v>
      </c>
      <c r="V28" s="100"/>
    </row>
    <row r="29" outlineLevel="1">
      <c r="A29" s="146"/>
      <c r="B29" s="147" t="s">
        <v>3460</v>
      </c>
      <c r="C29" s="2208" t="s">
        <v>86</v>
      </c>
      <c r="D29" s="107"/>
      <c r="E29" s="2208" t="s">
        <v>213</v>
      </c>
      <c r="F29" s="1940">
        <v>1.2</v>
      </c>
      <c r="G29" s="2208" t="s">
        <v>170</v>
      </c>
      <c r="H29" s="2209"/>
      <c r="I29" s="110"/>
      <c r="J29" s="109"/>
      <c r="K29" s="2210"/>
      <c r="L29" s="2210"/>
      <c r="M29" s="2210"/>
      <c r="N29" s="2210"/>
      <c r="O29" s="1940">
        <v>0.0</v>
      </c>
      <c r="P29" s="1940">
        <v>1.0</v>
      </c>
      <c r="Q29" s="1940">
        <v>1.0</v>
      </c>
      <c r="R29" s="1584"/>
      <c r="S29" s="1584"/>
      <c r="T29" s="1584"/>
      <c r="U29" s="156"/>
      <c r="V29" s="100"/>
    </row>
    <row r="30" outlineLevel="1">
      <c r="A30" s="146"/>
      <c r="B30" s="147" t="s">
        <v>70</v>
      </c>
      <c r="C30" s="216" t="s">
        <v>319</v>
      </c>
      <c r="D30" s="549" t="s">
        <v>193</v>
      </c>
      <c r="E30" s="216" t="s">
        <v>204</v>
      </c>
      <c r="F30" s="138">
        <v>3.5999999999999996</v>
      </c>
      <c r="G30" s="139" t="s">
        <v>147</v>
      </c>
      <c r="H30" s="159"/>
      <c r="I30" s="110"/>
      <c r="J30" s="109"/>
      <c r="K30" s="282"/>
      <c r="L30" s="282"/>
      <c r="M30" s="363"/>
      <c r="N30" s="363"/>
      <c r="O30" s="145">
        <v>0.0</v>
      </c>
      <c r="P30" s="145">
        <v>1.0</v>
      </c>
      <c r="Q30" s="145">
        <v>1.0</v>
      </c>
      <c r="R30" s="1584"/>
      <c r="S30" s="1584"/>
      <c r="T30" s="1584"/>
      <c r="U30" s="166" t="s">
        <v>76</v>
      </c>
      <c r="V30" s="100"/>
    </row>
    <row r="31" outlineLevel="1">
      <c r="A31" s="146"/>
      <c r="B31" s="147" t="s">
        <v>3461</v>
      </c>
      <c r="C31" s="2208" t="s">
        <v>319</v>
      </c>
      <c r="D31" s="107"/>
      <c r="E31" s="2208" t="s">
        <v>176</v>
      </c>
      <c r="F31" s="1940">
        <v>2.4</v>
      </c>
      <c r="G31" s="2208" t="s">
        <v>170</v>
      </c>
      <c r="H31" s="2209"/>
      <c r="I31" s="110"/>
      <c r="J31" s="109"/>
      <c r="K31" s="2210"/>
      <c r="L31" s="2210"/>
      <c r="M31" s="2210"/>
      <c r="N31" s="2210"/>
      <c r="O31" s="2211">
        <v>0.0</v>
      </c>
      <c r="P31" s="2211">
        <v>1.0</v>
      </c>
      <c r="Q31" s="2211">
        <v>1.0</v>
      </c>
      <c r="R31" s="1584"/>
      <c r="S31" s="1584"/>
      <c r="T31" s="1584"/>
      <c r="U31" s="156"/>
      <c r="V31" s="100"/>
    </row>
    <row r="32" outlineLevel="1">
      <c r="A32" s="146"/>
      <c r="B32" s="147" t="s">
        <v>703</v>
      </c>
      <c r="C32" s="657"/>
      <c r="D32" s="216" t="s">
        <v>176</v>
      </c>
      <c r="E32" s="659"/>
      <c r="F32" s="658"/>
      <c r="G32" s="659"/>
      <c r="H32" s="159"/>
      <c r="I32" s="110"/>
      <c r="J32" s="109"/>
      <c r="K32" s="261"/>
      <c r="L32" s="261"/>
      <c r="M32" s="261"/>
      <c r="N32" s="261"/>
      <c r="O32" s="2212"/>
      <c r="P32" s="2212"/>
      <c r="Q32" s="2212"/>
      <c r="R32" s="1584"/>
      <c r="S32" s="1584"/>
      <c r="T32" s="1584"/>
      <c r="U32" s="166" t="s">
        <v>76</v>
      </c>
      <c r="V32" s="100"/>
    </row>
    <row r="33" outlineLevel="1">
      <c r="A33" s="146"/>
      <c r="B33" s="147" t="s">
        <v>704</v>
      </c>
      <c r="C33" s="216" t="s">
        <v>3462</v>
      </c>
      <c r="D33" s="195" t="s">
        <v>129</v>
      </c>
      <c r="E33" s="216" t="s">
        <v>1431</v>
      </c>
      <c r="F33" s="138">
        <v>0.36</v>
      </c>
      <c r="G33" s="450" t="s">
        <v>60</v>
      </c>
      <c r="H33" s="151" t="s">
        <v>3463</v>
      </c>
      <c r="I33" s="110"/>
      <c r="J33" s="109"/>
      <c r="K33" s="282"/>
      <c r="L33" s="282"/>
      <c r="M33" s="363"/>
      <c r="N33" s="363"/>
      <c r="O33" s="145">
        <v>0.0</v>
      </c>
      <c r="P33" s="145">
        <v>1.0</v>
      </c>
      <c r="Q33" s="145">
        <v>1.0</v>
      </c>
      <c r="R33" s="1584"/>
      <c r="S33" s="1584"/>
      <c r="T33" s="1584"/>
      <c r="U33" s="146"/>
      <c r="V33" s="100"/>
    </row>
    <row r="34" outlineLevel="1">
      <c r="A34" s="146"/>
      <c r="B34" s="147" t="s">
        <v>3464</v>
      </c>
      <c r="C34" s="2208" t="s">
        <v>3465</v>
      </c>
      <c r="D34" s="107"/>
      <c r="E34" s="2208" t="s">
        <v>3466</v>
      </c>
      <c r="F34" s="1940">
        <v>0.12</v>
      </c>
      <c r="G34" s="2208" t="s">
        <v>170</v>
      </c>
      <c r="H34" s="2213" t="s">
        <v>3467</v>
      </c>
      <c r="I34" s="110"/>
      <c r="J34" s="109"/>
      <c r="K34" s="2210"/>
      <c r="L34" s="2210"/>
      <c r="M34" s="2210"/>
      <c r="N34" s="2210"/>
      <c r="O34" s="1940">
        <v>0.0</v>
      </c>
      <c r="P34" s="1940">
        <v>1.0</v>
      </c>
      <c r="Q34" s="1940">
        <v>1.0</v>
      </c>
      <c r="R34" s="1584"/>
      <c r="S34" s="1584"/>
      <c r="T34" s="1584"/>
      <c r="U34" s="156"/>
      <c r="V34" s="100"/>
    </row>
    <row r="35" outlineLevel="1">
      <c r="A35" s="146"/>
      <c r="B35" s="147" t="s">
        <v>708</v>
      </c>
      <c r="C35" s="216" t="s">
        <v>217</v>
      </c>
      <c r="D35" s="195" t="s">
        <v>118</v>
      </c>
      <c r="E35" s="216" t="s">
        <v>535</v>
      </c>
      <c r="F35" s="138">
        <v>3.0</v>
      </c>
      <c r="G35" s="467" t="s">
        <v>147</v>
      </c>
      <c r="H35" s="151" t="s">
        <v>411</v>
      </c>
      <c r="I35" s="110"/>
      <c r="J35" s="109"/>
      <c r="K35" s="282"/>
      <c r="L35" s="282"/>
      <c r="M35" s="363"/>
      <c r="N35" s="363"/>
      <c r="O35" s="145">
        <v>0.0</v>
      </c>
      <c r="P35" s="145">
        <v>1.0</v>
      </c>
      <c r="Q35" s="145">
        <v>1.0</v>
      </c>
      <c r="R35" s="1584"/>
      <c r="S35" s="1584"/>
      <c r="T35" s="1584"/>
      <c r="U35" s="166" t="s">
        <v>76</v>
      </c>
      <c r="V35" s="100"/>
    </row>
    <row r="36" outlineLevel="1">
      <c r="A36" s="156"/>
      <c r="B36" s="147" t="s">
        <v>3468</v>
      </c>
      <c r="C36" s="2208" t="s">
        <v>217</v>
      </c>
      <c r="D36" s="107"/>
      <c r="E36" s="2208" t="s">
        <v>213</v>
      </c>
      <c r="F36" s="1940">
        <v>1.2</v>
      </c>
      <c r="G36" s="2208" t="s">
        <v>170</v>
      </c>
      <c r="H36" s="2213" t="s">
        <v>411</v>
      </c>
      <c r="I36" s="110"/>
      <c r="J36" s="109"/>
      <c r="K36" s="2210"/>
      <c r="L36" s="2210"/>
      <c r="M36" s="2210"/>
      <c r="N36" s="2210"/>
      <c r="O36" s="1940">
        <v>0.0</v>
      </c>
      <c r="P36" s="1940">
        <v>1.0</v>
      </c>
      <c r="Q36" s="1940">
        <v>1.0</v>
      </c>
      <c r="R36" s="1584"/>
      <c r="S36" s="1584"/>
      <c r="T36" s="1584"/>
      <c r="U36" s="156"/>
      <c r="V36" s="100"/>
    </row>
    <row r="37" outlineLevel="1">
      <c r="A37" s="133" t="s">
        <v>77</v>
      </c>
      <c r="B37" s="147" t="s">
        <v>125</v>
      </c>
      <c r="C37" s="216" t="s">
        <v>543</v>
      </c>
      <c r="D37" s="195" t="s">
        <v>628</v>
      </c>
      <c r="E37" s="216" t="s">
        <v>204</v>
      </c>
      <c r="F37" s="138">
        <v>3.5999999999999996</v>
      </c>
      <c r="G37" s="139" t="s">
        <v>147</v>
      </c>
      <c r="H37" s="456"/>
      <c r="I37" s="164"/>
      <c r="J37" s="104"/>
      <c r="K37" s="138"/>
      <c r="L37" s="282"/>
      <c r="M37" s="363"/>
      <c r="N37" s="363"/>
      <c r="O37" s="145">
        <v>0.0</v>
      </c>
      <c r="P37" s="145">
        <v>1.0</v>
      </c>
      <c r="Q37" s="145">
        <v>1.0</v>
      </c>
      <c r="R37" s="1584"/>
      <c r="S37" s="1584"/>
      <c r="T37" s="1584"/>
      <c r="U37" s="166" t="s">
        <v>69</v>
      </c>
      <c r="V37" s="100"/>
    </row>
    <row r="38" outlineLevel="1">
      <c r="A38" s="146"/>
      <c r="B38" s="147" t="s">
        <v>131</v>
      </c>
      <c r="C38" s="216" t="s">
        <v>894</v>
      </c>
      <c r="D38" s="210"/>
      <c r="E38" s="216" t="s">
        <v>73</v>
      </c>
      <c r="F38" s="138">
        <v>4.8</v>
      </c>
      <c r="G38" s="139" t="s">
        <v>75</v>
      </c>
      <c r="H38" s="212"/>
      <c r="J38" s="210"/>
      <c r="K38" s="282"/>
      <c r="L38" s="282"/>
      <c r="M38" s="363"/>
      <c r="N38" s="363"/>
      <c r="O38" s="145">
        <v>0.0</v>
      </c>
      <c r="P38" s="145">
        <v>1.0</v>
      </c>
      <c r="Q38" s="145">
        <v>1.0</v>
      </c>
      <c r="R38" s="1584"/>
      <c r="S38" s="1584"/>
      <c r="T38" s="1584"/>
      <c r="U38" s="146"/>
      <c r="V38" s="100"/>
    </row>
    <row r="39" outlineLevel="1">
      <c r="A39" s="156"/>
      <c r="B39" s="147" t="s">
        <v>3469</v>
      </c>
      <c r="C39" s="2208" t="s">
        <v>549</v>
      </c>
      <c r="D39" s="107"/>
      <c r="E39" s="2208" t="s">
        <v>204</v>
      </c>
      <c r="F39" s="1940">
        <v>3.5999999999999996</v>
      </c>
      <c r="G39" s="2208" t="s">
        <v>170</v>
      </c>
      <c r="H39" s="106"/>
      <c r="I39" s="168"/>
      <c r="J39" s="107"/>
      <c r="K39" s="2210"/>
      <c r="L39" s="2210"/>
      <c r="M39" s="2210"/>
      <c r="N39" s="2210"/>
      <c r="O39" s="1940">
        <v>0.0</v>
      </c>
      <c r="P39" s="1940">
        <v>1.0</v>
      </c>
      <c r="Q39" s="1940">
        <v>1.0</v>
      </c>
      <c r="R39" s="1584"/>
      <c r="S39" s="1584"/>
      <c r="T39" s="1584"/>
      <c r="U39" s="156"/>
      <c r="V39" s="100"/>
    </row>
    <row r="40" outlineLevel="1">
      <c r="A40" s="133" t="s">
        <v>89</v>
      </c>
      <c r="B40" s="147"/>
      <c r="C40" s="216" t="s">
        <v>277</v>
      </c>
      <c r="D40" s="195" t="s">
        <v>79</v>
      </c>
      <c r="E40" s="216" t="s">
        <v>3470</v>
      </c>
      <c r="F40" s="138" t="s">
        <v>3471</v>
      </c>
      <c r="G40" s="139" t="s">
        <v>716</v>
      </c>
      <c r="H40" s="456"/>
      <c r="I40" s="164"/>
      <c r="J40" s="104"/>
      <c r="K40" s="138"/>
      <c r="L40" s="282"/>
      <c r="M40" s="363"/>
      <c r="N40" s="363"/>
      <c r="O40" s="145">
        <v>0.0</v>
      </c>
      <c r="P40" s="145">
        <v>1.0</v>
      </c>
      <c r="Q40" s="145">
        <v>1.0</v>
      </c>
      <c r="R40" s="1584"/>
      <c r="S40" s="1584"/>
      <c r="T40" s="1584"/>
      <c r="U40" s="166" t="s">
        <v>96</v>
      </c>
      <c r="V40" s="100"/>
    </row>
    <row r="41" outlineLevel="1">
      <c r="A41" s="156"/>
      <c r="B41" s="147" t="s">
        <v>3469</v>
      </c>
      <c r="C41" s="2208" t="s">
        <v>161</v>
      </c>
      <c r="D41" s="107"/>
      <c r="E41" s="2208" t="s">
        <v>1438</v>
      </c>
      <c r="F41" s="1940">
        <v>5.3999999999999995</v>
      </c>
      <c r="G41" s="2208" t="s">
        <v>60</v>
      </c>
      <c r="H41" s="106"/>
      <c r="I41" s="168"/>
      <c r="J41" s="107"/>
      <c r="K41" s="1940"/>
      <c r="L41" s="2210"/>
      <c r="M41" s="2210"/>
      <c r="N41" s="2210"/>
      <c r="O41" s="1940">
        <v>0.0</v>
      </c>
      <c r="P41" s="1940">
        <v>1.0</v>
      </c>
      <c r="Q41" s="1940">
        <v>1.0</v>
      </c>
      <c r="R41" s="1584"/>
      <c r="S41" s="1584"/>
      <c r="T41" s="1584"/>
      <c r="U41" s="156"/>
      <c r="V41" s="100"/>
    </row>
    <row r="42" outlineLevel="1">
      <c r="A42" s="133" t="s">
        <v>97</v>
      </c>
      <c r="B42" s="160"/>
      <c r="C42" s="216" t="s">
        <v>975</v>
      </c>
      <c r="D42" s="195" t="s">
        <v>628</v>
      </c>
      <c r="E42" s="216" t="s">
        <v>128</v>
      </c>
      <c r="F42" s="138">
        <v>12.0</v>
      </c>
      <c r="G42" s="139" t="s">
        <v>121</v>
      </c>
      <c r="H42" s="283" t="s">
        <v>3472</v>
      </c>
      <c r="I42" s="164"/>
      <c r="J42" s="104"/>
      <c r="K42" s="282"/>
      <c r="L42" s="282"/>
      <c r="M42" s="363"/>
      <c r="N42" s="363"/>
      <c r="O42" s="145">
        <v>0.0</v>
      </c>
      <c r="P42" s="145">
        <v>1.0</v>
      </c>
      <c r="Q42" s="145">
        <v>1.0</v>
      </c>
      <c r="R42" s="1584"/>
      <c r="S42" s="1584"/>
      <c r="T42" s="1584"/>
      <c r="U42" s="166" t="s">
        <v>62</v>
      </c>
      <c r="V42" s="100"/>
    </row>
    <row r="43" outlineLevel="1">
      <c r="A43" s="146"/>
      <c r="B43" s="147" t="s">
        <v>84</v>
      </c>
      <c r="C43" s="216" t="s">
        <v>844</v>
      </c>
      <c r="D43" s="210"/>
      <c r="E43" s="216" t="s">
        <v>80</v>
      </c>
      <c r="F43" s="138">
        <v>9.6</v>
      </c>
      <c r="G43" s="139" t="s">
        <v>123</v>
      </c>
      <c r="H43" s="212"/>
      <c r="J43" s="210"/>
      <c r="K43" s="282"/>
      <c r="L43" s="282"/>
      <c r="M43" s="363"/>
      <c r="N43" s="363"/>
      <c r="O43" s="145"/>
      <c r="P43" s="145"/>
      <c r="Q43" s="145"/>
      <c r="R43" s="1584"/>
      <c r="S43" s="1584"/>
      <c r="T43" s="1584"/>
      <c r="U43" s="146"/>
      <c r="V43" s="100"/>
    </row>
    <row r="44" outlineLevel="1">
      <c r="A44" s="146"/>
      <c r="B44" s="147" t="s">
        <v>3469</v>
      </c>
      <c r="C44" s="2208" t="s">
        <v>204</v>
      </c>
      <c r="D44" s="210"/>
      <c r="E44" s="2208" t="s">
        <v>80</v>
      </c>
      <c r="F44" s="1940">
        <v>9.6</v>
      </c>
      <c r="G44" s="2208" t="s">
        <v>60</v>
      </c>
      <c r="H44" s="212"/>
      <c r="J44" s="210"/>
      <c r="K44" s="1940"/>
      <c r="L44" s="2210"/>
      <c r="M44" s="2210"/>
      <c r="N44" s="2210"/>
      <c r="O44" s="1940">
        <v>0.0</v>
      </c>
      <c r="P44" s="1940">
        <v>1.0</v>
      </c>
      <c r="Q44" s="1940">
        <v>1.0</v>
      </c>
      <c r="R44" s="1584"/>
      <c r="S44" s="1584"/>
      <c r="T44" s="1584"/>
      <c r="U44" s="146"/>
      <c r="V44" s="100"/>
    </row>
    <row r="45" outlineLevel="1">
      <c r="A45" s="146"/>
      <c r="B45" s="147" t="s">
        <v>3473</v>
      </c>
      <c r="C45" s="2208" t="s">
        <v>717</v>
      </c>
      <c r="D45" s="210"/>
      <c r="E45" s="2208" t="s">
        <v>73</v>
      </c>
      <c r="F45" s="1940">
        <v>4.8</v>
      </c>
      <c r="G45" s="2208" t="s">
        <v>170</v>
      </c>
      <c r="H45" s="212"/>
      <c r="J45" s="210"/>
      <c r="K45" s="1940"/>
      <c r="L45" s="2210"/>
      <c r="M45" s="2210"/>
      <c r="N45" s="2210"/>
      <c r="O45" s="1940">
        <v>0.0</v>
      </c>
      <c r="P45" s="1940">
        <v>1.0</v>
      </c>
      <c r="Q45" s="1940">
        <v>1.0</v>
      </c>
      <c r="R45" s="1584"/>
      <c r="S45" s="1584"/>
      <c r="T45" s="1584"/>
      <c r="U45" s="146"/>
      <c r="V45" s="100"/>
    </row>
    <row r="46" outlineLevel="1">
      <c r="A46" s="156"/>
      <c r="B46" s="147" t="s">
        <v>3474</v>
      </c>
      <c r="C46" s="2208" t="s">
        <v>322</v>
      </c>
      <c r="D46" s="107"/>
      <c r="E46" s="2208" t="s">
        <v>204</v>
      </c>
      <c r="F46" s="1940">
        <v>3.5999999999999996</v>
      </c>
      <c r="G46" s="2208" t="s">
        <v>170</v>
      </c>
      <c r="H46" s="106"/>
      <c r="I46" s="168"/>
      <c r="J46" s="107"/>
      <c r="K46" s="1940"/>
      <c r="L46" s="2210"/>
      <c r="M46" s="2210"/>
      <c r="N46" s="2210"/>
      <c r="O46" s="1940">
        <v>0.0</v>
      </c>
      <c r="P46" s="1940">
        <v>1.0</v>
      </c>
      <c r="Q46" s="1940">
        <v>1.0</v>
      </c>
      <c r="R46" s="1584"/>
      <c r="S46" s="1584"/>
      <c r="T46" s="1584"/>
      <c r="U46" s="156"/>
      <c r="V46" s="100"/>
    </row>
    <row r="47" outlineLevel="1">
      <c r="A47" s="133" t="s">
        <v>103</v>
      </c>
      <c r="B47" s="147"/>
      <c r="C47" s="216" t="s">
        <v>713</v>
      </c>
      <c r="D47" s="195" t="s">
        <v>964</v>
      </c>
      <c r="E47" s="216" t="s">
        <v>100</v>
      </c>
      <c r="F47" s="138">
        <v>6.6</v>
      </c>
      <c r="G47" s="139" t="s">
        <v>102</v>
      </c>
      <c r="H47" s="456"/>
      <c r="I47" s="164"/>
      <c r="J47" s="104"/>
      <c r="K47" s="145"/>
      <c r="L47" s="363"/>
      <c r="M47" s="363"/>
      <c r="N47" s="363"/>
      <c r="O47" s="145">
        <v>0.0</v>
      </c>
      <c r="P47" s="145">
        <v>1.0</v>
      </c>
      <c r="Q47" s="145">
        <v>1.0</v>
      </c>
      <c r="R47" s="1584"/>
      <c r="S47" s="1584"/>
      <c r="T47" s="1584"/>
      <c r="U47" s="166" t="s">
        <v>62</v>
      </c>
      <c r="V47" s="100"/>
    </row>
    <row r="48" outlineLevel="1">
      <c r="A48" s="156"/>
      <c r="B48" s="147" t="s">
        <v>3469</v>
      </c>
      <c r="C48" s="2208" t="s">
        <v>741</v>
      </c>
      <c r="D48" s="107"/>
      <c r="E48" s="2208" t="s">
        <v>651</v>
      </c>
      <c r="F48" s="1940">
        <v>4.2</v>
      </c>
      <c r="G48" s="2208" t="s">
        <v>170</v>
      </c>
      <c r="H48" s="106"/>
      <c r="I48" s="168"/>
      <c r="J48" s="107"/>
      <c r="K48" s="2210"/>
      <c r="L48" s="2210"/>
      <c r="M48" s="2210"/>
      <c r="N48" s="2210"/>
      <c r="O48" s="1940">
        <v>0.0</v>
      </c>
      <c r="P48" s="1940">
        <v>1.0</v>
      </c>
      <c r="Q48" s="1940">
        <v>1.0</v>
      </c>
      <c r="R48" s="1584"/>
      <c r="S48" s="1584"/>
      <c r="T48" s="1584"/>
      <c r="U48" s="156"/>
      <c r="V48" s="100"/>
    </row>
    <row r="49" outlineLevel="1">
      <c r="A49" s="133" t="s">
        <v>109</v>
      </c>
      <c r="B49" s="147" t="s">
        <v>90</v>
      </c>
      <c r="C49" s="467" t="s">
        <v>1137</v>
      </c>
      <c r="D49" s="455" t="s">
        <v>455</v>
      </c>
      <c r="E49" s="467" t="s">
        <v>129</v>
      </c>
      <c r="F49" s="138">
        <v>14.399999999999999</v>
      </c>
      <c r="G49" s="139" t="s">
        <v>123</v>
      </c>
      <c r="H49" s="163" t="s">
        <v>1946</v>
      </c>
      <c r="I49" s="164"/>
      <c r="J49" s="104"/>
      <c r="K49" s="282"/>
      <c r="L49" s="282"/>
      <c r="M49" s="363"/>
      <c r="N49" s="363"/>
      <c r="O49" s="145">
        <v>0.0</v>
      </c>
      <c r="P49" s="145">
        <v>1.0</v>
      </c>
      <c r="Q49" s="145">
        <v>1.0</v>
      </c>
      <c r="R49" s="1584"/>
      <c r="S49" s="1584"/>
      <c r="T49" s="1584"/>
      <c r="U49" s="166" t="s">
        <v>88</v>
      </c>
      <c r="V49" s="100"/>
    </row>
    <row r="50" outlineLevel="1">
      <c r="A50" s="156"/>
      <c r="B50" s="147" t="s">
        <v>3475</v>
      </c>
      <c r="C50" s="2208" t="s">
        <v>203</v>
      </c>
      <c r="D50" s="107"/>
      <c r="E50" s="2208" t="s">
        <v>106</v>
      </c>
      <c r="F50" s="1940" t="s">
        <v>107</v>
      </c>
      <c r="G50" s="2208" t="s">
        <v>923</v>
      </c>
      <c r="H50" s="106"/>
      <c r="I50" s="168"/>
      <c r="J50" s="107"/>
      <c r="K50" s="2210"/>
      <c r="L50" s="2210"/>
      <c r="M50" s="2210"/>
      <c r="N50" s="2210"/>
      <c r="O50" s="1940">
        <v>0.0</v>
      </c>
      <c r="P50" s="1940">
        <v>1.0</v>
      </c>
      <c r="Q50" s="1940">
        <v>1.0</v>
      </c>
      <c r="R50" s="1584"/>
      <c r="S50" s="1584"/>
      <c r="T50" s="1584"/>
      <c r="U50" s="156"/>
      <c r="V50" s="100"/>
    </row>
    <row r="51" outlineLevel="1">
      <c r="A51" s="133" t="s">
        <v>116</v>
      </c>
      <c r="B51" s="160"/>
      <c r="C51" s="467" t="s">
        <v>2389</v>
      </c>
      <c r="D51" s="455" t="s">
        <v>111</v>
      </c>
      <c r="E51" s="467" t="s">
        <v>129</v>
      </c>
      <c r="F51" s="138">
        <v>14.399999999999999</v>
      </c>
      <c r="G51" s="139" t="s">
        <v>123</v>
      </c>
      <c r="H51" s="456" t="s">
        <v>3476</v>
      </c>
      <c r="I51" s="164"/>
      <c r="J51" s="104"/>
      <c r="K51" s="363"/>
      <c r="L51" s="363"/>
      <c r="M51" s="363"/>
      <c r="N51" s="363"/>
      <c r="O51" s="145">
        <v>0.0</v>
      </c>
      <c r="P51" s="145">
        <v>1.0</v>
      </c>
      <c r="Q51" s="145">
        <v>1.0</v>
      </c>
      <c r="R51" s="1584"/>
      <c r="S51" s="1584"/>
      <c r="T51" s="1584"/>
      <c r="U51" s="166" t="s">
        <v>62</v>
      </c>
      <c r="V51" s="100"/>
    </row>
    <row r="52" outlineLevel="1">
      <c r="A52" s="146"/>
      <c r="B52" s="147" t="s">
        <v>3469</v>
      </c>
      <c r="C52" s="2208" t="s">
        <v>627</v>
      </c>
      <c r="D52" s="210"/>
      <c r="E52" s="2208" t="s">
        <v>86</v>
      </c>
      <c r="F52" s="1940">
        <v>7.199999999999999</v>
      </c>
      <c r="G52" s="2208" t="s">
        <v>60</v>
      </c>
      <c r="H52" s="212"/>
      <c r="J52" s="210"/>
      <c r="K52" s="2210"/>
      <c r="L52" s="2210"/>
      <c r="M52" s="2210"/>
      <c r="N52" s="2210"/>
      <c r="O52" s="1940">
        <v>0.0</v>
      </c>
      <c r="P52" s="1940">
        <v>1.0</v>
      </c>
      <c r="Q52" s="1940">
        <v>1.0</v>
      </c>
      <c r="R52" s="1584"/>
      <c r="S52" s="1584"/>
      <c r="T52" s="1584"/>
      <c r="U52" s="146"/>
      <c r="V52" s="100"/>
    </row>
    <row r="53" outlineLevel="1">
      <c r="A53" s="156"/>
      <c r="B53" s="147" t="s">
        <v>3477</v>
      </c>
      <c r="C53" s="2208" t="s">
        <v>1734</v>
      </c>
      <c r="D53" s="107"/>
      <c r="E53" s="2208" t="s">
        <v>150</v>
      </c>
      <c r="F53" s="1940">
        <v>6.0</v>
      </c>
      <c r="G53" s="2208" t="s">
        <v>60</v>
      </c>
      <c r="H53" s="106"/>
      <c r="I53" s="168"/>
      <c r="J53" s="107"/>
      <c r="K53" s="2210"/>
      <c r="L53" s="2210"/>
      <c r="M53" s="2210"/>
      <c r="N53" s="2210"/>
      <c r="O53" s="1940">
        <v>0.0</v>
      </c>
      <c r="P53" s="1940">
        <v>1.0</v>
      </c>
      <c r="Q53" s="1940">
        <v>1.0</v>
      </c>
      <c r="R53" s="1584"/>
      <c r="S53" s="1584"/>
      <c r="T53" s="1584"/>
      <c r="U53" s="156"/>
      <c r="V53" s="100"/>
    </row>
    <row r="54" outlineLevel="1">
      <c r="A54" s="133" t="s">
        <v>124</v>
      </c>
      <c r="B54" s="147" t="s">
        <v>125</v>
      </c>
      <c r="C54" s="216" t="s">
        <v>217</v>
      </c>
      <c r="D54" s="455" t="s">
        <v>384</v>
      </c>
      <c r="E54" s="467" t="s">
        <v>93</v>
      </c>
      <c r="F54" s="138">
        <v>8.4</v>
      </c>
      <c r="G54" s="139" t="s">
        <v>102</v>
      </c>
      <c r="H54" s="163" t="s">
        <v>553</v>
      </c>
      <c r="I54" s="164"/>
      <c r="J54" s="104"/>
      <c r="K54" s="282"/>
      <c r="L54" s="282"/>
      <c r="M54" s="363"/>
      <c r="N54" s="363"/>
      <c r="O54" s="145">
        <v>0.0</v>
      </c>
      <c r="P54" s="145">
        <v>1.0</v>
      </c>
      <c r="Q54" s="145">
        <v>1.0</v>
      </c>
      <c r="R54" s="1584"/>
      <c r="S54" s="1584"/>
      <c r="T54" s="1584"/>
      <c r="U54" s="166" t="s">
        <v>62</v>
      </c>
      <c r="V54" s="100"/>
    </row>
    <row r="55" outlineLevel="1">
      <c r="A55" s="146"/>
      <c r="B55" s="147" t="s">
        <v>131</v>
      </c>
      <c r="C55" s="216" t="s">
        <v>203</v>
      </c>
      <c r="D55" s="210"/>
      <c r="E55" s="467" t="s">
        <v>274</v>
      </c>
      <c r="F55" s="138">
        <v>10.799999999999999</v>
      </c>
      <c r="G55" s="139" t="s">
        <v>95</v>
      </c>
      <c r="H55" s="212"/>
      <c r="J55" s="210"/>
      <c r="K55" s="282"/>
      <c r="L55" s="282"/>
      <c r="M55" s="363"/>
      <c r="N55" s="363"/>
      <c r="O55" s="145">
        <v>0.0</v>
      </c>
      <c r="P55" s="145">
        <v>1.0</v>
      </c>
      <c r="Q55" s="145">
        <v>1.0</v>
      </c>
      <c r="R55" s="1584"/>
      <c r="S55" s="1584"/>
      <c r="T55" s="1584"/>
      <c r="U55" s="146"/>
      <c r="V55" s="100"/>
    </row>
    <row r="56" outlineLevel="1">
      <c r="A56" s="146"/>
      <c r="B56" s="147" t="s">
        <v>3478</v>
      </c>
      <c r="C56" s="2208" t="s">
        <v>319</v>
      </c>
      <c r="D56" s="210"/>
      <c r="E56" s="2208" t="s">
        <v>73</v>
      </c>
      <c r="F56" s="1940">
        <v>4.8</v>
      </c>
      <c r="G56" s="2208" t="s">
        <v>170</v>
      </c>
      <c r="H56" s="212"/>
      <c r="J56" s="210"/>
      <c r="K56" s="2210"/>
      <c r="L56" s="2210"/>
      <c r="M56" s="2210"/>
      <c r="N56" s="2210"/>
      <c r="O56" s="1940">
        <v>0.0</v>
      </c>
      <c r="P56" s="1940">
        <v>1.0</v>
      </c>
      <c r="Q56" s="1940">
        <v>1.0</v>
      </c>
      <c r="R56" s="1584"/>
      <c r="S56" s="1584"/>
      <c r="T56" s="1584"/>
      <c r="U56" s="146"/>
      <c r="V56" s="100"/>
    </row>
    <row r="57" outlineLevel="1">
      <c r="A57" s="156"/>
      <c r="B57" s="147" t="s">
        <v>3479</v>
      </c>
      <c r="C57" s="2208" t="s">
        <v>334</v>
      </c>
      <c r="D57" s="107"/>
      <c r="E57" s="2208" t="s">
        <v>150</v>
      </c>
      <c r="F57" s="1940">
        <v>6.0</v>
      </c>
      <c r="G57" s="2208" t="s">
        <v>60</v>
      </c>
      <c r="H57" s="106"/>
      <c r="I57" s="168"/>
      <c r="J57" s="107"/>
      <c r="K57" s="2210"/>
      <c r="L57" s="2210"/>
      <c r="M57" s="2210"/>
      <c r="N57" s="2210"/>
      <c r="O57" s="1940">
        <v>0.0</v>
      </c>
      <c r="P57" s="1940">
        <v>1.0</v>
      </c>
      <c r="Q57" s="1940">
        <v>1.0</v>
      </c>
      <c r="R57" s="1584"/>
      <c r="S57" s="1584"/>
      <c r="T57" s="1584"/>
      <c r="U57" s="156"/>
      <c r="V57" s="100"/>
    </row>
    <row r="58">
      <c r="A58" s="118"/>
      <c r="B58" s="176"/>
      <c r="C58" s="118"/>
      <c r="E58" s="118"/>
      <c r="F58" s="177"/>
      <c r="G58" s="177"/>
      <c r="H58" s="118"/>
      <c r="I58" s="118"/>
      <c r="J58" s="118"/>
      <c r="K58" s="118"/>
      <c r="L58" s="118"/>
      <c r="M58" s="118"/>
      <c r="N58" s="118"/>
      <c r="O58" s="118"/>
      <c r="P58" s="118"/>
      <c r="Q58" s="118"/>
      <c r="R58" s="118"/>
      <c r="S58" s="118"/>
      <c r="T58" s="118"/>
      <c r="U58" s="118"/>
      <c r="V58" s="118"/>
    </row>
    <row r="59">
      <c r="A59" s="178" t="s">
        <v>133</v>
      </c>
      <c r="B59" s="104"/>
      <c r="C59" s="179"/>
      <c r="D59" s="179"/>
      <c r="E59" s="179"/>
      <c r="F59" s="180"/>
      <c r="G59" s="179"/>
      <c r="H59" s="180"/>
      <c r="I59" s="180"/>
      <c r="J59" s="181"/>
      <c r="K59" s="180"/>
      <c r="L59" s="180"/>
      <c r="M59" s="180"/>
      <c r="N59" s="180"/>
      <c r="O59" s="180"/>
      <c r="P59" s="180"/>
      <c r="Q59" s="180"/>
      <c r="R59" s="180"/>
      <c r="S59" s="180"/>
      <c r="T59" s="180"/>
      <c r="U59" s="180"/>
      <c r="V59" s="180"/>
    </row>
    <row r="60" outlineLevel="1">
      <c r="A60" s="106"/>
      <c r="B60" s="107"/>
      <c r="C60" s="182" t="s">
        <v>48</v>
      </c>
      <c r="D60" s="183" t="s">
        <v>49</v>
      </c>
      <c r="E60" s="182" t="s">
        <v>50</v>
      </c>
      <c r="F60" s="184" t="s">
        <v>51</v>
      </c>
      <c r="G60" s="184" t="s">
        <v>134</v>
      </c>
      <c r="H60" s="185" t="s">
        <v>52</v>
      </c>
      <c r="I60" s="184" t="str">
        <f>'テンプレート'!I56</f>
        <v>着地隙</v>
      </c>
      <c r="J60" s="184" t="s">
        <v>136</v>
      </c>
      <c r="K60" s="184" t="str">
        <f>'テンプレート'!K56</f>
        <v>ベクトル</v>
      </c>
      <c r="L60" s="184" t="str">
        <f>'テンプレート'!L56</f>
        <v>KBG (R.E.)</v>
      </c>
      <c r="M60" s="184" t="str">
        <f>'テンプレート'!M56</f>
        <v>BKB (R.A.)</v>
      </c>
      <c r="N60" s="184" t="str">
        <f>'テンプレート'!N56</f>
        <v>FKB (R.F.)</v>
      </c>
      <c r="O60" s="186" t="str">
        <f>'テンプレート'!O56</f>
        <v>盾削り値</v>
      </c>
      <c r="P60" s="184" t="str">
        <f>'テンプレート'!P56</f>
        <v>ﾋｯﾄｽﾄｯﾌﾟ</v>
      </c>
      <c r="Q60" s="186" t="str">
        <f>'テンプレート'!Q56</f>
        <v>ずらし</v>
      </c>
      <c r="R60" s="187" t="str">
        <f>'テンプレート'!R56</f>
        <v>備考</v>
      </c>
      <c r="S60" s="110"/>
      <c r="T60" s="110"/>
      <c r="U60" s="110"/>
      <c r="V60" s="110"/>
    </row>
    <row r="61" outlineLevel="1">
      <c r="A61" s="188" t="s">
        <v>144</v>
      </c>
      <c r="B61" s="373"/>
      <c r="C61" s="365" t="s">
        <v>1227</v>
      </c>
      <c r="D61" s="195" t="s">
        <v>127</v>
      </c>
      <c r="E61" s="401" t="s">
        <v>3480</v>
      </c>
      <c r="F61" s="193" t="s">
        <v>3481</v>
      </c>
      <c r="G61" s="193" t="s">
        <v>3482</v>
      </c>
      <c r="H61" s="138" t="s">
        <v>451</v>
      </c>
      <c r="I61" s="454" t="str">
        <f t="array" ref="I61">INDEX('空中攻撃'!$O$3:$AA$109, MATCH($A$1,'空中攻撃'!$A$3:$A$109,0), MATCH(A61,'空中攻撃'!$O$2:$S$2,0))</f>
        <v>8</v>
      </c>
      <c r="J61" s="195" t="s">
        <v>171</v>
      </c>
      <c r="K61" s="376"/>
      <c r="L61" s="377"/>
      <c r="M61" s="825"/>
      <c r="N61" s="825"/>
      <c r="O61" s="199">
        <v>0.0</v>
      </c>
      <c r="P61" s="199">
        <v>1.0</v>
      </c>
      <c r="Q61" s="199">
        <v>1.0</v>
      </c>
      <c r="R61" s="456"/>
      <c r="S61" s="164"/>
      <c r="T61" s="164"/>
      <c r="U61" s="164"/>
      <c r="V61" s="104"/>
    </row>
    <row r="62" outlineLevel="1">
      <c r="A62" s="146"/>
      <c r="B62" s="373" t="s">
        <v>84</v>
      </c>
      <c r="C62" s="239" t="s">
        <v>3356</v>
      </c>
      <c r="D62" s="210"/>
      <c r="E62" s="401" t="s">
        <v>3483</v>
      </c>
      <c r="F62" s="193" t="s">
        <v>3484</v>
      </c>
      <c r="G62" s="193" t="s">
        <v>3485</v>
      </c>
      <c r="H62" s="138" t="s">
        <v>3486</v>
      </c>
      <c r="I62" s="146"/>
      <c r="J62" s="210"/>
      <c r="K62" s="376"/>
      <c r="L62" s="377"/>
      <c r="M62" s="825"/>
      <c r="N62" s="825"/>
      <c r="O62" s="199">
        <v>0.0</v>
      </c>
      <c r="P62" s="199">
        <v>1.0</v>
      </c>
      <c r="Q62" s="199">
        <v>1.0</v>
      </c>
      <c r="R62" s="212"/>
      <c r="V62" s="210"/>
    </row>
    <row r="63" outlineLevel="1">
      <c r="A63" s="146"/>
      <c r="B63" s="373" t="s">
        <v>3478</v>
      </c>
      <c r="C63" s="2214" t="s">
        <v>277</v>
      </c>
      <c r="D63" s="210"/>
      <c r="E63" s="2215" t="s">
        <v>204</v>
      </c>
      <c r="F63" s="2216">
        <v>3.5999999999999996</v>
      </c>
      <c r="G63" s="2216">
        <v>3.06</v>
      </c>
      <c r="H63" s="1940" t="s">
        <v>170</v>
      </c>
      <c r="I63" s="146"/>
      <c r="J63" s="210"/>
      <c r="K63" s="2217"/>
      <c r="L63" s="2218"/>
      <c r="M63" s="2218"/>
      <c r="N63" s="2218"/>
      <c r="O63" s="2217">
        <v>0.0</v>
      </c>
      <c r="P63" s="2217">
        <v>1.0</v>
      </c>
      <c r="Q63" s="2217">
        <v>1.0</v>
      </c>
      <c r="R63" s="212"/>
      <c r="V63" s="210"/>
    </row>
    <row r="64" outlineLevel="1">
      <c r="A64" s="156"/>
      <c r="B64" s="373" t="s">
        <v>3479</v>
      </c>
      <c r="C64" s="1938" t="s">
        <v>305</v>
      </c>
      <c r="D64" s="107"/>
      <c r="E64" s="1938" t="s">
        <v>204</v>
      </c>
      <c r="F64" s="2216">
        <v>3.5999999999999996</v>
      </c>
      <c r="G64" s="2216">
        <v>3.06</v>
      </c>
      <c r="H64" s="1940" t="s">
        <v>170</v>
      </c>
      <c r="I64" s="156"/>
      <c r="J64" s="107"/>
      <c r="K64" s="2217"/>
      <c r="L64" s="2218"/>
      <c r="M64" s="2218"/>
      <c r="N64" s="2218"/>
      <c r="O64" s="2217">
        <v>0.0</v>
      </c>
      <c r="P64" s="2217">
        <v>1.0</v>
      </c>
      <c r="Q64" s="2217">
        <v>1.0</v>
      </c>
      <c r="R64" s="106"/>
      <c r="S64" s="168"/>
      <c r="T64" s="168"/>
      <c r="U64" s="168"/>
      <c r="V64" s="107"/>
    </row>
    <row r="65" outlineLevel="1">
      <c r="A65" s="188" t="s">
        <v>151</v>
      </c>
      <c r="B65" s="373" t="s">
        <v>199</v>
      </c>
      <c r="C65" s="239" t="s">
        <v>3487</v>
      </c>
      <c r="D65" s="379" t="s">
        <v>289</v>
      </c>
      <c r="E65" s="239" t="s">
        <v>213</v>
      </c>
      <c r="F65" s="193">
        <v>1.2</v>
      </c>
      <c r="G65" s="193">
        <v>1.02</v>
      </c>
      <c r="H65" s="138" t="s">
        <v>170</v>
      </c>
      <c r="I65" s="454" t="str">
        <f t="array" ref="I65">INDEX('空中攻撃'!$O$3:$AA$109, MATCH($A$1,'空中攻撃'!$A$3:$A$109,0), MATCH(A65,'空中攻撃'!$O$2:$S$2,0))</f>
        <v>16</v>
      </c>
      <c r="J65" s="195" t="s">
        <v>2326</v>
      </c>
      <c r="K65" s="376"/>
      <c r="L65" s="377"/>
      <c r="M65" s="825"/>
      <c r="N65" s="825"/>
      <c r="O65" s="199">
        <v>0.0</v>
      </c>
      <c r="P65" s="199">
        <v>1.0</v>
      </c>
      <c r="Q65" s="199">
        <v>1.0</v>
      </c>
      <c r="R65" s="456"/>
      <c r="S65" s="164"/>
      <c r="T65" s="164"/>
      <c r="U65" s="164"/>
      <c r="V65" s="104"/>
    </row>
    <row r="66" outlineLevel="1">
      <c r="A66" s="146"/>
      <c r="B66" s="373" t="s">
        <v>202</v>
      </c>
      <c r="C66" s="239" t="s">
        <v>288</v>
      </c>
      <c r="D66" s="210"/>
      <c r="E66" s="239" t="s">
        <v>73</v>
      </c>
      <c r="F66" s="193">
        <v>4.8</v>
      </c>
      <c r="G66" s="193">
        <v>4.08</v>
      </c>
      <c r="H66" s="138" t="s">
        <v>60</v>
      </c>
      <c r="I66" s="146"/>
      <c r="J66" s="210"/>
      <c r="K66" s="376"/>
      <c r="L66" s="377"/>
      <c r="M66" s="825"/>
      <c r="N66" s="825"/>
      <c r="O66" s="199">
        <v>0.0</v>
      </c>
      <c r="P66" s="199">
        <v>1.0</v>
      </c>
      <c r="Q66" s="199">
        <v>1.0</v>
      </c>
      <c r="R66" s="212"/>
      <c r="V66" s="210"/>
    </row>
    <row r="67" outlineLevel="1">
      <c r="A67" s="156"/>
      <c r="B67" s="373" t="s">
        <v>3469</v>
      </c>
      <c r="C67" s="1938" t="s">
        <v>382</v>
      </c>
      <c r="D67" s="107"/>
      <c r="E67" s="1938" t="s">
        <v>204</v>
      </c>
      <c r="F67" s="2216">
        <v>3.5999999999999996</v>
      </c>
      <c r="G67" s="2216">
        <v>3.06</v>
      </c>
      <c r="H67" s="1940" t="s">
        <v>170</v>
      </c>
      <c r="I67" s="156"/>
      <c r="J67" s="107"/>
      <c r="K67" s="2217"/>
      <c r="L67" s="2218"/>
      <c r="M67" s="2218"/>
      <c r="N67" s="2218"/>
      <c r="O67" s="2217">
        <v>0.0</v>
      </c>
      <c r="P67" s="2217">
        <v>1.0</v>
      </c>
      <c r="Q67" s="2217">
        <v>1.0</v>
      </c>
      <c r="R67" s="106"/>
      <c r="S67" s="168"/>
      <c r="T67" s="168"/>
      <c r="U67" s="168"/>
      <c r="V67" s="107"/>
    </row>
    <row r="68" outlineLevel="1">
      <c r="A68" s="188" t="s">
        <v>157</v>
      </c>
      <c r="B68" s="373"/>
      <c r="C68" s="239" t="s">
        <v>835</v>
      </c>
      <c r="D68" s="374">
        <v>54.0</v>
      </c>
      <c r="E68" s="239" t="s">
        <v>232</v>
      </c>
      <c r="F68" s="193">
        <v>13.2</v>
      </c>
      <c r="G68" s="193">
        <v>11.22</v>
      </c>
      <c r="H68" s="138" t="s">
        <v>147</v>
      </c>
      <c r="I68" s="454">
        <f t="array" ref="I68">INDEX('空中攻撃'!$O$3:$AA$109, MATCH($A$1,'空中攻撃'!$A$3:$A$109,0), MATCH(A68,'空中攻撃'!$O$2:$S$2,0))</f>
        <v>10</v>
      </c>
      <c r="J68" s="195" t="s">
        <v>2326</v>
      </c>
      <c r="K68" s="376"/>
      <c r="L68" s="377"/>
      <c r="M68" s="825"/>
      <c r="N68" s="825"/>
      <c r="O68" s="199">
        <v>0.0</v>
      </c>
      <c r="P68" s="199">
        <v>1.0</v>
      </c>
      <c r="Q68" s="199">
        <v>1.0</v>
      </c>
      <c r="R68" s="456"/>
      <c r="S68" s="164"/>
      <c r="T68" s="164"/>
      <c r="U68" s="164"/>
      <c r="V68" s="104"/>
    </row>
    <row r="69" outlineLevel="1">
      <c r="A69" s="156"/>
      <c r="B69" s="373" t="s">
        <v>3469</v>
      </c>
      <c r="C69" s="1938" t="s">
        <v>1208</v>
      </c>
      <c r="D69" s="107"/>
      <c r="E69" s="1938" t="s">
        <v>73</v>
      </c>
      <c r="F69" s="2216">
        <v>4.8</v>
      </c>
      <c r="G69" s="2216">
        <v>4.08</v>
      </c>
      <c r="H69" s="1940" t="s">
        <v>170</v>
      </c>
      <c r="I69" s="156"/>
      <c r="J69" s="107"/>
      <c r="K69" s="2217"/>
      <c r="L69" s="2218"/>
      <c r="M69" s="2218"/>
      <c r="N69" s="2218"/>
      <c r="O69" s="2217">
        <v>0.0</v>
      </c>
      <c r="P69" s="2217">
        <v>1.0</v>
      </c>
      <c r="Q69" s="2217">
        <v>1.0</v>
      </c>
      <c r="R69" s="106"/>
      <c r="S69" s="168"/>
      <c r="T69" s="168"/>
      <c r="U69" s="168"/>
      <c r="V69" s="107"/>
    </row>
    <row r="70" outlineLevel="1">
      <c r="A70" s="188" t="s">
        <v>162</v>
      </c>
      <c r="B70" s="373"/>
      <c r="C70" s="239" t="s">
        <v>161</v>
      </c>
      <c r="D70" s="195" t="s">
        <v>185</v>
      </c>
      <c r="E70" s="239" t="s">
        <v>128</v>
      </c>
      <c r="F70" s="193">
        <v>12.0</v>
      </c>
      <c r="G70" s="193">
        <v>10.2</v>
      </c>
      <c r="H70" s="138" t="s">
        <v>147</v>
      </c>
      <c r="I70" s="454" t="str">
        <f t="array" ref="I70">INDEX('空中攻撃'!$O$3:$AA$109, MATCH($A$1,'空中攻撃'!$A$3:$A$109,0), MATCH(A70,'空中攻撃'!$O$2:$S$2,0))</f>
        <v>11</v>
      </c>
      <c r="J70" s="195" t="s">
        <v>3488</v>
      </c>
      <c r="K70" s="377"/>
      <c r="L70" s="377"/>
      <c r="M70" s="825"/>
      <c r="N70" s="825"/>
      <c r="O70" s="199">
        <v>0.0</v>
      </c>
      <c r="P70" s="199">
        <v>1.0</v>
      </c>
      <c r="Q70" s="199">
        <v>1.0</v>
      </c>
      <c r="R70" s="163" t="s">
        <v>3489</v>
      </c>
      <c r="S70" s="164"/>
      <c r="T70" s="164"/>
      <c r="U70" s="164"/>
      <c r="V70" s="104"/>
    </row>
    <row r="71" outlineLevel="1">
      <c r="A71" s="146"/>
      <c r="B71" s="373" t="s">
        <v>187</v>
      </c>
      <c r="C71" s="239" t="s">
        <v>580</v>
      </c>
      <c r="D71" s="210"/>
      <c r="E71" s="239" t="s">
        <v>150</v>
      </c>
      <c r="F71" s="193">
        <v>6.0</v>
      </c>
      <c r="G71" s="193">
        <v>5.1</v>
      </c>
      <c r="H71" s="138" t="s">
        <v>60</v>
      </c>
      <c r="I71" s="146"/>
      <c r="J71" s="210"/>
      <c r="K71" s="377"/>
      <c r="L71" s="377"/>
      <c r="M71" s="825"/>
      <c r="N71" s="825"/>
      <c r="O71" s="199">
        <v>0.0</v>
      </c>
      <c r="P71" s="199">
        <v>1.0</v>
      </c>
      <c r="Q71" s="199">
        <v>1.0</v>
      </c>
      <c r="R71" s="212"/>
      <c r="V71" s="210"/>
    </row>
    <row r="72" outlineLevel="1">
      <c r="A72" s="146"/>
      <c r="B72" s="373" t="s">
        <v>189</v>
      </c>
      <c r="C72" s="239" t="s">
        <v>943</v>
      </c>
      <c r="D72" s="210"/>
      <c r="E72" s="239" t="s">
        <v>176</v>
      </c>
      <c r="F72" s="193">
        <v>2.4</v>
      </c>
      <c r="G72" s="193">
        <v>2.04</v>
      </c>
      <c r="H72" s="138" t="s">
        <v>170</v>
      </c>
      <c r="I72" s="146"/>
      <c r="J72" s="210"/>
      <c r="K72" s="377"/>
      <c r="L72" s="377"/>
      <c r="M72" s="825"/>
      <c r="N72" s="825"/>
      <c r="O72" s="199">
        <v>0.0</v>
      </c>
      <c r="P72" s="199">
        <v>1.0</v>
      </c>
      <c r="Q72" s="199">
        <v>1.0</v>
      </c>
      <c r="R72" s="212"/>
      <c r="V72" s="210"/>
    </row>
    <row r="73" outlineLevel="1">
      <c r="A73" s="156"/>
      <c r="B73" s="373" t="s">
        <v>3469</v>
      </c>
      <c r="C73" s="1938" t="s">
        <v>2692</v>
      </c>
      <c r="D73" s="107"/>
      <c r="E73" s="1938" t="s">
        <v>73</v>
      </c>
      <c r="F73" s="2216">
        <v>4.8</v>
      </c>
      <c r="G73" s="2216">
        <v>4.08</v>
      </c>
      <c r="H73" s="1940" t="s">
        <v>170</v>
      </c>
      <c r="I73" s="156"/>
      <c r="J73" s="107"/>
      <c r="K73" s="2218"/>
      <c r="L73" s="2218"/>
      <c r="M73" s="2218"/>
      <c r="N73" s="2218"/>
      <c r="O73" s="2217">
        <v>0.0</v>
      </c>
      <c r="P73" s="2217">
        <v>1.0</v>
      </c>
      <c r="Q73" s="2217">
        <v>1.0</v>
      </c>
      <c r="R73" s="106"/>
      <c r="S73" s="168"/>
      <c r="T73" s="168"/>
      <c r="U73" s="168"/>
      <c r="V73" s="107"/>
    </row>
    <row r="74" outlineLevel="1">
      <c r="A74" s="188" t="s">
        <v>166</v>
      </c>
      <c r="B74" s="373"/>
      <c r="C74" s="239" t="s">
        <v>394</v>
      </c>
      <c r="D74" s="374">
        <v>49.0</v>
      </c>
      <c r="E74" s="239" t="s">
        <v>80</v>
      </c>
      <c r="F74" s="193">
        <v>9.6</v>
      </c>
      <c r="G74" s="193">
        <v>8.16</v>
      </c>
      <c r="H74" s="138" t="s">
        <v>147</v>
      </c>
      <c r="I74" s="454">
        <f t="array" ref="I74">INDEX('空中攻撃'!$O$3:$AA$109, MATCH($A$1,'空中攻撃'!$A$3:$A$109,0), MATCH(A74,'空中攻撃'!$O$2:$S$2,0))</f>
        <v>12</v>
      </c>
      <c r="J74" s="195" t="s">
        <v>3490</v>
      </c>
      <c r="K74" s="377"/>
      <c r="L74" s="377"/>
      <c r="M74" s="825"/>
      <c r="N74" s="825"/>
      <c r="O74" s="199">
        <v>0.0</v>
      </c>
      <c r="P74" s="199">
        <v>1.0</v>
      </c>
      <c r="Q74" s="199">
        <v>1.0</v>
      </c>
      <c r="R74" s="163" t="s">
        <v>3491</v>
      </c>
      <c r="S74" s="164"/>
      <c r="T74" s="164"/>
      <c r="U74" s="164"/>
      <c r="V74" s="104"/>
    </row>
    <row r="75" outlineLevel="1">
      <c r="A75" s="146"/>
      <c r="B75" s="373" t="s">
        <v>187</v>
      </c>
      <c r="C75" s="239" t="s">
        <v>3492</v>
      </c>
      <c r="D75" s="210"/>
      <c r="E75" s="239" t="s">
        <v>93</v>
      </c>
      <c r="F75" s="193">
        <v>8.4</v>
      </c>
      <c r="G75" s="193">
        <v>7.140000000000001</v>
      </c>
      <c r="H75" s="138" t="s">
        <v>60</v>
      </c>
      <c r="I75" s="146"/>
      <c r="J75" s="210"/>
      <c r="K75" s="377"/>
      <c r="L75" s="377"/>
      <c r="M75" s="825"/>
      <c r="N75" s="825"/>
      <c r="O75" s="199">
        <v>0.0</v>
      </c>
      <c r="P75" s="199">
        <v>1.0</v>
      </c>
      <c r="Q75" s="199">
        <v>1.0</v>
      </c>
      <c r="R75" s="212"/>
      <c r="V75" s="210"/>
    </row>
    <row r="76" outlineLevel="1">
      <c r="A76" s="146"/>
      <c r="B76" s="373" t="s">
        <v>189</v>
      </c>
      <c r="C76" s="239" t="s">
        <v>1053</v>
      </c>
      <c r="D76" s="210"/>
      <c r="E76" s="239" t="s">
        <v>86</v>
      </c>
      <c r="F76" s="193">
        <v>7.199999999999999</v>
      </c>
      <c r="G76" s="193">
        <v>6.12</v>
      </c>
      <c r="H76" s="138" t="s">
        <v>60</v>
      </c>
      <c r="I76" s="146"/>
      <c r="J76" s="210"/>
      <c r="K76" s="377"/>
      <c r="L76" s="377"/>
      <c r="M76" s="825"/>
      <c r="N76" s="825"/>
      <c r="O76" s="199">
        <v>0.0</v>
      </c>
      <c r="P76" s="199">
        <v>1.0</v>
      </c>
      <c r="Q76" s="199">
        <v>1.0</v>
      </c>
      <c r="R76" s="212"/>
      <c r="V76" s="210"/>
    </row>
    <row r="77" outlineLevel="1">
      <c r="A77" s="146"/>
      <c r="B77" s="373" t="s">
        <v>513</v>
      </c>
      <c r="C77" s="239" t="s">
        <v>3493</v>
      </c>
      <c r="D77" s="210"/>
      <c r="E77" s="239" t="s">
        <v>176</v>
      </c>
      <c r="F77" s="193">
        <v>2.4</v>
      </c>
      <c r="G77" s="193">
        <v>2.04</v>
      </c>
      <c r="H77" s="138" t="s">
        <v>170</v>
      </c>
      <c r="I77" s="146"/>
      <c r="J77" s="210"/>
      <c r="K77" s="377"/>
      <c r="L77" s="377"/>
      <c r="M77" s="825"/>
      <c r="N77" s="825"/>
      <c r="O77" s="199">
        <v>0.0</v>
      </c>
      <c r="P77" s="199">
        <v>1.0</v>
      </c>
      <c r="Q77" s="199">
        <v>1.0</v>
      </c>
      <c r="R77" s="212"/>
      <c r="V77" s="210"/>
    </row>
    <row r="78" outlineLevel="1">
      <c r="A78" s="156"/>
      <c r="B78" s="373" t="s">
        <v>3469</v>
      </c>
      <c r="C78" s="1938" t="s">
        <v>943</v>
      </c>
      <c r="D78" s="107"/>
      <c r="E78" s="1938" t="s">
        <v>150</v>
      </c>
      <c r="F78" s="2216">
        <v>6.0</v>
      </c>
      <c r="G78" s="2216">
        <v>5.1</v>
      </c>
      <c r="H78" s="1940" t="s">
        <v>60</v>
      </c>
      <c r="I78" s="156"/>
      <c r="J78" s="107"/>
      <c r="K78" s="2218"/>
      <c r="L78" s="2218"/>
      <c r="M78" s="2218"/>
      <c r="N78" s="2218"/>
      <c r="O78" s="2217">
        <v>0.0</v>
      </c>
      <c r="P78" s="2217">
        <v>1.0</v>
      </c>
      <c r="Q78" s="2217">
        <v>1.0</v>
      </c>
      <c r="R78" s="106"/>
      <c r="S78" s="168"/>
      <c r="T78" s="168"/>
      <c r="U78" s="168"/>
      <c r="V78" s="107"/>
    </row>
    <row r="79">
      <c r="A79" s="223"/>
      <c r="B79" s="224"/>
      <c r="C79" s="225"/>
      <c r="D79" s="225"/>
      <c r="E79" s="226"/>
      <c r="F79" s="226"/>
      <c r="G79" s="226"/>
      <c r="H79" s="227"/>
      <c r="I79" s="227"/>
      <c r="J79" s="228"/>
      <c r="K79" s="228"/>
      <c r="L79" s="228"/>
      <c r="M79" s="228"/>
      <c r="N79" s="228"/>
      <c r="O79" s="228"/>
      <c r="P79" s="228"/>
      <c r="Q79" s="118"/>
      <c r="R79" s="118"/>
      <c r="S79" s="118"/>
      <c r="T79" s="118"/>
      <c r="U79" s="118"/>
      <c r="V79" s="118"/>
    </row>
    <row r="80">
      <c r="A80" s="229" t="s">
        <v>177</v>
      </c>
      <c r="B80" s="109"/>
      <c r="C80" s="225"/>
      <c r="D80" s="225"/>
      <c r="E80" s="226"/>
      <c r="F80" s="226"/>
      <c r="G80" s="226"/>
      <c r="H80" s="227"/>
      <c r="I80" s="227"/>
      <c r="J80" s="228"/>
      <c r="K80" s="228"/>
      <c r="L80" s="228"/>
      <c r="M80" s="228"/>
      <c r="N80" s="228"/>
      <c r="O80" s="228"/>
      <c r="P80" s="228"/>
      <c r="Q80" s="118"/>
      <c r="R80" s="118"/>
      <c r="S80" s="118"/>
      <c r="T80" s="118"/>
      <c r="U80" s="118"/>
      <c r="V80" s="118"/>
    </row>
    <row r="81" outlineLevel="1">
      <c r="A81" s="230" t="s">
        <v>3494</v>
      </c>
      <c r="B81" s="109"/>
      <c r="C81" s="231" t="s">
        <v>48</v>
      </c>
      <c r="D81" s="231" t="s">
        <v>49</v>
      </c>
      <c r="E81" s="232" t="s">
        <v>50</v>
      </c>
      <c r="F81" s="233" t="s">
        <v>51</v>
      </c>
      <c r="G81" s="232" t="s">
        <v>52</v>
      </c>
      <c r="H81" s="382" t="str">
        <f>'テンプレート'!H72</f>
        <v>備考</v>
      </c>
      <c r="I81" s="110"/>
      <c r="J81" s="109"/>
      <c r="K81" s="235" t="str">
        <f>'テンプレート'!K72</f>
        <v>ベクトル</v>
      </c>
      <c r="L81" s="235" t="str">
        <f>'テンプレート'!L72</f>
        <v>KBG (R.E.)</v>
      </c>
      <c r="M81" s="235" t="str">
        <f>'テンプレート'!M72</f>
        <v>BKB (R.A.)</v>
      </c>
      <c r="N81" s="235" t="str">
        <f>'テンプレート'!N72</f>
        <v>FKB (R.F.)</v>
      </c>
      <c r="O81" s="236" t="str">
        <f>'テンプレート'!O72</f>
        <v>盾削り値</v>
      </c>
      <c r="P81" s="235" t="str">
        <f>'テンプレート'!P72</f>
        <v>ﾋｯﾄｽﾄｯﾌﾟ</v>
      </c>
      <c r="Q81" s="236" t="str">
        <f>'テンプレート'!Q72</f>
        <v>ずらし</v>
      </c>
      <c r="R81" s="235" t="str">
        <f>'テンプレート'!R72</f>
        <v>相殺</v>
      </c>
      <c r="S81" s="236" t="str">
        <f>'テンプレート'!S72</f>
        <v>相殺ﾓｰｼｮﾝ</v>
      </c>
      <c r="T81" s="236" t="str">
        <f>'テンプレート'!T72</f>
        <v>飛び道具</v>
      </c>
      <c r="U81" s="236" t="str">
        <f>'テンプレート'!U72</f>
        <v>慣性反転</v>
      </c>
      <c r="V81" s="236" t="str">
        <f>'テンプレート'!V72</f>
        <v>向き反転</v>
      </c>
    </row>
    <row r="82" outlineLevel="1">
      <c r="A82" s="237" t="s">
        <v>184</v>
      </c>
      <c r="B82" s="243" t="s">
        <v>473</v>
      </c>
      <c r="C82" s="244" t="s">
        <v>771</v>
      </c>
      <c r="D82" s="365" t="s">
        <v>218</v>
      </c>
      <c r="E82" s="239" t="s">
        <v>150</v>
      </c>
      <c r="F82" s="138">
        <v>6.0</v>
      </c>
      <c r="G82" s="239" t="s">
        <v>60</v>
      </c>
      <c r="H82" s="163" t="s">
        <v>3495</v>
      </c>
      <c r="I82" s="164"/>
      <c r="J82" s="104"/>
      <c r="K82" s="282"/>
      <c r="L82" s="282"/>
      <c r="M82" s="363"/>
      <c r="N82" s="363"/>
      <c r="O82" s="138">
        <v>0.0</v>
      </c>
      <c r="P82" s="138">
        <v>1.0</v>
      </c>
      <c r="Q82" s="138">
        <v>1.0</v>
      </c>
      <c r="R82" s="145" t="b">
        <v>0</v>
      </c>
      <c r="S82" s="145" t="b">
        <v>0</v>
      </c>
      <c r="T82" s="145" t="b">
        <v>1</v>
      </c>
      <c r="U82" s="166" t="s">
        <v>186</v>
      </c>
      <c r="V82" s="166" t="b">
        <v>1</v>
      </c>
    </row>
    <row r="83" outlineLevel="1">
      <c r="A83" s="156"/>
      <c r="B83" s="663" t="s">
        <v>340</v>
      </c>
      <c r="C83" s="244" t="s">
        <v>773</v>
      </c>
      <c r="D83" s="239" t="s">
        <v>593</v>
      </c>
      <c r="E83" s="239" t="s">
        <v>153</v>
      </c>
      <c r="F83" s="138">
        <v>19.2</v>
      </c>
      <c r="G83" s="239" t="s">
        <v>75</v>
      </c>
      <c r="H83" s="212"/>
      <c r="J83" s="210"/>
      <c r="K83" s="282"/>
      <c r="L83" s="282"/>
      <c r="M83" s="363"/>
      <c r="N83" s="363"/>
      <c r="O83" s="138">
        <v>0.0</v>
      </c>
      <c r="P83" s="138">
        <v>1.0</v>
      </c>
      <c r="Q83" s="138">
        <v>1.0</v>
      </c>
      <c r="R83" s="145" t="b">
        <v>0</v>
      </c>
      <c r="S83" s="145" t="b">
        <v>0</v>
      </c>
      <c r="T83" s="145" t="b">
        <v>1</v>
      </c>
      <c r="U83" s="146"/>
      <c r="V83" s="146"/>
    </row>
    <row r="84" outlineLevel="1">
      <c r="A84" s="259" t="s">
        <v>332</v>
      </c>
      <c r="B84" s="663" t="s">
        <v>3496</v>
      </c>
      <c r="C84" s="239" t="s">
        <v>543</v>
      </c>
      <c r="D84" s="365" t="s">
        <v>65</v>
      </c>
      <c r="E84" s="239" t="s">
        <v>209</v>
      </c>
      <c r="F84" s="138">
        <v>0.0</v>
      </c>
      <c r="G84" s="409"/>
      <c r="H84" s="212"/>
      <c r="J84" s="210"/>
      <c r="K84" s="282"/>
      <c r="L84" s="282"/>
      <c r="M84" s="363"/>
      <c r="N84" s="363"/>
      <c r="O84" s="138">
        <v>0.0</v>
      </c>
      <c r="P84" s="138">
        <v>1.0</v>
      </c>
      <c r="Q84" s="138">
        <v>1.0</v>
      </c>
      <c r="R84" s="145" t="b">
        <v>0</v>
      </c>
      <c r="S84" s="145" t="b">
        <v>0</v>
      </c>
      <c r="T84" s="145" t="b">
        <v>1</v>
      </c>
      <c r="U84" s="146"/>
      <c r="V84" s="146"/>
    </row>
    <row r="85" outlineLevel="1">
      <c r="A85" s="259" t="s">
        <v>344</v>
      </c>
      <c r="B85" s="663" t="s">
        <v>3496</v>
      </c>
      <c r="C85" s="239" t="s">
        <v>543</v>
      </c>
      <c r="D85" s="365" t="s">
        <v>173</v>
      </c>
      <c r="E85" s="239" t="s">
        <v>209</v>
      </c>
      <c r="F85" s="138">
        <v>0.0</v>
      </c>
      <c r="G85" s="409"/>
      <c r="H85" s="106"/>
      <c r="I85" s="168"/>
      <c r="J85" s="107"/>
      <c r="K85" s="282"/>
      <c r="L85" s="282"/>
      <c r="M85" s="363"/>
      <c r="N85" s="363"/>
      <c r="O85" s="138">
        <v>0.0</v>
      </c>
      <c r="P85" s="138">
        <v>1.0</v>
      </c>
      <c r="Q85" s="138">
        <v>1.0</v>
      </c>
      <c r="R85" s="145" t="b">
        <v>0</v>
      </c>
      <c r="S85" s="145" t="b">
        <v>0</v>
      </c>
      <c r="T85" s="145" t="b">
        <v>1</v>
      </c>
      <c r="U85" s="156"/>
      <c r="V85" s="156"/>
    </row>
    <row r="86" outlineLevel="1">
      <c r="A86" s="230" t="s">
        <v>3497</v>
      </c>
      <c r="B86" s="109"/>
      <c r="C86" s="231" t="s">
        <v>48</v>
      </c>
      <c r="D86" s="231" t="s">
        <v>49</v>
      </c>
      <c r="E86" s="232" t="s">
        <v>50</v>
      </c>
      <c r="F86" s="233" t="s">
        <v>51</v>
      </c>
      <c r="G86" s="232" t="s">
        <v>52</v>
      </c>
      <c r="H86" s="382" t="str">
        <f>'テンプレート'!H75</f>
        <v>備考</v>
      </c>
      <c r="I86" s="110"/>
      <c r="J86" s="109"/>
      <c r="K86" s="235" t="str">
        <f>'テンプレート'!K75</f>
        <v>ベクトル</v>
      </c>
      <c r="L86" s="235" t="str">
        <f>'テンプレート'!L75</f>
        <v>KBG (R.E.)</v>
      </c>
      <c r="M86" s="235" t="str">
        <f>'テンプレート'!M75</f>
        <v>BKB (R.A.)</v>
      </c>
      <c r="N86" s="235" t="str">
        <f>'テンプレート'!N75</f>
        <v>FKB (R.F.)</v>
      </c>
      <c r="O86" s="236" t="str">
        <f>'テンプレート'!O75</f>
        <v>盾削り値</v>
      </c>
      <c r="P86" s="235" t="str">
        <f>'テンプレート'!P75</f>
        <v>ﾋｯﾄｽﾄｯﾌﾟ</v>
      </c>
      <c r="Q86" s="236" t="str">
        <f>'テンプレート'!Q75</f>
        <v>ずらし</v>
      </c>
      <c r="R86" s="235" t="str">
        <f>'テンプレート'!R75</f>
        <v>相殺</v>
      </c>
      <c r="S86" s="236" t="str">
        <f>'テンプレート'!S75</f>
        <v>相殺ﾓｰｼｮﾝ</v>
      </c>
      <c r="T86" s="236" t="str">
        <f>'テンプレート'!T75</f>
        <v>飛び道具</v>
      </c>
      <c r="U86" s="236" t="str">
        <f>'テンプレート'!U75</f>
        <v>慣性反転</v>
      </c>
      <c r="V86" s="236" t="str">
        <f>'テンプレート'!V75</f>
        <v>向き反転</v>
      </c>
    </row>
    <row r="87" outlineLevel="1">
      <c r="A87" s="237" t="s">
        <v>184</v>
      </c>
      <c r="B87" s="243" t="s">
        <v>903</v>
      </c>
      <c r="C87" s="239" t="s">
        <v>3498</v>
      </c>
      <c r="D87" s="467" t="s">
        <v>455</v>
      </c>
      <c r="E87" s="239" t="s">
        <v>204</v>
      </c>
      <c r="F87" s="138">
        <v>3.5999999999999996</v>
      </c>
      <c r="G87" s="239" t="s">
        <v>170</v>
      </c>
      <c r="H87" s="151" t="s">
        <v>411</v>
      </c>
      <c r="I87" s="110"/>
      <c r="J87" s="109"/>
      <c r="K87" s="282"/>
      <c r="L87" s="282"/>
      <c r="M87" s="363"/>
      <c r="N87" s="363"/>
      <c r="O87" s="138">
        <v>0.0</v>
      </c>
      <c r="P87" s="138">
        <v>1.0</v>
      </c>
      <c r="Q87" s="138">
        <v>1.0</v>
      </c>
      <c r="R87" s="145" t="b">
        <v>0</v>
      </c>
      <c r="S87" s="145" t="b">
        <v>0</v>
      </c>
      <c r="T87" s="145" t="b">
        <v>1</v>
      </c>
      <c r="U87" s="145" t="s">
        <v>186</v>
      </c>
      <c r="V87" s="145" t="b">
        <v>1</v>
      </c>
    </row>
    <row r="88" outlineLevel="1">
      <c r="A88" s="230" t="s">
        <v>3499</v>
      </c>
      <c r="B88" s="109"/>
      <c r="C88" s="231" t="s">
        <v>48</v>
      </c>
      <c r="D88" s="231" t="s">
        <v>49</v>
      </c>
      <c r="E88" s="232" t="s">
        <v>50</v>
      </c>
      <c r="F88" s="233" t="s">
        <v>51</v>
      </c>
      <c r="G88" s="232" t="s">
        <v>52</v>
      </c>
      <c r="H88" s="382" t="str">
        <f>'テンプレート'!H80</f>
        <v>備考</v>
      </c>
      <c r="I88" s="110"/>
      <c r="J88" s="109"/>
      <c r="K88" s="235" t="str">
        <f>'テンプレート'!K80</f>
        <v>ベクトル</v>
      </c>
      <c r="L88" s="235" t="str">
        <f>'テンプレート'!L80</f>
        <v>KBG (R.E.)</v>
      </c>
      <c r="M88" s="235" t="str">
        <f>'テンプレート'!M80</f>
        <v>BKB (R.A.)</v>
      </c>
      <c r="N88" s="235" t="str">
        <f>'テンプレート'!N80</f>
        <v>FKB (R.F.)</v>
      </c>
      <c r="O88" s="236" t="str">
        <f>'テンプレート'!O80</f>
        <v>盾削り値</v>
      </c>
      <c r="P88" s="235" t="str">
        <f>'テンプレート'!P80</f>
        <v>ﾋｯﾄｽﾄｯﾌﾟ</v>
      </c>
      <c r="Q88" s="236" t="str">
        <f>'テンプレート'!Q80</f>
        <v>ずらし</v>
      </c>
      <c r="R88" s="235" t="str">
        <f>'テンプレート'!R80</f>
        <v>相殺</v>
      </c>
      <c r="S88" s="236" t="str">
        <f>'テンプレート'!S80</f>
        <v>相殺ﾓｰｼｮﾝ</v>
      </c>
      <c r="T88" s="236" t="str">
        <f>'テンプレート'!T80</f>
        <v>飛び道具</v>
      </c>
      <c r="U88" s="236" t="str">
        <f>'テンプレート'!U80</f>
        <v>慣性反転</v>
      </c>
      <c r="V88" s="236" t="str">
        <f>'テンプレート'!V80</f>
        <v>向き反転</v>
      </c>
    </row>
    <row r="89" outlineLevel="1">
      <c r="A89" s="1202" t="s">
        <v>184</v>
      </c>
      <c r="B89" s="870"/>
      <c r="C89" s="409"/>
      <c r="D89" s="409"/>
      <c r="E89" s="409"/>
      <c r="F89" s="409"/>
      <c r="G89" s="409"/>
      <c r="H89" s="151" t="s">
        <v>3500</v>
      </c>
      <c r="I89" s="110"/>
      <c r="J89" s="109"/>
      <c r="K89" s="281"/>
      <c r="L89" s="281"/>
      <c r="M89" s="281"/>
      <c r="N89" s="281"/>
      <c r="O89" s="281"/>
      <c r="P89" s="281"/>
      <c r="Q89" s="281"/>
      <c r="R89" s="281"/>
      <c r="S89" s="281"/>
      <c r="T89" s="281"/>
      <c r="U89" s="145" t="s">
        <v>198</v>
      </c>
      <c r="V89" s="145" t="b">
        <v>1</v>
      </c>
    </row>
    <row r="90" outlineLevel="1">
      <c r="A90" s="230" t="s">
        <v>3501</v>
      </c>
      <c r="B90" s="109"/>
      <c r="C90" s="231" t="s">
        <v>48</v>
      </c>
      <c r="D90" s="231" t="s">
        <v>49</v>
      </c>
      <c r="E90" s="232" t="s">
        <v>50</v>
      </c>
      <c r="F90" s="233" t="s">
        <v>51</v>
      </c>
      <c r="G90" s="232" t="s">
        <v>52</v>
      </c>
      <c r="H90" s="382" t="str">
        <f>'テンプレート'!H85</f>
        <v>備考</v>
      </c>
      <c r="I90" s="110"/>
      <c r="J90" s="109"/>
      <c r="K90" s="235" t="str">
        <f>'テンプレート'!K85</f>
        <v>ベクトル</v>
      </c>
      <c r="L90" s="235" t="str">
        <f>'テンプレート'!L85</f>
        <v>KBG (R.E.)</v>
      </c>
      <c r="M90" s="235" t="str">
        <f>'テンプレート'!M85</f>
        <v>BKB (R.A.)</v>
      </c>
      <c r="N90" s="235" t="str">
        <f>'テンプレート'!N85</f>
        <v>FKB (R.F.)</v>
      </c>
      <c r="O90" s="236" t="str">
        <f>'テンプレート'!O85</f>
        <v>盾削り値</v>
      </c>
      <c r="P90" s="235" t="str">
        <f>'テンプレート'!P85</f>
        <v>ﾋｯﾄｽﾄｯﾌﾟ</v>
      </c>
      <c r="Q90" s="236" t="str">
        <f>'テンプレート'!Q85</f>
        <v>ずらし</v>
      </c>
      <c r="R90" s="235" t="str">
        <f>'テンプレート'!R85</f>
        <v>相殺</v>
      </c>
      <c r="S90" s="236" t="str">
        <f>'テンプレート'!S85</f>
        <v>相殺ﾓｰｼｮﾝ</v>
      </c>
      <c r="T90" s="236" t="str">
        <f>'テンプレート'!T85</f>
        <v>飛び道具</v>
      </c>
      <c r="U90" s="236" t="str">
        <f>'テンプレート'!U85</f>
        <v>慣性反転</v>
      </c>
      <c r="V90" s="236" t="str">
        <f>'テンプレート'!V85</f>
        <v>向き反転</v>
      </c>
    </row>
    <row r="91" outlineLevel="1">
      <c r="A91" s="1202" t="s">
        <v>184</v>
      </c>
      <c r="B91" s="870"/>
      <c r="C91" s="216" t="s">
        <v>3502</v>
      </c>
      <c r="D91" s="216" t="s">
        <v>118</v>
      </c>
      <c r="E91" s="409"/>
      <c r="F91" s="409"/>
      <c r="G91" s="409"/>
      <c r="H91" s="140" t="s">
        <v>3503</v>
      </c>
      <c r="I91" s="110"/>
      <c r="J91" s="109"/>
      <c r="K91" s="281"/>
      <c r="L91" s="281"/>
      <c r="M91" s="281"/>
      <c r="N91" s="281"/>
      <c r="O91" s="281"/>
      <c r="P91" s="281"/>
      <c r="Q91" s="281"/>
      <c r="R91" s="281"/>
      <c r="S91" s="281"/>
      <c r="T91" s="281"/>
      <c r="U91" s="145" t="s">
        <v>186</v>
      </c>
      <c r="V91" s="145" t="b">
        <v>1</v>
      </c>
    </row>
    <row r="92">
      <c r="A92" s="223"/>
      <c r="B92" s="224"/>
      <c r="C92" s="225"/>
      <c r="D92" s="225"/>
      <c r="E92" s="226"/>
      <c r="F92" s="226"/>
      <c r="G92" s="226"/>
      <c r="H92" s="227"/>
      <c r="I92" s="227"/>
      <c r="J92" s="228"/>
      <c r="K92" s="228"/>
      <c r="L92" s="228"/>
      <c r="M92" s="228"/>
      <c r="N92" s="228"/>
      <c r="O92" s="228"/>
      <c r="P92" s="228"/>
      <c r="Q92" s="118"/>
      <c r="R92" s="118"/>
      <c r="S92" s="118"/>
      <c r="T92" s="118"/>
      <c r="U92" s="118"/>
      <c r="V92" s="118"/>
    </row>
    <row r="93">
      <c r="A93" s="264" t="s">
        <v>211</v>
      </c>
      <c r="B93" s="104"/>
      <c r="C93" s="227"/>
      <c r="D93" s="227"/>
      <c r="E93" s="228"/>
      <c r="F93" s="265"/>
      <c r="G93" s="265"/>
      <c r="H93" s="228"/>
      <c r="I93" s="228"/>
      <c r="J93" s="228"/>
      <c r="K93" s="228"/>
      <c r="L93" s="228"/>
      <c r="M93" s="228"/>
      <c r="N93" s="118"/>
      <c r="O93" s="118"/>
      <c r="P93" s="118"/>
      <c r="Q93" s="228"/>
      <c r="R93" s="228"/>
      <c r="S93" s="228"/>
      <c r="T93" s="228"/>
      <c r="U93" s="228"/>
      <c r="V93" s="228"/>
    </row>
    <row r="94" outlineLevel="1">
      <c r="A94" s="106"/>
      <c r="B94" s="107"/>
      <c r="C94" s="266" t="s">
        <v>48</v>
      </c>
      <c r="D94" s="266" t="s">
        <v>49</v>
      </c>
      <c r="E94" s="266" t="s">
        <v>50</v>
      </c>
      <c r="F94" s="267" t="s">
        <v>51</v>
      </c>
      <c r="G94" s="227"/>
      <c r="H94" s="227"/>
      <c r="I94" s="227"/>
      <c r="J94" s="228"/>
      <c r="K94" s="228"/>
      <c r="L94" s="228"/>
      <c r="M94" s="228"/>
      <c r="N94" s="228"/>
      <c r="O94" s="228"/>
      <c r="P94" s="228"/>
      <c r="Q94" s="228"/>
      <c r="R94" s="228"/>
      <c r="S94" s="228"/>
      <c r="T94" s="228"/>
      <c r="U94" s="228"/>
      <c r="V94" s="228"/>
    </row>
    <row r="95" outlineLevel="1">
      <c r="A95" s="268" t="s">
        <v>212</v>
      </c>
      <c r="B95" s="269" t="s">
        <v>212</v>
      </c>
      <c r="C95" s="239" t="s">
        <v>213</v>
      </c>
      <c r="D95" s="239" t="s">
        <v>86</v>
      </c>
      <c r="E95" s="239" t="s">
        <v>214</v>
      </c>
      <c r="F95" s="138">
        <v>1.56</v>
      </c>
      <c r="G95" s="227"/>
      <c r="H95" s="227"/>
      <c r="I95" s="227"/>
      <c r="J95" s="228"/>
      <c r="K95" s="228"/>
      <c r="L95" s="228"/>
      <c r="M95" s="228"/>
      <c r="N95" s="228"/>
      <c r="O95" s="228"/>
      <c r="P95" s="228"/>
      <c r="Q95" s="228"/>
      <c r="R95" s="228"/>
      <c r="S95" s="228"/>
      <c r="T95" s="228"/>
      <c r="U95" s="228"/>
      <c r="V95" s="228"/>
    </row>
    <row r="96" outlineLevel="1">
      <c r="A96" s="270" t="s">
        <v>215</v>
      </c>
      <c r="B96" s="269" t="s">
        <v>216</v>
      </c>
      <c r="C96" s="365" t="s">
        <v>217</v>
      </c>
      <c r="D96" s="239" t="s">
        <v>118</v>
      </c>
      <c r="E96" s="271"/>
      <c r="F96" s="272"/>
      <c r="G96" s="272"/>
      <c r="H96" s="227"/>
      <c r="I96" s="227"/>
      <c r="J96" s="228"/>
      <c r="K96" s="228"/>
      <c r="L96" s="228"/>
      <c r="M96" s="228"/>
      <c r="N96" s="228"/>
      <c r="O96" s="228"/>
      <c r="P96" s="228"/>
      <c r="Q96" s="228"/>
      <c r="R96" s="228"/>
      <c r="S96" s="228"/>
      <c r="T96" s="228"/>
      <c r="U96" s="228"/>
      <c r="V96" s="228"/>
    </row>
    <row r="97" outlineLevel="1">
      <c r="A97" s="212"/>
      <c r="B97" s="269" t="s">
        <v>219</v>
      </c>
      <c r="C97" s="365" t="s">
        <v>220</v>
      </c>
      <c r="D97" s="239" t="s">
        <v>374</v>
      </c>
      <c r="E97" s="271"/>
      <c r="F97" s="272"/>
      <c r="G97" s="272"/>
      <c r="H97" s="227"/>
      <c r="I97" s="227"/>
      <c r="J97" s="228"/>
      <c r="K97" s="228"/>
      <c r="L97" s="228"/>
      <c r="M97" s="228"/>
      <c r="N97" s="228"/>
      <c r="O97" s="228"/>
      <c r="P97" s="228"/>
      <c r="Q97" s="228"/>
      <c r="R97" s="228"/>
      <c r="S97" s="228"/>
      <c r="T97" s="228"/>
      <c r="U97" s="228"/>
      <c r="V97" s="228"/>
    </row>
    <row r="98" outlineLevel="1">
      <c r="A98" s="106"/>
      <c r="B98" s="269" t="s">
        <v>222</v>
      </c>
      <c r="C98" s="365" t="s">
        <v>223</v>
      </c>
      <c r="D98" s="239">
        <v>41.0</v>
      </c>
      <c r="E98" s="227"/>
      <c r="F98" s="272"/>
      <c r="G98" s="272"/>
      <c r="H98" s="227"/>
      <c r="I98" s="227"/>
      <c r="J98" s="228"/>
      <c r="K98" s="228"/>
      <c r="L98" s="228"/>
      <c r="M98" s="228"/>
      <c r="N98" s="228"/>
      <c r="O98" s="228"/>
      <c r="P98" s="228"/>
      <c r="Q98" s="228"/>
      <c r="R98" s="228"/>
      <c r="S98" s="228"/>
      <c r="T98" s="228"/>
      <c r="U98" s="228"/>
      <c r="V98" s="228"/>
    </row>
    <row r="99" outlineLevel="1">
      <c r="A99" s="273" t="s">
        <v>225</v>
      </c>
      <c r="B99" s="109"/>
      <c r="C99" s="266" t="s">
        <v>48</v>
      </c>
      <c r="D99" s="266" t="s">
        <v>49</v>
      </c>
      <c r="E99" s="266" t="s">
        <v>50</v>
      </c>
      <c r="F99" s="267" t="s">
        <v>51</v>
      </c>
      <c r="G99" s="1168" t="s">
        <v>53</v>
      </c>
      <c r="H99" s="110"/>
      <c r="I99" s="110"/>
      <c r="J99" s="109"/>
      <c r="K99" s="275" t="str">
        <f>'テンプレート'!K97</f>
        <v>ベクトル</v>
      </c>
      <c r="L99" s="275" t="str">
        <f>'テンプレート'!L97</f>
        <v>KBG (R.E.)</v>
      </c>
      <c r="M99" s="275" t="str">
        <f>'テンプレート'!M97</f>
        <v>BKB (R.A.)</v>
      </c>
      <c r="N99" s="275" t="str">
        <f>'テンプレート'!N97</f>
        <v>FKB (R.F.)</v>
      </c>
      <c r="O99" s="276" t="str">
        <f>'テンプレート'!O97</f>
        <v>盾削り値</v>
      </c>
      <c r="P99" s="275" t="str">
        <f>'テンプレート'!P97</f>
        <v>ﾋｯﾄｽﾄｯﾌﾟ</v>
      </c>
      <c r="Q99" s="276" t="str">
        <f>'テンプレート'!Q97</f>
        <v>ずらし</v>
      </c>
      <c r="R99" s="277"/>
      <c r="S99" s="277"/>
      <c r="T99" s="277"/>
      <c r="U99" s="277"/>
      <c r="V99" s="277"/>
    </row>
    <row r="100" outlineLevel="1">
      <c r="A100" s="278" t="s">
        <v>226</v>
      </c>
      <c r="B100" s="269" t="s">
        <v>227</v>
      </c>
      <c r="C100" s="281"/>
      <c r="D100" s="279">
        <v>37.0</v>
      </c>
      <c r="E100" s="281"/>
      <c r="F100" s="281"/>
      <c r="G100" s="1170"/>
      <c r="H100" s="164"/>
      <c r="I100" s="164"/>
      <c r="J100" s="104"/>
      <c r="K100" s="281"/>
      <c r="L100" s="281"/>
      <c r="M100" s="281"/>
      <c r="N100" s="281"/>
      <c r="O100" s="281"/>
      <c r="P100" s="281"/>
      <c r="Q100" s="281"/>
      <c r="R100" s="277"/>
      <c r="S100" s="228"/>
      <c r="T100" s="228"/>
      <c r="U100" s="228"/>
      <c r="V100" s="228"/>
    </row>
    <row r="101" outlineLevel="1">
      <c r="A101" s="156"/>
      <c r="B101" s="269" t="s">
        <v>225</v>
      </c>
      <c r="C101" s="113">
        <v>28.0</v>
      </c>
      <c r="D101" s="156"/>
      <c r="E101" s="239" t="s">
        <v>274</v>
      </c>
      <c r="F101" s="138">
        <v>10.799999999999999</v>
      </c>
      <c r="G101" s="106"/>
      <c r="H101" s="168"/>
      <c r="I101" s="168"/>
      <c r="J101" s="107"/>
      <c r="K101" s="282"/>
      <c r="L101" s="282"/>
      <c r="M101" s="363"/>
      <c r="N101" s="363"/>
      <c r="O101" s="261"/>
      <c r="P101" s="261"/>
      <c r="Q101" s="261"/>
      <c r="R101" s="277"/>
      <c r="S101" s="228"/>
      <c r="T101" s="228"/>
      <c r="U101" s="228"/>
      <c r="V101" s="228"/>
    </row>
    <row r="102" outlineLevel="1">
      <c r="A102" s="278" t="s">
        <v>229</v>
      </c>
      <c r="B102" s="269" t="s">
        <v>227</v>
      </c>
      <c r="C102" s="281"/>
      <c r="D102" s="279">
        <v>42.0</v>
      </c>
      <c r="E102" s="281"/>
      <c r="F102" s="281"/>
      <c r="G102" s="1170"/>
      <c r="H102" s="164"/>
      <c r="I102" s="164"/>
      <c r="J102" s="104"/>
      <c r="K102" s="281"/>
      <c r="L102" s="281"/>
      <c r="M102" s="281"/>
      <c r="N102" s="281"/>
      <c r="O102" s="281"/>
      <c r="P102" s="281"/>
      <c r="Q102" s="281"/>
      <c r="R102" s="277"/>
      <c r="S102" s="228"/>
      <c r="T102" s="228"/>
      <c r="U102" s="228"/>
      <c r="V102" s="228"/>
    </row>
    <row r="103" outlineLevel="1">
      <c r="A103" s="156"/>
      <c r="B103" s="269" t="s">
        <v>225</v>
      </c>
      <c r="C103" s="113">
        <v>30.0</v>
      </c>
      <c r="D103" s="156"/>
      <c r="E103" s="239" t="s">
        <v>232</v>
      </c>
      <c r="F103" s="138">
        <v>13.2</v>
      </c>
      <c r="G103" s="106"/>
      <c r="H103" s="168"/>
      <c r="I103" s="168"/>
      <c r="J103" s="107"/>
      <c r="K103" s="282"/>
      <c r="L103" s="282"/>
      <c r="M103" s="363"/>
      <c r="N103" s="363"/>
      <c r="O103" s="261"/>
      <c r="P103" s="261"/>
      <c r="Q103" s="261"/>
      <c r="R103" s="277"/>
      <c r="S103" s="228"/>
      <c r="T103" s="228"/>
      <c r="U103" s="228"/>
      <c r="V103" s="228"/>
    </row>
    <row r="104" outlineLevel="1">
      <c r="A104" s="278" t="s">
        <v>233</v>
      </c>
      <c r="B104" s="269" t="s">
        <v>227</v>
      </c>
      <c r="C104" s="281"/>
      <c r="D104" s="279">
        <v>37.0</v>
      </c>
      <c r="E104" s="281"/>
      <c r="F104" s="281"/>
      <c r="G104" s="1170"/>
      <c r="H104" s="164"/>
      <c r="I104" s="164"/>
      <c r="J104" s="104"/>
      <c r="K104" s="281"/>
      <c r="L104" s="281"/>
      <c r="M104" s="281"/>
      <c r="N104" s="281"/>
      <c r="O104" s="281"/>
      <c r="P104" s="281"/>
      <c r="Q104" s="281"/>
      <c r="R104" s="277"/>
      <c r="S104" s="228"/>
      <c r="T104" s="228"/>
      <c r="U104" s="228"/>
      <c r="V104" s="228"/>
    </row>
    <row r="105" outlineLevel="1">
      <c r="A105" s="156"/>
      <c r="B105" s="269" t="s">
        <v>225</v>
      </c>
      <c r="C105" s="113">
        <v>13.0</v>
      </c>
      <c r="D105" s="156"/>
      <c r="E105" s="239" t="s">
        <v>93</v>
      </c>
      <c r="F105" s="138">
        <v>8.4</v>
      </c>
      <c r="G105" s="106"/>
      <c r="H105" s="168"/>
      <c r="I105" s="168"/>
      <c r="J105" s="107"/>
      <c r="K105" s="282"/>
      <c r="L105" s="282"/>
      <c r="M105" s="363"/>
      <c r="N105" s="363"/>
      <c r="O105" s="261"/>
      <c r="P105" s="261"/>
      <c r="Q105" s="261"/>
      <c r="R105" s="277"/>
      <c r="S105" s="117"/>
      <c r="T105" s="117"/>
      <c r="U105" s="117"/>
      <c r="V105" s="117"/>
    </row>
    <row r="106" outlineLevel="1">
      <c r="A106" s="278" t="s">
        <v>234</v>
      </c>
      <c r="B106" s="269" t="s">
        <v>227</v>
      </c>
      <c r="C106" s="281"/>
      <c r="D106" s="279">
        <v>35.0</v>
      </c>
      <c r="E106" s="281"/>
      <c r="F106" s="281"/>
      <c r="G106" s="1170"/>
      <c r="H106" s="164"/>
      <c r="I106" s="164"/>
      <c r="J106" s="104"/>
      <c r="K106" s="281"/>
      <c r="L106" s="281"/>
      <c r="M106" s="281"/>
      <c r="N106" s="281"/>
      <c r="O106" s="281"/>
      <c r="P106" s="281"/>
      <c r="Q106" s="281"/>
      <c r="R106" s="277"/>
      <c r="S106" s="117"/>
      <c r="T106" s="117"/>
      <c r="U106" s="117"/>
      <c r="V106" s="117"/>
    </row>
    <row r="107" outlineLevel="1">
      <c r="A107" s="156"/>
      <c r="B107" s="269" t="s">
        <v>225</v>
      </c>
      <c r="C107" s="113">
        <v>13.0</v>
      </c>
      <c r="D107" s="156"/>
      <c r="E107" s="239" t="s">
        <v>274</v>
      </c>
      <c r="F107" s="138">
        <v>10.799999999999999</v>
      </c>
      <c r="G107" s="106"/>
      <c r="H107" s="168"/>
      <c r="I107" s="168"/>
      <c r="J107" s="107"/>
      <c r="K107" s="282"/>
      <c r="L107" s="282"/>
      <c r="M107" s="363"/>
      <c r="N107" s="363"/>
      <c r="O107" s="261"/>
      <c r="P107" s="261"/>
      <c r="Q107" s="261"/>
      <c r="R107" s="277"/>
      <c r="S107" s="117"/>
      <c r="T107" s="117"/>
      <c r="U107" s="117"/>
      <c r="V107" s="117"/>
    </row>
    <row r="108">
      <c r="A108" s="223"/>
      <c r="B108" s="224"/>
      <c r="C108" s="225"/>
      <c r="D108" s="225"/>
      <c r="E108" s="227"/>
      <c r="F108" s="177"/>
      <c r="G108" s="177"/>
      <c r="H108" s="227"/>
      <c r="I108" s="227"/>
      <c r="J108" s="228"/>
      <c r="K108" s="228"/>
      <c r="L108" s="111"/>
      <c r="M108" s="111"/>
      <c r="N108" s="111"/>
      <c r="O108" s="117"/>
      <c r="P108" s="117"/>
      <c r="Q108" s="111"/>
      <c r="R108" s="111"/>
      <c r="S108" s="111"/>
      <c r="T108" s="111"/>
      <c r="U108" s="111"/>
      <c r="V108" s="111"/>
    </row>
    <row r="109">
      <c r="A109" s="284" t="s">
        <v>241</v>
      </c>
      <c r="B109" s="104"/>
      <c r="C109" s="265"/>
      <c r="D109" s="111"/>
      <c r="E109" s="111"/>
      <c r="F109" s="111"/>
      <c r="G109" s="111"/>
      <c r="H109" s="111"/>
      <c r="I109" s="111"/>
      <c r="J109" s="118"/>
      <c r="K109" s="111"/>
      <c r="L109" s="111"/>
      <c r="M109" s="111"/>
      <c r="N109" s="111"/>
      <c r="O109" s="111"/>
      <c r="P109" s="111"/>
      <c r="Q109" s="118"/>
      <c r="R109" s="111"/>
      <c r="S109" s="111"/>
      <c r="T109" s="111"/>
      <c r="U109" s="111"/>
      <c r="V109" s="111"/>
    </row>
    <row r="110" outlineLevel="1">
      <c r="A110" s="106"/>
      <c r="B110" s="107"/>
      <c r="C110" s="285" t="s">
        <v>235</v>
      </c>
      <c r="D110" s="285" t="s">
        <v>236</v>
      </c>
      <c r="E110" s="285" t="s">
        <v>49</v>
      </c>
      <c r="F110" s="285" t="s">
        <v>237</v>
      </c>
      <c r="G110" s="286"/>
      <c r="H110" s="227"/>
      <c r="I110" s="227"/>
      <c r="J110" s="228"/>
      <c r="K110" s="228"/>
      <c r="L110" s="111"/>
      <c r="M110" s="111"/>
      <c r="N110" s="111"/>
      <c r="O110" s="111"/>
      <c r="P110" s="111"/>
      <c r="Q110" s="111"/>
      <c r="R110" s="111"/>
      <c r="S110" s="111"/>
      <c r="T110" s="111"/>
      <c r="U110" s="111"/>
      <c r="V110" s="111"/>
    </row>
    <row r="111" outlineLevel="1">
      <c r="A111" s="287" t="s">
        <v>395</v>
      </c>
      <c r="B111" s="288" t="s">
        <v>216</v>
      </c>
      <c r="C111" s="113" t="str">
        <f t="array" ref="C111">INDEX('回避'!$C$3:$U$84, MATCH($A$1,'回避'!$A$3:$A$91,0), MATCH(C110,'回避'!$C$2:$F$2,0))</f>
        <v>3-17</v>
      </c>
      <c r="D111" s="113" t="str">
        <f t="array" ref="D111">INDEX('回避'!$C$3:$U$84, MATCH($A$1,'回避'!$A$3:$A$91,0), MATCH(D110,'回避'!$C$2:$F$2,0))</f>
        <v>6-17</v>
      </c>
      <c r="E111" s="113" t="str">
        <f t="array" ref="E111">INDEX('回避'!$C$3:$U$84, MATCH($A$1,'回避'!$A$3:$A$91,0), MATCH(E110,'回避'!$C$2:$F$2,0))</f>
        <v>26 (21)</v>
      </c>
      <c r="F111" s="113" t="str">
        <f t="array" ref="F111">INDEX('回避'!$C$3:$U$84, MATCH($A$1,'回避'!$A$3:$A$91,0), MATCH(F110,'回避'!$C$2:$F$2,0))</f>
        <v>35 (28)</v>
      </c>
      <c r="G111" s="272"/>
      <c r="H111" s="227"/>
      <c r="I111" s="227"/>
      <c r="J111" s="228"/>
      <c r="K111" s="228"/>
      <c r="L111" s="228"/>
      <c r="M111" s="111"/>
      <c r="N111" s="111"/>
      <c r="O111" s="111"/>
      <c r="P111" s="111"/>
      <c r="Q111" s="111"/>
      <c r="R111" s="111"/>
      <c r="S111" s="111"/>
      <c r="T111" s="111"/>
      <c r="U111" s="111"/>
      <c r="V111" s="111"/>
    </row>
    <row r="112" outlineLevel="1">
      <c r="A112" s="212"/>
      <c r="B112" s="288" t="s">
        <v>245</v>
      </c>
      <c r="C112" s="113" t="str">
        <f t="array" ref="C112">INDEX('回避'!$G$3:$U$84, MATCH($A$1,'回避'!$A$3:$A$91,0), MATCH(C110,'回避'!$G$2:$J$2,0))</f>
        <v>4-15</v>
      </c>
      <c r="D112" s="113" t="str">
        <f t="array" ref="D112">INDEX('回避'!$G$3:$U$84, MATCH($A$1,'回避'!$A$3:$A$91,0), MATCH(D110,'回避'!$G$2:$J$2,0))</f>
        <v>8-14</v>
      </c>
      <c r="E112" s="113" t="str">
        <f t="array" ref="E112">INDEX('回避'!$G$3:$U$84, MATCH($A$1,'回避'!$A$3:$A$91,0), MATCH(E110,'回避'!$G$2:$J$2,0))</f>
        <v>30</v>
      </c>
      <c r="F112" s="113">
        <f t="array" ref="F112">INDEX('回避'!$G$3:$U$84, MATCH($A$1,'回避'!$A$3:$A$91,0), MATCH(F110,'回避'!$G$2:$J$2,0))</f>
        <v>40</v>
      </c>
      <c r="G112" s="289"/>
      <c r="H112" s="227"/>
      <c r="I112" s="227"/>
      <c r="J112" s="228"/>
      <c r="K112" s="228"/>
      <c r="L112" s="228"/>
      <c r="M112" s="228"/>
      <c r="N112" s="228"/>
      <c r="O112" s="111"/>
      <c r="P112" s="111"/>
      <c r="Q112" s="111"/>
      <c r="R112" s="111"/>
      <c r="S112" s="111"/>
      <c r="T112" s="111"/>
      <c r="U112" s="111"/>
      <c r="V112" s="111"/>
    </row>
    <row r="113" outlineLevel="1">
      <c r="A113" s="106"/>
      <c r="B113" s="288" t="s">
        <v>246</v>
      </c>
      <c r="C113" s="113" t="str">
        <f t="array" ref="C113">INDEX('回避'!$K$3:$U$84, MATCH($A$1,'回避'!$A$3:$A$91,0), MATCH(C110,'回避'!$K$2:$N$2,0))</f>
        <v>5-16</v>
      </c>
      <c r="D113" s="113" t="str">
        <f t="array" ref="D113">INDEX('回避'!$K$3:$U$84, MATCH($A$1,'回避'!$A$3:$A$91,0), MATCH(D110,'回避'!$K$2:$N$2,0))</f>
        <v>9-14</v>
      </c>
      <c r="E113" s="113" t="str">
        <f t="array" ref="E113">INDEX('回避'!$K$3:$U$84, MATCH($A$1,'回避'!$A$3:$A$91,0), MATCH(E110,'回避'!$K$2:$N$2,0))</f>
        <v>35</v>
      </c>
      <c r="F113" s="113" t="str">
        <f t="array" ref="F113">INDEX('回避'!$K$3:$U$84, MATCH($A$1,'回避'!$A$3:$A$91,0), MATCH(F110,'回避'!$K$2:$N$2,0))</f>
        <v>53</v>
      </c>
      <c r="G113" s="289"/>
      <c r="H113" s="290"/>
      <c r="I113" s="290"/>
      <c r="J113" s="117"/>
      <c r="K113" s="117"/>
      <c r="L113" s="117"/>
      <c r="M113" s="117"/>
      <c r="N113" s="117"/>
      <c r="O113" s="111"/>
      <c r="P113" s="111"/>
      <c r="Q113" s="111"/>
      <c r="R113" s="111"/>
      <c r="S113" s="111"/>
      <c r="T113" s="111"/>
      <c r="U113" s="111"/>
      <c r="V113" s="111"/>
    </row>
    <row r="114" outlineLevel="1">
      <c r="A114" s="287" t="s">
        <v>396</v>
      </c>
      <c r="B114" s="288" t="s">
        <v>397</v>
      </c>
      <c r="C114" s="113" t="str">
        <f t="array" ref="C114">INDEX('回避'!$O$3:$U$84, MATCH($A$1,'回避'!$A$3:$A$91,0), MATCH(C110,'回避'!$O$2:$R$2,0))</f>
        <v>3-29</v>
      </c>
      <c r="D114" s="113" t="str">
        <f t="array" ref="D114">INDEX('回避'!$O$3:$U$84, MATCH($A$1,'回避'!$A$3:$A$91,0), MATCH(D110,'回避'!$O$2:$R$2,0))</f>
        <v>6-27</v>
      </c>
      <c r="E114" s="113" t="str">
        <f t="array" ref="E114">INDEX('回避'!$O$3:$U$84, MATCH($A$1,'回避'!$A$3:$A$91,0), MATCH(E110,'回避'!$O$2:$R$2,0))</f>
        <v>62</v>
      </c>
      <c r="F114" s="177"/>
      <c r="G114" s="177"/>
      <c r="H114" s="118"/>
      <c r="I114" s="118"/>
      <c r="J114" s="111"/>
      <c r="K114" s="111"/>
      <c r="L114" s="111"/>
      <c r="M114" s="111"/>
      <c r="N114" s="111"/>
      <c r="O114" s="228"/>
      <c r="P114" s="228"/>
      <c r="Q114" s="228"/>
      <c r="R114" s="228"/>
      <c r="S114" s="228"/>
      <c r="T114" s="228"/>
      <c r="U114" s="228"/>
      <c r="V114" s="228"/>
    </row>
    <row r="115" outlineLevel="1">
      <c r="A115" s="106"/>
      <c r="B115" s="288" t="s">
        <v>398</v>
      </c>
      <c r="C115" s="113" t="str">
        <f t="array" ref="C115">INDEX('回避'!$S$3:$U$84, MATCH($A$1,'回避'!$A$3:$A$91,0), MATCH(C110,'回避'!$S$2:$U$2,0))</f>
        <v>3-21</v>
      </c>
      <c r="D115" s="113" t="str">
        <f t="array" ref="D115">INDEX('回避'!$S$3:$U$84, MATCH($A$1,'回避'!$A$3:$A$91,0), MATCH(D110,'回避'!$S$2:$U$2,0))</f>
        <v>6-20</v>
      </c>
      <c r="E115" s="113" t="str">
        <f t="array" ref="E115">INDEX('回避'!$S$3:$U$84, MATCH($A$1,'回避'!$A$3:$A$91,0), MATCH(E110,'回避'!$S$2:$U$2,0))</f>
        <v>真横：105
真上：144
真下：86</v>
      </c>
      <c r="F115" s="289"/>
      <c r="G115" s="289"/>
      <c r="H115" s="118"/>
      <c r="I115" s="118"/>
      <c r="J115" s="117"/>
      <c r="K115" s="117"/>
      <c r="L115" s="117"/>
      <c r="M115" s="117"/>
      <c r="N115" s="111"/>
      <c r="O115" s="118"/>
      <c r="P115" s="118"/>
      <c r="Q115" s="118"/>
      <c r="R115" s="118"/>
      <c r="S115" s="118"/>
      <c r="T115" s="118"/>
      <c r="U115" s="118"/>
      <c r="V115" s="118"/>
    </row>
    <row r="116">
      <c r="A116" s="291"/>
      <c r="B116" s="292"/>
      <c r="C116" s="286"/>
      <c r="D116" s="286"/>
      <c r="E116" s="293"/>
      <c r="F116" s="286"/>
      <c r="G116" s="286"/>
      <c r="H116" s="286"/>
      <c r="I116" s="286"/>
      <c r="J116" s="111"/>
      <c r="K116" s="227"/>
      <c r="L116" s="227"/>
      <c r="M116" s="227"/>
      <c r="N116" s="227"/>
      <c r="O116" s="118"/>
      <c r="P116" s="118"/>
      <c r="Q116" s="118"/>
      <c r="R116" s="118"/>
      <c r="S116" s="118"/>
      <c r="T116" s="118"/>
      <c r="U116" s="118"/>
      <c r="V116" s="118"/>
    </row>
    <row r="117">
      <c r="A117" s="294" t="s">
        <v>238</v>
      </c>
      <c r="B117" s="104"/>
      <c r="C117" s="228"/>
      <c r="D117" s="117"/>
      <c r="E117" s="228"/>
      <c r="F117" s="114"/>
      <c r="G117" s="114"/>
      <c r="H117" s="117"/>
      <c r="I117" s="117"/>
      <c r="J117" s="118"/>
      <c r="K117" s="118"/>
      <c r="L117" s="118"/>
      <c r="M117" s="118"/>
      <c r="N117" s="118"/>
      <c r="O117" s="118"/>
      <c r="P117" s="118"/>
      <c r="Q117" s="118"/>
      <c r="R117" s="118"/>
      <c r="S117" s="118"/>
      <c r="T117" s="118"/>
      <c r="U117" s="118"/>
      <c r="V117" s="118"/>
    </row>
    <row r="118" outlineLevel="1">
      <c r="A118" s="106"/>
      <c r="B118" s="107"/>
      <c r="C118" s="295" t="s">
        <v>235</v>
      </c>
      <c r="D118" s="295" t="s">
        <v>49</v>
      </c>
      <c r="E118" s="295" t="s">
        <v>48</v>
      </c>
      <c r="F118" s="295" t="s">
        <v>50</v>
      </c>
      <c r="G118" s="296" t="s">
        <v>51</v>
      </c>
      <c r="H118" s="228"/>
      <c r="I118" s="228"/>
      <c r="J118" s="117"/>
      <c r="K118" s="297" t="str">
        <f>'テンプレート'!K116</f>
        <v>アイテム取得</v>
      </c>
      <c r="L118" s="109"/>
      <c r="M118" s="298" t="str">
        <f>'テンプレート'!M116</f>
        <v>取得フレーム</v>
      </c>
      <c r="N118" s="298" t="str">
        <f>'テンプレート'!N116</f>
        <v>全体フレーム</v>
      </c>
      <c r="O118" s="118"/>
      <c r="P118" s="118"/>
      <c r="Q118" s="118"/>
      <c r="R118" s="118"/>
      <c r="S118" s="118"/>
      <c r="T118" s="118"/>
      <c r="U118" s="118"/>
      <c r="V118" s="118"/>
    </row>
    <row r="119" outlineLevel="1">
      <c r="A119" s="299" t="s">
        <v>239</v>
      </c>
      <c r="B119" s="300" t="s">
        <v>240</v>
      </c>
      <c r="C119" s="301"/>
      <c r="D119" s="113">
        <f t="array" ref="D119">INDEX('崖行動・受け身'!$C$3:$C121, MATCH($A$1,'崖行動・受け身'!$A$3:$A$115,0), MATCH(D118,'崖行動・受け身'!$C$2,0))</f>
        <v>19</v>
      </c>
      <c r="E119" s="301"/>
      <c r="F119" s="301"/>
      <c r="G119" s="301"/>
      <c r="H119" s="228"/>
      <c r="I119" s="228"/>
      <c r="J119" s="111"/>
      <c r="K119" s="302" t="str">
        <f>'テンプレート'!K117</f>
        <v>小アイテム</v>
      </c>
      <c r="L119" s="303" t="str">
        <f>'テンプレート'!L117</f>
        <v>その場</v>
      </c>
      <c r="M119" s="113" t="s">
        <v>76</v>
      </c>
      <c r="N119" s="113">
        <v>7.0</v>
      </c>
      <c r="O119" s="118"/>
      <c r="P119" s="118"/>
      <c r="Q119" s="118"/>
      <c r="R119" s="118"/>
      <c r="S119" s="118"/>
      <c r="T119" s="118"/>
      <c r="U119" s="118"/>
      <c r="V119" s="118"/>
    </row>
    <row r="120" outlineLevel="1">
      <c r="A120" s="146"/>
      <c r="B120" s="300" t="s">
        <v>216</v>
      </c>
      <c r="C120" s="113" t="str">
        <f t="array" ref="C120">INDEX('崖行動・受け身'!$D$3:$E121, MATCH($A$1,'崖行動・受け身'!$A$3:$A$115,0), MATCH(C118,'崖行動・受け身'!$D$2:$E$2,0))</f>
        <v>1-33</v>
      </c>
      <c r="D120" s="113">
        <f t="array" ref="D120">INDEX('崖行動・受け身'!$D$3:$E121, MATCH($A$1,'崖行動・受け身'!$A$3:$A$115,0), MATCH(D118,'崖行動・受け身'!$D$2:$E$2,0))</f>
        <v>34</v>
      </c>
      <c r="E120" s="301"/>
      <c r="F120" s="301"/>
      <c r="G120" s="301"/>
      <c r="H120" s="228"/>
      <c r="I120" s="228"/>
      <c r="J120" s="117"/>
      <c r="K120" s="156"/>
      <c r="L120" s="303" t="str">
        <f>'テンプレート'!L118</f>
        <v>歩き</v>
      </c>
      <c r="M120" s="113" t="s">
        <v>76</v>
      </c>
      <c r="N120" s="113">
        <v>19.0</v>
      </c>
      <c r="O120" s="118"/>
      <c r="P120" s="118"/>
      <c r="Q120" s="118"/>
      <c r="R120" s="118"/>
      <c r="S120" s="118"/>
      <c r="T120" s="118"/>
      <c r="U120" s="118"/>
      <c r="V120" s="118"/>
    </row>
    <row r="121" outlineLevel="1">
      <c r="A121" s="146"/>
      <c r="B121" s="300" t="s">
        <v>241</v>
      </c>
      <c r="C121" s="113" t="str">
        <f t="array" ref="C121">INDEX('崖行動・受け身'!$F$3:$G$115, MATCH($A$1,'崖行動・受け身'!$A$3:$A$115,0), MATCH(C118,'崖行動・受け身'!$F$2:$G$2,0))</f>
        <v>1-25</v>
      </c>
      <c r="D121" s="113">
        <f t="array" ref="D121">INDEX('崖行動・受け身'!$F$3:$G$115, MATCH($A$1,'崖行動・受け身'!$A$3:$A$115,0), MATCH(D118,'崖行動・受け身'!$F$2:$G$2,0))</f>
        <v>45</v>
      </c>
      <c r="E121" s="301"/>
      <c r="F121" s="301"/>
      <c r="G121" s="301"/>
      <c r="H121" s="228"/>
      <c r="I121" s="228"/>
      <c r="J121" s="111"/>
      <c r="K121" s="304" t="str">
        <f>'テンプレート'!K119</f>
        <v>アイテム投擲</v>
      </c>
      <c r="L121" s="109"/>
      <c r="M121" s="298" t="str">
        <f>'テンプレート'!M119</f>
        <v>投擲フレーム</v>
      </c>
      <c r="N121" s="298" t="str">
        <f>'テンプレート'!N119</f>
        <v>全体フレーム</v>
      </c>
      <c r="O121" s="118"/>
      <c r="P121" s="118"/>
      <c r="Q121" s="118"/>
      <c r="R121" s="118"/>
      <c r="S121" s="118"/>
      <c r="T121" s="118"/>
      <c r="U121" s="118"/>
      <c r="V121" s="118"/>
    </row>
    <row r="122" outlineLevel="1">
      <c r="A122" s="146"/>
      <c r="B122" s="300" t="s">
        <v>242</v>
      </c>
      <c r="C122" s="113" t="str">
        <f t="array" ref="C122">INDEX('崖行動・受け身'!$H$3:$I$115, MATCH($A$1,'崖行動・受け身'!$A$3:$A$115,0), MATCH(C118,'崖行動・受け身'!$H$2:$I$2,0))</f>
        <v>1-12</v>
      </c>
      <c r="D122" s="113">
        <f t="array" ref="D122">INDEX('崖行動・受け身'!$H$3:$I$115, MATCH($A$1,'崖行動・受け身'!$A$3:$A$115,0), MATCH(D118,'崖行動・受け身'!$H$2:$I$2,0))</f>
        <v>14</v>
      </c>
      <c r="E122" s="301"/>
      <c r="F122" s="301"/>
      <c r="G122" s="301"/>
      <c r="H122" s="228"/>
      <c r="I122" s="228"/>
      <c r="J122" s="117"/>
      <c r="K122" s="305" t="str">
        <f>'テンプレート'!K120</f>
        <v>地上投擲</v>
      </c>
      <c r="L122" s="303" t="str">
        <f>'テンプレート'!L120</f>
        <v>前投げ</v>
      </c>
      <c r="M122" s="113" t="s">
        <v>80</v>
      </c>
      <c r="N122" s="113">
        <v>26.0</v>
      </c>
      <c r="O122" s="111"/>
      <c r="P122" s="111"/>
      <c r="Q122" s="111"/>
      <c r="R122" s="111"/>
      <c r="S122" s="111"/>
      <c r="T122" s="111"/>
      <c r="U122" s="111"/>
      <c r="V122" s="111"/>
    </row>
    <row r="123" outlineLevel="1">
      <c r="A123" s="156"/>
      <c r="B123" s="300" t="s">
        <v>243</v>
      </c>
      <c r="C123" s="113" t="str">
        <f t="array" ref="C123">INDEX('崖行動・受け身'!$J$3:$M$115, MATCH($A$1,'崖行動・受け身'!$A$3:$A$115,0), MATCH(C118,'崖行動・受け身'!$J$2:$M$2,0))</f>
        <v>1-21</v>
      </c>
      <c r="D123" s="113">
        <f t="array" ref="D123">INDEX('崖行動・受け身'!$J$3:$M$115, MATCH($A$1,'崖行動・受け身'!$A$3:$A$115,0), MATCH(D118,'崖行動・受け身'!$J$2:$M$2,0))</f>
        <v>55</v>
      </c>
      <c r="E123" s="113" t="str">
        <f t="array" ref="E123">INDEX('崖行動・受け身'!$J$3:$M$115, MATCH($A$1,'崖行動・受け身'!$A$3:$A$115,0), MATCH(E118,'崖行動・受け身'!$J$2:$M$2,0))</f>
        <v>19-21</v>
      </c>
      <c r="F123" s="113">
        <f t="array" ref="F123">INDEX('崖行動・受け身'!$J$3:$M$115, MATCH($A$1,'崖行動・受け身'!$A$3:$A$115,0), MATCH(F118,'崖行動・受け身'!$J$2:$M$2,0))</f>
        <v>9</v>
      </c>
      <c r="G123" s="113">
        <f>F123*1.2</f>
        <v>10.8</v>
      </c>
      <c r="H123" s="228"/>
      <c r="I123" s="228"/>
      <c r="J123" s="111"/>
      <c r="K123" s="146"/>
      <c r="L123" s="303" t="str">
        <f>'テンプレート'!L121</f>
        <v>後投げ</v>
      </c>
      <c r="M123" s="113" t="s">
        <v>232</v>
      </c>
      <c r="N123" s="113">
        <v>26.0</v>
      </c>
      <c r="O123" s="111"/>
      <c r="P123" s="111"/>
      <c r="Q123" s="111"/>
      <c r="R123" s="111"/>
      <c r="S123" s="111"/>
      <c r="T123" s="111"/>
      <c r="U123" s="111"/>
      <c r="V123" s="111"/>
    </row>
    <row r="124" outlineLevel="1">
      <c r="A124" s="299" t="s">
        <v>244</v>
      </c>
      <c r="B124" s="300" t="s">
        <v>216</v>
      </c>
      <c r="C124" s="113" t="str">
        <f t="array" ref="C124">INDEX('崖行動・受け身'!$N$3:$O$115, MATCH($A$1,'崖行動・受け身'!$A$3:$A$115,0), MATCH(C118,'崖行動・受け身'!$N$2:$O$2,0))</f>
        <v>1-20</v>
      </c>
      <c r="D124" s="113">
        <f t="array" ref="D124">INDEX('崖行動・受け身'!$N$3:$O$115, MATCH($A$1,'崖行動・受け身'!$A$3:$A$115,0), MATCH(D118,'崖行動・受け身'!$N$2:$O$2,0))</f>
        <v>26</v>
      </c>
      <c r="E124" s="301"/>
      <c r="F124" s="301"/>
      <c r="G124" s="301"/>
      <c r="H124" s="228"/>
      <c r="I124" s="228"/>
      <c r="J124" s="117"/>
      <c r="K124" s="146"/>
      <c r="L124" s="303" t="str">
        <f>'テンプレート'!L122</f>
        <v>上投げ</v>
      </c>
      <c r="M124" s="113" t="s">
        <v>232</v>
      </c>
      <c r="N124" s="113">
        <v>25.0</v>
      </c>
      <c r="O124" s="228"/>
      <c r="P124" s="228"/>
      <c r="Q124" s="228"/>
      <c r="R124" s="228"/>
      <c r="S124" s="228"/>
      <c r="T124" s="228"/>
      <c r="U124" s="228"/>
      <c r="V124" s="228"/>
    </row>
    <row r="125" outlineLevel="1">
      <c r="A125" s="146"/>
      <c r="B125" s="300" t="s">
        <v>245</v>
      </c>
      <c r="C125" s="113" t="str">
        <f t="array" ref="C125">INDEX('崖行動・受け身'!$P$3:$Q$115, MATCH($A$1,'崖行動・受け身'!$A$3:$A$115,0), MATCH(C118,'崖行動・受け身'!$P$2:$Q$2,0))</f>
        <v>1-20</v>
      </c>
      <c r="D125" s="113">
        <f t="array" ref="D125">INDEX('崖行動・受け身'!$P$3:$Q$115, MATCH($A$1,'崖行動・受け身'!$A$3:$A$115,0), MATCH(D118,'崖行動・受け身'!$P$2:$Q$2,0))</f>
        <v>40</v>
      </c>
      <c r="E125" s="301"/>
      <c r="F125" s="301"/>
      <c r="G125" s="301"/>
      <c r="H125" s="228"/>
      <c r="I125" s="228"/>
      <c r="J125" s="111"/>
      <c r="K125" s="146"/>
      <c r="L125" s="303" t="str">
        <f>'テンプレート'!L123</f>
        <v>下投げ</v>
      </c>
      <c r="M125" s="113" t="s">
        <v>128</v>
      </c>
      <c r="N125" s="113">
        <v>21.0</v>
      </c>
      <c r="O125" s="118"/>
      <c r="P125" s="118"/>
      <c r="Q125" s="118"/>
      <c r="R125" s="118"/>
      <c r="S125" s="118"/>
      <c r="T125" s="118"/>
      <c r="U125" s="118"/>
      <c r="V125" s="118"/>
    </row>
    <row r="126" outlineLevel="1">
      <c r="A126" s="156"/>
      <c r="B126" s="300" t="s">
        <v>246</v>
      </c>
      <c r="C126" s="113" t="str">
        <f t="array" ref="C126">INDEX('崖行動・受け身'!$R$3:$S$115, MATCH($A$1,'崖行動・受け身'!$A$3:$A$115,0), MATCH(C118,'崖行動・受け身'!$R$2:$S$2,0))</f>
        <v>1-20</v>
      </c>
      <c r="D126" s="113">
        <f t="array" ref="D126">INDEX('崖行動・受け身'!$R$3:$S$115, MATCH($A$1,'崖行動・受け身'!$A$3:$A$115,0), MATCH(D118,'崖行動・受け身'!$R$2:$S$2,0))</f>
        <v>40</v>
      </c>
      <c r="E126" s="301"/>
      <c r="F126" s="301"/>
      <c r="G126" s="301"/>
      <c r="H126" s="228"/>
      <c r="I126" s="228"/>
      <c r="J126" s="117"/>
      <c r="K126" s="146"/>
      <c r="L126" s="306" t="str">
        <f>'テンプレート'!L124</f>
        <v>ダッシュ</v>
      </c>
      <c r="M126" s="113" t="s">
        <v>128</v>
      </c>
      <c r="N126" s="113">
        <v>37.0</v>
      </c>
      <c r="O126" s="118"/>
      <c r="P126" s="118"/>
      <c r="Q126" s="118"/>
      <c r="R126" s="118"/>
      <c r="S126" s="118"/>
      <c r="T126" s="118"/>
      <c r="U126" s="118"/>
      <c r="V126" s="118"/>
    </row>
    <row r="127" outlineLevel="1">
      <c r="A127" s="299" t="s">
        <v>247</v>
      </c>
      <c r="B127" s="300" t="s">
        <v>248</v>
      </c>
      <c r="C127" s="301"/>
      <c r="D127" s="113" t="str">
        <f t="array" ref="D127">INDEX('起きあがり'!$C$3:$C121, MATCH($A$1,'起きあがり'!$A$3:$A$115,0), MATCH(D118,'起きあがり'!$C$2:$AD$2,0))</f>
        <v>25</v>
      </c>
      <c r="E127" s="301"/>
      <c r="F127" s="301"/>
      <c r="G127" s="301"/>
      <c r="H127" s="228"/>
      <c r="I127" s="228"/>
      <c r="J127" s="111"/>
      <c r="K127" s="156"/>
      <c r="L127" s="306" t="str">
        <f>'テンプレート'!L125</f>
        <v>その場捨て</v>
      </c>
      <c r="M127" s="113" t="s">
        <v>93</v>
      </c>
      <c r="N127" s="113">
        <v>23.0</v>
      </c>
      <c r="O127" s="118"/>
      <c r="P127" s="118"/>
      <c r="Q127" s="118"/>
      <c r="R127" s="118"/>
      <c r="S127" s="118"/>
      <c r="T127" s="118"/>
      <c r="U127" s="118"/>
      <c r="V127" s="118"/>
    </row>
    <row r="128" outlineLevel="1">
      <c r="A128" s="146"/>
      <c r="B128" s="300" t="s">
        <v>216</v>
      </c>
      <c r="C128" s="307" t="str">
        <f t="array" ref="C128">INDEX('起きあがり'!$D$3:$E121, MATCH($A$1,'起きあがり'!$A$3:$A$115,0), MATCH(C118,'起きあがり'!$D$2:$AD$2,0))</f>
        <v>1-22</v>
      </c>
      <c r="D128" s="308">
        <f t="array" ref="D128">INDEX('起きあがり'!$D$3:$E121, MATCH($A$1,'起きあがり'!$A$3:$A$115,0), MATCH(D118,'起きあがり'!$D$2:$AD$2,0))</f>
        <v>29</v>
      </c>
      <c r="E128" s="301"/>
      <c r="F128" s="301"/>
      <c r="G128" s="301"/>
      <c r="H128" s="228"/>
      <c r="I128" s="228"/>
      <c r="J128" s="117"/>
      <c r="K128" s="305" t="str">
        <f>'テンプレート'!K126</f>
        <v>空中投擲</v>
      </c>
      <c r="L128" s="303" t="str">
        <f>'テンプレート'!L126</f>
        <v>前投げ</v>
      </c>
      <c r="M128" s="113" t="s">
        <v>128</v>
      </c>
      <c r="N128" s="113">
        <v>24.0</v>
      </c>
      <c r="O128" s="118"/>
      <c r="P128" s="118"/>
      <c r="Q128" s="118"/>
      <c r="R128" s="118"/>
      <c r="S128" s="118"/>
      <c r="T128" s="118"/>
      <c r="U128" s="118"/>
      <c r="V128" s="118"/>
    </row>
    <row r="129" outlineLevel="1">
      <c r="A129" s="146"/>
      <c r="B129" s="300" t="s">
        <v>245</v>
      </c>
      <c r="C129" s="307" t="str">
        <f t="array" ref="C129">INDEX('起きあがり'!$F$3:$G$115, MATCH($A$1,'起きあがり'!$A$3:$A$115,0), MATCH(C118,'起きあがり'!$F$2:$AD$2,0))</f>
        <v>1-19</v>
      </c>
      <c r="D129" s="308">
        <f t="array" ref="D129">INDEX('起きあがり'!$F$3:$G$115, MATCH($A$1,'起きあがり'!$A$3:$A$115,0), MATCH(D118,'起きあがり'!$F$2:$AD$2,0))</f>
        <v>35</v>
      </c>
      <c r="E129" s="301"/>
      <c r="F129" s="301"/>
      <c r="G129" s="301"/>
      <c r="H129" s="228"/>
      <c r="I129" s="228"/>
      <c r="J129" s="111"/>
      <c r="K129" s="146"/>
      <c r="L129" s="303" t="str">
        <f>'テンプレート'!L127</f>
        <v>後投げ</v>
      </c>
      <c r="M129" s="113" t="s">
        <v>232</v>
      </c>
      <c r="N129" s="113">
        <v>24.0</v>
      </c>
      <c r="O129" s="118"/>
      <c r="P129" s="118"/>
      <c r="Q129" s="118"/>
      <c r="R129" s="118"/>
      <c r="S129" s="118"/>
      <c r="T129" s="118"/>
      <c r="U129" s="118"/>
      <c r="V129" s="118"/>
    </row>
    <row r="130" outlineLevel="1">
      <c r="A130" s="146"/>
      <c r="B130" s="300" t="s">
        <v>246</v>
      </c>
      <c r="C130" s="113" t="str">
        <f t="array" ref="C130">INDEX('起きあがり'!$H$3:$I$115, MATCH($A$1,'起きあがり'!$A$3:$A$115,0), MATCH(C118,'起きあがり'!$H$2:$AD$2,0))</f>
        <v>1-19</v>
      </c>
      <c r="D130" s="113">
        <f t="array" ref="D130">INDEX('起きあがり'!$H$3:$I$115, MATCH($A$1,'起きあがり'!$A$3:$A$115,0), MATCH(D118,'起きあがり'!$H$2:$AD$2,0))</f>
        <v>35</v>
      </c>
      <c r="E130" s="301"/>
      <c r="F130" s="301"/>
      <c r="G130" s="301"/>
      <c r="H130" s="228"/>
      <c r="I130" s="228"/>
      <c r="J130" s="117"/>
      <c r="K130" s="146"/>
      <c r="L130" s="303" t="str">
        <f>'テンプレート'!L128</f>
        <v>上投げ</v>
      </c>
      <c r="M130" s="113" t="s">
        <v>232</v>
      </c>
      <c r="N130" s="113">
        <v>23.0</v>
      </c>
      <c r="O130" s="118"/>
      <c r="P130" s="118"/>
      <c r="Q130" s="118"/>
      <c r="R130" s="118"/>
      <c r="S130" s="118"/>
      <c r="T130" s="118"/>
      <c r="U130" s="118"/>
      <c r="V130" s="118"/>
    </row>
    <row r="131" outlineLevel="1">
      <c r="A131" s="146"/>
      <c r="B131" s="300" t="s">
        <v>249</v>
      </c>
      <c r="C131" s="309" t="str">
        <f t="array" ref="C131">INDEX('起きあがり'!$J$3:$M$115, MATCH($A$1,'起きあがり'!$A$3:$A$115,0), MATCH(C118,'起きあがり'!$J$2:$AD$2,0))</f>
        <v>1-23</v>
      </c>
      <c r="D131" s="310">
        <f t="array" ref="D131">INDEX('起きあがり'!$J$3:$M$115, MATCH($A$1,'起きあがり'!$A$3:$A$115,0), MATCH(D118,'起きあがり'!$J$2:$AD$2,0))</f>
        <v>45</v>
      </c>
      <c r="E131" s="307" t="str">
        <f t="array" ref="E131">INDEX('起きあがり'!$J$3:$M$115, MATCH($A$1,'起きあがり'!$A$3:$A$115,0), MATCH(E118,'起きあがり'!$J$2:$AD$2,0))</f>
        <v>17-18</v>
      </c>
      <c r="F131" s="308">
        <f t="array" ref="F131">INDEX('起きあがり'!$J$3:$M$115, MATCH($A$1,'起きあがり'!$A$3:$A$115,0), MATCH(F118,'起きあがり'!$J$2:$AD$2,0))</f>
        <v>7</v>
      </c>
      <c r="G131" s="113">
        <f t="shared" ref="G131:G132" si="1">F131*1.2</f>
        <v>8.4</v>
      </c>
      <c r="H131" s="228"/>
      <c r="I131" s="228"/>
      <c r="J131" s="111"/>
      <c r="K131" s="156"/>
      <c r="L131" s="303" t="str">
        <f>'テンプレート'!L129</f>
        <v>下投げ</v>
      </c>
      <c r="M131" s="113" t="s">
        <v>232</v>
      </c>
      <c r="N131" s="113">
        <v>19.0</v>
      </c>
      <c r="O131" s="111"/>
      <c r="P131" s="111"/>
      <c r="Q131" s="111"/>
      <c r="R131" s="111"/>
      <c r="S131" s="111"/>
      <c r="T131" s="111"/>
      <c r="U131" s="111"/>
      <c r="V131" s="111"/>
    </row>
    <row r="132" outlineLevel="1">
      <c r="A132" s="156"/>
      <c r="B132" s="311" t="s">
        <v>250</v>
      </c>
      <c r="C132" s="156"/>
      <c r="D132" s="156"/>
      <c r="E132" s="307" t="str">
        <f t="array" ref="E132">INDEX('起きあがり'!$N$3:$O$115, MATCH($A$1,'起きあがり'!$A$3:$A$115,0), MATCH(E118,'起きあがり'!$N$2:$AD$2,0))</f>
        <v>22-23</v>
      </c>
      <c r="F132" s="308">
        <f t="array" ref="F132">INDEX('起きあがり'!$N$3:$O$115, MATCH($A$1,'起きあがり'!$A$3:$A$115,0), MATCH(F118,'起きあがり'!$N$2:$AD$2,0))</f>
        <v>7</v>
      </c>
      <c r="G132" s="113">
        <f t="shared" si="1"/>
        <v>8.4</v>
      </c>
      <c r="H132" s="228"/>
      <c r="I132" s="228"/>
      <c r="J132" s="111"/>
      <c r="K132" s="312" t="str">
        <f>'テンプレート'!K130</f>
        <v>踏み台ジャンプ</v>
      </c>
      <c r="L132" s="168"/>
      <c r="M132" s="298" t="str">
        <f>'テンプレート'!M130</f>
        <v>全体フレーム</v>
      </c>
      <c r="N132" s="114"/>
      <c r="O132" s="111"/>
      <c r="P132" s="111"/>
      <c r="Q132" s="111"/>
      <c r="R132" s="111"/>
      <c r="S132" s="111"/>
      <c r="T132" s="111"/>
      <c r="U132" s="111"/>
      <c r="V132" s="111"/>
    </row>
    <row r="133" outlineLevel="1">
      <c r="A133" s="299" t="s">
        <v>251</v>
      </c>
      <c r="B133" s="300" t="s">
        <v>248</v>
      </c>
      <c r="C133" s="301"/>
      <c r="D133" s="307" t="str">
        <f t="array" ref="D133">INDEX('起きあがり'!$C$3:$C121, MATCH($A$1,'起きあがり'!$A$3:$A$115,0), MATCH(D118,'起きあがり'!$C$2,0))</f>
        <v>25</v>
      </c>
      <c r="E133" s="301"/>
      <c r="F133" s="301"/>
      <c r="G133" s="301"/>
      <c r="H133" s="228"/>
      <c r="I133" s="228"/>
      <c r="J133" s="117"/>
      <c r="K133" s="313" t="str">
        <f>'テンプレート'!K131</f>
        <v>踏み</v>
      </c>
      <c r="L133" s="314" t="str">
        <f>'テンプレート'!L131</f>
        <v>踏み</v>
      </c>
      <c r="M133" s="113">
        <v>7.0</v>
      </c>
      <c r="N133" s="315"/>
      <c r="O133" s="111"/>
      <c r="P133" s="111"/>
      <c r="Q133" s="111"/>
      <c r="R133" s="111"/>
      <c r="S133" s="111"/>
      <c r="T133" s="111"/>
      <c r="U133" s="111"/>
      <c r="V133" s="111"/>
    </row>
    <row r="134" outlineLevel="1">
      <c r="A134" s="146"/>
      <c r="B134" s="300" t="s">
        <v>216</v>
      </c>
      <c r="C134" s="307" t="str">
        <f t="array" ref="C134">INDEX('起きあがり'!$P$3:$Q$115, MATCH($A$1,'起きあがり'!$A$3:$A$115,0), MATCH(C118,'起きあがり'!$P$2:$AD$2,0))</f>
        <v>1-22</v>
      </c>
      <c r="D134" s="308">
        <f t="array" ref="D134">INDEX('起きあがり'!$P$3:$Q$115, MATCH($A$1,'起きあがり'!$A$3:$A$115,0), MATCH(D118,'起きあがり'!$P$2:$AD$2,0))</f>
        <v>29</v>
      </c>
      <c r="E134" s="301"/>
      <c r="F134" s="301"/>
      <c r="G134" s="301"/>
      <c r="H134" s="228"/>
      <c r="I134" s="228"/>
      <c r="J134" s="111"/>
      <c r="K134" s="305" t="str">
        <f>'テンプレート'!K132</f>
        <v>踏まれ</v>
      </c>
      <c r="L134" s="314" t="str">
        <f>'テンプレート'!L132</f>
        <v>地上踏まれ</v>
      </c>
      <c r="M134" s="113" t="s">
        <v>76</v>
      </c>
      <c r="N134" s="315"/>
      <c r="O134" s="228"/>
      <c r="P134" s="228"/>
      <c r="Q134" s="228"/>
      <c r="R134" s="228"/>
      <c r="S134" s="228"/>
      <c r="T134" s="228"/>
      <c r="U134" s="228"/>
      <c r="V134" s="228"/>
    </row>
    <row r="135" outlineLevel="1">
      <c r="A135" s="146"/>
      <c r="B135" s="300" t="s">
        <v>245</v>
      </c>
      <c r="C135" s="307" t="str">
        <f t="array" ref="C135">INDEX('起きあがり'!$R$3:$S$115, MATCH($A$1,'起きあがり'!$A$3:$A$115,0), MATCH(C118,'起きあがり'!$R$2:$AD$2,0))</f>
        <v>1-19</v>
      </c>
      <c r="D135" s="308">
        <f t="array" ref="D135">INDEX('起きあがり'!$R$3:$S$115, MATCH($A$1,'起きあがり'!$A$3:$A$115,0), MATCH(D118,'起きあがり'!$R$2:$AD$2,0))</f>
        <v>35</v>
      </c>
      <c r="E135" s="301"/>
      <c r="F135" s="301"/>
      <c r="G135" s="301"/>
      <c r="H135" s="228"/>
      <c r="I135" s="228"/>
      <c r="J135" s="117"/>
      <c r="K135" s="146"/>
      <c r="L135" s="314" t="str">
        <f>'テンプレート'!L133</f>
        <v>地上硬直</v>
      </c>
      <c r="M135" s="113">
        <v>26.0</v>
      </c>
      <c r="N135" s="102"/>
      <c r="O135" s="118"/>
      <c r="P135" s="118"/>
      <c r="Q135" s="118"/>
      <c r="R135" s="118"/>
      <c r="S135" s="118"/>
      <c r="T135" s="118"/>
      <c r="U135" s="118"/>
      <c r="V135" s="118"/>
    </row>
    <row r="136" outlineLevel="1">
      <c r="A136" s="146"/>
      <c r="B136" s="300" t="s">
        <v>246</v>
      </c>
      <c r="C136" s="307" t="str">
        <f t="array" ref="C136">INDEX('起きあがり'!$T$3:$U$115, MATCH($A$1,'起きあがり'!$A$3:$A$115,0), MATCH(C118,'起きあがり'!$T$2:$AD$2,0))</f>
        <v>1-24</v>
      </c>
      <c r="D136" s="308">
        <f t="array" ref="D136">INDEX('起きあがり'!$T$3:$U$115, MATCH($A$1,'起きあがり'!$A$3:$A$115,0), MATCH(D118,'起きあがり'!$T$2:$AD$2,0))</f>
        <v>35</v>
      </c>
      <c r="E136" s="301"/>
      <c r="F136" s="301"/>
      <c r="G136" s="301"/>
      <c r="H136" s="228"/>
      <c r="I136" s="228"/>
      <c r="J136" s="111"/>
      <c r="K136" s="146"/>
      <c r="L136" s="314" t="str">
        <f>'テンプレート'!L134</f>
        <v>空中踏まれ</v>
      </c>
      <c r="M136" s="113">
        <v>7.0</v>
      </c>
      <c r="N136" s="102"/>
      <c r="O136" s="118"/>
      <c r="P136" s="118"/>
      <c r="Q136" s="118"/>
      <c r="R136" s="118"/>
      <c r="S136" s="118"/>
      <c r="T136" s="118"/>
      <c r="U136" s="118"/>
      <c r="V136" s="118"/>
    </row>
    <row r="137" outlineLevel="1">
      <c r="A137" s="146"/>
      <c r="B137" s="300" t="s">
        <v>249</v>
      </c>
      <c r="C137" s="309" t="str">
        <f t="array" ref="C137">INDEX('起きあがり'!$V$3:$Y$115, MATCH($A$1,'起きあがり'!$A$3:$A$115,0), MATCH(C118,'起きあがり'!$V$2:$AD$2,0))</f>
        <v>1-23</v>
      </c>
      <c r="D137" s="310">
        <f t="array" ref="D137">INDEX('起きあがり'!$V$3:$Y$115, MATCH($A$1,'起きあがり'!$A$3:$A$115,0), MATCH(D118,'起きあがり'!$V$2:$AD$2,0))</f>
        <v>45</v>
      </c>
      <c r="E137" s="307" t="str">
        <f t="array" ref="E137">INDEX('起きあがり'!$V$3:$Y$115, MATCH($A$1,'起きあがり'!$A$3:$A$115,0), MATCH(E118,'起きあがり'!$V$2:$AD$2,0))</f>
        <v>17-18</v>
      </c>
      <c r="F137" s="308">
        <f t="array" ref="F137">INDEX('起きあがり'!$V$3:$Y$115, MATCH($A$1,'起きあがり'!$A$3:$A$115,0), MATCH(F118,'起きあがり'!$V$2:$AD$2,0))</f>
        <v>7</v>
      </c>
      <c r="G137" s="113">
        <f t="shared" ref="G137:G138" si="2">F137*1.2</f>
        <v>8.4</v>
      </c>
      <c r="H137" s="228"/>
      <c r="I137" s="228"/>
      <c r="J137" s="117"/>
      <c r="K137" s="146"/>
      <c r="L137" s="314" t="str">
        <f>'テンプレート'!L135</f>
        <v>空中落下</v>
      </c>
      <c r="M137" s="113">
        <v>42.0</v>
      </c>
      <c r="N137" s="102"/>
      <c r="O137" s="118"/>
      <c r="P137" s="118"/>
      <c r="Q137" s="118"/>
      <c r="R137" s="118"/>
      <c r="S137" s="118"/>
      <c r="T137" s="118"/>
      <c r="U137" s="118"/>
      <c r="V137" s="118"/>
    </row>
    <row r="138" outlineLevel="1">
      <c r="A138" s="156"/>
      <c r="B138" s="311" t="s">
        <v>250</v>
      </c>
      <c r="C138" s="156"/>
      <c r="D138" s="156"/>
      <c r="E138" s="307" t="str">
        <f t="array" ref="E138">INDEX('起きあがり'!$Z$3:$AA$115, MATCH($A$1,'起きあがり'!$A$3:$A$115,0), MATCH(E118,'起きあがり'!$Z$2:$AD$2,0))</f>
        <v>22-23</v>
      </c>
      <c r="F138" s="308">
        <f t="array" ref="F138">INDEX('起きあがり'!$Z$3:$AA$115, MATCH($A$1,'起きあがり'!$A$3:$A$115,0), MATCH(F118,'起きあがり'!$Z$2:$AD$2,0))</f>
        <v>7</v>
      </c>
      <c r="G138" s="113">
        <f t="shared" si="2"/>
        <v>8.4</v>
      </c>
      <c r="H138" s="228"/>
      <c r="I138" s="228"/>
      <c r="J138" s="117"/>
      <c r="K138" s="304" t="str">
        <f>'テンプレート'!K136</f>
        <v>倒れダメージ</v>
      </c>
      <c r="L138" s="110"/>
      <c r="M138" s="298" t="str">
        <f>'テンプレート'!M136</f>
        <v>全体フレーム</v>
      </c>
      <c r="N138" s="102"/>
      <c r="O138" s="118"/>
      <c r="P138" s="118"/>
      <c r="Q138" s="118"/>
      <c r="R138" s="118"/>
      <c r="S138" s="118"/>
      <c r="T138" s="118"/>
      <c r="U138" s="118"/>
      <c r="V138" s="118"/>
    </row>
    <row r="139" outlineLevel="1">
      <c r="A139" s="299" t="s">
        <v>252</v>
      </c>
      <c r="B139" s="300" t="s">
        <v>253</v>
      </c>
      <c r="C139" s="307" t="str">
        <f t="array" ref="C139">INDEX('転倒'!$C$3:$D121, MATCH($A$1,'転倒'!$A$3:$A$115,0), MATCH(C118,'転倒'!$C$2:$AC$2,0))</f>
        <v>1-5</v>
      </c>
      <c r="D139" s="308">
        <f t="array" ref="D139">INDEX('転倒'!$C$3:$D121, MATCH($A$1,'転倒'!$A$3:$A$115,0), MATCH(D118,'転倒'!$C$2:$AC$2,0))</f>
        <v>29</v>
      </c>
      <c r="E139" s="301"/>
      <c r="F139" s="301"/>
      <c r="G139" s="301"/>
      <c r="H139" s="228"/>
      <c r="I139" s="228"/>
      <c r="J139" s="111"/>
      <c r="K139" s="313" t="str">
        <f>'テンプレート'!K137</f>
        <v>あお向け倒れ</v>
      </c>
      <c r="L139" s="306" t="str">
        <f>'テンプレート'!L137</f>
        <v>モーション大</v>
      </c>
      <c r="M139" s="113">
        <v>39.0</v>
      </c>
      <c r="N139" s="315"/>
      <c r="O139" s="118"/>
      <c r="P139" s="118"/>
      <c r="Q139" s="118"/>
      <c r="R139" s="118"/>
      <c r="S139" s="118"/>
      <c r="T139" s="118"/>
      <c r="U139" s="118"/>
      <c r="V139" s="118"/>
    </row>
    <row r="140" outlineLevel="1">
      <c r="A140" s="146"/>
      <c r="B140" s="300" t="s">
        <v>254</v>
      </c>
      <c r="C140" s="307" t="str">
        <f t="array" ref="C140">INDEX('転倒'!$E$3:$F121, MATCH($A$1,'転倒'!$A$3:$A$115,0), MATCH(C118,'転倒'!$E$2:$AC$2,0))</f>
        <v>1-5</v>
      </c>
      <c r="D140" s="308">
        <f t="array" ref="D140">INDEX('転倒'!$E$3:$F121, MATCH($A$1,'転倒'!$A$3:$A$115,0), MATCH(D118,'転倒'!$E$2:$AC$2,0))</f>
        <v>39</v>
      </c>
      <c r="E140" s="301"/>
      <c r="F140" s="301"/>
      <c r="G140" s="301"/>
      <c r="H140" s="228"/>
      <c r="I140" s="228"/>
      <c r="J140" s="117"/>
      <c r="K140" s="313" t="str">
        <f>'テンプレート'!K138</f>
        <v>うつ伏せ倒れ</v>
      </c>
      <c r="L140" s="306" t="str">
        <f>'テンプレート'!L138</f>
        <v>モーション大</v>
      </c>
      <c r="M140" s="113" t="s">
        <v>118</v>
      </c>
      <c r="N140" s="315"/>
      <c r="O140" s="118"/>
      <c r="P140" s="118"/>
      <c r="Q140" s="118"/>
      <c r="R140" s="118"/>
      <c r="S140" s="118"/>
      <c r="T140" s="118"/>
      <c r="U140" s="118"/>
      <c r="V140" s="118"/>
    </row>
    <row r="141" outlineLevel="1">
      <c r="A141" s="146"/>
      <c r="B141" s="300" t="s">
        <v>216</v>
      </c>
      <c r="C141" s="307" t="str">
        <f t="array" ref="C141">INDEX('転倒'!$G$3:$H$115, MATCH($A$1,'転倒'!$A$3:$A$115,0), MATCH(C118,'転倒'!$G$2:$AC$2,0))</f>
        <v>1-16</v>
      </c>
      <c r="D141" s="308">
        <f t="array" ref="D141">INDEX('転倒'!$G$3:$H$115, MATCH($A$1,'転倒'!$A$3:$A$115,0), MATCH(D118,'転倒'!$G$2:$AC$2,0))</f>
        <v>21</v>
      </c>
      <c r="E141" s="301"/>
      <c r="F141" s="301"/>
      <c r="G141" s="301"/>
      <c r="H141" s="228"/>
      <c r="I141" s="228"/>
      <c r="J141" s="111"/>
      <c r="K141" s="304" t="str">
        <f>'テンプレート'!K139</f>
        <v/>
      </c>
      <c r="L141" s="110"/>
      <c r="M141" s="298" t="str">
        <f>'テンプレート'!M139</f>
        <v/>
      </c>
      <c r="N141" s="102"/>
      <c r="O141" s="118"/>
      <c r="P141" s="118"/>
      <c r="Q141" s="118"/>
      <c r="R141" s="118"/>
      <c r="S141" s="118"/>
      <c r="T141" s="118"/>
      <c r="U141" s="118"/>
      <c r="V141" s="118"/>
    </row>
    <row r="142" outlineLevel="1">
      <c r="A142" s="146"/>
      <c r="B142" s="300" t="s">
        <v>245</v>
      </c>
      <c r="C142" s="307" t="str">
        <f t="array" ref="C142">INDEX('転倒'!$I$3:$J$115, MATCH($A$1,'転倒'!$A$3:$A$115,0), MATCH(C118,'転倒'!$I$2:$AC$2,0))</f>
        <v>1-9</v>
      </c>
      <c r="D142" s="308">
        <f t="array" ref="D142">INDEX('転倒'!$I$3:$J$115, MATCH($A$1,'転倒'!$A$3:$A$115,0), MATCH(D118,'転倒'!$I$2:$AC$2,0))</f>
        <v>28</v>
      </c>
      <c r="E142" s="301"/>
      <c r="F142" s="301"/>
      <c r="G142" s="301"/>
      <c r="H142" s="228"/>
      <c r="I142" s="228"/>
      <c r="J142" s="228"/>
      <c r="K142" s="316"/>
      <c r="L142" s="317" t="str">
        <f>'テンプレート'!L140</f>
        <v/>
      </c>
      <c r="M142" s="113" t="s">
        <v>76</v>
      </c>
      <c r="N142" s="102"/>
      <c r="O142" s="118"/>
      <c r="P142" s="118"/>
      <c r="Q142" s="118"/>
      <c r="R142" s="118"/>
      <c r="S142" s="118"/>
      <c r="T142" s="118"/>
      <c r="U142" s="118"/>
      <c r="V142" s="118"/>
    </row>
    <row r="143" outlineLevel="1">
      <c r="A143" s="146"/>
      <c r="B143" s="300" t="s">
        <v>246</v>
      </c>
      <c r="C143" s="307" t="str">
        <f t="array" ref="C143">INDEX('転倒'!$K$3:$L$115, MATCH($A$1,'転倒'!$A$3:$A$115,0), MATCH(C118,'転倒'!$K$2:$AC$2,0))</f>
        <v>1-9</v>
      </c>
      <c r="D143" s="308">
        <f t="array" ref="D143">INDEX('転倒'!$K$3:$L$115, MATCH($A$1,'転倒'!$A$3:$A$115,0), MATCH(D118,'転倒'!$K$2:$AC$2,0))</f>
        <v>28</v>
      </c>
      <c r="E143" s="301"/>
      <c r="F143" s="301"/>
      <c r="G143" s="301"/>
      <c r="H143" s="228"/>
      <c r="I143" s="228"/>
      <c r="J143" s="228"/>
      <c r="K143" s="318"/>
      <c r="L143" s="118"/>
      <c r="M143" s="118"/>
      <c r="N143" s="102"/>
      <c r="O143" s="118"/>
      <c r="P143" s="118"/>
      <c r="Q143" s="118"/>
      <c r="R143" s="118"/>
      <c r="S143" s="118"/>
      <c r="T143" s="118"/>
      <c r="U143" s="118"/>
      <c r="V143" s="118"/>
    </row>
    <row r="144" outlineLevel="1">
      <c r="A144" s="146"/>
      <c r="B144" s="300" t="s">
        <v>249</v>
      </c>
      <c r="C144" s="309" t="str">
        <f t="array" ref="C144">INDEX('転倒'!$M$3:$P$115, MATCH($A$1,'転倒'!$A$3:$A$115,0), MATCH(C118,'転倒'!$M$2:$AC$2,0))</f>
        <v>1-7</v>
      </c>
      <c r="D144" s="310">
        <f t="array" ref="D144">INDEX('転倒'!$M$3:$P$115, MATCH($A$1,'転倒'!$A$3:$A$115,0), MATCH(D118,'転倒'!$M$2:$AC$2,0))</f>
        <v>49</v>
      </c>
      <c r="E144" s="307" t="str">
        <f t="array" ref="E144">INDEX('転倒'!$M$3:$P$115, MATCH($A$1,'転倒'!$A$3:$A$115,0), MATCH(E118,'転倒'!$M$2:$AC$2,0))</f>
        <v>19-20</v>
      </c>
      <c r="F144" s="308">
        <f t="array" ref="F144">INDEX('転倒'!$M$3:$P$115, MATCH($A$1,'転倒'!$A$3:$A$115,0), MATCH(F118,'転倒'!$M$2:$AC$2,0))</f>
        <v>5</v>
      </c>
      <c r="G144" s="113">
        <f t="shared" ref="G144:G145" si="3">F144*1.2</f>
        <v>6</v>
      </c>
      <c r="H144" s="228"/>
      <c r="I144" s="228"/>
      <c r="J144" s="228"/>
      <c r="K144" s="118"/>
      <c r="L144" s="118"/>
      <c r="M144" s="118"/>
      <c r="N144" s="102"/>
      <c r="O144" s="102"/>
      <c r="P144" s="102"/>
      <c r="Q144" s="102"/>
      <c r="R144" s="118"/>
      <c r="S144" s="118"/>
      <c r="T144" s="118"/>
      <c r="U144" s="118"/>
      <c r="V144" s="118"/>
    </row>
    <row r="145" outlineLevel="1">
      <c r="A145" s="156"/>
      <c r="B145" s="311" t="s">
        <v>250</v>
      </c>
      <c r="C145" s="156"/>
      <c r="D145" s="156"/>
      <c r="E145" s="307" t="str">
        <f t="array" ref="E145">INDEX('転倒'!$Q$3:$R$115, MATCH($A$1,'転倒'!$A$3:$A$115,0), MATCH(E118,'転倒'!$Q$2:$AC$2,0))</f>
        <v>26-27</v>
      </c>
      <c r="F145" s="308">
        <f t="array" ref="F145">INDEX('転倒'!$Q$3:$R$115, MATCH($A$1,'転倒'!$A$3:$A$115,0), MATCH(F118,'転倒'!$Q$2:$AC$2,0))</f>
        <v>5</v>
      </c>
      <c r="G145" s="113">
        <f t="shared" si="3"/>
        <v>6</v>
      </c>
      <c r="H145" s="228"/>
      <c r="I145" s="228"/>
      <c r="J145" s="228"/>
      <c r="K145" s="118"/>
      <c r="L145" s="118"/>
      <c r="M145" s="118"/>
      <c r="N145" s="102"/>
      <c r="O145" s="102"/>
      <c r="P145" s="102"/>
      <c r="Q145" s="102"/>
      <c r="R145" s="118"/>
      <c r="S145" s="118"/>
      <c r="T145" s="118"/>
      <c r="U145" s="118"/>
      <c r="V145" s="118"/>
    </row>
    <row r="146" outlineLevel="1">
      <c r="A146" s="319"/>
      <c r="B146" s="320"/>
      <c r="C146" s="321"/>
      <c r="D146" s="321"/>
      <c r="E146" s="322"/>
      <c r="F146" s="322"/>
      <c r="G146" s="114"/>
      <c r="H146" s="228"/>
      <c r="I146" s="228"/>
      <c r="J146" s="228"/>
      <c r="K146" s="118"/>
      <c r="L146" s="118"/>
      <c r="M146" s="118"/>
      <c r="N146" s="102"/>
      <c r="O146" s="102"/>
      <c r="P146" s="102"/>
      <c r="Q146" s="102"/>
      <c r="R146" s="118"/>
      <c r="S146" s="118"/>
      <c r="T146" s="118"/>
      <c r="U146" s="118"/>
      <c r="V146" s="118"/>
    </row>
    <row r="147" outlineLevel="1">
      <c r="A147" s="323" t="s">
        <v>255</v>
      </c>
      <c r="B147" s="109"/>
      <c r="C147" s="321"/>
      <c r="D147" s="321"/>
      <c r="E147" s="322"/>
      <c r="F147" s="322"/>
      <c r="G147" s="114"/>
      <c r="H147" s="228"/>
      <c r="I147" s="228"/>
      <c r="J147" s="228"/>
      <c r="K147" s="118"/>
      <c r="L147" s="118"/>
      <c r="M147" s="118"/>
      <c r="N147" s="102"/>
      <c r="O147" s="102"/>
      <c r="P147" s="102"/>
      <c r="Q147" s="102"/>
      <c r="R147" s="118"/>
      <c r="S147" s="118"/>
      <c r="T147" s="118"/>
      <c r="U147" s="118"/>
      <c r="V147" s="118"/>
    </row>
    <row r="148" outlineLevel="1">
      <c r="A148" s="324" t="s">
        <v>256</v>
      </c>
      <c r="B148" s="109"/>
      <c r="C148" s="325" t="s">
        <v>257</v>
      </c>
      <c r="D148" s="325" t="s">
        <v>49</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258</v>
      </c>
      <c r="B149" s="327" t="s">
        <v>216</v>
      </c>
      <c r="C149" s="328" t="str">
        <f t="array" ref="C149">INDEX('アイテム'!$C$3:$D$114, MATCH($A$1,'アイテム'!$A$3:$A$114,0), MATCH(C148,'アイテム'!$C$2:$AQ$2,0))</f>
        <v>2</v>
      </c>
      <c r="D149" s="328">
        <f t="array" ref="D149">INDEX('アイテム'!$C$3:$D$114, MATCH($A$1,'アイテム'!$A$3:$A$114,0), MATCH(D148,'アイテム'!$C$2:$AQ$2,0))</f>
        <v>7</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219</v>
      </c>
      <c r="C150" s="328" t="str">
        <f t="array" ref="C150">INDEX('アイテム'!$E$3:$F$114, MATCH($A$1,'アイテム'!$A$3:$A$114,0), MATCH(C148,'アイテム'!$C$2:$AQ$2,0))</f>
        <v>2</v>
      </c>
      <c r="D150" s="328">
        <f t="array" ref="D150">INDEX('アイテム'!$E$3:$F$114, MATCH($A$1,'アイテム'!$A$3:$A$114,0), MATCH(D148,'アイテム'!$C$2:$AQ$2,0))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9" t="s">
        <v>259</v>
      </c>
      <c r="B151" s="327" t="s">
        <v>216</v>
      </c>
      <c r="C151" s="328">
        <f t="array" ref="C151">INDEX('アイテム'!$AA$3:$AB$114, MATCH($A$1,'アイテム'!$A$3:$A$114,0), MATCH(C148,'アイテム'!$C$2:$AQ$2,0))</f>
        <v>3</v>
      </c>
      <c r="D151" s="328" t="str">
        <f t="array" ref="D151">INDEX('アイテム'!$AA$3:$AB$114, MATCH($A$1,'アイテム'!$A$3:$A$114,0), MATCH(D148,'アイテム'!$C$2:$AQ$2,0))</f>
        <v>12</v>
      </c>
      <c r="E151" s="322"/>
      <c r="F151" s="322"/>
      <c r="G151" s="114"/>
      <c r="H151" s="228"/>
      <c r="I151" s="228"/>
      <c r="J151" s="228"/>
      <c r="K151" s="118"/>
      <c r="L151" s="118"/>
      <c r="M151" s="118"/>
      <c r="N151" s="102"/>
      <c r="O151" s="102"/>
      <c r="P151" s="102"/>
      <c r="Q151" s="102"/>
      <c r="R151" s="118"/>
      <c r="S151" s="118"/>
      <c r="T151" s="118"/>
      <c r="U151" s="118"/>
      <c r="V151" s="118"/>
    </row>
    <row r="152" outlineLevel="1">
      <c r="A152" s="324" t="s">
        <v>260</v>
      </c>
      <c r="B152" s="109"/>
      <c r="C152" s="325" t="s">
        <v>261</v>
      </c>
      <c r="D152" s="325" t="s">
        <v>49</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262</v>
      </c>
      <c r="B153" s="327" t="s">
        <v>226</v>
      </c>
      <c r="C153" s="328" t="str">
        <f t="array" ref="C153">INDEX('アイテム'!$G$3:$H$114, MATCH($A$1,'アイテム'!$A$3:$A$114,0), MATCH(C148,'アイテム'!$C$2:$AQ$2,0))</f>
        <v>8</v>
      </c>
      <c r="D153" s="328">
        <f t="array" ref="D153">INDEX('アイテム'!$G$3:$H$114, MATCH($A$1,'アイテム'!$A$3:$A$114,0), MATCH(D148,'アイテム'!$C$2:$AQ$2,0))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t="str">
        <f t="array" ref="C154">INDEX('アイテム'!$I$3:$J$114, MATCH($A$1,'アイテム'!$A$3:$A$114,0), MATCH(C148,'アイテム'!$C$2:$AQ$2,0))</f>
        <v>11</v>
      </c>
      <c r="D154" s="328">
        <f t="array" ref="D154">INDEX('アイテム'!$I$3:$J$114, MATCH($A$1,'アイテム'!$A$3:$A$114,0), MATCH(D148,'アイテム'!$C$2:$AQ$2,0))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t="str">
        <f t="array" ref="C155">INDEX('アイテム'!$K$3:$L$114, MATCH($A$1,'アイテム'!$A$3:$A$114,0), MATCH(C148,'アイテム'!$C$2:$AQ$2,0))</f>
        <v>11</v>
      </c>
      <c r="D155" s="328">
        <f t="array" ref="D155">INDEX('アイテム'!$K$3:$L$114, MATCH($A$1,'アイテム'!$A$3:$A$114,0), MATCH(D148,'アイテム'!$C$2:$AQ$2,0))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234</v>
      </c>
      <c r="C156" s="328" t="str">
        <f t="array" ref="C156">INDEX('アイテム'!$M$3:$N$114, MATCH($A$1,'アイテム'!$A$3:$A$114,0), MATCH(C148,'アイテム'!$C$2:$AQ$2,0))</f>
        <v>10</v>
      </c>
      <c r="D156" s="328">
        <f t="array" ref="D156">INDEX('アイテム'!$M$3:$N$114, MATCH($A$1,'アイテム'!$A$3:$A$114,0), MATCH(D148,'アイテム'!$C$2:$AQ$2,0))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219</v>
      </c>
      <c r="C157" s="328" t="str">
        <f t="array" ref="C157">INDEX('アイテム'!$O$3:$P$114, MATCH($A$1,'アイテム'!$A$3:$A$114,0), MATCH(C148,'アイテム'!$C$2:$AQ$2,0))</f>
        <v>10</v>
      </c>
      <c r="D157" s="328">
        <f t="array" ref="D157">INDEX('アイテム'!$O$3:$P$114, MATCH($A$1,'アイテム'!$A$3:$A$114,0), MATCH(D148,'アイテム'!$C$2:$AQ$2,0))</f>
        <v>29</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263</v>
      </c>
      <c r="C158" s="328" t="str">
        <f t="array" ref="C158">INDEX('アイテム'!$Q$3:$R$114, MATCH($A$1,'アイテム'!$A$3:$A$114,0), MATCH(C148,'アイテム'!$C$2:$AQ$2,0))</f>
        <v>7</v>
      </c>
      <c r="D158" s="328">
        <f t="array" ref="D158">INDEX('アイテム'!$Q$3:$R$114, MATCH($A$1,'アイテム'!$A$3:$A$114,0), MATCH(D148,'アイテム'!$C$2:$AQ$2,0))</f>
        <v>23</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264</v>
      </c>
      <c r="B159" s="327" t="s">
        <v>226</v>
      </c>
      <c r="C159" s="328" t="str">
        <f t="array" ref="C159">INDEX('アイテム'!$S$3:$T$114, MATCH($A$1,'アイテム'!$A$3:$A$114,0), MATCH(C148,'アイテム'!$C$2:$AQ$2,0))</f>
        <v>8</v>
      </c>
      <c r="D159" s="328">
        <f t="array" ref="D159">INDEX('アイテム'!$S$3:$T$114, MATCH($A$1,'アイテム'!$A$3:$A$114,0), MATCH(D148,'アイテム'!$C$2:$AQ$2,0))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t="str">
        <f t="array" ref="C160">INDEX('アイテム'!$U$3:$V$114, MATCH($A$1,'アイテム'!$A$3:$A$114,0), MATCH(C148,'アイテム'!$C$2:$AQ$2,0))</f>
        <v>11</v>
      </c>
      <c r="D160" s="328">
        <f t="array" ref="D160">INDEX('アイテム'!$U$3:$V$114, MATCH($A$1,'アイテム'!$A$3:$A$114,0), MATCH(D148,'アイテム'!$C$2:$AQ$2,0))</f>
        <v>24</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t="str">
        <f t="array" ref="C161">INDEX('アイテム'!$W$3:$X$114, MATCH($A$1,'アイテム'!$A$3:$A$114,0), MATCH(C148,'アイテム'!$C$2:$AQ$2,0))</f>
        <v>11</v>
      </c>
      <c r="D161" s="328">
        <f t="array" ref="D161">INDEX('アイテム'!$W$3:$X$114, MATCH($A$1,'アイテム'!$A$3:$A$114,0), MATCH(D148,'アイテム'!$C$2:$AQ$2,0))</f>
        <v>23</v>
      </c>
      <c r="E161" s="322"/>
      <c r="F161" s="322"/>
      <c r="G161" s="114"/>
      <c r="H161" s="228"/>
      <c r="I161" s="228"/>
      <c r="J161" s="228"/>
      <c r="K161" s="118"/>
      <c r="L161" s="118"/>
      <c r="M161" s="118"/>
      <c r="N161" s="102"/>
      <c r="O161" s="102"/>
      <c r="P161" s="102"/>
      <c r="Q161" s="102"/>
      <c r="R161" s="118"/>
      <c r="S161" s="118"/>
      <c r="T161" s="118"/>
      <c r="U161" s="118"/>
      <c r="V161" s="118"/>
    </row>
    <row r="162" outlineLevel="1">
      <c r="A162" s="156"/>
      <c r="B162" s="327" t="s">
        <v>234</v>
      </c>
      <c r="C162" s="328" t="str">
        <f t="array" ref="C162">INDEX('アイテム'!$Y$3:$Z$114, MATCH($A$1,'アイテム'!$A$3:$A$114,0), MATCH(C148,'アイテム'!$C$2:$AQ$2,0))</f>
        <v>10</v>
      </c>
      <c r="D162" s="328">
        <f t="array" ref="D162">INDEX('アイテム'!$Y$3:$Z$114, MATCH($A$1,'アイテム'!$A$3:$A$114,0), MATCH(D148,'アイテム'!$C$2:$AQ$2,0))</f>
        <v>19</v>
      </c>
      <c r="E162" s="322"/>
      <c r="F162" s="322"/>
      <c r="G162" s="114"/>
      <c r="H162" s="228"/>
      <c r="I162" s="228"/>
      <c r="J162" s="228"/>
      <c r="K162" s="118"/>
      <c r="L162" s="118"/>
      <c r="M162" s="118"/>
      <c r="N162" s="102"/>
      <c r="O162" s="102"/>
      <c r="P162" s="102"/>
      <c r="Q162" s="102"/>
      <c r="R162" s="118"/>
      <c r="S162" s="118"/>
      <c r="T162" s="118"/>
      <c r="U162" s="118"/>
      <c r="V162" s="118"/>
    </row>
    <row r="163" outlineLevel="1">
      <c r="A163" s="326" t="s">
        <v>265</v>
      </c>
      <c r="B163" s="327" t="s">
        <v>226</v>
      </c>
      <c r="C163" s="328">
        <f t="array" ref="C163">INDEX('アイテム'!$AC$3:$AD$114, MATCH($A$1,'アイテム'!$A$3:$A$114,0), MATCH(C148,'アイテム'!$C$2:$AQ$2,0))</f>
        <v>14</v>
      </c>
      <c r="D163" s="328" t="str">
        <f t="array" ref="D163">INDEX('アイテム'!$AC$3:$AD$114, MATCH($A$1,'アイテム'!$A$3:$A$114,0), MATCH(D148,'アイテム'!$C$2:$AQ$2,0))</f>
        <v>30</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229</v>
      </c>
      <c r="C164" s="328">
        <f t="array" ref="C164">INDEX('アイテム'!$AE$3:$AF$114, MATCH($A$1,'アイテム'!$A$3:$A$114,0), MATCH(C148,'アイテム'!$C$2:$AQ$2,0))</f>
        <v>17</v>
      </c>
      <c r="D164" s="328" t="str">
        <f t="array" ref="D164">INDEX('アイテム'!$AE$3:$AF$114, MATCH($A$1,'アイテム'!$A$3:$A$114,0), MATCH(D148,'アイテム'!$C$2:$AQ$2,0))</f>
        <v>30</v>
      </c>
      <c r="E164" s="322"/>
      <c r="F164" s="322"/>
      <c r="G164" s="114"/>
      <c r="H164" s="228"/>
      <c r="I164" s="228"/>
      <c r="J164" s="228"/>
      <c r="K164" s="118"/>
      <c r="L164" s="118"/>
      <c r="M164" s="118"/>
      <c r="N164" s="102"/>
      <c r="O164" s="102"/>
      <c r="P164" s="102"/>
      <c r="Q164" s="102"/>
      <c r="R164" s="118"/>
      <c r="S164" s="118"/>
      <c r="T164" s="118"/>
      <c r="U164" s="118"/>
      <c r="V164" s="118"/>
    </row>
    <row r="165" outlineLevel="1">
      <c r="A165" s="146"/>
      <c r="B165" s="327" t="s">
        <v>233</v>
      </c>
      <c r="C165" s="328">
        <f t="array" ref="C165">INDEX('アイテム'!$AG$3:$AH$114, MATCH($A$1,'アイテム'!$A$3:$A$114,0), MATCH(C148,'アイテム'!$C$2:$AQ$2,0))</f>
        <v>11</v>
      </c>
      <c r="D165" s="328" t="str">
        <f t="array" ref="D165">INDEX('アイテム'!$AG$3:$AH$114, MATCH($A$1,'アイテム'!$A$3:$A$114,0), MATCH(D148,'アイテム'!$C$2:$AQ$2,0))</f>
        <v>22</v>
      </c>
      <c r="E165" s="322"/>
      <c r="F165" s="322"/>
      <c r="G165" s="114"/>
      <c r="H165" s="228"/>
      <c r="I165" s="228"/>
      <c r="J165" s="228"/>
      <c r="K165" s="118"/>
      <c r="L165" s="118"/>
      <c r="M165" s="118"/>
      <c r="N165" s="102"/>
      <c r="O165" s="102"/>
      <c r="P165" s="102"/>
      <c r="Q165" s="102"/>
      <c r="R165" s="118"/>
      <c r="S165" s="118"/>
      <c r="T165" s="118"/>
      <c r="U165" s="118"/>
      <c r="V165" s="118"/>
    </row>
    <row r="166" outlineLevel="1">
      <c r="A166" s="156"/>
      <c r="B166" s="327" t="s">
        <v>234</v>
      </c>
      <c r="C166" s="328">
        <f t="array" ref="C166">INDEX('アイテム'!$AI$3:$AJ$114, MATCH($A$1,'アイテム'!$A$3:$A$114,0), MATCH(C148,'アイテム'!$C$2:$AQ$2,0))</f>
        <v>12</v>
      </c>
      <c r="D166" s="328" t="str">
        <f t="array" ref="D166">INDEX('アイテム'!$AI$3:$AJ$114, MATCH($A$1,'アイテム'!$A$3:$A$114,0), MATCH(D148,'アイテム'!$C$2:$AQ$2,0))</f>
        <v>22</v>
      </c>
      <c r="E166" s="322"/>
      <c r="F166" s="322"/>
      <c r="G166" s="114"/>
      <c r="H166" s="228"/>
      <c r="I166" s="228"/>
      <c r="J166" s="228"/>
      <c r="K166" s="118"/>
      <c r="L166" s="118"/>
      <c r="M166" s="118"/>
      <c r="N166" s="102"/>
      <c r="O166" s="102"/>
      <c r="P166" s="102"/>
      <c r="Q166" s="102"/>
      <c r="R166" s="118"/>
      <c r="S166" s="118"/>
      <c r="T166" s="118"/>
      <c r="U166" s="118"/>
      <c r="V166" s="118"/>
    </row>
  </sheetData>
  <mergeCells count="158">
    <mergeCell ref="H31:J31"/>
    <mergeCell ref="H32:J32"/>
    <mergeCell ref="H33:J33"/>
    <mergeCell ref="H34:J34"/>
    <mergeCell ref="H35:J35"/>
    <mergeCell ref="H36:J36"/>
    <mergeCell ref="H37:J39"/>
    <mergeCell ref="H40:J41"/>
    <mergeCell ref="H42:J46"/>
    <mergeCell ref="I74:I78"/>
    <mergeCell ref="J74:J78"/>
    <mergeCell ref="H81:J81"/>
    <mergeCell ref="H82:J85"/>
    <mergeCell ref="H86:J86"/>
    <mergeCell ref="H87:J87"/>
    <mergeCell ref="H88:J88"/>
    <mergeCell ref="H89:J89"/>
    <mergeCell ref="H90:J90"/>
    <mergeCell ref="H91:J91"/>
    <mergeCell ref="G99:J99"/>
    <mergeCell ref="G100:J101"/>
    <mergeCell ref="K128:K131"/>
    <mergeCell ref="K132:L132"/>
    <mergeCell ref="K134:K137"/>
    <mergeCell ref="K138:L138"/>
    <mergeCell ref="K141:L141"/>
    <mergeCell ref="G102:J103"/>
    <mergeCell ref="G104:J105"/>
    <mergeCell ref="G106:J107"/>
    <mergeCell ref="K118:L118"/>
    <mergeCell ref="K119:K120"/>
    <mergeCell ref="K121:L121"/>
    <mergeCell ref="K122:K127"/>
    <mergeCell ref="U47:U48"/>
    <mergeCell ref="U49:U50"/>
    <mergeCell ref="U82:U85"/>
    <mergeCell ref="V82:V85"/>
    <mergeCell ref="U28:U29"/>
    <mergeCell ref="U30:U31"/>
    <mergeCell ref="U32:U34"/>
    <mergeCell ref="U35:U36"/>
    <mergeCell ref="U37:U39"/>
    <mergeCell ref="U40:U41"/>
    <mergeCell ref="U42:U46"/>
    <mergeCell ref="D54:D57"/>
    <mergeCell ref="D61:D64"/>
    <mergeCell ref="D28:D29"/>
    <mergeCell ref="D30:D31"/>
    <mergeCell ref="D33:D34"/>
    <mergeCell ref="D35:D36"/>
    <mergeCell ref="D37:D39"/>
    <mergeCell ref="D40:D41"/>
    <mergeCell ref="D42:D46"/>
    <mergeCell ref="R65:V67"/>
    <mergeCell ref="R68:V69"/>
    <mergeCell ref="D47:D48"/>
    <mergeCell ref="D49:D50"/>
    <mergeCell ref="D51:D53"/>
    <mergeCell ref="U51:U53"/>
    <mergeCell ref="U54:U57"/>
    <mergeCell ref="R60:V60"/>
    <mergeCell ref="R61:V64"/>
    <mergeCell ref="A51:A53"/>
    <mergeCell ref="A54:A57"/>
    <mergeCell ref="A59:B60"/>
    <mergeCell ref="A61:A64"/>
    <mergeCell ref="D65:D67"/>
    <mergeCell ref="D68:D69"/>
    <mergeCell ref="D70:D73"/>
    <mergeCell ref="A99:B99"/>
    <mergeCell ref="D100:D101"/>
    <mergeCell ref="D102:D103"/>
    <mergeCell ref="D104:D105"/>
    <mergeCell ref="D106:D107"/>
    <mergeCell ref="A109:B110"/>
    <mergeCell ref="D74:D78"/>
    <mergeCell ref="A80:B80"/>
    <mergeCell ref="A81:B81"/>
    <mergeCell ref="A86:B86"/>
    <mergeCell ref="A88:B88"/>
    <mergeCell ref="A90:B90"/>
    <mergeCell ref="A93:B94"/>
    <mergeCell ref="A65:A67"/>
    <mergeCell ref="A74:A78"/>
    <mergeCell ref="A82:A83"/>
    <mergeCell ref="A96:A98"/>
    <mergeCell ref="A100:A101"/>
    <mergeCell ref="A102:A103"/>
    <mergeCell ref="A104:A105"/>
    <mergeCell ref="C131:C132"/>
    <mergeCell ref="D131:D132"/>
    <mergeCell ref="C137:C138"/>
    <mergeCell ref="D137:D138"/>
    <mergeCell ref="C144:C145"/>
    <mergeCell ref="D144:D145"/>
    <mergeCell ref="A106:A107"/>
    <mergeCell ref="A111:A113"/>
    <mergeCell ref="A114:A115"/>
    <mergeCell ref="A117:B118"/>
    <mergeCell ref="A119:A123"/>
    <mergeCell ref="A124:A126"/>
    <mergeCell ref="A127:A132"/>
    <mergeCell ref="A159:A162"/>
    <mergeCell ref="A163:A166"/>
    <mergeCell ref="A133:A138"/>
    <mergeCell ref="A139:A145"/>
    <mergeCell ref="A147:B147"/>
    <mergeCell ref="A148:B148"/>
    <mergeCell ref="A149:A150"/>
    <mergeCell ref="A152:B152"/>
    <mergeCell ref="A153:A158"/>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D26:D27"/>
    <mergeCell ref="H25:J25"/>
    <mergeCell ref="H26:J26"/>
    <mergeCell ref="U26:U27"/>
    <mergeCell ref="H27:J27"/>
    <mergeCell ref="H28:J28"/>
    <mergeCell ref="H29:J29"/>
    <mergeCell ref="H30:J30"/>
    <mergeCell ref="A24:B25"/>
    <mergeCell ref="A26:A36"/>
    <mergeCell ref="A37:A39"/>
    <mergeCell ref="A40:A41"/>
    <mergeCell ref="A42:A46"/>
    <mergeCell ref="A47:A48"/>
    <mergeCell ref="A49:A50"/>
    <mergeCell ref="I61:I64"/>
    <mergeCell ref="I65:I67"/>
    <mergeCell ref="J65:J67"/>
    <mergeCell ref="I68:I69"/>
    <mergeCell ref="J68:J69"/>
    <mergeCell ref="I70:I73"/>
    <mergeCell ref="J70:J73"/>
    <mergeCell ref="H6:H7"/>
    <mergeCell ref="H10:H11"/>
    <mergeCell ref="H47:J48"/>
    <mergeCell ref="H49:J50"/>
    <mergeCell ref="H51:J53"/>
    <mergeCell ref="H54:J57"/>
    <mergeCell ref="J61:J64"/>
    <mergeCell ref="A68:A69"/>
    <mergeCell ref="A70:A73"/>
    <mergeCell ref="R70:V73"/>
    <mergeCell ref="R74:V78"/>
  </mergeCells>
  <conditionalFormatting sqref="K1:K15 K17:K88 K90 K92:K99 K101 K103 K105 K107:K142">
    <cfRule type="containsText" dxfId="0" priority="1" operator="containsText" text="361">
      <formula>NOT(ISERROR(SEARCH(("361"),(K1))))</formula>
    </cfRule>
  </conditionalFormatting>
  <conditionalFormatting sqref="K1:K15 K17:K88 K90 K92:K99 K101 K103 K105 K107:K142">
    <cfRule type="containsText" dxfId="1" priority="2" operator="containsText" text="363">
      <formula>NOT(ISERROR(SEARCH(("363"),(K1))))</formula>
    </cfRule>
  </conditionalFormatting>
  <conditionalFormatting sqref="K1:K15 K17:K88 K90 K92:K99 K101 K103 K105 K107:K142">
    <cfRule type="containsText" dxfId="1" priority="3" operator="containsText" text="365">
      <formula>NOT(ISERROR(SEARCH(("365"),(K1))))</formula>
    </cfRule>
  </conditionalFormatting>
  <conditionalFormatting sqref="K1:K15 K17:K88 K90 K92:K99 K101 K103 K105 K107:K142">
    <cfRule type="containsText" dxfId="1" priority="4" operator="containsText" text="366">
      <formula>NOT(ISERROR(SEARCH(("366"),(K1))))</formula>
    </cfRule>
  </conditionalFormatting>
  <conditionalFormatting sqref="K1:K15 K17:K88 K90 K92:K99 K101 K103 K105 K107:K142">
    <cfRule type="containsText" dxfId="1" priority="5" operator="containsText" text="367">
      <formula>NOT(ISERROR(SEARCH(("367"),(K1))))</formula>
    </cfRule>
  </conditionalFormatting>
  <conditionalFormatting sqref="P101 P103 P105 P107">
    <cfRule type="cellIs" dxfId="2" priority="6" operator="equal">
      <formula>"敵のみ"</formula>
    </cfRule>
  </conditionalFormatting>
  <conditionalFormatting sqref="C101 C103 C105 C107">
    <cfRule type="cellIs" dxfId="3" priority="7" operator="equal">
      <formula>"-"</formula>
    </cfRule>
  </conditionalFormatting>
  <conditionalFormatting sqref="O1:O88 O90 O92:O99 O101 O103 O105 O107:O166 P107">
    <cfRule type="cellIs" dxfId="4" priority="8" operator="greaterThan">
      <formula>0</formula>
    </cfRule>
  </conditionalFormatting>
  <conditionalFormatting sqref="P1:Q88 P90:Q90 P92:Q99 P101:Q101 P103:Q103 P105:Q105 P107:Q166">
    <cfRule type="cellIs" dxfId="5" priority="9" operator="lessThan">
      <formula>1</formula>
    </cfRule>
  </conditionalFormatting>
  <conditionalFormatting sqref="P1:Q88 P90:Q90 P92:Q99 P101:Q101 P103:Q103 P105:Q105 P107:Q166">
    <cfRule type="cellIs" dxfId="4" priority="10" operator="greaterThan">
      <formula>1</formula>
    </cfRule>
  </conditionalFormatting>
  <conditionalFormatting sqref="N25:N88 N90 N92:N99 N101 N103 N105 N107">
    <cfRule type="cellIs" dxfId="6" priority="11" operator="greaterThan">
      <formula>0</formula>
    </cfRule>
  </conditionalFormatting>
  <conditionalFormatting sqref="N1:N15 N17:N88 N90 N92:N99 N101 N103 N105 N107:N166">
    <cfRule type="containsText" dxfId="6" priority="12" operator="containsText" text="/">
      <formula>NOT(ISERROR(SEARCH(("/"),(N1))))</formula>
    </cfRule>
  </conditionalFormatting>
  <drawing r:id="rId2"/>
  <legacyDrawing r:id="rId3"/>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D8F72"/>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219">
        <v>49.0</v>
      </c>
      <c r="B1" s="2220"/>
      <c r="C1" s="2221" t="str">
        <f>IMAGE(VLOOKUP($A$1,Fighters!A2:AI114,12,FALSE),1)</f>
        <v>#REF!</v>
      </c>
      <c r="D1" s="2222"/>
      <c r="E1" s="2222"/>
      <c r="F1" s="2222"/>
      <c r="G1" s="2223"/>
      <c r="H1" s="2224"/>
      <c r="I1" s="2222"/>
      <c r="J1" s="2223"/>
      <c r="K1" s="2225"/>
      <c r="L1" s="2222"/>
      <c r="M1" s="2223"/>
      <c r="N1" s="2226"/>
      <c r="O1" s="2226"/>
      <c r="P1" s="2226"/>
      <c r="Q1" s="2226"/>
      <c r="R1" s="2227"/>
      <c r="S1" s="2227"/>
      <c r="T1" s="2227"/>
      <c r="U1" s="2227"/>
      <c r="V1" s="2227"/>
    </row>
    <row r="2">
      <c r="A2" s="2228" t="str">
        <f>VLOOKUP($A$1,Fighters!$A$2:$AI$81,6,FALSE)</f>
        <v>#5d8f72</v>
      </c>
      <c r="B2" s="2220"/>
      <c r="C2" s="2229"/>
      <c r="G2" s="2230"/>
      <c r="H2" s="2231"/>
      <c r="I2" s="2232"/>
      <c r="J2" s="2233"/>
      <c r="K2" s="2231"/>
      <c r="L2" s="2232"/>
      <c r="M2" s="2233"/>
      <c r="N2" s="2226"/>
      <c r="O2" s="2226"/>
      <c r="P2" s="2226"/>
      <c r="Q2" s="2226"/>
      <c r="R2" s="2227"/>
      <c r="S2" s="2227"/>
      <c r="T2" s="2227"/>
      <c r="U2" s="2227"/>
      <c r="V2" s="2227"/>
    </row>
    <row r="3">
      <c r="A3" s="2228" t="str">
        <f>VLOOKUP($A$1,Fighters!$A$2:$AI$81,14,FALSE)</f>
        <v>49. リトル・マック</v>
      </c>
      <c r="B3" s="2220"/>
      <c r="C3" s="2229"/>
      <c r="G3" s="2230"/>
      <c r="H3" s="2234"/>
      <c r="I3" s="2234"/>
      <c r="J3" s="2234"/>
      <c r="K3" s="2235"/>
      <c r="L3" s="2235"/>
      <c r="M3" s="2235"/>
      <c r="N3" s="2226"/>
      <c r="O3" s="2226"/>
      <c r="P3" s="2226"/>
      <c r="Q3" s="2226"/>
      <c r="R3" s="2236"/>
      <c r="S3" s="2227"/>
      <c r="T3" s="2227"/>
      <c r="U3" s="2227"/>
      <c r="V3" s="2227"/>
    </row>
    <row r="4">
      <c r="A4" s="2228" t="str">
        <f>VLOOKUP($A$1,Fighters!$A$2:$AI$81,13,FALSE)</f>
        <v>1</v>
      </c>
      <c r="B4" s="2220"/>
      <c r="C4" s="2229"/>
      <c r="G4" s="2230"/>
      <c r="H4" s="2237"/>
      <c r="I4" s="2237"/>
      <c r="J4" s="2234"/>
      <c r="K4" s="2235"/>
      <c r="L4" s="2235"/>
      <c r="M4" s="2235"/>
      <c r="N4" s="2226"/>
      <c r="O4" s="2226"/>
      <c r="P4" s="2226"/>
      <c r="Q4" s="2226"/>
      <c r="R4" s="2236"/>
      <c r="S4" s="2227"/>
      <c r="T4" s="2227"/>
      <c r="U4" s="2227"/>
      <c r="V4" s="2227"/>
    </row>
    <row r="5" ht="16.5" customHeight="1">
      <c r="A5" s="2219"/>
      <c r="B5" s="2220"/>
      <c r="C5" s="2229"/>
      <c r="G5" s="2230"/>
      <c r="H5" s="2238"/>
      <c r="I5" s="2238"/>
      <c r="J5" s="2239"/>
      <c r="K5" s="2240"/>
      <c r="L5" s="2241"/>
      <c r="M5" s="2241"/>
      <c r="N5" s="2226"/>
      <c r="O5" s="2226"/>
      <c r="P5" s="2226"/>
      <c r="Q5" s="2226"/>
      <c r="R5" s="2236"/>
      <c r="S5" s="2227"/>
      <c r="T5" s="2227"/>
      <c r="U5" s="2227"/>
      <c r="V5" s="2227"/>
    </row>
    <row r="6">
      <c r="A6" s="2220"/>
      <c r="B6" s="2220"/>
      <c r="C6" s="2229"/>
      <c r="G6" s="2230"/>
      <c r="H6" s="2237"/>
      <c r="I6" s="2242" t="s">
        <v>39</v>
      </c>
      <c r="J6" s="2240"/>
      <c r="K6" s="2243"/>
      <c r="L6" s="2241"/>
      <c r="M6" s="2241"/>
      <c r="N6" s="2226"/>
      <c r="O6" s="2226"/>
      <c r="P6" s="2226"/>
      <c r="Q6" s="2226"/>
      <c r="R6" s="2236"/>
      <c r="S6" s="2227"/>
      <c r="T6" s="2227"/>
      <c r="U6" s="2227"/>
      <c r="V6" s="2227"/>
    </row>
    <row r="7">
      <c r="A7" s="2220"/>
      <c r="B7" s="2220"/>
      <c r="C7" s="2229"/>
      <c r="G7" s="2230"/>
      <c r="H7" s="2238"/>
      <c r="I7" s="2238"/>
      <c r="J7" s="2240"/>
      <c r="K7" s="2243"/>
      <c r="L7" s="2241"/>
      <c r="M7" s="2241"/>
      <c r="N7" s="2226"/>
      <c r="O7" s="2226"/>
      <c r="P7" s="2226"/>
      <c r="Q7" s="2226"/>
      <c r="R7" s="2236"/>
      <c r="S7" s="2227"/>
      <c r="T7" s="2227"/>
      <c r="U7" s="2227"/>
      <c r="V7" s="2227"/>
    </row>
    <row r="8">
      <c r="A8" s="2220"/>
      <c r="B8" s="2220"/>
      <c r="C8" s="2229"/>
      <c r="G8" s="2230"/>
      <c r="H8" s="2244">
        <v>44489.86700643519</v>
      </c>
      <c r="I8" s="2222"/>
      <c r="J8" s="2223"/>
      <c r="K8" s="2240"/>
      <c r="L8" s="2241"/>
      <c r="M8" s="2241"/>
      <c r="N8" s="2226"/>
      <c r="O8" s="2226"/>
      <c r="P8" s="2226"/>
      <c r="Q8" s="2226"/>
      <c r="R8" s="2236"/>
      <c r="S8" s="2227"/>
      <c r="T8" s="2227"/>
      <c r="U8" s="2227"/>
      <c r="V8" s="2227"/>
    </row>
    <row r="9">
      <c r="A9" s="2220"/>
      <c r="B9" s="2220"/>
      <c r="C9" s="2229"/>
      <c r="G9" s="2230"/>
      <c r="H9" s="2231"/>
      <c r="I9" s="2232"/>
      <c r="J9" s="2233"/>
      <c r="K9" s="2227"/>
      <c r="L9" s="2226"/>
      <c r="M9" s="2226"/>
      <c r="N9" s="2226"/>
      <c r="O9" s="2226"/>
      <c r="P9" s="2226"/>
      <c r="Q9" s="2226"/>
      <c r="R9" s="2236"/>
      <c r="S9" s="2227"/>
      <c r="T9" s="2227"/>
      <c r="U9" s="2227"/>
      <c r="V9" s="2227"/>
    </row>
    <row r="10">
      <c r="A10" s="2220"/>
      <c r="B10" s="2220"/>
      <c r="C10" s="2229"/>
      <c r="G10" s="2230"/>
      <c r="H10" s="2245"/>
      <c r="I10" s="2245"/>
      <c r="J10" s="2227"/>
      <c r="K10" s="2227"/>
      <c r="L10" s="2226"/>
      <c r="M10" s="2226"/>
      <c r="N10" s="2226"/>
      <c r="O10" s="2226"/>
      <c r="P10" s="2226"/>
      <c r="Q10" s="2226"/>
      <c r="R10" s="2236"/>
      <c r="S10" s="2227"/>
      <c r="T10" s="2227"/>
      <c r="U10" s="2227"/>
      <c r="V10" s="2227"/>
    </row>
    <row r="11">
      <c r="A11" s="2246" t="s">
        <v>40</v>
      </c>
      <c r="B11" s="2223"/>
      <c r="C11" s="2229"/>
      <c r="G11" s="2230"/>
      <c r="H11" s="2238"/>
      <c r="I11" s="2238"/>
      <c r="J11" s="2227"/>
      <c r="K11" s="2227"/>
      <c r="L11" s="2226"/>
      <c r="M11" s="2226"/>
      <c r="N11" s="2226"/>
      <c r="O11" s="2226"/>
      <c r="P11" s="2226"/>
      <c r="Q11" s="2226"/>
      <c r="R11" s="2236"/>
      <c r="S11" s="2227"/>
      <c r="T11" s="2227"/>
      <c r="U11" s="2227"/>
      <c r="V11" s="2227"/>
    </row>
    <row r="12">
      <c r="A12" s="2231"/>
      <c r="B12" s="2233"/>
      <c r="C12" s="2231"/>
      <c r="D12" s="2232"/>
      <c r="E12" s="2232"/>
      <c r="F12" s="2232"/>
      <c r="G12" s="2233"/>
      <c r="H12" s="2247"/>
      <c r="I12" s="2247"/>
      <c r="J12" s="2220"/>
      <c r="K12" s="2220"/>
      <c r="L12" s="2226"/>
      <c r="M12" s="2226"/>
      <c r="N12" s="2226"/>
      <c r="O12" s="2226"/>
      <c r="P12" s="2226"/>
      <c r="Q12" s="2226"/>
      <c r="R12" s="2236"/>
      <c r="S12" s="2227"/>
      <c r="T12" s="2227"/>
      <c r="U12" s="2227"/>
      <c r="V12" s="2227"/>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87 [69th]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33F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2.365 [3rd]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1.386 [9th]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44F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0.21098 [1st]</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26 [81st]</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2.464 [3rd]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21F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12.53 [81st]</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15F [80th]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1.208 [13th]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29F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0.04 [82nd]</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26 [80th]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1.95 [2nd]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3.12 [2nd]</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 [45th]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213</v>
      </c>
      <c r="D26" s="162" t="s">
        <v>1613</v>
      </c>
      <c r="E26" s="139" t="s">
        <v>1024</v>
      </c>
      <c r="F26" s="138">
        <v>1.7999999999999998</v>
      </c>
      <c r="G26" s="139" t="s">
        <v>60</v>
      </c>
      <c r="H26" s="366" t="s">
        <v>3504</v>
      </c>
      <c r="I26" s="110"/>
      <c r="J26" s="109"/>
      <c r="K26" s="138"/>
      <c r="L26" s="282"/>
      <c r="M26" s="363"/>
      <c r="N26" s="363"/>
      <c r="O26" s="145">
        <v>0.0</v>
      </c>
      <c r="P26" s="145">
        <v>1.0</v>
      </c>
      <c r="Q26" s="145">
        <v>1.0</v>
      </c>
      <c r="R26" s="100"/>
      <c r="S26" s="100"/>
      <c r="T26" s="100"/>
      <c r="U26" s="145" t="s">
        <v>69</v>
      </c>
      <c r="V26" s="100"/>
    </row>
    <row r="27" outlineLevel="1">
      <c r="A27" s="146"/>
      <c r="B27" s="147" t="s">
        <v>63</v>
      </c>
      <c r="C27" s="216" t="s">
        <v>213</v>
      </c>
      <c r="D27" s="450" t="s">
        <v>153</v>
      </c>
      <c r="E27" s="216" t="s">
        <v>1024</v>
      </c>
      <c r="F27" s="138">
        <v>1.7999999999999998</v>
      </c>
      <c r="G27" s="139" t="s">
        <v>60</v>
      </c>
      <c r="H27" s="362" t="s">
        <v>3505</v>
      </c>
      <c r="I27" s="110"/>
      <c r="J27" s="109"/>
      <c r="K27" s="282"/>
      <c r="L27" s="282"/>
      <c r="M27" s="363"/>
      <c r="N27" s="363"/>
      <c r="O27" s="145">
        <v>0.0</v>
      </c>
      <c r="P27" s="145">
        <v>1.0</v>
      </c>
      <c r="Q27" s="145">
        <v>1.0</v>
      </c>
      <c r="R27" s="100"/>
      <c r="S27" s="100"/>
      <c r="T27" s="100"/>
      <c r="U27" s="145" t="s">
        <v>76</v>
      </c>
      <c r="V27" s="100"/>
    </row>
    <row r="28" outlineLevel="1">
      <c r="A28" s="146"/>
      <c r="B28" s="147" t="s">
        <v>70</v>
      </c>
      <c r="C28" s="216" t="s">
        <v>717</v>
      </c>
      <c r="D28" s="216" t="s">
        <v>99</v>
      </c>
      <c r="E28" s="216" t="s">
        <v>150</v>
      </c>
      <c r="F28" s="138">
        <v>6.0</v>
      </c>
      <c r="G28" s="139" t="s">
        <v>102</v>
      </c>
      <c r="H28" s="140"/>
      <c r="I28" s="110"/>
      <c r="J28" s="109"/>
      <c r="K28" s="282"/>
      <c r="L28" s="282"/>
      <c r="M28" s="363"/>
      <c r="N28" s="363"/>
      <c r="O28" s="145">
        <v>0.0</v>
      </c>
      <c r="P28" s="145">
        <v>1.0</v>
      </c>
      <c r="Q28" s="145">
        <v>1.0</v>
      </c>
      <c r="R28" s="100"/>
      <c r="S28" s="100"/>
      <c r="T28" s="100"/>
      <c r="U28" s="145" t="s">
        <v>76</v>
      </c>
      <c r="V28" s="100"/>
    </row>
    <row r="29" outlineLevel="1">
      <c r="A29" s="146"/>
      <c r="B29" s="147" t="s">
        <v>703</v>
      </c>
      <c r="C29" s="657"/>
      <c r="D29" s="216" t="s">
        <v>176</v>
      </c>
      <c r="E29" s="657"/>
      <c r="F29" s="658"/>
      <c r="G29" s="659"/>
      <c r="H29" s="159"/>
      <c r="I29" s="110"/>
      <c r="J29" s="109"/>
      <c r="K29" s="261"/>
      <c r="L29" s="261"/>
      <c r="M29" s="261"/>
      <c r="N29" s="261"/>
      <c r="O29" s="261"/>
      <c r="P29" s="261"/>
      <c r="Q29" s="261"/>
      <c r="R29" s="100"/>
      <c r="S29" s="100"/>
      <c r="T29" s="100"/>
      <c r="U29" s="145" t="s">
        <v>76</v>
      </c>
      <c r="V29" s="100"/>
    </row>
    <row r="30" outlineLevel="1">
      <c r="A30" s="146"/>
      <c r="B30" s="147" t="s">
        <v>704</v>
      </c>
      <c r="C30" s="216" t="s">
        <v>3506</v>
      </c>
      <c r="D30" s="216" t="s">
        <v>718</v>
      </c>
      <c r="E30" s="216" t="s">
        <v>1098</v>
      </c>
      <c r="F30" s="138">
        <v>0.6</v>
      </c>
      <c r="G30" s="139" t="s">
        <v>170</v>
      </c>
      <c r="H30" s="140" t="s">
        <v>3507</v>
      </c>
      <c r="I30" s="110"/>
      <c r="J30" s="109"/>
      <c r="K30" s="282"/>
      <c r="L30" s="282"/>
      <c r="M30" s="363"/>
      <c r="N30" s="363"/>
      <c r="O30" s="145">
        <v>0.0</v>
      </c>
      <c r="P30" s="145">
        <v>1.0</v>
      </c>
      <c r="Q30" s="145">
        <v>0.8</v>
      </c>
      <c r="R30" s="100"/>
      <c r="S30" s="100"/>
      <c r="T30" s="100"/>
      <c r="U30" s="145" t="s">
        <v>76</v>
      </c>
      <c r="V30" s="100"/>
    </row>
    <row r="31" outlineLevel="1">
      <c r="A31" s="156"/>
      <c r="B31" s="147" t="s">
        <v>708</v>
      </c>
      <c r="C31" s="467" t="s">
        <v>150</v>
      </c>
      <c r="D31" s="467" t="s">
        <v>218</v>
      </c>
      <c r="E31" s="467" t="s">
        <v>204</v>
      </c>
      <c r="F31" s="138">
        <v>3.5999999999999996</v>
      </c>
      <c r="G31" s="139" t="s">
        <v>147</v>
      </c>
      <c r="H31" s="140" t="s">
        <v>411</v>
      </c>
      <c r="I31" s="110"/>
      <c r="J31" s="109"/>
      <c r="K31" s="282"/>
      <c r="L31" s="282"/>
      <c r="M31" s="363"/>
      <c r="N31" s="363"/>
      <c r="O31" s="145">
        <v>0.0</v>
      </c>
      <c r="P31" s="145">
        <v>1.0</v>
      </c>
      <c r="Q31" s="145">
        <v>1.0</v>
      </c>
      <c r="R31" s="100"/>
      <c r="S31" s="100"/>
      <c r="T31" s="100"/>
      <c r="U31" s="145" t="s">
        <v>76</v>
      </c>
      <c r="V31" s="100"/>
    </row>
    <row r="32" outlineLevel="1">
      <c r="A32" s="133" t="s">
        <v>77</v>
      </c>
      <c r="B32" s="147" t="s">
        <v>3508</v>
      </c>
      <c r="C32" s="467" t="s">
        <v>2153</v>
      </c>
      <c r="D32" s="455" t="s">
        <v>72</v>
      </c>
      <c r="E32" s="467" t="s">
        <v>209</v>
      </c>
      <c r="F32" s="138">
        <v>0.0</v>
      </c>
      <c r="G32" s="409"/>
      <c r="H32" s="163" t="s">
        <v>3509</v>
      </c>
      <c r="I32" s="164"/>
      <c r="J32" s="104"/>
      <c r="K32" s="138"/>
      <c r="L32" s="282"/>
      <c r="M32" s="363"/>
      <c r="N32" s="363"/>
      <c r="O32" s="145">
        <v>0.0</v>
      </c>
      <c r="P32" s="145">
        <v>1.0</v>
      </c>
      <c r="Q32" s="145">
        <v>1.0</v>
      </c>
      <c r="R32" s="100"/>
      <c r="S32" s="100"/>
      <c r="T32" s="100"/>
      <c r="U32" s="166" t="s">
        <v>69</v>
      </c>
      <c r="V32" s="100"/>
    </row>
    <row r="33" outlineLevel="1">
      <c r="A33" s="156"/>
      <c r="B33" s="147"/>
      <c r="C33" s="467" t="s">
        <v>277</v>
      </c>
      <c r="D33" s="107"/>
      <c r="E33" s="467" t="s">
        <v>128</v>
      </c>
      <c r="F33" s="138">
        <v>12.0</v>
      </c>
      <c r="G33" s="139" t="s">
        <v>121</v>
      </c>
      <c r="H33" s="106"/>
      <c r="I33" s="168"/>
      <c r="J33" s="107"/>
      <c r="K33" s="282"/>
      <c r="L33" s="282"/>
      <c r="M33" s="363"/>
      <c r="N33" s="363"/>
      <c r="O33" s="145">
        <v>0.0</v>
      </c>
      <c r="P33" s="145">
        <v>1.0</v>
      </c>
      <c r="Q33" s="145">
        <v>1.0</v>
      </c>
      <c r="R33" s="100"/>
      <c r="S33" s="100"/>
      <c r="T33" s="100"/>
      <c r="U33" s="156"/>
      <c r="V33" s="100"/>
    </row>
    <row r="34" outlineLevel="1">
      <c r="A34" s="133" t="s">
        <v>89</v>
      </c>
      <c r="B34" s="147" t="s">
        <v>125</v>
      </c>
      <c r="C34" s="467" t="s">
        <v>717</v>
      </c>
      <c r="D34" s="455" t="s">
        <v>79</v>
      </c>
      <c r="E34" s="467" t="s">
        <v>73</v>
      </c>
      <c r="F34" s="138">
        <v>4.8</v>
      </c>
      <c r="G34" s="139" t="s">
        <v>75</v>
      </c>
      <c r="H34" s="163" t="s">
        <v>1167</v>
      </c>
      <c r="I34" s="164"/>
      <c r="J34" s="104"/>
      <c r="K34" s="138"/>
      <c r="L34" s="282"/>
      <c r="M34" s="363"/>
      <c r="N34" s="363"/>
      <c r="O34" s="145">
        <v>0.0</v>
      </c>
      <c r="P34" s="145">
        <v>1.0</v>
      </c>
      <c r="Q34" s="145">
        <v>1.0</v>
      </c>
      <c r="R34" s="100"/>
      <c r="S34" s="100"/>
      <c r="T34" s="100"/>
      <c r="U34" s="166" t="s">
        <v>96</v>
      </c>
      <c r="V34" s="100"/>
    </row>
    <row r="35" outlineLevel="1">
      <c r="A35" s="156"/>
      <c r="B35" s="147" t="s">
        <v>131</v>
      </c>
      <c r="C35" s="467" t="s">
        <v>373</v>
      </c>
      <c r="D35" s="107"/>
      <c r="E35" s="467" t="s">
        <v>80</v>
      </c>
      <c r="F35" s="138">
        <v>9.6</v>
      </c>
      <c r="G35" s="139" t="s">
        <v>123</v>
      </c>
      <c r="H35" s="106"/>
      <c r="I35" s="168"/>
      <c r="J35" s="107"/>
      <c r="K35" s="138"/>
      <c r="L35" s="282"/>
      <c r="M35" s="363"/>
      <c r="N35" s="363"/>
      <c r="O35" s="145">
        <v>0.0</v>
      </c>
      <c r="P35" s="145">
        <v>1.0</v>
      </c>
      <c r="Q35" s="145">
        <v>1.0</v>
      </c>
      <c r="R35" s="100"/>
      <c r="S35" s="100"/>
      <c r="T35" s="100"/>
      <c r="U35" s="156"/>
      <c r="V35" s="100"/>
    </row>
    <row r="36" outlineLevel="1">
      <c r="A36" s="170" t="s">
        <v>97</v>
      </c>
      <c r="B36" s="160"/>
      <c r="C36" s="467" t="s">
        <v>3510</v>
      </c>
      <c r="D36" s="216" t="s">
        <v>99</v>
      </c>
      <c r="E36" s="216" t="s">
        <v>2134</v>
      </c>
      <c r="F36" s="138">
        <v>7.8</v>
      </c>
      <c r="G36" s="139" t="s">
        <v>95</v>
      </c>
      <c r="H36" s="151" t="s">
        <v>1167</v>
      </c>
      <c r="I36" s="110"/>
      <c r="J36" s="109"/>
      <c r="K36" s="282"/>
      <c r="L36" s="282"/>
      <c r="M36" s="363"/>
      <c r="N36" s="363"/>
      <c r="O36" s="145">
        <v>0.0</v>
      </c>
      <c r="P36" s="145">
        <v>1.0</v>
      </c>
      <c r="Q36" s="145">
        <v>1.0</v>
      </c>
      <c r="R36" s="100"/>
      <c r="S36" s="100"/>
      <c r="T36" s="100"/>
      <c r="U36" s="145" t="s">
        <v>62</v>
      </c>
      <c r="V36" s="100"/>
    </row>
    <row r="37" outlineLevel="1">
      <c r="A37" s="170" t="s">
        <v>103</v>
      </c>
      <c r="B37" s="160"/>
      <c r="C37" s="467" t="s">
        <v>71</v>
      </c>
      <c r="D37" s="216" t="s">
        <v>92</v>
      </c>
      <c r="E37" s="216" t="s">
        <v>80</v>
      </c>
      <c r="F37" s="138">
        <v>9.6</v>
      </c>
      <c r="G37" s="139" t="s">
        <v>123</v>
      </c>
      <c r="H37" s="151" t="s">
        <v>3511</v>
      </c>
      <c r="I37" s="110"/>
      <c r="J37" s="109"/>
      <c r="K37" s="145"/>
      <c r="L37" s="363"/>
      <c r="M37" s="363"/>
      <c r="N37" s="363"/>
      <c r="O37" s="145">
        <v>0.0</v>
      </c>
      <c r="P37" s="145">
        <v>1.0</v>
      </c>
      <c r="Q37" s="145">
        <v>1.0</v>
      </c>
      <c r="R37" s="100"/>
      <c r="S37" s="100"/>
      <c r="T37" s="100"/>
      <c r="U37" s="145" t="s">
        <v>69</v>
      </c>
      <c r="V37" s="100"/>
    </row>
    <row r="38" ht="17.25" customHeight="1" outlineLevel="1">
      <c r="A38" s="133" t="s">
        <v>109</v>
      </c>
      <c r="B38" s="147" t="s">
        <v>276</v>
      </c>
      <c r="C38" s="467" t="s">
        <v>295</v>
      </c>
      <c r="D38" s="455" t="s">
        <v>127</v>
      </c>
      <c r="E38" s="467" t="s">
        <v>3512</v>
      </c>
      <c r="F38" s="138" t="s">
        <v>3513</v>
      </c>
      <c r="G38" s="139" t="s">
        <v>3514</v>
      </c>
      <c r="H38" s="163" t="s">
        <v>3515</v>
      </c>
      <c r="I38" s="164"/>
      <c r="J38" s="104"/>
      <c r="K38" s="282"/>
      <c r="L38" s="282"/>
      <c r="M38" s="363"/>
      <c r="N38" s="363"/>
      <c r="O38" s="145">
        <v>0.0</v>
      </c>
      <c r="P38" s="145">
        <v>1.0</v>
      </c>
      <c r="Q38" s="145">
        <v>1.0</v>
      </c>
      <c r="R38" s="100"/>
      <c r="S38" s="100"/>
      <c r="T38" s="100"/>
      <c r="U38" s="166" t="s">
        <v>75</v>
      </c>
      <c r="V38" s="100"/>
    </row>
    <row r="39" ht="17.25" customHeight="1" outlineLevel="1">
      <c r="A39" s="146"/>
      <c r="B39" s="147" t="s">
        <v>279</v>
      </c>
      <c r="C39" s="467" t="s">
        <v>295</v>
      </c>
      <c r="D39" s="210"/>
      <c r="E39" s="467" t="s">
        <v>3512</v>
      </c>
      <c r="F39" s="138" t="s">
        <v>3513</v>
      </c>
      <c r="G39" s="139" t="s">
        <v>3514</v>
      </c>
      <c r="H39" s="212"/>
      <c r="J39" s="210"/>
      <c r="K39" s="282"/>
      <c r="L39" s="282"/>
      <c r="M39" s="363"/>
      <c r="N39" s="363"/>
      <c r="O39" s="145">
        <v>0.0</v>
      </c>
      <c r="P39" s="145">
        <v>1.0</v>
      </c>
      <c r="Q39" s="145">
        <v>1.0</v>
      </c>
      <c r="R39" s="100"/>
      <c r="S39" s="100"/>
      <c r="T39" s="100"/>
      <c r="U39" s="146"/>
      <c r="V39" s="100"/>
    </row>
    <row r="40" ht="17.25" customHeight="1" outlineLevel="1">
      <c r="A40" s="156"/>
      <c r="B40" s="147" t="s">
        <v>280</v>
      </c>
      <c r="C40" s="467" t="s">
        <v>386</v>
      </c>
      <c r="D40" s="107"/>
      <c r="E40" s="467" t="s">
        <v>268</v>
      </c>
      <c r="F40" s="138">
        <v>28.799999999999997</v>
      </c>
      <c r="G40" s="139" t="s">
        <v>1187</v>
      </c>
      <c r="H40" s="106"/>
      <c r="I40" s="168"/>
      <c r="J40" s="107"/>
      <c r="K40" s="282"/>
      <c r="L40" s="282"/>
      <c r="M40" s="363"/>
      <c r="N40" s="363"/>
      <c r="O40" s="145">
        <v>0.0</v>
      </c>
      <c r="P40" s="145">
        <v>1.0</v>
      </c>
      <c r="Q40" s="145">
        <v>1.0</v>
      </c>
      <c r="R40" s="100"/>
      <c r="S40" s="100"/>
      <c r="T40" s="100"/>
      <c r="U40" s="156"/>
      <c r="V40" s="100"/>
    </row>
    <row r="41" outlineLevel="1">
      <c r="A41" s="133" t="s">
        <v>116</v>
      </c>
      <c r="B41" s="147"/>
      <c r="C41" s="467" t="s">
        <v>128</v>
      </c>
      <c r="D41" s="455" t="s">
        <v>111</v>
      </c>
      <c r="E41" s="467" t="s">
        <v>65</v>
      </c>
      <c r="F41" s="138">
        <v>25.2</v>
      </c>
      <c r="G41" s="139" t="s">
        <v>82</v>
      </c>
      <c r="H41" s="660" t="s">
        <v>3516</v>
      </c>
      <c r="I41" s="164"/>
      <c r="J41" s="104"/>
      <c r="K41" s="363"/>
      <c r="L41" s="363"/>
      <c r="M41" s="363"/>
      <c r="N41" s="363"/>
      <c r="O41" s="145">
        <v>0.0</v>
      </c>
      <c r="P41" s="145">
        <v>1.0</v>
      </c>
      <c r="Q41" s="145">
        <v>1.0</v>
      </c>
      <c r="R41" s="100"/>
      <c r="S41" s="100"/>
      <c r="T41" s="100"/>
      <c r="U41" s="166" t="s">
        <v>123</v>
      </c>
      <c r="V41" s="100"/>
    </row>
    <row r="42" outlineLevel="1">
      <c r="A42" s="156"/>
      <c r="B42" s="147" t="s">
        <v>84</v>
      </c>
      <c r="C42" s="450" t="s">
        <v>580</v>
      </c>
      <c r="D42" s="107"/>
      <c r="E42" s="467" t="s">
        <v>153</v>
      </c>
      <c r="F42" s="138">
        <v>19.2</v>
      </c>
      <c r="G42" s="139" t="s">
        <v>88</v>
      </c>
      <c r="H42" s="106"/>
      <c r="I42" s="168"/>
      <c r="J42" s="107"/>
      <c r="K42" s="363"/>
      <c r="L42" s="363"/>
      <c r="M42" s="363"/>
      <c r="N42" s="363"/>
      <c r="O42" s="145">
        <v>0.0</v>
      </c>
      <c r="P42" s="145">
        <v>1.0</v>
      </c>
      <c r="Q42" s="145">
        <v>1.0</v>
      </c>
      <c r="R42" s="100"/>
      <c r="S42" s="100"/>
      <c r="T42" s="100"/>
      <c r="U42" s="156"/>
      <c r="V42" s="100"/>
    </row>
    <row r="43" ht="19.5" customHeight="1" outlineLevel="1">
      <c r="A43" s="133" t="s">
        <v>124</v>
      </c>
      <c r="B43" s="147" t="s">
        <v>125</v>
      </c>
      <c r="C43" s="216" t="s">
        <v>223</v>
      </c>
      <c r="D43" s="455" t="s">
        <v>221</v>
      </c>
      <c r="E43" s="467" t="s">
        <v>228</v>
      </c>
      <c r="F43" s="138">
        <v>15.6</v>
      </c>
      <c r="G43" s="139" t="s">
        <v>275</v>
      </c>
      <c r="H43" s="175" t="s">
        <v>3517</v>
      </c>
      <c r="I43" s="164"/>
      <c r="J43" s="104"/>
      <c r="K43" s="282"/>
      <c r="L43" s="282"/>
      <c r="M43" s="363"/>
      <c r="N43" s="363"/>
      <c r="O43" s="145">
        <v>0.0</v>
      </c>
      <c r="P43" s="145">
        <v>1.0</v>
      </c>
      <c r="Q43" s="145">
        <v>1.0</v>
      </c>
      <c r="R43" s="100"/>
      <c r="S43" s="100"/>
      <c r="T43" s="100"/>
      <c r="U43" s="166" t="s">
        <v>69</v>
      </c>
      <c r="V43" s="100"/>
    </row>
    <row r="44" ht="19.5" customHeight="1" outlineLevel="1">
      <c r="A44" s="156"/>
      <c r="B44" s="147" t="s">
        <v>131</v>
      </c>
      <c r="C44" s="216" t="s">
        <v>203</v>
      </c>
      <c r="D44" s="107"/>
      <c r="E44" s="467" t="s">
        <v>228</v>
      </c>
      <c r="F44" s="138">
        <v>15.6</v>
      </c>
      <c r="G44" s="139" t="s">
        <v>275</v>
      </c>
      <c r="H44" s="106"/>
      <c r="I44" s="168"/>
      <c r="J44" s="107"/>
      <c r="K44" s="282"/>
      <c r="L44" s="282"/>
      <c r="M44" s="363"/>
      <c r="N44" s="363"/>
      <c r="O44" s="145">
        <v>0.0</v>
      </c>
      <c r="P44" s="145">
        <v>1.0</v>
      </c>
      <c r="Q44" s="145">
        <v>1.0</v>
      </c>
      <c r="R44" s="100"/>
      <c r="S44" s="100"/>
      <c r="T44" s="100"/>
      <c r="U44" s="156"/>
      <c r="V44" s="100"/>
    </row>
    <row r="45">
      <c r="A45" s="118"/>
      <c r="B45" s="176"/>
      <c r="C45" s="118"/>
      <c r="D45" s="118"/>
      <c r="E45" s="118"/>
      <c r="F45" s="177"/>
      <c r="G45" s="177"/>
      <c r="H45" s="118"/>
      <c r="I45" s="118"/>
      <c r="J45" s="118"/>
      <c r="K45" s="118"/>
      <c r="L45" s="118"/>
      <c r="M45" s="118"/>
      <c r="N45" s="118"/>
      <c r="O45" s="118"/>
      <c r="P45" s="118"/>
      <c r="Q45" s="118"/>
      <c r="R45" s="118"/>
      <c r="S45" s="118"/>
      <c r="T45" s="118"/>
      <c r="U45" s="118"/>
      <c r="V45" s="118"/>
    </row>
    <row r="46">
      <c r="A46" s="178" t="s">
        <v>133</v>
      </c>
      <c r="B46" s="104"/>
      <c r="C46" s="179"/>
      <c r="D46" s="179"/>
      <c r="E46" s="179"/>
      <c r="F46" s="180"/>
      <c r="G46" s="179"/>
      <c r="H46" s="180"/>
      <c r="I46" s="180"/>
      <c r="J46" s="181"/>
      <c r="K46" s="180"/>
      <c r="L46" s="180"/>
      <c r="M46" s="180"/>
      <c r="N46" s="180"/>
      <c r="O46" s="180"/>
      <c r="P46" s="180"/>
      <c r="Q46" s="180"/>
      <c r="R46" s="180"/>
      <c r="S46" s="180"/>
      <c r="T46" s="180"/>
      <c r="U46" s="180"/>
      <c r="V46" s="180"/>
    </row>
    <row r="47" outlineLevel="1">
      <c r="A47" s="106"/>
      <c r="B47" s="107"/>
      <c r="C47" s="182" t="s">
        <v>48</v>
      </c>
      <c r="D47" s="183" t="s">
        <v>49</v>
      </c>
      <c r="E47" s="182" t="s">
        <v>50</v>
      </c>
      <c r="F47" s="184" t="s">
        <v>51</v>
      </c>
      <c r="G47" s="184" t="s">
        <v>134</v>
      </c>
      <c r="H47" s="185" t="s">
        <v>52</v>
      </c>
      <c r="I47" s="184" t="str">
        <f>'テンプレート'!I56</f>
        <v>着地隙</v>
      </c>
      <c r="J47" s="184" t="s">
        <v>136</v>
      </c>
      <c r="K47" s="184" t="str">
        <f>'テンプレート'!K56</f>
        <v>ベクトル</v>
      </c>
      <c r="L47" s="184" t="str">
        <f>'テンプレート'!L56</f>
        <v>KBG (R.E.)</v>
      </c>
      <c r="M47" s="184" t="str">
        <f>'テンプレート'!M56</f>
        <v>BKB (R.A.)</v>
      </c>
      <c r="N47" s="184" t="str">
        <f>'テンプレート'!N56</f>
        <v>FKB (R.F.)</v>
      </c>
      <c r="O47" s="186" t="str">
        <f>'テンプレート'!O56</f>
        <v>盾削り値</v>
      </c>
      <c r="P47" s="184" t="str">
        <f>'テンプレート'!P56</f>
        <v>ﾋｯﾄｽﾄｯﾌﾟ</v>
      </c>
      <c r="Q47" s="186" t="str">
        <f>'テンプレート'!Q56</f>
        <v>ずらし</v>
      </c>
      <c r="R47" s="187" t="str">
        <f>'テンプレート'!R56</f>
        <v>備考</v>
      </c>
      <c r="S47" s="110"/>
      <c r="T47" s="110"/>
      <c r="U47" s="110"/>
      <c r="V47" s="110"/>
    </row>
    <row r="48" outlineLevel="1">
      <c r="A48" s="213" t="s">
        <v>144</v>
      </c>
      <c r="B48" s="373"/>
      <c r="C48" s="239" t="s">
        <v>176</v>
      </c>
      <c r="D48" s="774" t="s">
        <v>386</v>
      </c>
      <c r="E48" s="401" t="s">
        <v>176</v>
      </c>
      <c r="F48" s="193">
        <v>2.4</v>
      </c>
      <c r="G48" s="193">
        <v>2.04</v>
      </c>
      <c r="H48" s="138" t="s">
        <v>170</v>
      </c>
      <c r="I48" s="621" t="str">
        <f t="array" ref="I48">INDEX('空中攻撃'!$O$3:$AA$109, MATCH($A$1,'空中攻撃'!$A$3:$A$109,0), MATCH(A48,'空中攻撃'!$O$2:$S$2,0))</f>
        <v>10</v>
      </c>
      <c r="J48" s="450" t="s">
        <v>3518</v>
      </c>
      <c r="K48" s="138"/>
      <c r="L48" s="282"/>
      <c r="M48" s="363"/>
      <c r="N48" s="363"/>
      <c r="O48" s="145">
        <v>0.0</v>
      </c>
      <c r="P48" s="145">
        <v>1.0</v>
      </c>
      <c r="Q48" s="145">
        <v>2.0</v>
      </c>
      <c r="R48" s="622"/>
      <c r="S48" s="110"/>
      <c r="T48" s="110"/>
      <c r="U48" s="110"/>
      <c r="V48" s="109"/>
    </row>
    <row r="49" outlineLevel="1">
      <c r="A49" s="213" t="s">
        <v>151</v>
      </c>
      <c r="B49" s="373"/>
      <c r="C49" s="239" t="s">
        <v>627</v>
      </c>
      <c r="D49" s="774">
        <v>36.0</v>
      </c>
      <c r="E49" s="239" t="s">
        <v>3519</v>
      </c>
      <c r="F49" s="138" t="s">
        <v>3520</v>
      </c>
      <c r="G49" s="138" t="s">
        <v>3521</v>
      </c>
      <c r="H49" s="138" t="s">
        <v>914</v>
      </c>
      <c r="I49" s="621" t="str">
        <f t="array" ref="I49">INDEX('空中攻撃'!$O$3:$AA$109, MATCH($A$1,'空中攻撃'!$A$3:$A$109,0), MATCH(A49,'空中攻撃'!$O$2:$S$2,0))</f>
        <v>13</v>
      </c>
      <c r="J49" s="467" t="s">
        <v>3436</v>
      </c>
      <c r="K49" s="138"/>
      <c r="L49" s="282"/>
      <c r="M49" s="363"/>
      <c r="N49" s="363"/>
      <c r="O49" s="145">
        <v>0.0</v>
      </c>
      <c r="P49" s="145">
        <v>1.0</v>
      </c>
      <c r="Q49" s="145">
        <v>1.0</v>
      </c>
      <c r="R49" s="622"/>
      <c r="S49" s="110"/>
      <c r="T49" s="110"/>
      <c r="U49" s="110"/>
      <c r="V49" s="109"/>
    </row>
    <row r="50" outlineLevel="1">
      <c r="A50" s="213" t="s">
        <v>157</v>
      </c>
      <c r="B50" s="373"/>
      <c r="C50" s="239" t="s">
        <v>299</v>
      </c>
      <c r="D50" s="774">
        <v>37.0</v>
      </c>
      <c r="E50" s="239" t="s">
        <v>2120</v>
      </c>
      <c r="F50" s="138" t="s">
        <v>2121</v>
      </c>
      <c r="G50" s="138" t="s">
        <v>3522</v>
      </c>
      <c r="H50" s="138" t="s">
        <v>914</v>
      </c>
      <c r="I50" s="621">
        <f t="array" ref="I50">INDEX('空中攻撃'!$O$3:$AA$109, MATCH($A$1,'空中攻撃'!$A$3:$A$109,0), MATCH(A50,'空中攻撃'!$O$2:$S$2,0))</f>
        <v>16</v>
      </c>
      <c r="J50" s="467" t="s">
        <v>1757</v>
      </c>
      <c r="K50" s="138"/>
      <c r="L50" s="282"/>
      <c r="M50" s="363"/>
      <c r="N50" s="363"/>
      <c r="O50" s="145">
        <v>0.0</v>
      </c>
      <c r="P50" s="145">
        <v>1.0</v>
      </c>
      <c r="Q50" s="145">
        <v>1.0</v>
      </c>
      <c r="R50" s="622"/>
      <c r="S50" s="110"/>
      <c r="T50" s="110"/>
      <c r="U50" s="110"/>
      <c r="V50" s="109"/>
    </row>
    <row r="51" outlineLevel="1">
      <c r="A51" s="213" t="s">
        <v>162</v>
      </c>
      <c r="B51" s="373"/>
      <c r="C51" s="239" t="s">
        <v>713</v>
      </c>
      <c r="D51" s="774" t="s">
        <v>384</v>
      </c>
      <c r="E51" s="239" t="s">
        <v>3519</v>
      </c>
      <c r="F51" s="138" t="s">
        <v>3520</v>
      </c>
      <c r="G51" s="138" t="s">
        <v>3521</v>
      </c>
      <c r="H51" s="138" t="s">
        <v>914</v>
      </c>
      <c r="I51" s="621" t="str">
        <f t="array" ref="I51">INDEX('空中攻撃'!$O$3:$AA$109, MATCH($A$1,'空中攻撃'!$A$3:$A$109,0), MATCH(A51,'空中攻撃'!$O$2:$S$2,0))</f>
        <v>13</v>
      </c>
      <c r="J51" s="467" t="s">
        <v>3110</v>
      </c>
      <c r="K51" s="282"/>
      <c r="L51" s="282"/>
      <c r="M51" s="363"/>
      <c r="N51" s="363"/>
      <c r="O51" s="145">
        <v>0.0</v>
      </c>
      <c r="P51" s="145">
        <v>1.0</v>
      </c>
      <c r="Q51" s="145">
        <v>1.0</v>
      </c>
      <c r="R51" s="622"/>
      <c r="S51" s="110"/>
      <c r="T51" s="110"/>
      <c r="U51" s="110"/>
      <c r="V51" s="109"/>
    </row>
    <row r="52" outlineLevel="1">
      <c r="A52" s="213" t="s">
        <v>166</v>
      </c>
      <c r="B52" s="373"/>
      <c r="C52" s="239" t="s">
        <v>975</v>
      </c>
      <c r="D52" s="774">
        <v>27.0</v>
      </c>
      <c r="E52" s="239" t="s">
        <v>3519</v>
      </c>
      <c r="F52" s="138" t="s">
        <v>3520</v>
      </c>
      <c r="G52" s="138" t="s">
        <v>3521</v>
      </c>
      <c r="H52" s="138" t="s">
        <v>914</v>
      </c>
      <c r="I52" s="621">
        <f t="array" ref="I52">INDEX('空中攻撃'!$O$3:$AA$109, MATCH($A$1,'空中攻撃'!$A$3:$A$109,0), MATCH(A52,'空中攻撃'!$O$2:$S$2,0))</f>
        <v>18</v>
      </c>
      <c r="J52" s="467" t="s">
        <v>879</v>
      </c>
      <c r="K52" s="282"/>
      <c r="L52" s="282"/>
      <c r="M52" s="363"/>
      <c r="N52" s="363"/>
      <c r="O52" s="145">
        <v>0.0</v>
      </c>
      <c r="P52" s="145">
        <v>1.0</v>
      </c>
      <c r="Q52" s="145">
        <v>1.0</v>
      </c>
      <c r="R52" s="151"/>
      <c r="S52" s="110"/>
      <c r="T52" s="110"/>
      <c r="U52" s="110"/>
      <c r="V52" s="109"/>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
        <v>177</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
        <v>3523</v>
      </c>
      <c r="B55" s="109"/>
      <c r="C55" s="231" t="s">
        <v>48</v>
      </c>
      <c r="D55" s="231" t="s">
        <v>49</v>
      </c>
      <c r="E55" s="232" t="s">
        <v>50</v>
      </c>
      <c r="F55" s="233" t="s">
        <v>51</v>
      </c>
      <c r="G55" s="232" t="s">
        <v>52</v>
      </c>
      <c r="H55" s="382" t="s">
        <v>53</v>
      </c>
      <c r="I55" s="110"/>
      <c r="J55" s="109"/>
      <c r="K55" s="235" t="str">
        <f>'テンプレート'!K72</f>
        <v>ベクトル</v>
      </c>
      <c r="L55" s="235" t="str">
        <f>'テンプレート'!L72</f>
        <v>KBG (R.E.)</v>
      </c>
      <c r="M55" s="235" t="str">
        <f>'テンプレート'!M72</f>
        <v>BKB (R.A.)</v>
      </c>
      <c r="N55" s="235" t="str">
        <f>'テンプレート'!N72</f>
        <v>FKB (R.F.)</v>
      </c>
      <c r="O55" s="236" t="str">
        <f>'テンプレート'!O72</f>
        <v>盾削り値</v>
      </c>
      <c r="P55" s="235" t="str">
        <f>'テンプレート'!P72</f>
        <v>ﾋｯﾄｽﾄｯﾌﾟ</v>
      </c>
      <c r="Q55" s="236" t="str">
        <f>'テンプレート'!Q72</f>
        <v>ずらし</v>
      </c>
      <c r="R55" s="235" t="str">
        <f>'テンプレート'!R72</f>
        <v>相殺</v>
      </c>
      <c r="S55" s="236" t="str">
        <f>'テンプレート'!S72</f>
        <v>相殺ﾓｰｼｮﾝ</v>
      </c>
      <c r="T55" s="236" t="str">
        <f>'テンプレート'!T72</f>
        <v>飛び道具</v>
      </c>
      <c r="U55" s="236" t="str">
        <f>'テンプレート'!U72</f>
        <v>慣性反転</v>
      </c>
      <c r="V55" s="236" t="str">
        <f>'テンプレート'!V72</f>
        <v>向き反転</v>
      </c>
    </row>
    <row r="56" outlineLevel="1">
      <c r="A56" s="237" t="s">
        <v>332</v>
      </c>
      <c r="B56" s="2248" t="s">
        <v>3524</v>
      </c>
      <c r="C56" s="239" t="s">
        <v>717</v>
      </c>
      <c r="D56" s="869" t="s">
        <v>3525</v>
      </c>
      <c r="E56" s="239" t="s">
        <v>3526</v>
      </c>
      <c r="F56" s="138" t="s">
        <v>3527</v>
      </c>
      <c r="G56" s="2249" t="s">
        <v>3528</v>
      </c>
      <c r="H56" s="660" t="s">
        <v>3529</v>
      </c>
      <c r="I56" s="164"/>
      <c r="J56" s="104"/>
      <c r="K56" s="282"/>
      <c r="L56" s="282"/>
      <c r="M56" s="363"/>
      <c r="N56" s="363"/>
      <c r="O56" s="138">
        <v>0.0</v>
      </c>
      <c r="P56" s="138">
        <v>1.0</v>
      </c>
      <c r="Q56" s="138">
        <v>1.0</v>
      </c>
      <c r="R56" s="145" t="b">
        <v>1</v>
      </c>
      <c r="S56" s="145" t="b">
        <v>0</v>
      </c>
      <c r="T56" s="145"/>
      <c r="U56" s="166" t="b">
        <v>0</v>
      </c>
      <c r="V56" s="166" t="b">
        <v>1</v>
      </c>
    </row>
    <row r="57" outlineLevel="1">
      <c r="A57" s="146"/>
      <c r="B57" s="146"/>
      <c r="C57" s="239" t="s">
        <v>543</v>
      </c>
      <c r="D57" s="146"/>
      <c r="E57" s="239" t="s">
        <v>3530</v>
      </c>
      <c r="F57" s="138" t="s">
        <v>3531</v>
      </c>
      <c r="G57" s="307" t="s">
        <v>3532</v>
      </c>
      <c r="H57" s="212"/>
      <c r="J57" s="210"/>
      <c r="K57" s="282"/>
      <c r="L57" s="282"/>
      <c r="M57" s="363"/>
      <c r="N57" s="363"/>
      <c r="O57" s="138">
        <v>0.0</v>
      </c>
      <c r="P57" s="138">
        <v>1.0</v>
      </c>
      <c r="Q57" s="138">
        <v>1.0</v>
      </c>
      <c r="R57" s="145" t="b">
        <v>1</v>
      </c>
      <c r="S57" s="145" t="b">
        <v>0</v>
      </c>
      <c r="T57" s="145"/>
      <c r="U57" s="146"/>
      <c r="V57" s="146"/>
    </row>
    <row r="58" outlineLevel="1">
      <c r="A58" s="146"/>
      <c r="B58" s="156"/>
      <c r="C58" s="239" t="s">
        <v>3533</v>
      </c>
      <c r="D58" s="156"/>
      <c r="E58" s="239" t="s">
        <v>3534</v>
      </c>
      <c r="F58" s="138" t="s">
        <v>3535</v>
      </c>
      <c r="G58" s="307" t="s">
        <v>3536</v>
      </c>
      <c r="H58" s="212"/>
      <c r="J58" s="210"/>
      <c r="K58" s="282"/>
      <c r="L58" s="282"/>
      <c r="M58" s="363"/>
      <c r="N58" s="363"/>
      <c r="O58" s="138">
        <v>0.0</v>
      </c>
      <c r="P58" s="138">
        <v>1.0</v>
      </c>
      <c r="Q58" s="138">
        <v>1.0</v>
      </c>
      <c r="R58" s="145" t="b">
        <v>1</v>
      </c>
      <c r="S58" s="145" t="b">
        <v>0</v>
      </c>
      <c r="T58" s="145"/>
      <c r="U58" s="146"/>
      <c r="V58" s="146"/>
    </row>
    <row r="59" outlineLevel="1">
      <c r="A59" s="146"/>
      <c r="B59" s="2248" t="s">
        <v>3537</v>
      </c>
      <c r="C59" s="239" t="s">
        <v>1615</v>
      </c>
      <c r="D59" s="869" t="s">
        <v>3538</v>
      </c>
      <c r="E59" s="239" t="s">
        <v>3539</v>
      </c>
      <c r="F59" s="138" t="s">
        <v>3540</v>
      </c>
      <c r="G59" s="307" t="s">
        <v>3541</v>
      </c>
      <c r="H59" s="212"/>
      <c r="J59" s="210"/>
      <c r="K59" s="282"/>
      <c r="L59" s="282"/>
      <c r="M59" s="363"/>
      <c r="N59" s="363"/>
      <c r="O59" s="138"/>
      <c r="P59" s="138"/>
      <c r="Q59" s="138"/>
      <c r="R59" s="145" t="b">
        <v>0</v>
      </c>
      <c r="S59" s="145" t="b">
        <v>0</v>
      </c>
      <c r="T59" s="145" t="b">
        <v>0</v>
      </c>
      <c r="U59" s="146"/>
      <c r="V59" s="146"/>
    </row>
    <row r="60" outlineLevel="1">
      <c r="A60" s="146"/>
      <c r="B60" s="146"/>
      <c r="C60" s="239" t="s">
        <v>309</v>
      </c>
      <c r="D60" s="146"/>
      <c r="E60" s="239" t="s">
        <v>3542</v>
      </c>
      <c r="F60" s="138" t="s">
        <v>3543</v>
      </c>
      <c r="G60" s="307" t="s">
        <v>3544</v>
      </c>
      <c r="H60" s="212"/>
      <c r="J60" s="210"/>
      <c r="K60" s="282"/>
      <c r="L60" s="282"/>
      <c r="M60" s="363"/>
      <c r="N60" s="363"/>
      <c r="O60" s="138"/>
      <c r="P60" s="138"/>
      <c r="Q60" s="138"/>
      <c r="R60" s="145" t="b">
        <v>0</v>
      </c>
      <c r="S60" s="145" t="b">
        <v>0</v>
      </c>
      <c r="T60" s="145" t="b">
        <v>0</v>
      </c>
      <c r="U60" s="146"/>
      <c r="V60" s="146"/>
    </row>
    <row r="61" outlineLevel="1">
      <c r="A61" s="146"/>
      <c r="B61" s="156"/>
      <c r="C61" s="239" t="s">
        <v>3545</v>
      </c>
      <c r="D61" s="156"/>
      <c r="E61" s="239" t="s">
        <v>3546</v>
      </c>
      <c r="F61" s="138" t="s">
        <v>3547</v>
      </c>
      <c r="G61" s="307" t="s">
        <v>3548</v>
      </c>
      <c r="H61" s="212"/>
      <c r="J61" s="210"/>
      <c r="K61" s="282"/>
      <c r="L61" s="282"/>
      <c r="M61" s="363"/>
      <c r="N61" s="363"/>
      <c r="O61" s="138"/>
      <c r="P61" s="138"/>
      <c r="Q61" s="138"/>
      <c r="R61" s="145" t="b">
        <v>0</v>
      </c>
      <c r="S61" s="145" t="b">
        <v>0</v>
      </c>
      <c r="T61" s="145" t="b">
        <v>0</v>
      </c>
      <c r="U61" s="146"/>
      <c r="V61" s="146"/>
    </row>
    <row r="62" outlineLevel="1">
      <c r="A62" s="146"/>
      <c r="B62" s="663" t="s">
        <v>340</v>
      </c>
      <c r="C62" s="239" t="s">
        <v>3549</v>
      </c>
      <c r="D62" s="244" t="s">
        <v>3550</v>
      </c>
      <c r="E62" s="239" t="s">
        <v>164</v>
      </c>
      <c r="F62" s="138">
        <v>36.0</v>
      </c>
      <c r="G62" s="239" t="s">
        <v>697</v>
      </c>
      <c r="H62" s="212"/>
      <c r="J62" s="210"/>
      <c r="K62" s="282"/>
      <c r="L62" s="282"/>
      <c r="M62" s="363"/>
      <c r="N62" s="363"/>
      <c r="O62" s="138">
        <v>0.0</v>
      </c>
      <c r="P62" s="138">
        <v>1.0</v>
      </c>
      <c r="Q62" s="138">
        <v>1.0</v>
      </c>
      <c r="R62" s="145" t="b">
        <v>1</v>
      </c>
      <c r="S62" s="145" t="b">
        <v>0</v>
      </c>
      <c r="T62" s="145"/>
      <c r="U62" s="146"/>
      <c r="V62" s="146"/>
    </row>
    <row r="63" outlineLevel="1">
      <c r="A63" s="156"/>
      <c r="B63" s="663" t="s">
        <v>3551</v>
      </c>
      <c r="C63" s="239" t="s">
        <v>3552</v>
      </c>
      <c r="D63" s="244" t="s">
        <v>3553</v>
      </c>
      <c r="E63" s="239" t="s">
        <v>593</v>
      </c>
      <c r="F63" s="138">
        <v>33.6</v>
      </c>
      <c r="G63" s="239" t="s">
        <v>790</v>
      </c>
      <c r="H63" s="212"/>
      <c r="J63" s="210"/>
      <c r="K63" s="282"/>
      <c r="L63" s="282"/>
      <c r="M63" s="363"/>
      <c r="N63" s="363"/>
      <c r="O63" s="138"/>
      <c r="P63" s="138"/>
      <c r="Q63" s="138"/>
      <c r="R63" s="145" t="b">
        <v>0</v>
      </c>
      <c r="S63" s="145" t="b">
        <v>0</v>
      </c>
      <c r="T63" s="145" t="b">
        <v>0</v>
      </c>
      <c r="U63" s="146"/>
      <c r="V63" s="146"/>
    </row>
    <row r="64" outlineLevel="1">
      <c r="A64" s="237" t="s">
        <v>344</v>
      </c>
      <c r="B64" s="2248" t="s">
        <v>3524</v>
      </c>
      <c r="C64" s="244" t="s">
        <v>163</v>
      </c>
      <c r="D64" s="869" t="s">
        <v>3554</v>
      </c>
      <c r="E64" s="239" t="s">
        <v>3555</v>
      </c>
      <c r="F64" s="138" t="s">
        <v>3556</v>
      </c>
      <c r="G64" s="2249" t="s">
        <v>3557</v>
      </c>
      <c r="H64" s="212"/>
      <c r="J64" s="210"/>
      <c r="K64" s="282"/>
      <c r="L64" s="282"/>
      <c r="M64" s="363"/>
      <c r="N64" s="363"/>
      <c r="O64" s="138">
        <v>0.0</v>
      </c>
      <c r="P64" s="138">
        <v>1.0</v>
      </c>
      <c r="Q64" s="138">
        <v>1.0</v>
      </c>
      <c r="R64" s="145" t="b">
        <v>1</v>
      </c>
      <c r="S64" s="145" t="b">
        <v>0</v>
      </c>
      <c r="T64" s="145"/>
      <c r="U64" s="146"/>
      <c r="V64" s="146"/>
    </row>
    <row r="65" outlineLevel="1">
      <c r="A65" s="146"/>
      <c r="B65" s="156"/>
      <c r="C65" s="244" t="s">
        <v>161</v>
      </c>
      <c r="D65" s="156"/>
      <c r="E65" s="239" t="s">
        <v>3558</v>
      </c>
      <c r="F65" s="138" t="s">
        <v>3559</v>
      </c>
      <c r="G65" s="307" t="s">
        <v>3560</v>
      </c>
      <c r="H65" s="212"/>
      <c r="J65" s="210"/>
      <c r="K65" s="282"/>
      <c r="L65" s="282"/>
      <c r="M65" s="363"/>
      <c r="N65" s="363"/>
      <c r="O65" s="138">
        <v>0.0</v>
      </c>
      <c r="P65" s="138">
        <v>1.0</v>
      </c>
      <c r="Q65" s="138">
        <v>1.0</v>
      </c>
      <c r="R65" s="145" t="b">
        <v>1</v>
      </c>
      <c r="S65" s="145" t="b">
        <v>0</v>
      </c>
      <c r="T65" s="145"/>
      <c r="U65" s="146"/>
      <c r="V65" s="146"/>
    </row>
    <row r="66" outlineLevel="1">
      <c r="A66" s="146"/>
      <c r="B66" s="2248" t="s">
        <v>3537</v>
      </c>
      <c r="C66" s="244" t="s">
        <v>563</v>
      </c>
      <c r="D66" s="869" t="s">
        <v>3561</v>
      </c>
      <c r="E66" s="239" t="s">
        <v>3562</v>
      </c>
      <c r="F66" s="138" t="s">
        <v>3563</v>
      </c>
      <c r="G66" s="307" t="s">
        <v>3564</v>
      </c>
      <c r="H66" s="212"/>
      <c r="J66" s="210"/>
      <c r="K66" s="282"/>
      <c r="L66" s="282"/>
      <c r="M66" s="363"/>
      <c r="N66" s="363"/>
      <c r="O66" s="138"/>
      <c r="P66" s="138"/>
      <c r="Q66" s="138"/>
      <c r="R66" s="145" t="b">
        <v>0</v>
      </c>
      <c r="S66" s="145" t="b">
        <v>0</v>
      </c>
      <c r="T66" s="145" t="b">
        <v>0</v>
      </c>
      <c r="U66" s="146"/>
      <c r="V66" s="146"/>
    </row>
    <row r="67" outlineLevel="1">
      <c r="A67" s="146"/>
      <c r="B67" s="156"/>
      <c r="C67" s="244" t="s">
        <v>383</v>
      </c>
      <c r="D67" s="156"/>
      <c r="E67" s="239" t="s">
        <v>2561</v>
      </c>
      <c r="F67" s="138" t="s">
        <v>2562</v>
      </c>
      <c r="G67" s="307" t="s">
        <v>2563</v>
      </c>
      <c r="H67" s="212"/>
      <c r="J67" s="210"/>
      <c r="K67" s="282"/>
      <c r="L67" s="282"/>
      <c r="M67" s="363"/>
      <c r="N67" s="363"/>
      <c r="O67" s="138"/>
      <c r="P67" s="138"/>
      <c r="Q67" s="138"/>
      <c r="R67" s="145" t="b">
        <v>0</v>
      </c>
      <c r="S67" s="145" t="b">
        <v>0</v>
      </c>
      <c r="T67" s="145" t="b">
        <v>0</v>
      </c>
      <c r="U67" s="146"/>
      <c r="V67" s="146"/>
    </row>
    <row r="68" outlineLevel="1">
      <c r="A68" s="146"/>
      <c r="B68" s="663" t="s">
        <v>340</v>
      </c>
      <c r="C68" s="244" t="s">
        <v>3565</v>
      </c>
      <c r="D68" s="244" t="s">
        <v>3550</v>
      </c>
      <c r="E68" s="239" t="s">
        <v>718</v>
      </c>
      <c r="F68" s="138">
        <v>24.0</v>
      </c>
      <c r="G68" s="239" t="s">
        <v>1008</v>
      </c>
      <c r="H68" s="212"/>
      <c r="J68" s="210"/>
      <c r="K68" s="282"/>
      <c r="L68" s="282"/>
      <c r="M68" s="363"/>
      <c r="N68" s="363"/>
      <c r="O68" s="138">
        <v>0.0</v>
      </c>
      <c r="P68" s="138">
        <v>1.0</v>
      </c>
      <c r="Q68" s="138">
        <v>1.0</v>
      </c>
      <c r="R68" s="145" t="b">
        <v>1</v>
      </c>
      <c r="S68" s="145" t="b">
        <v>0</v>
      </c>
      <c r="T68" s="145"/>
      <c r="U68" s="146"/>
      <c r="V68" s="146"/>
    </row>
    <row r="69" outlineLevel="1">
      <c r="A69" s="156"/>
      <c r="B69" s="663" t="s">
        <v>3551</v>
      </c>
      <c r="C69" s="244" t="s">
        <v>3566</v>
      </c>
      <c r="D69" s="244" t="s">
        <v>3553</v>
      </c>
      <c r="E69" s="239" t="s">
        <v>466</v>
      </c>
      <c r="F69" s="138">
        <v>21.599999999999998</v>
      </c>
      <c r="G69" s="239" t="s">
        <v>294</v>
      </c>
      <c r="H69" s="106"/>
      <c r="I69" s="168"/>
      <c r="J69" s="107"/>
      <c r="K69" s="282"/>
      <c r="L69" s="282"/>
      <c r="M69" s="363"/>
      <c r="N69" s="363"/>
      <c r="O69" s="138"/>
      <c r="P69" s="138"/>
      <c r="Q69" s="138"/>
      <c r="R69" s="145" t="b">
        <v>0</v>
      </c>
      <c r="S69" s="145" t="b">
        <v>0</v>
      </c>
      <c r="T69" s="145" t="b">
        <v>0</v>
      </c>
      <c r="U69" s="146"/>
      <c r="V69" s="146"/>
    </row>
    <row r="70" outlineLevel="1">
      <c r="A70" s="237" t="s">
        <v>3567</v>
      </c>
      <c r="B70" s="663" t="s">
        <v>332</v>
      </c>
      <c r="C70" s="239" t="s">
        <v>3568</v>
      </c>
      <c r="D70" s="364" t="s">
        <v>499</v>
      </c>
      <c r="E70" s="239" t="s">
        <v>193</v>
      </c>
      <c r="F70" s="138">
        <v>42.0</v>
      </c>
      <c r="G70" s="281"/>
      <c r="H70" s="151" t="s">
        <v>3569</v>
      </c>
      <c r="I70" s="110"/>
      <c r="J70" s="109"/>
      <c r="K70" s="282"/>
      <c r="L70" s="282"/>
      <c r="M70" s="363"/>
      <c r="N70" s="363"/>
      <c r="O70" s="138">
        <v>0.0</v>
      </c>
      <c r="P70" s="138">
        <v>1.0</v>
      </c>
      <c r="Q70" s="138">
        <v>1.0</v>
      </c>
      <c r="R70" s="145" t="b">
        <v>0</v>
      </c>
      <c r="S70" s="145" t="b">
        <v>0</v>
      </c>
      <c r="T70" s="145"/>
      <c r="U70" s="146"/>
      <c r="V70" s="146"/>
    </row>
    <row r="71" outlineLevel="1">
      <c r="A71" s="156"/>
      <c r="B71" s="663" t="s">
        <v>344</v>
      </c>
      <c r="C71" s="239" t="s">
        <v>835</v>
      </c>
      <c r="D71" s="244" t="s">
        <v>2269</v>
      </c>
      <c r="E71" s="239" t="s">
        <v>228</v>
      </c>
      <c r="F71" s="138">
        <v>15.6</v>
      </c>
      <c r="G71" s="239" t="s">
        <v>407</v>
      </c>
      <c r="H71" s="151" t="s">
        <v>3570</v>
      </c>
      <c r="I71" s="110"/>
      <c r="J71" s="109"/>
      <c r="K71" s="282"/>
      <c r="L71" s="282"/>
      <c r="M71" s="363"/>
      <c r="N71" s="363"/>
      <c r="O71" s="138">
        <v>0.0</v>
      </c>
      <c r="P71" s="138">
        <v>1.0</v>
      </c>
      <c r="Q71" s="138">
        <v>1.0</v>
      </c>
      <c r="R71" s="145" t="b">
        <v>0</v>
      </c>
      <c r="S71" s="145" t="b">
        <v>0</v>
      </c>
      <c r="T71" s="145"/>
      <c r="U71" s="156"/>
      <c r="V71" s="156"/>
    </row>
    <row r="72" outlineLevel="1">
      <c r="A72" s="230" t="s">
        <v>3571</v>
      </c>
      <c r="B72" s="109"/>
      <c r="C72" s="231" t="s">
        <v>48</v>
      </c>
      <c r="D72" s="231" t="s">
        <v>49</v>
      </c>
      <c r="E72" s="232" t="s">
        <v>50</v>
      </c>
      <c r="F72" s="233" t="s">
        <v>51</v>
      </c>
      <c r="G72" s="232" t="s">
        <v>52</v>
      </c>
      <c r="H72" s="382"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236" t="s">
        <v>183</v>
      </c>
    </row>
    <row r="73" ht="18.75" customHeight="1" outlineLevel="1">
      <c r="A73" s="237" t="s">
        <v>332</v>
      </c>
      <c r="B73" s="243" t="s">
        <v>3508</v>
      </c>
      <c r="C73" s="239" t="s">
        <v>836</v>
      </c>
      <c r="D73" s="139" t="s">
        <v>3572</v>
      </c>
      <c r="E73" s="139" t="s">
        <v>209</v>
      </c>
      <c r="F73" s="138">
        <v>0.0</v>
      </c>
      <c r="G73" s="409"/>
      <c r="H73" s="283" t="s">
        <v>3573</v>
      </c>
      <c r="I73" s="164"/>
      <c r="J73" s="104"/>
      <c r="K73" s="282"/>
      <c r="L73" s="282"/>
      <c r="M73" s="363"/>
      <c r="N73" s="363"/>
      <c r="O73" s="138">
        <v>0.0</v>
      </c>
      <c r="P73" s="138">
        <v>1.0</v>
      </c>
      <c r="Q73" s="138">
        <v>1.0</v>
      </c>
      <c r="R73" s="145"/>
      <c r="S73" s="145"/>
      <c r="T73" s="145"/>
      <c r="U73" s="166" t="s">
        <v>186</v>
      </c>
      <c r="V73" s="166" t="b">
        <v>1</v>
      </c>
    </row>
    <row r="74" ht="18.75" customHeight="1" outlineLevel="1">
      <c r="A74" s="156"/>
      <c r="B74" s="243" t="s">
        <v>243</v>
      </c>
      <c r="C74" s="367" t="s">
        <v>883</v>
      </c>
      <c r="D74" s="139" t="s">
        <v>127</v>
      </c>
      <c r="E74" s="367" t="s">
        <v>119</v>
      </c>
      <c r="F74" s="394">
        <v>16.8</v>
      </c>
      <c r="G74" s="549" t="s">
        <v>297</v>
      </c>
      <c r="H74" s="212"/>
      <c r="J74" s="210"/>
      <c r="K74" s="282"/>
      <c r="L74" s="282"/>
      <c r="M74" s="363"/>
      <c r="N74" s="363"/>
      <c r="O74" s="138"/>
      <c r="P74" s="138"/>
      <c r="Q74" s="138"/>
      <c r="R74" s="145" t="b">
        <v>0</v>
      </c>
      <c r="S74" s="145" t="b">
        <v>0</v>
      </c>
      <c r="T74" s="145" t="b">
        <v>0</v>
      </c>
      <c r="U74" s="146"/>
      <c r="V74" s="146"/>
    </row>
    <row r="75" ht="18.75" customHeight="1" outlineLevel="1">
      <c r="A75" s="237" t="s">
        <v>344</v>
      </c>
      <c r="B75" s="243" t="s">
        <v>242</v>
      </c>
      <c r="C75" s="400"/>
      <c r="D75" s="139" t="s">
        <v>3572</v>
      </c>
      <c r="E75" s="409"/>
      <c r="F75" s="409"/>
      <c r="G75" s="409"/>
      <c r="H75" s="212"/>
      <c r="J75" s="210"/>
      <c r="K75" s="282"/>
      <c r="L75" s="282"/>
      <c r="M75" s="363"/>
      <c r="N75" s="363"/>
      <c r="O75" s="138"/>
      <c r="P75" s="138"/>
      <c r="Q75" s="138"/>
      <c r="R75" s="145" t="b">
        <v>0</v>
      </c>
      <c r="S75" s="145" t="b">
        <v>0</v>
      </c>
      <c r="T75" s="145" t="b">
        <v>0</v>
      </c>
      <c r="U75" s="146"/>
      <c r="V75" s="146"/>
    </row>
    <row r="76" ht="18.75" customHeight="1" outlineLevel="1">
      <c r="A76" s="156"/>
      <c r="B76" s="243" t="s">
        <v>243</v>
      </c>
      <c r="C76" s="367" t="s">
        <v>883</v>
      </c>
      <c r="D76" s="139" t="s">
        <v>374</v>
      </c>
      <c r="E76" s="367" t="s">
        <v>119</v>
      </c>
      <c r="F76" s="394">
        <v>16.8</v>
      </c>
      <c r="G76" s="549" t="s">
        <v>297</v>
      </c>
      <c r="H76" s="106"/>
      <c r="I76" s="168"/>
      <c r="J76" s="107"/>
      <c r="K76" s="282"/>
      <c r="L76" s="282"/>
      <c r="M76" s="363"/>
      <c r="N76" s="363"/>
      <c r="O76" s="138"/>
      <c r="P76" s="138"/>
      <c r="Q76" s="138"/>
      <c r="R76" s="145" t="b">
        <v>0</v>
      </c>
      <c r="S76" s="145" t="b">
        <v>0</v>
      </c>
      <c r="T76" s="145" t="b">
        <v>0</v>
      </c>
      <c r="U76" s="156"/>
      <c r="V76" s="156"/>
    </row>
    <row r="77" outlineLevel="1">
      <c r="A77" s="230" t="s">
        <v>3574</v>
      </c>
      <c r="B77" s="109"/>
      <c r="C77" s="231" t="s">
        <v>48</v>
      </c>
      <c r="D77" s="231" t="s">
        <v>49</v>
      </c>
      <c r="E77" s="232" t="s">
        <v>50</v>
      </c>
      <c r="F77" s="233" t="s">
        <v>51</v>
      </c>
      <c r="G77" s="232" t="s">
        <v>52</v>
      </c>
      <c r="H77" s="382" t="s">
        <v>53</v>
      </c>
      <c r="I77" s="110"/>
      <c r="J77" s="109"/>
      <c r="K77" s="235" t="s">
        <v>137</v>
      </c>
      <c r="L77" s="235" t="s">
        <v>138</v>
      </c>
      <c r="M77" s="235" t="s">
        <v>139</v>
      </c>
      <c r="N77" s="235" t="s">
        <v>140</v>
      </c>
      <c r="O77" s="236" t="s">
        <v>141</v>
      </c>
      <c r="P77" s="235" t="s">
        <v>142</v>
      </c>
      <c r="Q77" s="236" t="s">
        <v>143</v>
      </c>
      <c r="R77" s="235" t="s">
        <v>179</v>
      </c>
      <c r="S77" s="236" t="s">
        <v>180</v>
      </c>
      <c r="T77" s="236" t="s">
        <v>181</v>
      </c>
      <c r="U77" s="236" t="s">
        <v>182</v>
      </c>
      <c r="V77" s="236" t="s">
        <v>183</v>
      </c>
    </row>
    <row r="78" outlineLevel="1">
      <c r="A78" s="237" t="s">
        <v>332</v>
      </c>
      <c r="B78" s="402" t="s">
        <v>152</v>
      </c>
      <c r="C78" s="239" t="s">
        <v>204</v>
      </c>
      <c r="D78" s="400"/>
      <c r="E78" s="239" t="s">
        <v>204</v>
      </c>
      <c r="F78" s="138">
        <v>3.5999999999999996</v>
      </c>
      <c r="G78" s="139" t="s">
        <v>147</v>
      </c>
      <c r="H78" s="163" t="s">
        <v>3575</v>
      </c>
      <c r="I78" s="164"/>
      <c r="J78" s="104"/>
      <c r="K78" s="138"/>
      <c r="L78" s="138"/>
      <c r="M78" s="145"/>
      <c r="N78" s="145"/>
      <c r="O78" s="138">
        <v>0.0</v>
      </c>
      <c r="P78" s="138">
        <v>1.0</v>
      </c>
      <c r="Q78" s="138">
        <v>1.0</v>
      </c>
      <c r="R78" s="145" t="b">
        <v>1</v>
      </c>
      <c r="S78" s="145" t="b">
        <v>1</v>
      </c>
      <c r="T78" s="145"/>
      <c r="U78" s="166" t="b">
        <v>0</v>
      </c>
      <c r="V78" s="166" t="b">
        <v>1</v>
      </c>
    </row>
    <row r="79" outlineLevel="1">
      <c r="A79" s="146"/>
      <c r="B79" s="402" t="s">
        <v>199</v>
      </c>
      <c r="C79" s="239" t="s">
        <v>3576</v>
      </c>
      <c r="D79" s="146"/>
      <c r="E79" s="239" t="s">
        <v>213</v>
      </c>
      <c r="F79" s="138">
        <v>1.2</v>
      </c>
      <c r="G79" s="139" t="s">
        <v>170</v>
      </c>
      <c r="H79" s="212"/>
      <c r="J79" s="210"/>
      <c r="K79" s="138"/>
      <c r="L79" s="138"/>
      <c r="M79" s="145"/>
      <c r="N79" s="145"/>
      <c r="O79" s="138">
        <v>0.0</v>
      </c>
      <c r="P79" s="138">
        <v>1.0</v>
      </c>
      <c r="Q79" s="138">
        <v>1.0</v>
      </c>
      <c r="R79" s="145" t="b">
        <v>1</v>
      </c>
      <c r="S79" s="145" t="b">
        <v>0</v>
      </c>
      <c r="T79" s="145"/>
      <c r="U79" s="146"/>
      <c r="V79" s="146"/>
    </row>
    <row r="80" outlineLevel="1">
      <c r="A80" s="146"/>
      <c r="B80" s="402" t="s">
        <v>202</v>
      </c>
      <c r="C80" s="239" t="s">
        <v>105</v>
      </c>
      <c r="D80" s="156"/>
      <c r="E80" s="239" t="s">
        <v>204</v>
      </c>
      <c r="F80" s="138">
        <v>3.5999999999999996</v>
      </c>
      <c r="G80" s="139" t="s">
        <v>147</v>
      </c>
      <c r="H80" s="212"/>
      <c r="J80" s="210"/>
      <c r="K80" s="138"/>
      <c r="L80" s="138"/>
      <c r="M80" s="145"/>
      <c r="N80" s="145"/>
      <c r="O80" s="138">
        <v>0.0</v>
      </c>
      <c r="P80" s="138">
        <v>1.0</v>
      </c>
      <c r="Q80" s="138">
        <v>1.0</v>
      </c>
      <c r="R80" s="145" t="b">
        <v>1</v>
      </c>
      <c r="S80" s="145" t="b">
        <v>0</v>
      </c>
      <c r="T80" s="145"/>
      <c r="U80" s="146"/>
      <c r="V80" s="146"/>
    </row>
    <row r="81" outlineLevel="1">
      <c r="A81" s="237" t="s">
        <v>344</v>
      </c>
      <c r="B81" s="402" t="s">
        <v>152</v>
      </c>
      <c r="C81" s="239" t="s">
        <v>204</v>
      </c>
      <c r="D81" s="400"/>
      <c r="E81" s="239" t="s">
        <v>204</v>
      </c>
      <c r="F81" s="138">
        <v>3.5999999999999996</v>
      </c>
      <c r="G81" s="139" t="s">
        <v>147</v>
      </c>
      <c r="H81" s="212"/>
      <c r="J81" s="210"/>
      <c r="K81" s="138"/>
      <c r="L81" s="138"/>
      <c r="M81" s="145"/>
      <c r="N81" s="145"/>
      <c r="O81" s="138"/>
      <c r="P81" s="138"/>
      <c r="Q81" s="138"/>
      <c r="R81" s="145" t="b">
        <v>0</v>
      </c>
      <c r="S81" s="145" t="b">
        <v>0</v>
      </c>
      <c r="T81" s="145" t="b">
        <v>0</v>
      </c>
      <c r="U81" s="146"/>
      <c r="V81" s="146"/>
    </row>
    <row r="82" outlineLevel="1">
      <c r="A82" s="146"/>
      <c r="B82" s="402" t="s">
        <v>199</v>
      </c>
      <c r="C82" s="239" t="s">
        <v>3577</v>
      </c>
      <c r="D82" s="146"/>
      <c r="E82" s="239" t="s">
        <v>213</v>
      </c>
      <c r="F82" s="138">
        <v>1.2</v>
      </c>
      <c r="G82" s="139" t="s">
        <v>170</v>
      </c>
      <c r="H82" s="212"/>
      <c r="J82" s="210"/>
      <c r="K82" s="138"/>
      <c r="L82" s="138"/>
      <c r="M82" s="145"/>
      <c r="N82" s="145"/>
      <c r="O82" s="138"/>
      <c r="P82" s="138"/>
      <c r="Q82" s="138"/>
      <c r="R82" s="145" t="b">
        <v>0</v>
      </c>
      <c r="S82" s="145" t="b">
        <v>0</v>
      </c>
      <c r="T82" s="145" t="b">
        <v>0</v>
      </c>
      <c r="U82" s="146"/>
      <c r="V82" s="146"/>
    </row>
    <row r="83" outlineLevel="1">
      <c r="A83" s="146"/>
      <c r="B83" s="402" t="s">
        <v>202</v>
      </c>
      <c r="C83" s="239" t="s">
        <v>876</v>
      </c>
      <c r="D83" s="156"/>
      <c r="E83" s="239" t="s">
        <v>204</v>
      </c>
      <c r="F83" s="138">
        <v>3.5999999999999996</v>
      </c>
      <c r="G83" s="139" t="s">
        <v>147</v>
      </c>
      <c r="H83" s="106"/>
      <c r="I83" s="168"/>
      <c r="J83" s="107"/>
      <c r="K83" s="138"/>
      <c r="L83" s="138"/>
      <c r="M83" s="145"/>
      <c r="N83" s="145"/>
      <c r="O83" s="138"/>
      <c r="P83" s="138"/>
      <c r="Q83" s="138"/>
      <c r="R83" s="145" t="b">
        <v>0</v>
      </c>
      <c r="S83" s="145" t="b">
        <v>0</v>
      </c>
      <c r="T83" s="145" t="b">
        <v>0</v>
      </c>
      <c r="U83" s="156"/>
      <c r="V83" s="156"/>
    </row>
    <row r="84" outlineLevel="1">
      <c r="A84" s="230" t="s">
        <v>3578</v>
      </c>
      <c r="B84" s="109"/>
      <c r="C84" s="231" t="s">
        <v>48</v>
      </c>
      <c r="D84" s="231" t="s">
        <v>49</v>
      </c>
      <c r="E84" s="232" t="s">
        <v>50</v>
      </c>
      <c r="F84" s="233" t="s">
        <v>51</v>
      </c>
      <c r="G84" s="232" t="s">
        <v>52</v>
      </c>
      <c r="H84" s="382" t="s">
        <v>53</v>
      </c>
      <c r="I84" s="110"/>
      <c r="J84" s="110"/>
      <c r="K84" s="235" t="s">
        <v>137</v>
      </c>
      <c r="L84" s="235" t="s">
        <v>138</v>
      </c>
      <c r="M84" s="235" t="s">
        <v>139</v>
      </c>
      <c r="N84" s="235" t="s">
        <v>140</v>
      </c>
      <c r="O84" s="236" t="s">
        <v>141</v>
      </c>
      <c r="P84" s="235" t="s">
        <v>142</v>
      </c>
      <c r="Q84" s="236" t="s">
        <v>143</v>
      </c>
      <c r="R84" s="235" t="s">
        <v>179</v>
      </c>
      <c r="S84" s="236" t="s">
        <v>180</v>
      </c>
      <c r="T84" s="236" t="s">
        <v>181</v>
      </c>
      <c r="U84" s="236" t="s">
        <v>182</v>
      </c>
      <c r="V84" s="236" t="s">
        <v>183</v>
      </c>
    </row>
    <row r="85" outlineLevel="1">
      <c r="A85" s="237" t="s">
        <v>184</v>
      </c>
      <c r="B85" s="402" t="s">
        <v>1837</v>
      </c>
      <c r="C85" s="239" t="s">
        <v>3579</v>
      </c>
      <c r="D85" s="365" t="s">
        <v>402</v>
      </c>
      <c r="E85" s="409"/>
      <c r="F85" s="409"/>
      <c r="G85" s="409"/>
      <c r="H85" s="903" t="s">
        <v>3580</v>
      </c>
      <c r="I85" s="110"/>
      <c r="J85" s="109"/>
      <c r="K85" s="281"/>
      <c r="L85" s="281"/>
      <c r="M85" s="281"/>
      <c r="N85" s="281"/>
      <c r="O85" s="281"/>
      <c r="P85" s="281"/>
      <c r="Q85" s="281"/>
      <c r="R85" s="281"/>
      <c r="S85" s="281"/>
      <c r="T85" s="281"/>
      <c r="U85" s="166" t="b">
        <v>0</v>
      </c>
      <c r="V85" s="166" t="b">
        <v>0</v>
      </c>
    </row>
    <row r="86" outlineLevel="1">
      <c r="A86" s="156"/>
      <c r="B86" s="402" t="s">
        <v>1242</v>
      </c>
      <c r="C86" s="239" t="s">
        <v>3209</v>
      </c>
      <c r="D86" s="239" t="s">
        <v>185</v>
      </c>
      <c r="E86" s="239" t="s">
        <v>673</v>
      </c>
      <c r="F86" s="239" t="s">
        <v>674</v>
      </c>
      <c r="G86" s="239" t="s">
        <v>675</v>
      </c>
      <c r="H86" s="140" t="s">
        <v>3581</v>
      </c>
      <c r="I86" s="110"/>
      <c r="J86" s="109"/>
      <c r="K86" s="138"/>
      <c r="L86" s="138"/>
      <c r="M86" s="145"/>
      <c r="N86" s="145"/>
      <c r="O86" s="138">
        <v>0.0</v>
      </c>
      <c r="P86" s="138">
        <v>1.0</v>
      </c>
      <c r="Q86" s="138">
        <v>1.0</v>
      </c>
      <c r="R86" s="145" t="b">
        <v>0</v>
      </c>
      <c r="S86" s="145" t="b">
        <v>0</v>
      </c>
      <c r="T86" s="145"/>
      <c r="U86" s="156"/>
      <c r="V86" s="156"/>
    </row>
    <row r="87">
      <c r="A87" s="223"/>
      <c r="B87" s="224"/>
      <c r="C87" s="225"/>
      <c r="D87" s="225"/>
      <c r="E87" s="226"/>
      <c r="F87" s="226"/>
      <c r="G87" s="226"/>
      <c r="H87" s="227"/>
      <c r="I87" s="227"/>
      <c r="J87" s="228"/>
      <c r="K87" s="228"/>
      <c r="L87" s="228"/>
      <c r="M87" s="228"/>
      <c r="N87" s="228"/>
      <c r="O87" s="228"/>
      <c r="P87" s="228"/>
      <c r="Q87" s="118"/>
      <c r="R87" s="118"/>
      <c r="S87" s="118"/>
      <c r="T87" s="118"/>
      <c r="U87" s="118"/>
      <c r="V87" s="118"/>
    </row>
    <row r="88">
      <c r="A88" s="264" t="s">
        <v>211</v>
      </c>
      <c r="B88" s="104"/>
      <c r="C88" s="227"/>
      <c r="D88" s="227"/>
      <c r="E88" s="228"/>
      <c r="F88" s="265"/>
      <c r="G88" s="265"/>
      <c r="H88" s="228"/>
      <c r="I88" s="228"/>
      <c r="J88" s="228"/>
      <c r="K88" s="228"/>
      <c r="L88" s="228"/>
      <c r="M88" s="228"/>
      <c r="N88" s="118"/>
      <c r="O88" s="118"/>
      <c r="P88" s="118"/>
      <c r="Q88" s="228"/>
      <c r="R88" s="228"/>
      <c r="S88" s="228"/>
      <c r="T88" s="228"/>
      <c r="U88" s="228"/>
      <c r="V88" s="228"/>
    </row>
    <row r="89" outlineLevel="1">
      <c r="A89" s="106"/>
      <c r="B89" s="107"/>
      <c r="C89" s="266" t="s">
        <v>48</v>
      </c>
      <c r="D89" s="266" t="s">
        <v>49</v>
      </c>
      <c r="E89" s="266" t="s">
        <v>50</v>
      </c>
      <c r="F89" s="267" t="s">
        <v>51</v>
      </c>
      <c r="G89" s="227"/>
      <c r="H89" s="227"/>
      <c r="I89" s="227"/>
      <c r="J89" s="228"/>
      <c r="K89" s="228"/>
      <c r="L89" s="228"/>
      <c r="M89" s="228"/>
      <c r="N89" s="228"/>
      <c r="O89" s="228"/>
      <c r="P89" s="228"/>
      <c r="Q89" s="228"/>
      <c r="R89" s="228"/>
      <c r="S89" s="228"/>
      <c r="T89" s="228"/>
      <c r="U89" s="228"/>
      <c r="V89" s="228"/>
    </row>
    <row r="90" outlineLevel="1">
      <c r="A90" s="268" t="s">
        <v>212</v>
      </c>
      <c r="B90" s="269" t="s">
        <v>212</v>
      </c>
      <c r="C90" s="239" t="s">
        <v>213</v>
      </c>
      <c r="D90" s="239" t="s">
        <v>150</v>
      </c>
      <c r="E90" s="239" t="s">
        <v>213</v>
      </c>
      <c r="F90" s="138">
        <v>1.2</v>
      </c>
      <c r="G90" s="227"/>
      <c r="H90" s="227"/>
      <c r="I90" s="227"/>
      <c r="J90" s="228"/>
      <c r="K90" s="228"/>
      <c r="L90" s="228"/>
      <c r="M90" s="228"/>
      <c r="N90" s="228"/>
      <c r="O90" s="228"/>
      <c r="P90" s="228"/>
      <c r="Q90" s="228"/>
      <c r="R90" s="228"/>
      <c r="S90" s="228"/>
      <c r="T90" s="228"/>
      <c r="U90" s="228"/>
      <c r="V90" s="228"/>
    </row>
    <row r="91" outlineLevel="1">
      <c r="A91" s="270" t="s">
        <v>215</v>
      </c>
      <c r="B91" s="269" t="s">
        <v>216</v>
      </c>
      <c r="C91" s="239" t="s">
        <v>220</v>
      </c>
      <c r="D91" s="239" t="s">
        <v>282</v>
      </c>
      <c r="E91" s="271"/>
      <c r="F91" s="272"/>
      <c r="G91" s="272"/>
      <c r="H91" s="227"/>
      <c r="I91" s="227"/>
      <c r="J91" s="228"/>
      <c r="K91" s="228"/>
      <c r="L91" s="228"/>
      <c r="M91" s="228"/>
      <c r="N91" s="228"/>
      <c r="O91" s="228"/>
      <c r="P91" s="228"/>
      <c r="Q91" s="228"/>
      <c r="R91" s="228"/>
      <c r="S91" s="228"/>
      <c r="T91" s="228"/>
      <c r="U91" s="228"/>
      <c r="V91" s="228"/>
    </row>
    <row r="92" outlineLevel="1">
      <c r="A92" s="212"/>
      <c r="B92" s="269" t="s">
        <v>219</v>
      </c>
      <c r="C92" s="239" t="s">
        <v>305</v>
      </c>
      <c r="D92" s="239" t="s">
        <v>374</v>
      </c>
      <c r="E92" s="271"/>
      <c r="F92" s="272"/>
      <c r="G92" s="272"/>
      <c r="H92" s="227"/>
      <c r="I92" s="227"/>
      <c r="J92" s="228"/>
      <c r="K92" s="228"/>
      <c r="L92" s="228"/>
      <c r="M92" s="228"/>
      <c r="N92" s="228"/>
      <c r="O92" s="228"/>
      <c r="P92" s="228"/>
      <c r="Q92" s="228"/>
      <c r="R92" s="228"/>
      <c r="S92" s="228"/>
      <c r="T92" s="228"/>
      <c r="U92" s="228"/>
      <c r="V92" s="228"/>
    </row>
    <row r="93" outlineLevel="1">
      <c r="A93" s="106"/>
      <c r="B93" s="269" t="s">
        <v>222</v>
      </c>
      <c r="C93" s="239" t="s">
        <v>295</v>
      </c>
      <c r="D93" s="239" t="s">
        <v>384</v>
      </c>
      <c r="E93" s="227"/>
      <c r="F93" s="272"/>
      <c r="G93" s="272"/>
      <c r="H93" s="227"/>
      <c r="I93" s="227"/>
      <c r="J93" s="228"/>
      <c r="K93" s="228"/>
      <c r="L93" s="228"/>
      <c r="M93" s="228"/>
      <c r="N93" s="228"/>
      <c r="O93" s="228"/>
      <c r="P93" s="228"/>
      <c r="Q93" s="228"/>
      <c r="R93" s="228"/>
      <c r="S93" s="228"/>
      <c r="T93" s="228"/>
      <c r="U93" s="228"/>
      <c r="V93" s="228"/>
    </row>
    <row r="94" outlineLevel="1">
      <c r="A94" s="273" t="s">
        <v>225</v>
      </c>
      <c r="B94" s="109"/>
      <c r="C94" s="266" t="s">
        <v>48</v>
      </c>
      <c r="D94" s="266" t="s">
        <v>49</v>
      </c>
      <c r="E94" s="266" t="s">
        <v>50</v>
      </c>
      <c r="F94" s="267" t="s">
        <v>51</v>
      </c>
      <c r="G94" s="1168" t="s">
        <v>53</v>
      </c>
      <c r="H94" s="110"/>
      <c r="I94" s="110"/>
      <c r="J94" s="109"/>
      <c r="K94" s="275" t="str">
        <f>'テンプレート'!K97</f>
        <v>ベクトル</v>
      </c>
      <c r="L94" s="275" t="str">
        <f>'テンプレート'!L97</f>
        <v>KBG (R.E.)</v>
      </c>
      <c r="M94" s="275" t="str">
        <f>'テンプレート'!M97</f>
        <v>BKB (R.A.)</v>
      </c>
      <c r="N94" s="275" t="str">
        <f>'テンプレート'!N97</f>
        <v>FKB (R.F.)</v>
      </c>
      <c r="O94" s="276" t="str">
        <f>'テンプレート'!O97</f>
        <v>盾削り値</v>
      </c>
      <c r="P94" s="275" t="str">
        <f>'テンプレート'!P97</f>
        <v>ﾋｯﾄｽﾄｯﾌﾟ</v>
      </c>
      <c r="Q94" s="276" t="str">
        <f>'テンプレート'!Q97</f>
        <v>ずらし</v>
      </c>
      <c r="R94" s="277"/>
      <c r="S94" s="277"/>
      <c r="T94" s="277"/>
      <c r="U94" s="277"/>
      <c r="V94" s="277"/>
    </row>
    <row r="95" outlineLevel="1">
      <c r="A95" s="278" t="s">
        <v>226</v>
      </c>
      <c r="B95" s="269" t="s">
        <v>227</v>
      </c>
      <c r="C95" s="113" t="s">
        <v>561</v>
      </c>
      <c r="D95" s="279">
        <v>44.0</v>
      </c>
      <c r="E95" s="239" t="s">
        <v>73</v>
      </c>
      <c r="F95" s="138">
        <v>4.8</v>
      </c>
      <c r="G95" s="1170"/>
      <c r="H95" s="164"/>
      <c r="I95" s="164"/>
      <c r="J95" s="104"/>
      <c r="K95" s="282"/>
      <c r="L95" s="282"/>
      <c r="M95" s="363"/>
      <c r="N95" s="363"/>
      <c r="O95" s="145">
        <v>0.0</v>
      </c>
      <c r="P95" s="145">
        <v>1.0</v>
      </c>
      <c r="Q95" s="145">
        <v>1.0</v>
      </c>
      <c r="R95" s="277"/>
      <c r="S95" s="228"/>
      <c r="T95" s="228"/>
      <c r="U95" s="228"/>
      <c r="V95" s="228"/>
    </row>
    <row r="96" outlineLevel="1">
      <c r="A96" s="156"/>
      <c r="B96" s="269" t="s">
        <v>225</v>
      </c>
      <c r="C96" s="113">
        <v>17.0</v>
      </c>
      <c r="D96" s="156"/>
      <c r="E96" s="239" t="s">
        <v>73</v>
      </c>
      <c r="F96" s="138">
        <v>4.8</v>
      </c>
      <c r="G96" s="106"/>
      <c r="H96" s="168"/>
      <c r="I96" s="168"/>
      <c r="J96" s="107"/>
      <c r="K96" s="282"/>
      <c r="L96" s="282"/>
      <c r="M96" s="363"/>
      <c r="N96" s="363"/>
      <c r="O96" s="261"/>
      <c r="P96" s="261"/>
      <c r="Q96" s="261"/>
      <c r="R96" s="277"/>
      <c r="S96" s="228"/>
      <c r="T96" s="228"/>
      <c r="U96" s="228"/>
      <c r="V96" s="228"/>
    </row>
    <row r="97" outlineLevel="1">
      <c r="A97" s="278" t="s">
        <v>229</v>
      </c>
      <c r="B97" s="269" t="s">
        <v>227</v>
      </c>
      <c r="C97" s="113" t="s">
        <v>203</v>
      </c>
      <c r="D97" s="279">
        <v>47.0</v>
      </c>
      <c r="E97" s="239" t="s">
        <v>73</v>
      </c>
      <c r="F97" s="138">
        <v>4.8</v>
      </c>
      <c r="G97" s="1170"/>
      <c r="H97" s="164"/>
      <c r="I97" s="164"/>
      <c r="J97" s="104"/>
      <c r="K97" s="282"/>
      <c r="L97" s="282"/>
      <c r="M97" s="363"/>
      <c r="N97" s="363"/>
      <c r="O97" s="145">
        <v>0.0</v>
      </c>
      <c r="P97" s="145">
        <v>1.0</v>
      </c>
      <c r="Q97" s="145">
        <v>1.0</v>
      </c>
      <c r="R97" s="277"/>
      <c r="S97" s="228"/>
      <c r="T97" s="228"/>
      <c r="U97" s="228"/>
      <c r="V97" s="228"/>
    </row>
    <row r="98" outlineLevel="1">
      <c r="A98" s="156"/>
      <c r="B98" s="269" t="s">
        <v>225</v>
      </c>
      <c r="C98" s="113">
        <v>19.0</v>
      </c>
      <c r="D98" s="156"/>
      <c r="E98" s="239" t="s">
        <v>150</v>
      </c>
      <c r="F98" s="138">
        <v>6.0</v>
      </c>
      <c r="G98" s="106"/>
      <c r="H98" s="168"/>
      <c r="I98" s="168"/>
      <c r="J98" s="107"/>
      <c r="K98" s="282"/>
      <c r="L98" s="282"/>
      <c r="M98" s="363"/>
      <c r="N98" s="363"/>
      <c r="O98" s="261"/>
      <c r="P98" s="261"/>
      <c r="Q98" s="261"/>
      <c r="R98" s="277"/>
      <c r="S98" s="228"/>
      <c r="T98" s="228"/>
      <c r="U98" s="228"/>
      <c r="V98" s="228"/>
    </row>
    <row r="99" outlineLevel="1">
      <c r="A99" s="278" t="s">
        <v>233</v>
      </c>
      <c r="B99" s="269" t="s">
        <v>227</v>
      </c>
      <c r="C99" s="113" t="s">
        <v>223</v>
      </c>
      <c r="D99" s="279">
        <v>40.0</v>
      </c>
      <c r="E99" s="239" t="s">
        <v>73</v>
      </c>
      <c r="F99" s="138">
        <v>4.8</v>
      </c>
      <c r="G99" s="1170"/>
      <c r="H99" s="164"/>
      <c r="I99" s="164"/>
      <c r="J99" s="104"/>
      <c r="K99" s="282"/>
      <c r="L99" s="282"/>
      <c r="M99" s="363"/>
      <c r="N99" s="363"/>
      <c r="O99" s="145">
        <v>0.0</v>
      </c>
      <c r="P99" s="145">
        <v>1.0</v>
      </c>
      <c r="Q99" s="145">
        <v>1.0</v>
      </c>
      <c r="R99" s="277"/>
      <c r="S99" s="228"/>
      <c r="T99" s="228"/>
      <c r="U99" s="228"/>
      <c r="V99" s="228"/>
    </row>
    <row r="100" outlineLevel="1">
      <c r="A100" s="156"/>
      <c r="B100" s="269" t="s">
        <v>225</v>
      </c>
      <c r="C100" s="113">
        <v>12.0</v>
      </c>
      <c r="D100" s="156"/>
      <c r="E100" s="239" t="s">
        <v>204</v>
      </c>
      <c r="F100" s="138">
        <v>3.5999999999999996</v>
      </c>
      <c r="G100" s="106"/>
      <c r="H100" s="168"/>
      <c r="I100" s="168"/>
      <c r="J100" s="107"/>
      <c r="K100" s="282"/>
      <c r="L100" s="282"/>
      <c r="M100" s="363"/>
      <c r="N100" s="363"/>
      <c r="O100" s="261"/>
      <c r="P100" s="261"/>
      <c r="Q100" s="261"/>
      <c r="R100" s="277"/>
      <c r="S100" s="117"/>
      <c r="T100" s="117"/>
      <c r="U100" s="117"/>
      <c r="V100" s="117"/>
    </row>
    <row r="101" outlineLevel="1">
      <c r="A101" s="278" t="s">
        <v>234</v>
      </c>
      <c r="B101" s="269" t="s">
        <v>227</v>
      </c>
      <c r="C101" s="113" t="s">
        <v>295</v>
      </c>
      <c r="D101" s="279">
        <v>44.0</v>
      </c>
      <c r="E101" s="239" t="s">
        <v>73</v>
      </c>
      <c r="F101" s="138">
        <v>4.8</v>
      </c>
      <c r="G101" s="1170"/>
      <c r="H101" s="164"/>
      <c r="I101" s="164"/>
      <c r="J101" s="104"/>
      <c r="K101" s="282"/>
      <c r="L101" s="282"/>
      <c r="M101" s="363"/>
      <c r="N101" s="363"/>
      <c r="O101" s="145">
        <v>0.0</v>
      </c>
      <c r="P101" s="145">
        <v>1.0</v>
      </c>
      <c r="Q101" s="145">
        <v>1.0</v>
      </c>
      <c r="R101" s="277"/>
      <c r="S101" s="117"/>
      <c r="T101" s="117"/>
      <c r="U101" s="117"/>
      <c r="V101" s="117"/>
    </row>
    <row r="102" outlineLevel="1">
      <c r="A102" s="156"/>
      <c r="B102" s="269" t="s">
        <v>225</v>
      </c>
      <c r="C102" s="113">
        <v>16.0</v>
      </c>
      <c r="D102" s="156"/>
      <c r="E102" s="239" t="s">
        <v>204</v>
      </c>
      <c r="F102" s="138">
        <v>3.5999999999999996</v>
      </c>
      <c r="G102" s="106"/>
      <c r="H102" s="168"/>
      <c r="I102" s="168"/>
      <c r="J102" s="107"/>
      <c r="K102" s="282"/>
      <c r="L102" s="282"/>
      <c r="M102" s="363"/>
      <c r="N102" s="363"/>
      <c r="O102" s="261"/>
      <c r="P102" s="261"/>
      <c r="Q102" s="261"/>
      <c r="R102" s="277"/>
      <c r="S102" s="117"/>
      <c r="T102" s="117"/>
      <c r="U102" s="117"/>
      <c r="V102" s="117"/>
    </row>
    <row r="103">
      <c r="A103" s="223"/>
      <c r="B103" s="224"/>
      <c r="C103" s="225"/>
      <c r="D103" s="225"/>
      <c r="E103" s="227"/>
      <c r="F103" s="177"/>
      <c r="G103" s="177"/>
      <c r="H103" s="227"/>
      <c r="I103" s="227"/>
      <c r="J103" s="228"/>
      <c r="K103" s="228"/>
      <c r="L103" s="111"/>
      <c r="M103" s="111"/>
      <c r="N103" s="111"/>
      <c r="O103" s="117"/>
      <c r="P103" s="117"/>
      <c r="Q103" s="111"/>
      <c r="R103" s="111"/>
      <c r="S103" s="111"/>
      <c r="T103" s="111"/>
      <c r="U103" s="111"/>
      <c r="V103" s="111"/>
    </row>
    <row r="104">
      <c r="A104" s="284" t="s">
        <v>241</v>
      </c>
      <c r="B104" s="104"/>
      <c r="C104" s="265"/>
      <c r="D104" s="111"/>
      <c r="E104" s="111"/>
      <c r="F104" s="111"/>
      <c r="G104" s="111"/>
      <c r="H104" s="111"/>
      <c r="I104" s="111"/>
      <c r="J104" s="118"/>
      <c r="K104" s="111"/>
      <c r="L104" s="111"/>
      <c r="M104" s="111"/>
      <c r="N104" s="111"/>
      <c r="O104" s="111"/>
      <c r="P104" s="111"/>
      <c r="Q104" s="118"/>
      <c r="R104" s="111"/>
      <c r="S104" s="111"/>
      <c r="T104" s="111"/>
      <c r="U104" s="111"/>
      <c r="V104" s="111"/>
    </row>
    <row r="105" outlineLevel="1">
      <c r="A105" s="106"/>
      <c r="B105" s="107"/>
      <c r="C105" s="285" t="s">
        <v>235</v>
      </c>
      <c r="D105" s="285" t="s">
        <v>236</v>
      </c>
      <c r="E105" s="285" t="s">
        <v>49</v>
      </c>
      <c r="F105" s="285" t="s">
        <v>237</v>
      </c>
      <c r="G105" s="286"/>
      <c r="H105" s="227"/>
      <c r="I105" s="227"/>
      <c r="J105" s="228"/>
      <c r="K105" s="228"/>
      <c r="L105" s="111"/>
      <c r="M105" s="111"/>
      <c r="N105" s="111"/>
      <c r="O105" s="111"/>
      <c r="P105" s="111"/>
      <c r="Q105" s="111"/>
      <c r="R105" s="111"/>
      <c r="S105" s="111"/>
      <c r="T105" s="111"/>
      <c r="U105" s="111"/>
      <c r="V105" s="111"/>
    </row>
    <row r="106" outlineLevel="1">
      <c r="A106" s="287" t="s">
        <v>395</v>
      </c>
      <c r="B106" s="288" t="s">
        <v>216</v>
      </c>
      <c r="C106" s="113" t="str">
        <f t="array" ref="C106">INDEX('回避'!$C$3:$U$84, MATCH($A$1,'回避'!$A$3:$A$91,0), MATCH(C105,'回避'!$C$2:$F$2,0))</f>
        <v>3-14</v>
      </c>
      <c r="D106" s="113" t="str">
        <f t="array" ref="D106">INDEX('回避'!$C$3:$U$84, MATCH($A$1,'回避'!$A$3:$A$91,0), MATCH(D105,'回避'!$C$2:$F$2,0))</f>
        <v>6-15</v>
      </c>
      <c r="E106" s="113" t="str">
        <f t="array" ref="E106">INDEX('回避'!$C$3:$U$84, MATCH($A$1,'回避'!$A$3:$A$91,0), MATCH(E105,'回避'!$C$2:$F$2,0))</f>
        <v>23 (18)</v>
      </c>
      <c r="F106" s="113" t="str">
        <f t="array" ref="F106">INDEX('回避'!$C$3:$U$84, MATCH($A$1,'回避'!$A$3:$A$91,0), MATCH(F105,'回避'!$C$2:$F$2,0))</f>
        <v>31 (24)</v>
      </c>
      <c r="G106" s="272"/>
      <c r="H106" s="227"/>
      <c r="I106" s="227"/>
      <c r="J106" s="228"/>
      <c r="K106" s="228"/>
      <c r="L106" s="228"/>
      <c r="M106" s="111"/>
      <c r="N106" s="111"/>
      <c r="O106" s="111"/>
      <c r="P106" s="111"/>
      <c r="Q106" s="111"/>
      <c r="R106" s="111"/>
      <c r="S106" s="111"/>
      <c r="T106" s="111"/>
      <c r="U106" s="111"/>
      <c r="V106" s="111"/>
    </row>
    <row r="107" outlineLevel="1">
      <c r="A107" s="212"/>
      <c r="B107" s="288" t="s">
        <v>245</v>
      </c>
      <c r="C107" s="113" t="str">
        <f t="array" ref="C107">INDEX('回避'!$G$3:$U$84, MATCH($A$1,'回避'!$A$3:$A$91,0), MATCH(C105,'回避'!$G$2:$J$2,0))</f>
        <v>4-12</v>
      </c>
      <c r="D107" s="113" t="str">
        <f t="array" ref="D107">INDEX('回避'!$G$3:$U$84, MATCH($A$1,'回避'!$A$3:$A$91,0), MATCH(D105,'回避'!$G$2:$J$2,0))</f>
        <v>8-12</v>
      </c>
      <c r="E107" s="113" t="str">
        <f t="array" ref="E107">INDEX('回避'!$G$3:$U$84, MATCH($A$1,'回避'!$A$3:$A$91,0), MATCH(E105,'回避'!$G$2:$J$2,0))</f>
        <v>26</v>
      </c>
      <c r="F107" s="113">
        <f t="array" ref="F107">INDEX('回避'!$G$3:$U$84, MATCH($A$1,'回避'!$A$3:$A$91,0), MATCH(F105,'回避'!$G$2:$J$2,0))</f>
        <v>35</v>
      </c>
      <c r="G107" s="289"/>
      <c r="H107" s="227"/>
      <c r="I107" s="227"/>
      <c r="J107" s="228"/>
      <c r="K107" s="228"/>
      <c r="L107" s="228"/>
      <c r="M107" s="228"/>
      <c r="N107" s="228"/>
      <c r="O107" s="111"/>
      <c r="P107" s="111"/>
      <c r="Q107" s="111"/>
      <c r="R107" s="111"/>
      <c r="S107" s="111"/>
      <c r="T107" s="111"/>
      <c r="U107" s="111"/>
      <c r="V107" s="111"/>
    </row>
    <row r="108" outlineLevel="1">
      <c r="A108" s="106"/>
      <c r="B108" s="288" t="s">
        <v>246</v>
      </c>
      <c r="C108" s="113" t="str">
        <f t="array" ref="C108">INDEX('回避'!$K$3:$U$84, MATCH($A$1,'回避'!$A$3:$A$91,0), MATCH(C105,'回避'!$K$2:$N$2,0))</f>
        <v>4-14</v>
      </c>
      <c r="D108" s="113" t="str">
        <f t="array" ref="D108">INDEX('回避'!$K$3:$U$84, MATCH($A$1,'回避'!$A$3:$A$91,0), MATCH(D105,'回避'!$K$2:$N$2,0))</f>
        <v>8-13</v>
      </c>
      <c r="E108" s="113" t="str">
        <f t="array" ref="E108">INDEX('回避'!$K$3:$U$84, MATCH($A$1,'回避'!$A$3:$A$91,0), MATCH(E105,'回避'!$K$2:$N$2,0))</f>
        <v>32</v>
      </c>
      <c r="F108" s="113" t="str">
        <f t="array" ref="F108">INDEX('回避'!$K$3:$U$84, MATCH($A$1,'回避'!$A$3:$A$91,0), MATCH(F105,'回避'!$K$2:$N$2,0))</f>
        <v>48</v>
      </c>
      <c r="G108" s="289"/>
      <c r="H108" s="290"/>
      <c r="I108" s="290"/>
      <c r="J108" s="117"/>
      <c r="K108" s="117"/>
      <c r="L108" s="117"/>
      <c r="M108" s="117"/>
      <c r="N108" s="117"/>
      <c r="O108" s="111"/>
      <c r="P108" s="111"/>
      <c r="Q108" s="111"/>
      <c r="R108" s="111"/>
      <c r="S108" s="111"/>
      <c r="T108" s="111"/>
      <c r="U108" s="111"/>
      <c r="V108" s="111"/>
    </row>
    <row r="109" outlineLevel="1">
      <c r="A109" s="287" t="s">
        <v>396</v>
      </c>
      <c r="B109" s="288" t="s">
        <v>397</v>
      </c>
      <c r="C109" s="113" t="str">
        <f t="array" ref="C109">INDEX('回避'!$O$3:$U$84, MATCH($A$1,'回避'!$A$3:$A$91,0), MATCH(C105,'回避'!$O$2:$R$2,0))</f>
        <v>2-26</v>
      </c>
      <c r="D109" s="113" t="str">
        <f t="array" ref="D109">INDEX('回避'!$O$3:$U$84, MATCH($A$1,'回避'!$A$3:$A$91,0), MATCH(D105,'回避'!$O$2:$R$2,0))</f>
        <v>5-24</v>
      </c>
      <c r="E109" s="113" t="str">
        <f t="array" ref="E109">INDEX('回避'!$O$3:$U$84, MATCH($A$1,'回避'!$A$3:$A$91,0), MATCH(E105,'回避'!$O$2:$R$2,0))</f>
        <v>49</v>
      </c>
      <c r="F109" s="177"/>
      <c r="G109" s="177"/>
      <c r="H109" s="118"/>
      <c r="I109" s="118"/>
      <c r="J109" s="111"/>
      <c r="K109" s="111"/>
      <c r="L109" s="111"/>
      <c r="M109" s="111"/>
      <c r="N109" s="111"/>
      <c r="O109" s="228"/>
      <c r="P109" s="228"/>
      <c r="Q109" s="228"/>
      <c r="R109" s="228"/>
      <c r="S109" s="228"/>
      <c r="T109" s="228"/>
      <c r="U109" s="228"/>
      <c r="V109" s="228"/>
    </row>
    <row r="110" outlineLevel="1">
      <c r="A110" s="106"/>
      <c r="B110" s="288" t="s">
        <v>398</v>
      </c>
      <c r="C110" s="113" t="str">
        <f t="array" ref="C110">INDEX('回避'!$S$3:$U$84, MATCH($A$1,'回避'!$A$3:$A$91,0), MATCH(C105,'回避'!$S$2:$U$2,0))</f>
        <v>2-18</v>
      </c>
      <c r="D110" s="113" t="str">
        <f t="array" ref="D110">INDEX('回避'!$S$3:$U$84, MATCH($A$1,'回避'!$A$3:$A$91,0), MATCH(D105,'回避'!$S$2:$U$2,0))</f>
        <v>5-18</v>
      </c>
      <c r="E110" s="113" t="str">
        <f t="array" ref="E110">INDEX('回避'!$S$3:$U$84, MATCH($A$1,'回避'!$A$3:$A$91,0), MATCH(E105,'回避'!$S$2:$U$2,0))</f>
        <v>真横：72
真上：89
真下：62</v>
      </c>
      <c r="F110" s="289"/>
      <c r="G110" s="289"/>
      <c r="H110" s="118"/>
      <c r="I110" s="118"/>
      <c r="J110" s="117"/>
      <c r="K110" s="117"/>
      <c r="L110" s="117"/>
      <c r="M110" s="117"/>
      <c r="N110" s="111"/>
      <c r="O110" s="118"/>
      <c r="P110" s="118"/>
      <c r="Q110" s="118"/>
      <c r="R110" s="118"/>
      <c r="S110" s="118"/>
      <c r="T110" s="118"/>
      <c r="U110" s="118"/>
      <c r="V110" s="118"/>
    </row>
    <row r="111">
      <c r="A111" s="291"/>
      <c r="B111" s="292"/>
      <c r="C111" s="286"/>
      <c r="D111" s="286"/>
      <c r="E111" s="293"/>
      <c r="F111" s="286"/>
      <c r="G111" s="286"/>
      <c r="H111" s="286"/>
      <c r="I111" s="286"/>
      <c r="J111" s="111"/>
      <c r="K111" s="227"/>
      <c r="L111" s="227"/>
      <c r="M111" s="227"/>
      <c r="N111" s="227"/>
      <c r="O111" s="118"/>
      <c r="P111" s="118"/>
      <c r="Q111" s="118"/>
      <c r="R111" s="118"/>
      <c r="S111" s="118"/>
      <c r="T111" s="118"/>
      <c r="U111" s="118"/>
      <c r="V111" s="118"/>
    </row>
    <row r="112">
      <c r="A112" s="294" t="s">
        <v>238</v>
      </c>
      <c r="B112" s="104"/>
      <c r="C112" s="228"/>
      <c r="D112" s="117"/>
      <c r="E112" s="228"/>
      <c r="F112" s="114"/>
      <c r="G112" s="114"/>
      <c r="H112" s="117"/>
      <c r="I112" s="117"/>
      <c r="J112" s="118"/>
      <c r="K112" s="118"/>
      <c r="L112" s="118"/>
      <c r="M112" s="118"/>
      <c r="N112" s="118"/>
      <c r="O112" s="118"/>
      <c r="P112" s="118"/>
      <c r="Q112" s="118"/>
      <c r="R112" s="118"/>
      <c r="S112" s="118"/>
      <c r="T112" s="118"/>
      <c r="U112" s="118"/>
      <c r="V112" s="118"/>
    </row>
    <row r="113" outlineLevel="1">
      <c r="A113" s="106"/>
      <c r="B113" s="107"/>
      <c r="C113" s="295" t="s">
        <v>235</v>
      </c>
      <c r="D113" s="295" t="s">
        <v>49</v>
      </c>
      <c r="E113" s="295" t="s">
        <v>48</v>
      </c>
      <c r="F113" s="295" t="s">
        <v>50</v>
      </c>
      <c r="G113" s="296" t="s">
        <v>51</v>
      </c>
      <c r="H113" s="228"/>
      <c r="I113" s="228"/>
      <c r="J113" s="117"/>
      <c r="K113" s="297" t="str">
        <f>'テンプレート'!K116</f>
        <v>アイテム取得</v>
      </c>
      <c r="L113" s="109"/>
      <c r="M113" s="298" t="str">
        <f>'テンプレート'!M116</f>
        <v>取得フレーム</v>
      </c>
      <c r="N113" s="298" t="str">
        <f>'テンプレート'!N116</f>
        <v>全体フレーム</v>
      </c>
      <c r="O113" s="118"/>
      <c r="P113" s="118"/>
      <c r="Q113" s="118"/>
      <c r="R113" s="118"/>
      <c r="S113" s="118"/>
      <c r="T113" s="118"/>
      <c r="U113" s="118"/>
      <c r="V113" s="118"/>
    </row>
    <row r="114" outlineLevel="1">
      <c r="A114" s="299" t="s">
        <v>239</v>
      </c>
      <c r="B114" s="300" t="s">
        <v>240</v>
      </c>
      <c r="C114" s="301"/>
      <c r="D114" s="113">
        <f t="array" ref="D114">INDEX('崖行動・受け身'!$C$3:$C119, MATCH($A$1,'崖行動・受け身'!$A$3:$A$115,0), MATCH(D113,'崖行動・受け身'!$C$2,0))</f>
        <v>19</v>
      </c>
      <c r="E114" s="301"/>
      <c r="F114" s="301"/>
      <c r="G114" s="301"/>
      <c r="H114" s="228"/>
      <c r="I114" s="228"/>
      <c r="J114" s="111"/>
      <c r="K114" s="302" t="str">
        <f>'テンプレート'!K117</f>
        <v>小アイテム</v>
      </c>
      <c r="L114" s="303" t="str">
        <f>'テンプレート'!L117</f>
        <v>その場</v>
      </c>
      <c r="M114" s="113" t="s">
        <v>76</v>
      </c>
      <c r="N114" s="113">
        <v>7.0</v>
      </c>
      <c r="O114" s="118"/>
      <c r="P114" s="118"/>
      <c r="Q114" s="118"/>
      <c r="R114" s="118"/>
      <c r="S114" s="118"/>
      <c r="T114" s="118"/>
      <c r="U114" s="118"/>
      <c r="V114" s="118"/>
    </row>
    <row r="115" outlineLevel="1">
      <c r="A115" s="146"/>
      <c r="B115" s="300" t="s">
        <v>216</v>
      </c>
      <c r="C115" s="113" t="str">
        <f t="array" ref="C115">INDEX('崖行動・受け身'!$D$3:$E119, MATCH($A$1,'崖行動・受け身'!$A$3:$A$115,0), MATCH(C113,'崖行動・受け身'!$D$2:$E$2,0))</f>
        <v>1-33</v>
      </c>
      <c r="D115" s="113">
        <f t="array" ref="D115">INDEX('崖行動・受け身'!$D$3:$E119, MATCH($A$1,'崖行動・受け身'!$A$3:$A$115,0), MATCH(D113,'崖行動・受け身'!$D$2:$E$2,0))</f>
        <v>34</v>
      </c>
      <c r="E115" s="301"/>
      <c r="F115" s="301"/>
      <c r="G115" s="301"/>
      <c r="H115" s="228"/>
      <c r="I115" s="228"/>
      <c r="J115" s="117"/>
      <c r="K115" s="156"/>
      <c r="L115" s="303" t="str">
        <f>'テンプレート'!L118</f>
        <v>歩き</v>
      </c>
      <c r="M115" s="113" t="s">
        <v>76</v>
      </c>
      <c r="N115" s="113">
        <v>19.0</v>
      </c>
      <c r="O115" s="118"/>
      <c r="P115" s="118"/>
      <c r="Q115" s="118"/>
      <c r="R115" s="118"/>
      <c r="S115" s="118"/>
      <c r="T115" s="118"/>
      <c r="U115" s="118"/>
      <c r="V115" s="118"/>
    </row>
    <row r="116" outlineLevel="1">
      <c r="A116" s="146"/>
      <c r="B116" s="300" t="s">
        <v>241</v>
      </c>
      <c r="C116" s="113" t="str">
        <f t="array" ref="C116">INDEX('崖行動・受け身'!$F$3:$G$115, MATCH($A$1,'崖行動・受け身'!$A$3:$A$115,0), MATCH(C113,'崖行動・受け身'!$F$2:$G$2,0))</f>
        <v>1-25</v>
      </c>
      <c r="D116" s="113">
        <f t="array" ref="D116">INDEX('崖行動・受け身'!$F$3:$G$115, MATCH($A$1,'崖行動・受け身'!$A$3:$A$115,0), MATCH(D113,'崖行動・受け身'!$F$2:$G$2,0))</f>
        <v>45</v>
      </c>
      <c r="E116" s="301"/>
      <c r="F116" s="301"/>
      <c r="G116" s="301"/>
      <c r="H116" s="228"/>
      <c r="I116" s="228"/>
      <c r="J116" s="111"/>
      <c r="K116" s="304" t="str">
        <f>'テンプレート'!K119</f>
        <v>アイテム投擲</v>
      </c>
      <c r="L116" s="109"/>
      <c r="M116" s="298" t="str">
        <f>'テンプレート'!M119</f>
        <v>投擲フレーム</v>
      </c>
      <c r="N116" s="298" t="str">
        <f>'テンプレート'!N119</f>
        <v>全体フレーム</v>
      </c>
      <c r="O116" s="118"/>
      <c r="P116" s="118"/>
      <c r="Q116" s="118"/>
      <c r="R116" s="118"/>
      <c r="S116" s="118"/>
      <c r="T116" s="118"/>
      <c r="U116" s="118"/>
      <c r="V116" s="118"/>
    </row>
    <row r="117" outlineLevel="1">
      <c r="A117" s="146"/>
      <c r="B117" s="300" t="s">
        <v>242</v>
      </c>
      <c r="C117" s="113" t="str">
        <f t="array" ref="C117">INDEX('崖行動・受け身'!$H$3:$I$115, MATCH($A$1,'崖行動・受け身'!$A$3:$A$115,0), MATCH(C113,'崖行動・受け身'!$H$2:$I$2,0))</f>
        <v>1-12</v>
      </c>
      <c r="D117" s="113">
        <f t="array" ref="D117">INDEX('崖行動・受け身'!$H$3:$I$115, MATCH($A$1,'崖行動・受け身'!$A$3:$A$115,0), MATCH(D113,'崖行動・受け身'!$H$2:$I$2,0))</f>
        <v>14</v>
      </c>
      <c r="E117" s="301"/>
      <c r="F117" s="301"/>
      <c r="G117" s="301"/>
      <c r="H117" s="228"/>
      <c r="I117" s="228"/>
      <c r="J117" s="117"/>
      <c r="K117" s="305" t="str">
        <f>'テンプレート'!K120</f>
        <v>地上投擲</v>
      </c>
      <c r="L117" s="303" t="str">
        <f>'テンプレート'!L120</f>
        <v>前投げ</v>
      </c>
      <c r="M117" s="113" t="s">
        <v>128</v>
      </c>
      <c r="N117" s="113">
        <v>24.0</v>
      </c>
      <c r="O117" s="111"/>
      <c r="P117" s="111"/>
      <c r="Q117" s="111"/>
      <c r="R117" s="111"/>
      <c r="S117" s="111"/>
      <c r="T117" s="111"/>
      <c r="U117" s="111"/>
      <c r="V117" s="111"/>
    </row>
    <row r="118" outlineLevel="1">
      <c r="A118" s="156"/>
      <c r="B118" s="300" t="s">
        <v>243</v>
      </c>
      <c r="C118" s="113" t="str">
        <f t="array" ref="C118">INDEX('崖行動・受け身'!$J$3:$M$115, MATCH($A$1,'崖行動・受け身'!$A$3:$A$115,0), MATCH(C113,'崖行動・受け身'!$J$2:$M$2,0))</f>
        <v>1-25</v>
      </c>
      <c r="D118" s="113">
        <f t="array" ref="D118">INDEX('崖行動・受け身'!$J$3:$M$115, MATCH($A$1,'崖行動・受け身'!$A$3:$A$115,0), MATCH(D113,'崖行動・受け身'!$J$2:$M$2,0))</f>
        <v>55</v>
      </c>
      <c r="E118" s="113" t="str">
        <f t="array" ref="E118">INDEX('崖行動・受け身'!$J$3:$M$115, MATCH($A$1,'崖行動・受け身'!$A$3:$A$115,0), MATCH(E113,'崖行動・受け身'!$J$2:$M$2,0))</f>
        <v>23-25</v>
      </c>
      <c r="F118" s="113">
        <f t="array" ref="F118">INDEX('崖行動・受け身'!$J$3:$M$115, MATCH($A$1,'崖行動・受け身'!$A$3:$A$115,0), MATCH(F113,'崖行動・受け身'!$J$2:$M$2,0))</f>
        <v>9</v>
      </c>
      <c r="G118" s="113">
        <f>F118*1.2</f>
        <v>10.8</v>
      </c>
      <c r="H118" s="228"/>
      <c r="I118" s="228"/>
      <c r="J118" s="111"/>
      <c r="K118" s="146"/>
      <c r="L118" s="303" t="str">
        <f>'テンプレート'!L121</f>
        <v>後投げ</v>
      </c>
      <c r="M118" s="113" t="s">
        <v>232</v>
      </c>
      <c r="N118" s="113">
        <v>24.0</v>
      </c>
      <c r="O118" s="111"/>
      <c r="P118" s="111"/>
      <c r="Q118" s="111"/>
      <c r="R118" s="111"/>
      <c r="S118" s="111"/>
      <c r="T118" s="111"/>
      <c r="U118" s="111"/>
      <c r="V118" s="111"/>
    </row>
    <row r="119" outlineLevel="1">
      <c r="A119" s="299" t="s">
        <v>244</v>
      </c>
      <c r="B119" s="300" t="s">
        <v>216</v>
      </c>
      <c r="C119" s="113" t="str">
        <f t="array" ref="C119">INDEX('崖行動・受け身'!$N$3:$O$115, MATCH($A$1,'崖行動・受け身'!$A$3:$A$115,0), MATCH(C113,'崖行動・受け身'!$N$2:$O$2,0))</f>
        <v>1-20</v>
      </c>
      <c r="D119" s="113">
        <f t="array" ref="D119">INDEX('崖行動・受け身'!$N$3:$O$115, MATCH($A$1,'崖行動・受け身'!$A$3:$A$115,0), MATCH(D113,'崖行動・受け身'!$N$2:$O$2,0))</f>
        <v>26</v>
      </c>
      <c r="E119" s="301"/>
      <c r="F119" s="301"/>
      <c r="G119" s="301"/>
      <c r="H119" s="228"/>
      <c r="I119" s="228"/>
      <c r="J119" s="117"/>
      <c r="K119" s="146"/>
      <c r="L119" s="303" t="str">
        <f>'テンプレート'!L122</f>
        <v>上投げ</v>
      </c>
      <c r="M119" s="113" t="s">
        <v>128</v>
      </c>
      <c r="N119" s="113">
        <v>23.0</v>
      </c>
      <c r="O119" s="228"/>
      <c r="P119" s="228"/>
      <c r="Q119" s="228"/>
      <c r="R119" s="228"/>
      <c r="S119" s="228"/>
      <c r="T119" s="228"/>
      <c r="U119" s="228"/>
      <c r="V119" s="228"/>
    </row>
    <row r="120" outlineLevel="1">
      <c r="A120" s="146"/>
      <c r="B120" s="300" t="s">
        <v>245</v>
      </c>
      <c r="C120" s="113" t="str">
        <f t="array" ref="C120">INDEX('崖行動・受け身'!$P$3:$Q$115, MATCH($A$1,'崖行動・受け身'!$A$3:$A$115,0), MATCH(C113,'崖行動・受け身'!$P$2:$Q$2,0))</f>
        <v>1-20</v>
      </c>
      <c r="D120" s="113">
        <f t="array" ref="D120">INDEX('崖行動・受け身'!$P$3:$Q$115, MATCH($A$1,'崖行動・受け身'!$A$3:$A$115,0), MATCH(D113,'崖行動・受け身'!$P$2:$Q$2,0))</f>
        <v>40</v>
      </c>
      <c r="E120" s="301"/>
      <c r="F120" s="301"/>
      <c r="G120" s="301"/>
      <c r="H120" s="228"/>
      <c r="I120" s="228"/>
      <c r="J120" s="111"/>
      <c r="K120" s="146"/>
      <c r="L120" s="303" t="str">
        <f>'テンプレート'!L123</f>
        <v>下投げ</v>
      </c>
      <c r="M120" s="113" t="s">
        <v>128</v>
      </c>
      <c r="N120" s="113">
        <v>19.0</v>
      </c>
      <c r="O120" s="118"/>
      <c r="P120" s="118"/>
      <c r="Q120" s="118"/>
      <c r="R120" s="118"/>
      <c r="S120" s="118"/>
      <c r="T120" s="118"/>
      <c r="U120" s="118"/>
      <c r="V120" s="118"/>
    </row>
    <row r="121" outlineLevel="1">
      <c r="A121" s="156"/>
      <c r="B121" s="300" t="s">
        <v>246</v>
      </c>
      <c r="C121" s="113" t="str">
        <f t="array" ref="C121">INDEX('崖行動・受け身'!$R$3:$S$115, MATCH($A$1,'崖行動・受け身'!$A$3:$A$115,0), MATCH(C113,'崖行動・受け身'!$R$2:$S$2,0))</f>
        <v>1-20</v>
      </c>
      <c r="D121" s="365">
        <f t="array" ref="D121">INDEX('崖行動・受け身'!$R$3:$S$115, MATCH($A$1,'崖行動・受け身'!$A$3:$A$115,0), MATCH(D113,'崖行動・受け身'!$R$2:$S$2,0))</f>
        <v>40</v>
      </c>
      <c r="E121" s="301"/>
      <c r="F121" s="301"/>
      <c r="G121" s="301"/>
      <c r="H121" s="228"/>
      <c r="I121" s="228"/>
      <c r="J121" s="117"/>
      <c r="K121" s="146"/>
      <c r="L121" s="306" t="str">
        <f>'テンプレート'!L124</f>
        <v>ダッシュ</v>
      </c>
      <c r="M121" s="113" t="s">
        <v>150</v>
      </c>
      <c r="N121" s="113">
        <v>37.0</v>
      </c>
      <c r="O121" s="118"/>
      <c r="P121" s="118"/>
      <c r="Q121" s="118"/>
      <c r="R121" s="118"/>
      <c r="S121" s="118"/>
      <c r="T121" s="118"/>
      <c r="U121" s="118"/>
      <c r="V121" s="118"/>
    </row>
    <row r="122" outlineLevel="1">
      <c r="A122" s="299" t="s">
        <v>247</v>
      </c>
      <c r="B122" s="300" t="s">
        <v>248</v>
      </c>
      <c r="C122" s="301"/>
      <c r="D122" s="113" t="str">
        <f t="array" ref="D122">INDEX('起きあがり'!$C$3:$C119, MATCH($A$1,'起きあがり'!$A$3:$A$115,0), MATCH(D113,'起きあがり'!$C$2:$AD$2,0))</f>
        <v>25</v>
      </c>
      <c r="E122" s="301"/>
      <c r="F122" s="301"/>
      <c r="G122" s="301"/>
      <c r="H122" s="228"/>
      <c r="I122" s="228"/>
      <c r="J122" s="111"/>
      <c r="K122" s="156"/>
      <c r="L122" s="306" t="str">
        <f>'テンプレート'!L125</f>
        <v>その場捨て</v>
      </c>
      <c r="M122" s="113" t="s">
        <v>86</v>
      </c>
      <c r="N122" s="113">
        <v>23.0</v>
      </c>
      <c r="O122" s="118"/>
      <c r="P122" s="118"/>
      <c r="Q122" s="118"/>
      <c r="R122" s="118"/>
      <c r="S122" s="118"/>
      <c r="T122" s="118"/>
      <c r="U122" s="118"/>
      <c r="V122" s="118"/>
    </row>
    <row r="123" outlineLevel="1">
      <c r="A123" s="146"/>
      <c r="B123" s="300" t="s">
        <v>216</v>
      </c>
      <c r="C123" s="307" t="str">
        <f t="array" ref="C123">INDEX('起きあがり'!$D$3:$E119, MATCH($A$1,'起きあがり'!$A$3:$A$115,0), MATCH(C113,'起きあがり'!$D$2:$AD$2,0))</f>
        <v>1-22</v>
      </c>
      <c r="D123" s="308">
        <f t="array" ref="D123">INDEX('起きあがり'!$D$3:$E119, MATCH($A$1,'起きあがり'!$A$3:$A$115,0), MATCH(D113,'起きあがり'!$D$2:$AD$2,0))</f>
        <v>29</v>
      </c>
      <c r="E123" s="301"/>
      <c r="F123" s="301"/>
      <c r="G123" s="301"/>
      <c r="H123" s="228"/>
      <c r="I123" s="228"/>
      <c r="J123" s="117"/>
      <c r="K123" s="305" t="str">
        <f>'テンプレート'!K126</f>
        <v>空中投擲</v>
      </c>
      <c r="L123" s="303" t="str">
        <f>'テンプレート'!L126</f>
        <v>前投げ</v>
      </c>
      <c r="M123" s="113" t="s">
        <v>128</v>
      </c>
      <c r="N123" s="113">
        <v>24.0</v>
      </c>
      <c r="O123" s="118"/>
      <c r="P123" s="118"/>
      <c r="Q123" s="118"/>
      <c r="R123" s="118"/>
      <c r="S123" s="118"/>
      <c r="T123" s="118"/>
      <c r="U123" s="118"/>
      <c r="V123" s="118"/>
    </row>
    <row r="124" outlineLevel="1">
      <c r="A124" s="146"/>
      <c r="B124" s="300" t="s">
        <v>245</v>
      </c>
      <c r="C124" s="307" t="str">
        <f t="array" ref="C124">INDEX('起きあがり'!$F$3:$G$115, MATCH($A$1,'起きあがり'!$A$3:$A$115,0), MATCH(C113,'起きあがり'!$F$2:$AD$2,0))</f>
        <v>1-23</v>
      </c>
      <c r="D124" s="308">
        <f t="array" ref="D124">INDEX('起きあがり'!$F$3:$G$115, MATCH($A$1,'起きあがり'!$A$3:$A$115,0), MATCH(D113,'起きあがり'!$F$2:$AD$2,0))</f>
        <v>35</v>
      </c>
      <c r="E124" s="301"/>
      <c r="F124" s="301"/>
      <c r="G124" s="301"/>
      <c r="H124" s="228"/>
      <c r="I124" s="228"/>
      <c r="J124" s="111"/>
      <c r="K124" s="146"/>
      <c r="L124" s="303" t="str">
        <f>'テンプレート'!L127</f>
        <v>後投げ</v>
      </c>
      <c r="M124" s="113" t="s">
        <v>232</v>
      </c>
      <c r="N124" s="113">
        <v>24.0</v>
      </c>
      <c r="O124" s="118"/>
      <c r="P124" s="118"/>
      <c r="Q124" s="118"/>
      <c r="R124" s="118"/>
      <c r="S124" s="118"/>
      <c r="T124" s="118"/>
      <c r="U124" s="118"/>
      <c r="V124" s="118"/>
    </row>
    <row r="125" outlineLevel="1">
      <c r="A125" s="146"/>
      <c r="B125" s="300" t="s">
        <v>246</v>
      </c>
      <c r="C125" s="113" t="str">
        <f t="array" ref="C125">INDEX('起きあがり'!$H$3:$I$115, MATCH($A$1,'起きあがり'!$A$3:$A$115,0), MATCH(C113,'起きあがり'!$H$2:$AD$2,0))</f>
        <v>1-19</v>
      </c>
      <c r="D125" s="113">
        <f t="array" ref="D125">INDEX('起きあがり'!$H$3:$I$115, MATCH($A$1,'起きあがり'!$A$3:$A$115,0), MATCH(D113,'起きあがり'!$H$2:$AD$2,0))</f>
        <v>35</v>
      </c>
      <c r="E125" s="301"/>
      <c r="F125" s="301"/>
      <c r="G125" s="301"/>
      <c r="H125" s="228"/>
      <c r="I125" s="228"/>
      <c r="J125" s="117"/>
      <c r="K125" s="146"/>
      <c r="L125" s="303" t="str">
        <f>'テンプレート'!L128</f>
        <v>上投げ</v>
      </c>
      <c r="M125" s="113" t="s">
        <v>128</v>
      </c>
      <c r="N125" s="113">
        <v>23.0</v>
      </c>
      <c r="O125" s="118"/>
      <c r="P125" s="118"/>
      <c r="Q125" s="118"/>
      <c r="R125" s="118"/>
      <c r="S125" s="118"/>
      <c r="T125" s="118"/>
      <c r="U125" s="118"/>
      <c r="V125" s="118"/>
    </row>
    <row r="126" outlineLevel="1">
      <c r="A126" s="146"/>
      <c r="B126" s="300" t="s">
        <v>249</v>
      </c>
      <c r="C126" s="309" t="str">
        <f t="array" ref="C126">INDEX('起きあがり'!$J$3:$M$115, MATCH($A$1,'起きあがり'!$A$3:$A$115,0), MATCH(C113,'起きあがり'!$J$2:$AD$2,0))</f>
        <v>1-24</v>
      </c>
      <c r="D126" s="310">
        <f t="array" ref="D126">INDEX('起きあがり'!$J$3:$M$115, MATCH($A$1,'起きあがり'!$A$3:$A$115,0), MATCH(D113,'起きあがり'!$J$2:$AD$2,0))</f>
        <v>45</v>
      </c>
      <c r="E126" s="307" t="str">
        <f t="array" ref="E126">INDEX('起きあがり'!$J$3:$M$115, MATCH($A$1,'起きあがり'!$A$3:$A$115,0), MATCH(E113,'起きあがり'!$J$2:$AD$2,0))</f>
        <v>14-15</v>
      </c>
      <c r="F126" s="308">
        <f t="array" ref="F126">INDEX('起きあがり'!$J$3:$M$115, MATCH($A$1,'起きあがり'!$A$3:$A$115,0), MATCH(F113,'起きあがり'!$J$2:$AD$2,0))</f>
        <v>7</v>
      </c>
      <c r="G126" s="113">
        <f t="shared" ref="G126:G127" si="1">F126*1.2</f>
        <v>8.4</v>
      </c>
      <c r="H126" s="228"/>
      <c r="I126" s="228"/>
      <c r="J126" s="111"/>
      <c r="K126" s="156"/>
      <c r="L126" s="303" t="str">
        <f>'テンプレート'!L129</f>
        <v>下投げ</v>
      </c>
      <c r="M126" s="113" t="s">
        <v>274</v>
      </c>
      <c r="N126" s="113">
        <v>19.0</v>
      </c>
      <c r="O126" s="111"/>
      <c r="P126" s="111"/>
      <c r="Q126" s="111"/>
      <c r="R126" s="111"/>
      <c r="S126" s="111"/>
      <c r="T126" s="111"/>
      <c r="U126" s="111"/>
      <c r="V126" s="111"/>
    </row>
    <row r="127" outlineLevel="1">
      <c r="A127" s="156"/>
      <c r="B127" s="311" t="s">
        <v>250</v>
      </c>
      <c r="C127" s="156"/>
      <c r="D127" s="156"/>
      <c r="E127" s="307" t="str">
        <f t="array" ref="E127">INDEX('起きあがり'!$N$3:$O$115, MATCH($A$1,'起きあがり'!$A$3:$A$115,0), MATCH(E113,'起きあがり'!$N$2:$AD$2,0))</f>
        <v>23-24</v>
      </c>
      <c r="F127" s="308">
        <f t="array" ref="F127">INDEX('起きあがり'!$N$3:$O$115, MATCH($A$1,'起きあがり'!$A$3:$A$115,0), MATCH(F113,'起きあがり'!$N$2:$AD$2,0))</f>
        <v>7</v>
      </c>
      <c r="G127" s="113">
        <f t="shared" si="1"/>
        <v>8.4</v>
      </c>
      <c r="H127" s="228"/>
      <c r="I127" s="228"/>
      <c r="J127" s="111"/>
      <c r="K127" s="312" t="str">
        <f>'テンプレート'!K130</f>
        <v>踏み台ジャンプ</v>
      </c>
      <c r="L127" s="168"/>
      <c r="M127" s="298" t="str">
        <f>'テンプレート'!M130</f>
        <v>全体フレーム</v>
      </c>
      <c r="N127" s="114"/>
      <c r="O127" s="111"/>
      <c r="P127" s="111"/>
      <c r="Q127" s="111"/>
      <c r="R127" s="111"/>
      <c r="S127" s="111"/>
      <c r="T127" s="111"/>
      <c r="U127" s="111"/>
      <c r="V127" s="111"/>
    </row>
    <row r="128" outlineLevel="1">
      <c r="A128" s="299" t="s">
        <v>251</v>
      </c>
      <c r="B128" s="300" t="s">
        <v>248</v>
      </c>
      <c r="C128" s="301"/>
      <c r="D128" s="307" t="str">
        <f t="array" ref="D128">INDEX('起きあがり'!$C$3:$C119, MATCH($A$1,'起きあがり'!$A$3:$A$115,0), MATCH(D113,'起きあがり'!$C$2,0))</f>
        <v>25</v>
      </c>
      <c r="E128" s="301"/>
      <c r="F128" s="301"/>
      <c r="G128" s="301"/>
      <c r="H128" s="228"/>
      <c r="I128" s="228"/>
      <c r="J128" s="117"/>
      <c r="K128" s="313" t="str">
        <f>'テンプレート'!K131</f>
        <v>踏み</v>
      </c>
      <c r="L128" s="314" t="str">
        <f>'テンプレート'!L131</f>
        <v>踏み</v>
      </c>
      <c r="M128" s="113">
        <v>8.0</v>
      </c>
      <c r="N128" s="315"/>
      <c r="O128" s="111"/>
      <c r="P128" s="111"/>
      <c r="Q128" s="111"/>
      <c r="R128" s="111"/>
      <c r="S128" s="111"/>
      <c r="T128" s="111"/>
      <c r="U128" s="111"/>
      <c r="V128" s="111"/>
    </row>
    <row r="129" outlineLevel="1">
      <c r="A129" s="146"/>
      <c r="B129" s="300" t="s">
        <v>216</v>
      </c>
      <c r="C129" s="307" t="str">
        <f t="array" ref="C129">INDEX('起きあがり'!$P$3:$Q$115, MATCH($A$1,'起きあがり'!$A$3:$A$115,0), MATCH(C113,'起きあがり'!$P$2:$AD$2,0))</f>
        <v>1-22</v>
      </c>
      <c r="D129" s="308">
        <f t="array" ref="D129">INDEX('起きあがり'!$P$3:$Q$115, MATCH($A$1,'起きあがり'!$A$3:$A$115,0), MATCH(D113,'起きあがり'!$P$2:$AD$2,0))</f>
        <v>29</v>
      </c>
      <c r="E129" s="301"/>
      <c r="F129" s="301"/>
      <c r="G129" s="301"/>
      <c r="H129" s="228"/>
      <c r="I129" s="228"/>
      <c r="J129" s="111"/>
      <c r="K129" s="305" t="str">
        <f>'テンプレート'!K132</f>
        <v>踏まれ</v>
      </c>
      <c r="L129" s="314" t="str">
        <f>'テンプレート'!L132</f>
        <v>地上踏まれ</v>
      </c>
      <c r="M129" s="113" t="s">
        <v>76</v>
      </c>
      <c r="N129" s="315"/>
      <c r="O129" s="228"/>
      <c r="P129" s="228"/>
      <c r="Q129" s="228"/>
      <c r="R129" s="228"/>
      <c r="S129" s="228"/>
      <c r="T129" s="228"/>
      <c r="U129" s="228"/>
      <c r="V129" s="228"/>
    </row>
    <row r="130" outlineLevel="1">
      <c r="A130" s="146"/>
      <c r="B130" s="300" t="s">
        <v>245</v>
      </c>
      <c r="C130" s="307" t="str">
        <f t="array" ref="C130">INDEX('起きあがり'!$R$3:$S$115, MATCH($A$1,'起きあがり'!$A$3:$A$115,0), MATCH(C113,'起きあがり'!$R$2:$AD$2,0))</f>
        <v>1-19</v>
      </c>
      <c r="D130" s="308">
        <f t="array" ref="D130">INDEX('起きあがり'!$R$3:$S$115, MATCH($A$1,'起きあがり'!$A$3:$A$115,0), MATCH(D113,'起きあがり'!$R$2:$AD$2,0))</f>
        <v>35</v>
      </c>
      <c r="E130" s="301"/>
      <c r="F130" s="301"/>
      <c r="G130" s="301"/>
      <c r="H130" s="228"/>
      <c r="I130" s="228"/>
      <c r="J130" s="117"/>
      <c r="K130" s="146"/>
      <c r="L130" s="314" t="str">
        <f>'テンプレート'!L133</f>
        <v>地上硬直</v>
      </c>
      <c r="M130" s="113">
        <v>27.0</v>
      </c>
      <c r="N130" s="102"/>
      <c r="O130" s="118"/>
      <c r="P130" s="118"/>
      <c r="Q130" s="118"/>
      <c r="R130" s="118"/>
      <c r="S130" s="118"/>
      <c r="T130" s="118"/>
      <c r="U130" s="118"/>
      <c r="V130" s="118"/>
    </row>
    <row r="131" outlineLevel="1">
      <c r="A131" s="146"/>
      <c r="B131" s="300" t="s">
        <v>246</v>
      </c>
      <c r="C131" s="307" t="str">
        <f t="array" ref="C131">INDEX('起きあがり'!$T$3:$U$115, MATCH($A$1,'起きあがり'!$A$3:$A$115,0), MATCH(C113,'起きあがり'!$T$2:$AD$2,0))</f>
        <v>1-25</v>
      </c>
      <c r="D131" s="308">
        <f t="array" ref="D131">INDEX('起きあがり'!$T$3:$U$115, MATCH($A$1,'起きあがり'!$A$3:$A$115,0), MATCH(D113,'起きあがり'!$T$2:$AD$2,0))</f>
        <v>35</v>
      </c>
      <c r="E131" s="301"/>
      <c r="F131" s="301"/>
      <c r="G131" s="301"/>
      <c r="H131" s="228"/>
      <c r="I131" s="228"/>
      <c r="J131" s="111"/>
      <c r="K131" s="146"/>
      <c r="L131" s="314" t="str">
        <f>'テンプレート'!L134</f>
        <v>空中踏まれ</v>
      </c>
      <c r="M131" s="113">
        <v>8.0</v>
      </c>
      <c r="N131" s="102"/>
      <c r="O131" s="118"/>
      <c r="P131" s="118"/>
      <c r="Q131" s="118"/>
      <c r="R131" s="118"/>
      <c r="S131" s="118"/>
      <c r="T131" s="118"/>
      <c r="U131" s="118"/>
      <c r="V131" s="118"/>
    </row>
    <row r="132" outlineLevel="1">
      <c r="A132" s="146"/>
      <c r="B132" s="300" t="s">
        <v>249</v>
      </c>
      <c r="C132" s="309" t="str">
        <f t="array" ref="C132">INDEX('起きあがり'!$V$3:$Y$115, MATCH($A$1,'起きあがり'!$A$3:$A$115,0), MATCH(C113,'起きあがり'!$V$2:$AD$2,0))</f>
        <v>1-20</v>
      </c>
      <c r="D132" s="310">
        <f t="array" ref="D132">INDEX('起きあがり'!$V$3:$Y$115, MATCH($A$1,'起きあがり'!$A$3:$A$115,0), MATCH(D113,'起きあがり'!$V$2:$AD$2,0))</f>
        <v>45</v>
      </c>
      <c r="E132" s="307" t="str">
        <f t="array" ref="E132">INDEX('起きあがり'!$V$3:$Y$115, MATCH($A$1,'起きあがり'!$A$3:$A$115,0), MATCH(E113,'起きあがり'!$V$2:$AD$2,0))</f>
        <v>14-15</v>
      </c>
      <c r="F132" s="308">
        <f t="array" ref="F132">INDEX('起きあがり'!$V$3:$Y$115, MATCH($A$1,'起きあがり'!$A$3:$A$115,0), MATCH(F113,'起きあがり'!$V$2:$AD$2,0))</f>
        <v>7</v>
      </c>
      <c r="G132" s="113">
        <f t="shared" ref="G132:G133" si="2">F132*1.2</f>
        <v>8.4</v>
      </c>
      <c r="H132" s="228"/>
      <c r="I132" s="228"/>
      <c r="J132" s="117"/>
      <c r="K132" s="146"/>
      <c r="L132" s="314" t="str">
        <f>'テンプレート'!L135</f>
        <v>空中落下</v>
      </c>
      <c r="M132" s="113">
        <v>33.0</v>
      </c>
      <c r="N132" s="102"/>
      <c r="O132" s="118"/>
      <c r="P132" s="118"/>
      <c r="Q132" s="118"/>
      <c r="R132" s="118"/>
      <c r="S132" s="118"/>
      <c r="T132" s="118"/>
      <c r="U132" s="118"/>
      <c r="V132" s="118"/>
    </row>
    <row r="133" outlineLevel="1">
      <c r="A133" s="156"/>
      <c r="B133" s="311" t="s">
        <v>250</v>
      </c>
      <c r="C133" s="156"/>
      <c r="D133" s="156"/>
      <c r="E133" s="307" t="str">
        <f t="array" ref="E133">INDEX('起きあがり'!$Z$3:$AA$115, MATCH($A$1,'起きあがり'!$A$3:$A$115,0), MATCH(E113,'起きあがり'!$Z$2:$AD$2,0))</f>
        <v>19-20</v>
      </c>
      <c r="F133" s="308">
        <f t="array" ref="F133">INDEX('起きあがり'!$Z$3:$AA$115, MATCH($A$1,'起きあがり'!$A$3:$A$115,0), MATCH(F113,'起きあがり'!$Z$2:$AD$2,0))</f>
        <v>7</v>
      </c>
      <c r="G133" s="113">
        <f t="shared" si="2"/>
        <v>8.4</v>
      </c>
      <c r="H133" s="228"/>
      <c r="I133" s="228"/>
      <c r="J133" s="117"/>
      <c r="K133" s="304" t="str">
        <f>'テンプレート'!K136</f>
        <v>倒れダメージ</v>
      </c>
      <c r="L133" s="110"/>
      <c r="M133" s="298" t="str">
        <f>'テンプレート'!M136</f>
        <v>全体フレーム</v>
      </c>
      <c r="N133" s="102"/>
      <c r="O133" s="118"/>
      <c r="P133" s="118"/>
      <c r="Q133" s="118"/>
      <c r="R133" s="118"/>
      <c r="S133" s="118"/>
      <c r="T133" s="118"/>
      <c r="U133" s="118"/>
      <c r="V133" s="118"/>
    </row>
    <row r="134" outlineLevel="1">
      <c r="A134" s="299" t="s">
        <v>252</v>
      </c>
      <c r="B134" s="300" t="s">
        <v>253</v>
      </c>
      <c r="C134" s="307" t="str">
        <f t="array" ref="C134">INDEX('転倒'!$C$3:$D119, MATCH($A$1,'転倒'!$A$3:$A$115,0), MATCH(C113,'転倒'!$C$2:$AC$2,0))</f>
        <v>1-5</v>
      </c>
      <c r="D134" s="308">
        <f t="array" ref="D134">INDEX('転倒'!$C$3:$D119, MATCH($A$1,'転倒'!$A$3:$A$115,0), MATCH(D113,'転倒'!$C$2:$AC$2,0))</f>
        <v>29</v>
      </c>
      <c r="E134" s="301"/>
      <c r="F134" s="301"/>
      <c r="G134" s="301"/>
      <c r="H134" s="228"/>
      <c r="I134" s="228"/>
      <c r="J134" s="111"/>
      <c r="K134" s="313" t="str">
        <f>'テンプレート'!K137</f>
        <v>あお向け倒れ</v>
      </c>
      <c r="L134" s="306" t="str">
        <f>'テンプレート'!L137</f>
        <v>モーション大</v>
      </c>
      <c r="M134" s="113">
        <v>39.0</v>
      </c>
      <c r="N134" s="315"/>
      <c r="O134" s="118"/>
      <c r="P134" s="118"/>
      <c r="Q134" s="118"/>
      <c r="R134" s="118"/>
      <c r="S134" s="118"/>
      <c r="T134" s="118"/>
      <c r="U134" s="118"/>
      <c r="V134" s="118"/>
    </row>
    <row r="135" outlineLevel="1">
      <c r="A135" s="146"/>
      <c r="B135" s="300" t="s">
        <v>254</v>
      </c>
      <c r="C135" s="307" t="str">
        <f t="array" ref="C135">INDEX('転倒'!$E$3:$F119, MATCH($A$1,'転倒'!$A$3:$A$115,0), MATCH(C113,'転倒'!$E$2:$AC$2,0))</f>
        <v>1-5</v>
      </c>
      <c r="D135" s="308">
        <f t="array" ref="D135">INDEX('転倒'!$E$3:$F119, MATCH($A$1,'転倒'!$A$3:$A$115,0), MATCH(D113,'転倒'!$E$2:$AC$2,0))</f>
        <v>39</v>
      </c>
      <c r="E135" s="301"/>
      <c r="F135" s="301"/>
      <c r="G135" s="301"/>
      <c r="H135" s="228"/>
      <c r="I135" s="228"/>
      <c r="J135" s="117"/>
      <c r="K135" s="313" t="str">
        <f>'テンプレート'!K138</f>
        <v>うつ伏せ倒れ</v>
      </c>
      <c r="L135" s="306" t="str">
        <f>'テンプレート'!L138</f>
        <v>モーション大</v>
      </c>
      <c r="M135" s="113" t="s">
        <v>118</v>
      </c>
      <c r="N135" s="315"/>
      <c r="O135" s="118"/>
      <c r="P135" s="118"/>
      <c r="Q135" s="118"/>
      <c r="R135" s="118"/>
      <c r="S135" s="118"/>
      <c r="T135" s="118"/>
      <c r="U135" s="118"/>
      <c r="V135" s="118"/>
    </row>
    <row r="136" outlineLevel="1">
      <c r="A136" s="146"/>
      <c r="B136" s="300" t="s">
        <v>216</v>
      </c>
      <c r="C136" s="307" t="str">
        <f t="array" ref="C136">INDEX('転倒'!$G$3:$H$115, MATCH($A$1,'転倒'!$A$3:$A$115,0), MATCH(C113,'転倒'!$G$2:$AC$2,0))</f>
        <v>1-16</v>
      </c>
      <c r="D136" s="308">
        <f t="array" ref="D136">INDEX('転倒'!$G$3:$H$115, MATCH($A$1,'転倒'!$A$3:$A$115,0), MATCH(D113,'転倒'!$G$2:$AC$2,0))</f>
        <v>21</v>
      </c>
      <c r="E136" s="301"/>
      <c r="F136" s="301"/>
      <c r="G136" s="301"/>
      <c r="H136" s="228"/>
      <c r="I136" s="228"/>
      <c r="J136" s="111"/>
      <c r="K136" s="304" t="str">
        <f>'テンプレート'!K139</f>
        <v/>
      </c>
      <c r="L136" s="110"/>
      <c r="M136" s="298" t="str">
        <f>'テンプレート'!M139</f>
        <v/>
      </c>
      <c r="N136" s="102"/>
      <c r="O136" s="118"/>
      <c r="P136" s="118"/>
      <c r="Q136" s="118"/>
      <c r="R136" s="118"/>
      <c r="S136" s="118"/>
      <c r="T136" s="118"/>
      <c r="U136" s="118"/>
      <c r="V136" s="118"/>
    </row>
    <row r="137" outlineLevel="1">
      <c r="A137" s="146"/>
      <c r="B137" s="300" t="s">
        <v>245</v>
      </c>
      <c r="C137" s="307" t="str">
        <f t="array" ref="C137">INDEX('転倒'!$I$3:$J$115, MATCH($A$1,'転倒'!$A$3:$A$115,0), MATCH(C113,'転倒'!$I$2:$AC$2,0))</f>
        <v>1-9</v>
      </c>
      <c r="D137" s="308">
        <f t="array" ref="D137">INDEX('転倒'!$I$3:$J$115, MATCH($A$1,'転倒'!$A$3:$A$115,0), MATCH(D113,'転倒'!$I$2:$AC$2,0))</f>
        <v>28</v>
      </c>
      <c r="E137" s="301"/>
      <c r="F137" s="301"/>
      <c r="G137" s="301"/>
      <c r="H137" s="228"/>
      <c r="I137" s="228"/>
      <c r="J137" s="228"/>
      <c r="K137" s="316"/>
      <c r="L137" s="317" t="str">
        <f>'テンプレート'!L140</f>
        <v/>
      </c>
      <c r="M137" s="113" t="s">
        <v>76</v>
      </c>
      <c r="N137" s="102"/>
      <c r="O137" s="118"/>
      <c r="P137" s="118"/>
      <c r="Q137" s="118"/>
      <c r="R137" s="118"/>
      <c r="S137" s="118"/>
      <c r="T137" s="118"/>
      <c r="U137" s="118"/>
      <c r="V137" s="118"/>
    </row>
    <row r="138" outlineLevel="1">
      <c r="A138" s="146"/>
      <c r="B138" s="300" t="s">
        <v>246</v>
      </c>
      <c r="C138" s="307" t="str">
        <f t="array" ref="C138">INDEX('転倒'!$K$3:$L$115, MATCH($A$1,'転倒'!$A$3:$A$115,0), MATCH(C113,'転倒'!$K$2:$AC$2,0))</f>
        <v>1-9</v>
      </c>
      <c r="D138" s="308">
        <f t="array" ref="D138">INDEX('転倒'!$K$3:$L$115, MATCH($A$1,'転倒'!$A$3:$A$115,0), MATCH(D113,'転倒'!$K$2:$AC$2,0))</f>
        <v>28</v>
      </c>
      <c r="E138" s="301"/>
      <c r="F138" s="301"/>
      <c r="G138" s="301"/>
      <c r="H138" s="228"/>
      <c r="I138" s="228"/>
      <c r="J138" s="228"/>
      <c r="K138" s="318"/>
      <c r="L138" s="118"/>
      <c r="M138" s="118"/>
      <c r="N138" s="102"/>
      <c r="O138" s="118"/>
      <c r="P138" s="118"/>
      <c r="Q138" s="118"/>
      <c r="R138" s="118"/>
      <c r="S138" s="118"/>
      <c r="T138" s="118"/>
      <c r="U138" s="118"/>
      <c r="V138" s="118"/>
    </row>
    <row r="139" outlineLevel="1">
      <c r="A139" s="146"/>
      <c r="B139" s="300" t="s">
        <v>249</v>
      </c>
      <c r="C139" s="309" t="str">
        <f t="array" ref="C139">INDEX('転倒'!$M$3:$P$115, MATCH($A$1,'転倒'!$A$3:$A$115,0), MATCH(C113,'転倒'!$M$2:$AC$2,0))</f>
        <v>1-7</v>
      </c>
      <c r="D139" s="1525">
        <f t="array" ref="D139">INDEX('転倒'!$M$3:$P$115, MATCH($A$1,'転倒'!$A$3:$A$115,0), MATCH(D113,'転倒'!$M$2:$AC$2,0))</f>
        <v>49</v>
      </c>
      <c r="E139" s="307" t="str">
        <f t="array" ref="E139">INDEX('転倒'!$M$3:$P$115, MATCH($A$1,'転倒'!$A$3:$A$115,0), MATCH(E113,'転倒'!$M$2:$AC$2,0))</f>
        <v>18-19</v>
      </c>
      <c r="F139" s="308">
        <f t="array" ref="F139">INDEX('転倒'!$M$3:$P$115, MATCH($A$1,'転倒'!$A$3:$A$115,0), MATCH(F113,'転倒'!$M$2:$AC$2,0))</f>
        <v>5</v>
      </c>
      <c r="G139" s="113">
        <f t="shared" ref="G139:G140" si="3">F139*1.2</f>
        <v>6</v>
      </c>
      <c r="H139" s="228"/>
      <c r="I139" s="228"/>
      <c r="J139" s="228"/>
      <c r="K139" s="118"/>
      <c r="L139" s="118"/>
      <c r="M139" s="118"/>
      <c r="N139" s="102"/>
      <c r="O139" s="102"/>
      <c r="P139" s="102"/>
      <c r="Q139" s="102"/>
      <c r="R139" s="118"/>
      <c r="S139" s="118"/>
      <c r="T139" s="118"/>
      <c r="U139" s="118"/>
      <c r="V139" s="118"/>
    </row>
    <row r="140" outlineLevel="1">
      <c r="A140" s="156"/>
      <c r="B140" s="311" t="s">
        <v>250</v>
      </c>
      <c r="C140" s="156"/>
      <c r="D140" s="156"/>
      <c r="E140" s="307" t="str">
        <f t="array" ref="E140">INDEX('転倒'!$Q$3:$R$115, MATCH($A$1,'転倒'!$A$3:$A$115,0), MATCH(E113,'転倒'!$Q$2:$AC$2,0))</f>
        <v>22-23</v>
      </c>
      <c r="F140" s="308">
        <f t="array" ref="F140">INDEX('転倒'!$Q$3:$R$115, MATCH($A$1,'転倒'!$A$3:$A$115,0), MATCH(F113,'転倒'!$Q$2:$AC$2,0))</f>
        <v>5</v>
      </c>
      <c r="G140" s="113">
        <f t="shared" si="3"/>
        <v>6</v>
      </c>
      <c r="H140" s="228"/>
      <c r="I140" s="228"/>
      <c r="J140" s="228"/>
      <c r="K140" s="118"/>
      <c r="L140" s="118"/>
      <c r="M140" s="118"/>
      <c r="N140" s="102"/>
      <c r="O140" s="102"/>
      <c r="P140" s="102"/>
      <c r="Q140" s="102"/>
      <c r="R140" s="118"/>
      <c r="S140" s="118"/>
      <c r="T140" s="118"/>
      <c r="U140" s="118"/>
      <c r="V140" s="118"/>
    </row>
    <row r="141" outlineLevel="1">
      <c r="A141" s="319"/>
      <c r="B141" s="320"/>
      <c r="C141" s="321"/>
      <c r="D141" s="321"/>
      <c r="E141" s="322"/>
      <c r="F141" s="322"/>
      <c r="G141" s="114"/>
      <c r="H141" s="228"/>
      <c r="I141" s="228"/>
      <c r="J141" s="228"/>
      <c r="K141" s="118"/>
      <c r="L141" s="118"/>
      <c r="M141" s="118"/>
      <c r="N141" s="102"/>
      <c r="O141" s="102"/>
      <c r="P141" s="102"/>
      <c r="Q141" s="102"/>
      <c r="R141" s="118"/>
      <c r="S141" s="118"/>
      <c r="T141" s="118"/>
      <c r="U141" s="118"/>
      <c r="V141" s="118"/>
    </row>
    <row r="142" outlineLevel="1">
      <c r="A142" s="323" t="s">
        <v>255</v>
      </c>
      <c r="B142" s="109"/>
      <c r="C142" s="321"/>
      <c r="D142" s="321"/>
      <c r="E142" s="322"/>
      <c r="F142" s="322"/>
      <c r="G142" s="114"/>
      <c r="H142" s="228"/>
      <c r="I142" s="228"/>
      <c r="J142" s="228"/>
      <c r="K142" s="118"/>
      <c r="L142" s="118"/>
      <c r="M142" s="118"/>
      <c r="N142" s="102"/>
      <c r="O142" s="102"/>
      <c r="P142" s="102"/>
      <c r="Q142" s="102"/>
      <c r="R142" s="118"/>
      <c r="S142" s="118"/>
      <c r="T142" s="118"/>
      <c r="U142" s="118"/>
      <c r="V142" s="118"/>
    </row>
    <row r="143" outlineLevel="1">
      <c r="A143" s="324" t="s">
        <v>256</v>
      </c>
      <c r="B143" s="109"/>
      <c r="C143" s="325" t="s">
        <v>257</v>
      </c>
      <c r="D143" s="325" t="s">
        <v>49</v>
      </c>
      <c r="E143" s="322"/>
      <c r="F143" s="322"/>
      <c r="G143" s="114"/>
      <c r="H143" s="228"/>
      <c r="I143" s="228"/>
      <c r="J143" s="228"/>
      <c r="K143" s="118"/>
      <c r="L143" s="118"/>
      <c r="M143" s="118"/>
      <c r="N143" s="102"/>
      <c r="O143" s="102"/>
      <c r="P143" s="102"/>
      <c r="Q143" s="102"/>
      <c r="R143" s="118"/>
      <c r="S143" s="118"/>
      <c r="T143" s="118"/>
      <c r="U143" s="118"/>
      <c r="V143" s="118"/>
    </row>
    <row r="144" outlineLevel="1">
      <c r="A144" s="326" t="s">
        <v>258</v>
      </c>
      <c r="B144" s="327" t="s">
        <v>216</v>
      </c>
      <c r="C144" s="328" t="str">
        <f t="array" ref="C144">INDEX('アイテム'!$C$3:$D$114, MATCH($A$1,'アイテム'!$A$3:$A$114,0), MATCH(C143,'アイテム'!$C$2:$AQ$2,0))</f>
        <v>3</v>
      </c>
      <c r="D144" s="328">
        <f t="array" ref="D144">INDEX('アイテム'!$C$3:$D$114, MATCH($A$1,'アイテム'!$A$3:$A$114,0), MATCH(D143,'アイテム'!$C$2:$AQ$2,0))</f>
        <v>7</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219</v>
      </c>
      <c r="C145" s="328" t="str">
        <f t="array" ref="C145">INDEX('アイテム'!$E$3:$F$114, MATCH($A$1,'アイテム'!$A$3:$A$114,0), MATCH(C143,'アイテム'!$C$2:$AQ$2,0))</f>
        <v>2</v>
      </c>
      <c r="D145" s="328">
        <f t="array" ref="D145">INDEX('アイテム'!$E$3:$F$114, MATCH($A$1,'アイテム'!$A$3:$A$114,0), MATCH(D143,'アイテム'!$C$2:$AQ$2,0))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329" t="s">
        <v>259</v>
      </c>
      <c r="B146" s="327" t="s">
        <v>216</v>
      </c>
      <c r="C146" s="328">
        <f t="array" ref="C146">INDEX('アイテム'!$AA$3:$AB$114, MATCH($A$1,'アイテム'!$A$3:$A$114,0), MATCH(C143,'アイテム'!$C$2:$AQ$2,0))</f>
        <v>3</v>
      </c>
      <c r="D146" s="328" t="str">
        <f t="array" ref="D146">INDEX('アイテム'!$AA$3:$AB$114, MATCH($A$1,'アイテム'!$A$3:$A$114,0), MATCH(D143,'アイテム'!$C$2:$AQ$2,0))</f>
        <v>12</v>
      </c>
      <c r="E146" s="322"/>
      <c r="F146" s="322"/>
      <c r="G146" s="114"/>
      <c r="H146" s="228"/>
      <c r="I146" s="228"/>
      <c r="J146" s="228"/>
      <c r="K146" s="118"/>
      <c r="L146" s="118"/>
      <c r="M146" s="118"/>
      <c r="N146" s="102"/>
      <c r="O146" s="102"/>
      <c r="P146" s="102"/>
      <c r="Q146" s="102"/>
      <c r="R146" s="118"/>
      <c r="S146" s="118"/>
      <c r="T146" s="118"/>
      <c r="U146" s="118"/>
      <c r="V146" s="118"/>
    </row>
    <row r="147" outlineLevel="1">
      <c r="A147" s="324" t="s">
        <v>260</v>
      </c>
      <c r="B147" s="109"/>
      <c r="C147" s="325" t="s">
        <v>261</v>
      </c>
      <c r="D147" s="325" t="s">
        <v>49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262</v>
      </c>
      <c r="B148" s="327" t="s">
        <v>226</v>
      </c>
      <c r="C148" s="328" t="str">
        <f t="array" ref="C148">INDEX('アイテム'!$G$3:$H$114, MATCH($A$1,'アイテム'!$A$3:$A$114,0), MATCH(C143,'アイテム'!$C$2:$AQ$2,0))</f>
        <v>10</v>
      </c>
      <c r="D148" s="328">
        <f t="array" ref="D148">INDEX('アイテム'!$G$3:$H$114, MATCH($A$1,'アイテム'!$A$3:$A$114,0), MATCH(D143,'アイテム'!$C$2:$AQ$2,0))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INDEX('アイテム'!$I$3:$J$114, MATCH($A$1,'アイテム'!$A$3:$A$114,0), MATCH(C143,'アイテム'!$C$2:$AQ$2,0))</f>
        <v>11</v>
      </c>
      <c r="D149" s="328">
        <f t="array" ref="D149">INDEX('アイテム'!$I$3:$J$114, MATCH($A$1,'アイテム'!$A$3:$A$114,0), MATCH(D143,'アイテム'!$C$2:$AQ$2,0))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INDEX('アイテム'!$K$3:$L$114, MATCH($A$1,'アイテム'!$A$3:$A$114,0), MATCH(C143,'アイテム'!$C$2:$AQ$2,0))</f>
        <v>10</v>
      </c>
      <c r="D150" s="328">
        <f t="array" ref="D150">INDEX('アイテム'!$K$3:$L$114, MATCH($A$1,'アイテム'!$A$3:$A$114,0), MATCH(D143,'アイテム'!$C$2:$AQ$2,0))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234</v>
      </c>
      <c r="C151" s="328" t="str">
        <f t="array" ref="C151">INDEX('アイテム'!$M$3:$N$114, MATCH($A$1,'アイテム'!$A$3:$A$114,0), MATCH(C143,'アイテム'!$C$2:$AQ$2,0))</f>
        <v>10</v>
      </c>
      <c r="D151" s="328">
        <f t="array" ref="D151">INDEX('アイテム'!$M$3:$N$114, MATCH($A$1,'アイテム'!$A$3:$A$114,0), MATCH(D143,'アイテム'!$C$2:$AQ$2,0))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219</v>
      </c>
      <c r="C152" s="328" t="str">
        <f t="array" ref="C152">INDEX('アイテム'!$O$3:$P$114, MATCH($A$1,'アイテム'!$A$3:$A$114,0), MATCH(C143,'アイテム'!$C$2:$AQ$2,0))</f>
        <v>5</v>
      </c>
      <c r="D152" s="328">
        <f t="array" ref="D152">INDEX('アイテム'!$O$3:$P$114, MATCH($A$1,'アイテム'!$A$3:$A$114,0), MATCH(D143,'アイテム'!$C$2:$AQ$2,0))</f>
        <v>29</v>
      </c>
      <c r="E152" s="322"/>
      <c r="F152" s="322"/>
      <c r="G152" s="114"/>
      <c r="H152" s="228"/>
      <c r="I152" s="228"/>
      <c r="J152" s="228"/>
      <c r="K152" s="118"/>
      <c r="L152" s="118"/>
      <c r="M152" s="118"/>
      <c r="N152" s="102"/>
      <c r="O152" s="102"/>
      <c r="P152" s="102"/>
      <c r="Q152" s="102"/>
      <c r="R152" s="118"/>
      <c r="S152" s="118"/>
      <c r="T152" s="118"/>
      <c r="U152" s="118"/>
      <c r="V152" s="118"/>
    </row>
    <row r="153" outlineLevel="1">
      <c r="A153" s="156"/>
      <c r="B153" s="327" t="s">
        <v>263</v>
      </c>
      <c r="C153" s="328" t="str">
        <f t="array" ref="C153">INDEX('アイテム'!$Q$3:$R$114, MATCH($A$1,'アイテム'!$A$3:$A$114,0), MATCH(C143,'アイテム'!$C$2:$AQ$2,0))</f>
        <v>6</v>
      </c>
      <c r="D153" s="328">
        <f t="array" ref="D153">INDEX('アイテム'!$Q$3:$R$114, MATCH($A$1,'アイテム'!$A$3:$A$114,0), MATCH(D143,'アイテム'!$C$2:$AQ$2,0))</f>
        <v>23</v>
      </c>
      <c r="E153" s="322"/>
      <c r="F153" s="322"/>
      <c r="G153" s="114"/>
      <c r="H153" s="228"/>
      <c r="I153" s="228"/>
      <c r="J153" s="228"/>
      <c r="K153" s="118"/>
      <c r="L153" s="118"/>
      <c r="M153" s="118"/>
      <c r="N153" s="102"/>
      <c r="O153" s="102"/>
      <c r="P153" s="102"/>
      <c r="Q153" s="102"/>
      <c r="R153" s="118"/>
      <c r="S153" s="118"/>
      <c r="T153" s="118"/>
      <c r="U153" s="118"/>
      <c r="V153" s="118"/>
    </row>
    <row r="154" outlineLevel="1">
      <c r="A154" s="326" t="s">
        <v>264</v>
      </c>
      <c r="B154" s="327" t="s">
        <v>226</v>
      </c>
      <c r="C154" s="328" t="str">
        <f t="array" ref="C154">INDEX('アイテム'!$S$3:$T$114, MATCH($A$1,'アイテム'!$A$3:$A$114,0), MATCH(C143,'アイテム'!$C$2:$AQ$2,0))</f>
        <v>10</v>
      </c>
      <c r="D154" s="328">
        <f t="array" ref="D154">INDEX('アイテム'!$S$3:$T$114, MATCH($A$1,'アイテム'!$A$3:$A$114,0), MATCH(D143,'アイテム'!$C$2:$AQ$2,0))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229</v>
      </c>
      <c r="C155" s="328" t="str">
        <f t="array" ref="C155">INDEX('アイテム'!$U$3:$V$114, MATCH($A$1,'アイテム'!$A$3:$A$114,0), MATCH(C143,'アイテム'!$C$2:$AQ$2,0))</f>
        <v>11</v>
      </c>
      <c r="D155" s="328">
        <f t="array" ref="D155">INDEX('アイテム'!$U$3:$V$114, MATCH($A$1,'アイテム'!$A$3:$A$114,0), MATCH(D143,'アイテム'!$C$2:$AQ$2,0))</f>
        <v>24</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233</v>
      </c>
      <c r="C156" s="328" t="str">
        <f t="array" ref="C156">INDEX('アイテム'!$W$3:$X$114, MATCH($A$1,'アイテム'!$A$3:$A$114,0), MATCH(C143,'アイテム'!$C$2:$AQ$2,0))</f>
        <v>10</v>
      </c>
      <c r="D156" s="328">
        <f t="array" ref="D156">INDEX('アイテム'!$W$3:$X$114, MATCH($A$1,'アイテム'!$A$3:$A$114,0), MATCH(D143,'アイテム'!$C$2:$AQ$2,0))</f>
        <v>23</v>
      </c>
      <c r="E156" s="322"/>
      <c r="F156" s="322"/>
      <c r="G156" s="114"/>
      <c r="H156" s="228"/>
      <c r="I156" s="228"/>
      <c r="J156" s="228"/>
      <c r="K156" s="118"/>
      <c r="L156" s="118"/>
      <c r="M156" s="118"/>
      <c r="N156" s="102"/>
      <c r="O156" s="102"/>
      <c r="P156" s="102"/>
      <c r="Q156" s="102"/>
      <c r="R156" s="118"/>
      <c r="S156" s="118"/>
      <c r="T156" s="118"/>
      <c r="U156" s="118"/>
      <c r="V156" s="118"/>
    </row>
    <row r="157" outlineLevel="1">
      <c r="A157" s="156"/>
      <c r="B157" s="327" t="s">
        <v>234</v>
      </c>
      <c r="C157" s="328" t="str">
        <f t="array" ref="C157">INDEX('アイテム'!$Y$3:$Z$114, MATCH($A$1,'アイテム'!$A$3:$A$114,0), MATCH(C143,'アイテム'!$C$2:$AQ$2,0))</f>
        <v>10</v>
      </c>
      <c r="D157" s="328">
        <f t="array" ref="D157">INDEX('アイテム'!$Y$3:$Z$114, MATCH($A$1,'アイテム'!$A$3:$A$114,0), MATCH(D143,'アイテム'!$C$2:$AQ$2,0))</f>
        <v>19</v>
      </c>
      <c r="E157" s="322"/>
      <c r="F157" s="322"/>
      <c r="G157" s="114"/>
      <c r="H157" s="228"/>
      <c r="I157" s="228"/>
      <c r="J157" s="228"/>
      <c r="K157" s="118"/>
      <c r="L157" s="118"/>
      <c r="M157" s="118"/>
      <c r="N157" s="102"/>
      <c r="O157" s="102"/>
      <c r="P157" s="102"/>
      <c r="Q157" s="102"/>
      <c r="R157" s="118"/>
      <c r="S157" s="118"/>
      <c r="T157" s="118"/>
      <c r="U157" s="118"/>
      <c r="V157" s="118"/>
    </row>
    <row r="158" outlineLevel="1">
      <c r="A158" s="326" t="s">
        <v>265</v>
      </c>
      <c r="B158" s="327" t="s">
        <v>226</v>
      </c>
      <c r="C158" s="328">
        <f t="array" ref="C158">INDEX('アイテム'!$AC$3:$AD$114, MATCH($A$1,'アイテム'!$A$3:$A$114,0), MATCH(C143,'アイテム'!$C$2:$AQ$2,0))</f>
        <v>18</v>
      </c>
      <c r="D158" s="328" t="str">
        <f t="array" ref="D158">INDEX('アイテム'!$AC$3:$AD$114, MATCH($A$1,'アイテム'!$A$3:$A$114,0), MATCH(D143,'アイテム'!$C$2:$AQ$2,0))</f>
        <v>30</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229</v>
      </c>
      <c r="C159" s="328">
        <f t="array" ref="C159">INDEX('アイテム'!$AE$3:$AF$114, MATCH($A$1,'アイテム'!$A$3:$A$114,0), MATCH(C143,'アイテム'!$C$2:$AQ$2,0))</f>
        <v>16</v>
      </c>
      <c r="D159" s="328" t="str">
        <f t="array" ref="D159">INDEX('アイテム'!$AE$3:$AF$114, MATCH($A$1,'アイテム'!$A$3:$A$114,0), MATCH(D143,'アイテム'!$C$2:$AQ$2,0))</f>
        <v>30</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233</v>
      </c>
      <c r="C160" s="328">
        <f t="array" ref="C160">INDEX('アイテム'!$AG$3:$AH$114, MATCH($A$1,'アイテム'!$A$3:$A$114,0), MATCH(C143,'アイテム'!$C$2:$AQ$2,0))</f>
        <v>11</v>
      </c>
      <c r="D160" s="328" t="str">
        <f t="array" ref="D160">INDEX('アイテム'!$AG$3:$AH$114, MATCH($A$1,'アイテム'!$A$3:$A$114,0), MATCH(D143,'アイテム'!$C$2:$AQ$2,0))</f>
        <v>22</v>
      </c>
      <c r="E160" s="322"/>
      <c r="F160" s="322"/>
      <c r="G160" s="114"/>
      <c r="H160" s="228"/>
      <c r="I160" s="228"/>
      <c r="J160" s="228"/>
      <c r="K160" s="118"/>
      <c r="L160" s="118"/>
      <c r="M160" s="118"/>
      <c r="N160" s="102"/>
      <c r="O160" s="102"/>
      <c r="P160" s="102"/>
      <c r="Q160" s="102"/>
      <c r="R160" s="118"/>
      <c r="S160" s="118"/>
      <c r="T160" s="118"/>
      <c r="U160" s="118"/>
      <c r="V160" s="118"/>
    </row>
    <row r="161" outlineLevel="1">
      <c r="A161" s="156"/>
      <c r="B161" s="327" t="s">
        <v>234</v>
      </c>
      <c r="C161" s="328">
        <f t="array" ref="C161">INDEX('アイテム'!$AI$3:$AJ$114, MATCH($A$1,'アイテム'!$A$3:$A$114,0), MATCH(C143,'アイテム'!$C$2:$AQ$2,0))</f>
        <v>15</v>
      </c>
      <c r="D161" s="328" t="str">
        <f t="array" ref="D161">INDEX('アイテム'!$AI$3:$AJ$114, MATCH($A$1,'アイテム'!$A$3:$A$114,0), MATCH(D143,'アイテム'!$C$2:$AQ$2,0))</f>
        <v>22</v>
      </c>
      <c r="E161" s="322"/>
      <c r="F161" s="322"/>
      <c r="G161" s="114"/>
      <c r="H161" s="228"/>
      <c r="I161" s="228"/>
      <c r="J161" s="228"/>
      <c r="K161" s="118"/>
      <c r="L161" s="118"/>
      <c r="M161" s="118"/>
      <c r="N161" s="102"/>
      <c r="O161" s="102"/>
      <c r="P161" s="102"/>
      <c r="Q161" s="102"/>
      <c r="R161" s="118"/>
      <c r="S161" s="118"/>
      <c r="T161" s="118"/>
      <c r="U161" s="118"/>
      <c r="V161" s="118"/>
    </row>
  </sheetData>
  <mergeCells count="143">
    <mergeCell ref="A24:B25"/>
    <mergeCell ref="A26:A31"/>
    <mergeCell ref="A32:A33"/>
    <mergeCell ref="D32:D33"/>
    <mergeCell ref="A34:A35"/>
    <mergeCell ref="D34:D35"/>
    <mergeCell ref="D38:D40"/>
    <mergeCell ref="A38:A40"/>
    <mergeCell ref="A41:A42"/>
    <mergeCell ref="A43:A44"/>
    <mergeCell ref="A46:B47"/>
    <mergeCell ref="A54:B54"/>
    <mergeCell ref="A55:B55"/>
    <mergeCell ref="A56:A63"/>
    <mergeCell ref="A64:A69"/>
    <mergeCell ref="D64:D65"/>
    <mergeCell ref="D66:D67"/>
    <mergeCell ref="B56:B58"/>
    <mergeCell ref="D56:D58"/>
    <mergeCell ref="H56:J69"/>
    <mergeCell ref="B59:B61"/>
    <mergeCell ref="D59:D61"/>
    <mergeCell ref="B64:B65"/>
    <mergeCell ref="B66:B67"/>
    <mergeCell ref="H55:J55"/>
    <mergeCell ref="H70:J70"/>
    <mergeCell ref="H73:J76"/>
    <mergeCell ref="H78:J83"/>
    <mergeCell ref="H32:J33"/>
    <mergeCell ref="H34:J35"/>
    <mergeCell ref="H36:J36"/>
    <mergeCell ref="H37:J37"/>
    <mergeCell ref="H38:J40"/>
    <mergeCell ref="H41:J42"/>
    <mergeCell ref="H43:J44"/>
    <mergeCell ref="U34:U35"/>
    <mergeCell ref="U38:U40"/>
    <mergeCell ref="U41:U42"/>
    <mergeCell ref="U43:U44"/>
    <mergeCell ref="R47:V47"/>
    <mergeCell ref="R48:V48"/>
    <mergeCell ref="R49:V49"/>
    <mergeCell ref="R50:V50"/>
    <mergeCell ref="R51:V51"/>
    <mergeCell ref="R52:V52"/>
    <mergeCell ref="U56:U71"/>
    <mergeCell ref="V56:V71"/>
    <mergeCell ref="U73:U76"/>
    <mergeCell ref="V73:V76"/>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1"/>
    <mergeCell ref="U32:U33"/>
    <mergeCell ref="D41:D42"/>
    <mergeCell ref="D43:D44"/>
    <mergeCell ref="A70:A71"/>
    <mergeCell ref="H71:J71"/>
    <mergeCell ref="A72:B72"/>
    <mergeCell ref="H72:J72"/>
    <mergeCell ref="A73:A74"/>
    <mergeCell ref="U78:U83"/>
    <mergeCell ref="V78:V83"/>
    <mergeCell ref="U85:U86"/>
    <mergeCell ref="V85:V86"/>
    <mergeCell ref="A75:A76"/>
    <mergeCell ref="A77:B77"/>
    <mergeCell ref="H77:J77"/>
    <mergeCell ref="A78:A80"/>
    <mergeCell ref="D78:D80"/>
    <mergeCell ref="A81:A83"/>
    <mergeCell ref="D81:D83"/>
    <mergeCell ref="A114:A118"/>
    <mergeCell ref="A122:A127"/>
    <mergeCell ref="A128:A133"/>
    <mergeCell ref="A134:A140"/>
    <mergeCell ref="A144:A145"/>
    <mergeCell ref="A148:A153"/>
    <mergeCell ref="A154:A157"/>
    <mergeCell ref="A158:A161"/>
    <mergeCell ref="A119:A121"/>
    <mergeCell ref="C126:C127"/>
    <mergeCell ref="D126:D127"/>
    <mergeCell ref="C132:C133"/>
    <mergeCell ref="D132:D133"/>
    <mergeCell ref="C139:C140"/>
    <mergeCell ref="D139:D140"/>
    <mergeCell ref="A147:B147"/>
    <mergeCell ref="A84:B84"/>
    <mergeCell ref="H84:J84"/>
    <mergeCell ref="A85:A86"/>
    <mergeCell ref="H85:J85"/>
    <mergeCell ref="H86:J86"/>
    <mergeCell ref="A88:B89"/>
    <mergeCell ref="A91:A93"/>
    <mergeCell ref="G99:J100"/>
    <mergeCell ref="G101:J102"/>
    <mergeCell ref="A94:B94"/>
    <mergeCell ref="G94:J94"/>
    <mergeCell ref="A95:A96"/>
    <mergeCell ref="D95:D96"/>
    <mergeCell ref="G95:J96"/>
    <mergeCell ref="D97:D98"/>
    <mergeCell ref="G97:J98"/>
    <mergeCell ref="A97:A98"/>
    <mergeCell ref="A99:A100"/>
    <mergeCell ref="D99:D100"/>
    <mergeCell ref="A101:A102"/>
    <mergeCell ref="D101:D102"/>
    <mergeCell ref="A104:B105"/>
    <mergeCell ref="A106:A108"/>
    <mergeCell ref="K123:K126"/>
    <mergeCell ref="K129:K132"/>
    <mergeCell ref="K133:L133"/>
    <mergeCell ref="K136:L136"/>
    <mergeCell ref="A109:A110"/>
    <mergeCell ref="A112:B113"/>
    <mergeCell ref="K113:L113"/>
    <mergeCell ref="K114:K115"/>
    <mergeCell ref="K116:L116"/>
    <mergeCell ref="K117:K122"/>
    <mergeCell ref="K127:L127"/>
    <mergeCell ref="A142:B142"/>
    <mergeCell ref="A143:B143"/>
  </mergeCells>
  <conditionalFormatting sqref="K1:K15 K17:K84 K86:K137">
    <cfRule type="containsText" dxfId="0" priority="1" operator="containsText" text="361">
      <formula>NOT(ISERROR(SEARCH(("361"),(K1))))</formula>
    </cfRule>
  </conditionalFormatting>
  <conditionalFormatting sqref="K1:K15 K17:K84 K86:K137">
    <cfRule type="containsText" dxfId="1" priority="2" operator="containsText" text="363">
      <formula>NOT(ISERROR(SEARCH(("363"),(K1))))</formula>
    </cfRule>
  </conditionalFormatting>
  <conditionalFormatting sqref="K1:K15 K17:K84 K86:K137">
    <cfRule type="containsText" dxfId="1" priority="3" operator="containsText" text="365">
      <formula>NOT(ISERROR(SEARCH(("365"),(K1))))</formula>
    </cfRule>
  </conditionalFormatting>
  <conditionalFormatting sqref="K1:K15 K17:K84 K86:K137">
    <cfRule type="containsText" dxfId="1" priority="4" operator="containsText" text="366">
      <formula>NOT(ISERROR(SEARCH(("366"),(K1))))</formula>
    </cfRule>
  </conditionalFormatting>
  <conditionalFormatting sqref="K1:K15 K17:K84 K86:K137">
    <cfRule type="containsText" dxfId="1" priority="5" operator="containsText" text="367">
      <formula>NOT(ISERROR(SEARCH(("367"),(K1))))</formula>
    </cfRule>
  </conditionalFormatting>
  <conditionalFormatting sqref="P95:P102">
    <cfRule type="cellIs" dxfId="2" priority="6" operator="equal">
      <formula>"敵のみ"</formula>
    </cfRule>
  </conditionalFormatting>
  <conditionalFormatting sqref="C95:C102">
    <cfRule type="cellIs" dxfId="3" priority="7" operator="equal">
      <formula>"-"</formula>
    </cfRule>
  </conditionalFormatting>
  <conditionalFormatting sqref="O1:O84 O86:O161">
    <cfRule type="cellIs" dxfId="4" priority="8" operator="greaterThan">
      <formula>0</formula>
    </cfRule>
  </conditionalFormatting>
  <conditionalFormatting sqref="P1:Q84 P86:Q161">
    <cfRule type="cellIs" dxfId="5" priority="9" operator="lessThan">
      <formula>1</formula>
    </cfRule>
  </conditionalFormatting>
  <conditionalFormatting sqref="P1:Q84 P86:Q161">
    <cfRule type="cellIs" dxfId="4" priority="10" operator="greaterThan">
      <formula>1</formula>
    </cfRule>
  </conditionalFormatting>
  <conditionalFormatting sqref="N25:N84 N86:N102">
    <cfRule type="cellIs" dxfId="6" priority="11" operator="greaterThan">
      <formula>0</formula>
    </cfRule>
  </conditionalFormatting>
  <conditionalFormatting sqref="N1:N15 N17:N84 N86:N161">
    <cfRule type="containsText" dxfId="6" priority="12" operator="containsText" text="/">
      <formula>NOT(ISERROR(SEARCH(("/"),(N1))))</formula>
    </cfRule>
  </conditionalFormatting>
  <drawing r:id="rId2"/>
  <legacyDrawing r:id="rId3"/>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1E5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10" width="11.63"/>
    <col customWidth="1" min="11" max="14" width="11.63" outlineLevel="1"/>
    <col customWidth="1" min="15" max="20" width="7.0" outlineLevel="1"/>
    <col customWidth="1" min="21" max="22" width="7.0"/>
  </cols>
  <sheetData>
    <row r="1">
      <c r="A1" s="2250">
        <v>50.0</v>
      </c>
      <c r="B1" s="2251"/>
      <c r="C1" s="2252" t="str">
        <f>IMAGE(VLOOKUP($A$1,Fighters!A2:AI114,12,FALSE),1)</f>
        <v>#REF!</v>
      </c>
      <c r="D1" s="2253"/>
      <c r="E1" s="2253"/>
      <c r="F1" s="2253"/>
      <c r="G1" s="2254"/>
      <c r="H1" s="2255"/>
      <c r="I1" s="2253"/>
      <c r="J1" s="2254"/>
      <c r="K1" s="2256"/>
      <c r="L1" s="2253"/>
      <c r="M1" s="2254"/>
      <c r="N1" s="2257"/>
      <c r="O1" s="2257"/>
      <c r="P1" s="2257"/>
      <c r="Q1" s="2257"/>
      <c r="R1" s="2258"/>
      <c r="S1" s="2258"/>
      <c r="T1" s="2258"/>
      <c r="U1" s="2258"/>
      <c r="V1" s="2258"/>
    </row>
    <row r="2">
      <c r="A2" s="2259" t="str">
        <f>VLOOKUP($A$1,Fighters!$A$2:$AI$81,6,FALSE)</f>
        <v>#1a1e54</v>
      </c>
      <c r="B2" s="2251"/>
      <c r="C2" s="2260"/>
      <c r="G2" s="2261"/>
      <c r="H2" s="2262"/>
      <c r="I2" s="2263"/>
      <c r="J2" s="2264"/>
      <c r="K2" s="2262"/>
      <c r="L2" s="2263"/>
      <c r="M2" s="2264"/>
      <c r="N2" s="2257"/>
      <c r="O2" s="2257"/>
      <c r="P2" s="2257"/>
      <c r="Q2" s="2257"/>
      <c r="R2" s="2258"/>
      <c r="S2" s="2258"/>
      <c r="T2" s="2258"/>
      <c r="U2" s="2258"/>
      <c r="V2" s="2258"/>
    </row>
    <row r="3">
      <c r="A3" s="2259" t="str">
        <f>VLOOKUP($A$1,Fighters!$A$2:$AI$81,14,FALSE)</f>
        <v>50. ゲッコウガ</v>
      </c>
      <c r="B3" s="2251"/>
      <c r="C3" s="2260"/>
      <c r="G3" s="2261"/>
      <c r="H3" s="2265"/>
      <c r="I3" s="2265"/>
      <c r="J3" s="2265"/>
      <c r="K3" s="2266"/>
      <c r="L3" s="2266"/>
      <c r="M3" s="2266"/>
      <c r="N3" s="2257"/>
      <c r="O3" s="2257"/>
      <c r="P3" s="2257"/>
      <c r="Q3" s="2257"/>
      <c r="R3" s="2267"/>
      <c r="S3" s="2258"/>
      <c r="T3" s="2258"/>
      <c r="U3" s="2258"/>
      <c r="V3" s="2258"/>
    </row>
    <row r="4">
      <c r="A4" s="2259" t="str">
        <f>VLOOKUP($A$1,Fighters!$A$2:$AI$81,13,FALSE)</f>
        <v>1</v>
      </c>
      <c r="B4" s="2251"/>
      <c r="C4" s="2260"/>
      <c r="G4" s="2261"/>
      <c r="H4" s="2268"/>
      <c r="I4" s="2268"/>
      <c r="J4" s="2265"/>
      <c r="K4" s="2266"/>
      <c r="L4" s="2266"/>
      <c r="M4" s="2266"/>
      <c r="N4" s="2257"/>
      <c r="O4" s="2257"/>
      <c r="P4" s="2257"/>
      <c r="Q4" s="2257"/>
      <c r="R4" s="2267"/>
      <c r="S4" s="2258"/>
      <c r="T4" s="2258"/>
      <c r="U4" s="2258"/>
      <c r="V4" s="2258"/>
    </row>
    <row r="5" ht="16.5" customHeight="1">
      <c r="A5" s="2250"/>
      <c r="B5" s="2251"/>
      <c r="C5" s="2260"/>
      <c r="G5" s="2261"/>
      <c r="H5" s="2269"/>
      <c r="I5" s="2269"/>
      <c r="J5" s="2270"/>
      <c r="K5" s="2271"/>
      <c r="L5" s="2272"/>
      <c r="M5" s="2272"/>
      <c r="N5" s="2257"/>
      <c r="O5" s="2257"/>
      <c r="P5" s="2257"/>
      <c r="Q5" s="2257"/>
      <c r="R5" s="2267"/>
      <c r="S5" s="2258"/>
      <c r="T5" s="2258"/>
      <c r="U5" s="2258"/>
      <c r="V5" s="2258"/>
    </row>
    <row r="6">
      <c r="A6" s="2251"/>
      <c r="B6" s="2251"/>
      <c r="C6" s="2260"/>
      <c r="G6" s="2261"/>
      <c r="H6" s="2268"/>
      <c r="I6" s="2273" t="s">
        <v>39</v>
      </c>
      <c r="J6" s="2271"/>
      <c r="K6" s="2274"/>
      <c r="L6" s="2272"/>
      <c r="M6" s="2272"/>
      <c r="N6" s="2257"/>
      <c r="O6" s="2257"/>
      <c r="P6" s="2257"/>
      <c r="Q6" s="2257"/>
      <c r="R6" s="2267"/>
      <c r="S6" s="2258"/>
      <c r="T6" s="2258"/>
      <c r="U6" s="2258"/>
      <c r="V6" s="2258"/>
    </row>
    <row r="7">
      <c r="A7" s="2251"/>
      <c r="B7" s="2251"/>
      <c r="C7" s="2260"/>
      <c r="G7" s="2261"/>
      <c r="H7" s="2269"/>
      <c r="I7" s="2269"/>
      <c r="J7" s="2271"/>
      <c r="K7" s="2274"/>
      <c r="L7" s="2272"/>
      <c r="M7" s="2272"/>
      <c r="N7" s="2257"/>
      <c r="O7" s="2257"/>
      <c r="P7" s="2257"/>
      <c r="Q7" s="2257"/>
      <c r="R7" s="2267"/>
      <c r="S7" s="2258"/>
      <c r="T7" s="2258"/>
      <c r="U7" s="2258"/>
      <c r="V7" s="2258"/>
    </row>
    <row r="8">
      <c r="A8" s="2251"/>
      <c r="B8" s="2251"/>
      <c r="C8" s="2260"/>
      <c r="G8" s="2261"/>
      <c r="H8" s="2275">
        <v>44379.844712997685</v>
      </c>
      <c r="I8" s="2253"/>
      <c r="J8" s="2254"/>
      <c r="K8" s="2271"/>
      <c r="L8" s="2272"/>
      <c r="M8" s="2272"/>
      <c r="N8" s="2257"/>
      <c r="O8" s="2257"/>
      <c r="P8" s="2257"/>
      <c r="Q8" s="2257"/>
      <c r="R8" s="2267"/>
      <c r="S8" s="2258"/>
      <c r="T8" s="2258"/>
      <c r="U8" s="2258"/>
      <c r="V8" s="2258"/>
    </row>
    <row r="9">
      <c r="A9" s="2251"/>
      <c r="B9" s="2251"/>
      <c r="C9" s="2260"/>
      <c r="G9" s="2261"/>
      <c r="H9" s="2262"/>
      <c r="I9" s="2263"/>
      <c r="J9" s="2264"/>
      <c r="K9" s="2258"/>
      <c r="L9" s="2257"/>
      <c r="M9" s="2257"/>
      <c r="N9" s="2257"/>
      <c r="O9" s="2257"/>
      <c r="P9" s="2257"/>
      <c r="Q9" s="2257"/>
      <c r="R9" s="2267"/>
      <c r="S9" s="2258"/>
      <c r="T9" s="2258"/>
      <c r="U9" s="2258"/>
      <c r="V9" s="2258"/>
    </row>
    <row r="10">
      <c r="A10" s="2251"/>
      <c r="B10" s="2251"/>
      <c r="C10" s="2260"/>
      <c r="G10" s="2261"/>
      <c r="H10" s="2276"/>
      <c r="I10" s="2276"/>
      <c r="J10" s="2258"/>
      <c r="K10" s="2258"/>
      <c r="L10" s="2257"/>
      <c r="M10" s="2257"/>
      <c r="N10" s="2257"/>
      <c r="O10" s="2257"/>
      <c r="P10" s="2257"/>
      <c r="Q10" s="2257"/>
      <c r="R10" s="2267"/>
      <c r="S10" s="2258"/>
      <c r="T10" s="2258"/>
      <c r="U10" s="2258"/>
      <c r="V10" s="2258"/>
    </row>
    <row r="11">
      <c r="A11" s="2277" t="s">
        <v>40</v>
      </c>
      <c r="B11" s="2254"/>
      <c r="C11" s="2260"/>
      <c r="G11" s="2261"/>
      <c r="H11" s="2269"/>
      <c r="I11" s="2269"/>
      <c r="J11" s="2258"/>
      <c r="K11" s="2258"/>
      <c r="L11" s="2257"/>
      <c r="M11" s="2257"/>
      <c r="N11" s="2257"/>
      <c r="O11" s="2257"/>
      <c r="P11" s="2257"/>
      <c r="Q11" s="2257"/>
      <c r="R11" s="2267"/>
      <c r="S11" s="2258"/>
      <c r="T11" s="2258"/>
      <c r="U11" s="2258"/>
      <c r="V11" s="2258"/>
    </row>
    <row r="12">
      <c r="A12" s="2262"/>
      <c r="B12" s="2264"/>
      <c r="C12" s="2262"/>
      <c r="D12" s="2263"/>
      <c r="E12" s="2263"/>
      <c r="F12" s="2263"/>
      <c r="G12" s="2264"/>
      <c r="H12" s="2278"/>
      <c r="I12" s="2278"/>
      <c r="J12" s="2251"/>
      <c r="K12" s="2251"/>
      <c r="L12" s="2257"/>
      <c r="M12" s="2257"/>
      <c r="N12" s="2257"/>
      <c r="O12" s="2257"/>
      <c r="P12" s="2257"/>
      <c r="Q12" s="2257"/>
      <c r="R12" s="2267"/>
      <c r="S12" s="2258"/>
      <c r="T12" s="2258"/>
      <c r="U12" s="2258"/>
      <c r="V12" s="225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88 [66th]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32F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2.178 [14th]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1.502 [4th]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49F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0.187 [6th]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46 [2nd]</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2.288 [8th]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0.087 [75th]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22.11 [1st]</v>
      </c>
      <c r="O19" s="99"/>
      <c r="P19" s="99"/>
      <c r="Q19" s="99"/>
      <c r="R19" s="99"/>
      <c r="S19" s="111"/>
      <c r="T19" s="111"/>
      <c r="U19" s="111"/>
      <c r="V19" s="111"/>
    </row>
    <row r="20" outlineLevel="1">
      <c r="A20" s="112" t="str">
        <f>'テンプレート'!A20</f>
        <v>カベ張りつき</v>
      </c>
      <c r="B20" s="447" t="b">
        <v>1</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1.239 [10th]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46 [5th]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23F [85th]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1.85 [9th]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2.96 [9th]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0.18 [2nd]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204</v>
      </c>
      <c r="D26" s="139" t="s">
        <v>65</v>
      </c>
      <c r="E26" s="139" t="s">
        <v>176</v>
      </c>
      <c r="F26" s="138">
        <v>2.4</v>
      </c>
      <c r="G26" s="139" t="s">
        <v>60</v>
      </c>
      <c r="H26" s="140" t="s">
        <v>961</v>
      </c>
      <c r="I26" s="110"/>
      <c r="J26" s="109"/>
      <c r="K26" s="138"/>
      <c r="L26" s="282"/>
      <c r="M26" s="363"/>
      <c r="N26" s="363"/>
      <c r="O26" s="145">
        <v>0.0</v>
      </c>
      <c r="P26" s="145">
        <v>1.0</v>
      </c>
      <c r="Q26" s="145">
        <v>1.0</v>
      </c>
      <c r="R26" s="100"/>
      <c r="S26" s="100"/>
      <c r="T26" s="100"/>
      <c r="U26" s="145" t="s">
        <v>69</v>
      </c>
      <c r="V26" s="100"/>
    </row>
    <row r="27" outlineLevel="1">
      <c r="A27" s="146"/>
      <c r="B27" s="147" t="s">
        <v>63</v>
      </c>
      <c r="C27" s="216" t="s">
        <v>71</v>
      </c>
      <c r="D27" s="216" t="s">
        <v>65</v>
      </c>
      <c r="E27" s="216" t="s">
        <v>176</v>
      </c>
      <c r="F27" s="138">
        <v>2.4</v>
      </c>
      <c r="G27" s="139" t="s">
        <v>60</v>
      </c>
      <c r="H27" s="140" t="s">
        <v>3505</v>
      </c>
      <c r="I27" s="110"/>
      <c r="J27" s="109"/>
      <c r="K27" s="282"/>
      <c r="L27" s="282"/>
      <c r="M27" s="363"/>
      <c r="N27" s="363"/>
      <c r="O27" s="145">
        <v>0.0</v>
      </c>
      <c r="P27" s="145">
        <v>1.0</v>
      </c>
      <c r="Q27" s="145">
        <v>1.0</v>
      </c>
      <c r="R27" s="100"/>
      <c r="S27" s="100"/>
      <c r="T27" s="100"/>
      <c r="U27" s="145" t="s">
        <v>76</v>
      </c>
      <c r="V27" s="100"/>
    </row>
    <row r="28" outlineLevel="1">
      <c r="A28" s="146"/>
      <c r="B28" s="147" t="s">
        <v>70</v>
      </c>
      <c r="C28" s="216" t="s">
        <v>267</v>
      </c>
      <c r="D28" s="467" t="s">
        <v>193</v>
      </c>
      <c r="E28" s="216" t="s">
        <v>204</v>
      </c>
      <c r="F28" s="138">
        <v>3.5999999999999996</v>
      </c>
      <c r="G28" s="139" t="s">
        <v>147</v>
      </c>
      <c r="H28" s="159"/>
      <c r="I28" s="110"/>
      <c r="J28" s="109"/>
      <c r="K28" s="282"/>
      <c r="L28" s="282"/>
      <c r="M28" s="363"/>
      <c r="N28" s="363"/>
      <c r="O28" s="145">
        <v>0.0</v>
      </c>
      <c r="P28" s="145">
        <v>1.0</v>
      </c>
      <c r="Q28" s="145">
        <v>1.0</v>
      </c>
      <c r="R28" s="100"/>
      <c r="S28" s="100"/>
      <c r="T28" s="100"/>
      <c r="U28" s="145" t="s">
        <v>76</v>
      </c>
      <c r="V28" s="100"/>
    </row>
    <row r="29" outlineLevel="1">
      <c r="A29" s="146"/>
      <c r="B29" s="147" t="s">
        <v>703</v>
      </c>
      <c r="C29" s="657"/>
      <c r="D29" s="216" t="s">
        <v>204</v>
      </c>
      <c r="E29" s="2279"/>
      <c r="F29" s="658"/>
      <c r="G29" s="659"/>
      <c r="H29" s="159"/>
      <c r="I29" s="110"/>
      <c r="J29" s="109"/>
      <c r="K29" s="261"/>
      <c r="L29" s="261"/>
      <c r="M29" s="261"/>
      <c r="N29" s="261"/>
      <c r="O29" s="261"/>
      <c r="P29" s="261"/>
      <c r="Q29" s="261"/>
      <c r="R29" s="100"/>
      <c r="S29" s="100"/>
      <c r="T29" s="100"/>
      <c r="U29" s="145" t="s">
        <v>76</v>
      </c>
      <c r="V29" s="100"/>
    </row>
    <row r="30" outlineLevel="1">
      <c r="A30" s="146"/>
      <c r="B30" s="147" t="s">
        <v>704</v>
      </c>
      <c r="C30" s="216" t="s">
        <v>3582</v>
      </c>
      <c r="D30" s="216" t="s">
        <v>466</v>
      </c>
      <c r="E30" s="216" t="s">
        <v>1098</v>
      </c>
      <c r="F30" s="138">
        <v>0.6</v>
      </c>
      <c r="G30" s="450" t="s">
        <v>60</v>
      </c>
      <c r="H30" s="140" t="s">
        <v>3583</v>
      </c>
      <c r="I30" s="110"/>
      <c r="J30" s="109"/>
      <c r="K30" s="282"/>
      <c r="L30" s="282"/>
      <c r="M30" s="363"/>
      <c r="N30" s="363"/>
      <c r="O30" s="145">
        <v>0.0</v>
      </c>
      <c r="P30" s="145">
        <v>1.0</v>
      </c>
      <c r="Q30" s="145">
        <v>1.1</v>
      </c>
      <c r="R30" s="100"/>
      <c r="S30" s="100"/>
      <c r="T30" s="100"/>
      <c r="U30" s="145" t="s">
        <v>76</v>
      </c>
      <c r="V30" s="100"/>
    </row>
    <row r="31" outlineLevel="1">
      <c r="A31" s="156"/>
      <c r="B31" s="147" t="s">
        <v>708</v>
      </c>
      <c r="C31" s="216" t="s">
        <v>717</v>
      </c>
      <c r="D31" s="216" t="s">
        <v>111</v>
      </c>
      <c r="E31" s="216" t="s">
        <v>176</v>
      </c>
      <c r="F31" s="138">
        <v>2.4</v>
      </c>
      <c r="G31" s="216" t="s">
        <v>60</v>
      </c>
      <c r="H31" s="140" t="s">
        <v>411</v>
      </c>
      <c r="I31" s="110"/>
      <c r="J31" s="109"/>
      <c r="K31" s="282"/>
      <c r="L31" s="282"/>
      <c r="M31" s="363"/>
      <c r="N31" s="363"/>
      <c r="O31" s="145">
        <v>0.0</v>
      </c>
      <c r="P31" s="145">
        <v>1.0</v>
      </c>
      <c r="Q31" s="145">
        <v>1.0</v>
      </c>
      <c r="R31" s="100"/>
      <c r="S31" s="100"/>
      <c r="T31" s="100"/>
      <c r="U31" s="145" t="s">
        <v>76</v>
      </c>
      <c r="V31" s="100"/>
    </row>
    <row r="32" outlineLevel="1">
      <c r="A32" s="170" t="s">
        <v>77</v>
      </c>
      <c r="B32" s="160"/>
      <c r="C32" s="216" t="s">
        <v>733</v>
      </c>
      <c r="D32" s="216" t="s">
        <v>593</v>
      </c>
      <c r="E32" s="216" t="s">
        <v>80</v>
      </c>
      <c r="F32" s="138">
        <v>9.6</v>
      </c>
      <c r="G32" s="139" t="s">
        <v>123</v>
      </c>
      <c r="H32" s="159"/>
      <c r="I32" s="110"/>
      <c r="J32" s="109"/>
      <c r="K32" s="138"/>
      <c r="L32" s="282"/>
      <c r="M32" s="363"/>
      <c r="N32" s="363"/>
      <c r="O32" s="145">
        <v>1.0</v>
      </c>
      <c r="P32" s="145">
        <v>1.0</v>
      </c>
      <c r="Q32" s="145">
        <v>1.0</v>
      </c>
      <c r="R32" s="100"/>
      <c r="S32" s="100"/>
      <c r="T32" s="100"/>
      <c r="U32" s="145" t="s">
        <v>69</v>
      </c>
      <c r="V32" s="100"/>
    </row>
    <row r="33" outlineLevel="1">
      <c r="A33" s="133" t="s">
        <v>89</v>
      </c>
      <c r="B33" s="147" t="s">
        <v>276</v>
      </c>
      <c r="C33" s="195" t="s">
        <v>627</v>
      </c>
      <c r="D33" s="195" t="s">
        <v>964</v>
      </c>
      <c r="E33" s="216" t="s">
        <v>2406</v>
      </c>
      <c r="F33" s="138">
        <v>9.96</v>
      </c>
      <c r="G33" s="139" t="s">
        <v>123</v>
      </c>
      <c r="H33" s="456"/>
      <c r="I33" s="164"/>
      <c r="J33" s="104"/>
      <c r="K33" s="138"/>
      <c r="L33" s="282"/>
      <c r="M33" s="363"/>
      <c r="N33" s="363"/>
      <c r="O33" s="145">
        <v>0.0</v>
      </c>
      <c r="P33" s="145">
        <v>1.0</v>
      </c>
      <c r="Q33" s="145">
        <v>1.0</v>
      </c>
      <c r="R33" s="100"/>
      <c r="S33" s="100"/>
      <c r="T33" s="100"/>
      <c r="U33" s="166" t="s">
        <v>62</v>
      </c>
      <c r="V33" s="100"/>
    </row>
    <row r="34" outlineLevel="1">
      <c r="A34" s="146"/>
      <c r="B34" s="147" t="s">
        <v>279</v>
      </c>
      <c r="C34" s="210"/>
      <c r="D34" s="210"/>
      <c r="E34" s="216" t="s">
        <v>3584</v>
      </c>
      <c r="F34" s="138">
        <v>8.76</v>
      </c>
      <c r="G34" s="139" t="s">
        <v>95</v>
      </c>
      <c r="H34" s="212"/>
      <c r="J34" s="210"/>
      <c r="K34" s="282"/>
      <c r="L34" s="282"/>
      <c r="M34" s="363"/>
      <c r="N34" s="363"/>
      <c r="O34" s="145"/>
      <c r="P34" s="145"/>
      <c r="Q34" s="145"/>
      <c r="R34" s="100"/>
      <c r="S34" s="100"/>
      <c r="T34" s="100"/>
      <c r="U34" s="146"/>
      <c r="V34" s="100"/>
    </row>
    <row r="35" outlineLevel="1">
      <c r="A35" s="156"/>
      <c r="B35" s="147" t="s">
        <v>280</v>
      </c>
      <c r="C35" s="107"/>
      <c r="D35" s="107"/>
      <c r="E35" s="216" t="s">
        <v>2406</v>
      </c>
      <c r="F35" s="138">
        <v>9.96</v>
      </c>
      <c r="G35" s="139" t="s">
        <v>123</v>
      </c>
      <c r="H35" s="106"/>
      <c r="I35" s="168"/>
      <c r="J35" s="107"/>
      <c r="K35" s="282"/>
      <c r="L35" s="282"/>
      <c r="M35" s="363"/>
      <c r="N35" s="363"/>
      <c r="O35" s="145"/>
      <c r="P35" s="145"/>
      <c r="Q35" s="145"/>
      <c r="R35" s="100"/>
      <c r="S35" s="100"/>
      <c r="T35" s="100"/>
      <c r="U35" s="156"/>
      <c r="V35" s="100"/>
    </row>
    <row r="36" outlineLevel="1">
      <c r="A36" s="170" t="s">
        <v>97</v>
      </c>
      <c r="B36" s="160"/>
      <c r="C36" s="216" t="s">
        <v>272</v>
      </c>
      <c r="D36" s="216" t="s">
        <v>964</v>
      </c>
      <c r="E36" s="216" t="s">
        <v>1438</v>
      </c>
      <c r="F36" s="138">
        <v>5.3999999999999995</v>
      </c>
      <c r="G36" s="139" t="s">
        <v>75</v>
      </c>
      <c r="H36" s="159"/>
      <c r="I36" s="110"/>
      <c r="J36" s="109"/>
      <c r="K36" s="282"/>
      <c r="L36" s="282"/>
      <c r="M36" s="363"/>
      <c r="N36" s="363"/>
      <c r="O36" s="145">
        <v>0.0</v>
      </c>
      <c r="P36" s="145">
        <v>1.0</v>
      </c>
      <c r="Q36" s="145">
        <v>1.0</v>
      </c>
      <c r="R36" s="100"/>
      <c r="S36" s="100"/>
      <c r="T36" s="100"/>
      <c r="U36" s="145" t="s">
        <v>62</v>
      </c>
      <c r="V36" s="100"/>
    </row>
    <row r="37" outlineLevel="1">
      <c r="A37" s="170" t="s">
        <v>103</v>
      </c>
      <c r="B37" s="160"/>
      <c r="C37" s="216" t="s">
        <v>267</v>
      </c>
      <c r="D37" s="216" t="s">
        <v>1114</v>
      </c>
      <c r="E37" s="216" t="s">
        <v>73</v>
      </c>
      <c r="F37" s="138">
        <v>4.8</v>
      </c>
      <c r="G37" s="139" t="s">
        <v>75</v>
      </c>
      <c r="H37" s="159"/>
      <c r="I37" s="110"/>
      <c r="J37" s="109"/>
      <c r="K37" s="145"/>
      <c r="L37" s="363"/>
      <c r="M37" s="363"/>
      <c r="N37" s="363"/>
      <c r="O37" s="145">
        <v>0.0</v>
      </c>
      <c r="P37" s="145">
        <v>1.0</v>
      </c>
      <c r="Q37" s="145">
        <v>1.0</v>
      </c>
      <c r="R37" s="100"/>
      <c r="S37" s="100"/>
      <c r="T37" s="100"/>
      <c r="U37" s="145" t="s">
        <v>62</v>
      </c>
      <c r="V37" s="100"/>
    </row>
    <row r="38" outlineLevel="1">
      <c r="A38" s="170" t="s">
        <v>109</v>
      </c>
      <c r="B38" s="147"/>
      <c r="C38" s="216" t="s">
        <v>721</v>
      </c>
      <c r="D38" s="216" t="s">
        <v>185</v>
      </c>
      <c r="E38" s="216" t="s">
        <v>119</v>
      </c>
      <c r="F38" s="138">
        <v>16.8</v>
      </c>
      <c r="G38" s="139" t="s">
        <v>121</v>
      </c>
      <c r="H38" s="151" t="s">
        <v>1379</v>
      </c>
      <c r="I38" s="110"/>
      <c r="J38" s="109"/>
      <c r="K38" s="282"/>
      <c r="L38" s="282"/>
      <c r="M38" s="363"/>
      <c r="N38" s="363"/>
      <c r="O38" s="145">
        <v>0.0</v>
      </c>
      <c r="P38" s="145">
        <v>1.0</v>
      </c>
      <c r="Q38" s="145">
        <v>1.0</v>
      </c>
      <c r="R38" s="100"/>
      <c r="S38" s="100"/>
      <c r="T38" s="100"/>
      <c r="U38" s="145" t="s">
        <v>275</v>
      </c>
      <c r="V38" s="100"/>
    </row>
    <row r="39" outlineLevel="1">
      <c r="A39" s="133" t="s">
        <v>116</v>
      </c>
      <c r="B39" s="147" t="s">
        <v>125</v>
      </c>
      <c r="C39" s="216" t="s">
        <v>1378</v>
      </c>
      <c r="D39" s="195" t="s">
        <v>455</v>
      </c>
      <c r="E39" s="216" t="s">
        <v>150</v>
      </c>
      <c r="F39" s="138">
        <v>6.0</v>
      </c>
      <c r="G39" s="139" t="s">
        <v>147</v>
      </c>
      <c r="H39" s="163" t="s">
        <v>3585</v>
      </c>
      <c r="I39" s="164"/>
      <c r="J39" s="104"/>
      <c r="K39" s="363"/>
      <c r="L39" s="363"/>
      <c r="M39" s="363"/>
      <c r="N39" s="363"/>
      <c r="O39" s="145">
        <v>0.0</v>
      </c>
      <c r="P39" s="145">
        <v>1.0</v>
      </c>
      <c r="Q39" s="145">
        <v>1.0</v>
      </c>
      <c r="R39" s="100"/>
      <c r="S39" s="100"/>
      <c r="T39" s="100"/>
      <c r="U39" s="166" t="s">
        <v>62</v>
      </c>
      <c r="V39" s="100"/>
    </row>
    <row r="40" outlineLevel="1">
      <c r="A40" s="146"/>
      <c r="B40" s="147" t="s">
        <v>131</v>
      </c>
      <c r="C40" s="216" t="s">
        <v>466</v>
      </c>
      <c r="D40" s="210"/>
      <c r="E40" s="216" t="s">
        <v>2662</v>
      </c>
      <c r="F40" s="138" t="s">
        <v>2663</v>
      </c>
      <c r="G40" s="139" t="s">
        <v>969</v>
      </c>
      <c r="H40" s="212"/>
      <c r="J40" s="210"/>
      <c r="K40" s="363"/>
      <c r="L40" s="363"/>
      <c r="M40" s="363"/>
      <c r="N40" s="363"/>
      <c r="O40" s="145">
        <v>0.0</v>
      </c>
      <c r="P40" s="145">
        <v>1.0</v>
      </c>
      <c r="Q40" s="145">
        <v>1.0</v>
      </c>
      <c r="R40" s="100"/>
      <c r="S40" s="100"/>
      <c r="T40" s="100"/>
      <c r="U40" s="146"/>
      <c r="V40" s="100"/>
    </row>
    <row r="41" outlineLevel="1">
      <c r="A41" s="146"/>
      <c r="B41" s="147" t="s">
        <v>1235</v>
      </c>
      <c r="C41" s="216" t="s">
        <v>334</v>
      </c>
      <c r="D41" s="210"/>
      <c r="E41" s="216" t="s">
        <v>232</v>
      </c>
      <c r="F41" s="138">
        <v>13.2</v>
      </c>
      <c r="G41" s="139" t="s">
        <v>123</v>
      </c>
      <c r="H41" s="212"/>
      <c r="J41" s="210"/>
      <c r="K41" s="363"/>
      <c r="L41" s="363"/>
      <c r="M41" s="363"/>
      <c r="N41" s="363"/>
      <c r="O41" s="145">
        <v>0.0</v>
      </c>
      <c r="P41" s="145">
        <v>1.0</v>
      </c>
      <c r="Q41" s="145">
        <v>1.0</v>
      </c>
      <c r="R41" s="100"/>
      <c r="S41" s="100"/>
      <c r="T41" s="100"/>
      <c r="U41" s="146"/>
      <c r="V41" s="100"/>
    </row>
    <row r="42" outlineLevel="1">
      <c r="A42" s="156"/>
      <c r="B42" s="147" t="s">
        <v>1234</v>
      </c>
      <c r="C42" s="216" t="s">
        <v>65</v>
      </c>
      <c r="D42" s="107"/>
      <c r="E42" s="216" t="s">
        <v>128</v>
      </c>
      <c r="F42" s="138">
        <v>12.0</v>
      </c>
      <c r="G42" s="139" t="s">
        <v>95</v>
      </c>
      <c r="H42" s="106"/>
      <c r="I42" s="168"/>
      <c r="J42" s="107"/>
      <c r="K42" s="363"/>
      <c r="L42" s="363"/>
      <c r="M42" s="363"/>
      <c r="N42" s="363"/>
      <c r="O42" s="145">
        <v>0.0</v>
      </c>
      <c r="P42" s="145">
        <v>1.0</v>
      </c>
      <c r="Q42" s="145">
        <v>1.0</v>
      </c>
      <c r="R42" s="100"/>
      <c r="S42" s="100"/>
      <c r="T42" s="100"/>
      <c r="U42" s="156"/>
      <c r="V42" s="100"/>
    </row>
    <row r="43" outlineLevel="1">
      <c r="A43" s="133" t="s">
        <v>124</v>
      </c>
      <c r="B43" s="147"/>
      <c r="C43" s="216" t="s">
        <v>299</v>
      </c>
      <c r="D43" s="195" t="s">
        <v>185</v>
      </c>
      <c r="E43" s="216" t="s">
        <v>3586</v>
      </c>
      <c r="F43" s="138" t="s">
        <v>3587</v>
      </c>
      <c r="G43" s="139" t="s">
        <v>427</v>
      </c>
      <c r="H43" s="163" t="s">
        <v>442</v>
      </c>
      <c r="I43" s="164"/>
      <c r="J43" s="104"/>
      <c r="K43" s="282"/>
      <c r="L43" s="282"/>
      <c r="M43" s="363"/>
      <c r="N43" s="363"/>
      <c r="O43" s="145">
        <v>0.0</v>
      </c>
      <c r="P43" s="145">
        <v>1.0</v>
      </c>
      <c r="Q43" s="145">
        <v>1.0</v>
      </c>
      <c r="R43" s="100"/>
      <c r="S43" s="100"/>
      <c r="T43" s="100"/>
      <c r="U43" s="166" t="s">
        <v>62</v>
      </c>
      <c r="V43" s="100"/>
    </row>
    <row r="44" outlineLevel="1">
      <c r="A44" s="146"/>
      <c r="B44" s="147" t="s">
        <v>84</v>
      </c>
      <c r="C44" s="216" t="s">
        <v>228</v>
      </c>
      <c r="D44" s="210"/>
      <c r="E44" s="216" t="s">
        <v>232</v>
      </c>
      <c r="F44" s="138">
        <v>13.2</v>
      </c>
      <c r="G44" s="139" t="s">
        <v>123</v>
      </c>
      <c r="H44" s="106"/>
      <c r="I44" s="168"/>
      <c r="J44" s="107"/>
      <c r="K44" s="282"/>
      <c r="L44" s="282"/>
      <c r="M44" s="363"/>
      <c r="N44" s="363"/>
      <c r="O44" s="145"/>
      <c r="P44" s="145"/>
      <c r="Q44" s="145"/>
      <c r="R44" s="100"/>
      <c r="S44" s="100"/>
      <c r="T44" s="100"/>
      <c r="U44" s="156"/>
      <c r="V44" s="100"/>
    </row>
    <row r="45" outlineLevel="1">
      <c r="A45" s="771" t="s">
        <v>16</v>
      </c>
      <c r="B45" s="109"/>
      <c r="C45" s="127" t="s">
        <v>48</v>
      </c>
      <c r="D45" s="128" t="s">
        <v>49</v>
      </c>
      <c r="E45" s="128" t="s">
        <v>50</v>
      </c>
      <c r="F45" s="129" t="s">
        <v>51</v>
      </c>
      <c r="G45" s="128" t="s">
        <v>52</v>
      </c>
      <c r="H45" s="361" t="s">
        <v>53</v>
      </c>
      <c r="I45" s="110"/>
      <c r="J45" s="109"/>
      <c r="K45" s="131" t="s">
        <v>137</v>
      </c>
      <c r="L45" s="131" t="s">
        <v>138</v>
      </c>
      <c r="M45" s="131" t="s">
        <v>139</v>
      </c>
      <c r="N45" s="131" t="s">
        <v>140</v>
      </c>
      <c r="O45" s="132" t="s">
        <v>141</v>
      </c>
      <c r="P45" s="131" t="s">
        <v>142</v>
      </c>
      <c r="Q45" s="132" t="s">
        <v>143</v>
      </c>
      <c r="R45" s="100"/>
      <c r="S45" s="100"/>
      <c r="T45" s="100"/>
      <c r="U45" s="127" t="s">
        <v>54</v>
      </c>
      <c r="V45" s="100"/>
    </row>
    <row r="46" outlineLevel="1">
      <c r="A46" s="170" t="s">
        <v>971</v>
      </c>
      <c r="B46" s="134"/>
      <c r="C46" s="137" t="s">
        <v>3588</v>
      </c>
      <c r="D46" s="137" t="s">
        <v>3589</v>
      </c>
      <c r="E46" s="137" t="s">
        <v>1098</v>
      </c>
      <c r="F46" s="138">
        <v>0.6</v>
      </c>
      <c r="G46" s="139" t="s">
        <v>170</v>
      </c>
      <c r="H46" s="786" t="s">
        <v>3590</v>
      </c>
      <c r="I46" s="110"/>
      <c r="J46" s="109"/>
      <c r="K46" s="282"/>
      <c r="L46" s="282"/>
      <c r="M46" s="363"/>
      <c r="N46" s="363"/>
      <c r="O46" s="145">
        <v>0.0</v>
      </c>
      <c r="P46" s="145">
        <v>0.0</v>
      </c>
      <c r="Q46" s="145">
        <v>0.0</v>
      </c>
      <c r="R46" s="100"/>
      <c r="S46" s="100"/>
      <c r="T46" s="100"/>
      <c r="U46" s="145" t="s">
        <v>62</v>
      </c>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
        <v>133</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
        <v>48</v>
      </c>
      <c r="D49" s="183" t="s">
        <v>49</v>
      </c>
      <c r="E49" s="182" t="s">
        <v>50</v>
      </c>
      <c r="F49" s="184" t="s">
        <v>51</v>
      </c>
      <c r="G49" s="184" t="s">
        <v>134</v>
      </c>
      <c r="H49" s="185" t="s">
        <v>52</v>
      </c>
      <c r="I49" s="184" t="str">
        <f>'テンプレート'!I56</f>
        <v>着地隙</v>
      </c>
      <c r="J49" s="184" t="s">
        <v>136</v>
      </c>
      <c r="K49" s="184" t="str">
        <f>'テンプレート'!K56</f>
        <v>ベクトル</v>
      </c>
      <c r="L49" s="184" t="str">
        <f>'テンプレート'!L56</f>
        <v>KBG (R.E.)</v>
      </c>
      <c r="M49" s="184" t="str">
        <f>'テンプレート'!M56</f>
        <v>BKB (R.A.)</v>
      </c>
      <c r="N49" s="184" t="str">
        <f>'テンプレート'!N56</f>
        <v>FKB (R.F.)</v>
      </c>
      <c r="O49" s="186" t="str">
        <f>'テンプレート'!O56</f>
        <v>盾削り値</v>
      </c>
      <c r="P49" s="184" t="str">
        <f>'テンプレート'!P56</f>
        <v>ﾋｯﾄｽﾄｯﾌﾟ</v>
      </c>
      <c r="Q49" s="186" t="str">
        <f>'テンプレート'!Q56</f>
        <v>ずらし</v>
      </c>
      <c r="R49" s="187" t="str">
        <f>'テンプレート'!R56</f>
        <v>備考</v>
      </c>
      <c r="S49" s="110"/>
      <c r="T49" s="110"/>
      <c r="U49" s="110"/>
      <c r="V49" s="110"/>
    </row>
    <row r="50" outlineLevel="1">
      <c r="A50" s="188" t="s">
        <v>144</v>
      </c>
      <c r="B50" s="373"/>
      <c r="C50" s="239" t="s">
        <v>373</v>
      </c>
      <c r="D50" s="195" t="s">
        <v>634</v>
      </c>
      <c r="E50" s="401" t="s">
        <v>232</v>
      </c>
      <c r="F50" s="193">
        <v>13.2</v>
      </c>
      <c r="G50" s="193">
        <v>11.22</v>
      </c>
      <c r="H50" s="138" t="s">
        <v>147</v>
      </c>
      <c r="I50" s="454" t="str">
        <f t="array" ref="I50">INDEX('空中攻撃'!$O$3:$AA$109, MATCH($A$1,'空中攻撃'!$A$3:$A$109,0), MATCH(A50,'空中攻撃'!$O$2:$S$2,0))</f>
        <v>7</v>
      </c>
      <c r="J50" s="455" t="s">
        <v>3591</v>
      </c>
      <c r="K50" s="376"/>
      <c r="L50" s="377"/>
      <c r="M50" s="825"/>
      <c r="N50" s="825"/>
      <c r="O50" s="199">
        <v>0.0</v>
      </c>
      <c r="P50" s="199">
        <v>1.0</v>
      </c>
      <c r="Q50" s="199">
        <v>1.0</v>
      </c>
      <c r="R50" s="1124"/>
      <c r="S50" s="164"/>
      <c r="T50" s="164"/>
      <c r="U50" s="164"/>
      <c r="V50" s="104"/>
    </row>
    <row r="51" outlineLevel="1">
      <c r="A51" s="156"/>
      <c r="B51" s="373" t="s">
        <v>84</v>
      </c>
      <c r="C51" s="239" t="s">
        <v>465</v>
      </c>
      <c r="D51" s="107"/>
      <c r="E51" s="239" t="s">
        <v>86</v>
      </c>
      <c r="F51" s="138">
        <v>7.199999999999999</v>
      </c>
      <c r="G51" s="138">
        <v>6.12</v>
      </c>
      <c r="H51" s="138" t="s">
        <v>60</v>
      </c>
      <c r="I51" s="156"/>
      <c r="J51" s="107"/>
      <c r="K51" s="376"/>
      <c r="L51" s="377"/>
      <c r="M51" s="825"/>
      <c r="N51" s="825"/>
      <c r="O51" s="199">
        <v>0.0</v>
      </c>
      <c r="P51" s="199">
        <v>1.0</v>
      </c>
      <c r="Q51" s="199">
        <v>1.0</v>
      </c>
      <c r="R51" s="106"/>
      <c r="S51" s="168"/>
      <c r="T51" s="168"/>
      <c r="U51" s="168"/>
      <c r="V51" s="107"/>
    </row>
    <row r="52" outlineLevel="1">
      <c r="A52" s="213" t="s">
        <v>151</v>
      </c>
      <c r="B52" s="373"/>
      <c r="C52" s="239" t="s">
        <v>454</v>
      </c>
      <c r="D52" s="380">
        <v>54.0</v>
      </c>
      <c r="E52" s="239" t="s">
        <v>119</v>
      </c>
      <c r="F52" s="138">
        <v>16.8</v>
      </c>
      <c r="G52" s="138">
        <v>14.280000000000001</v>
      </c>
      <c r="H52" s="138" t="s">
        <v>75</v>
      </c>
      <c r="I52" s="621" t="str">
        <f t="array" ref="I52">INDEX('空中攻撃'!$O$3:$AA$109, MATCH($A$1,'空中攻撃'!$A$3:$A$109,0), MATCH(A52,'空中攻撃'!$O$2:$S$2,0))</f>
        <v>11</v>
      </c>
      <c r="J52" s="467" t="s">
        <v>230</v>
      </c>
      <c r="K52" s="376"/>
      <c r="L52" s="377"/>
      <c r="M52" s="825"/>
      <c r="N52" s="825"/>
      <c r="O52" s="199">
        <v>0.0</v>
      </c>
      <c r="P52" s="199">
        <v>1.0</v>
      </c>
      <c r="Q52" s="199">
        <v>1.0</v>
      </c>
      <c r="R52" s="1127"/>
      <c r="S52" s="110"/>
      <c r="T52" s="110"/>
      <c r="U52" s="110"/>
      <c r="V52" s="109"/>
    </row>
    <row r="53" outlineLevel="1">
      <c r="A53" s="188" t="s">
        <v>157</v>
      </c>
      <c r="B53" s="373" t="s">
        <v>125</v>
      </c>
      <c r="C53" s="239" t="s">
        <v>150</v>
      </c>
      <c r="D53" s="195" t="s">
        <v>628</v>
      </c>
      <c r="E53" s="239" t="s">
        <v>204</v>
      </c>
      <c r="F53" s="138">
        <v>3.5999999999999996</v>
      </c>
      <c r="G53" s="138">
        <v>3.06</v>
      </c>
      <c r="H53" s="138" t="s">
        <v>170</v>
      </c>
      <c r="I53" s="454">
        <f t="array" ref="I53">INDEX('空中攻撃'!$O$3:$AA$109, MATCH($A$1,'空中攻撃'!$A$3:$A$109,0), MATCH(A53,'空中攻撃'!$O$2:$S$2,0))</f>
        <v>10</v>
      </c>
      <c r="J53" s="455" t="s">
        <v>1177</v>
      </c>
      <c r="K53" s="376"/>
      <c r="L53" s="377"/>
      <c r="M53" s="825"/>
      <c r="N53" s="825"/>
      <c r="O53" s="199">
        <v>0.0</v>
      </c>
      <c r="P53" s="199">
        <v>1.0</v>
      </c>
      <c r="Q53" s="199">
        <v>1.0</v>
      </c>
      <c r="R53" s="1124"/>
      <c r="S53" s="164"/>
      <c r="T53" s="164"/>
      <c r="U53" s="164"/>
      <c r="V53" s="104"/>
    </row>
    <row r="54" outlineLevel="1">
      <c r="A54" s="146"/>
      <c r="B54" s="373" t="s">
        <v>131</v>
      </c>
      <c r="C54" s="239" t="s">
        <v>93</v>
      </c>
      <c r="D54" s="210"/>
      <c r="E54" s="239" t="s">
        <v>535</v>
      </c>
      <c r="F54" s="138">
        <v>3.0</v>
      </c>
      <c r="G54" s="138">
        <v>2.55</v>
      </c>
      <c r="H54" s="138" t="s">
        <v>170</v>
      </c>
      <c r="I54" s="146"/>
      <c r="J54" s="210"/>
      <c r="K54" s="376"/>
      <c r="L54" s="377"/>
      <c r="M54" s="825"/>
      <c r="N54" s="825"/>
      <c r="O54" s="199">
        <v>0.0</v>
      </c>
      <c r="P54" s="199">
        <v>1.0</v>
      </c>
      <c r="Q54" s="199">
        <v>1.0</v>
      </c>
      <c r="R54" s="212"/>
      <c r="V54" s="210"/>
    </row>
    <row r="55" outlineLevel="1">
      <c r="A55" s="156"/>
      <c r="B55" s="373" t="s">
        <v>434</v>
      </c>
      <c r="C55" s="239" t="s">
        <v>580</v>
      </c>
      <c r="D55" s="107"/>
      <c r="E55" s="239" t="s">
        <v>86</v>
      </c>
      <c r="F55" s="138">
        <v>7.199999999999999</v>
      </c>
      <c r="G55" s="138">
        <v>6.12</v>
      </c>
      <c r="H55" s="138" t="s">
        <v>60</v>
      </c>
      <c r="I55" s="156"/>
      <c r="J55" s="107"/>
      <c r="K55" s="376"/>
      <c r="L55" s="377"/>
      <c r="M55" s="825"/>
      <c r="N55" s="825"/>
      <c r="O55" s="199">
        <v>0.0</v>
      </c>
      <c r="P55" s="199">
        <v>1.0</v>
      </c>
      <c r="Q55" s="199">
        <v>1.0</v>
      </c>
      <c r="R55" s="106"/>
      <c r="S55" s="168"/>
      <c r="T55" s="168"/>
      <c r="U55" s="168"/>
      <c r="V55" s="107"/>
    </row>
    <row r="56" outlineLevel="1">
      <c r="A56" s="188" t="s">
        <v>162</v>
      </c>
      <c r="B56" s="373" t="s">
        <v>962</v>
      </c>
      <c r="C56" s="239" t="s">
        <v>3592</v>
      </c>
      <c r="D56" s="374" t="s">
        <v>384</v>
      </c>
      <c r="E56" s="239" t="s">
        <v>214</v>
      </c>
      <c r="F56" s="138">
        <v>1.56</v>
      </c>
      <c r="G56" s="138">
        <v>1.326</v>
      </c>
      <c r="H56" s="138" t="s">
        <v>170</v>
      </c>
      <c r="I56" s="454" t="str">
        <f t="array" ref="I56">INDEX('空中攻撃'!$O$3:$AA$109, MATCH($A$1,'空中攻撃'!$A$3:$A$109,0), MATCH(A56,'空中攻撃'!$O$2:$S$2,0))</f>
        <v>14</v>
      </c>
      <c r="J56" s="455" t="s">
        <v>1624</v>
      </c>
      <c r="K56" s="377"/>
      <c r="L56" s="377"/>
      <c r="M56" s="825"/>
      <c r="N56" s="825"/>
      <c r="O56" s="199">
        <v>0.0</v>
      </c>
      <c r="P56" s="199">
        <v>1.0</v>
      </c>
      <c r="Q56" s="199">
        <v>1.0</v>
      </c>
      <c r="R56" s="1124"/>
      <c r="S56" s="164"/>
      <c r="T56" s="164"/>
      <c r="U56" s="164"/>
      <c r="V56" s="104"/>
    </row>
    <row r="57" outlineLevel="1">
      <c r="A57" s="146"/>
      <c r="B57" s="373" t="s">
        <v>521</v>
      </c>
      <c r="C57" s="239" t="s">
        <v>334</v>
      </c>
      <c r="D57" s="210"/>
      <c r="E57" s="239" t="s">
        <v>214</v>
      </c>
      <c r="F57" s="138">
        <v>1.56</v>
      </c>
      <c r="G57" s="138">
        <v>1.326</v>
      </c>
      <c r="H57" s="138" t="s">
        <v>170</v>
      </c>
      <c r="I57" s="146"/>
      <c r="J57" s="210"/>
      <c r="K57" s="377"/>
      <c r="L57" s="377"/>
      <c r="M57" s="825"/>
      <c r="N57" s="825"/>
      <c r="O57" s="199">
        <v>0.0</v>
      </c>
      <c r="P57" s="199">
        <v>1.0</v>
      </c>
      <c r="Q57" s="199">
        <v>1.0</v>
      </c>
      <c r="R57" s="212"/>
      <c r="V57" s="210"/>
    </row>
    <row r="58" outlineLevel="1">
      <c r="A58" s="156"/>
      <c r="B58" s="373" t="s">
        <v>172</v>
      </c>
      <c r="C58" s="239" t="s">
        <v>1114</v>
      </c>
      <c r="D58" s="107"/>
      <c r="E58" s="239" t="s">
        <v>204</v>
      </c>
      <c r="F58" s="138">
        <v>3.5999999999999996</v>
      </c>
      <c r="G58" s="138">
        <v>3.06</v>
      </c>
      <c r="H58" s="138" t="s">
        <v>170</v>
      </c>
      <c r="I58" s="156"/>
      <c r="J58" s="107"/>
      <c r="K58" s="377"/>
      <c r="L58" s="377"/>
      <c r="M58" s="825"/>
      <c r="N58" s="825"/>
      <c r="O58" s="199">
        <v>0.0</v>
      </c>
      <c r="P58" s="199">
        <v>1.0</v>
      </c>
      <c r="Q58" s="199">
        <v>1.0</v>
      </c>
      <c r="R58" s="106"/>
      <c r="S58" s="168"/>
      <c r="T58" s="168"/>
      <c r="U58" s="168"/>
      <c r="V58" s="107"/>
    </row>
    <row r="59" outlineLevel="1">
      <c r="A59" s="188" t="s">
        <v>166</v>
      </c>
      <c r="B59" s="373"/>
      <c r="C59" s="239" t="s">
        <v>894</v>
      </c>
      <c r="D59" s="367" t="s">
        <v>455</v>
      </c>
      <c r="E59" s="239" t="s">
        <v>80</v>
      </c>
      <c r="F59" s="138">
        <v>9.6</v>
      </c>
      <c r="G59" s="138">
        <v>8.16</v>
      </c>
      <c r="H59" s="138" t="s">
        <v>147</v>
      </c>
      <c r="I59" s="454">
        <f t="array" ref="I59">INDEX('空中攻撃'!$O$3:$AA$109, MATCH($A$1,'空中攻撃'!$A$3:$A$109,0), MATCH(A59,'空中攻撃'!$O$2:$S$2,0))</f>
        <v>30</v>
      </c>
      <c r="J59" s="455" t="s">
        <v>1463</v>
      </c>
      <c r="K59" s="377"/>
      <c r="L59" s="377"/>
      <c r="M59" s="825"/>
      <c r="N59" s="825"/>
      <c r="O59" s="199">
        <v>0.0</v>
      </c>
      <c r="P59" s="199">
        <v>1.0</v>
      </c>
      <c r="Q59" s="199">
        <v>1.0</v>
      </c>
      <c r="R59" s="456"/>
      <c r="S59" s="164"/>
      <c r="T59" s="164"/>
      <c r="U59" s="164"/>
      <c r="V59" s="104"/>
    </row>
    <row r="60" outlineLevel="1">
      <c r="A60" s="146"/>
      <c r="B60" s="373" t="s">
        <v>84</v>
      </c>
      <c r="C60" s="239" t="s">
        <v>3593</v>
      </c>
      <c r="D60" s="156"/>
      <c r="E60" s="239" t="s">
        <v>80</v>
      </c>
      <c r="F60" s="138">
        <v>9.6</v>
      </c>
      <c r="G60" s="138">
        <v>8.16</v>
      </c>
      <c r="H60" s="138" t="s">
        <v>147</v>
      </c>
      <c r="I60" s="146"/>
      <c r="J60" s="210"/>
      <c r="K60" s="377"/>
      <c r="L60" s="377"/>
      <c r="M60" s="825"/>
      <c r="N60" s="825"/>
      <c r="O60" s="199">
        <v>0.0</v>
      </c>
      <c r="P60" s="199">
        <v>1.0</v>
      </c>
      <c r="Q60" s="199">
        <v>1.0</v>
      </c>
      <c r="R60" s="212"/>
      <c r="V60" s="210"/>
    </row>
    <row r="61" outlineLevel="1">
      <c r="A61" s="156"/>
      <c r="B61" s="373" t="s">
        <v>470</v>
      </c>
      <c r="C61" s="409"/>
      <c r="D61" s="113" t="s">
        <v>718</v>
      </c>
      <c r="E61" s="409"/>
      <c r="F61" s="409"/>
      <c r="G61" s="409"/>
      <c r="H61" s="409"/>
      <c r="I61" s="156"/>
      <c r="J61" s="107"/>
      <c r="K61" s="377"/>
      <c r="L61" s="377"/>
      <c r="M61" s="825"/>
      <c r="N61" s="825"/>
      <c r="O61" s="199">
        <v>0.0</v>
      </c>
      <c r="P61" s="199">
        <v>1.0</v>
      </c>
      <c r="Q61" s="199">
        <v>1.0</v>
      </c>
      <c r="R61" s="106"/>
      <c r="S61" s="168"/>
      <c r="T61" s="168"/>
      <c r="U61" s="168"/>
      <c r="V61" s="107"/>
    </row>
    <row r="62">
      <c r="A62" s="223"/>
      <c r="B62" s="224"/>
      <c r="C62" s="225"/>
      <c r="D62" s="225"/>
      <c r="E62" s="226"/>
      <c r="F62" s="226"/>
      <c r="G62" s="226"/>
      <c r="H62" s="227"/>
      <c r="I62" s="227"/>
      <c r="J62" s="228"/>
      <c r="K62" s="228"/>
      <c r="L62" s="228"/>
      <c r="M62" s="228"/>
      <c r="N62" s="228"/>
      <c r="O62" s="228"/>
      <c r="P62" s="228"/>
      <c r="Q62" s="118"/>
      <c r="R62" s="118"/>
      <c r="S62" s="118"/>
      <c r="T62" s="118"/>
      <c r="U62" s="118"/>
      <c r="V62" s="118"/>
    </row>
    <row r="63">
      <c r="A63" s="229" t="s">
        <v>177</v>
      </c>
      <c r="B63" s="109"/>
      <c r="C63" s="225"/>
      <c r="D63" s="225"/>
      <c r="E63" s="226"/>
      <c r="F63" s="226"/>
      <c r="G63" s="226"/>
      <c r="H63" s="227"/>
      <c r="I63" s="227"/>
      <c r="J63" s="228"/>
      <c r="K63" s="228"/>
      <c r="L63" s="228"/>
      <c r="M63" s="228"/>
      <c r="N63" s="228"/>
      <c r="O63" s="228"/>
      <c r="P63" s="228"/>
      <c r="Q63" s="118"/>
      <c r="R63" s="118"/>
      <c r="S63" s="118"/>
      <c r="T63" s="118"/>
      <c r="U63" s="118"/>
      <c r="V63" s="118"/>
    </row>
    <row r="64" outlineLevel="1">
      <c r="A64" s="230" t="s">
        <v>3594</v>
      </c>
      <c r="B64" s="109"/>
      <c r="C64" s="231" t="s">
        <v>48</v>
      </c>
      <c r="D64" s="231" t="s">
        <v>49</v>
      </c>
      <c r="E64" s="232" t="s">
        <v>50</v>
      </c>
      <c r="F64" s="233" t="s">
        <v>51</v>
      </c>
      <c r="G64" s="232" t="s">
        <v>52</v>
      </c>
      <c r="H64" s="382" t="s">
        <v>53</v>
      </c>
      <c r="I64" s="110"/>
      <c r="J64" s="109"/>
      <c r="K64" s="235" t="str">
        <f>'テンプレート'!K72</f>
        <v>ベクトル</v>
      </c>
      <c r="L64" s="235" t="str">
        <f>'テンプレート'!L72</f>
        <v>KBG (R.E.)</v>
      </c>
      <c r="M64" s="235" t="str">
        <f>'テンプレート'!M72</f>
        <v>BKB (R.A.)</v>
      </c>
      <c r="N64" s="235" t="str">
        <f>'テンプレート'!N72</f>
        <v>FKB (R.F.)</v>
      </c>
      <c r="O64" s="236" t="str">
        <f>'テンプレート'!O72</f>
        <v>盾削り値</v>
      </c>
      <c r="P64" s="235" t="str">
        <f>'テンプレート'!P72</f>
        <v>ﾋｯﾄｽﾄｯﾌﾟ</v>
      </c>
      <c r="Q64" s="236" t="str">
        <f>'テンプレート'!Q72</f>
        <v>ずらし</v>
      </c>
      <c r="R64" s="235" t="str">
        <f>'テンプレート'!R72</f>
        <v>相殺</v>
      </c>
      <c r="S64" s="236" t="str">
        <f>'テンプレート'!S72</f>
        <v>相殺ﾓｰｼｮﾝ</v>
      </c>
      <c r="T64" s="236" t="str">
        <f>'テンプレート'!T72</f>
        <v>飛び道具</v>
      </c>
      <c r="U64" s="236" t="str">
        <f>'テンプレート'!U72</f>
        <v>慣性反転</v>
      </c>
      <c r="V64" s="236" t="str">
        <f>'テンプレート'!V72</f>
        <v>向き反転</v>
      </c>
    </row>
    <row r="65" outlineLevel="1">
      <c r="A65" s="237" t="s">
        <v>332</v>
      </c>
      <c r="B65" s="243" t="s">
        <v>473</v>
      </c>
      <c r="C65" s="239" t="s">
        <v>3595</v>
      </c>
      <c r="D65" s="239" t="s">
        <v>146</v>
      </c>
      <c r="E65" s="239" t="s">
        <v>3596</v>
      </c>
      <c r="F65" s="138" t="s">
        <v>3597</v>
      </c>
      <c r="G65" s="239" t="s">
        <v>477</v>
      </c>
      <c r="H65" s="163" t="s">
        <v>3598</v>
      </c>
      <c r="I65" s="164"/>
      <c r="J65" s="104"/>
      <c r="K65" s="138">
        <v>50.0</v>
      </c>
      <c r="L65" s="138">
        <v>85.0</v>
      </c>
      <c r="M65" s="145">
        <v>10.0</v>
      </c>
      <c r="N65" s="145">
        <v>0.0</v>
      </c>
      <c r="O65" s="138">
        <v>0.0</v>
      </c>
      <c r="P65" s="138">
        <v>1.0</v>
      </c>
      <c r="Q65" s="138">
        <v>1.0</v>
      </c>
      <c r="R65" s="145" t="b">
        <v>1</v>
      </c>
      <c r="S65" s="145" t="b">
        <v>0</v>
      </c>
      <c r="T65" s="145" t="b">
        <v>1</v>
      </c>
      <c r="U65" s="166" t="s">
        <v>186</v>
      </c>
      <c r="V65" s="166" t="b">
        <v>1</v>
      </c>
    </row>
    <row r="66" outlineLevel="1">
      <c r="A66" s="146"/>
      <c r="B66" s="663" t="s">
        <v>3599</v>
      </c>
      <c r="C66" s="239" t="s">
        <v>3600</v>
      </c>
      <c r="D66" s="367" t="s">
        <v>1348</v>
      </c>
      <c r="E66" s="239" t="s">
        <v>213</v>
      </c>
      <c r="F66" s="138">
        <v>1.2</v>
      </c>
      <c r="G66" s="139" t="s">
        <v>170</v>
      </c>
      <c r="H66" s="212"/>
      <c r="J66" s="210"/>
      <c r="K66" s="282"/>
      <c r="L66" s="282"/>
      <c r="M66" s="363"/>
      <c r="N66" s="363"/>
      <c r="O66" s="138">
        <v>0.0</v>
      </c>
      <c r="P66" s="138">
        <v>1.0</v>
      </c>
      <c r="Q66" s="138">
        <v>1.0</v>
      </c>
      <c r="R66" s="145" t="b">
        <v>1</v>
      </c>
      <c r="S66" s="145" t="b">
        <v>0</v>
      </c>
      <c r="T66" s="145" t="b">
        <v>1</v>
      </c>
      <c r="U66" s="146"/>
      <c r="V66" s="146"/>
    </row>
    <row r="67" outlineLevel="1">
      <c r="A67" s="146"/>
      <c r="B67" s="663" t="s">
        <v>3601</v>
      </c>
      <c r="C67" s="239" t="s">
        <v>3602</v>
      </c>
      <c r="D67" s="156"/>
      <c r="E67" s="239" t="s">
        <v>274</v>
      </c>
      <c r="F67" s="138">
        <v>10.799999999999999</v>
      </c>
      <c r="G67" s="139" t="s">
        <v>147</v>
      </c>
      <c r="H67" s="212"/>
      <c r="J67" s="210"/>
      <c r="K67" s="282"/>
      <c r="L67" s="282"/>
      <c r="M67" s="363"/>
      <c r="N67" s="363"/>
      <c r="O67" s="138">
        <v>0.0</v>
      </c>
      <c r="P67" s="138">
        <v>1.0</v>
      </c>
      <c r="Q67" s="138">
        <v>1.0</v>
      </c>
      <c r="R67" s="145" t="b">
        <v>1</v>
      </c>
      <c r="S67" s="145" t="b">
        <v>0</v>
      </c>
      <c r="T67" s="145" t="b">
        <v>1</v>
      </c>
      <c r="U67" s="146"/>
      <c r="V67" s="146"/>
    </row>
    <row r="68" outlineLevel="1">
      <c r="A68" s="237" t="s">
        <v>344</v>
      </c>
      <c r="B68" s="243" t="s">
        <v>473</v>
      </c>
      <c r="C68" s="239" t="s">
        <v>3595</v>
      </c>
      <c r="D68" s="239" t="s">
        <v>282</v>
      </c>
      <c r="E68" s="239" t="s">
        <v>3596</v>
      </c>
      <c r="F68" s="138" t="s">
        <v>3597</v>
      </c>
      <c r="G68" s="239" t="s">
        <v>477</v>
      </c>
      <c r="H68" s="212"/>
      <c r="J68" s="210"/>
      <c r="K68" s="282"/>
      <c r="L68" s="282"/>
      <c r="M68" s="363"/>
      <c r="N68" s="363"/>
      <c r="O68" s="138">
        <v>0.0</v>
      </c>
      <c r="P68" s="138">
        <v>1.0</v>
      </c>
      <c r="Q68" s="138">
        <v>1.0</v>
      </c>
      <c r="R68" s="145" t="b">
        <v>1</v>
      </c>
      <c r="S68" s="145" t="b">
        <v>0</v>
      </c>
      <c r="T68" s="145" t="b">
        <v>1</v>
      </c>
      <c r="U68" s="146"/>
      <c r="V68" s="146"/>
    </row>
    <row r="69" outlineLevel="1">
      <c r="A69" s="146"/>
      <c r="B69" s="663" t="s">
        <v>3599</v>
      </c>
      <c r="C69" s="239" t="s">
        <v>3600</v>
      </c>
      <c r="D69" s="367" t="s">
        <v>2533</v>
      </c>
      <c r="E69" s="239" t="s">
        <v>213</v>
      </c>
      <c r="F69" s="138">
        <v>1.2</v>
      </c>
      <c r="G69" s="139" t="s">
        <v>170</v>
      </c>
      <c r="H69" s="212"/>
      <c r="J69" s="210"/>
      <c r="K69" s="282"/>
      <c r="L69" s="282"/>
      <c r="M69" s="363"/>
      <c r="N69" s="363"/>
      <c r="O69" s="138">
        <v>0.0</v>
      </c>
      <c r="P69" s="138">
        <v>1.0</v>
      </c>
      <c r="Q69" s="138">
        <v>1.0</v>
      </c>
      <c r="R69" s="145" t="b">
        <v>1</v>
      </c>
      <c r="S69" s="145" t="b">
        <v>0</v>
      </c>
      <c r="T69" s="145" t="b">
        <v>1</v>
      </c>
      <c r="U69" s="146"/>
      <c r="V69" s="146"/>
    </row>
    <row r="70" outlineLevel="1">
      <c r="A70" s="146"/>
      <c r="B70" s="663" t="s">
        <v>3601</v>
      </c>
      <c r="C70" s="239" t="s">
        <v>3602</v>
      </c>
      <c r="D70" s="156"/>
      <c r="E70" s="239" t="s">
        <v>274</v>
      </c>
      <c r="F70" s="138">
        <v>10.799999999999999</v>
      </c>
      <c r="G70" s="139" t="s">
        <v>147</v>
      </c>
      <c r="H70" s="106"/>
      <c r="I70" s="168"/>
      <c r="J70" s="107"/>
      <c r="K70" s="282"/>
      <c r="L70" s="282"/>
      <c r="M70" s="363"/>
      <c r="N70" s="363"/>
      <c r="O70" s="138">
        <v>0.0</v>
      </c>
      <c r="P70" s="138">
        <v>1.0</v>
      </c>
      <c r="Q70" s="138">
        <v>1.0</v>
      </c>
      <c r="R70" s="145" t="b">
        <v>1</v>
      </c>
      <c r="S70" s="145" t="b">
        <v>0</v>
      </c>
      <c r="T70" s="145" t="b">
        <v>1</v>
      </c>
      <c r="U70" s="156"/>
      <c r="V70" s="156"/>
    </row>
    <row r="71" outlineLevel="1">
      <c r="A71" s="230" t="s">
        <v>3603</v>
      </c>
      <c r="B71" s="109"/>
      <c r="C71" s="231" t="s">
        <v>48</v>
      </c>
      <c r="D71" s="231" t="s">
        <v>49</v>
      </c>
      <c r="E71" s="232" t="s">
        <v>50</v>
      </c>
      <c r="F71" s="233" t="s">
        <v>51</v>
      </c>
      <c r="G71" s="232" t="s">
        <v>52</v>
      </c>
      <c r="H71" s="382" t="s">
        <v>53</v>
      </c>
      <c r="I71" s="110"/>
      <c r="J71" s="109"/>
      <c r="K71" s="235" t="str">
        <f>'テンプレート'!K75</f>
        <v>ベクトル</v>
      </c>
      <c r="L71" s="235" t="str">
        <f>'テンプレート'!L75</f>
        <v>KBG (R.E.)</v>
      </c>
      <c r="M71" s="235" t="str">
        <f>'テンプレート'!M75</f>
        <v>BKB (R.A.)</v>
      </c>
      <c r="N71" s="235" t="str">
        <f>'テンプレート'!N75</f>
        <v>FKB (R.F.)</v>
      </c>
      <c r="O71" s="236" t="str">
        <f>'テンプレート'!O75</f>
        <v>盾削り値</v>
      </c>
      <c r="P71" s="235" t="str">
        <f>'テンプレート'!P75</f>
        <v>ﾋｯﾄｽﾄｯﾌﾟ</v>
      </c>
      <c r="Q71" s="236" t="str">
        <f>'テンプレート'!Q75</f>
        <v>ずらし</v>
      </c>
      <c r="R71" s="235" t="str">
        <f>'テンプレート'!R75</f>
        <v>相殺</v>
      </c>
      <c r="S71" s="236" t="str">
        <f>'テンプレート'!S75</f>
        <v>相殺ﾓｰｼｮﾝ</v>
      </c>
      <c r="T71" s="236" t="str">
        <f>'テンプレート'!T75</f>
        <v>飛び道具</v>
      </c>
      <c r="U71" s="236" t="str">
        <f>'テンプレート'!U75</f>
        <v>慣性反転</v>
      </c>
      <c r="V71" s="236" t="str">
        <f>'テンプレート'!V75</f>
        <v>向き反転</v>
      </c>
    </row>
    <row r="72" outlineLevel="1">
      <c r="A72" s="237" t="s">
        <v>184</v>
      </c>
      <c r="B72" s="243"/>
      <c r="C72" s="409"/>
      <c r="D72" s="409"/>
      <c r="E72" s="409"/>
      <c r="F72" s="409"/>
      <c r="G72" s="409"/>
      <c r="H72" s="283" t="s">
        <v>3604</v>
      </c>
      <c r="I72" s="164"/>
      <c r="J72" s="104"/>
      <c r="K72" s="281"/>
      <c r="L72" s="281"/>
      <c r="M72" s="281"/>
      <c r="N72" s="281"/>
      <c r="O72" s="281"/>
      <c r="P72" s="281"/>
      <c r="Q72" s="281"/>
      <c r="R72" s="281"/>
      <c r="S72" s="281"/>
      <c r="T72" s="281"/>
      <c r="U72" s="166" t="b">
        <v>0</v>
      </c>
      <c r="V72" s="166" t="b">
        <v>1</v>
      </c>
    </row>
    <row r="73" outlineLevel="1">
      <c r="A73" s="146"/>
      <c r="B73" s="243" t="s">
        <v>2261</v>
      </c>
      <c r="C73" s="239" t="s">
        <v>443</v>
      </c>
      <c r="D73" s="239" t="s">
        <v>748</v>
      </c>
      <c r="E73" s="239" t="s">
        <v>128</v>
      </c>
      <c r="F73" s="138">
        <v>12.0</v>
      </c>
      <c r="G73" s="139" t="s">
        <v>121</v>
      </c>
      <c r="H73" s="212"/>
      <c r="J73" s="210"/>
      <c r="K73" s="138"/>
      <c r="L73" s="138"/>
      <c r="M73" s="145"/>
      <c r="N73" s="145"/>
      <c r="O73" s="138">
        <v>0.0</v>
      </c>
      <c r="P73" s="138">
        <v>1.0</v>
      </c>
      <c r="Q73" s="138">
        <v>1.0</v>
      </c>
      <c r="R73" s="145" t="b">
        <v>0</v>
      </c>
      <c r="S73" s="145" t="b">
        <v>0</v>
      </c>
      <c r="T73" s="145"/>
      <c r="U73" s="146"/>
      <c r="V73" s="146"/>
    </row>
    <row r="74" outlineLevel="1">
      <c r="A74" s="146"/>
      <c r="B74" s="243" t="s">
        <v>2262</v>
      </c>
      <c r="C74" s="239" t="s">
        <v>443</v>
      </c>
      <c r="D74" s="239" t="s">
        <v>748</v>
      </c>
      <c r="E74" s="239" t="s">
        <v>129</v>
      </c>
      <c r="F74" s="138">
        <v>14.399999999999999</v>
      </c>
      <c r="G74" s="139" t="s">
        <v>88</v>
      </c>
      <c r="H74" s="106"/>
      <c r="I74" s="168"/>
      <c r="J74" s="107"/>
      <c r="K74" s="138"/>
      <c r="L74" s="138"/>
      <c r="M74" s="145"/>
      <c r="N74" s="145"/>
      <c r="O74" s="138">
        <v>0.0</v>
      </c>
      <c r="P74" s="138">
        <v>1.0</v>
      </c>
      <c r="Q74" s="138">
        <v>1.0</v>
      </c>
      <c r="R74" s="145" t="b">
        <v>0</v>
      </c>
      <c r="S74" s="145" t="b">
        <v>0</v>
      </c>
      <c r="T74" s="145"/>
      <c r="U74" s="156"/>
      <c r="V74" s="156"/>
    </row>
    <row r="75" outlineLevel="1">
      <c r="A75" s="230" t="s">
        <v>3605</v>
      </c>
      <c r="B75" s="109"/>
      <c r="C75" s="231" t="s">
        <v>48</v>
      </c>
      <c r="D75" s="231" t="s">
        <v>49</v>
      </c>
      <c r="E75" s="232" t="s">
        <v>50</v>
      </c>
      <c r="F75" s="233" t="s">
        <v>51</v>
      </c>
      <c r="G75" s="232" t="s">
        <v>52</v>
      </c>
      <c r="H75" s="382" t="s">
        <v>53</v>
      </c>
      <c r="I75" s="110"/>
      <c r="J75" s="109"/>
      <c r="K75" s="235" t="str">
        <f>'テンプレート'!K80</f>
        <v>ベクトル</v>
      </c>
      <c r="L75" s="235" t="str">
        <f>'テンプレート'!L80</f>
        <v>KBG (R.E.)</v>
      </c>
      <c r="M75" s="235" t="str">
        <f>'テンプレート'!M80</f>
        <v>BKB (R.A.)</v>
      </c>
      <c r="N75" s="235" t="str">
        <f>'テンプレート'!N80</f>
        <v>FKB (R.F.)</v>
      </c>
      <c r="O75" s="236" t="str">
        <f>'テンプレート'!O80</f>
        <v>盾削り値</v>
      </c>
      <c r="P75" s="235" t="str">
        <f>'テンプレート'!P80</f>
        <v>ﾋｯﾄｽﾄｯﾌﾟ</v>
      </c>
      <c r="Q75" s="236" t="str">
        <f>'テンプレート'!Q80</f>
        <v>ずらし</v>
      </c>
      <c r="R75" s="235" t="str">
        <f>'テンプレート'!R80</f>
        <v>相殺</v>
      </c>
      <c r="S75" s="236" t="str">
        <f>'テンプレート'!S80</f>
        <v>相殺ﾓｰｼｮﾝ</v>
      </c>
      <c r="T75" s="236" t="str">
        <f>'テンプレート'!T80</f>
        <v>飛び道具</v>
      </c>
      <c r="U75" s="236" t="str">
        <f>'テンプレート'!U80</f>
        <v>慣性反転</v>
      </c>
      <c r="V75" s="236" t="str">
        <f>'テンプレート'!V80</f>
        <v>向き反転</v>
      </c>
    </row>
    <row r="76" outlineLevel="1">
      <c r="A76" s="237" t="s">
        <v>184</v>
      </c>
      <c r="B76" s="402" t="s">
        <v>3606</v>
      </c>
      <c r="C76" s="239" t="s">
        <v>3607</v>
      </c>
      <c r="D76" s="400"/>
      <c r="E76" s="239" t="s">
        <v>176</v>
      </c>
      <c r="F76" s="138">
        <v>2.4</v>
      </c>
      <c r="G76" s="139" t="s">
        <v>170</v>
      </c>
      <c r="H76" s="163" t="s">
        <v>3608</v>
      </c>
      <c r="I76" s="164"/>
      <c r="J76" s="104"/>
      <c r="K76" s="138"/>
      <c r="L76" s="138"/>
      <c r="M76" s="145"/>
      <c r="N76" s="145"/>
      <c r="O76" s="138">
        <v>0.0</v>
      </c>
      <c r="P76" s="138">
        <v>1.0</v>
      </c>
      <c r="Q76" s="138">
        <v>1.0</v>
      </c>
      <c r="R76" s="145" t="b">
        <v>0</v>
      </c>
      <c r="S76" s="145" t="b">
        <v>0</v>
      </c>
      <c r="T76" s="145" t="b">
        <v>1</v>
      </c>
      <c r="U76" s="166" t="b">
        <v>0</v>
      </c>
      <c r="V76" s="166" t="b">
        <v>0</v>
      </c>
    </row>
    <row r="77" outlineLevel="1">
      <c r="A77" s="146"/>
      <c r="B77" s="402" t="s">
        <v>3609</v>
      </c>
      <c r="C77" s="239" t="s">
        <v>514</v>
      </c>
      <c r="D77" s="146"/>
      <c r="E77" s="239" t="s">
        <v>176</v>
      </c>
      <c r="F77" s="138">
        <v>2.4</v>
      </c>
      <c r="G77" s="139" t="s">
        <v>170</v>
      </c>
      <c r="H77" s="212"/>
      <c r="J77" s="210"/>
      <c r="K77" s="138"/>
      <c r="L77" s="138"/>
      <c r="M77" s="145"/>
      <c r="N77" s="145"/>
      <c r="O77" s="138">
        <v>0.0</v>
      </c>
      <c r="P77" s="138">
        <v>1.0</v>
      </c>
      <c r="Q77" s="138">
        <v>1.0</v>
      </c>
      <c r="R77" s="145" t="b">
        <v>0</v>
      </c>
      <c r="S77" s="145" t="b">
        <v>0</v>
      </c>
      <c r="T77" s="145" t="b">
        <v>1</v>
      </c>
      <c r="U77" s="146"/>
      <c r="V77" s="146"/>
    </row>
    <row r="78" outlineLevel="1">
      <c r="A78" s="146"/>
      <c r="B78" s="402" t="s">
        <v>3610</v>
      </c>
      <c r="C78" s="239" t="s">
        <v>3611</v>
      </c>
      <c r="D78" s="146"/>
      <c r="E78" s="239" t="s">
        <v>176</v>
      </c>
      <c r="F78" s="138">
        <v>2.4</v>
      </c>
      <c r="G78" s="139" t="s">
        <v>170</v>
      </c>
      <c r="H78" s="212"/>
      <c r="J78" s="210"/>
      <c r="K78" s="138"/>
      <c r="L78" s="138"/>
      <c r="M78" s="145"/>
      <c r="N78" s="145"/>
      <c r="O78" s="138">
        <v>0.0</v>
      </c>
      <c r="P78" s="138">
        <v>1.0</v>
      </c>
      <c r="Q78" s="138">
        <v>1.0</v>
      </c>
      <c r="R78" s="145" t="b">
        <v>0</v>
      </c>
      <c r="S78" s="145" t="b">
        <v>0</v>
      </c>
      <c r="T78" s="145" t="b">
        <v>1</v>
      </c>
      <c r="U78" s="146"/>
      <c r="V78" s="146"/>
    </row>
    <row r="79" outlineLevel="1">
      <c r="A79" s="146"/>
      <c r="B79" s="402" t="s">
        <v>3612</v>
      </c>
      <c r="C79" s="239" t="s">
        <v>3613</v>
      </c>
      <c r="D79" s="156"/>
      <c r="E79" s="239" t="s">
        <v>176</v>
      </c>
      <c r="F79" s="138">
        <v>2.4</v>
      </c>
      <c r="G79" s="139" t="s">
        <v>170</v>
      </c>
      <c r="H79" s="106"/>
      <c r="I79" s="168"/>
      <c r="J79" s="107"/>
      <c r="K79" s="138"/>
      <c r="L79" s="138"/>
      <c r="M79" s="145"/>
      <c r="N79" s="145"/>
      <c r="O79" s="138">
        <v>0.0</v>
      </c>
      <c r="P79" s="138">
        <v>1.0</v>
      </c>
      <c r="Q79" s="138">
        <v>1.0</v>
      </c>
      <c r="R79" s="145" t="b">
        <v>0</v>
      </c>
      <c r="S79" s="145" t="b">
        <v>0</v>
      </c>
      <c r="T79" s="145" t="b">
        <v>1</v>
      </c>
      <c r="U79" s="156"/>
      <c r="V79" s="156"/>
    </row>
    <row r="80" outlineLevel="1">
      <c r="A80" s="230" t="s">
        <v>3614</v>
      </c>
      <c r="B80" s="109"/>
      <c r="C80" s="231" t="s">
        <v>48</v>
      </c>
      <c r="D80" s="231" t="s">
        <v>49</v>
      </c>
      <c r="E80" s="232" t="s">
        <v>50</v>
      </c>
      <c r="F80" s="233" t="s">
        <v>51</v>
      </c>
      <c r="G80" s="232" t="s">
        <v>52</v>
      </c>
      <c r="H80" s="382" t="s">
        <v>53</v>
      </c>
      <c r="I80" s="110"/>
      <c r="J80" s="109"/>
      <c r="K80" s="235" t="str">
        <f>'テンプレート'!K85</f>
        <v>ベクトル</v>
      </c>
      <c r="L80" s="235" t="str">
        <f>'テンプレート'!L85</f>
        <v>KBG (R.E.)</v>
      </c>
      <c r="M80" s="235" t="str">
        <f>'テンプレート'!M85</f>
        <v>BKB (R.A.)</v>
      </c>
      <c r="N80" s="235" t="str">
        <f>'テンプレート'!N85</f>
        <v>FKB (R.F.)</v>
      </c>
      <c r="O80" s="236" t="str">
        <f>'テンプレート'!O85</f>
        <v>盾削り値</v>
      </c>
      <c r="P80" s="235" t="str">
        <f>'テンプレート'!P85</f>
        <v>ﾋｯﾄｽﾄｯﾌﾟ</v>
      </c>
      <c r="Q80" s="236" t="str">
        <f>'テンプレート'!Q85</f>
        <v>ずらし</v>
      </c>
      <c r="R80" s="235" t="str">
        <f>'テンプレート'!R85</f>
        <v>相殺</v>
      </c>
      <c r="S80" s="236" t="str">
        <f>'テンプレート'!S85</f>
        <v>相殺ﾓｰｼｮﾝ</v>
      </c>
      <c r="T80" s="236" t="str">
        <f>'テンプレート'!T85</f>
        <v>飛び道具</v>
      </c>
      <c r="U80" s="236" t="str">
        <f>'テンプレート'!U85</f>
        <v>慣性反転</v>
      </c>
      <c r="V80" s="236" t="str">
        <f>'テンプレート'!V85</f>
        <v>向き反転</v>
      </c>
    </row>
    <row r="81" outlineLevel="1">
      <c r="A81" s="237" t="s">
        <v>184</v>
      </c>
      <c r="B81" s="624" t="s">
        <v>1837</v>
      </c>
      <c r="C81" s="239" t="s">
        <v>3615</v>
      </c>
      <c r="D81" s="239" t="s">
        <v>777</v>
      </c>
      <c r="E81" s="409"/>
      <c r="F81" s="409"/>
      <c r="G81" s="409"/>
      <c r="H81" s="140" t="s">
        <v>3616</v>
      </c>
      <c r="I81" s="110"/>
      <c r="J81" s="109"/>
      <c r="K81" s="281"/>
      <c r="L81" s="281"/>
      <c r="M81" s="281"/>
      <c r="N81" s="281"/>
      <c r="O81" s="281"/>
      <c r="P81" s="281"/>
      <c r="Q81" s="281"/>
      <c r="R81" s="281"/>
      <c r="S81" s="281"/>
      <c r="T81" s="281"/>
      <c r="U81" s="166" t="b">
        <v>0</v>
      </c>
      <c r="V81" s="166" t="b">
        <v>0</v>
      </c>
    </row>
    <row r="82" outlineLevel="1">
      <c r="A82" s="146"/>
      <c r="B82" s="624" t="s">
        <v>3617</v>
      </c>
      <c r="C82" s="239" t="s">
        <v>3618</v>
      </c>
      <c r="D82" s="239" t="s">
        <v>951</v>
      </c>
      <c r="E82" s="239" t="s">
        <v>232</v>
      </c>
      <c r="F82" s="138">
        <v>13.2</v>
      </c>
      <c r="G82" s="139" t="s">
        <v>121</v>
      </c>
      <c r="H82" s="283" t="s">
        <v>3619</v>
      </c>
      <c r="I82" s="164"/>
      <c r="J82" s="104"/>
      <c r="K82" s="138">
        <v>361.0</v>
      </c>
      <c r="L82" s="138"/>
      <c r="M82" s="145"/>
      <c r="N82" s="145"/>
      <c r="O82" s="138">
        <v>5.0</v>
      </c>
      <c r="P82" s="138">
        <v>1.0</v>
      </c>
      <c r="Q82" s="138">
        <v>1.0</v>
      </c>
      <c r="R82" s="145"/>
      <c r="S82" s="145"/>
      <c r="T82" s="145"/>
      <c r="U82" s="146"/>
      <c r="V82" s="146"/>
    </row>
    <row r="83" outlineLevel="1">
      <c r="A83" s="146"/>
      <c r="B83" s="624" t="s">
        <v>3620</v>
      </c>
      <c r="C83" s="239" t="s">
        <v>3618</v>
      </c>
      <c r="D83" s="239" t="s">
        <v>951</v>
      </c>
      <c r="E83" s="239" t="s">
        <v>228</v>
      </c>
      <c r="F83" s="138">
        <v>15.6</v>
      </c>
      <c r="G83" s="139" t="s">
        <v>407</v>
      </c>
      <c r="H83" s="212"/>
      <c r="J83" s="210"/>
      <c r="K83" s="138">
        <v>90.0</v>
      </c>
      <c r="L83" s="138"/>
      <c r="M83" s="145"/>
      <c r="N83" s="145"/>
      <c r="O83" s="138">
        <v>5.0</v>
      </c>
      <c r="P83" s="138">
        <v>1.0</v>
      </c>
      <c r="Q83" s="138">
        <v>1.0</v>
      </c>
      <c r="R83" s="145"/>
      <c r="S83" s="145"/>
      <c r="T83" s="145"/>
      <c r="U83" s="146"/>
      <c r="V83" s="146"/>
    </row>
    <row r="84" outlineLevel="1">
      <c r="A84" s="146"/>
      <c r="B84" s="624" t="s">
        <v>3621</v>
      </c>
      <c r="C84" s="239" t="s">
        <v>3622</v>
      </c>
      <c r="D84" s="239" t="s">
        <v>951</v>
      </c>
      <c r="E84" s="239" t="s">
        <v>228</v>
      </c>
      <c r="F84" s="138">
        <v>15.6</v>
      </c>
      <c r="G84" s="139" t="s">
        <v>407</v>
      </c>
      <c r="H84" s="212"/>
      <c r="J84" s="210"/>
      <c r="K84" s="138" t="s">
        <v>3623</v>
      </c>
      <c r="L84" s="138"/>
      <c r="M84" s="145"/>
      <c r="N84" s="145"/>
      <c r="O84" s="138">
        <v>5.0</v>
      </c>
      <c r="P84" s="138">
        <v>1.0</v>
      </c>
      <c r="Q84" s="138">
        <v>1.0</v>
      </c>
      <c r="R84" s="145"/>
      <c r="S84" s="145"/>
      <c r="T84" s="145"/>
      <c r="U84" s="146"/>
      <c r="V84" s="146"/>
    </row>
    <row r="85" outlineLevel="1">
      <c r="A85" s="146"/>
      <c r="B85" s="624" t="s">
        <v>3624</v>
      </c>
      <c r="C85" s="239" t="s">
        <v>3618</v>
      </c>
      <c r="D85" s="239" t="s">
        <v>951</v>
      </c>
      <c r="E85" s="239" t="s">
        <v>129</v>
      </c>
      <c r="F85" s="138">
        <v>14.399999999999999</v>
      </c>
      <c r="G85" s="139" t="s">
        <v>88</v>
      </c>
      <c r="H85" s="212"/>
      <c r="J85" s="210"/>
      <c r="K85" s="138">
        <v>60.0</v>
      </c>
      <c r="L85" s="138"/>
      <c r="M85" s="145"/>
      <c r="N85" s="145"/>
      <c r="O85" s="138">
        <v>5.0</v>
      </c>
      <c r="P85" s="138">
        <v>1.0</v>
      </c>
      <c r="Q85" s="138">
        <v>1.0</v>
      </c>
      <c r="R85" s="145"/>
      <c r="S85" s="145"/>
      <c r="T85" s="145"/>
      <c r="U85" s="146"/>
      <c r="V85" s="146"/>
    </row>
    <row r="86" outlineLevel="1">
      <c r="A86" s="146"/>
      <c r="B86" s="624" t="s">
        <v>3625</v>
      </c>
      <c r="C86" s="239" t="s">
        <v>3622</v>
      </c>
      <c r="D86" s="239" t="s">
        <v>951</v>
      </c>
      <c r="E86" s="239" t="s">
        <v>129</v>
      </c>
      <c r="F86" s="138">
        <v>14.399999999999999</v>
      </c>
      <c r="G86" s="139" t="s">
        <v>88</v>
      </c>
      <c r="H86" s="212"/>
      <c r="J86" s="210"/>
      <c r="K86" s="138">
        <v>25.0</v>
      </c>
      <c r="L86" s="138"/>
      <c r="M86" s="145"/>
      <c r="N86" s="145"/>
      <c r="O86" s="138">
        <v>5.0</v>
      </c>
      <c r="P86" s="138">
        <v>1.0</v>
      </c>
      <c r="Q86" s="138">
        <v>1.0</v>
      </c>
      <c r="R86" s="145"/>
      <c r="S86" s="145"/>
      <c r="T86" s="145"/>
      <c r="U86" s="146"/>
      <c r="V86" s="146"/>
    </row>
    <row r="87" outlineLevel="1">
      <c r="A87" s="146"/>
      <c r="B87" s="624" t="s">
        <v>470</v>
      </c>
      <c r="C87" s="409"/>
      <c r="D87" s="239" t="s">
        <v>99</v>
      </c>
      <c r="E87" s="409"/>
      <c r="F87" s="409"/>
      <c r="G87" s="409"/>
      <c r="H87" s="212"/>
      <c r="J87" s="210"/>
      <c r="K87" s="281"/>
      <c r="L87" s="281"/>
      <c r="M87" s="281"/>
      <c r="N87" s="281"/>
      <c r="O87" s="281"/>
      <c r="P87" s="281"/>
      <c r="Q87" s="281"/>
      <c r="R87" s="281"/>
      <c r="S87" s="281"/>
      <c r="T87" s="281"/>
      <c r="U87" s="146"/>
      <c r="V87" s="146"/>
    </row>
    <row r="88" outlineLevel="1">
      <c r="A88" s="156"/>
      <c r="B88" s="624" t="s">
        <v>174</v>
      </c>
      <c r="C88" s="409"/>
      <c r="D88" s="239" t="s">
        <v>221</v>
      </c>
      <c r="E88" s="409"/>
      <c r="F88" s="409"/>
      <c r="G88" s="409"/>
      <c r="H88" s="106"/>
      <c r="I88" s="168"/>
      <c r="J88" s="107"/>
      <c r="K88" s="281"/>
      <c r="L88" s="281"/>
      <c r="M88" s="281"/>
      <c r="N88" s="281"/>
      <c r="O88" s="281"/>
      <c r="P88" s="281"/>
      <c r="Q88" s="281"/>
      <c r="R88" s="281"/>
      <c r="S88" s="281"/>
      <c r="T88" s="281"/>
      <c r="U88" s="156"/>
      <c r="V88" s="156"/>
    </row>
    <row r="89">
      <c r="A89" s="223"/>
      <c r="B89" s="224"/>
      <c r="C89" s="225"/>
      <c r="D89" s="225"/>
      <c r="E89" s="226"/>
      <c r="F89" s="226"/>
      <c r="G89" s="226"/>
      <c r="H89" s="227"/>
      <c r="I89" s="227"/>
      <c r="J89" s="228"/>
      <c r="K89" s="228"/>
      <c r="L89" s="228"/>
      <c r="M89" s="228"/>
      <c r="N89" s="228"/>
      <c r="O89" s="228"/>
      <c r="P89" s="228"/>
      <c r="Q89" s="118"/>
      <c r="R89" s="118"/>
      <c r="S89" s="118"/>
      <c r="T89" s="118"/>
      <c r="U89" s="118"/>
      <c r="V89" s="118"/>
    </row>
    <row r="90">
      <c r="A90" s="264" t="s">
        <v>211</v>
      </c>
      <c r="B90" s="104"/>
      <c r="C90" s="227"/>
      <c r="D90" s="227"/>
      <c r="E90" s="228"/>
      <c r="F90" s="265"/>
      <c r="G90" s="265"/>
      <c r="H90" s="228"/>
      <c r="I90" s="228"/>
      <c r="J90" s="228"/>
      <c r="K90" s="228"/>
      <c r="L90" s="228"/>
      <c r="M90" s="228"/>
      <c r="N90" s="118"/>
      <c r="O90" s="118"/>
      <c r="P90" s="118"/>
      <c r="Q90" s="228"/>
      <c r="R90" s="228"/>
      <c r="S90" s="228"/>
      <c r="T90" s="228"/>
      <c r="U90" s="228"/>
      <c r="V90" s="228"/>
    </row>
    <row r="91" outlineLevel="1">
      <c r="A91" s="106"/>
      <c r="B91" s="107"/>
      <c r="C91" s="266" t="s">
        <v>48</v>
      </c>
      <c r="D91" s="266" t="s">
        <v>49</v>
      </c>
      <c r="E91" s="266" t="s">
        <v>50</v>
      </c>
      <c r="F91" s="267" t="s">
        <v>51</v>
      </c>
      <c r="G91" s="227"/>
      <c r="H91" s="227"/>
      <c r="I91" s="227"/>
      <c r="J91" s="228"/>
      <c r="K91" s="228"/>
      <c r="L91" s="228"/>
      <c r="M91" s="228"/>
      <c r="N91" s="228"/>
      <c r="O91" s="228"/>
      <c r="P91" s="228"/>
      <c r="Q91" s="228"/>
      <c r="R91" s="228"/>
      <c r="S91" s="228"/>
      <c r="T91" s="228"/>
      <c r="U91" s="228"/>
      <c r="V91" s="228"/>
    </row>
    <row r="92" outlineLevel="1">
      <c r="A92" s="268" t="s">
        <v>212</v>
      </c>
      <c r="B92" s="269" t="s">
        <v>212</v>
      </c>
      <c r="C92" s="239" t="s">
        <v>176</v>
      </c>
      <c r="D92" s="239" t="s">
        <v>86</v>
      </c>
      <c r="E92" s="239" t="s">
        <v>213</v>
      </c>
      <c r="F92" s="138">
        <v>1.2</v>
      </c>
      <c r="G92" s="227"/>
      <c r="H92" s="227"/>
      <c r="I92" s="227"/>
      <c r="J92" s="228"/>
      <c r="K92" s="228"/>
      <c r="L92" s="228"/>
      <c r="M92" s="228"/>
      <c r="N92" s="228"/>
      <c r="O92" s="228"/>
      <c r="P92" s="228"/>
      <c r="Q92" s="228"/>
      <c r="R92" s="228"/>
      <c r="S92" s="228"/>
      <c r="T92" s="228"/>
      <c r="U92" s="228"/>
      <c r="V92" s="228"/>
    </row>
    <row r="93" outlineLevel="1">
      <c r="A93" s="270" t="s">
        <v>215</v>
      </c>
      <c r="B93" s="269" t="s">
        <v>216</v>
      </c>
      <c r="C93" s="239" t="s">
        <v>223</v>
      </c>
      <c r="D93" s="239" t="s">
        <v>282</v>
      </c>
      <c r="E93" s="271"/>
      <c r="F93" s="272"/>
      <c r="G93" s="272"/>
      <c r="H93" s="227"/>
      <c r="I93" s="227"/>
      <c r="J93" s="228"/>
      <c r="K93" s="228"/>
      <c r="L93" s="228"/>
      <c r="M93" s="228"/>
      <c r="N93" s="228"/>
      <c r="O93" s="228"/>
      <c r="P93" s="228"/>
      <c r="Q93" s="228"/>
      <c r="R93" s="228"/>
      <c r="S93" s="228"/>
      <c r="T93" s="228"/>
      <c r="U93" s="228"/>
      <c r="V93" s="228"/>
    </row>
    <row r="94" outlineLevel="1">
      <c r="A94" s="212"/>
      <c r="B94" s="269" t="s">
        <v>219</v>
      </c>
      <c r="C94" s="239" t="s">
        <v>305</v>
      </c>
      <c r="D94" s="239" t="s">
        <v>374</v>
      </c>
      <c r="E94" s="271"/>
      <c r="F94" s="272"/>
      <c r="G94" s="272"/>
      <c r="H94" s="227"/>
      <c r="I94" s="227"/>
      <c r="J94" s="228"/>
      <c r="K94" s="228"/>
      <c r="L94" s="228"/>
      <c r="M94" s="228"/>
      <c r="N94" s="228"/>
      <c r="O94" s="228"/>
      <c r="P94" s="228"/>
      <c r="Q94" s="228"/>
      <c r="R94" s="228"/>
      <c r="S94" s="228"/>
      <c r="T94" s="228"/>
      <c r="U94" s="228"/>
      <c r="V94" s="228"/>
    </row>
    <row r="95" outlineLevel="1">
      <c r="A95" s="106"/>
      <c r="B95" s="269" t="s">
        <v>222</v>
      </c>
      <c r="C95" s="239" t="s">
        <v>295</v>
      </c>
      <c r="D95" s="239" t="s">
        <v>384</v>
      </c>
      <c r="E95" s="227"/>
      <c r="F95" s="272"/>
      <c r="G95" s="272"/>
      <c r="H95" s="227"/>
      <c r="I95" s="227"/>
      <c r="J95" s="228"/>
      <c r="K95" s="228"/>
      <c r="L95" s="228"/>
      <c r="M95" s="228"/>
      <c r="N95" s="228"/>
      <c r="O95" s="228"/>
      <c r="P95" s="228"/>
      <c r="Q95" s="228"/>
      <c r="R95" s="228"/>
      <c r="S95" s="228"/>
      <c r="T95" s="228"/>
      <c r="U95" s="228"/>
      <c r="V95" s="228"/>
    </row>
    <row r="96" outlineLevel="1">
      <c r="A96" s="273" t="s">
        <v>225</v>
      </c>
      <c r="B96" s="109"/>
      <c r="C96" s="266" t="s">
        <v>48</v>
      </c>
      <c r="D96" s="266" t="s">
        <v>49</v>
      </c>
      <c r="E96" s="266" t="s">
        <v>50</v>
      </c>
      <c r="F96" s="267" t="s">
        <v>51</v>
      </c>
      <c r="G96" s="1168" t="s">
        <v>53</v>
      </c>
      <c r="H96" s="110"/>
      <c r="I96" s="110"/>
      <c r="J96" s="109"/>
      <c r="K96" s="275" t="str">
        <f>'テンプレート'!K97</f>
        <v>ベクトル</v>
      </c>
      <c r="L96" s="275" t="str">
        <f>'テンプレート'!L97</f>
        <v>KBG (R.E.)</v>
      </c>
      <c r="M96" s="275" t="str">
        <f>'テンプレート'!M97</f>
        <v>BKB (R.A.)</v>
      </c>
      <c r="N96" s="275" t="str">
        <f>'テンプレート'!N97</f>
        <v>FKB (R.F.)</v>
      </c>
      <c r="O96" s="276" t="str">
        <f>'テンプレート'!O97</f>
        <v>盾削り値</v>
      </c>
      <c r="P96" s="275" t="str">
        <f>'テンプレート'!P97</f>
        <v>ﾋｯﾄｽﾄｯﾌﾟ</v>
      </c>
      <c r="Q96" s="276" t="str">
        <f>'テンプレート'!Q97</f>
        <v>ずらし</v>
      </c>
      <c r="R96" s="277"/>
      <c r="S96" s="277"/>
      <c r="T96" s="277"/>
      <c r="U96" s="277"/>
      <c r="V96" s="277"/>
    </row>
    <row r="97" outlineLevel="1">
      <c r="A97" s="278" t="s">
        <v>226</v>
      </c>
      <c r="B97" s="269" t="s">
        <v>227</v>
      </c>
      <c r="C97" s="289" t="s">
        <v>386</v>
      </c>
      <c r="D97" s="279">
        <v>31.0</v>
      </c>
      <c r="E97" s="289" t="s">
        <v>651</v>
      </c>
      <c r="F97" s="138">
        <v>4.2</v>
      </c>
      <c r="G97" s="1170"/>
      <c r="H97" s="164"/>
      <c r="I97" s="164"/>
      <c r="J97" s="104"/>
      <c r="K97" s="282"/>
      <c r="L97" s="282"/>
      <c r="M97" s="363"/>
      <c r="N97" s="363"/>
      <c r="O97" s="282"/>
      <c r="P97" s="363"/>
      <c r="Q97" s="363"/>
      <c r="R97" s="277"/>
      <c r="S97" s="228"/>
      <c r="T97" s="228"/>
      <c r="U97" s="228"/>
      <c r="V97" s="228"/>
    </row>
    <row r="98" outlineLevel="1">
      <c r="A98" s="156"/>
      <c r="B98" s="269" t="s">
        <v>225</v>
      </c>
      <c r="C98" s="113">
        <v>16.0</v>
      </c>
      <c r="D98" s="156"/>
      <c r="E98" s="239" t="s">
        <v>1438</v>
      </c>
      <c r="F98" s="138">
        <v>5.3999999999999995</v>
      </c>
      <c r="G98" s="106"/>
      <c r="H98" s="168"/>
      <c r="I98" s="168"/>
      <c r="J98" s="107"/>
      <c r="K98" s="282"/>
      <c r="L98" s="282"/>
      <c r="M98" s="363"/>
      <c r="N98" s="363"/>
      <c r="O98" s="261"/>
      <c r="P98" s="261"/>
      <c r="Q98" s="261"/>
      <c r="R98" s="277"/>
      <c r="S98" s="228"/>
      <c r="T98" s="228"/>
      <c r="U98" s="228"/>
      <c r="V98" s="228"/>
    </row>
    <row r="99" outlineLevel="1">
      <c r="A99" s="278" t="s">
        <v>229</v>
      </c>
      <c r="B99" s="269" t="s">
        <v>227</v>
      </c>
      <c r="C99" s="261"/>
      <c r="D99" s="279">
        <v>44.0</v>
      </c>
      <c r="E99" s="261"/>
      <c r="F99" s="261"/>
      <c r="G99" s="1170"/>
      <c r="H99" s="164"/>
      <c r="I99" s="164"/>
      <c r="J99" s="104"/>
      <c r="K99" s="261"/>
      <c r="L99" s="261"/>
      <c r="M99" s="261"/>
      <c r="N99" s="261"/>
      <c r="O99" s="261"/>
      <c r="P99" s="261"/>
      <c r="Q99" s="261"/>
      <c r="R99" s="277"/>
      <c r="S99" s="228"/>
      <c r="T99" s="228"/>
      <c r="U99" s="228"/>
      <c r="V99" s="228"/>
    </row>
    <row r="100" outlineLevel="1">
      <c r="A100" s="156"/>
      <c r="B100" s="269" t="s">
        <v>225</v>
      </c>
      <c r="C100" s="113">
        <v>18.0</v>
      </c>
      <c r="D100" s="156"/>
      <c r="E100" s="239" t="s">
        <v>274</v>
      </c>
      <c r="F100" s="138">
        <v>10.799999999999999</v>
      </c>
      <c r="G100" s="106"/>
      <c r="H100" s="168"/>
      <c r="I100" s="168"/>
      <c r="J100" s="107"/>
      <c r="K100" s="282"/>
      <c r="L100" s="282"/>
      <c r="M100" s="363"/>
      <c r="N100" s="363"/>
      <c r="O100" s="261"/>
      <c r="P100" s="261"/>
      <c r="Q100" s="261"/>
      <c r="R100" s="277"/>
      <c r="S100" s="228"/>
      <c r="T100" s="228"/>
      <c r="U100" s="228"/>
      <c r="V100" s="228"/>
    </row>
    <row r="101" outlineLevel="1">
      <c r="A101" s="278" t="s">
        <v>233</v>
      </c>
      <c r="B101" s="269" t="s">
        <v>227</v>
      </c>
      <c r="C101" s="261"/>
      <c r="D101" s="367" t="s">
        <v>221</v>
      </c>
      <c r="E101" s="261"/>
      <c r="F101" s="261"/>
      <c r="G101" s="1170"/>
      <c r="H101" s="164"/>
      <c r="I101" s="164"/>
      <c r="J101" s="104"/>
      <c r="K101" s="261"/>
      <c r="L101" s="261"/>
      <c r="M101" s="261"/>
      <c r="N101" s="261"/>
      <c r="O101" s="261"/>
      <c r="P101" s="261"/>
      <c r="Q101" s="261"/>
      <c r="R101" s="277"/>
      <c r="S101" s="228"/>
      <c r="T101" s="228"/>
      <c r="U101" s="228"/>
      <c r="V101" s="228"/>
    </row>
    <row r="102" outlineLevel="1">
      <c r="A102" s="156"/>
      <c r="B102" s="269" t="s">
        <v>225</v>
      </c>
      <c r="C102" s="113">
        <v>16.0</v>
      </c>
      <c r="D102" s="156"/>
      <c r="E102" s="239" t="s">
        <v>150</v>
      </c>
      <c r="F102" s="138">
        <v>6.0</v>
      </c>
      <c r="G102" s="106"/>
      <c r="H102" s="168"/>
      <c r="I102" s="168"/>
      <c r="J102" s="107"/>
      <c r="K102" s="282"/>
      <c r="L102" s="282"/>
      <c r="M102" s="363"/>
      <c r="N102" s="363"/>
      <c r="O102" s="261"/>
      <c r="P102" s="261"/>
      <c r="Q102" s="261"/>
      <c r="R102" s="277"/>
      <c r="S102" s="117"/>
      <c r="T102" s="117"/>
      <c r="U102" s="117"/>
      <c r="V102" s="117"/>
    </row>
    <row r="103" outlineLevel="1">
      <c r="A103" s="278" t="s">
        <v>234</v>
      </c>
      <c r="B103" s="269" t="s">
        <v>227</v>
      </c>
      <c r="C103" s="261"/>
      <c r="D103" s="367" t="s">
        <v>79</v>
      </c>
      <c r="E103" s="261"/>
      <c r="F103" s="261"/>
      <c r="G103" s="283" t="s">
        <v>3626</v>
      </c>
      <c r="H103" s="164"/>
      <c r="I103" s="164"/>
      <c r="J103" s="104"/>
      <c r="K103" s="261"/>
      <c r="L103" s="261"/>
      <c r="M103" s="261"/>
      <c r="N103" s="261"/>
      <c r="O103" s="261"/>
      <c r="P103" s="261"/>
      <c r="Q103" s="261"/>
      <c r="R103" s="277"/>
      <c r="S103" s="117"/>
      <c r="T103" s="117"/>
      <c r="U103" s="117"/>
      <c r="V103" s="117"/>
    </row>
    <row r="104" outlineLevel="1">
      <c r="A104" s="156"/>
      <c r="B104" s="269" t="s">
        <v>225</v>
      </c>
      <c r="C104" s="113">
        <v>16.0</v>
      </c>
      <c r="D104" s="156"/>
      <c r="E104" s="239" t="s">
        <v>150</v>
      </c>
      <c r="F104" s="138">
        <v>6.0</v>
      </c>
      <c r="G104" s="106"/>
      <c r="H104" s="168"/>
      <c r="I104" s="168"/>
      <c r="J104" s="107"/>
      <c r="K104" s="282"/>
      <c r="L104" s="282"/>
      <c r="M104" s="363"/>
      <c r="N104" s="363"/>
      <c r="O104" s="261"/>
      <c r="P104" s="261"/>
      <c r="Q104" s="261"/>
      <c r="R104" s="277"/>
      <c r="S104" s="117"/>
      <c r="T104" s="117"/>
      <c r="U104" s="117"/>
      <c r="V104" s="117"/>
    </row>
    <row r="105">
      <c r="A105" s="223"/>
      <c r="B105" s="224"/>
      <c r="C105" s="225"/>
      <c r="D105" s="225"/>
      <c r="E105" s="227"/>
      <c r="F105" s="177"/>
      <c r="G105" s="177"/>
      <c r="H105" s="227"/>
      <c r="I105" s="227"/>
      <c r="J105" s="228"/>
      <c r="K105" s="228"/>
      <c r="L105" s="111"/>
      <c r="M105" s="111"/>
      <c r="N105" s="111"/>
      <c r="O105" s="117"/>
      <c r="P105" s="117"/>
      <c r="Q105" s="111"/>
      <c r="R105" s="111"/>
      <c r="S105" s="111"/>
      <c r="T105" s="111"/>
      <c r="U105" s="111"/>
      <c r="V105" s="111"/>
    </row>
    <row r="106">
      <c r="A106" s="284" t="s">
        <v>241</v>
      </c>
      <c r="B106" s="104"/>
      <c r="C106" s="265"/>
      <c r="D106" s="111"/>
      <c r="E106" s="111"/>
      <c r="F106" s="111"/>
      <c r="G106" s="111"/>
      <c r="H106" s="111"/>
      <c r="I106" s="111"/>
      <c r="J106" s="118"/>
      <c r="K106" s="111"/>
      <c r="L106" s="111"/>
      <c r="M106" s="111"/>
      <c r="N106" s="111"/>
      <c r="O106" s="111"/>
      <c r="P106" s="111"/>
      <c r="Q106" s="118"/>
      <c r="R106" s="111"/>
      <c r="S106" s="111"/>
      <c r="T106" s="111"/>
      <c r="U106" s="111"/>
      <c r="V106" s="111"/>
    </row>
    <row r="107" outlineLevel="1">
      <c r="A107" s="106"/>
      <c r="B107" s="107"/>
      <c r="C107" s="285" t="s">
        <v>235</v>
      </c>
      <c r="D107" s="285" t="s">
        <v>236</v>
      </c>
      <c r="E107" s="285" t="s">
        <v>49</v>
      </c>
      <c r="F107" s="285" t="s">
        <v>237</v>
      </c>
      <c r="G107" s="286"/>
      <c r="H107" s="227"/>
      <c r="I107" s="227"/>
      <c r="J107" s="228"/>
      <c r="K107" s="228"/>
      <c r="L107" s="111"/>
      <c r="M107" s="111"/>
      <c r="N107" s="111"/>
      <c r="O107" s="111"/>
      <c r="P107" s="111"/>
      <c r="Q107" s="111"/>
      <c r="R107" s="111"/>
      <c r="S107" s="111"/>
      <c r="T107" s="111"/>
      <c r="U107" s="111"/>
      <c r="V107" s="111"/>
    </row>
    <row r="108" outlineLevel="1">
      <c r="A108" s="287" t="s">
        <v>395</v>
      </c>
      <c r="B108" s="288" t="s">
        <v>216</v>
      </c>
      <c r="C108" s="113" t="str">
        <f t="array" ref="C108">INDEX('回避'!$C$3:$U$84, MATCH($A$1,'回避'!$A$3:$A$91,0), MATCH(C107,'回避'!$C$2:$F$2,0))</f>
        <v>3-16</v>
      </c>
      <c r="D108" s="113" t="str">
        <f t="array" ref="D108">INDEX('回避'!$C$3:$U$84, MATCH($A$1,'回避'!$A$3:$A$91,0), MATCH(D107,'回避'!$C$2:$F$2,0))</f>
        <v>6-16</v>
      </c>
      <c r="E108" s="113" t="str">
        <f t="array" ref="E108">INDEX('回避'!$C$3:$U$84, MATCH($A$1,'回避'!$A$3:$A$91,0), MATCH(E107,'回避'!$C$2:$F$2,0))</f>
        <v>24 (19)</v>
      </c>
      <c r="F108" s="113" t="str">
        <f t="array" ref="F108">INDEX('回避'!$C$3:$U$84, MATCH($A$1,'回避'!$A$3:$A$91,0), MATCH(F107,'回避'!$C$2:$F$2,0))</f>
        <v>32 (25)</v>
      </c>
      <c r="G108" s="272"/>
      <c r="H108" s="227"/>
      <c r="I108" s="227"/>
      <c r="J108" s="228"/>
      <c r="K108" s="228"/>
      <c r="L108" s="228"/>
      <c r="M108" s="111"/>
      <c r="N108" s="111"/>
      <c r="O108" s="111"/>
      <c r="P108" s="111"/>
      <c r="Q108" s="111"/>
      <c r="R108" s="111"/>
      <c r="S108" s="111"/>
      <c r="T108" s="111"/>
      <c r="U108" s="111"/>
      <c r="V108" s="111"/>
    </row>
    <row r="109" outlineLevel="1">
      <c r="A109" s="212"/>
      <c r="B109" s="288" t="s">
        <v>245</v>
      </c>
      <c r="C109" s="113" t="str">
        <f t="array" ref="C109">INDEX('回避'!$G$3:$U$84, MATCH($A$1,'回避'!$A$3:$A$91,0), MATCH(C107,'回避'!$G$2:$J$2,0))</f>
        <v>4-14</v>
      </c>
      <c r="D109" s="113" t="str">
        <f t="array" ref="D109">INDEX('回避'!$G$3:$U$84, MATCH($A$1,'回避'!$A$3:$A$91,0), MATCH(D107,'回避'!$G$2:$J$2,0))</f>
        <v>8-14</v>
      </c>
      <c r="E109" s="113" t="str">
        <f t="array" ref="E109">INDEX('回避'!$G$3:$U$84, MATCH($A$1,'回避'!$A$3:$A$91,0), MATCH(E107,'回避'!$G$2:$J$2,0))</f>
        <v>28</v>
      </c>
      <c r="F109" s="113">
        <f t="array" ref="F109">INDEX('回避'!$G$3:$U$84, MATCH($A$1,'回避'!$A$3:$A$91,0), MATCH(F107,'回避'!$G$2:$J$2,0))</f>
        <v>37</v>
      </c>
      <c r="G109" s="289"/>
      <c r="H109" s="227"/>
      <c r="I109" s="227"/>
      <c r="J109" s="228"/>
      <c r="K109" s="228"/>
      <c r="L109" s="228"/>
      <c r="M109" s="228"/>
      <c r="N109" s="228"/>
      <c r="O109" s="111"/>
      <c r="P109" s="111"/>
      <c r="Q109" s="111"/>
      <c r="R109" s="111"/>
      <c r="S109" s="111"/>
      <c r="T109" s="111"/>
      <c r="U109" s="111"/>
      <c r="V109" s="111"/>
    </row>
    <row r="110" outlineLevel="1">
      <c r="A110" s="106"/>
      <c r="B110" s="288" t="s">
        <v>246</v>
      </c>
      <c r="C110" s="113" t="str">
        <f t="array" ref="C110">INDEX('回避'!$K$3:$U$84, MATCH($A$1,'回避'!$A$3:$A$91,0), MATCH(C107,'回避'!$K$2:$N$2,0))</f>
        <v>4-15</v>
      </c>
      <c r="D110" s="113" t="str">
        <f t="array" ref="D110">INDEX('回避'!$K$3:$U$84, MATCH($A$1,'回避'!$A$3:$A$91,0), MATCH(D107,'回避'!$K$2:$N$2,0))</f>
        <v>8-13</v>
      </c>
      <c r="E110" s="113" t="str">
        <f t="array" ref="E110">INDEX('回避'!$K$3:$U$84, MATCH($A$1,'回避'!$A$3:$A$91,0), MATCH(E107,'回避'!$K$2:$N$2,0))</f>
        <v>33</v>
      </c>
      <c r="F110" s="113" t="str">
        <f t="array" ref="F110">INDEX('回避'!$K$3:$U$84, MATCH($A$1,'回避'!$A$3:$A$91,0), MATCH(F107,'回避'!$K$2:$N$2,0))</f>
        <v>50</v>
      </c>
      <c r="G110" s="289"/>
      <c r="H110" s="290"/>
      <c r="I110" s="290"/>
      <c r="J110" s="117"/>
      <c r="K110" s="117"/>
      <c r="L110" s="117"/>
      <c r="M110" s="117"/>
      <c r="N110" s="117"/>
      <c r="O110" s="111"/>
      <c r="P110" s="111"/>
      <c r="Q110" s="111"/>
      <c r="R110" s="111"/>
      <c r="S110" s="111"/>
      <c r="T110" s="111"/>
      <c r="U110" s="111"/>
      <c r="V110" s="111"/>
    </row>
    <row r="111" outlineLevel="1">
      <c r="A111" s="287" t="s">
        <v>396</v>
      </c>
      <c r="B111" s="288" t="s">
        <v>397</v>
      </c>
      <c r="C111" s="113" t="str">
        <f t="array" ref="C111">INDEX('回避'!$O$3:$U$84, MATCH($A$1,'回避'!$A$3:$A$91,0), MATCH(C107,'回避'!$O$2:$R$2,0))</f>
        <v>2-27</v>
      </c>
      <c r="D111" s="113" t="str">
        <f t="array" ref="D111">INDEX('回避'!$O$3:$U$84, MATCH($A$1,'回避'!$A$3:$A$91,0), MATCH(D107,'回避'!$O$2:$R$2,0))</f>
        <v>5-25</v>
      </c>
      <c r="E111" s="113" t="str">
        <f t="array" ref="E111">INDEX('回避'!$O$3:$U$84, MATCH($A$1,'回避'!$A$3:$A$91,0), MATCH(E107,'回避'!$O$2:$R$2,0))</f>
        <v>41</v>
      </c>
      <c r="F111" s="177"/>
      <c r="G111" s="177"/>
      <c r="H111" s="118"/>
      <c r="I111" s="118"/>
      <c r="J111" s="111"/>
      <c r="K111" s="111"/>
      <c r="L111" s="111"/>
      <c r="M111" s="111"/>
      <c r="N111" s="111"/>
      <c r="O111" s="228"/>
      <c r="P111" s="228"/>
      <c r="Q111" s="228"/>
      <c r="R111" s="228"/>
      <c r="S111" s="228"/>
      <c r="T111" s="228"/>
      <c r="U111" s="228"/>
      <c r="V111" s="228"/>
    </row>
    <row r="112" outlineLevel="1">
      <c r="A112" s="106"/>
      <c r="B112" s="288" t="s">
        <v>398</v>
      </c>
      <c r="C112" s="113" t="str">
        <f t="array" ref="C112">INDEX('回避'!$S$3:$U$84, MATCH($A$1,'回避'!$A$3:$A$91,0), MATCH(C107,'回避'!$S$2:$U$2,0))</f>
        <v>2-19</v>
      </c>
      <c r="D112" s="113" t="str">
        <f t="array" ref="D112">INDEX('回避'!$S$3:$U$84, MATCH($A$1,'回避'!$A$3:$A$91,0), MATCH(D107,'回避'!$S$2:$U$2,0))</f>
        <v>5-18</v>
      </c>
      <c r="E112" s="113" t="str">
        <f t="array" ref="E112">INDEX('回避'!$S$3:$U$84, MATCH($A$1,'回避'!$A$3:$A$91,0), MATCH(E107,'回避'!$S$2:$U$2,0))</f>
        <v>真横：71
真上：85
真下：60</v>
      </c>
      <c r="F112" s="289"/>
      <c r="G112" s="289"/>
      <c r="H112" s="118"/>
      <c r="I112" s="118"/>
      <c r="J112" s="117"/>
      <c r="K112" s="117"/>
      <c r="L112" s="117"/>
      <c r="M112" s="117"/>
      <c r="N112" s="111"/>
      <c r="O112" s="118"/>
      <c r="P112" s="118"/>
      <c r="Q112" s="118"/>
      <c r="R112" s="118"/>
      <c r="S112" s="118"/>
      <c r="T112" s="118"/>
      <c r="U112" s="118"/>
      <c r="V112" s="118"/>
    </row>
    <row r="113">
      <c r="A113" s="291"/>
      <c r="B113" s="292"/>
      <c r="C113" s="286"/>
      <c r="D113" s="286"/>
      <c r="E113" s="293"/>
      <c r="F113" s="286"/>
      <c r="G113" s="286"/>
      <c r="H113" s="286"/>
      <c r="I113" s="286"/>
      <c r="J113" s="111"/>
      <c r="K113" s="227"/>
      <c r="L113" s="227"/>
      <c r="M113" s="227"/>
      <c r="N113" s="227"/>
      <c r="O113" s="118"/>
      <c r="P113" s="118"/>
      <c r="Q113" s="118"/>
      <c r="R113" s="118"/>
      <c r="S113" s="118"/>
      <c r="T113" s="118"/>
      <c r="U113" s="118"/>
      <c r="V113" s="118"/>
    </row>
    <row r="114">
      <c r="A114" s="294" t="s">
        <v>238</v>
      </c>
      <c r="B114" s="104"/>
      <c r="C114" s="228"/>
      <c r="D114" s="117"/>
      <c r="E114" s="228"/>
      <c r="F114" s="114"/>
      <c r="G114" s="114"/>
      <c r="H114" s="117"/>
      <c r="I114" s="117"/>
      <c r="J114" s="118"/>
      <c r="K114" s="118"/>
      <c r="L114" s="118"/>
      <c r="M114" s="118"/>
      <c r="N114" s="118"/>
      <c r="O114" s="118"/>
      <c r="P114" s="118"/>
      <c r="Q114" s="118"/>
      <c r="R114" s="118"/>
      <c r="S114" s="118"/>
      <c r="T114" s="118"/>
      <c r="U114" s="118"/>
      <c r="V114" s="118"/>
    </row>
    <row r="115" outlineLevel="1">
      <c r="A115" s="106"/>
      <c r="B115" s="107"/>
      <c r="C115" s="295" t="s">
        <v>235</v>
      </c>
      <c r="D115" s="295" t="s">
        <v>49</v>
      </c>
      <c r="E115" s="295" t="s">
        <v>48</v>
      </c>
      <c r="F115" s="295" t="s">
        <v>50</v>
      </c>
      <c r="G115" s="296" t="s">
        <v>51</v>
      </c>
      <c r="H115" s="228"/>
      <c r="I115" s="228"/>
      <c r="J115" s="117"/>
      <c r="K115" s="297" t="str">
        <f>'テンプレート'!K116</f>
        <v>アイテム取得</v>
      </c>
      <c r="L115" s="109"/>
      <c r="M115" s="298" t="str">
        <f>'テンプレート'!M116</f>
        <v>取得フレーム</v>
      </c>
      <c r="N115" s="298" t="str">
        <f>'テンプレート'!N116</f>
        <v>全体フレーム</v>
      </c>
      <c r="O115" s="118"/>
      <c r="P115" s="118"/>
      <c r="Q115" s="118"/>
      <c r="R115" s="118"/>
      <c r="S115" s="118"/>
      <c r="T115" s="118"/>
      <c r="U115" s="118"/>
      <c r="V115" s="118"/>
    </row>
    <row r="116" outlineLevel="1">
      <c r="A116" s="299" t="s">
        <v>239</v>
      </c>
      <c r="B116" s="300" t="s">
        <v>240</v>
      </c>
      <c r="C116" s="301"/>
      <c r="D116" s="113">
        <f t="array" ref="D116">INDEX('崖行動・受け身'!$C$3:$C120, MATCH($A$1,'崖行動・受け身'!$A$3:$A$115,0), MATCH(D115,'崖行動・受け身'!$C$2,0))</f>
        <v>19</v>
      </c>
      <c r="E116" s="301"/>
      <c r="F116" s="301"/>
      <c r="G116" s="301"/>
      <c r="H116" s="228"/>
      <c r="I116" s="228"/>
      <c r="J116" s="111"/>
      <c r="K116" s="302" t="str">
        <f>'テンプレート'!K117</f>
        <v>小アイテム</v>
      </c>
      <c r="L116" s="303" t="str">
        <f>'テンプレート'!L117</f>
        <v>その場</v>
      </c>
      <c r="M116" s="113" t="s">
        <v>76</v>
      </c>
      <c r="N116" s="113">
        <v>7.0</v>
      </c>
      <c r="O116" s="118"/>
      <c r="P116" s="118"/>
      <c r="Q116" s="118"/>
      <c r="R116" s="118"/>
      <c r="S116" s="118"/>
      <c r="T116" s="118"/>
      <c r="U116" s="118"/>
      <c r="V116" s="118"/>
    </row>
    <row r="117" outlineLevel="1">
      <c r="A117" s="146"/>
      <c r="B117" s="300" t="s">
        <v>216</v>
      </c>
      <c r="C117" s="113" t="str">
        <f t="array" ref="C117">INDEX('崖行動・受け身'!$D$3:$E120, MATCH($A$1,'崖行動・受け身'!$A$3:$A$115,0), MATCH(C115,'崖行動・受け身'!$D$2:$E$2,0))</f>
        <v>1-33</v>
      </c>
      <c r="D117" s="113">
        <f t="array" ref="D117">INDEX('崖行動・受け身'!$D$3:$E120, MATCH($A$1,'崖行動・受け身'!$A$3:$A$115,0), MATCH(D115,'崖行動・受け身'!$D$2:$E$2,0))</f>
        <v>34</v>
      </c>
      <c r="E117" s="301"/>
      <c r="F117" s="301"/>
      <c r="G117" s="301"/>
      <c r="H117" s="228"/>
      <c r="I117" s="228"/>
      <c r="J117" s="117"/>
      <c r="K117" s="156"/>
      <c r="L117" s="303" t="str">
        <f>'テンプレート'!L118</f>
        <v>歩き</v>
      </c>
      <c r="M117" s="113" t="s">
        <v>76</v>
      </c>
      <c r="N117" s="113">
        <v>19.0</v>
      </c>
      <c r="O117" s="118"/>
      <c r="P117" s="118"/>
      <c r="Q117" s="118"/>
      <c r="R117" s="118"/>
      <c r="S117" s="118"/>
      <c r="T117" s="118"/>
      <c r="U117" s="118"/>
      <c r="V117" s="118"/>
    </row>
    <row r="118" outlineLevel="1">
      <c r="A118" s="146"/>
      <c r="B118" s="300" t="s">
        <v>241</v>
      </c>
      <c r="C118" s="113" t="str">
        <f t="array" ref="C118">INDEX('崖行動・受け身'!$F$3:$G$115, MATCH($A$1,'崖行動・受け身'!$A$3:$A$115,0), MATCH(C115,'崖行動・受け身'!$F$2:$G$2,0))</f>
        <v>1-25</v>
      </c>
      <c r="D118" s="113">
        <f t="array" ref="D118">INDEX('崖行動・受け身'!$F$3:$G$115, MATCH($A$1,'崖行動・受け身'!$A$3:$A$115,0), MATCH(D115,'崖行動・受け身'!$F$2:$G$2,0))</f>
        <v>45</v>
      </c>
      <c r="E118" s="301"/>
      <c r="F118" s="301"/>
      <c r="G118" s="301"/>
      <c r="H118" s="228"/>
      <c r="I118" s="228"/>
      <c r="J118" s="111"/>
      <c r="K118" s="304" t="str">
        <f>'テンプレート'!K119</f>
        <v>アイテム投擲</v>
      </c>
      <c r="L118" s="109"/>
      <c r="M118" s="298" t="str">
        <f>'テンプレート'!M119</f>
        <v>投擲フレーム</v>
      </c>
      <c r="N118" s="298" t="str">
        <f>'テンプレート'!N119</f>
        <v>全体フレーム</v>
      </c>
      <c r="O118" s="118"/>
      <c r="P118" s="118"/>
      <c r="Q118" s="118"/>
      <c r="R118" s="118"/>
      <c r="S118" s="118"/>
      <c r="T118" s="118"/>
      <c r="U118" s="118"/>
      <c r="V118" s="118"/>
    </row>
    <row r="119" outlineLevel="1">
      <c r="A119" s="146"/>
      <c r="B119" s="300" t="s">
        <v>242</v>
      </c>
      <c r="C119" s="113" t="str">
        <f t="array" ref="C119">INDEX('崖行動・受け身'!$H$3:$I$115, MATCH($A$1,'崖行動・受け身'!$A$3:$A$115,0), MATCH(C115,'崖行動・受け身'!$H$2:$I$2,0))</f>
        <v>1-12</v>
      </c>
      <c r="D119" s="113">
        <f t="array" ref="D119">INDEX('崖行動・受け身'!$H$3:$I$115, MATCH($A$1,'崖行動・受け身'!$A$3:$A$115,0), MATCH(D115,'崖行動・受け身'!$H$2:$I$2,0))</f>
        <v>14</v>
      </c>
      <c r="E119" s="301"/>
      <c r="F119" s="301"/>
      <c r="G119" s="301"/>
      <c r="H119" s="228"/>
      <c r="I119" s="228"/>
      <c r="J119" s="117"/>
      <c r="K119" s="305" t="str">
        <f>'テンプレート'!K120</f>
        <v>地上投擲</v>
      </c>
      <c r="L119" s="303" t="str">
        <f>'テンプレート'!L120</f>
        <v>前投げ</v>
      </c>
      <c r="M119" s="113" t="s">
        <v>128</v>
      </c>
      <c r="N119" s="113">
        <v>29.0</v>
      </c>
      <c r="O119" s="111"/>
      <c r="P119" s="111"/>
      <c r="Q119" s="111"/>
      <c r="R119" s="111"/>
      <c r="S119" s="111"/>
      <c r="T119" s="111"/>
      <c r="U119" s="111"/>
      <c r="V119" s="111"/>
    </row>
    <row r="120" outlineLevel="1">
      <c r="A120" s="156"/>
      <c r="B120" s="300" t="s">
        <v>243</v>
      </c>
      <c r="C120" s="113" t="str">
        <f t="array" ref="C120">INDEX('崖行動・受け身'!$J$3:$M$115, MATCH($A$1,'崖行動・受け身'!$A$3:$A$115,0), MATCH(C115,'崖行動・受け身'!$J$2:$M$2,0))</f>
        <v>1-24</v>
      </c>
      <c r="D120" s="113">
        <f t="array" ref="D120">INDEX('崖行動・受け身'!$J$3:$M$115, MATCH($A$1,'崖行動・受け身'!$A$3:$A$115,0), MATCH(D115,'崖行動・受け身'!$J$2:$M$2,0))</f>
        <v>55</v>
      </c>
      <c r="E120" s="113" t="str">
        <f t="array" ref="E120">INDEX('崖行動・受け身'!$J$3:$M$115, MATCH($A$1,'崖行動・受け身'!$A$3:$A$115,0), MATCH(E115,'崖行動・受け身'!$J$2:$M$2,0))</f>
        <v>22-24</v>
      </c>
      <c r="F120" s="113">
        <f t="array" ref="F120">INDEX('崖行動・受け身'!$J$3:$M$115, MATCH($A$1,'崖行動・受け身'!$A$3:$A$115,0), MATCH(F115,'崖行動・受け身'!$J$2:$M$2,0))</f>
        <v>9</v>
      </c>
      <c r="G120" s="113">
        <f>F120*1.2</f>
        <v>10.8</v>
      </c>
      <c r="H120" s="228"/>
      <c r="I120" s="228"/>
      <c r="J120" s="111"/>
      <c r="K120" s="146"/>
      <c r="L120" s="303" t="str">
        <f>'テンプレート'!L121</f>
        <v>後投げ</v>
      </c>
      <c r="M120" s="113" t="s">
        <v>119</v>
      </c>
      <c r="N120" s="113">
        <v>29.0</v>
      </c>
      <c r="O120" s="111"/>
      <c r="P120" s="111"/>
      <c r="Q120" s="111"/>
      <c r="R120" s="111"/>
      <c r="S120" s="111"/>
      <c r="T120" s="111"/>
      <c r="U120" s="111"/>
      <c r="V120" s="111"/>
    </row>
    <row r="121" outlineLevel="1">
      <c r="A121" s="299" t="s">
        <v>244</v>
      </c>
      <c r="B121" s="300" t="s">
        <v>216</v>
      </c>
      <c r="C121" s="113" t="str">
        <f t="array" ref="C121">INDEX('崖行動・受け身'!$N$3:$O$115, MATCH($A$1,'崖行動・受け身'!$A$3:$A$115,0), MATCH(C115,'崖行動・受け身'!$N$2:$O$2,0))</f>
        <v>1-20</v>
      </c>
      <c r="D121" s="113">
        <f t="array" ref="D121">INDEX('崖行動・受け身'!$N$3:$O$115, MATCH($A$1,'崖行動・受け身'!$A$3:$A$115,0), MATCH(D115,'崖行動・受け身'!$N$2:$O$2,0))</f>
        <v>26</v>
      </c>
      <c r="E121" s="301"/>
      <c r="F121" s="301"/>
      <c r="G121" s="301"/>
      <c r="H121" s="228"/>
      <c r="I121" s="228"/>
      <c r="J121" s="117"/>
      <c r="K121" s="146"/>
      <c r="L121" s="303" t="str">
        <f>'テンプレート'!L122</f>
        <v>上投げ</v>
      </c>
      <c r="M121" s="113" t="s">
        <v>386</v>
      </c>
      <c r="N121" s="113">
        <v>29.0</v>
      </c>
      <c r="O121" s="228"/>
      <c r="P121" s="228"/>
      <c r="Q121" s="228"/>
      <c r="R121" s="228"/>
      <c r="S121" s="228"/>
      <c r="T121" s="228"/>
      <c r="U121" s="228"/>
      <c r="V121" s="228"/>
    </row>
    <row r="122" outlineLevel="1">
      <c r="A122" s="146"/>
      <c r="B122" s="300" t="s">
        <v>245</v>
      </c>
      <c r="C122" s="113" t="str">
        <f t="array" ref="C122">INDEX('崖行動・受け身'!$P$3:$Q$115, MATCH($A$1,'崖行動・受け身'!$A$3:$A$115,0), MATCH(C115,'崖行動・受け身'!$P$2:$Q$2,0))</f>
        <v>1-20</v>
      </c>
      <c r="D122" s="113">
        <f t="array" ref="D122">INDEX('崖行動・受け身'!$P$3:$Q$115, MATCH($A$1,'崖行動・受け身'!$A$3:$A$115,0), MATCH(D115,'崖行動・受け身'!$P$2:$Q$2,0))</f>
        <v>40</v>
      </c>
      <c r="E122" s="301"/>
      <c r="F122" s="301"/>
      <c r="G122" s="301"/>
      <c r="H122" s="228"/>
      <c r="I122" s="228"/>
      <c r="J122" s="111"/>
      <c r="K122" s="146"/>
      <c r="L122" s="303" t="str">
        <f>'テンプレート'!L123</f>
        <v>下投げ</v>
      </c>
      <c r="M122" s="113" t="s">
        <v>80</v>
      </c>
      <c r="N122" s="113">
        <v>21.0</v>
      </c>
      <c r="O122" s="118"/>
      <c r="P122" s="118"/>
      <c r="Q122" s="118"/>
      <c r="R122" s="118"/>
      <c r="S122" s="118"/>
      <c r="T122" s="118"/>
      <c r="U122" s="118"/>
      <c r="V122" s="118"/>
    </row>
    <row r="123" outlineLevel="1">
      <c r="A123" s="156"/>
      <c r="B123" s="300" t="s">
        <v>246</v>
      </c>
      <c r="C123" s="113" t="str">
        <f t="array" ref="C123">INDEX('崖行動・受け身'!$R$3:$S$115, MATCH($A$1,'崖行動・受け身'!$A$3:$A$115,0), MATCH(C115,'崖行動・受け身'!$R$2:$S$2,0))</f>
        <v>1-20</v>
      </c>
      <c r="D123" s="113">
        <f t="array" ref="D123">INDEX('崖行動・受け身'!$R$3:$S$115, MATCH($A$1,'崖行動・受け身'!$A$3:$A$115,0), MATCH(D115,'崖行動・受け身'!$R$2:$S$2,0))</f>
        <v>40</v>
      </c>
      <c r="E123" s="301"/>
      <c r="F123" s="301"/>
      <c r="G123" s="301"/>
      <c r="H123" s="228"/>
      <c r="I123" s="228"/>
      <c r="J123" s="117"/>
      <c r="K123" s="146"/>
      <c r="L123" s="306" t="str">
        <f>'テンプレート'!L124</f>
        <v>ダッシュ</v>
      </c>
      <c r="M123" s="113" t="s">
        <v>86</v>
      </c>
      <c r="N123" s="113">
        <v>39.0</v>
      </c>
      <c r="O123" s="118"/>
      <c r="P123" s="118"/>
      <c r="Q123" s="118"/>
      <c r="R123" s="118"/>
      <c r="S123" s="118"/>
      <c r="T123" s="118"/>
      <c r="U123" s="118"/>
      <c r="V123" s="118"/>
    </row>
    <row r="124" outlineLevel="1">
      <c r="A124" s="299" t="s">
        <v>247</v>
      </c>
      <c r="B124" s="300" t="s">
        <v>248</v>
      </c>
      <c r="C124" s="301"/>
      <c r="D124" s="113" t="str">
        <f t="array" ref="D124">INDEX('起きあがり'!$C$3:$C120, MATCH($A$1,'起きあがり'!$A$3:$A$115,0), MATCH(D115,'起きあがり'!$C$2:$AD$2,0))</f>
        <v>25</v>
      </c>
      <c r="E124" s="301"/>
      <c r="F124" s="301"/>
      <c r="G124" s="301"/>
      <c r="H124" s="228"/>
      <c r="I124" s="228"/>
      <c r="J124" s="111"/>
      <c r="K124" s="156"/>
      <c r="L124" s="306" t="str">
        <f>'テンプレート'!L125</f>
        <v>その場捨て</v>
      </c>
      <c r="M124" s="113" t="s">
        <v>93</v>
      </c>
      <c r="N124" s="113">
        <v>23.0</v>
      </c>
      <c r="O124" s="118"/>
      <c r="P124" s="118"/>
      <c r="Q124" s="118"/>
      <c r="R124" s="118"/>
      <c r="S124" s="118"/>
      <c r="T124" s="118"/>
      <c r="U124" s="118"/>
      <c r="V124" s="118"/>
    </row>
    <row r="125" outlineLevel="1">
      <c r="A125" s="146"/>
      <c r="B125" s="300" t="s">
        <v>216</v>
      </c>
      <c r="C125" s="307" t="str">
        <f t="array" ref="C125">INDEX('起きあがり'!$D$3:$E120, MATCH($A$1,'起きあがり'!$A$3:$A$115,0), MATCH(C115,'起きあがり'!$D$2:$AD$2,0))</f>
        <v>1-22</v>
      </c>
      <c r="D125" s="308">
        <f t="array" ref="D125">INDEX('起きあがり'!$D$3:$E120, MATCH($A$1,'起きあがり'!$A$3:$A$115,0), MATCH(D115,'起きあがり'!$D$2:$AD$2,0))</f>
        <v>29</v>
      </c>
      <c r="E125" s="301"/>
      <c r="F125" s="301"/>
      <c r="G125" s="301"/>
      <c r="H125" s="228"/>
      <c r="I125" s="228"/>
      <c r="J125" s="117"/>
      <c r="K125" s="305" t="str">
        <f>'テンプレート'!K126</f>
        <v>空中投擲</v>
      </c>
      <c r="L125" s="303" t="str">
        <f>'テンプレート'!L126</f>
        <v>前投げ</v>
      </c>
      <c r="M125" s="113" t="s">
        <v>128</v>
      </c>
      <c r="N125" s="113">
        <v>29.0</v>
      </c>
      <c r="O125" s="118"/>
      <c r="P125" s="118"/>
      <c r="Q125" s="118"/>
      <c r="R125" s="118"/>
      <c r="S125" s="118"/>
      <c r="T125" s="118"/>
      <c r="U125" s="118"/>
      <c r="V125" s="118"/>
    </row>
    <row r="126" outlineLevel="1">
      <c r="A126" s="146"/>
      <c r="B126" s="300" t="s">
        <v>245</v>
      </c>
      <c r="C126" s="307" t="str">
        <f t="array" ref="C126">INDEX('起きあがり'!$F$3:$G$115, MATCH($A$1,'起きあがり'!$A$3:$A$115,0), MATCH(C115,'起きあがり'!$F$2:$AD$2,0))</f>
        <v>1-19</v>
      </c>
      <c r="D126" s="308">
        <f t="array" ref="D126">INDEX('起きあがり'!$F$3:$G$115, MATCH($A$1,'起きあがり'!$A$3:$A$115,0), MATCH(D115,'起きあがり'!$F$2:$AD$2,0))</f>
        <v>35</v>
      </c>
      <c r="E126" s="301"/>
      <c r="F126" s="301"/>
      <c r="G126" s="301"/>
      <c r="H126" s="228"/>
      <c r="I126" s="228"/>
      <c r="J126" s="111"/>
      <c r="K126" s="146"/>
      <c r="L126" s="303" t="str">
        <f>'テンプレート'!L127</f>
        <v>後投げ</v>
      </c>
      <c r="M126" s="113" t="s">
        <v>119</v>
      </c>
      <c r="N126" s="113">
        <v>29.0</v>
      </c>
      <c r="O126" s="118"/>
      <c r="P126" s="118"/>
      <c r="Q126" s="118"/>
      <c r="R126" s="118"/>
      <c r="S126" s="118"/>
      <c r="T126" s="118"/>
      <c r="U126" s="118"/>
      <c r="V126" s="118"/>
    </row>
    <row r="127" outlineLevel="1">
      <c r="A127" s="146"/>
      <c r="B127" s="300" t="s">
        <v>246</v>
      </c>
      <c r="C127" s="113" t="str">
        <f t="array" ref="C127">INDEX('起きあがり'!$H$3:$I$115, MATCH($A$1,'起きあがり'!$A$3:$A$115,0), MATCH(C115,'起きあがり'!$H$2:$AD$2,0))</f>
        <v>1-19</v>
      </c>
      <c r="D127" s="113">
        <f t="array" ref="D127">INDEX('起きあがり'!$H$3:$I$115, MATCH($A$1,'起きあがり'!$A$3:$A$115,0), MATCH(D115,'起きあがり'!$H$2:$AD$2,0))</f>
        <v>35</v>
      </c>
      <c r="E127" s="301"/>
      <c r="F127" s="301"/>
      <c r="G127" s="301"/>
      <c r="H127" s="228"/>
      <c r="I127" s="228"/>
      <c r="J127" s="117"/>
      <c r="K127" s="146"/>
      <c r="L127" s="303" t="str">
        <f>'テンプレート'!L128</f>
        <v>上投げ</v>
      </c>
      <c r="M127" s="113" t="s">
        <v>386</v>
      </c>
      <c r="N127" s="113">
        <v>29.0</v>
      </c>
      <c r="O127" s="118"/>
      <c r="P127" s="118"/>
      <c r="Q127" s="118"/>
      <c r="R127" s="118"/>
      <c r="S127" s="118"/>
      <c r="T127" s="118"/>
      <c r="U127" s="118"/>
      <c r="V127" s="118"/>
    </row>
    <row r="128" outlineLevel="1">
      <c r="A128" s="146"/>
      <c r="B128" s="300" t="s">
        <v>249</v>
      </c>
      <c r="C128" s="309" t="str">
        <f t="array" ref="C128">INDEX('起きあがり'!$J$3:$M$115, MATCH($A$1,'起きあがり'!$A$3:$A$115,0), MATCH(C115,'起きあがり'!$J$2:$AD$2,0))</f>
        <v>1-22</v>
      </c>
      <c r="D128" s="310">
        <f t="array" ref="D128">INDEX('起きあがり'!$J$3:$M$115, MATCH($A$1,'起きあがり'!$A$3:$A$115,0), MATCH(D115,'起きあがり'!$J$2:$AD$2,0))</f>
        <v>45</v>
      </c>
      <c r="E128" s="307" t="str">
        <f t="array" ref="E128">INDEX('起きあがり'!$J$3:$M$115, MATCH($A$1,'起きあがり'!$A$3:$A$115,0), MATCH(E115,'起きあがり'!$J$2:$AD$2,0))</f>
        <v>17-18</v>
      </c>
      <c r="F128" s="308">
        <f t="array" ref="F128">INDEX('起きあがり'!$J$3:$M$115, MATCH($A$1,'起きあがり'!$A$3:$A$115,0), MATCH(F115,'起きあがり'!$J$2:$AD$2,0))</f>
        <v>7</v>
      </c>
      <c r="G128" s="113">
        <f t="shared" ref="G128:G129" si="1">F128*1.2</f>
        <v>8.4</v>
      </c>
      <c r="H128" s="228"/>
      <c r="I128" s="228"/>
      <c r="J128" s="111"/>
      <c r="K128" s="156"/>
      <c r="L128" s="303" t="str">
        <f>'テンプレート'!L129</f>
        <v>下投げ</v>
      </c>
      <c r="M128" s="113" t="s">
        <v>80</v>
      </c>
      <c r="N128" s="113">
        <v>21.0</v>
      </c>
      <c r="O128" s="111"/>
      <c r="P128" s="111"/>
      <c r="Q128" s="111"/>
      <c r="R128" s="111"/>
      <c r="S128" s="111"/>
      <c r="T128" s="111"/>
      <c r="U128" s="111"/>
      <c r="V128" s="111"/>
    </row>
    <row r="129" outlineLevel="1">
      <c r="A129" s="156"/>
      <c r="B129" s="311" t="s">
        <v>250</v>
      </c>
      <c r="C129" s="156"/>
      <c r="D129" s="156"/>
      <c r="E129" s="307" t="str">
        <f t="array" ref="E129">INDEX('起きあがり'!$N$3:$O$115, MATCH($A$1,'起きあがり'!$A$3:$A$115,0), MATCH(E115,'起きあがり'!$N$2:$AD$2,0))</f>
        <v>21-22</v>
      </c>
      <c r="F129" s="308">
        <f t="array" ref="F129">INDEX('起きあがり'!$N$3:$O$115, MATCH($A$1,'起きあがり'!$A$3:$A$115,0), MATCH(F115,'起きあがり'!$N$2:$AD$2,0))</f>
        <v>7</v>
      </c>
      <c r="G129" s="113">
        <f t="shared" si="1"/>
        <v>8.4</v>
      </c>
      <c r="H129" s="228"/>
      <c r="I129" s="228"/>
      <c r="J129" s="111"/>
      <c r="K129" s="312" t="str">
        <f>'テンプレート'!K130</f>
        <v>踏み台ジャンプ</v>
      </c>
      <c r="L129" s="168"/>
      <c r="M129" s="298" t="str">
        <f>'テンプレート'!M130</f>
        <v>全体フレーム</v>
      </c>
      <c r="N129" s="114"/>
      <c r="O129" s="111"/>
      <c r="P129" s="111"/>
      <c r="Q129" s="111"/>
      <c r="R129" s="111"/>
      <c r="S129" s="111"/>
      <c r="T129" s="111"/>
      <c r="U129" s="111"/>
      <c r="V129" s="111"/>
    </row>
    <row r="130" outlineLevel="1">
      <c r="A130" s="299" t="s">
        <v>251</v>
      </c>
      <c r="B130" s="300" t="s">
        <v>248</v>
      </c>
      <c r="C130" s="301"/>
      <c r="D130" s="307" t="str">
        <f t="array" ref="D130">INDEX('起きあがり'!$C$3:$C120, MATCH($A$1,'起きあがり'!$A$3:$A$115,0), MATCH(D115,'起きあがり'!$C$2,0))</f>
        <v>25</v>
      </c>
      <c r="E130" s="301"/>
      <c r="F130" s="301"/>
      <c r="G130" s="301"/>
      <c r="H130" s="228"/>
      <c r="I130" s="228"/>
      <c r="J130" s="117"/>
      <c r="K130" s="313" t="str">
        <f>'テンプレート'!K131</f>
        <v>踏み</v>
      </c>
      <c r="L130" s="314" t="str">
        <f>'テンプレート'!L131</f>
        <v>踏み</v>
      </c>
      <c r="M130" s="113">
        <v>7.0</v>
      </c>
      <c r="N130" s="315"/>
      <c r="O130" s="111"/>
      <c r="P130" s="111"/>
      <c r="Q130" s="111"/>
      <c r="R130" s="111"/>
      <c r="S130" s="111"/>
      <c r="T130" s="111"/>
      <c r="U130" s="111"/>
      <c r="V130" s="111"/>
    </row>
    <row r="131" outlineLevel="1">
      <c r="A131" s="146"/>
      <c r="B131" s="300" t="s">
        <v>216</v>
      </c>
      <c r="C131" s="307" t="str">
        <f t="array" ref="C131">INDEX('起きあがり'!$P$3:$Q$115, MATCH($A$1,'起きあがり'!$A$3:$A$115,0), MATCH(C115,'起きあがり'!$P$2:$AD$2,0))</f>
        <v>1-22</v>
      </c>
      <c r="D131" s="308">
        <f t="array" ref="D131">INDEX('起きあがり'!$P$3:$Q$115, MATCH($A$1,'起きあがり'!$A$3:$A$115,0), MATCH(D115,'起きあがり'!$P$2:$AD$2,0))</f>
        <v>29</v>
      </c>
      <c r="E131" s="301"/>
      <c r="F131" s="301"/>
      <c r="G131" s="301"/>
      <c r="H131" s="228"/>
      <c r="I131" s="228"/>
      <c r="J131" s="111"/>
      <c r="K131" s="305" t="str">
        <f>'テンプレート'!K132</f>
        <v>踏まれ</v>
      </c>
      <c r="L131" s="314" t="str">
        <f>'テンプレート'!L132</f>
        <v>地上踏まれ</v>
      </c>
      <c r="M131" s="113" t="s">
        <v>76</v>
      </c>
      <c r="N131" s="315"/>
      <c r="O131" s="228"/>
      <c r="P131" s="228"/>
      <c r="Q131" s="228"/>
      <c r="R131" s="228"/>
      <c r="S131" s="228"/>
      <c r="T131" s="228"/>
      <c r="U131" s="228"/>
      <c r="V131" s="228"/>
    </row>
    <row r="132" outlineLevel="1">
      <c r="A132" s="146"/>
      <c r="B132" s="300" t="s">
        <v>245</v>
      </c>
      <c r="C132" s="307" t="str">
        <f t="array" ref="C132">INDEX('起きあがり'!$R$3:$S$115, MATCH($A$1,'起きあがり'!$A$3:$A$115,0), MATCH(C115,'起きあがり'!$R$2:$AD$2,0))</f>
        <v>1-19</v>
      </c>
      <c r="D132" s="308">
        <f t="array" ref="D132">INDEX('起きあがり'!$R$3:$S$115, MATCH($A$1,'起きあがり'!$A$3:$A$115,0), MATCH(D115,'起きあがり'!$R$2:$AD$2,0))</f>
        <v>35</v>
      </c>
      <c r="E132" s="301"/>
      <c r="F132" s="301"/>
      <c r="G132" s="301"/>
      <c r="H132" s="228"/>
      <c r="I132" s="228"/>
      <c r="J132" s="117"/>
      <c r="K132" s="146"/>
      <c r="L132" s="314" t="str">
        <f>'テンプレート'!L133</f>
        <v>地上硬直</v>
      </c>
      <c r="M132" s="113">
        <v>27.0</v>
      </c>
      <c r="N132" s="102"/>
      <c r="O132" s="118"/>
      <c r="P132" s="118"/>
      <c r="Q132" s="118"/>
      <c r="R132" s="118"/>
      <c r="S132" s="118"/>
      <c r="T132" s="118"/>
      <c r="U132" s="118"/>
      <c r="V132" s="118"/>
    </row>
    <row r="133" outlineLevel="1">
      <c r="A133" s="146"/>
      <c r="B133" s="300" t="s">
        <v>246</v>
      </c>
      <c r="C133" s="307" t="str">
        <f t="array" ref="C133">INDEX('起きあがり'!$T$3:$U$115, MATCH($A$1,'起きあがり'!$A$3:$A$115,0), MATCH(C115,'起きあがり'!$T$2:$AD$2,0))</f>
        <v>1-19</v>
      </c>
      <c r="D133" s="308">
        <f t="array" ref="D133">INDEX('起きあがり'!$T$3:$U$115, MATCH($A$1,'起きあがり'!$A$3:$A$115,0), MATCH(D115,'起きあがり'!$T$2:$AD$2,0))</f>
        <v>35</v>
      </c>
      <c r="E133" s="301"/>
      <c r="F133" s="301"/>
      <c r="G133" s="301"/>
      <c r="H133" s="228"/>
      <c r="I133" s="228"/>
      <c r="J133" s="111"/>
      <c r="K133" s="146"/>
      <c r="L133" s="314" t="str">
        <f>'テンプレート'!L134</f>
        <v>空中踏まれ</v>
      </c>
      <c r="M133" s="113">
        <v>8.0</v>
      </c>
      <c r="N133" s="102"/>
      <c r="O133" s="118"/>
      <c r="P133" s="118"/>
      <c r="Q133" s="118"/>
      <c r="R133" s="118"/>
      <c r="S133" s="118"/>
      <c r="T133" s="118"/>
      <c r="U133" s="118"/>
      <c r="V133" s="118"/>
    </row>
    <row r="134" outlineLevel="1">
      <c r="A134" s="146"/>
      <c r="B134" s="300" t="s">
        <v>249</v>
      </c>
      <c r="C134" s="309" t="str">
        <f t="array" ref="C134">INDEX('起きあがり'!$V$3:$Y$115, MATCH($A$1,'起きあがり'!$A$3:$A$115,0), MATCH(C115,'起きあがり'!$V$2:$AD$2,0))</f>
        <v>1-22</v>
      </c>
      <c r="D134" s="310">
        <f t="array" ref="D134">INDEX('起きあがり'!$V$3:$Y$115, MATCH($A$1,'起きあがり'!$A$3:$A$115,0), MATCH(D115,'起きあがり'!$V$2:$AD$2,0))</f>
        <v>45</v>
      </c>
      <c r="E134" s="307" t="str">
        <f t="array" ref="E134">INDEX('起きあがり'!$V$3:$Y$115, MATCH($A$1,'起きあがり'!$A$3:$A$115,0), MATCH(E115,'起きあがり'!$V$2:$AD$2,0))</f>
        <v>17-18</v>
      </c>
      <c r="F134" s="308">
        <f t="array" ref="F134">INDEX('起きあがり'!$V$3:$Y$115, MATCH($A$1,'起きあがり'!$A$3:$A$115,0), MATCH(F115,'起きあがり'!$V$2:$AD$2,0))</f>
        <v>7</v>
      </c>
      <c r="G134" s="113">
        <f t="shared" ref="G134:G135" si="2">F134*1.2</f>
        <v>8.4</v>
      </c>
      <c r="H134" s="228"/>
      <c r="I134" s="228"/>
      <c r="J134" s="117"/>
      <c r="K134" s="146"/>
      <c r="L134" s="314" t="str">
        <f>'テンプレート'!L135</f>
        <v>空中落下</v>
      </c>
      <c r="M134" s="113">
        <v>32.0</v>
      </c>
      <c r="N134" s="102"/>
      <c r="O134" s="118"/>
      <c r="P134" s="118"/>
      <c r="Q134" s="118"/>
      <c r="R134" s="118"/>
      <c r="S134" s="118"/>
      <c r="T134" s="118"/>
      <c r="U134" s="118"/>
      <c r="V134" s="118"/>
    </row>
    <row r="135" outlineLevel="1">
      <c r="A135" s="156"/>
      <c r="B135" s="311" t="s">
        <v>250</v>
      </c>
      <c r="C135" s="156"/>
      <c r="D135" s="156"/>
      <c r="E135" s="307" t="str">
        <f t="array" ref="E135">INDEX('起きあがり'!$Z$3:$AA$115, MATCH($A$1,'起きあがり'!$A$3:$A$115,0), MATCH(E115,'起きあがり'!$Z$2:$AD$2,0))</f>
        <v>21-22</v>
      </c>
      <c r="F135" s="308">
        <f t="array" ref="F135">INDEX('起きあがり'!$Z$3:$AA$115, MATCH($A$1,'起きあがり'!$A$3:$A$115,0), MATCH(F115,'起きあがり'!$Z$2:$AD$2,0))</f>
        <v>7</v>
      </c>
      <c r="G135" s="113">
        <f t="shared" si="2"/>
        <v>8.4</v>
      </c>
      <c r="H135" s="228"/>
      <c r="I135" s="228"/>
      <c r="J135" s="117"/>
      <c r="K135" s="304" t="str">
        <f>'テンプレート'!K136</f>
        <v>倒れダメージ</v>
      </c>
      <c r="L135" s="110"/>
      <c r="M135" s="298" t="str">
        <f>'テンプレート'!M136</f>
        <v>全体フレーム</v>
      </c>
      <c r="N135" s="102"/>
      <c r="O135" s="118"/>
      <c r="P135" s="118"/>
      <c r="Q135" s="118"/>
      <c r="R135" s="118"/>
      <c r="S135" s="118"/>
      <c r="T135" s="118"/>
      <c r="U135" s="118"/>
      <c r="V135" s="118"/>
    </row>
    <row r="136" outlineLevel="1">
      <c r="A136" s="299" t="s">
        <v>252</v>
      </c>
      <c r="B136" s="300" t="s">
        <v>253</v>
      </c>
      <c r="C136" s="307" t="str">
        <f t="array" ref="C136">INDEX('転倒'!$C$3:$D120, MATCH($A$1,'転倒'!$A$3:$A$115,0), MATCH(C115,'転倒'!$C$2:$AC$2,0))</f>
        <v>1-5</v>
      </c>
      <c r="D136" s="308">
        <f t="array" ref="D136">INDEX('転倒'!$C$3:$D120, MATCH($A$1,'転倒'!$A$3:$A$115,0), MATCH(D115,'転倒'!$C$2:$AC$2,0))</f>
        <v>29</v>
      </c>
      <c r="E136" s="301"/>
      <c r="F136" s="301"/>
      <c r="G136" s="301"/>
      <c r="H136" s="228"/>
      <c r="I136" s="228"/>
      <c r="J136" s="111"/>
      <c r="K136" s="313" t="str">
        <f>'テンプレート'!K137</f>
        <v>あお向け倒れ</v>
      </c>
      <c r="L136" s="306" t="str">
        <f>'テンプレート'!L137</f>
        <v>モーション大</v>
      </c>
      <c r="M136" s="113">
        <v>39.0</v>
      </c>
      <c r="N136" s="315"/>
      <c r="O136" s="118"/>
      <c r="P136" s="118"/>
      <c r="Q136" s="118"/>
      <c r="R136" s="118"/>
      <c r="S136" s="118"/>
      <c r="T136" s="118"/>
      <c r="U136" s="118"/>
      <c r="V136" s="118"/>
    </row>
    <row r="137" outlineLevel="1">
      <c r="A137" s="146"/>
      <c r="B137" s="300" t="s">
        <v>254</v>
      </c>
      <c r="C137" s="307" t="str">
        <f t="array" ref="C137">INDEX('転倒'!$E$3:$F120, MATCH($A$1,'転倒'!$A$3:$A$115,0), MATCH(C115,'転倒'!$E$2:$AC$2,0))</f>
        <v>1-5</v>
      </c>
      <c r="D137" s="308">
        <f t="array" ref="D137">INDEX('転倒'!$E$3:$F120, MATCH($A$1,'転倒'!$A$3:$A$115,0), MATCH(D115,'転倒'!$E$2:$AC$2,0))</f>
        <v>39</v>
      </c>
      <c r="E137" s="301"/>
      <c r="F137" s="301"/>
      <c r="G137" s="301"/>
      <c r="H137" s="228"/>
      <c r="I137" s="228"/>
      <c r="J137" s="117"/>
      <c r="K137" s="313" t="str">
        <f>'テンプレート'!K138</f>
        <v>うつ伏せ倒れ</v>
      </c>
      <c r="L137" s="306" t="str">
        <f>'テンプレート'!L138</f>
        <v>モーション大</v>
      </c>
      <c r="M137" s="113" t="s">
        <v>118</v>
      </c>
      <c r="N137" s="315"/>
      <c r="O137" s="118"/>
      <c r="P137" s="118"/>
      <c r="Q137" s="118"/>
      <c r="R137" s="118"/>
      <c r="S137" s="118"/>
      <c r="T137" s="118"/>
      <c r="U137" s="118"/>
      <c r="V137" s="118"/>
    </row>
    <row r="138" outlineLevel="1">
      <c r="A138" s="146"/>
      <c r="B138" s="300" t="s">
        <v>216</v>
      </c>
      <c r="C138" s="307" t="str">
        <f t="array" ref="C138">INDEX('転倒'!$G$3:$H$115, MATCH($A$1,'転倒'!$A$3:$A$115,0), MATCH(C115,'転倒'!$G$2:$AC$2,0))</f>
        <v>1-16</v>
      </c>
      <c r="D138" s="308">
        <f t="array" ref="D138">INDEX('転倒'!$G$3:$H$115, MATCH($A$1,'転倒'!$A$3:$A$115,0), MATCH(D115,'転倒'!$G$2:$AC$2,0))</f>
        <v>21</v>
      </c>
      <c r="E138" s="301"/>
      <c r="F138" s="301"/>
      <c r="G138" s="301"/>
      <c r="H138" s="228"/>
      <c r="I138" s="228"/>
      <c r="J138" s="111"/>
      <c r="K138" s="304" t="str">
        <f>'テンプレート'!K139</f>
        <v/>
      </c>
      <c r="L138" s="110"/>
      <c r="M138" s="298" t="str">
        <f>'テンプレート'!M139</f>
        <v/>
      </c>
      <c r="N138" s="102"/>
      <c r="O138" s="118"/>
      <c r="P138" s="118"/>
      <c r="Q138" s="118"/>
      <c r="R138" s="118"/>
      <c r="S138" s="118"/>
      <c r="T138" s="118"/>
      <c r="U138" s="118"/>
      <c r="V138" s="118"/>
    </row>
    <row r="139" outlineLevel="1">
      <c r="A139" s="146"/>
      <c r="B139" s="300" t="s">
        <v>245</v>
      </c>
      <c r="C139" s="307" t="str">
        <f t="array" ref="C139">INDEX('転倒'!$I$3:$J$115, MATCH($A$1,'転倒'!$A$3:$A$115,0), MATCH(C115,'転倒'!$I$2:$AC$2,0))</f>
        <v>1-9</v>
      </c>
      <c r="D139" s="308">
        <f t="array" ref="D139">INDEX('転倒'!$I$3:$J$115, MATCH($A$1,'転倒'!$A$3:$A$115,0), MATCH(D115,'転倒'!$I$2:$AC$2,0))</f>
        <v>28</v>
      </c>
      <c r="E139" s="301"/>
      <c r="F139" s="301"/>
      <c r="G139" s="301"/>
      <c r="H139" s="228"/>
      <c r="I139" s="228"/>
      <c r="J139" s="228"/>
      <c r="K139" s="316"/>
      <c r="L139" s="317" t="str">
        <f>'テンプレート'!L140</f>
        <v/>
      </c>
      <c r="M139" s="113" t="s">
        <v>76</v>
      </c>
      <c r="N139" s="102"/>
      <c r="O139" s="118"/>
      <c r="P139" s="118"/>
      <c r="Q139" s="118"/>
      <c r="R139" s="118"/>
      <c r="S139" s="118"/>
      <c r="T139" s="118"/>
      <c r="U139" s="118"/>
      <c r="V139" s="118"/>
    </row>
    <row r="140" outlineLevel="1">
      <c r="A140" s="146"/>
      <c r="B140" s="300" t="s">
        <v>246</v>
      </c>
      <c r="C140" s="307" t="str">
        <f t="array" ref="C140">INDEX('転倒'!$K$3:$L$115, MATCH($A$1,'転倒'!$A$3:$A$115,0), MATCH(C115,'転倒'!$K$2:$AC$2,0))</f>
        <v>1-9</v>
      </c>
      <c r="D140" s="308">
        <f t="array" ref="D140">INDEX('転倒'!$K$3:$L$115, MATCH($A$1,'転倒'!$A$3:$A$115,0), MATCH(D115,'転倒'!$K$2:$AC$2,0))</f>
        <v>28</v>
      </c>
      <c r="E140" s="301"/>
      <c r="F140" s="301"/>
      <c r="G140" s="301"/>
      <c r="H140" s="228"/>
      <c r="I140" s="228"/>
      <c r="J140" s="228"/>
      <c r="K140" s="318"/>
      <c r="L140" s="118"/>
      <c r="M140" s="118"/>
      <c r="N140" s="102"/>
      <c r="O140" s="118"/>
      <c r="P140" s="118"/>
      <c r="Q140" s="118"/>
      <c r="R140" s="118"/>
      <c r="S140" s="118"/>
      <c r="T140" s="118"/>
      <c r="U140" s="118"/>
      <c r="V140" s="118"/>
    </row>
    <row r="141" outlineLevel="1">
      <c r="A141" s="146"/>
      <c r="B141" s="300" t="s">
        <v>249</v>
      </c>
      <c r="C141" s="309" t="str">
        <f t="array" ref="C141">INDEX('転倒'!$M$3:$P$115, MATCH($A$1,'転倒'!$A$3:$A$115,0), MATCH(C115,'転倒'!$M$2:$AC$2,0))</f>
        <v>1-7</v>
      </c>
      <c r="D141" s="310">
        <f t="array" ref="D141">INDEX('転倒'!$M$3:$P$115, MATCH($A$1,'転倒'!$A$3:$A$115,0), MATCH(D115,'転倒'!$M$2:$AC$2,0))</f>
        <v>49</v>
      </c>
      <c r="E141" s="307" t="str">
        <f t="array" ref="E141">INDEX('転倒'!$M$3:$P$115, MATCH($A$1,'転倒'!$A$3:$A$115,0), MATCH(E115,'転倒'!$M$2:$AC$2,0))</f>
        <v>17-18</v>
      </c>
      <c r="F141" s="308">
        <f t="array" ref="F141">INDEX('転倒'!$M$3:$P$115, MATCH($A$1,'転倒'!$A$3:$A$115,0), MATCH(F115,'転倒'!$M$2:$AC$2,0))</f>
        <v>5</v>
      </c>
      <c r="G141" s="113">
        <f t="shared" ref="G141:G142" si="3">F141*1.2</f>
        <v>6</v>
      </c>
      <c r="H141" s="228"/>
      <c r="I141" s="228"/>
      <c r="J141" s="228"/>
      <c r="K141" s="118"/>
      <c r="L141" s="118"/>
      <c r="M141" s="118"/>
      <c r="N141" s="102"/>
      <c r="O141" s="102"/>
      <c r="P141" s="102"/>
      <c r="Q141" s="102"/>
      <c r="R141" s="118"/>
      <c r="S141" s="118"/>
      <c r="T141" s="118"/>
      <c r="U141" s="118"/>
      <c r="V141" s="118"/>
    </row>
    <row r="142" outlineLevel="1">
      <c r="A142" s="156"/>
      <c r="B142" s="311" t="s">
        <v>250</v>
      </c>
      <c r="C142" s="156"/>
      <c r="D142" s="156"/>
      <c r="E142" s="307" t="str">
        <f t="array" ref="E142">INDEX('転倒'!$Q$3:$R$115, MATCH($A$1,'転倒'!$A$3:$A$115,0), MATCH(E115,'転倒'!$Q$2:$AC$2,0))</f>
        <v>21-22</v>
      </c>
      <c r="F142" s="308">
        <f t="array" ref="F142">INDEX('転倒'!$Q$3:$R$115, MATCH($A$1,'転倒'!$A$3:$A$115,0), MATCH(F115,'転倒'!$Q$2:$AC$2,0))</f>
        <v>5</v>
      </c>
      <c r="G142" s="113">
        <f t="shared" si="3"/>
        <v>6</v>
      </c>
      <c r="H142" s="228"/>
      <c r="I142" s="228"/>
      <c r="J142" s="228"/>
      <c r="K142" s="118"/>
      <c r="L142" s="118"/>
      <c r="M142" s="118"/>
      <c r="N142" s="102"/>
      <c r="O142" s="102"/>
      <c r="P142" s="102"/>
      <c r="Q142" s="102"/>
      <c r="R142" s="118"/>
      <c r="S142" s="118"/>
      <c r="T142" s="118"/>
      <c r="U142" s="118"/>
      <c r="V142" s="118"/>
    </row>
    <row r="143" outlineLevel="1">
      <c r="A143" s="319"/>
      <c r="B143" s="320"/>
      <c r="C143" s="321"/>
      <c r="D143" s="321"/>
      <c r="E143" s="322"/>
      <c r="F143" s="322"/>
      <c r="G143" s="114"/>
      <c r="H143" s="228"/>
      <c r="I143" s="228"/>
      <c r="J143" s="228"/>
      <c r="K143" s="118"/>
      <c r="L143" s="118"/>
      <c r="M143" s="118"/>
      <c r="N143" s="102"/>
      <c r="O143" s="102"/>
      <c r="P143" s="102"/>
      <c r="Q143" s="102"/>
      <c r="R143" s="118"/>
      <c r="S143" s="118"/>
      <c r="T143" s="118"/>
      <c r="U143" s="118"/>
      <c r="V143" s="118"/>
    </row>
    <row r="144" outlineLevel="1">
      <c r="A144" s="323" t="s">
        <v>255</v>
      </c>
      <c r="B144" s="109"/>
      <c r="C144" s="321"/>
      <c r="D144" s="321"/>
      <c r="E144" s="322"/>
      <c r="F144" s="322"/>
      <c r="G144" s="114"/>
      <c r="H144" s="228"/>
      <c r="I144" s="228"/>
      <c r="J144" s="228"/>
      <c r="K144" s="118"/>
      <c r="L144" s="118"/>
      <c r="M144" s="118"/>
      <c r="N144" s="102"/>
      <c r="O144" s="102"/>
      <c r="P144" s="102"/>
      <c r="Q144" s="102"/>
      <c r="R144" s="118"/>
      <c r="S144" s="118"/>
      <c r="T144" s="118"/>
      <c r="U144" s="118"/>
      <c r="V144" s="118"/>
    </row>
    <row r="145" outlineLevel="1">
      <c r="A145" s="324" t="s">
        <v>256</v>
      </c>
      <c r="B145" s="109"/>
      <c r="C145" s="325" t="s">
        <v>257</v>
      </c>
      <c r="D145" s="325" t="s">
        <v>49</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258</v>
      </c>
      <c r="B146" s="327" t="s">
        <v>216</v>
      </c>
      <c r="C146" s="328" t="str">
        <f t="array" ref="C146">INDEX('アイテム'!$C$3:$D$114, MATCH($A$1,'アイテム'!$A$3:$A$114,0), MATCH(C145,'アイテム'!$C$2:$AQ$2,0))</f>
        <v>3</v>
      </c>
      <c r="D146" s="328">
        <f t="array" ref="D146">INDEX('アイテム'!$C$3:$D$114, MATCH($A$1,'アイテム'!$A$3:$A$114,0), MATCH(D145,'アイテム'!$C$2:$AQ$2,0))</f>
        <v>7</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219</v>
      </c>
      <c r="C147" s="328" t="str">
        <f t="array" ref="C147">INDEX('アイテム'!$E$3:$F$114, MATCH($A$1,'アイテム'!$A$3:$A$114,0), MATCH(C145,'アイテム'!$C$2:$AQ$2,0))</f>
        <v>2</v>
      </c>
      <c r="D147" s="328">
        <f t="array" ref="D147">INDEX('アイテム'!$E$3:$F$114, MATCH($A$1,'アイテム'!$A$3:$A$114,0), MATCH(D145,'アイテム'!$C$2:$AQ$2,0))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9" t="s">
        <v>259</v>
      </c>
      <c r="B148" s="327" t="s">
        <v>216</v>
      </c>
      <c r="C148" s="328">
        <f t="array" ref="C148">INDEX('アイテム'!$AA$3:$AB$114, MATCH($A$1,'アイテム'!$A$3:$A$114,0), MATCH(C145,'アイテム'!$C$2:$AQ$2,0))</f>
        <v>5</v>
      </c>
      <c r="D148" s="328" t="str">
        <f t="array" ref="D148">INDEX('アイテム'!$AA$3:$AB$114, MATCH($A$1,'アイテム'!$A$3:$A$114,0), MATCH(D145,'アイテム'!$C$2:$AQ$2,0))</f>
        <v>12</v>
      </c>
      <c r="E148" s="322"/>
      <c r="F148" s="322"/>
      <c r="G148" s="114"/>
      <c r="H148" s="228"/>
      <c r="I148" s="228"/>
      <c r="J148" s="228"/>
      <c r="K148" s="118"/>
      <c r="L148" s="118"/>
      <c r="M148" s="118"/>
      <c r="N148" s="102"/>
      <c r="O148" s="102"/>
      <c r="P148" s="102"/>
      <c r="Q148" s="102"/>
      <c r="R148" s="118"/>
      <c r="S148" s="118"/>
      <c r="T148" s="118"/>
      <c r="U148" s="118"/>
      <c r="V148" s="118"/>
    </row>
    <row r="149" outlineLevel="1">
      <c r="A149" s="324" t="s">
        <v>260</v>
      </c>
      <c r="B149" s="109"/>
      <c r="C149" s="325" t="s">
        <v>261</v>
      </c>
      <c r="D149" s="325" t="s">
        <v>49</v>
      </c>
      <c r="E149" s="322"/>
      <c r="F149" s="322"/>
      <c r="G149" s="114"/>
      <c r="H149" s="228"/>
      <c r="I149" s="228"/>
      <c r="J149" s="228"/>
      <c r="K149" s="118"/>
      <c r="L149" s="118"/>
      <c r="M149" s="118"/>
      <c r="N149" s="102"/>
      <c r="O149" s="102"/>
      <c r="P149" s="102"/>
      <c r="Q149" s="102"/>
      <c r="R149" s="118"/>
      <c r="S149" s="118"/>
      <c r="T149" s="118"/>
      <c r="U149" s="118"/>
      <c r="V149" s="118"/>
    </row>
    <row r="150" outlineLevel="1">
      <c r="A150" s="326" t="s">
        <v>262</v>
      </c>
      <c r="B150" s="327" t="s">
        <v>226</v>
      </c>
      <c r="C150" s="328" t="str">
        <f t="array" ref="C150">INDEX('アイテム'!$G$3:$H$114, MATCH($A$1,'アイテム'!$A$3:$A$114,0), MATCH(C145,'アイテム'!$C$2:$AQ$2,0))</f>
        <v>10</v>
      </c>
      <c r="D150" s="328">
        <f t="array" ref="D150">INDEX('アイテム'!$G$3:$H$114, MATCH($A$1,'アイテム'!$A$3:$A$114,0), MATCH(D145,'アイテム'!$C$2:$AQ$2,0))</f>
        <v>24</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229</v>
      </c>
      <c r="C151" s="328" t="str">
        <f t="array" ref="C151">INDEX('アイテム'!$I$3:$J$114, MATCH($A$1,'アイテム'!$A$3:$A$114,0), MATCH(C145,'アイテム'!$C$2:$AQ$2,0))</f>
        <v>14</v>
      </c>
      <c r="D151" s="328">
        <f t="array" ref="D151">INDEX('アイテム'!$I$3:$J$114, MATCH($A$1,'アイテム'!$A$3:$A$114,0), MATCH(D145,'アイテム'!$C$2:$AQ$2,0))</f>
        <v>24</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233</v>
      </c>
      <c r="C152" s="328" t="str">
        <f t="array" ref="C152">INDEX('アイテム'!$K$3:$L$114, MATCH($A$1,'アイテム'!$A$3:$A$114,0), MATCH(C145,'アイテム'!$C$2:$AQ$2,0))</f>
        <v>15</v>
      </c>
      <c r="D152" s="328">
        <f t="array" ref="D152">INDEX('アイテム'!$K$3:$L$114, MATCH($A$1,'アイテム'!$A$3:$A$114,0), MATCH(D145,'アイテム'!$C$2:$AQ$2,0))</f>
        <v>23</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234</v>
      </c>
      <c r="C153" s="328" t="str">
        <f t="array" ref="C153">INDEX('アイテム'!$M$3:$N$114, MATCH($A$1,'アイテム'!$A$3:$A$114,0), MATCH(C145,'アイテム'!$C$2:$AQ$2,0))</f>
        <v>8</v>
      </c>
      <c r="D153" s="328">
        <f t="array" ref="D153">INDEX('アイテム'!$M$3:$N$114, MATCH($A$1,'アイテム'!$A$3:$A$114,0), MATCH(D145,'アイテム'!$C$2:$AQ$2,0))</f>
        <v>19</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219</v>
      </c>
      <c r="C154" s="328" t="str">
        <f t="array" ref="C154">INDEX('アイテム'!$O$3:$P$114, MATCH($A$1,'アイテム'!$A$3:$A$114,0), MATCH(C145,'アイテム'!$C$2:$AQ$2,0))</f>
        <v>5</v>
      </c>
      <c r="D154" s="328">
        <f t="array" ref="D154">INDEX('アイテム'!$O$3:$P$114, MATCH($A$1,'アイテム'!$A$3:$A$114,0), MATCH(D145,'アイテム'!$C$2:$AQ$2,0))</f>
        <v>29</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263</v>
      </c>
      <c r="C155" s="328" t="str">
        <f t="array" ref="C155">INDEX('アイテム'!$Q$3:$R$114, MATCH($A$1,'アイテム'!$A$3:$A$114,0), MATCH(C145,'アイテム'!$C$2:$AQ$2,0))</f>
        <v>7</v>
      </c>
      <c r="D155" s="328">
        <f t="array" ref="D155">INDEX('アイテム'!$Q$3:$R$114, MATCH($A$1,'アイテム'!$A$3:$A$114,0), MATCH(D145,'アイテム'!$C$2:$AQ$2,0))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326" t="s">
        <v>264</v>
      </c>
      <c r="B156" s="327" t="s">
        <v>226</v>
      </c>
      <c r="C156" s="328" t="str">
        <f t="array" ref="C156">INDEX('アイテム'!$S$3:$T$114, MATCH($A$1,'アイテム'!$A$3:$A$114,0), MATCH(C145,'アイテム'!$C$2:$AQ$2,0))</f>
        <v>10</v>
      </c>
      <c r="D156" s="328">
        <f t="array" ref="D156">INDEX('アイテム'!$S$3:$T$114, MATCH($A$1,'アイテム'!$A$3:$A$114,0), MATCH(D145,'アイテム'!$C$2:$AQ$2,0))</f>
        <v>24</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229</v>
      </c>
      <c r="C157" s="328" t="str">
        <f t="array" ref="C157">INDEX('アイテム'!$U$3:$V$114, MATCH($A$1,'アイテム'!$A$3:$A$114,0), MATCH(C145,'アイテム'!$C$2:$AQ$2,0))</f>
        <v>14</v>
      </c>
      <c r="D157" s="328">
        <f t="array" ref="D157">INDEX('アイテム'!$U$3:$V$114, MATCH($A$1,'アイテム'!$A$3:$A$114,0), MATCH(D145,'アイテム'!$C$2:$AQ$2,0))</f>
        <v>24</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233</v>
      </c>
      <c r="C158" s="328" t="str">
        <f t="array" ref="C158">INDEX('アイテム'!$W$3:$X$114, MATCH($A$1,'アイテム'!$A$3:$A$114,0), MATCH(C145,'アイテム'!$C$2:$AQ$2,0))</f>
        <v>15</v>
      </c>
      <c r="D158" s="328">
        <f t="array" ref="D158">INDEX('アイテム'!$W$3:$X$114, MATCH($A$1,'アイテム'!$A$3:$A$114,0), MATCH(D145,'アイテム'!$C$2:$AQ$2,0))</f>
        <v>23</v>
      </c>
      <c r="E158" s="322"/>
      <c r="F158" s="322"/>
      <c r="G158" s="114"/>
      <c r="H158" s="228"/>
      <c r="I158" s="228"/>
      <c r="J158" s="228"/>
      <c r="K158" s="118"/>
      <c r="L158" s="118"/>
      <c r="M158" s="118"/>
      <c r="N158" s="102"/>
      <c r="O158" s="102"/>
      <c r="P158" s="102"/>
      <c r="Q158" s="102"/>
      <c r="R158" s="118"/>
      <c r="S158" s="118"/>
      <c r="T158" s="118"/>
      <c r="U158" s="118"/>
      <c r="V158" s="118"/>
    </row>
    <row r="159" outlineLevel="1">
      <c r="A159" s="156"/>
      <c r="B159" s="327" t="s">
        <v>234</v>
      </c>
      <c r="C159" s="328" t="str">
        <f t="array" ref="C159">INDEX('アイテム'!$Y$3:$Z$114, MATCH($A$1,'アイテム'!$A$3:$A$114,0), MATCH(C145,'アイテム'!$C$2:$AQ$2,0))</f>
        <v>8</v>
      </c>
      <c r="D159" s="328">
        <f t="array" ref="D159">INDEX('アイテム'!$Y$3:$Z$114, MATCH($A$1,'アイテム'!$A$3:$A$114,0), MATCH(D145,'アイテム'!$C$2:$AQ$2,0))</f>
        <v>19</v>
      </c>
      <c r="E159" s="322"/>
      <c r="F159" s="322"/>
      <c r="G159" s="114"/>
      <c r="H159" s="228"/>
      <c r="I159" s="228"/>
      <c r="J159" s="228"/>
      <c r="K159" s="118"/>
      <c r="L159" s="118"/>
      <c r="M159" s="118"/>
      <c r="N159" s="102"/>
      <c r="O159" s="102"/>
      <c r="P159" s="102"/>
      <c r="Q159" s="102"/>
      <c r="R159" s="118"/>
      <c r="S159" s="118"/>
      <c r="T159" s="118"/>
      <c r="U159" s="118"/>
      <c r="V159" s="118"/>
    </row>
    <row r="160" outlineLevel="1">
      <c r="A160" s="326" t="s">
        <v>265</v>
      </c>
      <c r="B160" s="327" t="s">
        <v>226</v>
      </c>
      <c r="C160" s="328">
        <f t="array" ref="C160">INDEX('アイテム'!$AC$3:$AD$114, MATCH($A$1,'アイテム'!$A$3:$A$114,0), MATCH(C145,'アイテム'!$C$2:$AQ$2,0))</f>
        <v>18</v>
      </c>
      <c r="D160" s="328" t="str">
        <f t="array" ref="D160">INDEX('アイテム'!$AC$3:$AD$114, MATCH($A$1,'アイテム'!$A$3:$A$114,0), MATCH(D145,'アイテム'!$C$2:$AQ$2,0))</f>
        <v>30</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229</v>
      </c>
      <c r="C161" s="328">
        <f t="array" ref="C161">INDEX('アイテム'!$AE$3:$AF$114, MATCH($A$1,'アイテム'!$A$3:$A$114,0), MATCH(C145,'アイテム'!$C$2:$AQ$2,0))</f>
        <v>16</v>
      </c>
      <c r="D161" s="328" t="str">
        <f t="array" ref="D161">INDEX('アイテム'!$AE$3:$AF$114, MATCH($A$1,'アイテム'!$A$3:$A$114,0), MATCH(D145,'アイテム'!$C$2:$AQ$2,0))</f>
        <v>30</v>
      </c>
      <c r="E161" s="322"/>
      <c r="F161" s="322"/>
      <c r="G161" s="114"/>
      <c r="H161" s="228"/>
      <c r="I161" s="228"/>
      <c r="J161" s="228"/>
      <c r="K161" s="118"/>
      <c r="L161" s="118"/>
      <c r="M161" s="118"/>
      <c r="N161" s="102"/>
      <c r="O161" s="102"/>
      <c r="P161" s="102"/>
      <c r="Q161" s="102"/>
      <c r="R161" s="118"/>
      <c r="S161" s="118"/>
      <c r="T161" s="118"/>
      <c r="U161" s="118"/>
      <c r="V161" s="118"/>
    </row>
    <row r="162" outlineLevel="1">
      <c r="A162" s="146"/>
      <c r="B162" s="327" t="s">
        <v>233</v>
      </c>
      <c r="C162" s="328">
        <f t="array" ref="C162">INDEX('アイテム'!$AG$3:$AH$114, MATCH($A$1,'アイテム'!$A$3:$A$114,0), MATCH(C145,'アイテム'!$C$2:$AQ$2,0))</f>
        <v>12</v>
      </c>
      <c r="D162" s="328" t="str">
        <f t="array" ref="D162">INDEX('アイテム'!$AG$3:$AH$114, MATCH($A$1,'アイテム'!$A$3:$A$114,0), MATCH(D145,'アイテム'!$C$2:$AQ$2,0))</f>
        <v>22</v>
      </c>
      <c r="E162" s="322"/>
      <c r="F162" s="322"/>
      <c r="G162" s="114"/>
      <c r="H162" s="228"/>
      <c r="I162" s="228"/>
      <c r="J162" s="228"/>
      <c r="K162" s="118"/>
      <c r="L162" s="118"/>
      <c r="M162" s="118"/>
      <c r="N162" s="102"/>
      <c r="O162" s="102"/>
      <c r="P162" s="102"/>
      <c r="Q162" s="102"/>
      <c r="R162" s="118"/>
      <c r="S162" s="118"/>
      <c r="T162" s="118"/>
      <c r="U162" s="118"/>
      <c r="V162" s="118"/>
    </row>
    <row r="163" outlineLevel="1">
      <c r="A163" s="156"/>
      <c r="B163" s="327" t="s">
        <v>234</v>
      </c>
      <c r="C163" s="328">
        <f t="array" ref="C163">INDEX('アイテム'!$AI$3:$AJ$114, MATCH($A$1,'アイテム'!$A$3:$A$114,0), MATCH(C145,'アイテム'!$C$2:$AQ$2,0))</f>
        <v>11</v>
      </c>
      <c r="D163" s="328" t="str">
        <f t="array" ref="D163">INDEX('アイテム'!$AI$3:$AJ$114, MATCH($A$1,'アイテム'!$A$3:$A$114,0), MATCH(D145,'アイテム'!$C$2:$AQ$2,0))</f>
        <v>22</v>
      </c>
      <c r="E163" s="322"/>
      <c r="F163" s="322"/>
      <c r="G163" s="114"/>
      <c r="H163" s="228"/>
      <c r="I163" s="228"/>
      <c r="J163" s="228"/>
      <c r="K163" s="118"/>
      <c r="L163" s="118"/>
      <c r="M163" s="118"/>
      <c r="N163" s="102"/>
      <c r="O163" s="102"/>
      <c r="P163" s="102"/>
      <c r="Q163" s="102"/>
      <c r="R163" s="118"/>
      <c r="S163" s="118"/>
      <c r="T163" s="118"/>
      <c r="U163" s="118"/>
      <c r="V163" s="118"/>
    </row>
  </sheetData>
  <mergeCells count="145">
    <mergeCell ref="H33:J35"/>
    <mergeCell ref="U33:U35"/>
    <mergeCell ref="H36:J36"/>
    <mergeCell ref="H37:J37"/>
    <mergeCell ref="H38:J38"/>
    <mergeCell ref="H39:J42"/>
    <mergeCell ref="U39:U42"/>
    <mergeCell ref="H43:J44"/>
    <mergeCell ref="U43:U44"/>
    <mergeCell ref="U65:U70"/>
    <mergeCell ref="U72:U74"/>
    <mergeCell ref="V72:V74"/>
    <mergeCell ref="U76:U79"/>
    <mergeCell ref="V76:V79"/>
    <mergeCell ref="U81:U88"/>
    <mergeCell ref="V81:V88"/>
    <mergeCell ref="H82:J88"/>
    <mergeCell ref="R49:V49"/>
    <mergeCell ref="R50:V51"/>
    <mergeCell ref="R52:V52"/>
    <mergeCell ref="R53:V55"/>
    <mergeCell ref="R56:V58"/>
    <mergeCell ref="R59:V61"/>
    <mergeCell ref="V65:V70"/>
    <mergeCell ref="I56:I58"/>
    <mergeCell ref="I59:I61"/>
    <mergeCell ref="J59:J61"/>
    <mergeCell ref="H65:J70"/>
    <mergeCell ref="H45:J45"/>
    <mergeCell ref="H46:J46"/>
    <mergeCell ref="I50:I51"/>
    <mergeCell ref="J50:J51"/>
    <mergeCell ref="I53:I55"/>
    <mergeCell ref="J53:J55"/>
    <mergeCell ref="J56:J58"/>
    <mergeCell ref="C1:G12"/>
    <mergeCell ref="A11:B12"/>
    <mergeCell ref="A15:B16"/>
    <mergeCell ref="C16:D16"/>
    <mergeCell ref="E16:F16"/>
    <mergeCell ref="G16:H16"/>
    <mergeCell ref="H25:J25"/>
    <mergeCell ref="H26:J26"/>
    <mergeCell ref="H27:J27"/>
    <mergeCell ref="H28:J28"/>
    <mergeCell ref="H29:J29"/>
    <mergeCell ref="H30:J30"/>
    <mergeCell ref="H31:J31"/>
    <mergeCell ref="H32:J32"/>
    <mergeCell ref="A45:B45"/>
    <mergeCell ref="A48:B49"/>
    <mergeCell ref="A50:A51"/>
    <mergeCell ref="A53:A55"/>
    <mergeCell ref="A56:A58"/>
    <mergeCell ref="A59:A61"/>
    <mergeCell ref="A63:B63"/>
    <mergeCell ref="A64:B64"/>
    <mergeCell ref="A65:A67"/>
    <mergeCell ref="A68:A70"/>
    <mergeCell ref="A71:B71"/>
    <mergeCell ref="A72:A74"/>
    <mergeCell ref="A75:B75"/>
    <mergeCell ref="A80:B80"/>
    <mergeCell ref="A90:B91"/>
    <mergeCell ref="A93:A95"/>
    <mergeCell ref="A96:B96"/>
    <mergeCell ref="A97:A98"/>
    <mergeCell ref="A99:A100"/>
    <mergeCell ref="A101:A102"/>
    <mergeCell ref="A103:A104"/>
    <mergeCell ref="C128:C129"/>
    <mergeCell ref="D128:D129"/>
    <mergeCell ref="C134:C135"/>
    <mergeCell ref="D134:D135"/>
    <mergeCell ref="C141:C142"/>
    <mergeCell ref="D141:D142"/>
    <mergeCell ref="A106:B107"/>
    <mergeCell ref="A108:A110"/>
    <mergeCell ref="A111:A112"/>
    <mergeCell ref="A114:B115"/>
    <mergeCell ref="A116:A120"/>
    <mergeCell ref="A121:A123"/>
    <mergeCell ref="A124:A129"/>
    <mergeCell ref="A156:A159"/>
    <mergeCell ref="A160:A163"/>
    <mergeCell ref="A130:A135"/>
    <mergeCell ref="A136:A142"/>
    <mergeCell ref="A144:B144"/>
    <mergeCell ref="A145:B145"/>
    <mergeCell ref="A146:A147"/>
    <mergeCell ref="A149:B149"/>
    <mergeCell ref="A150:A155"/>
    <mergeCell ref="K116:K117"/>
    <mergeCell ref="K119:K124"/>
    <mergeCell ref="K125:K128"/>
    <mergeCell ref="K129:L129"/>
    <mergeCell ref="K131:K134"/>
    <mergeCell ref="K135:L135"/>
    <mergeCell ref="K138:L138"/>
    <mergeCell ref="G96:J96"/>
    <mergeCell ref="G97:J98"/>
    <mergeCell ref="G99:J100"/>
    <mergeCell ref="G101:J102"/>
    <mergeCell ref="G103:J104"/>
    <mergeCell ref="K115:L115"/>
    <mergeCell ref="K118:L118"/>
    <mergeCell ref="H6:H7"/>
    <mergeCell ref="H10:H11"/>
    <mergeCell ref="H1:J2"/>
    <mergeCell ref="K1:M2"/>
    <mergeCell ref="H4:H5"/>
    <mergeCell ref="I4:I5"/>
    <mergeCell ref="I6:I7"/>
    <mergeCell ref="H8:J9"/>
    <mergeCell ref="I10:I11"/>
    <mergeCell ref="K16:N16"/>
    <mergeCell ref="A24:B25"/>
    <mergeCell ref="A26:A31"/>
    <mergeCell ref="A33:A35"/>
    <mergeCell ref="C33:C35"/>
    <mergeCell ref="D33:D35"/>
    <mergeCell ref="A39:A42"/>
    <mergeCell ref="A43:A44"/>
    <mergeCell ref="D69:D70"/>
    <mergeCell ref="D76:D79"/>
    <mergeCell ref="D97:D98"/>
    <mergeCell ref="D99:D100"/>
    <mergeCell ref="D101:D102"/>
    <mergeCell ref="D103:D104"/>
    <mergeCell ref="D39:D42"/>
    <mergeCell ref="D43:D44"/>
    <mergeCell ref="D50:D51"/>
    <mergeCell ref="D53:D55"/>
    <mergeCell ref="D56:D58"/>
    <mergeCell ref="D59:D60"/>
    <mergeCell ref="D66:D67"/>
    <mergeCell ref="A76:A79"/>
    <mergeCell ref="A81:A88"/>
    <mergeCell ref="H64:J64"/>
    <mergeCell ref="H71:J71"/>
    <mergeCell ref="H72:J74"/>
    <mergeCell ref="H75:J75"/>
    <mergeCell ref="H76:J79"/>
    <mergeCell ref="H80:J80"/>
    <mergeCell ref="H81:J81"/>
  </mergeCells>
  <conditionalFormatting sqref="K1:K15 K17:K71 K73:K80 K82:K86 K89:K139">
    <cfRule type="containsText" dxfId="0" priority="1" operator="containsText" text="361">
      <formula>NOT(ISERROR(SEARCH(("361"),(K1))))</formula>
    </cfRule>
  </conditionalFormatting>
  <conditionalFormatting sqref="K1:K15 K17:K71 K73:K80 K82:K86 K89:K139">
    <cfRule type="containsText" dxfId="1" priority="2" operator="containsText" text="363">
      <formula>NOT(ISERROR(SEARCH(("363"),(K1))))</formula>
    </cfRule>
  </conditionalFormatting>
  <conditionalFormatting sqref="K1:K15 K17:K71 K73:K80 K82:K86 K89:K139">
    <cfRule type="containsText" dxfId="1" priority="3" operator="containsText" text="365">
      <formula>NOT(ISERROR(SEARCH(("365"),(K1))))</formula>
    </cfRule>
  </conditionalFormatting>
  <conditionalFormatting sqref="K1:K15 K17:K71 K73:K80 K82:K86 K89:K139">
    <cfRule type="containsText" dxfId="1" priority="4" operator="containsText" text="366">
      <formula>NOT(ISERROR(SEARCH(("366"),(K1))))</formula>
    </cfRule>
  </conditionalFormatting>
  <conditionalFormatting sqref="K1:K15 K17:K71 K73:K80 K82:K86 K89:K139">
    <cfRule type="containsText" dxfId="1" priority="5" operator="containsText" text="367">
      <formula>NOT(ISERROR(SEARCH(("367"),(K1))))</formula>
    </cfRule>
  </conditionalFormatting>
  <conditionalFormatting sqref="P97:P104 C99 E99:F99 C101 E101:F101 C103 E103:F103">
    <cfRule type="cellIs" dxfId="2" priority="6" operator="equal">
      <formula>"敵のみ"</formula>
    </cfRule>
  </conditionalFormatting>
  <conditionalFormatting sqref="C98:C104">
    <cfRule type="cellIs" dxfId="3" priority="7" operator="equal">
      <formula>"-"</formula>
    </cfRule>
  </conditionalFormatting>
  <conditionalFormatting sqref="O1:O71 K45 N45 O73:O80 O82:O86 O89:O163 K97:N97 P97:Q97 C99 E99:F99 K99:N99 P99:Q99 C101 E101:F101 K101:N101 P101:Q101 C103 E103:F103 K103:N103 P103:P104 Q103">
    <cfRule type="cellIs" dxfId="4" priority="8" operator="greaterThan">
      <formula>0</formula>
    </cfRule>
  </conditionalFormatting>
  <conditionalFormatting sqref="P1:Q71 L45:M45 O45 P73:Q80 P82:Q86 P89:Q163 C99 E99:F99 C101 E101:F101 C103 E103:F103">
    <cfRule type="cellIs" dxfId="5" priority="9" operator="lessThan">
      <formula>1</formula>
    </cfRule>
  </conditionalFormatting>
  <conditionalFormatting sqref="P1:Q71 L45:M45 O45 P73:Q80 P82:Q86 P89:Q163 C99 E99:F99 C101 E101:F101 C103 E103:F103">
    <cfRule type="cellIs" dxfId="4" priority="10" operator="greaterThan">
      <formula>1</formula>
    </cfRule>
  </conditionalFormatting>
  <conditionalFormatting sqref="N25:N71 N73:N80 N82:N86 N89:N104 Q97">
    <cfRule type="cellIs" dxfId="6" priority="11" operator="greaterThan">
      <formula>0</formula>
    </cfRule>
  </conditionalFormatting>
  <conditionalFormatting sqref="N1:N15 N17:N71 N73:N80 N82:N86 N89:N163 Q97">
    <cfRule type="containsText" dxfId="6" priority="12" operator="containsText" text="/">
      <formula>NOT(ISERROR(SEARCH(("/"),(N1))))</formula>
    </cfRule>
  </conditionalFormatting>
  <drawing r:id="rId2"/>
  <legacyDrawing r:id="rId3"/>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4242"/>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280">
        <v>51.0</v>
      </c>
      <c r="B1" s="2281"/>
      <c r="C1" s="2282" t="str">
        <f>IMAGE(VLOOKUP($A$1,Fighters!A2:AI114,12,FALSE),1)</f>
        <v>#REF!</v>
      </c>
      <c r="D1" s="2283"/>
      <c r="E1" s="2283"/>
      <c r="F1" s="2283"/>
      <c r="G1" s="2284"/>
      <c r="H1" s="2285"/>
      <c r="I1" s="2283"/>
      <c r="J1" s="2284"/>
      <c r="K1" s="2286"/>
      <c r="L1" s="2283"/>
      <c r="M1" s="2284"/>
      <c r="N1" s="2287"/>
      <c r="O1" s="2287"/>
      <c r="P1" s="2287"/>
      <c r="Q1" s="2287"/>
      <c r="R1" s="2288"/>
      <c r="S1" s="2288"/>
      <c r="T1" s="2288"/>
      <c r="U1" s="2288"/>
      <c r="V1" s="2288"/>
    </row>
    <row r="2">
      <c r="A2" s="2289" t="str">
        <f>VLOOKUP($A$1,Fighters!$A$2:$AI$81,6,FALSE)</f>
        <v>#cc4242</v>
      </c>
      <c r="B2" s="2281"/>
      <c r="C2" s="2290"/>
      <c r="G2" s="2291"/>
      <c r="H2" s="2292"/>
      <c r="I2" s="2293"/>
      <c r="J2" s="2294"/>
      <c r="K2" s="2292"/>
      <c r="L2" s="2293"/>
      <c r="M2" s="2294"/>
      <c r="N2" s="2287"/>
      <c r="O2" s="2287"/>
      <c r="P2" s="2287"/>
      <c r="Q2" s="2287"/>
      <c r="R2" s="2288"/>
      <c r="S2" s="2288"/>
      <c r="T2" s="2288"/>
      <c r="U2" s="2288"/>
      <c r="V2" s="2288"/>
    </row>
    <row r="3">
      <c r="A3" s="2289" t="str">
        <f>VLOOKUP($A$1,Fighters!$A$2:$AI$81,14,FALSE)</f>
        <v>51. 格闘Mii</v>
      </c>
      <c r="B3" s="2281"/>
      <c r="C3" s="2290"/>
      <c r="G3" s="2291"/>
      <c r="H3" s="2295"/>
      <c r="I3" s="2295"/>
      <c r="J3" s="2295"/>
      <c r="K3" s="2296"/>
      <c r="L3" s="2296"/>
      <c r="M3" s="2296"/>
      <c r="N3" s="2287"/>
      <c r="O3" s="2287"/>
      <c r="P3" s="2287"/>
      <c r="Q3" s="2287"/>
      <c r="R3" s="2297"/>
      <c r="S3" s="2288"/>
      <c r="T3" s="2288"/>
      <c r="U3" s="2288"/>
      <c r="V3" s="2288"/>
    </row>
    <row r="4">
      <c r="A4" s="2289" t="str">
        <f>VLOOKUP($A$1,Fighters!$A$2:$AI$81,13,FALSE)</f>
        <v>1</v>
      </c>
      <c r="B4" s="2281"/>
      <c r="C4" s="2290"/>
      <c r="G4" s="2291"/>
      <c r="H4" s="2298"/>
      <c r="I4" s="2298"/>
      <c r="J4" s="2295"/>
      <c r="K4" s="2296"/>
      <c r="L4" s="2296"/>
      <c r="M4" s="2296"/>
      <c r="N4" s="2287"/>
      <c r="O4" s="2287"/>
      <c r="P4" s="2287"/>
      <c r="Q4" s="2287"/>
      <c r="R4" s="2297"/>
      <c r="S4" s="2288"/>
      <c r="T4" s="2288"/>
      <c r="U4" s="2288"/>
      <c r="V4" s="2288"/>
    </row>
    <row r="5" ht="16.5" customHeight="1">
      <c r="A5" s="2280"/>
      <c r="B5" s="2281"/>
      <c r="C5" s="2290"/>
      <c r="G5" s="2291"/>
      <c r="H5" s="2299"/>
      <c r="I5" s="2299"/>
      <c r="J5" s="2300"/>
      <c r="K5" s="2301"/>
      <c r="L5" s="2302"/>
      <c r="M5" s="2302"/>
      <c r="N5" s="2287"/>
      <c r="O5" s="2287"/>
      <c r="P5" s="2287"/>
      <c r="Q5" s="2287"/>
      <c r="R5" s="2297"/>
      <c r="S5" s="2288"/>
      <c r="T5" s="2288"/>
      <c r="U5" s="2288"/>
      <c r="V5" s="2288"/>
    </row>
    <row r="6">
      <c r="A6" s="2281"/>
      <c r="B6" s="2281"/>
      <c r="C6" s="2290"/>
      <c r="G6" s="2291"/>
      <c r="H6" s="2298"/>
      <c r="I6" s="2303" t="s">
        <v>39</v>
      </c>
      <c r="J6" s="2301"/>
      <c r="K6" s="2304"/>
      <c r="L6" s="2302"/>
      <c r="M6" s="2302"/>
      <c r="N6" s="2287"/>
      <c r="O6" s="2287"/>
      <c r="P6" s="2287"/>
      <c r="Q6" s="2287"/>
      <c r="R6" s="2297"/>
      <c r="S6" s="2288"/>
      <c r="T6" s="2288"/>
      <c r="U6" s="2288"/>
      <c r="V6" s="2288"/>
    </row>
    <row r="7">
      <c r="A7" s="2281"/>
      <c r="B7" s="2281"/>
      <c r="C7" s="2290"/>
      <c r="G7" s="2291"/>
      <c r="H7" s="2299"/>
      <c r="I7" s="2299"/>
      <c r="J7" s="2301"/>
      <c r="K7" s="2304"/>
      <c r="L7" s="2302"/>
      <c r="M7" s="2302"/>
      <c r="N7" s="2287"/>
      <c r="O7" s="2287"/>
      <c r="P7" s="2287"/>
      <c r="Q7" s="2287"/>
      <c r="R7" s="2297"/>
      <c r="S7" s="2288"/>
      <c r="T7" s="2288"/>
      <c r="U7" s="2288"/>
      <c r="V7" s="2288"/>
    </row>
    <row r="8">
      <c r="A8" s="2281"/>
      <c r="B8" s="2281"/>
      <c r="C8" s="2290"/>
      <c r="G8" s="2291"/>
      <c r="H8" s="2305">
        <v>44380.379162337966</v>
      </c>
      <c r="I8" s="2283"/>
      <c r="J8" s="2284"/>
      <c r="K8" s="2301"/>
      <c r="L8" s="2302"/>
      <c r="M8" s="2302"/>
      <c r="N8" s="2287"/>
      <c r="O8" s="2287"/>
      <c r="P8" s="2287"/>
      <c r="Q8" s="2287"/>
      <c r="R8" s="2297"/>
      <c r="S8" s="2288"/>
      <c r="T8" s="2288"/>
      <c r="U8" s="2288"/>
      <c r="V8" s="2288"/>
    </row>
    <row r="9">
      <c r="A9" s="2281"/>
      <c r="B9" s="2281"/>
      <c r="C9" s="2290"/>
      <c r="G9" s="2291"/>
      <c r="H9" s="2292"/>
      <c r="I9" s="2293"/>
      <c r="J9" s="2294"/>
      <c r="K9" s="2288"/>
      <c r="L9" s="2287"/>
      <c r="M9" s="2287"/>
      <c r="N9" s="2287"/>
      <c r="O9" s="2287"/>
      <c r="P9" s="2287"/>
      <c r="Q9" s="2287"/>
      <c r="R9" s="2297"/>
      <c r="S9" s="2288"/>
      <c r="T9" s="2288"/>
      <c r="U9" s="2288"/>
      <c r="V9" s="2288"/>
    </row>
    <row r="10">
      <c r="A10" s="2281"/>
      <c r="B10" s="2281"/>
      <c r="C10" s="2290"/>
      <c r="G10" s="2291"/>
      <c r="H10" s="2306"/>
      <c r="I10" s="2306"/>
      <c r="J10" s="2288"/>
      <c r="K10" s="2288"/>
      <c r="L10" s="2287"/>
      <c r="M10" s="2287"/>
      <c r="N10" s="2287"/>
      <c r="O10" s="2287"/>
      <c r="P10" s="2287"/>
      <c r="Q10" s="2287"/>
      <c r="R10" s="2297"/>
      <c r="S10" s="2288"/>
      <c r="T10" s="2288"/>
      <c r="U10" s="2288"/>
      <c r="V10" s="2288"/>
    </row>
    <row r="11">
      <c r="A11" s="2307" t="s">
        <v>40</v>
      </c>
      <c r="B11" s="2284"/>
      <c r="C11" s="2290"/>
      <c r="G11" s="2291"/>
      <c r="H11" s="2299"/>
      <c r="I11" s="2299"/>
      <c r="J11" s="2288"/>
      <c r="K11" s="2288"/>
      <c r="L11" s="2287"/>
      <c r="M11" s="2287"/>
      <c r="N11" s="2287"/>
      <c r="O11" s="2287"/>
      <c r="P11" s="2287"/>
      <c r="Q11" s="2287"/>
      <c r="R11" s="2297"/>
      <c r="S11" s="2288"/>
      <c r="T11" s="2288"/>
      <c r="U11" s="2288"/>
      <c r="V11" s="2288"/>
    </row>
    <row r="12">
      <c r="A12" s="2292"/>
      <c r="B12" s="2294"/>
      <c r="C12" s="2292"/>
      <c r="D12" s="2293"/>
      <c r="E12" s="2293"/>
      <c r="F12" s="2293"/>
      <c r="G12" s="2294"/>
      <c r="H12" s="2308"/>
      <c r="I12" s="2308"/>
      <c r="J12" s="2281"/>
      <c r="K12" s="2281"/>
      <c r="L12" s="2287"/>
      <c r="M12" s="2287"/>
      <c r="N12" s="2287"/>
      <c r="O12" s="2287"/>
      <c r="P12" s="2287"/>
      <c r="Q12" s="2287"/>
      <c r="R12" s="2297"/>
      <c r="S12" s="2288"/>
      <c r="T12" s="2288"/>
      <c r="U12" s="2288"/>
      <c r="V12" s="2288"/>
    </row>
    <row r="13">
      <c r="A13" s="88"/>
      <c r="B13" s="89"/>
      <c r="C13" s="89"/>
      <c r="D13" s="90"/>
      <c r="E13" s="90"/>
      <c r="F13" s="90"/>
      <c r="G13" s="2309"/>
      <c r="H13" s="2309"/>
      <c r="I13" s="92"/>
      <c r="J13" s="88"/>
      <c r="K13" s="90"/>
      <c r="L13" s="2310"/>
      <c r="M13" s="2310"/>
      <c r="N13" s="2310"/>
      <c r="O13" s="2310"/>
      <c r="P13" s="2310"/>
      <c r="Q13" s="2310"/>
      <c r="R13" s="2309"/>
      <c r="S13" s="88"/>
      <c r="T13" s="88"/>
      <c r="U13" s="88"/>
      <c r="V13" s="88"/>
    </row>
    <row r="14">
      <c r="A14" s="94"/>
      <c r="B14" s="95"/>
      <c r="C14" s="95"/>
      <c r="D14" s="96"/>
      <c r="E14" s="96"/>
      <c r="F14" s="96"/>
      <c r="G14" s="2311"/>
      <c r="H14" s="2312"/>
      <c r="I14" s="99"/>
      <c r="J14" s="100"/>
      <c r="K14" s="101"/>
      <c r="L14" s="2313"/>
      <c r="M14" s="2313"/>
      <c r="N14" s="2313"/>
      <c r="O14" s="2313"/>
      <c r="P14" s="2313"/>
      <c r="Q14" s="2313"/>
      <c r="R14" s="2312"/>
      <c r="S14" s="100"/>
      <c r="T14" s="100"/>
      <c r="U14" s="100"/>
      <c r="V14" s="100"/>
    </row>
    <row r="15">
      <c r="A15" s="103" t="str">
        <f>'テンプレート'!A15</f>
        <v>行動フレーム・能力値</v>
      </c>
      <c r="B15" s="104"/>
      <c r="C15" s="101"/>
      <c r="D15" s="101"/>
      <c r="E15" s="101"/>
      <c r="F15" s="101"/>
      <c r="G15" s="2312"/>
      <c r="H15" s="2312"/>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94 [48th]</v>
      </c>
      <c r="G17" s="112" t="str">
        <f>'テンプレート'!G17</f>
        <v>小J滞空</v>
      </c>
      <c r="H17" s="239" t="str">
        <f t="array" ref="H17">IF(INDEX('行動フレーム・能力値'!$C$2:$AD$115, MATCH($A$1,'行動フレーム・能力値'!$A$2:$A$115,0), MATCH(G17,'行動フレーム・能力値'!$C$1:$AD$1,0))="-", "-", INDEX('行動フレーム・能力値'!$C$2:$AD$115, MATCH($A$1,'行動フレーム・能力値'!$A$2:$A$115,0), MATCH(G17,'行動フレーム・能力値'!$C$1:$AD$1,0))&amp;"F")</f>
        <v>28F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1.87 [51st]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2314"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1.26 [18th]</v>
      </c>
      <c r="G18" s="112" t="str">
        <f>'テンプレート'!G18</f>
        <v>大J滞空</v>
      </c>
      <c r="H18" s="239" t="str">
        <f t="array" ref="H18">IF(INDEX('行動フレーム・能力値'!$C$2:$AD$115, MATCH($A$1,'行動フレーム・能力値'!$A$2:$A$115,0), MATCH(G18,'行動フレーム・能力値'!$C$1:$AD$1,0))="-", "-", INDEX('行動フレーム・能力値'!$C$2:$AD$115, MATCH($A$1,'行動フレーム・能力値'!$A$2:$A$115,0), MATCH(G18,'行動フレーム・能力値'!$C$1:$AD$1,0))&amp;"F")</f>
        <v>41F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35 [22nd]</v>
      </c>
      <c r="O18" s="99"/>
      <c r="P18" s="99"/>
      <c r="Q18" s="99"/>
      <c r="R18" s="99"/>
      <c r="S18" s="111"/>
      <c r="T18" s="111"/>
      <c r="U18" s="111"/>
      <c r="V18" s="111"/>
    </row>
    <row r="19" outlineLevel="1">
      <c r="A19" s="112" t="str">
        <f>'テンプレート'!A19</f>
        <v>カベジャンプ</v>
      </c>
      <c r="B19" s="2314"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1.92 [26th]</v>
      </c>
      <c r="G19" s="112" t="str">
        <f>'テンプレート'!G19</f>
        <v>小J急降下滞空</v>
      </c>
      <c r="H19" s="239" t="str">
        <f t="array" ref="H19">IF(INDEX('行動フレーム・能力値'!$C$2:$AD$115, MATCH($A$1,'行動フレーム・能力値'!$A$2:$A$115,0), MATCH(G19,'行動フレーム・能力値'!$C$1:$AD$1,0))="-", "-", INDEX('行動フレーム・能力値'!$C$2:$AD$115, MATCH($A$1,'行動フレーム・能力値'!$A$2:$A$115,0), MATCH(G19,'行動フレーム・能力値'!$C$1:$AD$1,0))&amp;"F")</f>
        <v>20F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 [19th]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 [28th]</v>
      </c>
      <c r="O19" s="99"/>
      <c r="P19" s="99"/>
      <c r="Q19" s="99"/>
      <c r="R19" s="99"/>
      <c r="S19" s="111"/>
      <c r="T19" s="111"/>
      <c r="U19" s="111"/>
      <c r="V19" s="111"/>
    </row>
    <row r="20" outlineLevel="1">
      <c r="A20" s="112" t="str">
        <f>'テンプレート'!A20</f>
        <v>カベ張りつき</v>
      </c>
      <c r="B20" s="2314"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1.15 [26th]</v>
      </c>
      <c r="G20" s="112" t="str">
        <f>'テンプレート'!G20</f>
        <v>大J急降下滞空</v>
      </c>
      <c r="H20" s="239" t="str">
        <f t="array" ref="H20">IF(INDEX('行動フレーム・能力値'!$C$2:$AD$115, MATCH($A$1,'行動フレーム・能力値'!$A$2:$A$115,0), MATCH(G20,'行動フレーム・能力値'!$C$1:$AD$1,0))="-", "-", INDEX('行動フレーム・能力値'!$C$2:$AD$115, MATCH($A$1,'行動フレーム・能力値'!$A$2:$A$115,0), MATCH(G20,'行動フレーム・能力値'!$C$1:$AD$1,0))&amp;"F")</f>
        <v>30F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0.068 [54th]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35.5 [27th]</v>
      </c>
      <c r="O20" s="99"/>
      <c r="P20" s="99"/>
      <c r="Q20" s="99"/>
      <c r="R20" s="99"/>
      <c r="S20" s="100"/>
      <c r="T20" s="100"/>
      <c r="U20" s="100"/>
      <c r="V20" s="100"/>
    </row>
    <row r="21" outlineLevel="1">
      <c r="A21" s="112" t="str">
        <f>'テンプレート'!A21</f>
        <v>空中ワイヤー</v>
      </c>
      <c r="B21" s="2314"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239"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1.92 [5th]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239"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3.072 [5th]</v>
      </c>
      <c r="G22" s="2312"/>
      <c r="H22" s="2312"/>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0.169 [3rd]</v>
      </c>
      <c r="M22" s="100"/>
      <c r="N22" s="117"/>
      <c r="O22" s="99"/>
      <c r="P22" s="99"/>
      <c r="Q22" s="99"/>
      <c r="R22" s="99"/>
      <c r="S22" s="100"/>
      <c r="T22" s="100"/>
      <c r="U22" s="100"/>
      <c r="V22" s="100"/>
    </row>
    <row r="23">
      <c r="A23" s="101"/>
      <c r="B23" s="101"/>
      <c r="C23" s="101"/>
      <c r="D23" s="101"/>
      <c r="E23" s="101"/>
      <c r="F23" s="101"/>
      <c r="G23" s="2312"/>
      <c r="H23" s="2315"/>
      <c r="I23" s="114"/>
      <c r="J23" s="101"/>
      <c r="K23" s="118"/>
      <c r="L23" s="114"/>
      <c r="M23" s="100"/>
      <c r="N23" s="117"/>
      <c r="O23" s="99"/>
      <c r="P23" s="99"/>
      <c r="Q23" s="99"/>
      <c r="R23" s="99"/>
      <c r="S23" s="100"/>
      <c r="T23" s="100"/>
      <c r="U23" s="100"/>
      <c r="V23" s="100"/>
    </row>
    <row r="24">
      <c r="A24" s="2316" t="s">
        <v>47</v>
      </c>
      <c r="B24" s="104"/>
      <c r="C24" s="2317"/>
      <c r="D24" s="2318"/>
      <c r="E24" s="2318"/>
      <c r="F24" s="2319"/>
      <c r="G24" s="2320"/>
      <c r="H24" s="2318"/>
      <c r="I24" s="2318"/>
      <c r="J24" s="2318"/>
      <c r="K24" s="2318"/>
      <c r="L24" s="2321"/>
      <c r="M24" s="2321"/>
      <c r="N24" s="2322"/>
      <c r="O24" s="2322"/>
      <c r="P24" s="2322"/>
      <c r="Q24" s="2323"/>
      <c r="R24" s="2321"/>
      <c r="S24" s="2321"/>
      <c r="T24" s="2321"/>
      <c r="U24" s="2321"/>
      <c r="V24" s="2321"/>
    </row>
    <row r="25" outlineLevel="1">
      <c r="A25" s="106"/>
      <c r="B25" s="107"/>
      <c r="C25" s="2324" t="s">
        <v>48</v>
      </c>
      <c r="D25" s="2325" t="s">
        <v>49</v>
      </c>
      <c r="E25" s="2325" t="s">
        <v>50</v>
      </c>
      <c r="F25" s="2326" t="s">
        <v>51</v>
      </c>
      <c r="G25" s="2325" t="s">
        <v>52</v>
      </c>
      <c r="H25" s="2327" t="str">
        <f>'テンプレート'!H25</f>
        <v>備考</v>
      </c>
      <c r="I25" s="110"/>
      <c r="J25" s="109"/>
      <c r="K25" s="2328" t="str">
        <f>'テンプレート'!K25</f>
        <v>ベクトル</v>
      </c>
      <c r="L25" s="2328" t="str">
        <f>'テンプレート'!L25</f>
        <v>KBG (R.E.)</v>
      </c>
      <c r="M25" s="2328" t="str">
        <f>'テンプレート'!M25</f>
        <v>BKB (R.A.)</v>
      </c>
      <c r="N25" s="2328" t="str">
        <f>'テンプレート'!N25</f>
        <v>FKB (R.F.)</v>
      </c>
      <c r="O25" s="2329" t="str">
        <f>'テンプレート'!O25</f>
        <v>盾削り値</v>
      </c>
      <c r="P25" s="2328" t="str">
        <f>'テンプレート'!P25</f>
        <v>ﾋｯﾄｽﾄｯﾌﾟ</v>
      </c>
      <c r="Q25" s="2329" t="str">
        <f>'テンプレート'!Q25</f>
        <v>ずらし</v>
      </c>
      <c r="R25" s="2330"/>
      <c r="S25" s="2330"/>
      <c r="T25" s="2330"/>
      <c r="U25" s="2324" t="s">
        <v>54</v>
      </c>
      <c r="V25" s="2330"/>
    </row>
    <row r="26" outlineLevel="1">
      <c r="A26" s="2331" t="s">
        <v>266</v>
      </c>
      <c r="B26" s="2332" t="s">
        <v>55</v>
      </c>
      <c r="C26" s="2333" t="s">
        <v>64</v>
      </c>
      <c r="D26" s="2333" t="s">
        <v>2444</v>
      </c>
      <c r="E26" s="2333" t="s">
        <v>700</v>
      </c>
      <c r="F26" s="2334">
        <v>2.16</v>
      </c>
      <c r="G26" s="2333" t="s">
        <v>60</v>
      </c>
      <c r="H26" s="140" t="s">
        <v>3627</v>
      </c>
      <c r="I26" s="110"/>
      <c r="J26" s="109"/>
      <c r="K26" s="138"/>
      <c r="L26" s="282"/>
      <c r="M26" s="363"/>
      <c r="N26" s="363"/>
      <c r="O26" s="145">
        <v>0.0</v>
      </c>
      <c r="P26" s="145">
        <v>1.0</v>
      </c>
      <c r="Q26" s="145">
        <v>1.0</v>
      </c>
      <c r="R26" s="100"/>
      <c r="S26" s="100"/>
      <c r="T26" s="100"/>
      <c r="U26" s="145" t="s">
        <v>69</v>
      </c>
      <c r="V26" s="100"/>
    </row>
    <row r="27" outlineLevel="1">
      <c r="A27" s="146"/>
      <c r="B27" s="2335" t="s">
        <v>63</v>
      </c>
      <c r="C27" s="2336" t="s">
        <v>64</v>
      </c>
      <c r="D27" s="2336" t="s">
        <v>466</v>
      </c>
      <c r="E27" s="2336" t="s">
        <v>213</v>
      </c>
      <c r="F27" s="2334">
        <v>1.2</v>
      </c>
      <c r="G27" s="2333" t="s">
        <v>170</v>
      </c>
      <c r="H27" s="140" t="s">
        <v>3628</v>
      </c>
      <c r="I27" s="110"/>
      <c r="J27" s="109"/>
      <c r="K27" s="282"/>
      <c r="L27" s="282"/>
      <c r="M27" s="363"/>
      <c r="N27" s="363"/>
      <c r="O27" s="145">
        <v>0.0</v>
      </c>
      <c r="P27" s="145">
        <v>1.0</v>
      </c>
      <c r="Q27" s="145">
        <v>1.0</v>
      </c>
      <c r="R27" s="100"/>
      <c r="S27" s="100"/>
      <c r="T27" s="100"/>
      <c r="U27" s="145" t="s">
        <v>76</v>
      </c>
      <c r="V27" s="100"/>
    </row>
    <row r="28" outlineLevel="1">
      <c r="A28" s="146"/>
      <c r="B28" s="2335" t="s">
        <v>703</v>
      </c>
      <c r="C28" s="2337"/>
      <c r="D28" s="2336" t="s">
        <v>176</v>
      </c>
      <c r="E28" s="2338"/>
      <c r="F28" s="2339"/>
      <c r="G28" s="2338"/>
      <c r="H28" s="159"/>
      <c r="I28" s="110"/>
      <c r="J28" s="109"/>
      <c r="K28" s="261"/>
      <c r="L28" s="261"/>
      <c r="M28" s="261"/>
      <c r="N28" s="261"/>
      <c r="O28" s="261"/>
      <c r="P28" s="261"/>
      <c r="Q28" s="261"/>
      <c r="R28" s="100"/>
      <c r="S28" s="100"/>
      <c r="T28" s="100"/>
      <c r="U28" s="145" t="s">
        <v>76</v>
      </c>
      <c r="V28" s="100"/>
    </row>
    <row r="29" outlineLevel="1">
      <c r="A29" s="146"/>
      <c r="B29" s="2335" t="s">
        <v>704</v>
      </c>
      <c r="C29" s="2340" t="s">
        <v>3629</v>
      </c>
      <c r="D29" s="2340" t="s">
        <v>296</v>
      </c>
      <c r="E29" s="2336" t="s">
        <v>1098</v>
      </c>
      <c r="F29" s="2334">
        <v>0.6</v>
      </c>
      <c r="G29" s="2336" t="s">
        <v>170</v>
      </c>
      <c r="H29" s="140" t="s">
        <v>3630</v>
      </c>
      <c r="I29" s="110"/>
      <c r="J29" s="109"/>
      <c r="K29" s="282"/>
      <c r="L29" s="282"/>
      <c r="M29" s="363"/>
      <c r="N29" s="363"/>
      <c r="O29" s="145">
        <v>0.0</v>
      </c>
      <c r="P29" s="145">
        <v>0.5</v>
      </c>
      <c r="Q29" s="145">
        <v>0.8</v>
      </c>
      <c r="R29" s="100"/>
      <c r="S29" s="100"/>
      <c r="T29" s="100"/>
      <c r="U29" s="145" t="s">
        <v>76</v>
      </c>
      <c r="V29" s="100"/>
    </row>
    <row r="30" outlineLevel="1">
      <c r="A30" s="156"/>
      <c r="B30" s="2335" t="s">
        <v>708</v>
      </c>
      <c r="C30" s="2336" t="s">
        <v>717</v>
      </c>
      <c r="D30" s="2336" t="s">
        <v>628</v>
      </c>
      <c r="E30" s="2336" t="s">
        <v>176</v>
      </c>
      <c r="F30" s="2334">
        <v>2.4</v>
      </c>
      <c r="G30" s="2336" t="s">
        <v>60</v>
      </c>
      <c r="H30" s="140" t="s">
        <v>411</v>
      </c>
      <c r="I30" s="110"/>
      <c r="J30" s="109"/>
      <c r="K30" s="282"/>
      <c r="L30" s="282"/>
      <c r="M30" s="363"/>
      <c r="N30" s="363"/>
      <c r="O30" s="145">
        <v>0.0</v>
      </c>
      <c r="P30" s="145">
        <v>1.0</v>
      </c>
      <c r="Q30" s="145">
        <v>1.0</v>
      </c>
      <c r="R30" s="100"/>
      <c r="S30" s="100"/>
      <c r="T30" s="100"/>
      <c r="U30" s="145" t="s">
        <v>76</v>
      </c>
      <c r="V30" s="100"/>
    </row>
    <row r="31" outlineLevel="1">
      <c r="A31" s="2331" t="s">
        <v>77</v>
      </c>
      <c r="B31" s="2341"/>
      <c r="C31" s="2336" t="s">
        <v>543</v>
      </c>
      <c r="D31" s="2342" t="s">
        <v>193</v>
      </c>
      <c r="E31" s="2336" t="s">
        <v>232</v>
      </c>
      <c r="F31" s="2334">
        <v>13.2</v>
      </c>
      <c r="G31" s="2333" t="s">
        <v>121</v>
      </c>
      <c r="H31" s="456"/>
      <c r="I31" s="164"/>
      <c r="J31" s="104"/>
      <c r="K31" s="138"/>
      <c r="L31" s="282"/>
      <c r="M31" s="363"/>
      <c r="N31" s="363"/>
      <c r="O31" s="145">
        <v>1.0</v>
      </c>
      <c r="P31" s="145">
        <v>1.0</v>
      </c>
      <c r="Q31" s="145">
        <v>1.0</v>
      </c>
      <c r="R31" s="100"/>
      <c r="S31" s="100"/>
      <c r="T31" s="100"/>
      <c r="U31" s="166" t="s">
        <v>69</v>
      </c>
      <c r="V31" s="100"/>
    </row>
    <row r="32" outlineLevel="1">
      <c r="A32" s="156"/>
      <c r="B32" s="2335" t="s">
        <v>84</v>
      </c>
      <c r="C32" s="2336" t="s">
        <v>3533</v>
      </c>
      <c r="D32" s="107"/>
      <c r="E32" s="2336" t="s">
        <v>86</v>
      </c>
      <c r="F32" s="2334">
        <v>7.199999999999999</v>
      </c>
      <c r="G32" s="2333" t="s">
        <v>102</v>
      </c>
      <c r="H32" s="106"/>
      <c r="I32" s="168"/>
      <c r="J32" s="107"/>
      <c r="K32" s="282"/>
      <c r="L32" s="282"/>
      <c r="M32" s="363"/>
      <c r="N32" s="363"/>
      <c r="O32" s="145">
        <v>1.0</v>
      </c>
      <c r="P32" s="145">
        <v>1.0</v>
      </c>
      <c r="Q32" s="145">
        <v>1.0</v>
      </c>
      <c r="R32" s="100"/>
      <c r="S32" s="100"/>
      <c r="T32" s="100"/>
      <c r="U32" s="156"/>
      <c r="V32" s="100"/>
    </row>
    <row r="33" outlineLevel="1">
      <c r="A33" s="2331" t="s">
        <v>89</v>
      </c>
      <c r="B33" s="2335" t="s">
        <v>276</v>
      </c>
      <c r="C33" s="2342" t="s">
        <v>549</v>
      </c>
      <c r="D33" s="2342" t="s">
        <v>105</v>
      </c>
      <c r="E33" s="2336" t="s">
        <v>1855</v>
      </c>
      <c r="F33" s="2334">
        <v>10.2</v>
      </c>
      <c r="G33" s="2333" t="s">
        <v>123</v>
      </c>
      <c r="H33" s="456"/>
      <c r="I33" s="164"/>
      <c r="J33" s="104"/>
      <c r="K33" s="138"/>
      <c r="L33" s="282"/>
      <c r="M33" s="363"/>
      <c r="N33" s="363"/>
      <c r="O33" s="145">
        <v>0.0</v>
      </c>
      <c r="P33" s="145">
        <v>1.0</v>
      </c>
      <c r="Q33" s="145">
        <v>1.0</v>
      </c>
      <c r="R33" s="100"/>
      <c r="S33" s="100"/>
      <c r="T33" s="100"/>
      <c r="U33" s="166" t="s">
        <v>96</v>
      </c>
      <c r="V33" s="100"/>
    </row>
    <row r="34" outlineLevel="1">
      <c r="A34" s="146"/>
      <c r="B34" s="2335" t="s">
        <v>279</v>
      </c>
      <c r="C34" s="210"/>
      <c r="D34" s="210"/>
      <c r="E34" s="2336" t="s">
        <v>80</v>
      </c>
      <c r="F34" s="2334">
        <v>9.6</v>
      </c>
      <c r="G34" s="2333" t="s">
        <v>123</v>
      </c>
      <c r="H34" s="212"/>
      <c r="J34" s="210"/>
      <c r="K34" s="138"/>
      <c r="L34" s="282"/>
      <c r="M34" s="363"/>
      <c r="N34" s="363"/>
      <c r="O34" s="145">
        <v>0.0</v>
      </c>
      <c r="P34" s="145">
        <v>1.0</v>
      </c>
      <c r="Q34" s="145">
        <v>1.0</v>
      </c>
      <c r="R34" s="100"/>
      <c r="S34" s="100"/>
      <c r="T34" s="100"/>
      <c r="U34" s="146"/>
      <c r="V34" s="100"/>
    </row>
    <row r="35" outlineLevel="1">
      <c r="A35" s="156"/>
      <c r="B35" s="2335" t="s">
        <v>280</v>
      </c>
      <c r="C35" s="107"/>
      <c r="D35" s="107"/>
      <c r="E35" s="2336" t="s">
        <v>2406</v>
      </c>
      <c r="F35" s="2334">
        <v>9.96</v>
      </c>
      <c r="G35" s="2333" t="s">
        <v>123</v>
      </c>
      <c r="H35" s="106"/>
      <c r="I35" s="168"/>
      <c r="J35" s="107"/>
      <c r="K35" s="282"/>
      <c r="L35" s="282"/>
      <c r="M35" s="363"/>
      <c r="N35" s="363"/>
      <c r="O35" s="145">
        <v>0.0</v>
      </c>
      <c r="P35" s="145">
        <v>1.0</v>
      </c>
      <c r="Q35" s="145">
        <v>1.0</v>
      </c>
      <c r="R35" s="100"/>
      <c r="S35" s="100"/>
      <c r="T35" s="100"/>
      <c r="U35" s="156"/>
      <c r="V35" s="100"/>
    </row>
    <row r="36" outlineLevel="1">
      <c r="A36" s="2343" t="s">
        <v>97</v>
      </c>
      <c r="B36" s="2341"/>
      <c r="C36" s="2336" t="s">
        <v>1055</v>
      </c>
      <c r="D36" s="2336" t="s">
        <v>99</v>
      </c>
      <c r="E36" s="2336" t="s">
        <v>86</v>
      </c>
      <c r="F36" s="2334">
        <v>7.199999999999999</v>
      </c>
      <c r="G36" s="2333" t="s">
        <v>102</v>
      </c>
      <c r="H36" s="159"/>
      <c r="I36" s="110"/>
      <c r="J36" s="109"/>
      <c r="K36" s="282"/>
      <c r="L36" s="282"/>
      <c r="M36" s="363"/>
      <c r="N36" s="363"/>
      <c r="O36" s="145">
        <v>0.0</v>
      </c>
      <c r="P36" s="145">
        <v>1.0</v>
      </c>
      <c r="Q36" s="145">
        <v>1.0</v>
      </c>
      <c r="R36" s="100"/>
      <c r="S36" s="100"/>
      <c r="T36" s="100"/>
      <c r="U36" s="145" t="s">
        <v>62</v>
      </c>
      <c r="V36" s="100"/>
    </row>
    <row r="37" outlineLevel="1">
      <c r="A37" s="2343" t="s">
        <v>103</v>
      </c>
      <c r="B37" s="2341"/>
      <c r="C37" s="2336" t="s">
        <v>319</v>
      </c>
      <c r="D37" s="2336" t="s">
        <v>105</v>
      </c>
      <c r="E37" s="2336" t="s">
        <v>80</v>
      </c>
      <c r="F37" s="2334">
        <v>9.6</v>
      </c>
      <c r="G37" s="2333" t="s">
        <v>123</v>
      </c>
      <c r="H37" s="159"/>
      <c r="I37" s="110"/>
      <c r="J37" s="109"/>
      <c r="K37" s="145"/>
      <c r="L37" s="363"/>
      <c r="M37" s="363"/>
      <c r="N37" s="363"/>
      <c r="O37" s="145">
        <v>0.0</v>
      </c>
      <c r="P37" s="145">
        <v>1.0</v>
      </c>
      <c r="Q37" s="145">
        <v>1.0</v>
      </c>
      <c r="R37" s="100"/>
      <c r="S37" s="100"/>
      <c r="T37" s="100"/>
      <c r="U37" s="145" t="s">
        <v>69</v>
      </c>
      <c r="V37" s="100"/>
    </row>
    <row r="38" outlineLevel="1">
      <c r="A38" s="2343" t="s">
        <v>109</v>
      </c>
      <c r="B38" s="2335" t="s">
        <v>90</v>
      </c>
      <c r="C38" s="2336" t="s">
        <v>203</v>
      </c>
      <c r="D38" s="2336" t="s">
        <v>208</v>
      </c>
      <c r="E38" s="2336" t="s">
        <v>466</v>
      </c>
      <c r="F38" s="2334">
        <v>21.599999999999998</v>
      </c>
      <c r="G38" s="2333" t="s">
        <v>407</v>
      </c>
      <c r="H38" s="151" t="s">
        <v>1214</v>
      </c>
      <c r="I38" s="110"/>
      <c r="J38" s="109"/>
      <c r="K38" s="282"/>
      <c r="L38" s="282"/>
      <c r="M38" s="363"/>
      <c r="N38" s="363"/>
      <c r="O38" s="145">
        <v>0.0</v>
      </c>
      <c r="P38" s="145">
        <v>1.0</v>
      </c>
      <c r="Q38" s="145">
        <v>1.0</v>
      </c>
      <c r="R38" s="100"/>
      <c r="S38" s="100"/>
      <c r="T38" s="100"/>
      <c r="U38" s="145" t="s">
        <v>95</v>
      </c>
      <c r="V38" s="100"/>
    </row>
    <row r="39" outlineLevel="1">
      <c r="A39" s="2331" t="s">
        <v>116</v>
      </c>
      <c r="B39" s="2341"/>
      <c r="C39" s="2344" t="s">
        <v>410</v>
      </c>
      <c r="D39" s="2345" t="s">
        <v>111</v>
      </c>
      <c r="E39" s="2346" t="s">
        <v>119</v>
      </c>
      <c r="F39" s="2334">
        <v>16.8</v>
      </c>
      <c r="G39" s="2333" t="s">
        <v>121</v>
      </c>
      <c r="H39" s="386" t="s">
        <v>3631</v>
      </c>
      <c r="I39" s="164"/>
      <c r="J39" s="104"/>
      <c r="K39" s="363"/>
      <c r="L39" s="363"/>
      <c r="M39" s="363"/>
      <c r="N39" s="363"/>
      <c r="O39" s="145">
        <v>0.0</v>
      </c>
      <c r="P39" s="145">
        <v>1.0</v>
      </c>
      <c r="Q39" s="145">
        <v>1.0</v>
      </c>
      <c r="R39" s="100"/>
      <c r="S39" s="100"/>
      <c r="T39" s="100"/>
      <c r="U39" s="166" t="s">
        <v>75</v>
      </c>
      <c r="V39" s="100"/>
    </row>
    <row r="40" outlineLevel="1">
      <c r="A40" s="156"/>
      <c r="B40" s="2335" t="s">
        <v>84</v>
      </c>
      <c r="C40" s="2344" t="s">
        <v>305</v>
      </c>
      <c r="D40" s="107"/>
      <c r="E40" s="2346" t="s">
        <v>128</v>
      </c>
      <c r="F40" s="2334">
        <v>12.0</v>
      </c>
      <c r="G40" s="2333" t="s">
        <v>95</v>
      </c>
      <c r="H40" s="106"/>
      <c r="I40" s="168"/>
      <c r="J40" s="107"/>
      <c r="K40" s="363"/>
      <c r="L40" s="363"/>
      <c r="M40" s="363"/>
      <c r="N40" s="363"/>
      <c r="O40" s="145">
        <v>0.0</v>
      </c>
      <c r="P40" s="145">
        <v>1.0</v>
      </c>
      <c r="Q40" s="145">
        <v>1.0</v>
      </c>
      <c r="R40" s="100"/>
      <c r="S40" s="100"/>
      <c r="T40" s="100"/>
      <c r="U40" s="156"/>
      <c r="V40" s="100"/>
    </row>
    <row r="41" outlineLevel="1">
      <c r="A41" s="2343" t="s">
        <v>124</v>
      </c>
      <c r="B41" s="2335"/>
      <c r="C41" s="2336" t="s">
        <v>220</v>
      </c>
      <c r="D41" s="2346" t="s">
        <v>127</v>
      </c>
      <c r="E41" s="2346" t="s">
        <v>228</v>
      </c>
      <c r="F41" s="2334">
        <v>15.6</v>
      </c>
      <c r="G41" s="2333" t="s">
        <v>275</v>
      </c>
      <c r="H41" s="151" t="s">
        <v>130</v>
      </c>
      <c r="I41" s="110"/>
      <c r="J41" s="109"/>
      <c r="K41" s="282"/>
      <c r="L41" s="282"/>
      <c r="M41" s="363"/>
      <c r="N41" s="363"/>
      <c r="O41" s="145">
        <v>0.0</v>
      </c>
      <c r="P41" s="145">
        <v>1.0</v>
      </c>
      <c r="Q41" s="145">
        <v>1.0</v>
      </c>
      <c r="R41" s="100"/>
      <c r="S41" s="100"/>
      <c r="T41" s="100"/>
      <c r="U41" s="145" t="s">
        <v>69</v>
      </c>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187" t="str">
        <f>'テンプレート'!R56</f>
        <v>備考</v>
      </c>
      <c r="S44" s="110"/>
      <c r="T44" s="110"/>
      <c r="U44" s="110"/>
      <c r="V44" s="110"/>
    </row>
    <row r="45" outlineLevel="1">
      <c r="A45" s="188" t="s">
        <v>144</v>
      </c>
      <c r="B45" s="373"/>
      <c r="C45" s="239" t="s">
        <v>818</v>
      </c>
      <c r="D45" s="195" t="s">
        <v>146</v>
      </c>
      <c r="E45" s="401" t="s">
        <v>128</v>
      </c>
      <c r="F45" s="193">
        <v>12.0</v>
      </c>
      <c r="G45" s="193">
        <v>10.2</v>
      </c>
      <c r="H45" s="138" t="s">
        <v>147</v>
      </c>
      <c r="I45" s="1523" t="str">
        <f t="array" ref="I45">INDEX('空中攻撃'!$O$3:$AA$109, MATCH($A$1,'空中攻撃'!$A$3:$A$109,0), MATCH(A45,'空中攻撃'!$O$2:$S$2,0))</f>
        <v>6</v>
      </c>
      <c r="J45" s="195" t="s">
        <v>3632</v>
      </c>
      <c r="K45" s="376"/>
      <c r="L45" s="377"/>
      <c r="M45" s="825"/>
      <c r="N45" s="825"/>
      <c r="O45" s="199">
        <v>0.0</v>
      </c>
      <c r="P45" s="199">
        <v>1.0</v>
      </c>
      <c r="Q45" s="199">
        <v>1.0</v>
      </c>
      <c r="R45" s="200"/>
      <c r="S45" s="164"/>
      <c r="T45" s="164"/>
      <c r="U45" s="164"/>
      <c r="V45" s="104"/>
    </row>
    <row r="46" outlineLevel="1">
      <c r="A46" s="156"/>
      <c r="B46" s="373" t="s">
        <v>84</v>
      </c>
      <c r="C46" s="239" t="s">
        <v>1381</v>
      </c>
      <c r="D46" s="107"/>
      <c r="E46" s="239" t="s">
        <v>150</v>
      </c>
      <c r="F46" s="138">
        <v>6.0</v>
      </c>
      <c r="G46" s="138">
        <v>5.1</v>
      </c>
      <c r="H46" s="138" t="s">
        <v>60</v>
      </c>
      <c r="I46" s="156"/>
      <c r="J46" s="107"/>
      <c r="K46" s="376"/>
      <c r="L46" s="377"/>
      <c r="M46" s="825"/>
      <c r="N46" s="825"/>
      <c r="O46" s="199">
        <v>0.0</v>
      </c>
      <c r="P46" s="199">
        <v>1.0</v>
      </c>
      <c r="Q46" s="199">
        <v>1.0</v>
      </c>
      <c r="R46" s="106"/>
      <c r="S46" s="168"/>
      <c r="T46" s="168"/>
      <c r="U46" s="168"/>
      <c r="V46" s="107"/>
    </row>
    <row r="47" outlineLevel="1">
      <c r="A47" s="188" t="s">
        <v>151</v>
      </c>
      <c r="B47" s="373" t="s">
        <v>125</v>
      </c>
      <c r="C47" s="239" t="s">
        <v>518</v>
      </c>
      <c r="D47" s="374">
        <v>44.0</v>
      </c>
      <c r="E47" s="239" t="s">
        <v>150</v>
      </c>
      <c r="F47" s="138">
        <v>6.0</v>
      </c>
      <c r="G47" s="138">
        <v>5.1</v>
      </c>
      <c r="H47" s="138" t="s">
        <v>60</v>
      </c>
      <c r="I47" s="194" t="str">
        <f t="array" ref="I47">INDEX('空中攻撃'!$O$3:$AA$109, MATCH($A$1,'空中攻撃'!$A$3:$A$109,0), MATCH(A47,'空中攻撃'!$O$2:$S$2,0))</f>
        <v>11</v>
      </c>
      <c r="J47" s="195" t="s">
        <v>3250</v>
      </c>
      <c r="K47" s="376"/>
      <c r="L47" s="377"/>
      <c r="M47" s="825"/>
      <c r="N47" s="825"/>
      <c r="O47" s="199">
        <v>0.0</v>
      </c>
      <c r="P47" s="199">
        <v>1.0</v>
      </c>
      <c r="Q47" s="199">
        <v>1.0</v>
      </c>
      <c r="R47" s="200"/>
      <c r="S47" s="164"/>
      <c r="T47" s="164"/>
      <c r="U47" s="164"/>
      <c r="V47" s="104"/>
    </row>
    <row r="48" outlineLevel="1">
      <c r="A48" s="156"/>
      <c r="B48" s="373" t="s">
        <v>131</v>
      </c>
      <c r="C48" s="239" t="s">
        <v>460</v>
      </c>
      <c r="D48" s="107"/>
      <c r="E48" s="239" t="s">
        <v>86</v>
      </c>
      <c r="F48" s="138">
        <v>7.199999999999999</v>
      </c>
      <c r="G48" s="138">
        <v>6.12</v>
      </c>
      <c r="H48" s="138" t="s">
        <v>60</v>
      </c>
      <c r="I48" s="156"/>
      <c r="J48" s="107"/>
      <c r="K48" s="376"/>
      <c r="L48" s="377"/>
      <c r="M48" s="825"/>
      <c r="N48" s="825"/>
      <c r="O48" s="199">
        <v>0.0</v>
      </c>
      <c r="P48" s="199">
        <v>1.0</v>
      </c>
      <c r="Q48" s="199">
        <v>1.0</v>
      </c>
      <c r="R48" s="106"/>
      <c r="S48" s="168"/>
      <c r="T48" s="168"/>
      <c r="U48" s="168"/>
      <c r="V48" s="107"/>
    </row>
    <row r="49" outlineLevel="1">
      <c r="A49" s="213" t="s">
        <v>157</v>
      </c>
      <c r="B49" s="373"/>
      <c r="C49" s="239" t="s">
        <v>277</v>
      </c>
      <c r="D49" s="380">
        <v>39.0</v>
      </c>
      <c r="E49" s="239" t="s">
        <v>129</v>
      </c>
      <c r="F49" s="138">
        <v>14.399999999999999</v>
      </c>
      <c r="G49" s="138">
        <v>12.24</v>
      </c>
      <c r="H49" s="138" t="s">
        <v>75</v>
      </c>
      <c r="I49" s="1768">
        <f t="array" ref="I49">INDEX('空中攻撃'!$O$3:$AA$109, MATCH($A$1,'空中攻撃'!$A$3:$A$109,0), MATCH(A49,'空中攻撃'!$O$2:$S$2,0))</f>
        <v>11</v>
      </c>
      <c r="J49" s="216" t="s">
        <v>3058</v>
      </c>
      <c r="K49" s="376"/>
      <c r="L49" s="377"/>
      <c r="M49" s="825"/>
      <c r="N49" s="825"/>
      <c r="O49" s="199">
        <v>0.0</v>
      </c>
      <c r="P49" s="199">
        <v>1.0</v>
      </c>
      <c r="Q49" s="199">
        <v>1.0</v>
      </c>
      <c r="R49" s="218"/>
      <c r="S49" s="110"/>
      <c r="T49" s="110"/>
      <c r="U49" s="110"/>
      <c r="V49" s="109"/>
    </row>
    <row r="50" outlineLevel="1">
      <c r="A50" s="213" t="s">
        <v>162</v>
      </c>
      <c r="B50" s="373"/>
      <c r="C50" s="239" t="s">
        <v>322</v>
      </c>
      <c r="D50" s="380" t="s">
        <v>193</v>
      </c>
      <c r="E50" s="365" t="s">
        <v>274</v>
      </c>
      <c r="F50" s="138">
        <v>10.799999999999999</v>
      </c>
      <c r="G50" s="138">
        <v>9.18</v>
      </c>
      <c r="H50" s="138" t="s">
        <v>147</v>
      </c>
      <c r="I50" s="215" t="str">
        <f t="array" ref="I50">INDEX('空中攻撃'!$O$3:$AA$109, MATCH($A$1,'空中攻撃'!$A$3:$A$109,0), MATCH(A50,'空中攻撃'!$O$2:$S$2,0))</f>
        <v>10</v>
      </c>
      <c r="J50" s="216" t="s">
        <v>3633</v>
      </c>
      <c r="K50" s="377"/>
      <c r="L50" s="377"/>
      <c r="M50" s="825"/>
      <c r="N50" s="825"/>
      <c r="O50" s="199">
        <v>0.0</v>
      </c>
      <c r="P50" s="199">
        <v>1.0</v>
      </c>
      <c r="Q50" s="199">
        <v>1.0</v>
      </c>
      <c r="R50" s="218"/>
      <c r="S50" s="110"/>
      <c r="T50" s="110"/>
      <c r="U50" s="110"/>
      <c r="V50" s="109"/>
    </row>
    <row r="51" outlineLevel="1">
      <c r="A51" s="188" t="s">
        <v>166</v>
      </c>
      <c r="B51" s="373"/>
      <c r="C51" s="239" t="s">
        <v>454</v>
      </c>
      <c r="D51" s="374">
        <v>49.0</v>
      </c>
      <c r="E51" s="239" t="s">
        <v>228</v>
      </c>
      <c r="F51" s="138">
        <v>15.6</v>
      </c>
      <c r="G51" s="138">
        <v>13.26</v>
      </c>
      <c r="H51" s="138" t="s">
        <v>75</v>
      </c>
      <c r="I51" s="194">
        <f t="array" ref="I51">INDEX('空中攻撃'!$O$3:$AA$109, MATCH($A$1,'空中攻撃'!$A$3:$A$109,0), MATCH(A51,'空中攻撃'!$O$2:$S$2,0))</f>
        <v>18</v>
      </c>
      <c r="J51" s="195" t="s">
        <v>3634</v>
      </c>
      <c r="K51" s="377"/>
      <c r="L51" s="377"/>
      <c r="M51" s="825"/>
      <c r="N51" s="825"/>
      <c r="O51" s="199">
        <v>0.0</v>
      </c>
      <c r="P51" s="199">
        <v>1.0</v>
      </c>
      <c r="Q51" s="199">
        <v>1.0</v>
      </c>
      <c r="R51" s="220"/>
      <c r="S51" s="164"/>
      <c r="T51" s="164"/>
      <c r="U51" s="164"/>
      <c r="V51" s="104"/>
    </row>
    <row r="52" outlineLevel="1">
      <c r="A52" s="156"/>
      <c r="B52" s="373" t="s">
        <v>84</v>
      </c>
      <c r="C52" s="239" t="s">
        <v>466</v>
      </c>
      <c r="D52" s="107"/>
      <c r="E52" s="239" t="s">
        <v>129</v>
      </c>
      <c r="F52" s="138">
        <v>14.399999999999999</v>
      </c>
      <c r="G52" s="138">
        <v>12.24</v>
      </c>
      <c r="H52" s="138" t="s">
        <v>75</v>
      </c>
      <c r="I52" s="156"/>
      <c r="J52" s="107"/>
      <c r="K52" s="377"/>
      <c r="L52" s="377"/>
      <c r="M52" s="825"/>
      <c r="N52" s="825"/>
      <c r="O52" s="199">
        <v>0.0</v>
      </c>
      <c r="P52" s="199">
        <v>1.0</v>
      </c>
      <c r="Q52" s="199">
        <v>1.0</v>
      </c>
      <c r="R52" s="106"/>
      <c r="S52" s="168"/>
      <c r="T52" s="168"/>
      <c r="U52" s="168"/>
      <c r="V52" s="107"/>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
        <v>177</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
        <v>3635</v>
      </c>
      <c r="B55" s="109"/>
      <c r="C55" s="231" t="s">
        <v>48</v>
      </c>
      <c r="D55" s="231" t="s">
        <v>49</v>
      </c>
      <c r="E55" s="231" t="s">
        <v>50</v>
      </c>
      <c r="F55" s="235" t="s">
        <v>51</v>
      </c>
      <c r="G55" s="231" t="s">
        <v>52</v>
      </c>
      <c r="H55" s="382" t="s">
        <v>53</v>
      </c>
      <c r="I55" s="110"/>
      <c r="J55" s="109"/>
      <c r="K55" s="235" t="str">
        <f>'テンプレート'!K72</f>
        <v>ベクトル</v>
      </c>
      <c r="L55" s="235" t="str">
        <f>'テンプレート'!L72</f>
        <v>KBG (R.E.)</v>
      </c>
      <c r="M55" s="235" t="str">
        <f>'テンプレート'!M72</f>
        <v>BKB (R.A.)</v>
      </c>
      <c r="N55" s="235" t="str">
        <f>'テンプレート'!N72</f>
        <v>FKB (R.F.)</v>
      </c>
      <c r="O55" s="236" t="str">
        <f>'テンプレート'!O72</f>
        <v>盾削り値</v>
      </c>
      <c r="P55" s="235" t="str">
        <f>'テンプレート'!P72</f>
        <v>ﾋｯﾄｽﾄｯﾌﾟ</v>
      </c>
      <c r="Q55" s="236" t="str">
        <f>'テンプレート'!Q72</f>
        <v>ずらし</v>
      </c>
      <c r="R55" s="235" t="str">
        <f>'テンプレート'!R72</f>
        <v>相殺</v>
      </c>
      <c r="S55" s="236" t="str">
        <f>'テンプレート'!S72</f>
        <v>相殺ﾓｰｼｮﾝ</v>
      </c>
      <c r="T55" s="236" t="str">
        <f>'テンプレート'!T72</f>
        <v>飛び道具</v>
      </c>
      <c r="U55" s="236" t="str">
        <f>'テンプレート'!U72</f>
        <v>慣性反転</v>
      </c>
      <c r="V55" s="236" t="str">
        <f>'テンプレート'!V72</f>
        <v>向き反転</v>
      </c>
    </row>
    <row r="56" outlineLevel="1">
      <c r="A56" s="259" t="s">
        <v>332</v>
      </c>
      <c r="B56" s="243"/>
      <c r="C56" s="369" t="s">
        <v>3636</v>
      </c>
      <c r="D56" s="239" t="s">
        <v>208</v>
      </c>
      <c r="E56" s="367" t="s">
        <v>386</v>
      </c>
      <c r="F56" s="394">
        <v>18.0</v>
      </c>
      <c r="G56" s="367" t="s">
        <v>75</v>
      </c>
      <c r="H56" s="163" t="s">
        <v>3637</v>
      </c>
      <c r="I56" s="164"/>
      <c r="J56" s="104"/>
      <c r="K56" s="377"/>
      <c r="L56" s="377"/>
      <c r="M56" s="825"/>
      <c r="N56" s="825"/>
      <c r="O56" s="138">
        <v>0.0</v>
      </c>
      <c r="P56" s="138">
        <v>1.0</v>
      </c>
      <c r="Q56" s="138">
        <v>1.0</v>
      </c>
      <c r="R56" s="199" t="b">
        <v>1</v>
      </c>
      <c r="S56" s="199" t="b">
        <v>0</v>
      </c>
      <c r="T56" s="199" t="b">
        <v>1</v>
      </c>
      <c r="U56" s="2347" t="s">
        <v>186</v>
      </c>
      <c r="V56" s="2348" t="b">
        <v>1</v>
      </c>
    </row>
    <row r="57" outlineLevel="1">
      <c r="A57" s="259" t="s">
        <v>344</v>
      </c>
      <c r="B57" s="243"/>
      <c r="C57" s="156"/>
      <c r="D57" s="239" t="s">
        <v>810</v>
      </c>
      <c r="E57" s="156"/>
      <c r="F57" s="156"/>
      <c r="G57" s="156"/>
      <c r="H57" s="106"/>
      <c r="I57" s="168"/>
      <c r="J57" s="107"/>
      <c r="K57" s="377"/>
      <c r="L57" s="377"/>
      <c r="M57" s="825"/>
      <c r="N57" s="825"/>
      <c r="O57" s="138">
        <v>0.0</v>
      </c>
      <c r="P57" s="138">
        <v>1.0</v>
      </c>
      <c r="Q57" s="138">
        <v>1.0</v>
      </c>
      <c r="R57" s="199" t="b">
        <v>1</v>
      </c>
      <c r="S57" s="199" t="b">
        <v>0</v>
      </c>
      <c r="T57" s="199" t="b">
        <v>1</v>
      </c>
      <c r="U57" s="156"/>
      <c r="V57" s="156"/>
    </row>
    <row r="58" outlineLevel="1">
      <c r="A58" s="230" t="s">
        <v>3638</v>
      </c>
      <c r="B58" s="109"/>
      <c r="C58" s="231" t="s">
        <v>48</v>
      </c>
      <c r="D58" s="231" t="s">
        <v>49</v>
      </c>
      <c r="E58" s="231" t="s">
        <v>50</v>
      </c>
      <c r="F58" s="235" t="s">
        <v>2313</v>
      </c>
      <c r="G58" s="231"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236" t="s">
        <v>183</v>
      </c>
    </row>
    <row r="59" outlineLevel="1">
      <c r="A59" s="237" t="s">
        <v>3639</v>
      </c>
      <c r="B59" s="2349" t="s">
        <v>3640</v>
      </c>
      <c r="C59" s="901" t="s">
        <v>3641</v>
      </c>
      <c r="D59" s="901" t="s">
        <v>289</v>
      </c>
      <c r="E59" s="365" t="s">
        <v>3642</v>
      </c>
      <c r="F59" s="138" t="s">
        <v>3643</v>
      </c>
      <c r="G59" s="239" t="s">
        <v>3644</v>
      </c>
      <c r="H59" s="163" t="s">
        <v>3645</v>
      </c>
      <c r="I59" s="164"/>
      <c r="J59" s="104"/>
      <c r="K59" s="282"/>
      <c r="L59" s="282"/>
      <c r="M59" s="363"/>
      <c r="N59" s="363"/>
      <c r="O59" s="138">
        <v>0.0</v>
      </c>
      <c r="P59" s="138">
        <v>1.0</v>
      </c>
      <c r="Q59" s="138">
        <v>1.0</v>
      </c>
      <c r="R59" s="145"/>
      <c r="S59" s="145"/>
      <c r="T59" s="145"/>
      <c r="U59" s="2348" t="b">
        <v>0</v>
      </c>
      <c r="V59" s="2348" t="b">
        <v>1</v>
      </c>
    </row>
    <row r="60" outlineLevel="1">
      <c r="A60" s="146"/>
      <c r="B60" s="2349" t="s">
        <v>3646</v>
      </c>
      <c r="C60" s="156"/>
      <c r="D60" s="146"/>
      <c r="E60" s="365" t="s">
        <v>3647</v>
      </c>
      <c r="F60" s="138">
        <v>0.48</v>
      </c>
      <c r="G60" s="409"/>
      <c r="H60" s="212"/>
      <c r="J60" s="210"/>
      <c r="K60" s="282"/>
      <c r="L60" s="282"/>
      <c r="M60" s="363"/>
      <c r="N60" s="363"/>
      <c r="O60" s="138"/>
      <c r="P60" s="138"/>
      <c r="Q60" s="138"/>
      <c r="R60" s="145" t="b">
        <v>0</v>
      </c>
      <c r="S60" s="145" t="b">
        <v>0</v>
      </c>
      <c r="T60" s="145" t="b">
        <v>0</v>
      </c>
      <c r="U60" s="146"/>
      <c r="V60" s="146"/>
    </row>
    <row r="61" outlineLevel="1">
      <c r="A61" s="146"/>
      <c r="B61" s="777" t="s">
        <v>521</v>
      </c>
      <c r="C61" s="365" t="s">
        <v>173</v>
      </c>
      <c r="D61" s="156"/>
      <c r="E61" s="365" t="s">
        <v>3642</v>
      </c>
      <c r="F61" s="138" t="s">
        <v>3643</v>
      </c>
      <c r="G61" s="239" t="s">
        <v>3644</v>
      </c>
      <c r="H61" s="212"/>
      <c r="J61" s="210"/>
      <c r="K61" s="282"/>
      <c r="L61" s="282"/>
      <c r="M61" s="363"/>
      <c r="N61" s="363"/>
      <c r="O61" s="138"/>
      <c r="P61" s="138"/>
      <c r="Q61" s="138"/>
      <c r="R61" s="145" t="b">
        <v>0</v>
      </c>
      <c r="S61" s="145" t="b">
        <v>0</v>
      </c>
      <c r="T61" s="145" t="b">
        <v>0</v>
      </c>
      <c r="U61" s="146"/>
      <c r="V61" s="146"/>
    </row>
    <row r="62" outlineLevel="1">
      <c r="A62" s="146"/>
      <c r="B62" s="777" t="s">
        <v>3648</v>
      </c>
      <c r="C62" s="239" t="s">
        <v>3649</v>
      </c>
      <c r="D62" s="367" t="s">
        <v>3650</v>
      </c>
      <c r="E62" s="365" t="s">
        <v>3647</v>
      </c>
      <c r="F62" s="138">
        <v>0.48</v>
      </c>
      <c r="G62" s="239" t="s">
        <v>170</v>
      </c>
      <c r="H62" s="212"/>
      <c r="J62" s="210"/>
      <c r="K62" s="282"/>
      <c r="L62" s="282"/>
      <c r="M62" s="363"/>
      <c r="N62" s="363"/>
      <c r="O62" s="138"/>
      <c r="P62" s="138"/>
      <c r="Q62" s="138"/>
      <c r="R62" s="145" t="b">
        <v>0</v>
      </c>
      <c r="S62" s="145" t="b">
        <v>0</v>
      </c>
      <c r="T62" s="145" t="b">
        <v>0</v>
      </c>
      <c r="U62" s="146"/>
      <c r="V62" s="146"/>
    </row>
    <row r="63" outlineLevel="1">
      <c r="A63" s="156"/>
      <c r="B63" s="777" t="s">
        <v>3651</v>
      </c>
      <c r="C63" s="239" t="s">
        <v>3652</v>
      </c>
      <c r="D63" s="156"/>
      <c r="E63" s="365" t="s">
        <v>3647</v>
      </c>
      <c r="F63" s="138">
        <v>0.48</v>
      </c>
      <c r="G63" s="239" t="s">
        <v>170</v>
      </c>
      <c r="H63" s="212"/>
      <c r="J63" s="210"/>
      <c r="K63" s="282"/>
      <c r="L63" s="282"/>
      <c r="M63" s="363"/>
      <c r="N63" s="363"/>
      <c r="O63" s="138">
        <v>0.0</v>
      </c>
      <c r="P63" s="138">
        <v>1.0</v>
      </c>
      <c r="Q63" s="138">
        <v>1.0</v>
      </c>
      <c r="R63" s="145"/>
      <c r="S63" s="145"/>
      <c r="T63" s="145"/>
      <c r="U63" s="146"/>
      <c r="V63" s="146"/>
    </row>
    <row r="64" outlineLevel="1">
      <c r="A64" s="259" t="s">
        <v>332</v>
      </c>
      <c r="B64" s="777" t="s">
        <v>3653</v>
      </c>
      <c r="C64" s="367" t="s">
        <v>3654</v>
      </c>
      <c r="D64" s="239" t="s">
        <v>3655</v>
      </c>
      <c r="E64" s="367" t="s">
        <v>1858</v>
      </c>
      <c r="F64" s="394">
        <v>11.4</v>
      </c>
      <c r="G64" s="367" t="s">
        <v>275</v>
      </c>
      <c r="H64" s="212"/>
      <c r="J64" s="210"/>
      <c r="K64" s="282"/>
      <c r="L64" s="282"/>
      <c r="M64" s="363"/>
      <c r="N64" s="363"/>
      <c r="O64" s="138">
        <v>0.0</v>
      </c>
      <c r="P64" s="138">
        <v>1.0</v>
      </c>
      <c r="Q64" s="138">
        <v>1.0</v>
      </c>
      <c r="R64" s="145"/>
      <c r="S64" s="145"/>
      <c r="T64" s="145"/>
      <c r="U64" s="146"/>
      <c r="V64" s="146"/>
    </row>
    <row r="65" outlineLevel="1">
      <c r="A65" s="259" t="s">
        <v>344</v>
      </c>
      <c r="B65" s="777" t="s">
        <v>3653</v>
      </c>
      <c r="C65" s="156"/>
      <c r="D65" s="239" t="s">
        <v>3656</v>
      </c>
      <c r="E65" s="156"/>
      <c r="F65" s="156"/>
      <c r="G65" s="156"/>
      <c r="H65" s="106"/>
      <c r="I65" s="168"/>
      <c r="J65" s="107"/>
      <c r="K65" s="282"/>
      <c r="L65" s="282"/>
      <c r="M65" s="363"/>
      <c r="N65" s="363"/>
      <c r="O65" s="138">
        <v>0.0</v>
      </c>
      <c r="P65" s="138">
        <v>1.0</v>
      </c>
      <c r="Q65" s="138">
        <v>1.0</v>
      </c>
      <c r="R65" s="145"/>
      <c r="S65" s="145"/>
      <c r="T65" s="145"/>
      <c r="U65" s="156"/>
      <c r="V65" s="156"/>
    </row>
    <row r="66" outlineLevel="1">
      <c r="A66" s="230" t="s">
        <v>3657</v>
      </c>
      <c r="B66" s="109"/>
      <c r="C66" s="231" t="s">
        <v>48</v>
      </c>
      <c r="D66" s="231" t="s">
        <v>49</v>
      </c>
      <c r="E66" s="231" t="s">
        <v>50</v>
      </c>
      <c r="F66" s="235" t="s">
        <v>2313</v>
      </c>
      <c r="G66" s="231" t="s">
        <v>52</v>
      </c>
      <c r="H66" s="382"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outlineLevel="1">
      <c r="A67" s="383" t="s">
        <v>332</v>
      </c>
      <c r="B67" s="2350"/>
      <c r="C67" s="453" t="s">
        <v>3658</v>
      </c>
      <c r="D67" s="547" t="s">
        <v>993</v>
      </c>
      <c r="E67" s="453" t="s">
        <v>3659</v>
      </c>
      <c r="F67" s="1900" t="s">
        <v>3660</v>
      </c>
      <c r="G67" s="239" t="s">
        <v>3661</v>
      </c>
      <c r="H67" s="175" t="s">
        <v>3662</v>
      </c>
      <c r="I67" s="164"/>
      <c r="J67" s="104"/>
      <c r="K67" s="2351"/>
      <c r="L67" s="2351"/>
      <c r="M67" s="2352"/>
      <c r="N67" s="2352"/>
      <c r="O67" s="138">
        <v>0.0</v>
      </c>
      <c r="P67" s="138">
        <v>1.0</v>
      </c>
      <c r="Q67" s="138">
        <v>1.0</v>
      </c>
      <c r="R67" s="2352" t="b">
        <v>1</v>
      </c>
      <c r="S67" s="2352" t="b">
        <v>1</v>
      </c>
      <c r="T67" s="2352"/>
      <c r="U67" s="2353" t="b">
        <v>0</v>
      </c>
      <c r="V67" s="2354" t="b">
        <v>1</v>
      </c>
    </row>
    <row r="68" outlineLevel="1">
      <c r="A68" s="156"/>
      <c r="B68" s="2355" t="s">
        <v>3663</v>
      </c>
      <c r="C68" s="453" t="s">
        <v>3664</v>
      </c>
      <c r="D68" s="547" t="s">
        <v>1348</v>
      </c>
      <c r="E68" s="453" t="s">
        <v>3665</v>
      </c>
      <c r="F68" s="1900" t="s">
        <v>3666</v>
      </c>
      <c r="G68" s="239" t="s">
        <v>3667</v>
      </c>
      <c r="H68" s="212"/>
      <c r="J68" s="210"/>
      <c r="K68" s="2351"/>
      <c r="L68" s="2351"/>
      <c r="M68" s="2352"/>
      <c r="N68" s="2352"/>
      <c r="O68" s="138">
        <v>0.0</v>
      </c>
      <c r="P68" s="138">
        <v>1.0</v>
      </c>
      <c r="Q68" s="138">
        <v>1.0</v>
      </c>
      <c r="R68" s="2352" t="b">
        <v>1</v>
      </c>
      <c r="S68" s="2352" t="b">
        <v>1</v>
      </c>
      <c r="T68" s="2352"/>
      <c r="U68" s="146"/>
      <c r="V68" s="146"/>
    </row>
    <row r="69" outlineLevel="1">
      <c r="A69" s="383" t="s">
        <v>344</v>
      </c>
      <c r="B69" s="2350"/>
      <c r="C69" s="453" t="s">
        <v>3658</v>
      </c>
      <c r="D69" s="547" t="s">
        <v>993</v>
      </c>
      <c r="E69" s="453" t="s">
        <v>3668</v>
      </c>
      <c r="F69" s="1900" t="s">
        <v>3669</v>
      </c>
      <c r="G69" s="239" t="s">
        <v>3670</v>
      </c>
      <c r="H69" s="212"/>
      <c r="J69" s="210"/>
      <c r="K69" s="2351"/>
      <c r="L69" s="2351"/>
      <c r="M69" s="2352"/>
      <c r="N69" s="2352"/>
      <c r="O69" s="138">
        <v>0.0</v>
      </c>
      <c r="P69" s="138">
        <v>1.0</v>
      </c>
      <c r="Q69" s="138">
        <v>1.0</v>
      </c>
      <c r="R69" s="2352" t="b">
        <v>1</v>
      </c>
      <c r="S69" s="2352" t="b">
        <v>0</v>
      </c>
      <c r="T69" s="2352"/>
      <c r="U69" s="146"/>
      <c r="V69" s="146"/>
    </row>
    <row r="70" outlineLevel="1">
      <c r="A70" s="156"/>
      <c r="B70" s="2355" t="s">
        <v>3663</v>
      </c>
      <c r="C70" s="453" t="s">
        <v>3664</v>
      </c>
      <c r="D70" s="547" t="s">
        <v>1348</v>
      </c>
      <c r="E70" s="453" t="s">
        <v>3671</v>
      </c>
      <c r="F70" s="1900" t="s">
        <v>3672</v>
      </c>
      <c r="G70" s="239" t="s">
        <v>3673</v>
      </c>
      <c r="H70" s="106"/>
      <c r="I70" s="168"/>
      <c r="J70" s="107"/>
      <c r="K70" s="2351"/>
      <c r="L70" s="2351"/>
      <c r="M70" s="2352"/>
      <c r="N70" s="2352"/>
      <c r="O70" s="138">
        <v>0.0</v>
      </c>
      <c r="P70" s="138">
        <v>1.0</v>
      </c>
      <c r="Q70" s="138">
        <v>1.0</v>
      </c>
      <c r="R70" s="2352" t="b">
        <v>1</v>
      </c>
      <c r="S70" s="2352" t="b">
        <v>0</v>
      </c>
      <c r="T70" s="2352"/>
      <c r="U70" s="156"/>
      <c r="V70" s="156"/>
    </row>
    <row r="71" outlineLevel="1">
      <c r="A71" s="230" t="s">
        <v>3674</v>
      </c>
      <c r="B71" s="109"/>
      <c r="C71" s="231" t="s">
        <v>48</v>
      </c>
      <c r="D71" s="231" t="s">
        <v>49</v>
      </c>
      <c r="E71" s="231" t="s">
        <v>50</v>
      </c>
      <c r="F71" s="235" t="s">
        <v>51</v>
      </c>
      <c r="G71" s="231" t="s">
        <v>52</v>
      </c>
      <c r="H71" s="382" t="s">
        <v>53</v>
      </c>
      <c r="I71" s="110"/>
      <c r="J71" s="109"/>
      <c r="K71" s="235" t="str">
        <f>'テンプレート'!K75</f>
        <v>ベクトル</v>
      </c>
      <c r="L71" s="235" t="str">
        <f>'テンプレート'!L75</f>
        <v>KBG (R.E.)</v>
      </c>
      <c r="M71" s="235" t="str">
        <f>'テンプレート'!M75</f>
        <v>BKB (R.A.)</v>
      </c>
      <c r="N71" s="235" t="str">
        <f>'テンプレート'!N75</f>
        <v>FKB (R.F.)</v>
      </c>
      <c r="O71" s="236" t="str">
        <f>'テンプレート'!O75</f>
        <v>盾削り値</v>
      </c>
      <c r="P71" s="235" t="str">
        <f>'テンプレート'!P75</f>
        <v>ﾋｯﾄｽﾄｯﾌﾟ</v>
      </c>
      <c r="Q71" s="236" t="str">
        <f>'テンプレート'!Q75</f>
        <v>ずらし</v>
      </c>
      <c r="R71" s="235" t="str">
        <f>'テンプレート'!R75</f>
        <v>相殺</v>
      </c>
      <c r="S71" s="236" t="str">
        <f>'テンプレート'!S75</f>
        <v>相殺ﾓｰｼｮﾝ</v>
      </c>
      <c r="T71" s="236" t="str">
        <f>'テンプレート'!T75</f>
        <v>飛び道具</v>
      </c>
      <c r="U71" s="236" t="str">
        <f>'テンプレート'!U75</f>
        <v>慣性反転</v>
      </c>
      <c r="V71" s="236" t="str">
        <f>'テンプレート'!V75</f>
        <v>向き反転</v>
      </c>
    </row>
    <row r="72" outlineLevel="1">
      <c r="A72" s="237" t="s">
        <v>184</v>
      </c>
      <c r="B72" s="243" t="s">
        <v>3675</v>
      </c>
      <c r="C72" s="239" t="s">
        <v>1982</v>
      </c>
      <c r="D72" s="239" t="s">
        <v>3676</v>
      </c>
      <c r="E72" s="239" t="s">
        <v>176</v>
      </c>
      <c r="F72" s="138">
        <v>2.4</v>
      </c>
      <c r="G72" s="239" t="s">
        <v>60</v>
      </c>
      <c r="H72" s="175" t="s">
        <v>3677</v>
      </c>
      <c r="I72" s="164"/>
      <c r="J72" s="104"/>
      <c r="K72" s="282"/>
      <c r="L72" s="282"/>
      <c r="M72" s="363"/>
      <c r="N72" s="363"/>
      <c r="O72" s="138">
        <v>0.0</v>
      </c>
      <c r="P72" s="138">
        <v>1.0</v>
      </c>
      <c r="Q72" s="138">
        <v>1.0</v>
      </c>
      <c r="R72" s="145" t="b">
        <v>1</v>
      </c>
      <c r="S72" s="145" t="b">
        <v>1</v>
      </c>
      <c r="T72" s="145"/>
      <c r="U72" s="166" t="s">
        <v>186</v>
      </c>
      <c r="V72" s="166" t="b">
        <v>1</v>
      </c>
    </row>
    <row r="73" outlineLevel="1">
      <c r="A73" s="146"/>
      <c r="B73" s="243" t="s">
        <v>131</v>
      </c>
      <c r="C73" s="244" t="s">
        <v>717</v>
      </c>
      <c r="D73" s="367" t="s">
        <v>3678</v>
      </c>
      <c r="E73" s="365" t="s">
        <v>176</v>
      </c>
      <c r="F73" s="138">
        <v>2.4</v>
      </c>
      <c r="G73" s="239" t="s">
        <v>60</v>
      </c>
      <c r="H73" s="212"/>
      <c r="J73" s="210"/>
      <c r="K73" s="138"/>
      <c r="L73" s="138"/>
      <c r="M73" s="145"/>
      <c r="N73" s="145"/>
      <c r="O73" s="138">
        <v>0.0</v>
      </c>
      <c r="P73" s="138">
        <v>1.0</v>
      </c>
      <c r="Q73" s="138">
        <v>1.0</v>
      </c>
      <c r="R73" s="145"/>
      <c r="S73" s="145"/>
      <c r="T73" s="145"/>
      <c r="U73" s="146"/>
      <c r="V73" s="146"/>
    </row>
    <row r="74" outlineLevel="1">
      <c r="A74" s="146"/>
      <c r="B74" s="243" t="s">
        <v>434</v>
      </c>
      <c r="C74" s="367" t="s">
        <v>3679</v>
      </c>
      <c r="D74" s="146"/>
      <c r="E74" s="365" t="s">
        <v>176</v>
      </c>
      <c r="F74" s="138">
        <v>2.4</v>
      </c>
      <c r="G74" s="239" t="s">
        <v>60</v>
      </c>
      <c r="H74" s="212"/>
      <c r="J74" s="210"/>
      <c r="K74" s="138"/>
      <c r="L74" s="138"/>
      <c r="M74" s="145"/>
      <c r="N74" s="145"/>
      <c r="O74" s="138"/>
      <c r="P74" s="138"/>
      <c r="Q74" s="138"/>
      <c r="R74" s="145" t="b">
        <v>0</v>
      </c>
      <c r="S74" s="145" t="b">
        <v>0</v>
      </c>
      <c r="T74" s="145" t="b">
        <v>0</v>
      </c>
      <c r="U74" s="146"/>
      <c r="V74" s="146"/>
    </row>
    <row r="75" outlineLevel="1">
      <c r="A75" s="146"/>
      <c r="B75" s="243" t="s">
        <v>520</v>
      </c>
      <c r="C75" s="156"/>
      <c r="D75" s="146"/>
      <c r="E75" s="365" t="s">
        <v>176</v>
      </c>
      <c r="F75" s="138">
        <v>2.4</v>
      </c>
      <c r="G75" s="239" t="s">
        <v>60</v>
      </c>
      <c r="H75" s="212"/>
      <c r="J75" s="210"/>
      <c r="K75" s="138"/>
      <c r="L75" s="138"/>
      <c r="M75" s="145"/>
      <c r="N75" s="145"/>
      <c r="O75" s="138"/>
      <c r="P75" s="138"/>
      <c r="Q75" s="138"/>
      <c r="R75" s="145" t="b">
        <v>0</v>
      </c>
      <c r="S75" s="145" t="b">
        <v>0</v>
      </c>
      <c r="T75" s="145" t="b">
        <v>0</v>
      </c>
      <c r="U75" s="146"/>
      <c r="V75" s="146"/>
    </row>
    <row r="76" outlineLevel="1">
      <c r="A76" s="146"/>
      <c r="B76" s="243" t="s">
        <v>521</v>
      </c>
      <c r="C76" s="239" t="s">
        <v>228</v>
      </c>
      <c r="D76" s="146"/>
      <c r="E76" s="365" t="s">
        <v>176</v>
      </c>
      <c r="F76" s="138">
        <v>2.4</v>
      </c>
      <c r="G76" s="239" t="s">
        <v>60</v>
      </c>
      <c r="H76" s="212"/>
      <c r="J76" s="210"/>
      <c r="K76" s="138"/>
      <c r="L76" s="138"/>
      <c r="M76" s="145"/>
      <c r="N76" s="145"/>
      <c r="O76" s="138"/>
      <c r="P76" s="138"/>
      <c r="Q76" s="138"/>
      <c r="R76" s="145" t="b">
        <v>0</v>
      </c>
      <c r="S76" s="145" t="b">
        <v>0</v>
      </c>
      <c r="T76" s="145" t="b">
        <v>0</v>
      </c>
      <c r="U76" s="146"/>
      <c r="V76" s="146"/>
    </row>
    <row r="77" outlineLevel="1">
      <c r="A77" s="146"/>
      <c r="B77" s="243" t="s">
        <v>172</v>
      </c>
      <c r="C77" s="239" t="s">
        <v>561</v>
      </c>
      <c r="D77" s="146"/>
      <c r="E77" s="365" t="s">
        <v>176</v>
      </c>
      <c r="F77" s="138">
        <v>2.4</v>
      </c>
      <c r="G77" s="239" t="s">
        <v>60</v>
      </c>
      <c r="H77" s="212"/>
      <c r="J77" s="210"/>
      <c r="K77" s="138"/>
      <c r="L77" s="138"/>
      <c r="M77" s="145"/>
      <c r="N77" s="145"/>
      <c r="O77" s="138"/>
      <c r="P77" s="138"/>
      <c r="Q77" s="138"/>
      <c r="R77" s="145" t="b">
        <v>0</v>
      </c>
      <c r="S77" s="145" t="b">
        <v>0</v>
      </c>
      <c r="T77" s="145" t="b">
        <v>0</v>
      </c>
      <c r="U77" s="146"/>
      <c r="V77" s="146"/>
    </row>
    <row r="78" outlineLevel="1">
      <c r="A78" s="146"/>
      <c r="B78" s="243" t="s">
        <v>365</v>
      </c>
      <c r="C78" s="239" t="s">
        <v>653</v>
      </c>
      <c r="D78" s="146"/>
      <c r="E78" s="138">
        <v>1.5</v>
      </c>
      <c r="F78" s="239" t="s">
        <v>700</v>
      </c>
      <c r="G78" s="239" t="s">
        <v>60</v>
      </c>
      <c r="H78" s="212"/>
      <c r="J78" s="210"/>
      <c r="K78" s="138"/>
      <c r="L78" s="138"/>
      <c r="M78" s="145"/>
      <c r="N78" s="145"/>
      <c r="O78" s="138"/>
      <c r="P78" s="138"/>
      <c r="Q78" s="138"/>
      <c r="R78" s="145" t="b">
        <v>0</v>
      </c>
      <c r="S78" s="145" t="b">
        <v>0</v>
      </c>
      <c r="T78" s="145" t="b">
        <v>0</v>
      </c>
      <c r="U78" s="146"/>
      <c r="V78" s="146"/>
    </row>
    <row r="79" outlineLevel="1">
      <c r="A79" s="146"/>
      <c r="B79" s="243" t="s">
        <v>3680</v>
      </c>
      <c r="C79" s="239" t="s">
        <v>784</v>
      </c>
      <c r="D79" s="146"/>
      <c r="E79" s="365" t="s">
        <v>93</v>
      </c>
      <c r="F79" s="138">
        <v>8.4</v>
      </c>
      <c r="G79" s="239" t="s">
        <v>95</v>
      </c>
      <c r="H79" s="212"/>
      <c r="J79" s="210"/>
      <c r="K79" s="138"/>
      <c r="L79" s="138"/>
      <c r="M79" s="145"/>
      <c r="N79" s="145"/>
      <c r="O79" s="138"/>
      <c r="P79" s="138"/>
      <c r="Q79" s="138"/>
      <c r="R79" s="145" t="b">
        <v>0</v>
      </c>
      <c r="S79" s="145" t="b">
        <v>0</v>
      </c>
      <c r="T79" s="145" t="b">
        <v>0</v>
      </c>
      <c r="U79" s="146"/>
      <c r="V79" s="146"/>
    </row>
    <row r="80" outlineLevel="1">
      <c r="A80" s="156"/>
      <c r="B80" s="243" t="s">
        <v>3681</v>
      </c>
      <c r="C80" s="239" t="s">
        <v>380</v>
      </c>
      <c r="D80" s="156"/>
      <c r="E80" s="365" t="s">
        <v>93</v>
      </c>
      <c r="F80" s="138">
        <v>8.4</v>
      </c>
      <c r="G80" s="239" t="s">
        <v>95</v>
      </c>
      <c r="H80" s="106"/>
      <c r="I80" s="168"/>
      <c r="J80" s="107"/>
      <c r="K80" s="138"/>
      <c r="L80" s="138"/>
      <c r="M80" s="145"/>
      <c r="N80" s="145"/>
      <c r="O80" s="138">
        <v>0.0</v>
      </c>
      <c r="P80" s="138">
        <v>1.0</v>
      </c>
      <c r="Q80" s="138">
        <v>1.0</v>
      </c>
      <c r="R80" s="145"/>
      <c r="S80" s="145"/>
      <c r="T80" s="145"/>
      <c r="U80" s="156"/>
      <c r="V80" s="156"/>
    </row>
    <row r="81" outlineLevel="1">
      <c r="A81" s="230" t="s">
        <v>3682</v>
      </c>
      <c r="B81" s="109"/>
      <c r="C81" s="231" t="s">
        <v>48</v>
      </c>
      <c r="D81" s="231" t="s">
        <v>49</v>
      </c>
      <c r="E81" s="231" t="s">
        <v>50</v>
      </c>
      <c r="F81" s="235" t="s">
        <v>2313</v>
      </c>
      <c r="G81" s="231" t="s">
        <v>52</v>
      </c>
      <c r="H81" s="382" t="s">
        <v>53</v>
      </c>
      <c r="I81" s="110"/>
      <c r="J81" s="109"/>
      <c r="K81" s="235" t="s">
        <v>137</v>
      </c>
      <c r="L81" s="235" t="s">
        <v>138</v>
      </c>
      <c r="M81" s="235" t="s">
        <v>139</v>
      </c>
      <c r="N81" s="235" t="s">
        <v>140</v>
      </c>
      <c r="O81" s="236" t="s">
        <v>141</v>
      </c>
      <c r="P81" s="235" t="s">
        <v>142</v>
      </c>
      <c r="Q81" s="236" t="s">
        <v>143</v>
      </c>
      <c r="R81" s="235" t="s">
        <v>179</v>
      </c>
      <c r="S81" s="236" t="s">
        <v>180</v>
      </c>
      <c r="T81" s="236" t="s">
        <v>181</v>
      </c>
      <c r="U81" s="236" t="s">
        <v>182</v>
      </c>
      <c r="V81" s="236" t="s">
        <v>183</v>
      </c>
    </row>
    <row r="82" outlineLevel="1">
      <c r="A82" s="237" t="s">
        <v>184</v>
      </c>
      <c r="B82" s="243" t="s">
        <v>1147</v>
      </c>
      <c r="C82" s="239" t="s">
        <v>1315</v>
      </c>
      <c r="D82" s="239" t="s">
        <v>1160</v>
      </c>
      <c r="E82" s="239" t="s">
        <v>209</v>
      </c>
      <c r="F82" s="138">
        <v>0.0</v>
      </c>
      <c r="G82" s="409"/>
      <c r="H82" s="163" t="s">
        <v>3683</v>
      </c>
      <c r="I82" s="164"/>
      <c r="J82" s="104"/>
      <c r="K82" s="138"/>
      <c r="L82" s="138"/>
      <c r="M82" s="145"/>
      <c r="N82" s="145"/>
      <c r="O82" s="138">
        <v>0.0</v>
      </c>
      <c r="P82" s="138">
        <v>1.0</v>
      </c>
      <c r="Q82" s="138">
        <v>1.0</v>
      </c>
      <c r="R82" s="145"/>
      <c r="S82" s="145"/>
      <c r="T82" s="145"/>
      <c r="U82" s="166" t="s">
        <v>186</v>
      </c>
      <c r="V82" s="166" t="b">
        <v>1</v>
      </c>
    </row>
    <row r="83" outlineLevel="1">
      <c r="A83" s="146"/>
      <c r="B83" s="243" t="s">
        <v>1253</v>
      </c>
      <c r="C83" s="239" t="s">
        <v>213</v>
      </c>
      <c r="D83" s="239" t="s">
        <v>193</v>
      </c>
      <c r="E83" s="239" t="s">
        <v>228</v>
      </c>
      <c r="F83" s="138">
        <v>15.6</v>
      </c>
      <c r="G83" s="239" t="s">
        <v>407</v>
      </c>
      <c r="H83" s="212"/>
      <c r="J83" s="210"/>
      <c r="K83" s="138"/>
      <c r="L83" s="138"/>
      <c r="M83" s="145"/>
      <c r="N83" s="145"/>
      <c r="O83" s="138">
        <v>0.0</v>
      </c>
      <c r="P83" s="138">
        <v>1.0</v>
      </c>
      <c r="Q83" s="138">
        <v>1.0</v>
      </c>
      <c r="R83" s="145"/>
      <c r="S83" s="145"/>
      <c r="T83" s="145"/>
      <c r="U83" s="146"/>
      <c r="V83" s="146"/>
    </row>
    <row r="84" outlineLevel="1">
      <c r="A84" s="156"/>
      <c r="B84" s="243" t="s">
        <v>3684</v>
      </c>
      <c r="C84" s="409"/>
      <c r="D84" s="239" t="s">
        <v>394</v>
      </c>
      <c r="E84" s="409"/>
      <c r="F84" s="409"/>
      <c r="G84" s="409"/>
      <c r="H84" s="106"/>
      <c r="I84" s="168"/>
      <c r="J84" s="107"/>
      <c r="K84" s="138"/>
      <c r="L84" s="138"/>
      <c r="M84" s="145"/>
      <c r="N84" s="145"/>
      <c r="O84" s="138"/>
      <c r="P84" s="138"/>
      <c r="Q84" s="138"/>
      <c r="R84" s="145" t="b">
        <v>0</v>
      </c>
      <c r="S84" s="145" t="b">
        <v>0</v>
      </c>
      <c r="T84" s="145" t="b">
        <v>0</v>
      </c>
      <c r="U84" s="156"/>
      <c r="V84" s="156"/>
    </row>
    <row r="85" outlineLevel="1">
      <c r="A85" s="230" t="s">
        <v>3685</v>
      </c>
      <c r="B85" s="109"/>
      <c r="C85" s="231" t="s">
        <v>48</v>
      </c>
      <c r="D85" s="231" t="s">
        <v>49</v>
      </c>
      <c r="E85" s="231" t="s">
        <v>50</v>
      </c>
      <c r="F85" s="235" t="s">
        <v>2313</v>
      </c>
      <c r="G85" s="231" t="s">
        <v>52</v>
      </c>
      <c r="H85" s="382" t="s">
        <v>53</v>
      </c>
      <c r="I85" s="110"/>
      <c r="J85" s="109"/>
      <c r="K85" s="235" t="s">
        <v>137</v>
      </c>
      <c r="L85" s="235" t="s">
        <v>138</v>
      </c>
      <c r="M85" s="235" t="s">
        <v>139</v>
      </c>
      <c r="N85" s="235" t="s">
        <v>140</v>
      </c>
      <c r="O85" s="236" t="s">
        <v>141</v>
      </c>
      <c r="P85" s="235" t="s">
        <v>142</v>
      </c>
      <c r="Q85" s="236" t="s">
        <v>143</v>
      </c>
      <c r="R85" s="235" t="s">
        <v>179</v>
      </c>
      <c r="S85" s="236" t="s">
        <v>180</v>
      </c>
      <c r="T85" s="236" t="s">
        <v>181</v>
      </c>
      <c r="U85" s="236" t="s">
        <v>182</v>
      </c>
      <c r="V85" s="236" t="s">
        <v>183</v>
      </c>
    </row>
    <row r="86" outlineLevel="1">
      <c r="A86" s="237" t="s">
        <v>184</v>
      </c>
      <c r="B86" s="2355" t="s">
        <v>1933</v>
      </c>
      <c r="C86" s="137" t="s">
        <v>272</v>
      </c>
      <c r="D86" s="367" t="s">
        <v>455</v>
      </c>
      <c r="E86" s="137" t="s">
        <v>209</v>
      </c>
      <c r="F86" s="138">
        <v>0.0</v>
      </c>
      <c r="G86" s="409"/>
      <c r="H86" s="163" t="s">
        <v>3686</v>
      </c>
      <c r="I86" s="164"/>
      <c r="J86" s="104"/>
      <c r="K86" s="2351"/>
      <c r="L86" s="2351"/>
      <c r="M86" s="2352"/>
      <c r="N86" s="2352"/>
      <c r="O86" s="138">
        <v>0.0</v>
      </c>
      <c r="P86" s="138">
        <v>1.0</v>
      </c>
      <c r="Q86" s="138">
        <v>1.0</v>
      </c>
      <c r="R86" s="2352" t="b">
        <v>1</v>
      </c>
      <c r="S86" s="2352" t="b">
        <v>1</v>
      </c>
      <c r="T86" s="2352"/>
      <c r="U86" s="2356" t="s">
        <v>186</v>
      </c>
      <c r="V86" s="2353" t="b">
        <v>1</v>
      </c>
    </row>
    <row r="87" outlineLevel="1">
      <c r="A87" s="146"/>
      <c r="B87" s="2355" t="s">
        <v>215</v>
      </c>
      <c r="C87" s="137" t="s">
        <v>2777</v>
      </c>
      <c r="D87" s="156"/>
      <c r="E87" s="409"/>
      <c r="F87" s="409"/>
      <c r="G87" s="409"/>
      <c r="H87" s="212"/>
      <c r="J87" s="210"/>
      <c r="K87" s="2351"/>
      <c r="L87" s="2351"/>
      <c r="M87" s="2352"/>
      <c r="N87" s="2352"/>
      <c r="O87" s="138"/>
      <c r="P87" s="138"/>
      <c r="Q87" s="138"/>
      <c r="R87" s="2352" t="b">
        <v>0</v>
      </c>
      <c r="S87" s="2352" t="b">
        <v>0</v>
      </c>
      <c r="T87" s="2352" t="b">
        <v>0</v>
      </c>
      <c r="U87" s="146"/>
      <c r="V87" s="146"/>
    </row>
    <row r="88" outlineLevel="1">
      <c r="A88" s="146"/>
      <c r="B88" s="243" t="s">
        <v>3687</v>
      </c>
      <c r="C88" s="137" t="s">
        <v>2297</v>
      </c>
      <c r="D88" s="400"/>
      <c r="E88" s="137" t="s">
        <v>204</v>
      </c>
      <c r="F88" s="138">
        <v>3.5999999999999996</v>
      </c>
      <c r="G88" s="239" t="s">
        <v>147</v>
      </c>
      <c r="H88" s="212"/>
      <c r="J88" s="210"/>
      <c r="K88" s="2351"/>
      <c r="L88" s="2351"/>
      <c r="M88" s="2352"/>
      <c r="N88" s="2352"/>
      <c r="O88" s="138">
        <v>0.0</v>
      </c>
      <c r="P88" s="138">
        <v>1.0</v>
      </c>
      <c r="Q88" s="138">
        <v>1.0</v>
      </c>
      <c r="R88" s="2352" t="b">
        <v>1</v>
      </c>
      <c r="S88" s="2352" t="b">
        <v>1</v>
      </c>
      <c r="T88" s="2352"/>
      <c r="U88" s="146"/>
      <c r="V88" s="146"/>
    </row>
    <row r="89" outlineLevel="1">
      <c r="A89" s="146"/>
      <c r="B89" s="243" t="s">
        <v>3688</v>
      </c>
      <c r="C89" s="137" t="s">
        <v>3158</v>
      </c>
      <c r="D89" s="146"/>
      <c r="E89" s="137" t="s">
        <v>204</v>
      </c>
      <c r="F89" s="138">
        <v>3.5999999999999996</v>
      </c>
      <c r="G89" s="239" t="s">
        <v>147</v>
      </c>
      <c r="H89" s="212"/>
      <c r="J89" s="210"/>
      <c r="K89" s="2351"/>
      <c r="L89" s="2351"/>
      <c r="M89" s="2352"/>
      <c r="N89" s="2352"/>
      <c r="O89" s="138">
        <v>0.0</v>
      </c>
      <c r="P89" s="138">
        <v>1.0</v>
      </c>
      <c r="Q89" s="138">
        <v>1.0</v>
      </c>
      <c r="R89" s="2352" t="b">
        <v>1</v>
      </c>
      <c r="S89" s="2352" t="b">
        <v>1</v>
      </c>
      <c r="T89" s="2352"/>
      <c r="U89" s="146"/>
      <c r="V89" s="146"/>
    </row>
    <row r="90" outlineLevel="1">
      <c r="A90" s="146"/>
      <c r="B90" s="243" t="s">
        <v>3689</v>
      </c>
      <c r="C90" s="137" t="s">
        <v>3690</v>
      </c>
      <c r="D90" s="156"/>
      <c r="E90" s="137" t="s">
        <v>1438</v>
      </c>
      <c r="F90" s="138">
        <v>5.3999999999999995</v>
      </c>
      <c r="G90" s="239" t="s">
        <v>75</v>
      </c>
      <c r="H90" s="212"/>
      <c r="J90" s="210"/>
      <c r="K90" s="2351"/>
      <c r="L90" s="2351"/>
      <c r="M90" s="2352"/>
      <c r="N90" s="2352"/>
      <c r="O90" s="138">
        <v>0.0</v>
      </c>
      <c r="P90" s="138">
        <v>1.0</v>
      </c>
      <c r="Q90" s="138">
        <v>1.0</v>
      </c>
      <c r="R90" s="2352" t="b">
        <v>1</v>
      </c>
      <c r="S90" s="2352" t="b">
        <v>1</v>
      </c>
      <c r="T90" s="2352"/>
      <c r="U90" s="146"/>
      <c r="V90" s="146"/>
    </row>
    <row r="91" outlineLevel="1">
      <c r="A91" s="156"/>
      <c r="B91" s="243" t="s">
        <v>1342</v>
      </c>
      <c r="C91" s="137" t="s">
        <v>150</v>
      </c>
      <c r="D91" s="239" t="s">
        <v>164</v>
      </c>
      <c r="E91" s="137" t="s">
        <v>386</v>
      </c>
      <c r="F91" s="138">
        <v>18.0</v>
      </c>
      <c r="G91" s="239" t="s">
        <v>82</v>
      </c>
      <c r="H91" s="106"/>
      <c r="I91" s="168"/>
      <c r="J91" s="107"/>
      <c r="K91" s="2351"/>
      <c r="L91" s="2351"/>
      <c r="M91" s="2352"/>
      <c r="N91" s="2352"/>
      <c r="O91" s="138">
        <v>0.0</v>
      </c>
      <c r="P91" s="138">
        <v>1.0</v>
      </c>
      <c r="Q91" s="138">
        <v>1.0</v>
      </c>
      <c r="R91" s="2352" t="b">
        <v>1</v>
      </c>
      <c r="S91" s="2352" t="b">
        <v>1</v>
      </c>
      <c r="T91" s="2352"/>
      <c r="U91" s="156"/>
      <c r="V91" s="156"/>
    </row>
    <row r="92" outlineLevel="1">
      <c r="A92" s="230" t="s">
        <v>3691</v>
      </c>
      <c r="B92" s="109"/>
      <c r="C92" s="231" t="s">
        <v>48</v>
      </c>
      <c r="D92" s="231" t="s">
        <v>49</v>
      </c>
      <c r="E92" s="231" t="s">
        <v>50</v>
      </c>
      <c r="F92" s="235" t="s">
        <v>51</v>
      </c>
      <c r="G92" s="231" t="s">
        <v>52</v>
      </c>
      <c r="H92" s="382" t="s">
        <v>53</v>
      </c>
      <c r="I92" s="110"/>
      <c r="J92" s="109"/>
      <c r="K92" s="235" t="str">
        <f>'テンプレート'!K80</f>
        <v>ベクトル</v>
      </c>
      <c r="L92" s="235" t="str">
        <f>'テンプレート'!L80</f>
        <v>KBG (R.E.)</v>
      </c>
      <c r="M92" s="235" t="str">
        <f>'テンプレート'!M80</f>
        <v>BKB (R.A.)</v>
      </c>
      <c r="N92" s="235" t="str">
        <f>'テンプレート'!N80</f>
        <v>FKB (R.F.)</v>
      </c>
      <c r="O92" s="236" t="str">
        <f>'テンプレート'!O80</f>
        <v>盾削り値</v>
      </c>
      <c r="P92" s="235" t="str">
        <f>'テンプレート'!P80</f>
        <v>ﾋｯﾄｽﾄｯﾌﾟ</v>
      </c>
      <c r="Q92" s="236" t="str">
        <f>'テンプレート'!Q80</f>
        <v>ずらし</v>
      </c>
      <c r="R92" s="235" t="str">
        <f>'テンプレート'!R80</f>
        <v>相殺</v>
      </c>
      <c r="S92" s="236" t="str">
        <f>'テンプレート'!S80</f>
        <v>相殺ﾓｰｼｮﾝ</v>
      </c>
      <c r="T92" s="236" t="str">
        <f>'テンプレート'!T80</f>
        <v>飛び道具</v>
      </c>
      <c r="U92" s="236" t="str">
        <f>'テンプレート'!U80</f>
        <v>慣性反転</v>
      </c>
      <c r="V92" s="236" t="str">
        <f>'テンプレート'!V80</f>
        <v>向き反転</v>
      </c>
    </row>
    <row r="93" ht="18.75" customHeight="1" outlineLevel="1">
      <c r="A93" s="237" t="s">
        <v>184</v>
      </c>
      <c r="B93" s="624" t="s">
        <v>3692</v>
      </c>
      <c r="C93" s="239" t="s">
        <v>1208</v>
      </c>
      <c r="D93" s="409"/>
      <c r="E93" s="239" t="s">
        <v>73</v>
      </c>
      <c r="F93" s="138">
        <v>4.8</v>
      </c>
      <c r="G93" s="239" t="s">
        <v>75</v>
      </c>
      <c r="H93" s="163" t="s">
        <v>3693</v>
      </c>
      <c r="I93" s="164"/>
      <c r="J93" s="104"/>
      <c r="K93" s="138"/>
      <c r="L93" s="138"/>
      <c r="M93" s="145"/>
      <c r="N93" s="145"/>
      <c r="O93" s="138">
        <v>0.0</v>
      </c>
      <c r="P93" s="138">
        <v>1.0</v>
      </c>
      <c r="Q93" s="138">
        <v>1.0</v>
      </c>
      <c r="R93" s="145" t="b">
        <v>1</v>
      </c>
      <c r="S93" s="145" t="b">
        <v>1</v>
      </c>
      <c r="T93" s="145"/>
      <c r="U93" s="166" t="s">
        <v>186</v>
      </c>
      <c r="V93" s="166" t="b">
        <v>1</v>
      </c>
    </row>
    <row r="94" ht="18.75" customHeight="1" outlineLevel="1">
      <c r="A94" s="146"/>
      <c r="B94" s="624" t="s">
        <v>2569</v>
      </c>
      <c r="C94" s="367" t="s">
        <v>3694</v>
      </c>
      <c r="D94" s="409"/>
      <c r="E94" s="239" t="s">
        <v>86</v>
      </c>
      <c r="F94" s="138">
        <v>7.2</v>
      </c>
      <c r="G94" s="239" t="s">
        <v>102</v>
      </c>
      <c r="H94" s="212"/>
      <c r="J94" s="210"/>
      <c r="K94" s="138"/>
      <c r="L94" s="138"/>
      <c r="M94" s="145"/>
      <c r="N94" s="145"/>
      <c r="O94" s="138">
        <v>0.0</v>
      </c>
      <c r="P94" s="138">
        <v>1.0</v>
      </c>
      <c r="Q94" s="138">
        <v>1.0</v>
      </c>
      <c r="R94" s="145" t="b">
        <v>1</v>
      </c>
      <c r="S94" s="145" t="b">
        <v>1</v>
      </c>
      <c r="T94" s="145"/>
      <c r="U94" s="146"/>
      <c r="V94" s="146"/>
    </row>
    <row r="95" ht="18.75" customHeight="1" outlineLevel="1">
      <c r="A95" s="146"/>
      <c r="B95" s="624" t="s">
        <v>2571</v>
      </c>
      <c r="C95" s="156"/>
      <c r="D95" s="409"/>
      <c r="E95" s="239" t="s">
        <v>204</v>
      </c>
      <c r="F95" s="138">
        <v>3.5999999999999996</v>
      </c>
      <c r="G95" s="409"/>
      <c r="H95" s="212"/>
      <c r="J95" s="210"/>
      <c r="K95" s="138"/>
      <c r="L95" s="138"/>
      <c r="M95" s="145"/>
      <c r="N95" s="145"/>
      <c r="O95" s="138">
        <v>0.0</v>
      </c>
      <c r="P95" s="138">
        <v>1.0</v>
      </c>
      <c r="Q95" s="138">
        <v>1.0</v>
      </c>
      <c r="R95" s="145" t="b">
        <v>1</v>
      </c>
      <c r="S95" s="145" t="b">
        <v>1</v>
      </c>
      <c r="T95" s="145"/>
      <c r="U95" s="146"/>
      <c r="V95" s="146"/>
    </row>
    <row r="96" ht="18.75" customHeight="1" outlineLevel="1">
      <c r="A96" s="156"/>
      <c r="B96" s="624" t="s">
        <v>174</v>
      </c>
      <c r="C96" s="239" t="s">
        <v>175</v>
      </c>
      <c r="D96" s="239" t="s">
        <v>99</v>
      </c>
      <c r="E96" s="239" t="s">
        <v>73</v>
      </c>
      <c r="F96" s="138">
        <v>4.8</v>
      </c>
      <c r="G96" s="239" t="s">
        <v>75</v>
      </c>
      <c r="H96" s="106"/>
      <c r="I96" s="168"/>
      <c r="J96" s="107"/>
      <c r="K96" s="138"/>
      <c r="L96" s="138"/>
      <c r="M96" s="145"/>
      <c r="N96" s="145"/>
      <c r="O96" s="138">
        <v>0.0</v>
      </c>
      <c r="P96" s="138">
        <v>1.0</v>
      </c>
      <c r="Q96" s="138">
        <v>1.0</v>
      </c>
      <c r="R96" s="145" t="b">
        <v>1</v>
      </c>
      <c r="S96" s="145" t="b">
        <v>1</v>
      </c>
      <c r="T96" s="145"/>
      <c r="U96" s="156"/>
      <c r="V96" s="156"/>
    </row>
    <row r="97" outlineLevel="1">
      <c r="A97" s="230" t="s">
        <v>3695</v>
      </c>
      <c r="B97" s="109"/>
      <c r="C97" s="231" t="s">
        <v>48</v>
      </c>
      <c r="D97" s="231" t="s">
        <v>49</v>
      </c>
      <c r="E97" s="231" t="s">
        <v>50</v>
      </c>
      <c r="F97" s="235" t="s">
        <v>2313</v>
      </c>
      <c r="G97" s="231" t="s">
        <v>52</v>
      </c>
      <c r="H97" s="382" t="s">
        <v>53</v>
      </c>
      <c r="I97" s="110"/>
      <c r="J97" s="109"/>
      <c r="K97" s="235" t="s">
        <v>137</v>
      </c>
      <c r="L97" s="235" t="s">
        <v>138</v>
      </c>
      <c r="M97" s="235" t="s">
        <v>139</v>
      </c>
      <c r="N97" s="235" t="s">
        <v>140</v>
      </c>
      <c r="O97" s="236" t="s">
        <v>141</v>
      </c>
      <c r="P97" s="235" t="s">
        <v>142</v>
      </c>
      <c r="Q97" s="236" t="s">
        <v>143</v>
      </c>
      <c r="R97" s="235" t="s">
        <v>179</v>
      </c>
      <c r="S97" s="236" t="s">
        <v>180</v>
      </c>
      <c r="T97" s="236" t="s">
        <v>181</v>
      </c>
      <c r="U97" s="236" t="s">
        <v>182</v>
      </c>
      <c r="V97" s="236" t="s">
        <v>183</v>
      </c>
    </row>
    <row r="98" outlineLevel="1">
      <c r="A98" s="237" t="s">
        <v>184</v>
      </c>
      <c r="B98" s="624" t="s">
        <v>3696</v>
      </c>
      <c r="C98" s="239" t="s">
        <v>518</v>
      </c>
      <c r="D98" s="400"/>
      <c r="E98" s="239" t="s">
        <v>204</v>
      </c>
      <c r="F98" s="138">
        <v>3.5999999999999996</v>
      </c>
      <c r="G98" s="239" t="s">
        <v>147</v>
      </c>
      <c r="H98" s="283" t="s">
        <v>3697</v>
      </c>
      <c r="I98" s="164"/>
      <c r="J98" s="104"/>
      <c r="K98" s="138"/>
      <c r="L98" s="138"/>
      <c r="M98" s="145"/>
      <c r="N98" s="145"/>
      <c r="O98" s="138">
        <v>0.0</v>
      </c>
      <c r="P98" s="138">
        <v>1.0</v>
      </c>
      <c r="Q98" s="138">
        <v>1.0</v>
      </c>
      <c r="R98" s="145"/>
      <c r="S98" s="145"/>
      <c r="T98" s="145"/>
      <c r="U98" s="166" t="b">
        <v>0</v>
      </c>
      <c r="V98" s="166" t="b">
        <v>1</v>
      </c>
    </row>
    <row r="99" outlineLevel="1">
      <c r="A99" s="146"/>
      <c r="B99" s="624" t="s">
        <v>3698</v>
      </c>
      <c r="C99" s="239" t="s">
        <v>80</v>
      </c>
      <c r="D99" s="146"/>
      <c r="E99" s="239" t="s">
        <v>1024</v>
      </c>
      <c r="F99" s="138">
        <v>1.7999999999999998</v>
      </c>
      <c r="G99" s="239" t="s">
        <v>60</v>
      </c>
      <c r="H99" s="212"/>
      <c r="J99" s="210"/>
      <c r="K99" s="138"/>
      <c r="L99" s="138"/>
      <c r="M99" s="145"/>
      <c r="N99" s="145"/>
      <c r="O99" s="138">
        <v>0.0</v>
      </c>
      <c r="P99" s="138">
        <v>1.0</v>
      </c>
      <c r="Q99" s="138">
        <v>1.0</v>
      </c>
      <c r="R99" s="145"/>
      <c r="S99" s="145"/>
      <c r="T99" s="145"/>
      <c r="U99" s="146"/>
      <c r="V99" s="146"/>
    </row>
    <row r="100" outlineLevel="1">
      <c r="A100" s="146"/>
      <c r="B100" s="624" t="s">
        <v>131</v>
      </c>
      <c r="C100" s="239" t="s">
        <v>386</v>
      </c>
      <c r="D100" s="146"/>
      <c r="E100" s="239" t="s">
        <v>1024</v>
      </c>
      <c r="F100" s="138">
        <v>1.7999999999999998</v>
      </c>
      <c r="G100" s="239" t="s">
        <v>60</v>
      </c>
      <c r="H100" s="212"/>
      <c r="J100" s="210"/>
      <c r="K100" s="138"/>
      <c r="L100" s="138"/>
      <c r="M100" s="145"/>
      <c r="N100" s="145"/>
      <c r="O100" s="138">
        <v>0.0</v>
      </c>
      <c r="P100" s="138">
        <v>1.0</v>
      </c>
      <c r="Q100" s="138">
        <v>1.0</v>
      </c>
      <c r="R100" s="145"/>
      <c r="S100" s="145"/>
      <c r="T100" s="145"/>
      <c r="U100" s="146"/>
      <c r="V100" s="146"/>
    </row>
    <row r="101" outlineLevel="1">
      <c r="A101" s="146"/>
      <c r="B101" s="624" t="s">
        <v>434</v>
      </c>
      <c r="C101" s="239" t="s">
        <v>718</v>
      </c>
      <c r="D101" s="146"/>
      <c r="E101" s="239" t="s">
        <v>1024</v>
      </c>
      <c r="F101" s="138">
        <v>1.7999999999999998</v>
      </c>
      <c r="G101" s="239" t="s">
        <v>60</v>
      </c>
      <c r="H101" s="212"/>
      <c r="J101" s="210"/>
      <c r="K101" s="138"/>
      <c r="L101" s="138"/>
      <c r="M101" s="145"/>
      <c r="N101" s="145"/>
      <c r="O101" s="138">
        <v>0.0</v>
      </c>
      <c r="P101" s="138">
        <v>1.0</v>
      </c>
      <c r="Q101" s="138">
        <v>1.0</v>
      </c>
      <c r="R101" s="145"/>
      <c r="S101" s="145"/>
      <c r="T101" s="145"/>
      <c r="U101" s="146"/>
      <c r="V101" s="146"/>
    </row>
    <row r="102" outlineLevel="1">
      <c r="A102" s="146"/>
      <c r="B102" s="624" t="s">
        <v>520</v>
      </c>
      <c r="C102" s="239" t="s">
        <v>876</v>
      </c>
      <c r="D102" s="146"/>
      <c r="E102" s="239" t="s">
        <v>1024</v>
      </c>
      <c r="F102" s="138">
        <v>1.7999999999999998</v>
      </c>
      <c r="G102" s="239" t="s">
        <v>60</v>
      </c>
      <c r="H102" s="212"/>
      <c r="J102" s="210"/>
      <c r="K102" s="138"/>
      <c r="L102" s="138"/>
      <c r="M102" s="145"/>
      <c r="N102" s="145"/>
      <c r="O102" s="138">
        <v>0.0</v>
      </c>
      <c r="P102" s="138">
        <v>1.0</v>
      </c>
      <c r="Q102" s="138">
        <v>1.0</v>
      </c>
      <c r="R102" s="145"/>
      <c r="S102" s="145"/>
      <c r="T102" s="145"/>
      <c r="U102" s="146"/>
      <c r="V102" s="146"/>
    </row>
    <row r="103" outlineLevel="1">
      <c r="A103" s="146"/>
      <c r="B103" s="624" t="s">
        <v>521</v>
      </c>
      <c r="C103" s="239" t="s">
        <v>271</v>
      </c>
      <c r="D103" s="146"/>
      <c r="E103" s="239" t="s">
        <v>1024</v>
      </c>
      <c r="F103" s="138">
        <v>1.7999999999999998</v>
      </c>
      <c r="G103" s="239" t="s">
        <v>60</v>
      </c>
      <c r="H103" s="212"/>
      <c r="J103" s="210"/>
      <c r="K103" s="138"/>
      <c r="L103" s="138"/>
      <c r="M103" s="145"/>
      <c r="N103" s="145"/>
      <c r="O103" s="138">
        <v>0.0</v>
      </c>
      <c r="P103" s="138">
        <v>1.0</v>
      </c>
      <c r="Q103" s="138">
        <v>1.0</v>
      </c>
      <c r="R103" s="145"/>
      <c r="S103" s="145"/>
      <c r="T103" s="145"/>
      <c r="U103" s="146"/>
      <c r="V103" s="146"/>
    </row>
    <row r="104" outlineLevel="1">
      <c r="A104" s="156"/>
      <c r="B104" s="624" t="s">
        <v>172</v>
      </c>
      <c r="C104" s="239" t="s">
        <v>3456</v>
      </c>
      <c r="D104" s="156"/>
      <c r="E104" s="239" t="s">
        <v>86</v>
      </c>
      <c r="F104" s="138">
        <v>7.199999999999999</v>
      </c>
      <c r="G104" s="239" t="s">
        <v>102</v>
      </c>
      <c r="H104" s="106"/>
      <c r="I104" s="168"/>
      <c r="J104" s="107"/>
      <c r="K104" s="138"/>
      <c r="L104" s="138"/>
      <c r="M104" s="145"/>
      <c r="N104" s="145"/>
      <c r="O104" s="138">
        <v>0.0</v>
      </c>
      <c r="P104" s="138">
        <v>1.0</v>
      </c>
      <c r="Q104" s="138">
        <v>1.0</v>
      </c>
      <c r="R104" s="145"/>
      <c r="S104" s="145"/>
      <c r="T104" s="145"/>
      <c r="U104" s="156"/>
      <c r="V104" s="156"/>
    </row>
    <row r="105" outlineLevel="1">
      <c r="A105" s="230" t="s">
        <v>3699</v>
      </c>
      <c r="B105" s="109"/>
      <c r="C105" s="231" t="s">
        <v>48</v>
      </c>
      <c r="D105" s="231" t="s">
        <v>49</v>
      </c>
      <c r="E105" s="231" t="s">
        <v>50</v>
      </c>
      <c r="F105" s="235" t="s">
        <v>2313</v>
      </c>
      <c r="G105" s="231" t="s">
        <v>52</v>
      </c>
      <c r="H105" s="382" t="s">
        <v>53</v>
      </c>
      <c r="I105" s="110"/>
      <c r="J105" s="109"/>
      <c r="K105" s="235" t="s">
        <v>137</v>
      </c>
      <c r="L105" s="235" t="s">
        <v>138</v>
      </c>
      <c r="M105" s="235" t="s">
        <v>139</v>
      </c>
      <c r="N105" s="235" t="s">
        <v>140</v>
      </c>
      <c r="O105" s="236" t="s">
        <v>141</v>
      </c>
      <c r="P105" s="235" t="s">
        <v>142</v>
      </c>
      <c r="Q105" s="236" t="s">
        <v>143</v>
      </c>
      <c r="R105" s="235" t="s">
        <v>179</v>
      </c>
      <c r="S105" s="236" t="s">
        <v>180</v>
      </c>
      <c r="T105" s="236" t="s">
        <v>181</v>
      </c>
      <c r="U105" s="236" t="s">
        <v>182</v>
      </c>
      <c r="V105" s="236" t="s">
        <v>183</v>
      </c>
    </row>
    <row r="106" ht="37.5" customHeight="1" outlineLevel="1">
      <c r="A106" s="383" t="s">
        <v>184</v>
      </c>
      <c r="B106" s="624" t="s">
        <v>167</v>
      </c>
      <c r="C106" s="239" t="s">
        <v>3700</v>
      </c>
      <c r="D106" s="400"/>
      <c r="E106" s="239" t="s">
        <v>1375</v>
      </c>
      <c r="F106" s="138">
        <v>0.96</v>
      </c>
      <c r="G106" s="239" t="s">
        <v>170</v>
      </c>
      <c r="H106" s="283" t="s">
        <v>3701</v>
      </c>
      <c r="I106" s="164"/>
      <c r="J106" s="104"/>
      <c r="K106" s="138"/>
      <c r="L106" s="138"/>
      <c r="M106" s="145"/>
      <c r="N106" s="145"/>
      <c r="O106" s="138">
        <v>0.0</v>
      </c>
      <c r="P106" s="138">
        <v>1.0</v>
      </c>
      <c r="Q106" s="138">
        <v>1.0</v>
      </c>
      <c r="R106" s="145"/>
      <c r="S106" s="145"/>
      <c r="T106" s="145"/>
      <c r="U106" s="166" t="s">
        <v>198</v>
      </c>
      <c r="V106" s="166" t="b">
        <v>0</v>
      </c>
    </row>
    <row r="107" ht="23.25" customHeight="1" outlineLevel="1">
      <c r="A107" s="156"/>
      <c r="B107" s="624" t="s">
        <v>172</v>
      </c>
      <c r="C107" s="239" t="s">
        <v>351</v>
      </c>
      <c r="D107" s="156"/>
      <c r="E107" s="239" t="s">
        <v>274</v>
      </c>
      <c r="F107" s="138">
        <v>10.799999999999999</v>
      </c>
      <c r="G107" s="239" t="s">
        <v>275</v>
      </c>
      <c r="H107" s="106"/>
      <c r="I107" s="168"/>
      <c r="J107" s="107"/>
      <c r="K107" s="138"/>
      <c r="L107" s="138"/>
      <c r="M107" s="145"/>
      <c r="N107" s="145"/>
      <c r="O107" s="138">
        <v>0.0</v>
      </c>
      <c r="P107" s="138">
        <v>1.0</v>
      </c>
      <c r="Q107" s="138">
        <v>1.0</v>
      </c>
      <c r="R107" s="145"/>
      <c r="S107" s="145"/>
      <c r="T107" s="145"/>
      <c r="U107" s="156"/>
      <c r="V107" s="156"/>
    </row>
    <row r="108" outlineLevel="1">
      <c r="A108" s="230" t="s">
        <v>3702</v>
      </c>
      <c r="B108" s="109"/>
      <c r="C108" s="231" t="s">
        <v>48</v>
      </c>
      <c r="D108" s="231" t="s">
        <v>49</v>
      </c>
      <c r="E108" s="231" t="s">
        <v>50</v>
      </c>
      <c r="F108" s="235" t="s">
        <v>51</v>
      </c>
      <c r="G108" s="231" t="s">
        <v>52</v>
      </c>
      <c r="H108" s="382" t="s">
        <v>53</v>
      </c>
      <c r="I108" s="110"/>
      <c r="J108" s="109"/>
      <c r="K108" s="235" t="str">
        <f>'テンプレート'!K85</f>
        <v>ベクトル</v>
      </c>
      <c r="L108" s="235" t="str">
        <f>'テンプレート'!L85</f>
        <v>KBG (R.E.)</v>
      </c>
      <c r="M108" s="235" t="str">
        <f>'テンプレート'!M85</f>
        <v>BKB (R.A.)</v>
      </c>
      <c r="N108" s="235" t="str">
        <f>'テンプレート'!N85</f>
        <v>FKB (R.F.)</v>
      </c>
      <c r="O108" s="236" t="str">
        <f>'テンプレート'!O85</f>
        <v>盾削り値</v>
      </c>
      <c r="P108" s="235" t="str">
        <f>'テンプレート'!P85</f>
        <v>ﾋｯﾄｽﾄｯﾌﾟ</v>
      </c>
      <c r="Q108" s="236" t="str">
        <f>'テンプレート'!Q85</f>
        <v>ずらし</v>
      </c>
      <c r="R108" s="235" t="str">
        <f>'テンプレート'!R85</f>
        <v>相殺</v>
      </c>
      <c r="S108" s="236" t="str">
        <f>'テンプレート'!S85</f>
        <v>相殺ﾓｰｼｮﾝ</v>
      </c>
      <c r="T108" s="236" t="str">
        <f>'テンプレート'!T85</f>
        <v>飛び道具</v>
      </c>
      <c r="U108" s="236" t="str">
        <f>'テンプレート'!U85</f>
        <v>慣性反転</v>
      </c>
      <c r="V108" s="236" t="str">
        <f>'テンプレート'!V85</f>
        <v>向き反転</v>
      </c>
    </row>
    <row r="109" outlineLevel="1">
      <c r="A109" s="383" t="s">
        <v>332</v>
      </c>
      <c r="B109" s="249" t="s">
        <v>152</v>
      </c>
      <c r="C109" s="137" t="s">
        <v>80</v>
      </c>
      <c r="D109" s="2043" t="s">
        <v>3703</v>
      </c>
      <c r="E109" s="137" t="s">
        <v>86</v>
      </c>
      <c r="F109" s="251">
        <v>7.199999999999999</v>
      </c>
      <c r="G109" s="239" t="s">
        <v>102</v>
      </c>
      <c r="H109" s="2357" t="s">
        <v>3704</v>
      </c>
      <c r="I109" s="164"/>
      <c r="J109" s="104"/>
      <c r="K109" s="138"/>
      <c r="L109" s="138"/>
      <c r="M109" s="145"/>
      <c r="N109" s="145"/>
      <c r="O109" s="138">
        <v>0.0</v>
      </c>
      <c r="P109" s="138">
        <v>1.0</v>
      </c>
      <c r="Q109" s="138">
        <v>1.0</v>
      </c>
      <c r="R109" s="145" t="b">
        <v>1</v>
      </c>
      <c r="S109" s="145" t="b">
        <v>1</v>
      </c>
      <c r="T109" s="145"/>
      <c r="U109" s="166" t="b">
        <v>0</v>
      </c>
      <c r="V109" s="166" t="b">
        <v>0</v>
      </c>
    </row>
    <row r="110" outlineLevel="1">
      <c r="A110" s="146"/>
      <c r="B110" s="249" t="s">
        <v>3705</v>
      </c>
      <c r="C110" s="137" t="s">
        <v>835</v>
      </c>
      <c r="D110" s="146"/>
      <c r="E110" s="137" t="s">
        <v>86</v>
      </c>
      <c r="F110" s="251">
        <v>7.199999999999999</v>
      </c>
      <c r="G110" s="239" t="s">
        <v>102</v>
      </c>
      <c r="H110" s="212"/>
      <c r="J110" s="210"/>
      <c r="K110" s="138"/>
      <c r="L110" s="138"/>
      <c r="M110" s="145"/>
      <c r="N110" s="145"/>
      <c r="O110" s="138"/>
      <c r="P110" s="138"/>
      <c r="Q110" s="138"/>
      <c r="R110" s="145" t="b">
        <v>0</v>
      </c>
      <c r="S110" s="145" t="b">
        <v>0</v>
      </c>
      <c r="T110" s="145" t="b">
        <v>0</v>
      </c>
      <c r="U110" s="146"/>
      <c r="V110" s="146"/>
    </row>
    <row r="111" outlineLevel="1">
      <c r="A111" s="146"/>
      <c r="B111" s="249" t="s">
        <v>3706</v>
      </c>
      <c r="C111" s="137" t="s">
        <v>1128</v>
      </c>
      <c r="D111" s="146"/>
      <c r="E111" s="137" t="s">
        <v>86</v>
      </c>
      <c r="F111" s="251">
        <v>7.199999999999999</v>
      </c>
      <c r="G111" s="239" t="s">
        <v>102</v>
      </c>
      <c r="H111" s="212"/>
      <c r="J111" s="210"/>
      <c r="K111" s="138"/>
      <c r="L111" s="138"/>
      <c r="M111" s="145"/>
      <c r="N111" s="145"/>
      <c r="O111" s="138"/>
      <c r="P111" s="138"/>
      <c r="Q111" s="138"/>
      <c r="R111" s="145" t="b">
        <v>0</v>
      </c>
      <c r="S111" s="145" t="b">
        <v>0</v>
      </c>
      <c r="T111" s="145" t="b">
        <v>0</v>
      </c>
      <c r="U111" s="146"/>
      <c r="V111" s="146"/>
    </row>
    <row r="112" outlineLevel="1">
      <c r="A112" s="146"/>
      <c r="B112" s="249" t="s">
        <v>3707</v>
      </c>
      <c r="C112" s="137" t="s">
        <v>3708</v>
      </c>
      <c r="D112" s="146"/>
      <c r="E112" s="137" t="s">
        <v>153</v>
      </c>
      <c r="F112" s="251">
        <v>19.2</v>
      </c>
      <c r="G112" s="239" t="s">
        <v>82</v>
      </c>
      <c r="H112" s="212"/>
      <c r="J112" s="210"/>
      <c r="K112" s="138"/>
      <c r="L112" s="138"/>
      <c r="M112" s="145"/>
      <c r="N112" s="145"/>
      <c r="O112" s="138">
        <v>0.0</v>
      </c>
      <c r="P112" s="138">
        <v>1.0</v>
      </c>
      <c r="Q112" s="138">
        <v>1.0</v>
      </c>
      <c r="R112" s="145" t="b">
        <v>1</v>
      </c>
      <c r="S112" s="145" t="b">
        <v>1</v>
      </c>
      <c r="T112" s="145"/>
      <c r="U112" s="146"/>
      <c r="V112" s="146"/>
    </row>
    <row r="113" outlineLevel="1">
      <c r="A113" s="146"/>
      <c r="B113" s="249" t="s">
        <v>3709</v>
      </c>
      <c r="C113" s="137" t="s">
        <v>3710</v>
      </c>
      <c r="D113" s="146"/>
      <c r="E113" s="137" t="s">
        <v>213</v>
      </c>
      <c r="F113" s="251">
        <v>1.2</v>
      </c>
      <c r="G113" s="2358"/>
      <c r="H113" s="212"/>
      <c r="J113" s="210"/>
      <c r="K113" s="138"/>
      <c r="L113" s="138"/>
      <c r="M113" s="145"/>
      <c r="N113" s="145"/>
      <c r="O113" s="138"/>
      <c r="P113" s="138"/>
      <c r="Q113" s="138"/>
      <c r="R113" s="145" t="b">
        <v>0</v>
      </c>
      <c r="S113" s="145" t="b">
        <v>0</v>
      </c>
      <c r="T113" s="145" t="b">
        <v>0</v>
      </c>
      <c r="U113" s="146"/>
      <c r="V113" s="146"/>
    </row>
    <row r="114" outlineLevel="1">
      <c r="A114" s="146"/>
      <c r="B114" s="249" t="s">
        <v>3711</v>
      </c>
      <c r="C114" s="137" t="s">
        <v>3712</v>
      </c>
      <c r="D114" s="146"/>
      <c r="E114" s="137" t="s">
        <v>213</v>
      </c>
      <c r="F114" s="251">
        <v>1.2</v>
      </c>
      <c r="G114" s="2358"/>
      <c r="H114" s="212"/>
      <c r="J114" s="210"/>
      <c r="K114" s="138"/>
      <c r="L114" s="138"/>
      <c r="M114" s="145"/>
      <c r="N114" s="145"/>
      <c r="O114" s="138"/>
      <c r="P114" s="138"/>
      <c r="Q114" s="138"/>
      <c r="R114" s="145" t="b">
        <v>0</v>
      </c>
      <c r="S114" s="145" t="b">
        <v>0</v>
      </c>
      <c r="T114" s="145" t="b">
        <v>0</v>
      </c>
      <c r="U114" s="146"/>
      <c r="V114" s="146"/>
    </row>
    <row r="115" outlineLevel="1">
      <c r="A115" s="156"/>
      <c r="B115" s="249" t="s">
        <v>3713</v>
      </c>
      <c r="C115" s="137" t="s">
        <v>3714</v>
      </c>
      <c r="D115" s="156"/>
      <c r="E115" s="137" t="s">
        <v>213</v>
      </c>
      <c r="F115" s="251">
        <v>1.2</v>
      </c>
      <c r="G115" s="2358"/>
      <c r="H115" s="212"/>
      <c r="J115" s="210"/>
      <c r="K115" s="138"/>
      <c r="L115" s="138"/>
      <c r="M115" s="145"/>
      <c r="N115" s="145"/>
      <c r="O115" s="138">
        <v>0.0</v>
      </c>
      <c r="P115" s="138">
        <v>1.0</v>
      </c>
      <c r="Q115" s="138">
        <v>1.0</v>
      </c>
      <c r="R115" s="145" t="b">
        <v>1</v>
      </c>
      <c r="S115" s="145" t="b">
        <v>1</v>
      </c>
      <c r="T115" s="145"/>
      <c r="U115" s="146"/>
      <c r="V115" s="146"/>
    </row>
    <row r="116" outlineLevel="1">
      <c r="A116" s="383" t="s">
        <v>344</v>
      </c>
      <c r="B116" s="249" t="s">
        <v>3707</v>
      </c>
      <c r="C116" s="137" t="s">
        <v>3715</v>
      </c>
      <c r="D116" s="2359"/>
      <c r="E116" s="137" t="s">
        <v>153</v>
      </c>
      <c r="F116" s="251">
        <v>19.2</v>
      </c>
      <c r="G116" s="239" t="s">
        <v>82</v>
      </c>
      <c r="H116" s="212"/>
      <c r="J116" s="210"/>
      <c r="K116" s="138"/>
      <c r="L116" s="138"/>
      <c r="M116" s="145"/>
      <c r="N116" s="145"/>
      <c r="O116" s="138">
        <v>0.0</v>
      </c>
      <c r="P116" s="138">
        <v>1.0</v>
      </c>
      <c r="Q116" s="138">
        <v>1.0</v>
      </c>
      <c r="R116" s="145" t="b">
        <v>1</v>
      </c>
      <c r="S116" s="145" t="b">
        <v>1</v>
      </c>
      <c r="T116" s="145"/>
      <c r="U116" s="146"/>
      <c r="V116" s="146"/>
    </row>
    <row r="117" outlineLevel="1">
      <c r="A117" s="146"/>
      <c r="B117" s="249" t="s">
        <v>3709</v>
      </c>
      <c r="C117" s="137" t="s">
        <v>3716</v>
      </c>
      <c r="D117" s="2359"/>
      <c r="E117" s="137" t="s">
        <v>213</v>
      </c>
      <c r="F117" s="251">
        <v>1.2</v>
      </c>
      <c r="G117" s="239" t="s">
        <v>170</v>
      </c>
      <c r="H117" s="212"/>
      <c r="J117" s="210"/>
      <c r="K117" s="138"/>
      <c r="L117" s="138"/>
      <c r="M117" s="145"/>
      <c r="N117" s="145"/>
      <c r="O117" s="138"/>
      <c r="P117" s="138"/>
      <c r="Q117" s="138"/>
      <c r="R117" s="145" t="b">
        <v>0</v>
      </c>
      <c r="S117" s="145" t="b">
        <v>0</v>
      </c>
      <c r="T117" s="145" t="b">
        <v>0</v>
      </c>
      <c r="U117" s="146"/>
      <c r="V117" s="146"/>
    </row>
    <row r="118" outlineLevel="1">
      <c r="A118" s="146"/>
      <c r="B118" s="249" t="s">
        <v>3711</v>
      </c>
      <c r="C118" s="137" t="s">
        <v>3717</v>
      </c>
      <c r="D118" s="2359"/>
      <c r="E118" s="137" t="s">
        <v>213</v>
      </c>
      <c r="F118" s="251">
        <v>1.2</v>
      </c>
      <c r="G118" s="239" t="s">
        <v>170</v>
      </c>
      <c r="H118" s="212"/>
      <c r="J118" s="210"/>
      <c r="K118" s="138"/>
      <c r="L118" s="138"/>
      <c r="M118" s="145"/>
      <c r="N118" s="145"/>
      <c r="O118" s="138"/>
      <c r="P118" s="138"/>
      <c r="Q118" s="138"/>
      <c r="R118" s="145" t="b">
        <v>0</v>
      </c>
      <c r="S118" s="145" t="b">
        <v>0</v>
      </c>
      <c r="T118" s="145" t="b">
        <v>0</v>
      </c>
      <c r="U118" s="146"/>
      <c r="V118" s="146"/>
    </row>
    <row r="119" outlineLevel="1">
      <c r="A119" s="156"/>
      <c r="B119" s="249" t="s">
        <v>3713</v>
      </c>
      <c r="C119" s="137" t="s">
        <v>3718</v>
      </c>
      <c r="D119" s="2359"/>
      <c r="E119" s="137" t="s">
        <v>213</v>
      </c>
      <c r="F119" s="251">
        <v>1.2</v>
      </c>
      <c r="G119" s="239" t="s">
        <v>170</v>
      </c>
      <c r="H119" s="212"/>
      <c r="J119" s="210"/>
      <c r="K119" s="138"/>
      <c r="L119" s="138"/>
      <c r="M119" s="145"/>
      <c r="N119" s="145"/>
      <c r="O119" s="138">
        <v>0.0</v>
      </c>
      <c r="P119" s="138">
        <v>1.0</v>
      </c>
      <c r="Q119" s="138">
        <v>1.0</v>
      </c>
      <c r="R119" s="145" t="b">
        <v>1</v>
      </c>
      <c r="S119" s="145" t="b">
        <v>1</v>
      </c>
      <c r="T119" s="145"/>
      <c r="U119" s="146"/>
      <c r="V119" s="146"/>
    </row>
    <row r="120" outlineLevel="1">
      <c r="A120" s="1770" t="s">
        <v>184</v>
      </c>
      <c r="B120" s="405" t="s">
        <v>174</v>
      </c>
      <c r="C120" s="137" t="s">
        <v>880</v>
      </c>
      <c r="D120" s="137" t="s">
        <v>810</v>
      </c>
      <c r="E120" s="137" t="s">
        <v>119</v>
      </c>
      <c r="F120" s="251">
        <v>16.8</v>
      </c>
      <c r="G120" s="239" t="s">
        <v>297</v>
      </c>
      <c r="H120" s="106"/>
      <c r="I120" s="168"/>
      <c r="J120" s="107"/>
      <c r="K120" s="138"/>
      <c r="L120" s="138"/>
      <c r="M120" s="145"/>
      <c r="N120" s="145"/>
      <c r="O120" s="138">
        <v>0.0</v>
      </c>
      <c r="P120" s="138">
        <v>1.0</v>
      </c>
      <c r="Q120" s="138">
        <v>1.0</v>
      </c>
      <c r="R120" s="145" t="b">
        <v>1</v>
      </c>
      <c r="S120" s="145" t="b">
        <v>1</v>
      </c>
      <c r="T120" s="145"/>
      <c r="U120" s="156"/>
      <c r="V120" s="156"/>
    </row>
    <row r="121" outlineLevel="1">
      <c r="A121" s="230" t="s">
        <v>3719</v>
      </c>
      <c r="B121" s="109"/>
      <c r="C121" s="231" t="s">
        <v>48</v>
      </c>
      <c r="D121" s="231" t="s">
        <v>49</v>
      </c>
      <c r="E121" s="231" t="s">
        <v>50</v>
      </c>
      <c r="F121" s="235" t="s">
        <v>2313</v>
      </c>
      <c r="G121" s="231" t="s">
        <v>52</v>
      </c>
      <c r="H121" s="382" t="s">
        <v>53</v>
      </c>
      <c r="I121" s="110"/>
      <c r="J121" s="109"/>
      <c r="K121" s="235" t="s">
        <v>137</v>
      </c>
      <c r="L121" s="235" t="s">
        <v>138</v>
      </c>
      <c r="M121" s="235" t="s">
        <v>139</v>
      </c>
      <c r="N121" s="235" t="s">
        <v>140</v>
      </c>
      <c r="O121" s="236" t="s">
        <v>141</v>
      </c>
      <c r="P121" s="235" t="s">
        <v>142</v>
      </c>
      <c r="Q121" s="236" t="s">
        <v>143</v>
      </c>
      <c r="R121" s="235" t="s">
        <v>179</v>
      </c>
      <c r="S121" s="236" t="s">
        <v>180</v>
      </c>
      <c r="T121" s="236" t="s">
        <v>181</v>
      </c>
      <c r="U121" s="236" t="s">
        <v>182</v>
      </c>
      <c r="V121" s="236" t="s">
        <v>183</v>
      </c>
    </row>
    <row r="122" ht="20.25" customHeight="1" outlineLevel="1">
      <c r="A122" s="383" t="s">
        <v>184</v>
      </c>
      <c r="B122" s="405" t="s">
        <v>398</v>
      </c>
      <c r="C122" s="2359"/>
      <c r="D122" s="137" t="s">
        <v>402</v>
      </c>
      <c r="E122" s="2359"/>
      <c r="F122" s="2358"/>
      <c r="G122" s="2358"/>
      <c r="H122" s="2360" t="s">
        <v>3720</v>
      </c>
      <c r="I122" s="164"/>
      <c r="J122" s="104"/>
      <c r="K122" s="2359"/>
      <c r="L122" s="2359"/>
      <c r="M122" s="2359"/>
      <c r="N122" s="2359"/>
      <c r="O122" s="2359"/>
      <c r="P122" s="2359"/>
      <c r="Q122" s="2359"/>
      <c r="R122" s="2359"/>
      <c r="S122" s="2359"/>
      <c r="T122" s="2359"/>
      <c r="U122" s="166" t="s">
        <v>186</v>
      </c>
      <c r="V122" s="166" t="b">
        <v>1</v>
      </c>
    </row>
    <row r="123" ht="20.25" customHeight="1" outlineLevel="1">
      <c r="A123" s="146"/>
      <c r="B123" s="405" t="s">
        <v>2360</v>
      </c>
      <c r="C123" s="2043" t="s">
        <v>3258</v>
      </c>
      <c r="D123" s="2043" t="s">
        <v>634</v>
      </c>
      <c r="E123" s="2043" t="s">
        <v>128</v>
      </c>
      <c r="F123" s="2361">
        <v>12.0</v>
      </c>
      <c r="G123" s="367" t="s">
        <v>121</v>
      </c>
      <c r="H123" s="212"/>
      <c r="J123" s="210"/>
      <c r="K123" s="138"/>
      <c r="L123" s="138"/>
      <c r="M123" s="145"/>
      <c r="N123" s="145"/>
      <c r="O123" s="138">
        <v>0.0</v>
      </c>
      <c r="P123" s="138">
        <v>1.0</v>
      </c>
      <c r="Q123" s="138">
        <v>1.0</v>
      </c>
      <c r="R123" s="145"/>
      <c r="S123" s="145"/>
      <c r="T123" s="145"/>
      <c r="U123" s="146"/>
      <c r="V123" s="146"/>
    </row>
    <row r="124" ht="20.25" customHeight="1" outlineLevel="1">
      <c r="A124" s="146"/>
      <c r="B124" s="405" t="s">
        <v>2361</v>
      </c>
      <c r="C124" s="156"/>
      <c r="D124" s="156"/>
      <c r="E124" s="156"/>
      <c r="F124" s="156"/>
      <c r="G124" s="156"/>
      <c r="H124" s="212"/>
      <c r="J124" s="210"/>
      <c r="K124" s="138"/>
      <c r="L124" s="138"/>
      <c r="M124" s="145"/>
      <c r="N124" s="145"/>
      <c r="O124" s="138">
        <v>0.0</v>
      </c>
      <c r="P124" s="138">
        <v>1.0</v>
      </c>
      <c r="Q124" s="138">
        <v>1.0</v>
      </c>
      <c r="R124" s="145"/>
      <c r="S124" s="145"/>
      <c r="T124" s="145"/>
      <c r="U124" s="146"/>
      <c r="V124" s="146"/>
    </row>
    <row r="125" ht="20.25" customHeight="1" outlineLevel="1">
      <c r="A125" s="146"/>
      <c r="B125" s="249" t="s">
        <v>3721</v>
      </c>
      <c r="C125" s="2043" t="s">
        <v>3722</v>
      </c>
      <c r="D125" s="2043" t="s">
        <v>876</v>
      </c>
      <c r="E125" s="2043" t="s">
        <v>93</v>
      </c>
      <c r="F125" s="2361">
        <v>8.4</v>
      </c>
      <c r="G125" s="367" t="s">
        <v>95</v>
      </c>
      <c r="H125" s="212"/>
      <c r="J125" s="210"/>
      <c r="K125" s="138"/>
      <c r="L125" s="138"/>
      <c r="M125" s="145"/>
      <c r="N125" s="145"/>
      <c r="O125" s="138">
        <v>0.0</v>
      </c>
      <c r="P125" s="138">
        <v>1.0</v>
      </c>
      <c r="Q125" s="138">
        <v>1.0</v>
      </c>
      <c r="R125" s="145"/>
      <c r="S125" s="145"/>
      <c r="T125" s="145"/>
      <c r="U125" s="146"/>
      <c r="V125" s="146"/>
    </row>
    <row r="126" ht="20.25" customHeight="1" outlineLevel="1">
      <c r="A126" s="156"/>
      <c r="B126" s="249" t="s">
        <v>3723</v>
      </c>
      <c r="C126" s="156"/>
      <c r="D126" s="156"/>
      <c r="E126" s="156"/>
      <c r="F126" s="156"/>
      <c r="G126" s="156"/>
      <c r="H126" s="106"/>
      <c r="I126" s="168"/>
      <c r="J126" s="107"/>
      <c r="K126" s="138"/>
      <c r="L126" s="138"/>
      <c r="M126" s="145"/>
      <c r="N126" s="145"/>
      <c r="O126" s="138">
        <v>0.0</v>
      </c>
      <c r="P126" s="138">
        <v>1.0</v>
      </c>
      <c r="Q126" s="138">
        <v>1.0</v>
      </c>
      <c r="R126" s="145"/>
      <c r="S126" s="145"/>
      <c r="T126" s="145"/>
      <c r="U126" s="156"/>
      <c r="V126" s="156"/>
    </row>
    <row r="127" outlineLevel="1">
      <c r="A127" s="230" t="s">
        <v>3724</v>
      </c>
      <c r="B127" s="109"/>
      <c r="C127" s="231" t="s">
        <v>48</v>
      </c>
      <c r="D127" s="231" t="s">
        <v>49</v>
      </c>
      <c r="E127" s="231" t="s">
        <v>50</v>
      </c>
      <c r="F127" s="235" t="s">
        <v>2313</v>
      </c>
      <c r="G127" s="231" t="s">
        <v>52</v>
      </c>
      <c r="H127" s="382" t="s">
        <v>53</v>
      </c>
      <c r="I127" s="110"/>
      <c r="J127" s="109"/>
      <c r="K127" s="235" t="s">
        <v>137</v>
      </c>
      <c r="L127" s="235" t="s">
        <v>138</v>
      </c>
      <c r="M127" s="235" t="s">
        <v>139</v>
      </c>
      <c r="N127" s="235" t="s">
        <v>140</v>
      </c>
      <c r="O127" s="236" t="s">
        <v>141</v>
      </c>
      <c r="P127" s="235" t="s">
        <v>142</v>
      </c>
      <c r="Q127" s="236" t="s">
        <v>143</v>
      </c>
      <c r="R127" s="235" t="s">
        <v>179</v>
      </c>
      <c r="S127" s="236" t="s">
        <v>180</v>
      </c>
      <c r="T127" s="236" t="s">
        <v>181</v>
      </c>
      <c r="U127" s="236" t="s">
        <v>182</v>
      </c>
      <c r="V127" s="236" t="s">
        <v>183</v>
      </c>
    </row>
    <row r="128" outlineLevel="1">
      <c r="A128" s="237" t="s">
        <v>184</v>
      </c>
      <c r="B128" s="249" t="s">
        <v>1837</v>
      </c>
      <c r="C128" s="239" t="s">
        <v>3725</v>
      </c>
      <c r="D128" s="113" t="s">
        <v>282</v>
      </c>
      <c r="E128" s="2359"/>
      <c r="F128" s="2359"/>
      <c r="G128" s="2359"/>
      <c r="H128" s="151" t="s">
        <v>3726</v>
      </c>
      <c r="I128" s="110"/>
      <c r="J128" s="109"/>
      <c r="K128" s="2359"/>
      <c r="L128" s="2359"/>
      <c r="M128" s="2359"/>
      <c r="N128" s="2359"/>
      <c r="O128" s="2359"/>
      <c r="P128" s="2359"/>
      <c r="Q128" s="2359"/>
      <c r="R128" s="2359"/>
      <c r="S128" s="2359"/>
      <c r="T128" s="2359"/>
      <c r="U128" s="166" t="b">
        <v>0</v>
      </c>
      <c r="V128" s="166" t="b">
        <v>0</v>
      </c>
    </row>
    <row r="129" outlineLevel="1">
      <c r="A129" s="146"/>
      <c r="B129" s="407" t="s">
        <v>215</v>
      </c>
      <c r="C129" s="239" t="s">
        <v>717</v>
      </c>
      <c r="D129" s="113" t="s">
        <v>118</v>
      </c>
      <c r="E129" s="2359"/>
      <c r="F129" s="2359"/>
      <c r="G129" s="2359"/>
      <c r="H129" s="151" t="s">
        <v>3727</v>
      </c>
      <c r="I129" s="110"/>
      <c r="J129" s="109"/>
      <c r="K129" s="2359"/>
      <c r="L129" s="2359"/>
      <c r="M129" s="2359"/>
      <c r="N129" s="2359"/>
      <c r="O129" s="2359"/>
      <c r="P129" s="2359"/>
      <c r="Q129" s="2359"/>
      <c r="R129" s="2359"/>
      <c r="S129" s="2359"/>
      <c r="T129" s="2359"/>
      <c r="U129" s="146"/>
      <c r="V129" s="146"/>
    </row>
    <row r="130" ht="37.5" customHeight="1" outlineLevel="1">
      <c r="A130" s="146"/>
      <c r="B130" s="2362" t="s">
        <v>3728</v>
      </c>
      <c r="C130" s="239" t="s">
        <v>325</v>
      </c>
      <c r="D130" s="279" t="s">
        <v>413</v>
      </c>
      <c r="E130" s="239" t="s">
        <v>274</v>
      </c>
      <c r="F130" s="2363">
        <v>10.8</v>
      </c>
      <c r="G130" s="239" t="s">
        <v>275</v>
      </c>
      <c r="H130" s="163" t="s">
        <v>3729</v>
      </c>
      <c r="I130" s="164"/>
      <c r="J130" s="104"/>
      <c r="K130" s="138"/>
      <c r="L130" s="138"/>
      <c r="M130" s="145"/>
      <c r="N130" s="145"/>
      <c r="O130" s="138">
        <v>0.0</v>
      </c>
      <c r="P130" s="138">
        <v>1.0</v>
      </c>
      <c r="Q130" s="138">
        <v>1.0</v>
      </c>
      <c r="R130" s="145"/>
      <c r="S130" s="145"/>
      <c r="T130" s="145"/>
      <c r="U130" s="146"/>
      <c r="V130" s="146"/>
    </row>
    <row r="131" ht="37.5" customHeight="1" outlineLevel="1">
      <c r="A131" s="156"/>
      <c r="B131" s="249" t="s">
        <v>225</v>
      </c>
      <c r="C131" s="239" t="s">
        <v>466</v>
      </c>
      <c r="D131" s="156"/>
      <c r="E131" s="239" t="s">
        <v>3730</v>
      </c>
      <c r="F131" s="2363" t="s">
        <v>3731</v>
      </c>
      <c r="G131" s="2359"/>
      <c r="H131" s="106"/>
      <c r="I131" s="168"/>
      <c r="J131" s="107"/>
      <c r="K131" s="138"/>
      <c r="L131" s="138"/>
      <c r="M131" s="145"/>
      <c r="N131" s="145"/>
      <c r="O131" s="138"/>
      <c r="P131" s="138"/>
      <c r="Q131" s="138"/>
      <c r="R131" s="145" t="b">
        <v>0</v>
      </c>
      <c r="S131" s="145" t="b">
        <v>0</v>
      </c>
      <c r="T131" s="145" t="b">
        <v>0</v>
      </c>
      <c r="U131" s="156"/>
      <c r="V131" s="156"/>
    </row>
    <row r="132">
      <c r="A132" s="223"/>
      <c r="B132" s="224"/>
      <c r="C132" s="225"/>
      <c r="D132" s="225"/>
      <c r="E132" s="226"/>
      <c r="F132" s="226"/>
      <c r="G132" s="226"/>
      <c r="H132" s="227"/>
      <c r="I132" s="227"/>
      <c r="J132" s="228"/>
      <c r="K132" s="228"/>
      <c r="L132" s="228"/>
      <c r="M132" s="228"/>
      <c r="N132" s="228"/>
      <c r="O132" s="228"/>
      <c r="P132" s="228"/>
      <c r="Q132" s="118"/>
      <c r="R132" s="118"/>
      <c r="S132" s="118"/>
      <c r="T132" s="118"/>
      <c r="U132" s="118"/>
      <c r="V132" s="118"/>
    </row>
    <row r="133">
      <c r="A133" s="264" t="s">
        <v>211</v>
      </c>
      <c r="B133" s="104"/>
      <c r="C133" s="227"/>
      <c r="D133" s="227"/>
      <c r="E133" s="228"/>
      <c r="F133" s="265"/>
      <c r="G133" s="265"/>
      <c r="H133" s="228"/>
      <c r="I133" s="228"/>
      <c r="J133" s="228"/>
      <c r="K133" s="228"/>
      <c r="L133" s="228"/>
      <c r="M133" s="228"/>
      <c r="N133" s="118"/>
      <c r="O133" s="118"/>
      <c r="P133" s="118"/>
      <c r="Q133" s="228"/>
      <c r="R133" s="228"/>
      <c r="S133" s="228"/>
      <c r="T133" s="228"/>
      <c r="U133" s="228"/>
      <c r="V133" s="228"/>
    </row>
    <row r="134" outlineLevel="1">
      <c r="A134" s="106"/>
      <c r="B134" s="107"/>
      <c r="C134" s="266" t="s">
        <v>48</v>
      </c>
      <c r="D134" s="266" t="s">
        <v>49</v>
      </c>
      <c r="E134" s="266" t="s">
        <v>50</v>
      </c>
      <c r="F134" s="267" t="s">
        <v>51</v>
      </c>
      <c r="G134" s="227"/>
      <c r="H134" s="227"/>
      <c r="I134" s="227"/>
      <c r="J134" s="228"/>
      <c r="K134" s="228"/>
      <c r="L134" s="228"/>
      <c r="M134" s="228"/>
      <c r="N134" s="228"/>
      <c r="O134" s="228"/>
      <c r="P134" s="228"/>
      <c r="Q134" s="228"/>
      <c r="R134" s="228"/>
      <c r="S134" s="228"/>
      <c r="T134" s="228"/>
      <c r="U134" s="228"/>
      <c r="V134" s="228"/>
    </row>
    <row r="135" outlineLevel="1">
      <c r="A135" s="268" t="s">
        <v>212</v>
      </c>
      <c r="B135" s="269" t="s">
        <v>212</v>
      </c>
      <c r="C135" s="239" t="s">
        <v>213</v>
      </c>
      <c r="D135" s="239" t="s">
        <v>86</v>
      </c>
      <c r="E135" s="239" t="s">
        <v>214</v>
      </c>
      <c r="F135" s="138">
        <v>1.56</v>
      </c>
      <c r="G135" s="227"/>
      <c r="H135" s="227"/>
      <c r="I135" s="227"/>
      <c r="J135" s="228"/>
      <c r="K135" s="228"/>
      <c r="L135" s="228"/>
      <c r="M135" s="228"/>
      <c r="N135" s="228"/>
      <c r="O135" s="228"/>
      <c r="P135" s="228"/>
      <c r="Q135" s="228"/>
      <c r="R135" s="228"/>
      <c r="S135" s="228"/>
      <c r="T135" s="228"/>
      <c r="U135" s="228"/>
      <c r="V135" s="228"/>
    </row>
    <row r="136" outlineLevel="1">
      <c r="A136" s="270" t="s">
        <v>215</v>
      </c>
      <c r="B136" s="269" t="s">
        <v>216</v>
      </c>
      <c r="C136" s="239" t="s">
        <v>217</v>
      </c>
      <c r="D136" s="239" t="s">
        <v>218</v>
      </c>
      <c r="E136" s="271"/>
      <c r="F136" s="272"/>
      <c r="G136" s="272"/>
      <c r="H136" s="227"/>
      <c r="I136" s="227"/>
      <c r="J136" s="228"/>
      <c r="K136" s="228"/>
      <c r="L136" s="228"/>
      <c r="M136" s="228"/>
      <c r="N136" s="228"/>
      <c r="O136" s="228"/>
      <c r="P136" s="228"/>
      <c r="Q136" s="228"/>
      <c r="R136" s="228"/>
      <c r="S136" s="228"/>
      <c r="T136" s="228"/>
      <c r="U136" s="228"/>
      <c r="V136" s="228"/>
    </row>
    <row r="137" outlineLevel="1">
      <c r="A137" s="212"/>
      <c r="B137" s="269" t="s">
        <v>219</v>
      </c>
      <c r="C137" s="239" t="s">
        <v>220</v>
      </c>
      <c r="D137" s="239" t="s">
        <v>221</v>
      </c>
      <c r="E137" s="271"/>
      <c r="F137" s="272"/>
      <c r="G137" s="272"/>
      <c r="H137" s="227"/>
      <c r="I137" s="227"/>
      <c r="J137" s="228"/>
      <c r="K137" s="228"/>
      <c r="L137" s="228"/>
      <c r="M137" s="228"/>
      <c r="N137" s="228"/>
      <c r="O137" s="228"/>
      <c r="P137" s="228"/>
      <c r="Q137" s="228"/>
      <c r="R137" s="228"/>
      <c r="S137" s="228"/>
      <c r="T137" s="228"/>
      <c r="U137" s="228"/>
      <c r="V137" s="228"/>
    </row>
    <row r="138" outlineLevel="1">
      <c r="A138" s="106"/>
      <c r="B138" s="269" t="s">
        <v>222</v>
      </c>
      <c r="C138" s="239" t="s">
        <v>223</v>
      </c>
      <c r="D138" s="239" t="s">
        <v>79</v>
      </c>
      <c r="E138" s="227"/>
      <c r="F138" s="272"/>
      <c r="G138" s="272"/>
      <c r="H138" s="227"/>
      <c r="I138" s="227"/>
      <c r="J138" s="228"/>
      <c r="K138" s="228"/>
      <c r="L138" s="228"/>
      <c r="M138" s="228"/>
      <c r="N138" s="228"/>
      <c r="O138" s="228"/>
      <c r="P138" s="228"/>
      <c r="Q138" s="228"/>
      <c r="R138" s="228"/>
      <c r="S138" s="228"/>
      <c r="T138" s="228"/>
      <c r="U138" s="228"/>
      <c r="V138" s="228"/>
    </row>
    <row r="139" outlineLevel="1">
      <c r="A139" s="273" t="s">
        <v>225</v>
      </c>
      <c r="B139" s="109"/>
      <c r="C139" s="266" t="s">
        <v>48</v>
      </c>
      <c r="D139" s="266" t="s">
        <v>49</v>
      </c>
      <c r="E139" s="266" t="s">
        <v>50</v>
      </c>
      <c r="F139" s="267" t="s">
        <v>51</v>
      </c>
      <c r="G139" s="274" t="s">
        <v>53</v>
      </c>
      <c r="H139" s="110"/>
      <c r="I139" s="110"/>
      <c r="J139" s="109"/>
      <c r="K139" s="275" t="str">
        <f>'テンプレート'!K97</f>
        <v>ベクトル</v>
      </c>
      <c r="L139" s="275" t="str">
        <f>'テンプレート'!L97</f>
        <v>KBG (R.E.)</v>
      </c>
      <c r="M139" s="275" t="str">
        <f>'テンプレート'!M97</f>
        <v>BKB (R.A.)</v>
      </c>
      <c r="N139" s="275" t="str">
        <f>'テンプレート'!N97</f>
        <v>FKB (R.F.)</v>
      </c>
      <c r="O139" s="276" t="str">
        <f>'テンプレート'!O97</f>
        <v>盾削り値</v>
      </c>
      <c r="P139" s="275" t="str">
        <f>'テンプレート'!P97</f>
        <v>ﾋｯﾄｽﾄｯﾌﾟ</v>
      </c>
      <c r="Q139" s="276" t="str">
        <f>'テンプレート'!Q97</f>
        <v>ずらし</v>
      </c>
      <c r="R139" s="277"/>
      <c r="S139" s="277"/>
      <c r="T139" s="277"/>
      <c r="U139" s="277"/>
      <c r="V139" s="277"/>
    </row>
    <row r="140" outlineLevel="1">
      <c r="A140" s="278" t="s">
        <v>226</v>
      </c>
      <c r="B140" s="269" t="s">
        <v>227</v>
      </c>
      <c r="C140" s="261"/>
      <c r="D140" s="279">
        <v>37.0</v>
      </c>
      <c r="E140" s="553"/>
      <c r="F140" s="553"/>
      <c r="G140" s="413" t="s">
        <v>3732</v>
      </c>
      <c r="H140" s="164"/>
      <c r="I140" s="164"/>
      <c r="J140" s="104"/>
      <c r="K140" s="261"/>
      <c r="L140" s="261"/>
      <c r="M140" s="261"/>
      <c r="N140" s="261"/>
      <c r="O140" s="261"/>
      <c r="P140" s="261"/>
      <c r="Q140" s="261"/>
      <c r="R140" s="277"/>
      <c r="S140" s="228"/>
      <c r="T140" s="228"/>
      <c r="U140" s="228"/>
      <c r="V140" s="228"/>
    </row>
    <row r="141" outlineLevel="1">
      <c r="A141" s="156"/>
      <c r="B141" s="269" t="s">
        <v>225</v>
      </c>
      <c r="C141" s="239" t="s">
        <v>119</v>
      </c>
      <c r="D141" s="156"/>
      <c r="E141" s="239" t="s">
        <v>274</v>
      </c>
      <c r="F141" s="138">
        <v>10.799999999999999</v>
      </c>
      <c r="G141" s="106"/>
      <c r="H141" s="168"/>
      <c r="I141" s="168"/>
      <c r="J141" s="107"/>
      <c r="K141" s="282"/>
      <c r="L141" s="282"/>
      <c r="M141" s="363"/>
      <c r="N141" s="363"/>
      <c r="O141" s="261"/>
      <c r="P141" s="261"/>
      <c r="Q141" s="261"/>
      <c r="R141" s="277"/>
      <c r="S141" s="228"/>
      <c r="T141" s="228"/>
      <c r="U141" s="228"/>
      <c r="V141" s="228"/>
    </row>
    <row r="142" outlineLevel="1">
      <c r="A142" s="278" t="s">
        <v>229</v>
      </c>
      <c r="B142" s="269" t="s">
        <v>227</v>
      </c>
      <c r="C142" s="113" t="s">
        <v>220</v>
      </c>
      <c r="D142" s="279">
        <v>42.0</v>
      </c>
      <c r="E142" s="239" t="s">
        <v>73</v>
      </c>
      <c r="F142" s="138">
        <v>4.8</v>
      </c>
      <c r="G142" s="416"/>
      <c r="H142" s="164"/>
      <c r="I142" s="164"/>
      <c r="J142" s="104"/>
      <c r="K142" s="282"/>
      <c r="L142" s="282"/>
      <c r="M142" s="363"/>
      <c r="N142" s="363"/>
      <c r="O142" s="145">
        <v>0.0</v>
      </c>
      <c r="P142" s="145">
        <v>1.0</v>
      </c>
      <c r="Q142" s="145">
        <v>1.0</v>
      </c>
      <c r="R142" s="277"/>
      <c r="S142" s="228"/>
      <c r="T142" s="228"/>
      <c r="U142" s="228"/>
      <c r="V142" s="228"/>
    </row>
    <row r="143" outlineLevel="1">
      <c r="A143" s="156"/>
      <c r="B143" s="269" t="s">
        <v>225</v>
      </c>
      <c r="C143" s="113">
        <v>11.0</v>
      </c>
      <c r="D143" s="156"/>
      <c r="E143" s="239" t="s">
        <v>150</v>
      </c>
      <c r="F143" s="138">
        <v>6.0</v>
      </c>
      <c r="G143" s="106"/>
      <c r="H143" s="168"/>
      <c r="I143" s="168"/>
      <c r="J143" s="107"/>
      <c r="K143" s="282"/>
      <c r="L143" s="282"/>
      <c r="M143" s="363"/>
      <c r="N143" s="363"/>
      <c r="O143" s="261"/>
      <c r="P143" s="261"/>
      <c r="Q143" s="261"/>
      <c r="R143" s="277"/>
      <c r="S143" s="228"/>
      <c r="T143" s="228"/>
      <c r="U143" s="228"/>
      <c r="V143" s="228"/>
    </row>
    <row r="144" outlineLevel="1">
      <c r="A144" s="278" t="s">
        <v>233</v>
      </c>
      <c r="B144" s="269" t="s">
        <v>227</v>
      </c>
      <c r="C144" s="261"/>
      <c r="D144" s="279">
        <v>39.0</v>
      </c>
      <c r="E144" s="261"/>
      <c r="F144" s="261"/>
      <c r="G144" s="413" t="s">
        <v>3733</v>
      </c>
      <c r="H144" s="164"/>
      <c r="I144" s="164"/>
      <c r="J144" s="104"/>
      <c r="K144" s="261"/>
      <c r="L144" s="261"/>
      <c r="M144" s="261"/>
      <c r="N144" s="261"/>
      <c r="O144" s="261"/>
      <c r="P144" s="261"/>
      <c r="Q144" s="261"/>
      <c r="R144" s="277"/>
      <c r="S144" s="228"/>
      <c r="T144" s="228"/>
      <c r="U144" s="228"/>
      <c r="V144" s="228"/>
    </row>
    <row r="145" outlineLevel="1">
      <c r="A145" s="156"/>
      <c r="B145" s="269" t="s">
        <v>225</v>
      </c>
      <c r="C145" s="239" t="s">
        <v>153</v>
      </c>
      <c r="D145" s="156"/>
      <c r="E145" s="239" t="s">
        <v>232</v>
      </c>
      <c r="F145" s="138">
        <v>13.2</v>
      </c>
      <c r="G145" s="106"/>
      <c r="H145" s="168"/>
      <c r="I145" s="168"/>
      <c r="J145" s="107"/>
      <c r="K145" s="282"/>
      <c r="L145" s="282"/>
      <c r="M145" s="363"/>
      <c r="N145" s="363"/>
      <c r="O145" s="261"/>
      <c r="P145" s="261"/>
      <c r="Q145" s="261"/>
      <c r="R145" s="277"/>
      <c r="S145" s="117"/>
      <c r="T145" s="117"/>
      <c r="U145" s="117"/>
      <c r="V145" s="117"/>
    </row>
    <row r="146" outlineLevel="1">
      <c r="A146" s="278" t="s">
        <v>234</v>
      </c>
      <c r="B146" s="269" t="s">
        <v>227</v>
      </c>
      <c r="C146" s="113" t="s">
        <v>653</v>
      </c>
      <c r="D146" s="279">
        <v>35.0</v>
      </c>
      <c r="E146" s="239" t="s">
        <v>176</v>
      </c>
      <c r="F146" s="138">
        <v>2.4</v>
      </c>
      <c r="G146" s="416"/>
      <c r="H146" s="164"/>
      <c r="I146" s="164"/>
      <c r="J146" s="104"/>
      <c r="K146" s="282"/>
      <c r="L146" s="282"/>
      <c r="M146" s="363"/>
      <c r="N146" s="363"/>
      <c r="O146" s="145">
        <v>0.0</v>
      </c>
      <c r="P146" s="145">
        <v>1.0</v>
      </c>
      <c r="Q146" s="145">
        <v>1.0</v>
      </c>
      <c r="R146" s="277"/>
      <c r="S146" s="117"/>
      <c r="T146" s="117"/>
      <c r="U146" s="117"/>
      <c r="V146" s="117"/>
    </row>
    <row r="147" outlineLevel="1">
      <c r="A147" s="156"/>
      <c r="B147" s="269" t="s">
        <v>225</v>
      </c>
      <c r="C147" s="113">
        <v>20.0</v>
      </c>
      <c r="D147" s="156"/>
      <c r="E147" s="239" t="s">
        <v>73</v>
      </c>
      <c r="F147" s="138">
        <v>4.8</v>
      </c>
      <c r="G147" s="106"/>
      <c r="H147" s="168"/>
      <c r="I147" s="168"/>
      <c r="J147" s="107"/>
      <c r="K147" s="282"/>
      <c r="L147" s="282"/>
      <c r="M147" s="363"/>
      <c r="N147" s="363"/>
      <c r="O147" s="261"/>
      <c r="P147" s="261"/>
      <c r="Q147" s="261"/>
      <c r="R147" s="277"/>
      <c r="S147" s="117"/>
      <c r="T147" s="117"/>
      <c r="U147" s="117"/>
      <c r="V147" s="117"/>
    </row>
    <row r="148">
      <c r="A148" s="223"/>
      <c r="B148" s="224"/>
      <c r="C148" s="225"/>
      <c r="D148" s="225"/>
      <c r="E148" s="227"/>
      <c r="F148" s="177"/>
      <c r="G148" s="177"/>
      <c r="H148" s="227"/>
      <c r="I148" s="227"/>
      <c r="J148" s="228"/>
      <c r="K148" s="228"/>
      <c r="L148" s="111"/>
      <c r="M148" s="111"/>
      <c r="N148" s="111"/>
      <c r="O148" s="117"/>
      <c r="P148" s="117"/>
      <c r="Q148" s="111"/>
      <c r="R148" s="111"/>
      <c r="S148" s="111"/>
      <c r="T148" s="111"/>
      <c r="U148" s="111"/>
      <c r="V148" s="111"/>
    </row>
    <row r="149">
      <c r="A149" s="284" t="s">
        <v>241</v>
      </c>
      <c r="B149" s="104"/>
      <c r="C149" s="265"/>
      <c r="D149" s="111"/>
      <c r="E149" s="111"/>
      <c r="F149" s="111"/>
      <c r="G149" s="111"/>
      <c r="H149" s="111"/>
      <c r="I149" s="111"/>
      <c r="J149" s="118"/>
      <c r="K149" s="111"/>
      <c r="L149" s="111"/>
      <c r="M149" s="111"/>
      <c r="N149" s="111"/>
      <c r="O149" s="111"/>
      <c r="P149" s="111"/>
      <c r="Q149" s="118"/>
      <c r="R149" s="111"/>
      <c r="S149" s="111"/>
      <c r="T149" s="111"/>
      <c r="U149" s="111"/>
      <c r="V149" s="111"/>
    </row>
    <row r="150" outlineLevel="1">
      <c r="A150" s="106"/>
      <c r="B150" s="107"/>
      <c r="C150" s="285" t="s">
        <v>235</v>
      </c>
      <c r="D150" s="285" t="s">
        <v>236</v>
      </c>
      <c r="E150" s="285" t="s">
        <v>49</v>
      </c>
      <c r="F150" s="285" t="s">
        <v>237</v>
      </c>
      <c r="G150" s="286"/>
      <c r="H150" s="227"/>
      <c r="I150" s="227"/>
      <c r="J150" s="228"/>
      <c r="K150" s="228"/>
      <c r="L150" s="111"/>
      <c r="M150" s="111"/>
      <c r="N150" s="111"/>
      <c r="O150" s="111"/>
      <c r="P150" s="111"/>
      <c r="Q150" s="111"/>
      <c r="R150" s="111"/>
      <c r="S150" s="111"/>
      <c r="T150" s="111"/>
      <c r="U150" s="111"/>
      <c r="V150" s="111"/>
    </row>
    <row r="151" outlineLevel="1">
      <c r="A151" s="287" t="s">
        <v>395</v>
      </c>
      <c r="B151" s="288" t="s">
        <v>216</v>
      </c>
      <c r="C151" s="113" t="str">
        <f t="array" ref="C151">INDEX('回避'!$C$3:$U$84, MATCH($A$1,'回避'!$A$3:$A$91,0), MATCH(C150,'回避'!$C$2:$F$2,0))</f>
        <v>3-17</v>
      </c>
      <c r="D151" s="113" t="str">
        <f t="array" ref="D151">INDEX('回避'!$C$3:$U$84, MATCH($A$1,'回避'!$A$3:$A$91,0), MATCH(D150,'回避'!$C$2:$F$2,0))</f>
        <v>6-17</v>
      </c>
      <c r="E151" s="113" t="str">
        <f t="array" ref="E151">INDEX('回避'!$C$3:$U$84, MATCH($A$1,'回避'!$A$3:$A$91,0), MATCH(E150,'回避'!$C$2:$F$2,0))</f>
        <v>25 (20)</v>
      </c>
      <c r="F151" s="113" t="str">
        <f t="array" ref="F151">INDEX('回避'!$C$3:$U$84, MATCH($A$1,'回避'!$A$3:$A$91,0), MATCH(F150,'回避'!$C$2:$F$2,0))</f>
        <v>33 (27)</v>
      </c>
      <c r="G151" s="272"/>
      <c r="H151" s="227"/>
      <c r="I151" s="227"/>
      <c r="J151" s="228"/>
      <c r="K151" s="228"/>
      <c r="L151" s="228"/>
      <c r="M151" s="111"/>
      <c r="N151" s="111"/>
      <c r="O151" s="111"/>
      <c r="P151" s="111"/>
      <c r="Q151" s="111"/>
      <c r="R151" s="111"/>
      <c r="S151" s="111"/>
      <c r="T151" s="111"/>
      <c r="U151" s="111"/>
      <c r="V151" s="111"/>
    </row>
    <row r="152" outlineLevel="1">
      <c r="A152" s="212"/>
      <c r="B152" s="288" t="s">
        <v>245</v>
      </c>
      <c r="C152" s="113" t="str">
        <f t="array" ref="C152">INDEX('回避'!$G$3:$U$84, MATCH($A$1,'回避'!$A$3:$A$91,0), MATCH(C150,'回避'!$G$2:$J$2,0))</f>
        <v>4-15</v>
      </c>
      <c r="D152" s="113" t="str">
        <f t="array" ref="D152">INDEX('回避'!$G$3:$U$84, MATCH($A$1,'回避'!$A$3:$A$91,0), MATCH(D150,'回避'!$G$2:$J$2,0))</f>
        <v>8-14</v>
      </c>
      <c r="E152" s="113" t="str">
        <f t="array" ref="E152">INDEX('回避'!$G$3:$U$84, MATCH($A$1,'回避'!$A$3:$A$91,0), MATCH(E150,'回避'!$G$2:$J$2,0))</f>
        <v>29</v>
      </c>
      <c r="F152" s="113">
        <f t="array" ref="F152">INDEX('回避'!$G$3:$U$84, MATCH($A$1,'回避'!$A$3:$A$91,0), MATCH(F150,'回避'!$G$2:$J$2,0))</f>
        <v>38</v>
      </c>
      <c r="G152" s="289"/>
      <c r="H152" s="227"/>
      <c r="I152" s="227"/>
      <c r="J152" s="228"/>
      <c r="K152" s="228"/>
      <c r="L152" s="228"/>
      <c r="M152" s="228"/>
      <c r="N152" s="228"/>
      <c r="O152" s="111"/>
      <c r="P152" s="111"/>
      <c r="Q152" s="111"/>
      <c r="R152" s="111"/>
      <c r="S152" s="111"/>
      <c r="T152" s="111"/>
      <c r="U152" s="111"/>
      <c r="V152" s="111"/>
    </row>
    <row r="153" outlineLevel="1">
      <c r="A153" s="106"/>
      <c r="B153" s="288" t="s">
        <v>246</v>
      </c>
      <c r="C153" s="113" t="str">
        <f t="array" ref="C153">INDEX('回避'!$K$3:$U$84, MATCH($A$1,'回避'!$A$3:$A$91,0), MATCH(C150,'回避'!$K$2:$N$2,0))</f>
        <v>5-16</v>
      </c>
      <c r="D153" s="113" t="str">
        <f t="array" ref="D153">INDEX('回避'!$K$3:$U$84, MATCH($A$1,'回避'!$A$3:$A$91,0), MATCH(D150,'回避'!$K$2:$N$2,0))</f>
        <v>9-14</v>
      </c>
      <c r="E153" s="113" t="str">
        <f t="array" ref="E153">INDEX('回避'!$K$3:$U$84, MATCH($A$1,'回避'!$A$3:$A$91,0), MATCH(E150,'回避'!$K$2:$N$2,0))</f>
        <v>34</v>
      </c>
      <c r="F153" s="113" t="str">
        <f t="array" ref="F153">INDEX('回避'!$K$3:$U$84, MATCH($A$1,'回避'!$A$3:$A$91,0), MATCH(F150,'回避'!$K$2:$N$2,0))</f>
        <v>51</v>
      </c>
      <c r="G153" s="289"/>
      <c r="H153" s="290"/>
      <c r="I153" s="290"/>
      <c r="J153" s="117"/>
      <c r="K153" s="117"/>
      <c r="L153" s="117"/>
      <c r="M153" s="117"/>
      <c r="N153" s="117"/>
      <c r="O153" s="111"/>
      <c r="P153" s="111"/>
      <c r="Q153" s="111"/>
      <c r="R153" s="111"/>
      <c r="S153" s="111"/>
      <c r="T153" s="111"/>
      <c r="U153" s="111"/>
      <c r="V153" s="111"/>
    </row>
    <row r="154" outlineLevel="1">
      <c r="A154" s="287" t="s">
        <v>396</v>
      </c>
      <c r="B154" s="288" t="s">
        <v>397</v>
      </c>
      <c r="C154" s="113" t="str">
        <f t="array" ref="C154">INDEX('回避'!$O$3:$U$84, MATCH($A$1,'回避'!$A$3:$A$91,0), MATCH(C150,'回避'!$O$2:$R$2,0))</f>
        <v>3-29</v>
      </c>
      <c r="D154" s="113" t="str">
        <f t="array" ref="D154">INDEX('回避'!$O$3:$U$84, MATCH($A$1,'回避'!$A$3:$A$91,0), MATCH(D150,'回避'!$O$2:$R$2,0))</f>
        <v>6-27</v>
      </c>
      <c r="E154" s="113" t="str">
        <f t="array" ref="E154">INDEX('回避'!$O$3:$U$84, MATCH($A$1,'回避'!$A$3:$A$91,0), MATCH(E150,'回避'!$O$2:$R$2,0))</f>
        <v>40</v>
      </c>
      <c r="F154" s="177"/>
      <c r="G154" s="177"/>
      <c r="H154" s="118"/>
      <c r="I154" s="118"/>
      <c r="J154" s="111"/>
      <c r="K154" s="111"/>
      <c r="L154" s="111"/>
      <c r="M154" s="111"/>
      <c r="N154" s="111"/>
      <c r="O154" s="228"/>
      <c r="P154" s="228"/>
      <c r="Q154" s="228"/>
      <c r="R154" s="228"/>
      <c r="S154" s="228"/>
      <c r="T154" s="228"/>
      <c r="U154" s="228"/>
      <c r="V154" s="228"/>
    </row>
    <row r="155" outlineLevel="1">
      <c r="A155" s="106"/>
      <c r="B155" s="288" t="s">
        <v>398</v>
      </c>
      <c r="C155" s="113" t="str">
        <f t="array" ref="C155">INDEX('回避'!$S$3:$U$84, MATCH($A$1,'回避'!$A$3:$A$91,0), MATCH(C150,'回避'!$S$2:$U$2,0))</f>
        <v>3-21</v>
      </c>
      <c r="D155" s="113" t="str">
        <f t="array" ref="D155">INDEX('回避'!$S$3:$U$84, MATCH($A$1,'回避'!$A$3:$A$91,0), MATCH(D150,'回避'!$S$2:$U$2,0))</f>
        <v>6-20</v>
      </c>
      <c r="E155" s="113" t="str">
        <f t="array" ref="E155">INDEX('回避'!$S$3:$U$84, MATCH($A$1,'回避'!$A$3:$A$91,0), MATCH(E150,'回避'!$S$2:$U$2,0))</f>
        <v>真横：70
真上：86
真下：58</v>
      </c>
      <c r="F155" s="289"/>
      <c r="G155" s="289"/>
      <c r="H155" s="118"/>
      <c r="I155" s="118"/>
      <c r="J155" s="117"/>
      <c r="K155" s="117"/>
      <c r="L155" s="117"/>
      <c r="M155" s="117"/>
      <c r="N155" s="111"/>
      <c r="O155" s="118"/>
      <c r="P155" s="118"/>
      <c r="Q155" s="118"/>
      <c r="R155" s="118"/>
      <c r="S155" s="118"/>
      <c r="T155" s="118"/>
      <c r="U155" s="118"/>
      <c r="V155" s="118"/>
    </row>
    <row r="156">
      <c r="A156" s="291"/>
      <c r="B156" s="292"/>
      <c r="C156" s="286"/>
      <c r="D156" s="286"/>
      <c r="E156" s="293"/>
      <c r="F156" s="286"/>
      <c r="G156" s="286"/>
      <c r="H156" s="286"/>
      <c r="I156" s="286"/>
      <c r="J156" s="111"/>
      <c r="K156" s="227"/>
      <c r="L156" s="227"/>
      <c r="M156" s="227"/>
      <c r="N156" s="227"/>
      <c r="O156" s="118"/>
      <c r="P156" s="118"/>
      <c r="Q156" s="118"/>
      <c r="R156" s="118"/>
      <c r="S156" s="118"/>
      <c r="T156" s="118"/>
      <c r="U156" s="118"/>
      <c r="V156" s="118"/>
    </row>
    <row r="157">
      <c r="A157" s="294" t="s">
        <v>238</v>
      </c>
      <c r="B157" s="104"/>
      <c r="C157" s="228"/>
      <c r="D157" s="117"/>
      <c r="E157" s="228"/>
      <c r="F157" s="114"/>
      <c r="G157" s="114"/>
      <c r="H157" s="117"/>
      <c r="I157" s="117"/>
      <c r="J157" s="118"/>
      <c r="K157" s="118"/>
      <c r="L157" s="118"/>
      <c r="M157" s="118"/>
      <c r="N157" s="118"/>
      <c r="O157" s="118"/>
      <c r="P157" s="118"/>
      <c r="Q157" s="118"/>
      <c r="R157" s="118"/>
      <c r="S157" s="118"/>
      <c r="T157" s="118"/>
      <c r="U157" s="118"/>
      <c r="V157" s="118"/>
    </row>
    <row r="158" outlineLevel="1">
      <c r="A158" s="106"/>
      <c r="B158" s="107"/>
      <c r="C158" s="295" t="s">
        <v>235</v>
      </c>
      <c r="D158" s="295" t="s">
        <v>49</v>
      </c>
      <c r="E158" s="295" t="s">
        <v>48</v>
      </c>
      <c r="F158" s="295" t="s">
        <v>50</v>
      </c>
      <c r="G158" s="296" t="s">
        <v>51</v>
      </c>
      <c r="H158" s="228"/>
      <c r="I158" s="228"/>
      <c r="J158" s="117"/>
      <c r="K158" s="297" t="str">
        <f>'テンプレート'!K116</f>
        <v>アイテム取得</v>
      </c>
      <c r="L158" s="109"/>
      <c r="M158" s="298" t="str">
        <f>'テンプレート'!M116</f>
        <v>取得フレーム</v>
      </c>
      <c r="N158" s="298" t="str">
        <f>'テンプレート'!N116</f>
        <v>全体フレーム</v>
      </c>
      <c r="O158" s="118"/>
      <c r="P158" s="118"/>
      <c r="Q158" s="118"/>
      <c r="R158" s="118"/>
      <c r="S158" s="118"/>
      <c r="T158" s="118"/>
      <c r="U158" s="118"/>
      <c r="V158" s="118"/>
    </row>
    <row r="159" outlineLevel="1">
      <c r="A159" s="299" t="s">
        <v>239</v>
      </c>
      <c r="B159" s="300" t="s">
        <v>240</v>
      </c>
      <c r="C159" s="301"/>
      <c r="D159" s="113">
        <f t="array" ref="D159">INDEX('崖行動・受け身'!$C$3:$C149, MATCH($A$1,'崖行動・受け身'!$A$3:$A$115,0), MATCH(D158,'崖行動・受け身'!$C$2,0))</f>
        <v>19</v>
      </c>
      <c r="E159" s="301"/>
      <c r="F159" s="301"/>
      <c r="G159" s="301"/>
      <c r="H159" s="228"/>
      <c r="I159" s="228"/>
      <c r="J159" s="111"/>
      <c r="K159" s="302" t="str">
        <f>'テンプレート'!K117</f>
        <v>小アイテム</v>
      </c>
      <c r="L159" s="303" t="str">
        <f>'テンプレート'!L117</f>
        <v>その場</v>
      </c>
      <c r="M159" s="113" t="s">
        <v>76</v>
      </c>
      <c r="N159" s="113">
        <v>7.0</v>
      </c>
      <c r="O159" s="118"/>
      <c r="P159" s="118"/>
      <c r="Q159" s="118"/>
      <c r="R159" s="118"/>
      <c r="S159" s="118"/>
      <c r="T159" s="118"/>
      <c r="U159" s="118"/>
      <c r="V159" s="118"/>
    </row>
    <row r="160" outlineLevel="1">
      <c r="A160" s="146"/>
      <c r="B160" s="300" t="s">
        <v>216</v>
      </c>
      <c r="C160" s="113" t="str">
        <f t="array" ref="C160">INDEX('崖行動・受け身'!$D$3:$E149, MATCH($A$1,'崖行動・受け身'!$A$3:$A$115,0), MATCH(C158,'崖行動・受け身'!$D$2:$E$2,0))</f>
        <v>1-33</v>
      </c>
      <c r="D160" s="113">
        <f t="array" ref="D160">INDEX('崖行動・受け身'!$D$3:$E149, MATCH($A$1,'崖行動・受け身'!$A$3:$A$115,0), MATCH(D158,'崖行動・受け身'!$D$2:$E$2,0))</f>
        <v>34</v>
      </c>
      <c r="E160" s="301"/>
      <c r="F160" s="301"/>
      <c r="G160" s="301"/>
      <c r="H160" s="228"/>
      <c r="I160" s="228"/>
      <c r="J160" s="117"/>
      <c r="K160" s="156"/>
      <c r="L160" s="303" t="str">
        <f>'テンプレート'!L118</f>
        <v>歩き</v>
      </c>
      <c r="M160" s="113" t="s">
        <v>76</v>
      </c>
      <c r="N160" s="113">
        <v>19.0</v>
      </c>
      <c r="O160" s="118"/>
      <c r="P160" s="118"/>
      <c r="Q160" s="118"/>
      <c r="R160" s="118"/>
      <c r="S160" s="118"/>
      <c r="T160" s="118"/>
      <c r="U160" s="118"/>
      <c r="V160" s="118"/>
    </row>
    <row r="161" outlineLevel="1">
      <c r="A161" s="146"/>
      <c r="B161" s="300" t="s">
        <v>241</v>
      </c>
      <c r="C161" s="113" t="str">
        <f t="array" ref="C161">INDEX('崖行動・受け身'!$F$3:$G$115, MATCH($A$1,'崖行動・受け身'!$A$3:$A$115,0), MATCH(C158,'崖行動・受け身'!$F$2:$G$2,0))</f>
        <v>1-25</v>
      </c>
      <c r="D161" s="113">
        <f t="array" ref="D161">INDEX('崖行動・受け身'!$F$3:$G$115, MATCH($A$1,'崖行動・受け身'!$A$3:$A$115,0), MATCH(D158,'崖行動・受け身'!$F$2:$G$2,0))</f>
        <v>45</v>
      </c>
      <c r="E161" s="301"/>
      <c r="F161" s="301"/>
      <c r="G161" s="301"/>
      <c r="H161" s="228"/>
      <c r="I161" s="228"/>
      <c r="J161" s="111"/>
      <c r="K161" s="304" t="str">
        <f>'テンプレート'!K119</f>
        <v>アイテム投擲</v>
      </c>
      <c r="L161" s="109"/>
      <c r="M161" s="298" t="str">
        <f>'テンプレート'!M119</f>
        <v>投擲フレーム</v>
      </c>
      <c r="N161" s="298" t="str">
        <f>'テンプレート'!N119</f>
        <v>全体フレーム</v>
      </c>
      <c r="O161" s="118"/>
      <c r="P161" s="118"/>
      <c r="Q161" s="118"/>
      <c r="R161" s="118"/>
      <c r="S161" s="118"/>
      <c r="T161" s="118"/>
      <c r="U161" s="118"/>
      <c r="V161" s="118"/>
    </row>
    <row r="162" outlineLevel="1">
      <c r="A162" s="146"/>
      <c r="B162" s="300" t="s">
        <v>242</v>
      </c>
      <c r="C162" s="113" t="str">
        <f t="array" ref="C162">INDEX('崖行動・受け身'!$H$3:$I$115, MATCH($A$1,'崖行動・受け身'!$A$3:$A$115,0), MATCH(C158,'崖行動・受け身'!$H$2:$I$2,0))</f>
        <v>1-12</v>
      </c>
      <c r="D162" s="113">
        <f t="array" ref="D162">INDEX('崖行動・受け身'!$H$3:$I$115, MATCH($A$1,'崖行動・受け身'!$A$3:$A$115,0), MATCH(D158,'崖行動・受け身'!$H$2:$I$2,0))</f>
        <v>14</v>
      </c>
      <c r="E162" s="301"/>
      <c r="F162" s="301"/>
      <c r="G162" s="301"/>
      <c r="H162" s="228"/>
      <c r="I162" s="228"/>
      <c r="J162" s="117"/>
      <c r="K162" s="305" t="str">
        <f>'テンプレート'!K120</f>
        <v>地上投擲</v>
      </c>
      <c r="L162" s="303" t="str">
        <f>'テンプレート'!L120</f>
        <v>前投げ</v>
      </c>
      <c r="M162" s="113" t="s">
        <v>80</v>
      </c>
      <c r="N162" s="113">
        <v>24.0</v>
      </c>
      <c r="O162" s="111"/>
      <c r="P162" s="111"/>
      <c r="Q162" s="111"/>
      <c r="R162" s="111"/>
      <c r="S162" s="111"/>
      <c r="T162" s="111"/>
      <c r="U162" s="111"/>
      <c r="V162" s="111"/>
    </row>
    <row r="163" outlineLevel="1">
      <c r="A163" s="156"/>
      <c r="B163" s="300" t="s">
        <v>243</v>
      </c>
      <c r="C163" s="113" t="str">
        <f t="array" ref="C163">INDEX('崖行動・受け身'!$J$3:$M$115, MATCH($A$1,'崖行動・受け身'!$A$3:$A$115,0), MATCH(C158,'崖行動・受け身'!$J$2:$M$2,0))</f>
        <v>1-25</v>
      </c>
      <c r="D163" s="113">
        <f t="array" ref="D163">INDEX('崖行動・受け身'!$J$3:$M$115, MATCH($A$1,'崖行動・受け身'!$A$3:$A$115,0), MATCH(D158,'崖行動・受け身'!$J$2:$M$2,0))</f>
        <v>55</v>
      </c>
      <c r="E163" s="113" t="str">
        <f t="array" ref="E163">INDEX('崖行動・受け身'!$J$3:$M$115, MATCH($A$1,'崖行動・受け身'!$A$3:$A$115,0), MATCH(E158,'崖行動・受け身'!$J$2:$M$2,0))</f>
        <v>23-25</v>
      </c>
      <c r="F163" s="113">
        <f t="array" ref="F163">INDEX('崖行動・受け身'!$J$3:$M$115, MATCH($A$1,'崖行動・受け身'!$A$3:$A$115,0), MATCH(F158,'崖行動・受け身'!$J$2:$M$2,0))</f>
        <v>9</v>
      </c>
      <c r="G163" s="113">
        <f>F163*1.2</f>
        <v>10.8</v>
      </c>
      <c r="H163" s="228"/>
      <c r="I163" s="228"/>
      <c r="J163" s="111"/>
      <c r="K163" s="146"/>
      <c r="L163" s="303" t="str">
        <f>'テンプレート'!L121</f>
        <v>後投げ</v>
      </c>
      <c r="M163" s="113" t="s">
        <v>232</v>
      </c>
      <c r="N163" s="113">
        <v>24.0</v>
      </c>
      <c r="O163" s="111"/>
      <c r="P163" s="111"/>
      <c r="Q163" s="111"/>
      <c r="R163" s="111"/>
      <c r="S163" s="111"/>
      <c r="T163" s="111"/>
      <c r="U163" s="111"/>
      <c r="V163" s="111"/>
    </row>
    <row r="164" outlineLevel="1">
      <c r="A164" s="299" t="s">
        <v>244</v>
      </c>
      <c r="B164" s="300" t="s">
        <v>216</v>
      </c>
      <c r="C164" s="113" t="str">
        <f t="array" ref="C164">INDEX('崖行動・受け身'!$N$3:$O$115, MATCH($A$1,'崖行動・受け身'!$A$3:$A$115,0), MATCH(C158,'崖行動・受け身'!$N$2:$O$2,0))</f>
        <v>1-20</v>
      </c>
      <c r="D164" s="113">
        <f t="array" ref="D164">INDEX('崖行動・受け身'!$N$3:$O$115, MATCH($A$1,'崖行動・受け身'!$A$3:$A$115,0), MATCH(D158,'崖行動・受け身'!$N$2:$O$2,0))</f>
        <v>26</v>
      </c>
      <c r="E164" s="301"/>
      <c r="F164" s="301"/>
      <c r="G164" s="301"/>
      <c r="H164" s="228"/>
      <c r="I164" s="228"/>
      <c r="J164" s="117"/>
      <c r="K164" s="146"/>
      <c r="L164" s="303" t="str">
        <f>'テンプレート'!L122</f>
        <v>上投げ</v>
      </c>
      <c r="M164" s="113" t="s">
        <v>129</v>
      </c>
      <c r="N164" s="113">
        <v>23.0</v>
      </c>
      <c r="O164" s="228"/>
      <c r="P164" s="228"/>
      <c r="Q164" s="228"/>
      <c r="R164" s="228"/>
      <c r="S164" s="228"/>
      <c r="T164" s="228"/>
      <c r="U164" s="228"/>
      <c r="V164" s="228"/>
    </row>
    <row r="165" outlineLevel="1">
      <c r="A165" s="146"/>
      <c r="B165" s="300" t="s">
        <v>245</v>
      </c>
      <c r="C165" s="113" t="str">
        <f t="array" ref="C165">INDEX('崖行動・受け身'!$P$3:$Q$115, MATCH($A$1,'崖行動・受け身'!$A$3:$A$115,0), MATCH(C158,'崖行動・受け身'!$P$2:$Q$2,0))</f>
        <v>1-20</v>
      </c>
      <c r="D165" s="113">
        <f t="array" ref="D165">INDEX('崖行動・受け身'!$P$3:$Q$115, MATCH($A$1,'崖行動・受け身'!$A$3:$A$115,0), MATCH(D158,'崖行動・受け身'!$P$2:$Q$2,0))</f>
        <v>40</v>
      </c>
      <c r="E165" s="301"/>
      <c r="F165" s="301"/>
      <c r="G165" s="301"/>
      <c r="H165" s="228"/>
      <c r="I165" s="228"/>
      <c r="J165" s="111"/>
      <c r="K165" s="146"/>
      <c r="L165" s="303" t="str">
        <f>'テンプレート'!L123</f>
        <v>下投げ</v>
      </c>
      <c r="M165" s="113" t="s">
        <v>93</v>
      </c>
      <c r="N165" s="113">
        <v>19.0</v>
      </c>
      <c r="O165" s="118"/>
      <c r="P165" s="118"/>
      <c r="Q165" s="118"/>
      <c r="R165" s="118"/>
      <c r="S165" s="118"/>
      <c r="T165" s="118"/>
      <c r="U165" s="118"/>
      <c r="V165" s="118"/>
    </row>
    <row r="166" outlineLevel="1">
      <c r="A166" s="156"/>
      <c r="B166" s="300" t="s">
        <v>246</v>
      </c>
      <c r="C166" s="113" t="str">
        <f t="array" ref="C166">INDEX('崖行動・受け身'!$R$3:$S$115, MATCH($A$1,'崖行動・受け身'!$A$3:$A$115,0), MATCH(C158,'崖行動・受け身'!$R$2:$S$2,0))</f>
        <v>1-20</v>
      </c>
      <c r="D166" s="113">
        <f t="array" ref="D166">INDEX('崖行動・受け身'!$R$3:$S$115, MATCH($A$1,'崖行動・受け身'!$A$3:$A$115,0), MATCH(D158,'崖行動・受け身'!$R$2:$S$2,0))</f>
        <v>40</v>
      </c>
      <c r="E166" s="301"/>
      <c r="F166" s="301"/>
      <c r="G166" s="301"/>
      <c r="H166" s="228"/>
      <c r="I166" s="228"/>
      <c r="J166" s="117"/>
      <c r="K166" s="146"/>
      <c r="L166" s="306" t="str">
        <f>'テンプレート'!L124</f>
        <v>ダッシュ</v>
      </c>
      <c r="M166" s="113" t="s">
        <v>150</v>
      </c>
      <c r="N166" s="113">
        <v>37.0</v>
      </c>
      <c r="O166" s="118"/>
      <c r="P166" s="118"/>
      <c r="Q166" s="118"/>
      <c r="R166" s="118"/>
      <c r="S166" s="118"/>
      <c r="T166" s="118"/>
      <c r="U166" s="118"/>
      <c r="V166" s="118"/>
    </row>
    <row r="167" outlineLevel="1">
      <c r="A167" s="299" t="s">
        <v>247</v>
      </c>
      <c r="B167" s="300" t="s">
        <v>248</v>
      </c>
      <c r="C167" s="301"/>
      <c r="D167" s="113" t="str">
        <f t="array" ref="D167">INDEX('起きあがり'!$C$3:$C149, MATCH($A$1,'起きあがり'!$A$3:$A$115,0), MATCH(D158,'起きあがり'!$C$2:$AD$2,0))</f>
        <v>25</v>
      </c>
      <c r="E167" s="301"/>
      <c r="F167" s="301"/>
      <c r="G167" s="301"/>
      <c r="H167" s="228"/>
      <c r="I167" s="228"/>
      <c r="J167" s="111"/>
      <c r="K167" s="156"/>
      <c r="L167" s="306" t="str">
        <f>'テンプレート'!L125</f>
        <v>その場捨て</v>
      </c>
      <c r="M167" s="113" t="s">
        <v>86</v>
      </c>
      <c r="N167" s="113">
        <v>23.0</v>
      </c>
      <c r="O167" s="118"/>
      <c r="P167" s="118"/>
      <c r="Q167" s="118"/>
      <c r="R167" s="118"/>
      <c r="S167" s="118"/>
      <c r="T167" s="118"/>
      <c r="U167" s="118"/>
      <c r="V167" s="118"/>
    </row>
    <row r="168" outlineLevel="1">
      <c r="A168" s="146"/>
      <c r="B168" s="300" t="s">
        <v>216</v>
      </c>
      <c r="C168" s="307" t="str">
        <f t="array" ref="C168">INDEX('起きあがり'!$D$3:$E149, MATCH($A$1,'起きあがり'!$A$3:$A$115,0), MATCH(C158,'起きあがり'!$D$2:$AD$2,0))</f>
        <v>1-22</v>
      </c>
      <c r="D168" s="308">
        <f t="array" ref="D168">INDEX('起きあがり'!$D$3:$E149, MATCH($A$1,'起きあがり'!$A$3:$A$115,0), MATCH(D158,'起きあがり'!$D$2:$AD$2,0))</f>
        <v>29</v>
      </c>
      <c r="E168" s="301"/>
      <c r="F168" s="301"/>
      <c r="G168" s="301"/>
      <c r="H168" s="228"/>
      <c r="I168" s="228"/>
      <c r="J168" s="117"/>
      <c r="K168" s="305" t="str">
        <f>'テンプレート'!K126</f>
        <v>空中投擲</v>
      </c>
      <c r="L168" s="303" t="str">
        <f>'テンプレート'!L126</f>
        <v>前投げ</v>
      </c>
      <c r="M168" s="113" t="s">
        <v>80</v>
      </c>
      <c r="N168" s="113">
        <v>24.0</v>
      </c>
      <c r="O168" s="118"/>
      <c r="P168" s="118"/>
      <c r="Q168" s="118"/>
      <c r="R168" s="118"/>
      <c r="S168" s="118"/>
      <c r="T168" s="118"/>
      <c r="U168" s="118"/>
      <c r="V168" s="118"/>
    </row>
    <row r="169" outlineLevel="1">
      <c r="A169" s="146"/>
      <c r="B169" s="300" t="s">
        <v>245</v>
      </c>
      <c r="C169" s="307" t="str">
        <f t="array" ref="C169">INDEX('起きあがり'!$F$3:$G$115, MATCH($A$1,'起きあがり'!$A$3:$A$115,0), MATCH(C158,'起きあがり'!$F$2:$AD$2,0))</f>
        <v>1-21</v>
      </c>
      <c r="D169" s="308">
        <f t="array" ref="D169">INDEX('起きあがり'!$F$3:$G$115, MATCH($A$1,'起きあがり'!$A$3:$A$115,0), MATCH(D158,'起きあがり'!$F$2:$AD$2,0))</f>
        <v>35</v>
      </c>
      <c r="E169" s="301"/>
      <c r="F169" s="301"/>
      <c r="G169" s="301"/>
      <c r="H169" s="228"/>
      <c r="I169" s="228"/>
      <c r="J169" s="111"/>
      <c r="K169" s="146"/>
      <c r="L169" s="303" t="str">
        <f>'テンプレート'!L127</f>
        <v>後投げ</v>
      </c>
      <c r="M169" s="113" t="s">
        <v>232</v>
      </c>
      <c r="N169" s="113">
        <v>24.0</v>
      </c>
      <c r="O169" s="118"/>
      <c r="P169" s="118"/>
      <c r="Q169" s="118"/>
      <c r="R169" s="118"/>
      <c r="S169" s="118"/>
      <c r="T169" s="118"/>
      <c r="U169" s="118"/>
      <c r="V169" s="118"/>
    </row>
    <row r="170" outlineLevel="1">
      <c r="A170" s="146"/>
      <c r="B170" s="300" t="s">
        <v>246</v>
      </c>
      <c r="C170" s="113" t="str">
        <f t="array" ref="C170">INDEX('起きあがり'!$H$3:$I$115, MATCH($A$1,'起きあがり'!$A$3:$A$115,0), MATCH(C158,'起きあがり'!$H$2:$AD$2,0))</f>
        <v>1-22</v>
      </c>
      <c r="D170" s="113">
        <f t="array" ref="D170">INDEX('起きあがり'!$H$3:$I$115, MATCH($A$1,'起きあがり'!$A$3:$A$115,0), MATCH(D158,'起きあがり'!$H$2:$AD$2,0))</f>
        <v>35</v>
      </c>
      <c r="E170" s="301"/>
      <c r="F170" s="301"/>
      <c r="G170" s="301"/>
      <c r="H170" s="228"/>
      <c r="I170" s="228"/>
      <c r="J170" s="117"/>
      <c r="K170" s="146"/>
      <c r="L170" s="303" t="str">
        <f>'テンプレート'!L128</f>
        <v>上投げ</v>
      </c>
      <c r="M170" s="113" t="s">
        <v>129</v>
      </c>
      <c r="N170" s="113">
        <v>23.0</v>
      </c>
      <c r="O170" s="118"/>
      <c r="P170" s="118"/>
      <c r="Q170" s="118"/>
      <c r="R170" s="118"/>
      <c r="S170" s="118"/>
      <c r="T170" s="118"/>
      <c r="U170" s="118"/>
      <c r="V170" s="118"/>
    </row>
    <row r="171" outlineLevel="1">
      <c r="A171" s="146"/>
      <c r="B171" s="300" t="s">
        <v>249</v>
      </c>
      <c r="C171" s="309" t="str">
        <f t="array" ref="C171">INDEX('起きあがり'!$J$3:$M$115, MATCH($A$1,'起きあがり'!$A$3:$A$115,0), MATCH(C158,'起きあがり'!$J$2:$AD$2,0))</f>
        <v>1-21</v>
      </c>
      <c r="D171" s="310">
        <f t="array" ref="D171">INDEX('起きあがり'!$J$3:$M$115, MATCH($A$1,'起きあがり'!$A$3:$A$115,0), MATCH(D158,'起きあがり'!$J$2:$AD$2,0))</f>
        <v>45</v>
      </c>
      <c r="E171" s="307" t="str">
        <f t="array" ref="E171">INDEX('起きあがり'!$J$3:$M$115, MATCH($A$1,'起きあがり'!$A$3:$A$115,0), MATCH(E158,'起きあがり'!$J$2:$AD$2,0))</f>
        <v>16-17</v>
      </c>
      <c r="F171" s="308">
        <f t="array" ref="F171">INDEX('起きあがり'!$J$3:$M$115, MATCH($A$1,'起きあがり'!$A$3:$A$115,0), MATCH(F158,'起きあがり'!$J$2:$AD$2,0))</f>
        <v>7</v>
      </c>
      <c r="G171" s="113">
        <f t="shared" ref="G171:G172" si="1">F171*1.2</f>
        <v>8.4</v>
      </c>
      <c r="H171" s="228"/>
      <c r="I171" s="228"/>
      <c r="J171" s="111"/>
      <c r="K171" s="156"/>
      <c r="L171" s="303" t="str">
        <f>'テンプレート'!L129</f>
        <v>下投げ</v>
      </c>
      <c r="M171" s="113" t="s">
        <v>93</v>
      </c>
      <c r="N171" s="113">
        <v>19.0</v>
      </c>
      <c r="O171" s="111"/>
      <c r="P171" s="111"/>
      <c r="Q171" s="111"/>
      <c r="R171" s="111"/>
      <c r="S171" s="111"/>
      <c r="T171" s="111"/>
      <c r="U171" s="111"/>
      <c r="V171" s="111"/>
    </row>
    <row r="172" outlineLevel="1">
      <c r="A172" s="156"/>
      <c r="B172" s="311" t="s">
        <v>250</v>
      </c>
      <c r="C172" s="156"/>
      <c r="D172" s="156"/>
      <c r="E172" s="307" t="str">
        <f t="array" ref="E172">INDEX('起きあがり'!$N$3:$O$115, MATCH($A$1,'起きあがり'!$A$3:$A$115,0), MATCH(E158,'起きあがり'!$N$2:$AD$2,0))</f>
        <v>20-21</v>
      </c>
      <c r="F172" s="308">
        <f t="array" ref="F172">INDEX('起きあがり'!$N$3:$O$115, MATCH($A$1,'起きあがり'!$A$3:$A$115,0), MATCH(F158,'起きあがり'!$N$2:$AD$2,0))</f>
        <v>7</v>
      </c>
      <c r="G172" s="113">
        <f t="shared" si="1"/>
        <v>8.4</v>
      </c>
      <c r="H172" s="228"/>
      <c r="I172" s="228"/>
      <c r="J172" s="111"/>
      <c r="K172" s="312" t="str">
        <f>'テンプレート'!K130</f>
        <v>踏み台ジャンプ</v>
      </c>
      <c r="L172" s="168"/>
      <c r="M172" s="298" t="str">
        <f>'テンプレート'!M130</f>
        <v>全体フレーム</v>
      </c>
      <c r="N172" s="114"/>
      <c r="O172" s="111"/>
      <c r="P172" s="111"/>
      <c r="Q172" s="111"/>
      <c r="R172" s="111"/>
      <c r="S172" s="111"/>
      <c r="T172" s="111"/>
      <c r="U172" s="111"/>
      <c r="V172" s="111"/>
    </row>
    <row r="173" outlineLevel="1">
      <c r="A173" s="299" t="s">
        <v>251</v>
      </c>
      <c r="B173" s="300" t="s">
        <v>248</v>
      </c>
      <c r="C173" s="301"/>
      <c r="D173" s="307" t="str">
        <f t="array" ref="D173">INDEX('起きあがり'!$C$3:$C149, MATCH($A$1,'起きあがり'!$A$3:$A$115,0), MATCH(D158,'起きあがり'!$C$2,0))</f>
        <v>25</v>
      </c>
      <c r="E173" s="301"/>
      <c r="F173" s="301"/>
      <c r="G173" s="301"/>
      <c r="H173" s="228"/>
      <c r="I173" s="228"/>
      <c r="J173" s="117"/>
      <c r="K173" s="313" t="str">
        <f>'テンプレート'!K131</f>
        <v>踏み</v>
      </c>
      <c r="L173" s="314" t="str">
        <f>'テンプレート'!L131</f>
        <v>踏み</v>
      </c>
      <c r="M173" s="113">
        <v>8.0</v>
      </c>
      <c r="N173" s="2364"/>
      <c r="O173" s="111"/>
      <c r="P173" s="111"/>
      <c r="Q173" s="111"/>
      <c r="R173" s="111"/>
      <c r="S173" s="111"/>
      <c r="T173" s="111"/>
      <c r="U173" s="111"/>
      <c r="V173" s="111"/>
    </row>
    <row r="174" outlineLevel="1">
      <c r="A174" s="146"/>
      <c r="B174" s="300" t="s">
        <v>216</v>
      </c>
      <c r="C174" s="307" t="str">
        <f t="array" ref="C174">INDEX('起きあがり'!$P$3:$Q$115, MATCH($A$1,'起きあがり'!$A$3:$A$115,0), MATCH(C158,'起きあがり'!$P$2:$AD$2,0))</f>
        <v>1-22</v>
      </c>
      <c r="D174" s="308">
        <f t="array" ref="D174">INDEX('起きあがり'!$P$3:$Q$115, MATCH($A$1,'起きあがり'!$A$3:$A$115,0), MATCH(D158,'起きあがり'!$P$2:$AD$2,0))</f>
        <v>29</v>
      </c>
      <c r="E174" s="301"/>
      <c r="F174" s="301"/>
      <c r="G174" s="301"/>
      <c r="H174" s="228"/>
      <c r="I174" s="228"/>
      <c r="J174" s="111"/>
      <c r="K174" s="305" t="str">
        <f>'テンプレート'!K132</f>
        <v>踏まれ</v>
      </c>
      <c r="L174" s="314" t="str">
        <f>'テンプレート'!L132</f>
        <v>地上踏まれ</v>
      </c>
      <c r="M174" s="113" t="s">
        <v>76</v>
      </c>
      <c r="N174" s="2364"/>
      <c r="O174" s="228"/>
      <c r="P174" s="228"/>
      <c r="Q174" s="228"/>
      <c r="R174" s="228"/>
      <c r="S174" s="228"/>
      <c r="T174" s="228"/>
      <c r="U174" s="228"/>
      <c r="V174" s="228"/>
    </row>
    <row r="175" outlineLevel="1">
      <c r="A175" s="146"/>
      <c r="B175" s="300" t="s">
        <v>245</v>
      </c>
      <c r="C175" s="307" t="str">
        <f t="array" ref="C175">INDEX('起きあがり'!$R$3:$S$115, MATCH($A$1,'起きあがり'!$A$3:$A$115,0), MATCH(C158,'起きあがり'!$R$2:$AD$2,0))</f>
        <v>1-19</v>
      </c>
      <c r="D175" s="308">
        <f t="array" ref="D175">INDEX('起きあがり'!$R$3:$S$115, MATCH($A$1,'起きあがり'!$A$3:$A$115,0), MATCH(D158,'起きあがり'!$R$2:$AD$2,0))</f>
        <v>35</v>
      </c>
      <c r="E175" s="301"/>
      <c r="F175" s="301"/>
      <c r="G175" s="301"/>
      <c r="H175" s="228"/>
      <c r="I175" s="228"/>
      <c r="J175" s="117"/>
      <c r="K175" s="146"/>
      <c r="L175" s="314" t="str">
        <f>'テンプレート'!L133</f>
        <v>地上硬直</v>
      </c>
      <c r="M175" s="113">
        <v>28.0</v>
      </c>
      <c r="N175" s="2313"/>
      <c r="O175" s="118"/>
      <c r="P175" s="118"/>
      <c r="Q175" s="118"/>
      <c r="R175" s="118"/>
      <c r="S175" s="118"/>
      <c r="T175" s="118"/>
      <c r="U175" s="118"/>
      <c r="V175" s="118"/>
    </row>
    <row r="176" outlineLevel="1">
      <c r="A176" s="146"/>
      <c r="B176" s="300" t="s">
        <v>246</v>
      </c>
      <c r="C176" s="307" t="str">
        <f t="array" ref="C176">INDEX('起きあがり'!$T$3:$U$115, MATCH($A$1,'起きあがり'!$A$3:$A$115,0), MATCH(C158,'起きあがり'!$T$2:$AD$2,0))</f>
        <v>1-24</v>
      </c>
      <c r="D176" s="308">
        <f t="array" ref="D176">INDEX('起きあがり'!$T$3:$U$115, MATCH($A$1,'起きあがり'!$A$3:$A$115,0), MATCH(D158,'起きあがり'!$T$2:$AD$2,0))</f>
        <v>35</v>
      </c>
      <c r="E176" s="301"/>
      <c r="F176" s="301"/>
      <c r="G176" s="301"/>
      <c r="H176" s="228"/>
      <c r="I176" s="228"/>
      <c r="J176" s="111"/>
      <c r="K176" s="146"/>
      <c r="L176" s="314" t="str">
        <f>'テンプレート'!L134</f>
        <v>空中踏まれ</v>
      </c>
      <c r="M176" s="113">
        <v>8.0</v>
      </c>
      <c r="N176" s="2313"/>
      <c r="O176" s="118"/>
      <c r="P176" s="118"/>
      <c r="Q176" s="118"/>
      <c r="R176" s="118"/>
      <c r="S176" s="118"/>
      <c r="T176" s="118"/>
      <c r="U176" s="118"/>
      <c r="V176" s="118"/>
    </row>
    <row r="177" outlineLevel="1">
      <c r="A177" s="146"/>
      <c r="B177" s="300" t="s">
        <v>249</v>
      </c>
      <c r="C177" s="309" t="str">
        <f t="array" ref="C177">INDEX('起きあがり'!$V$3:$Y$115, MATCH($A$1,'起きあがり'!$A$3:$A$115,0), MATCH(C158,'起きあがり'!$V$2:$AD$2,0))</f>
        <v>1-21</v>
      </c>
      <c r="D177" s="310">
        <f t="array" ref="D177">INDEX('起きあがり'!$V$3:$Y$115, MATCH($A$1,'起きあがり'!$A$3:$A$115,0), MATCH(D158,'起きあがり'!$V$2:$AD$2,0))</f>
        <v>45</v>
      </c>
      <c r="E177" s="307" t="str">
        <f t="array" ref="E177">INDEX('起きあがり'!$V$3:$Y$115, MATCH($A$1,'起きあがり'!$A$3:$A$115,0), MATCH(E158,'起きあがり'!$V$2:$AD$2,0))</f>
        <v>16-17</v>
      </c>
      <c r="F177" s="308">
        <f t="array" ref="F177">INDEX('起きあがり'!$V$3:$Y$115, MATCH($A$1,'起きあがり'!$A$3:$A$115,0), MATCH(F158,'起きあがり'!$V$2:$AD$2,0))</f>
        <v>7</v>
      </c>
      <c r="G177" s="113">
        <f t="shared" ref="G177:G178" si="2">F177*1.2</f>
        <v>8.4</v>
      </c>
      <c r="H177" s="228"/>
      <c r="I177" s="228"/>
      <c r="J177" s="117"/>
      <c r="K177" s="146"/>
      <c r="L177" s="314" t="str">
        <f>'テンプレート'!L135</f>
        <v>空中落下</v>
      </c>
      <c r="M177" s="113">
        <v>34.0</v>
      </c>
      <c r="N177" s="2313"/>
      <c r="O177" s="118"/>
      <c r="P177" s="118"/>
      <c r="Q177" s="118"/>
      <c r="R177" s="118"/>
      <c r="S177" s="118"/>
      <c r="T177" s="118"/>
      <c r="U177" s="118"/>
      <c r="V177" s="118"/>
    </row>
    <row r="178" outlineLevel="1">
      <c r="A178" s="156"/>
      <c r="B178" s="311" t="s">
        <v>250</v>
      </c>
      <c r="C178" s="156"/>
      <c r="D178" s="156"/>
      <c r="E178" s="307" t="str">
        <f t="array" ref="E178">INDEX('起きあがり'!$Z$3:$AA$115, MATCH($A$1,'起きあがり'!$A$3:$A$115,0), MATCH(E158,'起きあがり'!$Z$2:$AD$2,0))</f>
        <v>20-21</v>
      </c>
      <c r="F178" s="308">
        <f t="array" ref="F178">INDEX('起きあがり'!$Z$3:$AA$115, MATCH($A$1,'起きあがり'!$A$3:$A$115,0), MATCH(F158,'起きあがり'!$Z$2:$AD$2,0))</f>
        <v>7</v>
      </c>
      <c r="G178" s="113">
        <f t="shared" si="2"/>
        <v>8.4</v>
      </c>
      <c r="H178" s="228"/>
      <c r="I178" s="228"/>
      <c r="J178" s="117"/>
      <c r="K178" s="304" t="str">
        <f>'テンプレート'!K136</f>
        <v>倒れダメージ</v>
      </c>
      <c r="L178" s="110"/>
      <c r="M178" s="298" t="str">
        <f>'テンプレート'!M136</f>
        <v>全体フレーム</v>
      </c>
      <c r="N178" s="2313"/>
      <c r="O178" s="118"/>
      <c r="P178" s="118"/>
      <c r="Q178" s="118"/>
      <c r="R178" s="118"/>
      <c r="S178" s="118"/>
      <c r="T178" s="118"/>
      <c r="U178" s="118"/>
      <c r="V178" s="118"/>
    </row>
    <row r="179" outlineLevel="1">
      <c r="A179" s="299" t="s">
        <v>252</v>
      </c>
      <c r="B179" s="300" t="s">
        <v>253</v>
      </c>
      <c r="C179" s="307" t="str">
        <f t="array" ref="C179">INDEX('転倒'!$C$3:$D149, MATCH($A$1,'転倒'!$A$3:$A$115,0), MATCH(C158,'転倒'!$C$2:$AC$2,0))</f>
        <v>1-5</v>
      </c>
      <c r="D179" s="308">
        <f t="array" ref="D179">INDEX('転倒'!$C$3:$D149, MATCH($A$1,'転倒'!$A$3:$A$115,0), MATCH(D158,'転倒'!$C$2:$AC$2,0))</f>
        <v>29</v>
      </c>
      <c r="E179" s="301"/>
      <c r="F179" s="301"/>
      <c r="G179" s="301"/>
      <c r="H179" s="228"/>
      <c r="I179" s="228"/>
      <c r="J179" s="111"/>
      <c r="K179" s="313" t="str">
        <f>'テンプレート'!K137</f>
        <v>あお向け倒れ</v>
      </c>
      <c r="L179" s="306" t="str">
        <f>'テンプレート'!L137</f>
        <v>モーション大</v>
      </c>
      <c r="M179" s="113">
        <v>39.0</v>
      </c>
      <c r="N179" s="2364"/>
      <c r="O179" s="118"/>
      <c r="P179" s="118"/>
      <c r="Q179" s="118"/>
      <c r="R179" s="118"/>
      <c r="S179" s="118"/>
      <c r="T179" s="118"/>
      <c r="U179" s="118"/>
      <c r="V179" s="118"/>
    </row>
    <row r="180" outlineLevel="1">
      <c r="A180" s="146"/>
      <c r="B180" s="300" t="s">
        <v>254</v>
      </c>
      <c r="C180" s="307" t="str">
        <f t="array" ref="C180">INDEX('転倒'!$E$3:$F149, MATCH($A$1,'転倒'!$A$3:$A$115,0), MATCH(C158,'転倒'!$E$2:$AC$2,0))</f>
        <v>1-5</v>
      </c>
      <c r="D180" s="308">
        <f t="array" ref="D180">INDEX('転倒'!$E$3:$F149, MATCH($A$1,'転倒'!$A$3:$A$115,0), MATCH(D158,'転倒'!$E$2:$AC$2,0))</f>
        <v>39</v>
      </c>
      <c r="E180" s="301"/>
      <c r="F180" s="301"/>
      <c r="G180" s="301"/>
      <c r="H180" s="228"/>
      <c r="I180" s="228"/>
      <c r="J180" s="117"/>
      <c r="K180" s="313" t="str">
        <f>'テンプレート'!K138</f>
        <v>うつ伏せ倒れ</v>
      </c>
      <c r="L180" s="306" t="str">
        <f>'テンプレート'!L138</f>
        <v>モーション大</v>
      </c>
      <c r="M180" s="113" t="s">
        <v>118</v>
      </c>
      <c r="N180" s="2364"/>
      <c r="O180" s="118"/>
      <c r="P180" s="118"/>
      <c r="Q180" s="118"/>
      <c r="R180" s="118"/>
      <c r="S180" s="118"/>
      <c r="T180" s="118"/>
      <c r="U180" s="118"/>
      <c r="V180" s="118"/>
    </row>
    <row r="181" outlineLevel="1">
      <c r="A181" s="146"/>
      <c r="B181" s="300" t="s">
        <v>216</v>
      </c>
      <c r="C181" s="307" t="str">
        <f t="array" ref="C181">INDEX('転倒'!$G$3:$H$115, MATCH($A$1,'転倒'!$A$3:$A$115,0), MATCH(C158,'転倒'!$G$2:$AC$2,0))</f>
        <v>1-16</v>
      </c>
      <c r="D181" s="308">
        <f t="array" ref="D181">INDEX('転倒'!$G$3:$H$115, MATCH($A$1,'転倒'!$A$3:$A$115,0), MATCH(D158,'転倒'!$G$2:$AC$2,0))</f>
        <v>21</v>
      </c>
      <c r="E181" s="301"/>
      <c r="F181" s="301"/>
      <c r="G181" s="301"/>
      <c r="H181" s="228"/>
      <c r="I181" s="228"/>
      <c r="J181" s="111"/>
      <c r="K181" s="304" t="str">
        <f>'テンプレート'!K139</f>
        <v/>
      </c>
      <c r="L181" s="110"/>
      <c r="M181" s="298" t="str">
        <f>'テンプレート'!M139</f>
        <v/>
      </c>
      <c r="N181" s="2313"/>
      <c r="O181" s="118"/>
      <c r="P181" s="118"/>
      <c r="Q181" s="118"/>
      <c r="R181" s="118"/>
      <c r="S181" s="118"/>
      <c r="T181" s="118"/>
      <c r="U181" s="118"/>
      <c r="V181" s="118"/>
    </row>
    <row r="182" outlineLevel="1">
      <c r="A182" s="146"/>
      <c r="B182" s="300" t="s">
        <v>245</v>
      </c>
      <c r="C182" s="307" t="str">
        <f t="array" ref="C182">INDEX('転倒'!$I$3:$J$115, MATCH($A$1,'転倒'!$A$3:$A$115,0), MATCH(C158,'転倒'!$I$2:$AC$2,0))</f>
        <v>1-9</v>
      </c>
      <c r="D182" s="308">
        <f t="array" ref="D182">INDEX('転倒'!$I$3:$J$115, MATCH($A$1,'転倒'!$A$3:$A$115,0), MATCH(D158,'転倒'!$I$2:$AC$2,0))</f>
        <v>28</v>
      </c>
      <c r="E182" s="301"/>
      <c r="F182" s="301"/>
      <c r="G182" s="301"/>
      <c r="H182" s="228"/>
      <c r="I182" s="228"/>
      <c r="J182" s="228"/>
      <c r="K182" s="316"/>
      <c r="L182" s="317" t="str">
        <f>'テンプレート'!L140</f>
        <v/>
      </c>
      <c r="M182" s="113" t="s">
        <v>76</v>
      </c>
      <c r="N182" s="2313"/>
      <c r="O182" s="118"/>
      <c r="P182" s="118"/>
      <c r="Q182" s="118"/>
      <c r="R182" s="118"/>
      <c r="S182" s="118"/>
      <c r="T182" s="118"/>
      <c r="U182" s="118"/>
      <c r="V182" s="118"/>
    </row>
    <row r="183" outlineLevel="1">
      <c r="A183" s="146"/>
      <c r="B183" s="300" t="s">
        <v>246</v>
      </c>
      <c r="C183" s="307" t="str">
        <f t="array" ref="C183">INDEX('転倒'!$K$3:$L$115, MATCH($A$1,'転倒'!$A$3:$A$115,0), MATCH(C158,'転倒'!$K$2:$AC$2,0))</f>
        <v>1-9</v>
      </c>
      <c r="D183" s="308">
        <f t="array" ref="D183">INDEX('転倒'!$K$3:$L$115, MATCH($A$1,'転倒'!$A$3:$A$115,0), MATCH(D158,'転倒'!$K$2:$AC$2,0))</f>
        <v>28</v>
      </c>
      <c r="E183" s="301"/>
      <c r="F183" s="301"/>
      <c r="G183" s="301"/>
      <c r="H183" s="228"/>
      <c r="I183" s="228"/>
      <c r="J183" s="228"/>
      <c r="K183" s="2365"/>
      <c r="L183" s="118"/>
      <c r="M183" s="118"/>
      <c r="N183" s="2313"/>
      <c r="O183" s="118"/>
      <c r="P183" s="118"/>
      <c r="Q183" s="118"/>
      <c r="R183" s="118"/>
      <c r="S183" s="118"/>
      <c r="T183" s="118"/>
      <c r="U183" s="118"/>
      <c r="V183" s="118"/>
    </row>
    <row r="184" outlineLevel="1">
      <c r="A184" s="146"/>
      <c r="B184" s="300" t="s">
        <v>249</v>
      </c>
      <c r="C184" s="309" t="str">
        <f t="array" ref="C184">INDEX('転倒'!$M$3:$P$115, MATCH($A$1,'転倒'!$A$3:$A$115,0), MATCH(C158,'転倒'!$M$2:$AC$2,0))</f>
        <v>1-7</v>
      </c>
      <c r="D184" s="310">
        <f t="array" ref="D184">INDEX('転倒'!$M$3:$P$115, MATCH($A$1,'転倒'!$A$3:$A$115,0), MATCH(D158,'転倒'!$M$2:$AC$2,0))</f>
        <v>49</v>
      </c>
      <c r="E184" s="307" t="str">
        <f t="array" ref="E184">INDEX('転倒'!$M$3:$P$115, MATCH($A$1,'転倒'!$A$3:$A$115,0), MATCH(E158,'転倒'!$M$2:$AC$2,0))</f>
        <v>19-20</v>
      </c>
      <c r="F184" s="308">
        <f t="array" ref="F184">INDEX('転倒'!$M$3:$P$115, MATCH($A$1,'転倒'!$A$3:$A$115,0), MATCH(F158,'転倒'!$M$2:$AC$2,0))</f>
        <v>5</v>
      </c>
      <c r="G184" s="113">
        <f t="shared" ref="G184:G185" si="3">F184*1.2</f>
        <v>6</v>
      </c>
      <c r="H184" s="228"/>
      <c r="I184" s="228"/>
      <c r="J184" s="228"/>
      <c r="K184" s="118"/>
      <c r="L184" s="118"/>
      <c r="M184" s="118"/>
      <c r="N184" s="2313"/>
      <c r="O184" s="2313"/>
      <c r="P184" s="2313"/>
      <c r="Q184" s="2313"/>
      <c r="R184" s="118"/>
      <c r="S184" s="118"/>
      <c r="T184" s="118"/>
      <c r="U184" s="118"/>
      <c r="V184" s="118"/>
    </row>
    <row r="185" outlineLevel="1">
      <c r="A185" s="156"/>
      <c r="B185" s="311" t="s">
        <v>250</v>
      </c>
      <c r="C185" s="156"/>
      <c r="D185" s="156"/>
      <c r="E185" s="307" t="str">
        <f t="array" ref="E185">INDEX('転倒'!$Q$3:$R$115, MATCH($A$1,'転倒'!$A$3:$A$115,0), MATCH(E158,'転倒'!$Q$2:$AC$2,0))</f>
        <v>31-32</v>
      </c>
      <c r="F185" s="308">
        <f t="array" ref="F185">INDEX('転倒'!$Q$3:$R$115, MATCH($A$1,'転倒'!$A$3:$A$115,0), MATCH(F158,'転倒'!$Q$2:$AC$2,0))</f>
        <v>5</v>
      </c>
      <c r="G185" s="113">
        <f t="shared" si="3"/>
        <v>6</v>
      </c>
      <c r="H185" s="228"/>
      <c r="I185" s="228"/>
      <c r="J185" s="228"/>
      <c r="K185" s="118"/>
      <c r="L185" s="118"/>
      <c r="M185" s="118"/>
      <c r="N185" s="2313"/>
      <c r="O185" s="2313"/>
      <c r="P185" s="2313"/>
      <c r="Q185" s="2313"/>
      <c r="R185" s="118"/>
      <c r="S185" s="118"/>
      <c r="T185" s="118"/>
      <c r="U185" s="118"/>
      <c r="V185" s="118"/>
    </row>
    <row r="186" outlineLevel="1">
      <c r="A186" s="319"/>
      <c r="B186" s="320"/>
      <c r="C186" s="321"/>
      <c r="D186" s="321"/>
      <c r="E186" s="322"/>
      <c r="F186" s="322"/>
      <c r="G186" s="114"/>
      <c r="H186" s="228"/>
      <c r="I186" s="228"/>
      <c r="J186" s="228"/>
      <c r="K186" s="118"/>
      <c r="L186" s="118"/>
      <c r="M186" s="118"/>
      <c r="N186" s="2313"/>
      <c r="O186" s="2313"/>
      <c r="P186" s="2313"/>
      <c r="Q186" s="2313"/>
      <c r="R186" s="118"/>
      <c r="S186" s="118"/>
      <c r="T186" s="118"/>
      <c r="U186" s="118"/>
      <c r="V186" s="118"/>
    </row>
    <row r="187" outlineLevel="1">
      <c r="A187" s="323" t="s">
        <v>255</v>
      </c>
      <c r="B187" s="109"/>
      <c r="C187" s="321"/>
      <c r="D187" s="321"/>
      <c r="E187" s="322"/>
      <c r="F187" s="322"/>
      <c r="G187" s="114"/>
      <c r="H187" s="228"/>
      <c r="I187" s="228"/>
      <c r="J187" s="228"/>
      <c r="K187" s="118"/>
      <c r="L187" s="118"/>
      <c r="M187" s="118"/>
      <c r="N187" s="2313"/>
      <c r="O187" s="2313"/>
      <c r="P187" s="2313"/>
      <c r="Q187" s="2313"/>
      <c r="R187" s="118"/>
      <c r="S187" s="118"/>
      <c r="T187" s="118"/>
      <c r="U187" s="118"/>
      <c r="V187" s="118"/>
    </row>
    <row r="188" outlineLevel="1">
      <c r="A188" s="324" t="s">
        <v>256</v>
      </c>
      <c r="B188" s="109"/>
      <c r="C188" s="325" t="s">
        <v>257</v>
      </c>
      <c r="D188" s="325" t="s">
        <v>49</v>
      </c>
      <c r="E188" s="322"/>
      <c r="F188" s="322"/>
      <c r="G188" s="114"/>
      <c r="H188" s="228"/>
      <c r="I188" s="228"/>
      <c r="J188" s="228"/>
      <c r="K188" s="118"/>
      <c r="L188" s="118"/>
      <c r="M188" s="118"/>
      <c r="N188" s="2313"/>
      <c r="O188" s="2313"/>
      <c r="P188" s="2313"/>
      <c r="Q188" s="2313"/>
      <c r="R188" s="118"/>
      <c r="S188" s="118"/>
      <c r="T188" s="118"/>
      <c r="U188" s="118"/>
      <c r="V188" s="118"/>
    </row>
    <row r="189" outlineLevel="1">
      <c r="A189" s="326" t="s">
        <v>258</v>
      </c>
      <c r="B189" s="327" t="s">
        <v>216</v>
      </c>
      <c r="C189" s="328" t="str">
        <f t="array" ref="C189">INDEX('アイテム'!$C$3:$D$114, MATCH($A$1,'アイテム'!$A$3:$A$114,0), MATCH(C188,'アイテム'!$C$2:$AQ$2,0))</f>
        <v>2</v>
      </c>
      <c r="D189" s="328">
        <f t="array" ref="D189">INDEX('アイテム'!$C$3:$D$114, MATCH($A$1,'アイテム'!$A$3:$A$114,0), MATCH(D188,'アイテム'!$C$2:$AQ$2,0))</f>
        <v>7</v>
      </c>
      <c r="E189" s="322"/>
      <c r="F189" s="322"/>
      <c r="G189" s="114"/>
      <c r="H189" s="228"/>
      <c r="I189" s="228"/>
      <c r="J189" s="228"/>
      <c r="K189" s="118"/>
      <c r="L189" s="118"/>
      <c r="M189" s="118"/>
      <c r="N189" s="2313"/>
      <c r="O189" s="2313"/>
      <c r="P189" s="2313"/>
      <c r="Q189" s="2313"/>
      <c r="R189" s="118"/>
      <c r="S189" s="118"/>
      <c r="T189" s="118"/>
      <c r="U189" s="118"/>
      <c r="V189" s="118"/>
    </row>
    <row r="190" outlineLevel="1">
      <c r="A190" s="156"/>
      <c r="B190" s="327" t="s">
        <v>219</v>
      </c>
      <c r="C190" s="328" t="str">
        <f t="array" ref="C190">INDEX('アイテム'!$E$3:$F$114, MATCH($A$1,'アイテム'!$A$3:$A$114,0), MATCH(C188,'アイテム'!$C$2:$AQ$2,0))</f>
        <v>2</v>
      </c>
      <c r="D190" s="328">
        <f t="array" ref="D190">INDEX('アイテム'!$E$3:$F$114, MATCH($A$1,'アイテム'!$A$3:$A$114,0), MATCH(D188,'アイテム'!$C$2:$AQ$2,0))</f>
        <v>19</v>
      </c>
      <c r="E190" s="322"/>
      <c r="F190" s="322"/>
      <c r="G190" s="114"/>
      <c r="H190" s="228"/>
      <c r="I190" s="228"/>
      <c r="J190" s="228"/>
      <c r="K190" s="118"/>
      <c r="L190" s="118"/>
      <c r="M190" s="118"/>
      <c r="N190" s="2313"/>
      <c r="O190" s="2313"/>
      <c r="P190" s="2313"/>
      <c r="Q190" s="2313"/>
      <c r="R190" s="118"/>
      <c r="S190" s="118"/>
      <c r="T190" s="118"/>
      <c r="U190" s="118"/>
      <c r="V190" s="118"/>
    </row>
    <row r="191" outlineLevel="1">
      <c r="A191" s="329" t="s">
        <v>259</v>
      </c>
      <c r="B191" s="327" t="s">
        <v>216</v>
      </c>
      <c r="C191" s="328">
        <f t="array" ref="C191">INDEX('アイテム'!$AA$3:$AB$114, MATCH($A$1,'アイテム'!$A$3:$A$114,0), MATCH(C188,'アイテム'!$C$2:$AQ$2,0))</f>
        <v>3</v>
      </c>
      <c r="D191" s="328" t="str">
        <f t="array" ref="D191">INDEX('アイテム'!$AA$3:$AB$114, MATCH($A$1,'アイテム'!$A$3:$A$114,0), MATCH(D188,'アイテム'!$C$2:$AQ$2,0))</f>
        <v>12</v>
      </c>
      <c r="E191" s="322"/>
      <c r="F191" s="322"/>
      <c r="G191" s="114"/>
      <c r="H191" s="228"/>
      <c r="I191" s="228"/>
      <c r="J191" s="228"/>
      <c r="K191" s="118"/>
      <c r="L191" s="118"/>
      <c r="M191" s="118"/>
      <c r="N191" s="2313"/>
      <c r="O191" s="2313"/>
      <c r="P191" s="2313"/>
      <c r="Q191" s="2313"/>
      <c r="R191" s="118"/>
      <c r="S191" s="118"/>
      <c r="T191" s="118"/>
      <c r="U191" s="118"/>
      <c r="V191" s="118"/>
    </row>
    <row r="192" outlineLevel="1">
      <c r="A192" s="324" t="s">
        <v>260</v>
      </c>
      <c r="B192" s="109"/>
      <c r="C192" s="325" t="s">
        <v>261</v>
      </c>
      <c r="D192" s="325" t="s">
        <v>49</v>
      </c>
      <c r="E192" s="322"/>
      <c r="F192" s="322"/>
      <c r="G192" s="114"/>
      <c r="H192" s="228"/>
      <c r="I192" s="228"/>
      <c r="J192" s="228"/>
      <c r="K192" s="118"/>
      <c r="L192" s="118"/>
      <c r="M192" s="118"/>
      <c r="N192" s="2313"/>
      <c r="O192" s="2313"/>
      <c r="P192" s="2313"/>
      <c r="Q192" s="2313"/>
      <c r="R192" s="118"/>
      <c r="S192" s="118"/>
      <c r="T192" s="118"/>
      <c r="U192" s="118"/>
      <c r="V192" s="118"/>
    </row>
    <row r="193" outlineLevel="1">
      <c r="A193" s="326" t="s">
        <v>262</v>
      </c>
      <c r="B193" s="327" t="s">
        <v>226</v>
      </c>
      <c r="C193" s="328" t="str">
        <f t="array" ref="C193">INDEX('アイテム'!$G$3:$H$114, MATCH($A$1,'アイテム'!$A$3:$A$114,0), MATCH(C188,'アイテム'!$C$2:$AQ$2,0))</f>
        <v>8</v>
      </c>
      <c r="D193" s="328">
        <f t="array" ref="D193">INDEX('アイテム'!$G$3:$H$114, MATCH($A$1,'アイテム'!$A$3:$A$114,0), MATCH(D188,'アイテム'!$C$2:$AQ$2,0))</f>
        <v>24</v>
      </c>
      <c r="E193" s="322"/>
      <c r="F193" s="322"/>
      <c r="G193" s="114"/>
      <c r="H193" s="228"/>
      <c r="I193" s="228"/>
      <c r="J193" s="228"/>
      <c r="K193" s="118"/>
      <c r="L193" s="118"/>
      <c r="M193" s="118"/>
      <c r="N193" s="2313"/>
      <c r="O193" s="2313"/>
      <c r="P193" s="2313"/>
      <c r="Q193" s="2313"/>
      <c r="R193" s="118"/>
      <c r="S193" s="118"/>
      <c r="T193" s="118"/>
      <c r="U193" s="118"/>
      <c r="V193" s="118"/>
    </row>
    <row r="194" outlineLevel="1">
      <c r="A194" s="146"/>
      <c r="B194" s="327" t="s">
        <v>229</v>
      </c>
      <c r="C194" s="328" t="str">
        <f t="array" ref="C194">INDEX('アイテム'!$I$3:$J$114, MATCH($A$1,'アイテム'!$A$3:$A$114,0), MATCH(C188,'アイテム'!$C$2:$AQ$2,0))</f>
        <v>11</v>
      </c>
      <c r="D194" s="328">
        <f t="array" ref="D194">INDEX('アイテム'!$I$3:$J$114, MATCH($A$1,'アイテム'!$A$3:$A$114,0), MATCH(D188,'アイテム'!$C$2:$AQ$2,0))</f>
        <v>24</v>
      </c>
      <c r="E194" s="322"/>
      <c r="F194" s="322"/>
      <c r="G194" s="114"/>
      <c r="H194" s="228"/>
      <c r="I194" s="228"/>
      <c r="J194" s="228"/>
      <c r="K194" s="118"/>
      <c r="L194" s="118"/>
      <c r="M194" s="118"/>
      <c r="N194" s="2313"/>
      <c r="O194" s="2313"/>
      <c r="P194" s="2313"/>
      <c r="Q194" s="2313"/>
      <c r="R194" s="118"/>
      <c r="S194" s="118"/>
      <c r="T194" s="118"/>
      <c r="U194" s="118"/>
      <c r="V194" s="118"/>
    </row>
    <row r="195" outlineLevel="1">
      <c r="A195" s="146"/>
      <c r="B195" s="327" t="s">
        <v>233</v>
      </c>
      <c r="C195" s="328" t="str">
        <f t="array" ref="C195">INDEX('アイテム'!$K$3:$L$114, MATCH($A$1,'アイテム'!$A$3:$A$114,0), MATCH(C188,'アイテム'!$C$2:$AQ$2,0))</f>
        <v>12</v>
      </c>
      <c r="D195" s="328">
        <f t="array" ref="D195">INDEX('アイテム'!$K$3:$L$114, MATCH($A$1,'アイテム'!$A$3:$A$114,0), MATCH(D188,'アイテム'!$C$2:$AQ$2,0))</f>
        <v>23</v>
      </c>
      <c r="E195" s="322"/>
      <c r="F195" s="322"/>
      <c r="G195" s="114"/>
      <c r="H195" s="228"/>
      <c r="I195" s="228"/>
      <c r="J195" s="228"/>
      <c r="K195" s="118"/>
      <c r="L195" s="118"/>
      <c r="M195" s="118"/>
      <c r="N195" s="2313"/>
      <c r="O195" s="2313"/>
      <c r="P195" s="2313"/>
      <c r="Q195" s="2313"/>
      <c r="R195" s="118"/>
      <c r="S195" s="118"/>
      <c r="T195" s="118"/>
      <c r="U195" s="118"/>
      <c r="V195" s="118"/>
    </row>
    <row r="196" outlineLevel="1">
      <c r="A196" s="146"/>
      <c r="B196" s="327" t="s">
        <v>234</v>
      </c>
      <c r="C196" s="328" t="str">
        <f t="array" ref="C196">INDEX('アイテム'!$M$3:$N$114, MATCH($A$1,'アイテム'!$A$3:$A$114,0), MATCH(C188,'アイテム'!$C$2:$AQ$2,0))</f>
        <v>7</v>
      </c>
      <c r="D196" s="328">
        <f t="array" ref="D196">INDEX('アイテム'!$M$3:$N$114, MATCH($A$1,'アイテム'!$A$3:$A$114,0), MATCH(D188,'アイテム'!$C$2:$AQ$2,0))</f>
        <v>19</v>
      </c>
      <c r="E196" s="322"/>
      <c r="F196" s="322"/>
      <c r="G196" s="114"/>
      <c r="H196" s="228"/>
      <c r="I196" s="228"/>
      <c r="J196" s="228"/>
      <c r="K196" s="118"/>
      <c r="L196" s="118"/>
      <c r="M196" s="118"/>
      <c r="N196" s="2313"/>
      <c r="O196" s="2313"/>
      <c r="P196" s="2313"/>
      <c r="Q196" s="2313"/>
      <c r="R196" s="118"/>
      <c r="S196" s="118"/>
      <c r="T196" s="118"/>
      <c r="U196" s="118"/>
      <c r="V196" s="118"/>
    </row>
    <row r="197" outlineLevel="1">
      <c r="A197" s="146"/>
      <c r="B197" s="327" t="s">
        <v>219</v>
      </c>
      <c r="C197" s="328" t="str">
        <f t="array" ref="C197">INDEX('アイテム'!$O$3:$P$114, MATCH($A$1,'アイテム'!$A$3:$A$114,0), MATCH(C188,'アイテム'!$C$2:$AQ$2,0))</f>
        <v>5</v>
      </c>
      <c r="D197" s="328">
        <f t="array" ref="D197">INDEX('アイテム'!$O$3:$P$114, MATCH($A$1,'アイテム'!$A$3:$A$114,0), MATCH(D188,'アイテム'!$C$2:$AQ$2,0))</f>
        <v>29</v>
      </c>
      <c r="E197" s="322"/>
      <c r="F197" s="322"/>
      <c r="G197" s="114"/>
      <c r="H197" s="228"/>
      <c r="I197" s="228"/>
      <c r="J197" s="228"/>
      <c r="K197" s="118"/>
      <c r="L197" s="118"/>
      <c r="M197" s="118"/>
      <c r="N197" s="2313"/>
      <c r="O197" s="2313"/>
      <c r="P197" s="2313"/>
      <c r="Q197" s="2313"/>
      <c r="R197" s="118"/>
      <c r="S197" s="118"/>
      <c r="T197" s="118"/>
      <c r="U197" s="118"/>
      <c r="V197" s="118"/>
    </row>
    <row r="198" outlineLevel="1">
      <c r="A198" s="156"/>
      <c r="B198" s="327" t="s">
        <v>263</v>
      </c>
      <c r="C198" s="328" t="str">
        <f t="array" ref="C198">INDEX('アイテム'!$Q$3:$R$114, MATCH($A$1,'アイテム'!$A$3:$A$114,0), MATCH(C188,'アイテム'!$C$2:$AQ$2,0))</f>
        <v>6</v>
      </c>
      <c r="D198" s="328">
        <f t="array" ref="D198">INDEX('アイテム'!$Q$3:$R$114, MATCH($A$1,'アイテム'!$A$3:$A$114,0), MATCH(D188,'アイテム'!$C$2:$AQ$2,0))</f>
        <v>23</v>
      </c>
      <c r="E198" s="322"/>
      <c r="F198" s="322"/>
      <c r="G198" s="114"/>
      <c r="H198" s="228"/>
      <c r="I198" s="228"/>
      <c r="J198" s="228"/>
      <c r="K198" s="118"/>
      <c r="L198" s="118"/>
      <c r="M198" s="118"/>
      <c r="N198" s="2313"/>
      <c r="O198" s="2313"/>
      <c r="P198" s="2313"/>
      <c r="Q198" s="2313"/>
      <c r="R198" s="118"/>
      <c r="S198" s="118"/>
      <c r="T198" s="118"/>
      <c r="U198" s="118"/>
      <c r="V198" s="118"/>
    </row>
    <row r="199" outlineLevel="1">
      <c r="A199" s="326" t="s">
        <v>264</v>
      </c>
      <c r="B199" s="327" t="s">
        <v>226</v>
      </c>
      <c r="C199" s="328" t="str">
        <f t="array" ref="C199">INDEX('アイテム'!$S$3:$T$114, MATCH($A$1,'アイテム'!$A$3:$A$114,0), MATCH(C188,'アイテム'!$C$2:$AQ$2,0))</f>
        <v>8</v>
      </c>
      <c r="D199" s="328">
        <f t="array" ref="D199">INDEX('アイテム'!$S$3:$T$114, MATCH($A$1,'アイテム'!$A$3:$A$114,0), MATCH(D188,'アイテム'!$C$2:$AQ$2,0))</f>
        <v>24</v>
      </c>
      <c r="E199" s="322"/>
      <c r="F199" s="322"/>
      <c r="G199" s="114"/>
      <c r="H199" s="228"/>
      <c r="I199" s="228"/>
      <c r="J199" s="228"/>
      <c r="K199" s="118"/>
      <c r="L199" s="118"/>
      <c r="M199" s="118"/>
      <c r="N199" s="2313"/>
      <c r="O199" s="2313"/>
      <c r="P199" s="2313"/>
      <c r="Q199" s="2313"/>
      <c r="R199" s="118"/>
      <c r="S199" s="118"/>
      <c r="T199" s="118"/>
      <c r="U199" s="118"/>
      <c r="V199" s="118"/>
    </row>
    <row r="200" outlineLevel="1">
      <c r="A200" s="146"/>
      <c r="B200" s="327" t="s">
        <v>229</v>
      </c>
      <c r="C200" s="328" t="str">
        <f t="array" ref="C200">INDEX('アイテム'!$U$3:$V$114, MATCH($A$1,'アイテム'!$A$3:$A$114,0), MATCH(C188,'アイテム'!$C$2:$AQ$2,0))</f>
        <v>11</v>
      </c>
      <c r="D200" s="328">
        <f t="array" ref="D200">INDEX('アイテム'!$U$3:$V$114, MATCH($A$1,'アイテム'!$A$3:$A$114,0), MATCH(D188,'アイテム'!$C$2:$AQ$2,0))</f>
        <v>24</v>
      </c>
      <c r="E200" s="322"/>
      <c r="F200" s="322"/>
      <c r="G200" s="114"/>
      <c r="H200" s="228"/>
      <c r="I200" s="228"/>
      <c r="J200" s="228"/>
      <c r="K200" s="118"/>
      <c r="L200" s="118"/>
      <c r="M200" s="118"/>
      <c r="N200" s="2313"/>
      <c r="O200" s="2313"/>
      <c r="P200" s="2313"/>
      <c r="Q200" s="2313"/>
      <c r="R200" s="118"/>
      <c r="S200" s="118"/>
      <c r="T200" s="118"/>
      <c r="U200" s="118"/>
      <c r="V200" s="118"/>
    </row>
    <row r="201" outlineLevel="1">
      <c r="A201" s="146"/>
      <c r="B201" s="327" t="s">
        <v>233</v>
      </c>
      <c r="C201" s="328" t="str">
        <f t="array" ref="C201">INDEX('アイテム'!$W$3:$X$114, MATCH($A$1,'アイテム'!$A$3:$A$114,0), MATCH(C188,'アイテム'!$C$2:$AQ$2,0))</f>
        <v>12</v>
      </c>
      <c r="D201" s="328">
        <f t="array" ref="D201">INDEX('アイテム'!$W$3:$X$114, MATCH($A$1,'アイテム'!$A$3:$A$114,0), MATCH(D188,'アイテム'!$C$2:$AQ$2,0))</f>
        <v>23</v>
      </c>
      <c r="E201" s="322"/>
      <c r="F201" s="322"/>
      <c r="G201" s="114"/>
      <c r="H201" s="228"/>
      <c r="I201" s="228"/>
      <c r="J201" s="228"/>
      <c r="K201" s="118"/>
      <c r="L201" s="118"/>
      <c r="M201" s="118"/>
      <c r="N201" s="2313"/>
      <c r="O201" s="2313"/>
      <c r="P201" s="2313"/>
      <c r="Q201" s="2313"/>
      <c r="R201" s="118"/>
      <c r="S201" s="118"/>
      <c r="T201" s="118"/>
      <c r="U201" s="118"/>
      <c r="V201" s="118"/>
    </row>
    <row r="202" outlineLevel="1">
      <c r="A202" s="156"/>
      <c r="B202" s="327" t="s">
        <v>234</v>
      </c>
      <c r="C202" s="328" t="str">
        <f t="array" ref="C202">INDEX('アイテム'!$Y$3:$Z$114, MATCH($A$1,'アイテム'!$A$3:$A$114,0), MATCH(C188,'アイテム'!$C$2:$AQ$2,0))</f>
        <v>7</v>
      </c>
      <c r="D202" s="328">
        <f t="array" ref="D202">INDEX('アイテム'!$Y$3:$Z$114, MATCH($A$1,'アイテム'!$A$3:$A$114,0), MATCH(D188,'アイテム'!$C$2:$AQ$2,0))</f>
        <v>19</v>
      </c>
      <c r="E202" s="322"/>
      <c r="F202" s="322"/>
      <c r="G202" s="114"/>
      <c r="H202" s="228"/>
      <c r="I202" s="228"/>
      <c r="J202" s="228"/>
      <c r="K202" s="118"/>
      <c r="L202" s="118"/>
      <c r="M202" s="118"/>
      <c r="N202" s="2313"/>
      <c r="O202" s="2313"/>
      <c r="P202" s="2313"/>
      <c r="Q202" s="2313"/>
      <c r="R202" s="118"/>
      <c r="S202" s="118"/>
      <c r="T202" s="118"/>
      <c r="U202" s="118"/>
      <c r="V202" s="118"/>
    </row>
    <row r="203" outlineLevel="1">
      <c r="A203" s="326" t="s">
        <v>265</v>
      </c>
      <c r="B203" s="327" t="s">
        <v>226</v>
      </c>
      <c r="C203" s="328">
        <f t="array" ref="C203">INDEX('アイテム'!$AC$3:$AD$114, MATCH($A$1,'アイテム'!$A$3:$A$114,0), MATCH(C188,'アイテム'!$C$2:$AQ$2,0))</f>
        <v>14</v>
      </c>
      <c r="D203" s="328" t="str">
        <f t="array" ref="D203">INDEX('アイテム'!$AC$3:$AD$114, MATCH($A$1,'アイテム'!$A$3:$A$114,0), MATCH(D188,'アイテム'!$C$2:$AQ$2,0))</f>
        <v>30</v>
      </c>
      <c r="E203" s="322"/>
      <c r="F203" s="322"/>
      <c r="G203" s="114"/>
      <c r="H203" s="228"/>
      <c r="I203" s="228"/>
      <c r="J203" s="228"/>
      <c r="K203" s="118"/>
      <c r="L203" s="118"/>
      <c r="M203" s="118"/>
      <c r="N203" s="2313"/>
      <c r="O203" s="2313"/>
      <c r="P203" s="2313"/>
      <c r="Q203" s="2313"/>
      <c r="R203" s="118"/>
      <c r="S203" s="118"/>
      <c r="T203" s="118"/>
      <c r="U203" s="118"/>
      <c r="V203" s="118"/>
    </row>
    <row r="204" outlineLevel="1">
      <c r="A204" s="146"/>
      <c r="B204" s="327" t="s">
        <v>229</v>
      </c>
      <c r="C204" s="328">
        <f t="array" ref="C204">INDEX('アイテム'!$AE$3:$AF$114, MATCH($A$1,'アイテム'!$A$3:$A$114,0), MATCH(C188,'アイテム'!$C$2:$AQ$2,0))</f>
        <v>15</v>
      </c>
      <c r="D204" s="328" t="str">
        <f t="array" ref="D204">INDEX('アイテム'!$AE$3:$AF$114, MATCH($A$1,'アイテム'!$A$3:$A$114,0), MATCH(D188,'アイテム'!$C$2:$AQ$2,0))</f>
        <v>30</v>
      </c>
      <c r="E204" s="322"/>
      <c r="F204" s="322"/>
      <c r="G204" s="114"/>
      <c r="H204" s="228"/>
      <c r="I204" s="228"/>
      <c r="J204" s="228"/>
      <c r="K204" s="118"/>
      <c r="L204" s="118"/>
      <c r="M204" s="118"/>
      <c r="N204" s="2313"/>
      <c r="O204" s="2313"/>
      <c r="P204" s="2313"/>
      <c r="Q204" s="2313"/>
      <c r="R204" s="118"/>
      <c r="S204" s="118"/>
      <c r="T204" s="118"/>
      <c r="U204" s="118"/>
      <c r="V204" s="118"/>
    </row>
    <row r="205" outlineLevel="1">
      <c r="A205" s="146"/>
      <c r="B205" s="327" t="s">
        <v>233</v>
      </c>
      <c r="C205" s="328">
        <f t="array" ref="C205">INDEX('アイテム'!$AG$3:$AH$114, MATCH($A$1,'アイテム'!$A$3:$A$114,0), MATCH(C188,'アイテム'!$C$2:$AQ$2,0))</f>
        <v>11</v>
      </c>
      <c r="D205" s="328" t="str">
        <f t="array" ref="D205">INDEX('アイテム'!$AG$3:$AH$114, MATCH($A$1,'アイテム'!$A$3:$A$114,0), MATCH(D188,'アイテム'!$C$2:$AQ$2,0))</f>
        <v>22</v>
      </c>
      <c r="E205" s="322"/>
      <c r="F205" s="322"/>
      <c r="G205" s="114"/>
      <c r="H205" s="228"/>
      <c r="I205" s="228"/>
      <c r="J205" s="228"/>
      <c r="K205" s="118"/>
      <c r="L205" s="118"/>
      <c r="M205" s="118"/>
      <c r="N205" s="2313"/>
      <c r="O205" s="2313"/>
      <c r="P205" s="2313"/>
      <c r="Q205" s="2313"/>
      <c r="R205" s="118"/>
      <c r="S205" s="118"/>
      <c r="T205" s="118"/>
      <c r="U205" s="118"/>
      <c r="V205" s="118"/>
    </row>
    <row r="206" outlineLevel="1">
      <c r="A206" s="156"/>
      <c r="B206" s="327" t="s">
        <v>234</v>
      </c>
      <c r="C206" s="328">
        <f t="array" ref="C206">INDEX('アイテム'!$AI$3:$AJ$114, MATCH($A$1,'アイテム'!$A$3:$A$114,0), MATCH(C188,'アイテム'!$C$2:$AQ$2,0))</f>
        <v>9</v>
      </c>
      <c r="D206" s="328" t="str">
        <f t="array" ref="D206">INDEX('アイテム'!$AI$3:$AJ$114, MATCH($A$1,'アイテム'!$A$3:$A$114,0), MATCH(D188,'アイテム'!$C$2:$AQ$2,0))</f>
        <v>22</v>
      </c>
      <c r="E206" s="322"/>
      <c r="F206" s="322"/>
      <c r="G206" s="114"/>
      <c r="H206" s="228"/>
      <c r="I206" s="228"/>
      <c r="J206" s="228"/>
      <c r="K206" s="118"/>
      <c r="L206" s="118"/>
      <c r="M206" s="118"/>
      <c r="N206" s="2313"/>
      <c r="O206" s="2313"/>
      <c r="P206" s="2313"/>
      <c r="Q206" s="2313"/>
      <c r="R206" s="118"/>
      <c r="S206" s="118"/>
      <c r="T206" s="118"/>
      <c r="U206" s="118"/>
      <c r="V206" s="118"/>
    </row>
  </sheetData>
  <mergeCells count="213">
    <mergeCell ref="U31:U32"/>
    <mergeCell ref="U33:U35"/>
    <mergeCell ref="U39:U40"/>
    <mergeCell ref="R44:V44"/>
    <mergeCell ref="R45:V46"/>
    <mergeCell ref="R47:V48"/>
    <mergeCell ref="R49:V49"/>
    <mergeCell ref="R50:V50"/>
    <mergeCell ref="R51:V52"/>
    <mergeCell ref="U56:U57"/>
    <mergeCell ref="V56:V57"/>
    <mergeCell ref="U59:U65"/>
    <mergeCell ref="V59:V65"/>
    <mergeCell ref="V67:V70"/>
    <mergeCell ref="U67:U70"/>
    <mergeCell ref="U72:U80"/>
    <mergeCell ref="V72:V80"/>
    <mergeCell ref="U82:U84"/>
    <mergeCell ref="V82:V84"/>
    <mergeCell ref="U86:U91"/>
    <mergeCell ref="V86:V91"/>
    <mergeCell ref="U109:U120"/>
    <mergeCell ref="U122:U126"/>
    <mergeCell ref="U128:U131"/>
    <mergeCell ref="V122:V126"/>
    <mergeCell ref="V128:V131"/>
    <mergeCell ref="U93:U96"/>
    <mergeCell ref="V93:V96"/>
    <mergeCell ref="U98:U104"/>
    <mergeCell ref="V98:V104"/>
    <mergeCell ref="U106:U107"/>
    <mergeCell ref="V106:V107"/>
    <mergeCell ref="V109:V120"/>
    <mergeCell ref="G56:G57"/>
    <mergeCell ref="H56:J57"/>
    <mergeCell ref="H58:J58"/>
    <mergeCell ref="C64:C65"/>
    <mergeCell ref="E64:E65"/>
    <mergeCell ref="F64:F65"/>
    <mergeCell ref="G64:G65"/>
    <mergeCell ref="H59:J65"/>
    <mergeCell ref="H66:J66"/>
    <mergeCell ref="H67:J70"/>
    <mergeCell ref="H71:J71"/>
    <mergeCell ref="H72:J80"/>
    <mergeCell ref="H81:J81"/>
    <mergeCell ref="H82:J84"/>
    <mergeCell ref="H85:J85"/>
    <mergeCell ref="H86:J91"/>
    <mergeCell ref="H92:J92"/>
    <mergeCell ref="H93:J96"/>
    <mergeCell ref="H97:J97"/>
    <mergeCell ref="H98:J104"/>
    <mergeCell ref="H105:J105"/>
    <mergeCell ref="E123:E124"/>
    <mergeCell ref="D125:D126"/>
    <mergeCell ref="E125:E126"/>
    <mergeCell ref="F125:F126"/>
    <mergeCell ref="G125:G126"/>
    <mergeCell ref="H106:J107"/>
    <mergeCell ref="H108:J108"/>
    <mergeCell ref="H109:J120"/>
    <mergeCell ref="H121:J121"/>
    <mergeCell ref="H122:J126"/>
    <mergeCell ref="F123:F124"/>
    <mergeCell ref="G123:G124"/>
    <mergeCell ref="G144:J145"/>
    <mergeCell ref="G146:J147"/>
    <mergeCell ref="H127:J127"/>
    <mergeCell ref="H128:J128"/>
    <mergeCell ref="H129:J129"/>
    <mergeCell ref="H130:J131"/>
    <mergeCell ref="G139:J139"/>
    <mergeCell ref="G140:J141"/>
    <mergeCell ref="G142:J143"/>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2"/>
    <mergeCell ref="H33:J35"/>
    <mergeCell ref="A43:B44"/>
    <mergeCell ref="A45:A46"/>
    <mergeCell ref="D45:D46"/>
    <mergeCell ref="H36:J36"/>
    <mergeCell ref="H37:J37"/>
    <mergeCell ref="H38:J38"/>
    <mergeCell ref="H39:J40"/>
    <mergeCell ref="H41:J41"/>
    <mergeCell ref="I45:I46"/>
    <mergeCell ref="J45:J46"/>
    <mergeCell ref="I47:I48"/>
    <mergeCell ref="J47:J48"/>
    <mergeCell ref="I51:I52"/>
    <mergeCell ref="J51:J52"/>
    <mergeCell ref="H55:J55"/>
    <mergeCell ref="E56:E57"/>
    <mergeCell ref="F56:F57"/>
    <mergeCell ref="C123:C124"/>
    <mergeCell ref="C125:C126"/>
    <mergeCell ref="D86:D87"/>
    <mergeCell ref="D88:D90"/>
    <mergeCell ref="C94:C95"/>
    <mergeCell ref="D98:D104"/>
    <mergeCell ref="D106:D107"/>
    <mergeCell ref="D109:D115"/>
    <mergeCell ref="D123:D124"/>
    <mergeCell ref="D140:D141"/>
    <mergeCell ref="D142:D143"/>
    <mergeCell ref="A128:A131"/>
    <mergeCell ref="D130:D131"/>
    <mergeCell ref="A133:B134"/>
    <mergeCell ref="A136:A138"/>
    <mergeCell ref="A139:B139"/>
    <mergeCell ref="A140:A141"/>
    <mergeCell ref="A142:A143"/>
    <mergeCell ref="A159:A163"/>
    <mergeCell ref="A167:A172"/>
    <mergeCell ref="A173:A178"/>
    <mergeCell ref="A179:A185"/>
    <mergeCell ref="A189:A190"/>
    <mergeCell ref="A193:A198"/>
    <mergeCell ref="A199:A202"/>
    <mergeCell ref="A203:A206"/>
    <mergeCell ref="A144:A145"/>
    <mergeCell ref="D144:D145"/>
    <mergeCell ref="A146:A147"/>
    <mergeCell ref="D146:D147"/>
    <mergeCell ref="A149:B150"/>
    <mergeCell ref="A151:A153"/>
    <mergeCell ref="A154:A155"/>
    <mergeCell ref="A157:B158"/>
    <mergeCell ref="K158:L158"/>
    <mergeCell ref="K159:K160"/>
    <mergeCell ref="K161:L161"/>
    <mergeCell ref="K162:K167"/>
    <mergeCell ref="A164:A166"/>
    <mergeCell ref="K168:K171"/>
    <mergeCell ref="K172:L172"/>
    <mergeCell ref="C184:C185"/>
    <mergeCell ref="D184:D185"/>
    <mergeCell ref="A187:B187"/>
    <mergeCell ref="A188:B188"/>
    <mergeCell ref="A192:B192"/>
    <mergeCell ref="C171:C172"/>
    <mergeCell ref="D171:D172"/>
    <mergeCell ref="K174:K177"/>
    <mergeCell ref="C177:C178"/>
    <mergeCell ref="D177:D178"/>
    <mergeCell ref="K178:L178"/>
    <mergeCell ref="K181:L181"/>
    <mergeCell ref="D33:D35"/>
    <mergeCell ref="D39:D40"/>
    <mergeCell ref="A24:B25"/>
    <mergeCell ref="A26:A30"/>
    <mergeCell ref="A31:A32"/>
    <mergeCell ref="D31:D32"/>
    <mergeCell ref="A33:A35"/>
    <mergeCell ref="C33:C35"/>
    <mergeCell ref="A39:A40"/>
    <mergeCell ref="A47:A48"/>
    <mergeCell ref="D47:D48"/>
    <mergeCell ref="A51:A52"/>
    <mergeCell ref="D51:D52"/>
    <mergeCell ref="A54:B54"/>
    <mergeCell ref="A55:B55"/>
    <mergeCell ref="C56:C57"/>
    <mergeCell ref="A58:B58"/>
    <mergeCell ref="A59:A63"/>
    <mergeCell ref="C59:C60"/>
    <mergeCell ref="D59:D61"/>
    <mergeCell ref="D62:D63"/>
    <mergeCell ref="A66:B66"/>
    <mergeCell ref="A67:A68"/>
    <mergeCell ref="A69:A70"/>
    <mergeCell ref="A71:B71"/>
    <mergeCell ref="A72:A80"/>
    <mergeCell ref="D73:D80"/>
    <mergeCell ref="C74:C75"/>
    <mergeCell ref="A81:B81"/>
    <mergeCell ref="A85:B85"/>
    <mergeCell ref="A82:A84"/>
    <mergeCell ref="A86:A91"/>
    <mergeCell ref="A92:B92"/>
    <mergeCell ref="A93:A96"/>
    <mergeCell ref="A97:B97"/>
    <mergeCell ref="A98:A104"/>
    <mergeCell ref="A105:B105"/>
    <mergeCell ref="A106:A107"/>
    <mergeCell ref="A108:B108"/>
    <mergeCell ref="A109:A115"/>
    <mergeCell ref="A116:A119"/>
    <mergeCell ref="A121:B121"/>
    <mergeCell ref="A122:A126"/>
    <mergeCell ref="A127:B127"/>
  </mergeCells>
  <conditionalFormatting sqref="K1:K15 K17:K121 K123:K127 K130:K182 P147">
    <cfRule type="containsText" dxfId="0" priority="1" operator="containsText" text="361">
      <formula>NOT(ISERROR(SEARCH(("361"),(K1))))</formula>
    </cfRule>
  </conditionalFormatting>
  <conditionalFormatting sqref="K1:K15 K17:K121 K123:K127 K130:K182 P147">
    <cfRule type="containsText" dxfId="1" priority="2" operator="containsText" text="363">
      <formula>NOT(ISERROR(SEARCH(("363"),(K1))))</formula>
    </cfRule>
  </conditionalFormatting>
  <conditionalFormatting sqref="K1:K15 K17:K121 K123:K127 K130:K182 P147">
    <cfRule type="containsText" dxfId="1" priority="3" operator="containsText" text="365">
      <formula>NOT(ISERROR(SEARCH(("365"),(K1))))</formula>
    </cfRule>
  </conditionalFormatting>
  <conditionalFormatting sqref="K1:K15 K17:K121 K123:K127 K130:K182 P147">
    <cfRule type="containsText" dxfId="1" priority="4" operator="containsText" text="366">
      <formula>NOT(ISERROR(SEARCH(("366"),(K1))))</formula>
    </cfRule>
  </conditionalFormatting>
  <conditionalFormatting sqref="K1:K15 K17:K121 K123:K127 K130:K182 P147">
    <cfRule type="containsText" dxfId="1" priority="5" operator="containsText" text="367">
      <formula>NOT(ISERROR(SEARCH(("367"),(K1))))</formula>
    </cfRule>
  </conditionalFormatting>
  <conditionalFormatting sqref="P140:P147">
    <cfRule type="cellIs" dxfId="2" priority="6" operator="equal">
      <formula>"敵のみ"</formula>
    </cfRule>
  </conditionalFormatting>
  <conditionalFormatting sqref="C140:C147">
    <cfRule type="cellIs" dxfId="3" priority="7" operator="equal">
      <formula>"-"</formula>
    </cfRule>
  </conditionalFormatting>
  <conditionalFormatting sqref="O1:O121 O123:O127 O130:O206 C140 E140:F140 K140:N140 P140:Q140 C144 E144:F144 K144:N144 P144:Q144 P147">
    <cfRule type="cellIs" dxfId="4" priority="8" operator="greaterThan">
      <formula>0</formula>
    </cfRule>
  </conditionalFormatting>
  <conditionalFormatting sqref="P1:Q121 P123:Q127 P130:Q206">
    <cfRule type="cellIs" dxfId="5" priority="9" operator="lessThan">
      <formula>1</formula>
    </cfRule>
  </conditionalFormatting>
  <conditionalFormatting sqref="P1:Q121 P123:Q127 P130:Q206">
    <cfRule type="cellIs" dxfId="4" priority="10" operator="greaterThan">
      <formula>1</formula>
    </cfRule>
  </conditionalFormatting>
  <conditionalFormatting sqref="N25:N121 N123:N127 N130:N147">
    <cfRule type="cellIs" dxfId="6" priority="11" operator="greaterThan">
      <formula>0</formula>
    </cfRule>
  </conditionalFormatting>
  <conditionalFormatting sqref="N1:N15 N17:N121 N123:N127 N130:N206">
    <cfRule type="containsText" dxfId="6" priority="12" operator="containsText" text="/">
      <formula>NOT(ISERROR(SEARCH(("/"),(N1))))</formula>
    </cfRule>
  </conditionalFormatting>
  <drawing r:id="rId2"/>
  <legacyDrawing r:id="rId3"/>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D6FC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366">
        <v>52.0</v>
      </c>
      <c r="B1" s="2367"/>
      <c r="C1" s="2368" t="str">
        <f>IMAGE(VLOOKUP($A$1,Fighters!A2:AI114,12,FALSE),1)</f>
        <v>#REF!</v>
      </c>
      <c r="D1" s="2369"/>
      <c r="E1" s="2369"/>
      <c r="F1" s="2369"/>
      <c r="G1" s="2370"/>
      <c r="H1" s="2371"/>
      <c r="I1" s="2369"/>
      <c r="J1" s="2370"/>
      <c r="K1" s="2372"/>
      <c r="L1" s="2369"/>
      <c r="M1" s="2370"/>
      <c r="N1" s="2373"/>
      <c r="O1" s="2373"/>
      <c r="P1" s="2373"/>
      <c r="Q1" s="2373"/>
      <c r="R1" s="2374"/>
      <c r="S1" s="2374"/>
      <c r="T1" s="2374"/>
      <c r="U1" s="2374"/>
      <c r="V1" s="2374"/>
    </row>
    <row r="2">
      <c r="A2" s="2375" t="str">
        <f>VLOOKUP($A$1,Fighters!$A$2:$AI$81,6,FALSE)</f>
        <v>#5d6fc4</v>
      </c>
      <c r="B2" s="2367"/>
      <c r="C2" s="2376"/>
      <c r="G2" s="2377"/>
      <c r="H2" s="2378"/>
      <c r="I2" s="2379"/>
      <c r="J2" s="2380"/>
      <c r="K2" s="2378"/>
      <c r="L2" s="2379"/>
      <c r="M2" s="2380"/>
      <c r="N2" s="2373"/>
      <c r="O2" s="2373"/>
      <c r="P2" s="2373"/>
      <c r="Q2" s="2373"/>
      <c r="R2" s="2374"/>
      <c r="S2" s="2374"/>
      <c r="T2" s="2374"/>
      <c r="U2" s="2374"/>
      <c r="V2" s="2374"/>
    </row>
    <row r="3">
      <c r="A3" s="2375" t="str">
        <f>VLOOKUP($A$1,Fighters!$A$2:$AI$81,14,FALSE)</f>
        <v>52. 剣術Mii</v>
      </c>
      <c r="B3" s="2367"/>
      <c r="C3" s="2376"/>
      <c r="G3" s="2377"/>
      <c r="H3" s="2381"/>
      <c r="I3" s="2381"/>
      <c r="J3" s="2381"/>
      <c r="K3" s="2382"/>
      <c r="L3" s="2382"/>
      <c r="M3" s="2382"/>
      <c r="N3" s="2373"/>
      <c r="O3" s="2373"/>
      <c r="P3" s="2373"/>
      <c r="Q3" s="2373"/>
      <c r="R3" s="2383"/>
      <c r="S3" s="2374"/>
      <c r="T3" s="2374"/>
      <c r="U3" s="2374"/>
      <c r="V3" s="2374"/>
    </row>
    <row r="4">
      <c r="A4" s="2375" t="str">
        <f>VLOOKUP($A$1,Fighters!$A$2:$AI$81,13,FALSE)</f>
        <v>1</v>
      </c>
      <c r="B4" s="2367"/>
      <c r="C4" s="2376"/>
      <c r="G4" s="2377"/>
      <c r="H4" s="2384"/>
      <c r="I4" s="2384"/>
      <c r="J4" s="2381"/>
      <c r="K4" s="2382"/>
      <c r="L4" s="2382"/>
      <c r="M4" s="2382"/>
      <c r="N4" s="2373"/>
      <c r="O4" s="2373"/>
      <c r="P4" s="2373"/>
      <c r="Q4" s="2373"/>
      <c r="R4" s="2383"/>
      <c r="S4" s="2374"/>
      <c r="T4" s="2374"/>
      <c r="U4" s="2374"/>
      <c r="V4" s="2374"/>
    </row>
    <row r="5" ht="16.5" customHeight="1">
      <c r="A5" s="2366"/>
      <c r="B5" s="2367"/>
      <c r="C5" s="2376"/>
      <c r="G5" s="2377"/>
      <c r="H5" s="2385"/>
      <c r="I5" s="2385"/>
      <c r="J5" s="2386"/>
      <c r="K5" s="2387"/>
      <c r="L5" s="2388"/>
      <c r="M5" s="2388"/>
      <c r="N5" s="2373"/>
      <c r="O5" s="2373"/>
      <c r="P5" s="2373"/>
      <c r="Q5" s="2373"/>
      <c r="R5" s="2383"/>
      <c r="S5" s="2374"/>
      <c r="T5" s="2374"/>
      <c r="U5" s="2374"/>
      <c r="V5" s="2374"/>
    </row>
    <row r="6">
      <c r="A6" s="2367"/>
      <c r="B6" s="2367"/>
      <c r="C6" s="2376"/>
      <c r="G6" s="2377"/>
      <c r="H6" s="2384"/>
      <c r="I6" s="2389" t="s">
        <v>39</v>
      </c>
      <c r="J6" s="2387"/>
      <c r="K6" s="2390"/>
      <c r="L6" s="2388"/>
      <c r="M6" s="2388"/>
      <c r="N6" s="2373"/>
      <c r="O6" s="2373"/>
      <c r="P6" s="2373"/>
      <c r="Q6" s="2373"/>
      <c r="R6" s="2383"/>
      <c r="S6" s="2374"/>
      <c r="T6" s="2374"/>
      <c r="U6" s="2374"/>
      <c r="V6" s="2374"/>
    </row>
    <row r="7">
      <c r="A7" s="2367"/>
      <c r="B7" s="2367"/>
      <c r="C7" s="2376"/>
      <c r="G7" s="2377"/>
      <c r="H7" s="2385"/>
      <c r="I7" s="2385"/>
      <c r="J7" s="2387"/>
      <c r="K7" s="2390"/>
      <c r="L7" s="2388"/>
      <c r="M7" s="2388"/>
      <c r="N7" s="2373"/>
      <c r="O7" s="2373"/>
      <c r="P7" s="2373"/>
      <c r="Q7" s="2373"/>
      <c r="R7" s="2383"/>
      <c r="S7" s="2374"/>
      <c r="T7" s="2374"/>
      <c r="U7" s="2374"/>
      <c r="V7" s="2374"/>
    </row>
    <row r="8">
      <c r="A8" s="2367"/>
      <c r="B8" s="2367"/>
      <c r="C8" s="2376"/>
      <c r="G8" s="2377"/>
      <c r="H8" s="2391">
        <v>44380.39517585648</v>
      </c>
      <c r="I8" s="2369"/>
      <c r="J8" s="2370"/>
      <c r="K8" s="2387"/>
      <c r="L8" s="2388"/>
      <c r="M8" s="2388"/>
      <c r="N8" s="2373"/>
      <c r="O8" s="2373"/>
      <c r="P8" s="2373"/>
      <c r="Q8" s="2373"/>
      <c r="R8" s="2383"/>
      <c r="S8" s="2374"/>
      <c r="T8" s="2374"/>
      <c r="U8" s="2374"/>
      <c r="V8" s="2374"/>
    </row>
    <row r="9">
      <c r="A9" s="2367"/>
      <c r="B9" s="2367"/>
      <c r="C9" s="2376"/>
      <c r="G9" s="2377"/>
      <c r="H9" s="2378"/>
      <c r="I9" s="2379"/>
      <c r="J9" s="2380"/>
      <c r="K9" s="2374"/>
      <c r="L9" s="2373"/>
      <c r="M9" s="2373"/>
      <c r="N9" s="2373"/>
      <c r="O9" s="2373"/>
      <c r="P9" s="2373"/>
      <c r="Q9" s="2373"/>
      <c r="R9" s="2383"/>
      <c r="S9" s="2374"/>
      <c r="T9" s="2374"/>
      <c r="U9" s="2374"/>
      <c r="V9" s="2374"/>
    </row>
    <row r="10">
      <c r="A10" s="2367"/>
      <c r="B10" s="2367"/>
      <c r="C10" s="2376"/>
      <c r="G10" s="2377"/>
      <c r="H10" s="2392"/>
      <c r="I10" s="2392"/>
      <c r="J10" s="2374"/>
      <c r="K10" s="2374"/>
      <c r="L10" s="2373"/>
      <c r="M10" s="2373"/>
      <c r="N10" s="2373"/>
      <c r="O10" s="2373"/>
      <c r="P10" s="2373"/>
      <c r="Q10" s="2373"/>
      <c r="R10" s="2383"/>
      <c r="S10" s="2374"/>
      <c r="T10" s="2374"/>
      <c r="U10" s="2374"/>
      <c r="V10" s="2374"/>
    </row>
    <row r="11">
      <c r="A11" s="2393" t="s">
        <v>40</v>
      </c>
      <c r="B11" s="2370"/>
      <c r="C11" s="2376"/>
      <c r="G11" s="2377"/>
      <c r="H11" s="2385"/>
      <c r="I11" s="2385"/>
      <c r="J11" s="2374"/>
      <c r="K11" s="2374"/>
      <c r="L11" s="2373"/>
      <c r="M11" s="2373"/>
      <c r="N11" s="2373"/>
      <c r="O11" s="2373"/>
      <c r="P11" s="2373"/>
      <c r="Q11" s="2373"/>
      <c r="R11" s="2383"/>
      <c r="S11" s="2374"/>
      <c r="T11" s="2374"/>
      <c r="U11" s="2374"/>
      <c r="V11" s="2374"/>
    </row>
    <row r="12">
      <c r="A12" s="2378"/>
      <c r="B12" s="2380"/>
      <c r="C12" s="2378"/>
      <c r="D12" s="2379"/>
      <c r="E12" s="2379"/>
      <c r="F12" s="2379"/>
      <c r="G12" s="2380"/>
      <c r="H12" s="2394"/>
      <c r="I12" s="2394"/>
      <c r="J12" s="2367"/>
      <c r="K12" s="2367"/>
      <c r="L12" s="2373"/>
      <c r="M12" s="2373"/>
      <c r="N12" s="2373"/>
      <c r="O12" s="2373"/>
      <c r="P12" s="2373"/>
      <c r="Q12" s="2373"/>
      <c r="R12" s="2383"/>
      <c r="S12" s="2374"/>
      <c r="T12" s="2374"/>
      <c r="U12" s="2374"/>
      <c r="V12" s="2374"/>
    </row>
    <row r="13">
      <c r="A13" s="88"/>
      <c r="B13" s="89"/>
      <c r="C13" s="89"/>
      <c r="D13" s="90"/>
      <c r="E13" s="90"/>
      <c r="F13" s="90"/>
      <c r="G13" s="2309"/>
      <c r="H13" s="2309"/>
      <c r="I13" s="92"/>
      <c r="J13" s="88"/>
      <c r="K13" s="90"/>
      <c r="L13" s="2310"/>
      <c r="M13" s="2310"/>
      <c r="N13" s="2310"/>
      <c r="O13" s="2310"/>
      <c r="P13" s="2310"/>
      <c r="Q13" s="2310"/>
      <c r="R13" s="2309"/>
      <c r="S13" s="88"/>
      <c r="T13" s="88"/>
      <c r="U13" s="88"/>
      <c r="V13" s="88"/>
    </row>
    <row r="14">
      <c r="A14" s="94"/>
      <c r="B14" s="95"/>
      <c r="C14" s="95"/>
      <c r="D14" s="96"/>
      <c r="E14" s="96"/>
      <c r="F14" s="96"/>
      <c r="G14" s="2311"/>
      <c r="H14" s="2312"/>
      <c r="I14" s="99"/>
      <c r="J14" s="100"/>
      <c r="K14" s="101"/>
      <c r="L14" s="2313"/>
      <c r="M14" s="2313"/>
      <c r="N14" s="2313"/>
      <c r="O14" s="2313"/>
      <c r="P14" s="2313"/>
      <c r="Q14" s="2313"/>
      <c r="R14" s="2312"/>
      <c r="S14" s="100"/>
      <c r="T14" s="100"/>
      <c r="U14" s="100"/>
      <c r="V14" s="100"/>
    </row>
    <row r="15">
      <c r="A15" s="103" t="str">
        <f>'テンプレート'!A15</f>
        <v>行動フレーム・能力値</v>
      </c>
      <c r="B15" s="104"/>
      <c r="C15" s="101"/>
      <c r="D15" s="101"/>
      <c r="E15" s="101"/>
      <c r="F15" s="101"/>
      <c r="G15" s="2312"/>
      <c r="H15" s="2312"/>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100 [31st]</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1.74 [77th]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2314"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1.07 [51st]</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0.17567 [11th]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28.3 [75th]</v>
      </c>
      <c r="O18" s="99"/>
      <c r="P18" s="99"/>
      <c r="Q18" s="99"/>
      <c r="R18" s="99"/>
      <c r="S18" s="111"/>
      <c r="T18" s="111"/>
      <c r="U18" s="111"/>
      <c r="V18" s="111"/>
    </row>
    <row r="19" outlineLevel="1">
      <c r="A19" s="112" t="str">
        <f>'テンプレート'!A19</f>
        <v>カベジャンプ</v>
      </c>
      <c r="B19" s="2314"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5F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1.58 [65th]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20F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12.3 [82nd]</v>
      </c>
      <c r="O19" s="99"/>
      <c r="P19" s="99"/>
      <c r="Q19" s="99"/>
      <c r="R19" s="99"/>
      <c r="S19" s="111"/>
      <c r="T19" s="111"/>
      <c r="U19" s="111"/>
      <c r="V19" s="111"/>
    </row>
    <row r="20" outlineLevel="1">
      <c r="A20" s="112" t="str">
        <f>'テンプレート'!A20</f>
        <v>カベ張りつき</v>
      </c>
      <c r="B20" s="2314"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1.17 [19th]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32F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28.3 [75th]</v>
      </c>
      <c r="O20" s="99"/>
      <c r="P20" s="99"/>
      <c r="Q20" s="99"/>
      <c r="R20" s="99"/>
      <c r="S20" s="100"/>
      <c r="T20" s="100"/>
      <c r="U20" s="100"/>
      <c r="V20" s="100"/>
    </row>
    <row r="21" outlineLevel="1">
      <c r="A21" s="112" t="str">
        <f>'テンプレート'!A21</f>
        <v>空中ワイヤー</v>
      </c>
      <c r="B21" s="2314"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1.55 [53rd]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0.0038 [85th]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2.48 [51st]</v>
      </c>
      <c r="G22" s="2312"/>
      <c r="H22" s="2312"/>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0.106 [32nd]</v>
      </c>
      <c r="M22" s="100"/>
      <c r="N22" s="117"/>
      <c r="O22" s="99"/>
      <c r="P22" s="99"/>
      <c r="Q22" s="99"/>
      <c r="R22" s="99"/>
      <c r="S22" s="100"/>
      <c r="T22" s="100"/>
      <c r="U22" s="100"/>
      <c r="V22" s="100"/>
    </row>
    <row r="23">
      <c r="A23" s="101"/>
      <c r="B23" s="101"/>
      <c r="C23" s="101"/>
      <c r="D23" s="101"/>
      <c r="E23" s="101"/>
      <c r="F23" s="101"/>
      <c r="G23" s="2312"/>
      <c r="H23" s="2312"/>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217</v>
      </c>
      <c r="D26" s="139" t="s">
        <v>296</v>
      </c>
      <c r="E26" s="139" t="s">
        <v>204</v>
      </c>
      <c r="F26" s="138">
        <v>3.5999999999999996</v>
      </c>
      <c r="G26" s="139" t="s">
        <v>147</v>
      </c>
      <c r="H26" s="247" t="s">
        <v>3734</v>
      </c>
      <c r="I26" s="110"/>
      <c r="J26" s="109"/>
      <c r="K26" s="138"/>
      <c r="L26" s="282"/>
      <c r="M26" s="363"/>
      <c r="N26" s="363"/>
      <c r="O26" s="145">
        <v>0.0</v>
      </c>
      <c r="P26" s="145">
        <v>1.0</v>
      </c>
      <c r="Q26" s="145">
        <v>1.0</v>
      </c>
      <c r="R26" s="100"/>
      <c r="S26" s="100"/>
      <c r="T26" s="100"/>
      <c r="U26" s="145" t="s">
        <v>69</v>
      </c>
      <c r="V26" s="100"/>
    </row>
    <row r="27" outlineLevel="1">
      <c r="A27" s="146"/>
      <c r="B27" s="147" t="s">
        <v>63</v>
      </c>
      <c r="C27" s="216" t="s">
        <v>217</v>
      </c>
      <c r="D27" s="216" t="s">
        <v>1114</v>
      </c>
      <c r="E27" s="216" t="s">
        <v>204</v>
      </c>
      <c r="F27" s="138">
        <v>3.5999999999999996</v>
      </c>
      <c r="G27" s="139" t="s">
        <v>147</v>
      </c>
      <c r="H27" s="247" t="s">
        <v>3735</v>
      </c>
      <c r="I27" s="110"/>
      <c r="J27" s="109"/>
      <c r="K27" s="282"/>
      <c r="L27" s="282"/>
      <c r="M27" s="363"/>
      <c r="N27" s="363"/>
      <c r="O27" s="145">
        <v>0.0</v>
      </c>
      <c r="P27" s="145">
        <v>1.0</v>
      </c>
      <c r="Q27" s="145">
        <v>1.0</v>
      </c>
      <c r="R27" s="100"/>
      <c r="S27" s="100"/>
      <c r="T27" s="100"/>
      <c r="U27" s="145" t="s">
        <v>76</v>
      </c>
      <c r="V27" s="100"/>
    </row>
    <row r="28" outlineLevel="1">
      <c r="A28" s="156"/>
      <c r="B28" s="147" t="s">
        <v>70</v>
      </c>
      <c r="C28" s="216" t="s">
        <v>549</v>
      </c>
      <c r="D28" s="216" t="s">
        <v>282</v>
      </c>
      <c r="E28" s="216" t="s">
        <v>150</v>
      </c>
      <c r="F28" s="138">
        <v>6.0</v>
      </c>
      <c r="G28" s="139" t="s">
        <v>102</v>
      </c>
      <c r="H28" s="1232"/>
      <c r="I28" s="110"/>
      <c r="J28" s="109"/>
      <c r="K28" s="282"/>
      <c r="L28" s="282"/>
      <c r="M28" s="363"/>
      <c r="N28" s="363"/>
      <c r="O28" s="145">
        <v>0.0</v>
      </c>
      <c r="P28" s="145">
        <v>1.0</v>
      </c>
      <c r="Q28" s="145">
        <v>1.0</v>
      </c>
      <c r="R28" s="100"/>
      <c r="S28" s="100"/>
      <c r="T28" s="100"/>
      <c r="U28" s="145" t="s">
        <v>76</v>
      </c>
      <c r="V28" s="100"/>
    </row>
    <row r="29" outlineLevel="1">
      <c r="A29" s="170" t="s">
        <v>77</v>
      </c>
      <c r="B29" s="160"/>
      <c r="C29" s="216" t="s">
        <v>220</v>
      </c>
      <c r="D29" s="216" t="s">
        <v>384</v>
      </c>
      <c r="E29" s="216" t="s">
        <v>128</v>
      </c>
      <c r="F29" s="138">
        <v>12.0</v>
      </c>
      <c r="G29" s="162" t="s">
        <v>82</v>
      </c>
      <c r="H29" s="247" t="s">
        <v>3736</v>
      </c>
      <c r="I29" s="110"/>
      <c r="J29" s="109"/>
      <c r="K29" s="138"/>
      <c r="L29" s="282"/>
      <c r="M29" s="363"/>
      <c r="N29" s="363"/>
      <c r="O29" s="145">
        <v>0.0</v>
      </c>
      <c r="P29" s="145">
        <v>1.0</v>
      </c>
      <c r="Q29" s="145">
        <v>1.0</v>
      </c>
      <c r="R29" s="100"/>
      <c r="S29" s="100"/>
      <c r="T29" s="100"/>
      <c r="U29" s="145" t="s">
        <v>69</v>
      </c>
      <c r="V29" s="100"/>
    </row>
    <row r="30" outlineLevel="1">
      <c r="A30" s="170" t="s">
        <v>89</v>
      </c>
      <c r="B30" s="147"/>
      <c r="C30" s="216" t="s">
        <v>223</v>
      </c>
      <c r="D30" s="216" t="s">
        <v>218</v>
      </c>
      <c r="E30" s="216" t="s">
        <v>129</v>
      </c>
      <c r="F30" s="138">
        <v>14.399999999999999</v>
      </c>
      <c r="G30" s="162" t="s">
        <v>123</v>
      </c>
      <c r="H30" s="1233" t="s">
        <v>3737</v>
      </c>
      <c r="I30" s="110"/>
      <c r="J30" s="109"/>
      <c r="K30" s="138"/>
      <c r="L30" s="282"/>
      <c r="M30" s="363"/>
      <c r="N30" s="363"/>
      <c r="O30" s="145">
        <v>0.0</v>
      </c>
      <c r="P30" s="145">
        <v>1.0</v>
      </c>
      <c r="Q30" s="145">
        <v>1.0</v>
      </c>
      <c r="R30" s="100"/>
      <c r="S30" s="100"/>
      <c r="T30" s="100"/>
      <c r="U30" s="145" t="s">
        <v>96</v>
      </c>
      <c r="V30" s="100"/>
    </row>
    <row r="31" outlineLevel="1">
      <c r="A31" s="170" t="s">
        <v>97</v>
      </c>
      <c r="B31" s="160"/>
      <c r="C31" s="467" t="s">
        <v>410</v>
      </c>
      <c r="D31" s="467" t="s">
        <v>964</v>
      </c>
      <c r="E31" s="467" t="s">
        <v>93</v>
      </c>
      <c r="F31" s="138">
        <v>8.4</v>
      </c>
      <c r="G31" s="139" t="s">
        <v>95</v>
      </c>
      <c r="H31" s="1233" t="s">
        <v>408</v>
      </c>
      <c r="I31" s="110"/>
      <c r="J31" s="109"/>
      <c r="K31" s="282"/>
      <c r="L31" s="282"/>
      <c r="M31" s="363"/>
      <c r="N31" s="363"/>
      <c r="O31" s="145">
        <v>0.0</v>
      </c>
      <c r="P31" s="145">
        <v>1.0</v>
      </c>
      <c r="Q31" s="145">
        <v>1.0</v>
      </c>
      <c r="R31" s="100"/>
      <c r="S31" s="100"/>
      <c r="T31" s="100"/>
      <c r="U31" s="145" t="s">
        <v>62</v>
      </c>
      <c r="V31" s="100"/>
    </row>
    <row r="32" outlineLevel="1">
      <c r="A32" s="170" t="s">
        <v>103</v>
      </c>
      <c r="B32" s="160"/>
      <c r="C32" s="467" t="s">
        <v>267</v>
      </c>
      <c r="D32" s="467" t="s">
        <v>296</v>
      </c>
      <c r="E32" s="467" t="s">
        <v>80</v>
      </c>
      <c r="F32" s="138">
        <v>9.6</v>
      </c>
      <c r="G32" s="139" t="s">
        <v>123</v>
      </c>
      <c r="H32" s="1233" t="s">
        <v>408</v>
      </c>
      <c r="I32" s="110"/>
      <c r="J32" s="109"/>
      <c r="K32" s="145"/>
      <c r="L32" s="363"/>
      <c r="M32" s="363"/>
      <c r="N32" s="363"/>
      <c r="O32" s="145">
        <v>0.0</v>
      </c>
      <c r="P32" s="145">
        <v>1.0</v>
      </c>
      <c r="Q32" s="145">
        <v>1.0</v>
      </c>
      <c r="R32" s="100"/>
      <c r="S32" s="100"/>
      <c r="T32" s="100"/>
      <c r="U32" s="145" t="s">
        <v>62</v>
      </c>
      <c r="V32" s="100"/>
    </row>
    <row r="33" outlineLevel="1">
      <c r="A33" s="170" t="s">
        <v>109</v>
      </c>
      <c r="B33" s="147"/>
      <c r="C33" s="216" t="s">
        <v>460</v>
      </c>
      <c r="D33" s="216" t="s">
        <v>462</v>
      </c>
      <c r="E33" s="216" t="s">
        <v>3738</v>
      </c>
      <c r="F33" s="138" t="s">
        <v>3739</v>
      </c>
      <c r="G33" s="139" t="s">
        <v>3740</v>
      </c>
      <c r="H33" s="786" t="s">
        <v>3741</v>
      </c>
      <c r="I33" s="110"/>
      <c r="J33" s="109"/>
      <c r="K33" s="282"/>
      <c r="L33" s="282"/>
      <c r="M33" s="363"/>
      <c r="N33" s="363"/>
      <c r="O33" s="145">
        <v>0.0</v>
      </c>
      <c r="P33" s="145">
        <v>1.0</v>
      </c>
      <c r="Q33" s="145">
        <v>1.0</v>
      </c>
      <c r="R33" s="100"/>
      <c r="S33" s="100"/>
      <c r="T33" s="100"/>
      <c r="U33" s="145" t="s">
        <v>88</v>
      </c>
      <c r="V33" s="100"/>
    </row>
    <row r="34" outlineLevel="1">
      <c r="A34" s="133" t="s">
        <v>116</v>
      </c>
      <c r="B34" s="147" t="s">
        <v>125</v>
      </c>
      <c r="C34" s="216" t="s">
        <v>299</v>
      </c>
      <c r="D34" s="195" t="s">
        <v>462</v>
      </c>
      <c r="E34" s="216" t="s">
        <v>73</v>
      </c>
      <c r="F34" s="138">
        <v>4.8</v>
      </c>
      <c r="G34" s="139" t="s">
        <v>147</v>
      </c>
      <c r="H34" s="413" t="s">
        <v>3742</v>
      </c>
      <c r="I34" s="164"/>
      <c r="J34" s="104"/>
      <c r="K34" s="363"/>
      <c r="L34" s="363"/>
      <c r="M34" s="363"/>
      <c r="N34" s="363"/>
      <c r="O34" s="145">
        <v>0.0</v>
      </c>
      <c r="P34" s="145">
        <v>1.0</v>
      </c>
      <c r="Q34" s="145">
        <v>1.0</v>
      </c>
      <c r="R34" s="100"/>
      <c r="S34" s="100"/>
      <c r="T34" s="100"/>
      <c r="U34" s="166" t="s">
        <v>62</v>
      </c>
      <c r="V34" s="100"/>
    </row>
    <row r="35" outlineLevel="1">
      <c r="A35" s="146"/>
      <c r="B35" s="147" t="s">
        <v>131</v>
      </c>
      <c r="C35" s="216" t="s">
        <v>295</v>
      </c>
      <c r="D35" s="210"/>
      <c r="E35" s="216" t="s">
        <v>204</v>
      </c>
      <c r="F35" s="138">
        <v>3.5999999999999996</v>
      </c>
      <c r="G35" s="139" t="s">
        <v>60</v>
      </c>
      <c r="H35" s="212"/>
      <c r="J35" s="210"/>
      <c r="K35" s="363"/>
      <c r="L35" s="363"/>
      <c r="M35" s="363"/>
      <c r="N35" s="363"/>
      <c r="O35" s="145">
        <v>0.0</v>
      </c>
      <c r="P35" s="145">
        <v>1.0</v>
      </c>
      <c r="Q35" s="145">
        <v>1.0</v>
      </c>
      <c r="R35" s="100"/>
      <c r="S35" s="100"/>
      <c r="T35" s="100"/>
      <c r="U35" s="146"/>
      <c r="V35" s="100"/>
    </row>
    <row r="36" outlineLevel="1">
      <c r="A36" s="156"/>
      <c r="B36" s="147" t="s">
        <v>434</v>
      </c>
      <c r="C36" s="216" t="s">
        <v>834</v>
      </c>
      <c r="D36" s="107"/>
      <c r="E36" s="216" t="s">
        <v>93</v>
      </c>
      <c r="F36" s="138">
        <v>8.4</v>
      </c>
      <c r="G36" s="139" t="s">
        <v>102</v>
      </c>
      <c r="H36" s="106"/>
      <c r="I36" s="168"/>
      <c r="J36" s="107"/>
      <c r="K36" s="363"/>
      <c r="L36" s="363"/>
      <c r="M36" s="363"/>
      <c r="N36" s="363"/>
      <c r="O36" s="145">
        <v>0.0</v>
      </c>
      <c r="P36" s="145">
        <v>1.0</v>
      </c>
      <c r="Q36" s="145">
        <v>1.0</v>
      </c>
      <c r="R36" s="100"/>
      <c r="S36" s="100"/>
      <c r="T36" s="100"/>
      <c r="U36" s="156"/>
      <c r="V36" s="100"/>
    </row>
    <row r="37" outlineLevel="1">
      <c r="A37" s="133" t="s">
        <v>124</v>
      </c>
      <c r="B37" s="147" t="s">
        <v>125</v>
      </c>
      <c r="C37" s="216" t="s">
        <v>319</v>
      </c>
      <c r="D37" s="195" t="s">
        <v>892</v>
      </c>
      <c r="E37" s="216" t="s">
        <v>129</v>
      </c>
      <c r="F37" s="138">
        <v>14.399999999999999</v>
      </c>
      <c r="G37" s="139" t="s">
        <v>123</v>
      </c>
      <c r="H37" s="413" t="s">
        <v>553</v>
      </c>
      <c r="I37" s="164"/>
      <c r="J37" s="104"/>
      <c r="K37" s="282"/>
      <c r="L37" s="282"/>
      <c r="M37" s="363"/>
      <c r="N37" s="363"/>
      <c r="O37" s="145">
        <v>0.0</v>
      </c>
      <c r="P37" s="145">
        <v>1.0</v>
      </c>
      <c r="Q37" s="145">
        <v>1.0</v>
      </c>
      <c r="R37" s="100"/>
      <c r="S37" s="100"/>
      <c r="T37" s="100"/>
      <c r="U37" s="166" t="s">
        <v>62</v>
      </c>
      <c r="V37" s="100"/>
    </row>
    <row r="38" outlineLevel="1">
      <c r="A38" s="156"/>
      <c r="B38" s="147" t="s">
        <v>131</v>
      </c>
      <c r="C38" s="216" t="s">
        <v>561</v>
      </c>
      <c r="D38" s="107"/>
      <c r="E38" s="216" t="s">
        <v>386</v>
      </c>
      <c r="F38" s="138">
        <v>18.0</v>
      </c>
      <c r="G38" s="139" t="s">
        <v>121</v>
      </c>
      <c r="H38" s="106"/>
      <c r="I38" s="168"/>
      <c r="J38" s="107"/>
      <c r="K38" s="282"/>
      <c r="L38" s="282"/>
      <c r="M38" s="363"/>
      <c r="N38" s="363"/>
      <c r="O38" s="145">
        <v>0.0</v>
      </c>
      <c r="P38" s="145">
        <v>1.0</v>
      </c>
      <c r="Q38" s="145">
        <v>1.0</v>
      </c>
      <c r="R38" s="100"/>
      <c r="S38" s="100"/>
      <c r="T38" s="100"/>
      <c r="U38" s="156"/>
      <c r="V38" s="100"/>
    </row>
    <row r="39">
      <c r="A39" s="118"/>
      <c r="B39" s="176"/>
      <c r="C39" s="118"/>
      <c r="D39" s="118"/>
      <c r="E39" s="118"/>
      <c r="F39" s="177"/>
      <c r="G39" s="177"/>
      <c r="H39" s="118"/>
      <c r="I39" s="118"/>
      <c r="J39" s="118"/>
      <c r="K39" s="118"/>
      <c r="L39" s="118"/>
      <c r="M39" s="118"/>
      <c r="N39" s="118"/>
      <c r="O39" s="118"/>
      <c r="P39" s="118"/>
      <c r="Q39" s="118"/>
      <c r="R39" s="118"/>
      <c r="S39" s="118"/>
      <c r="T39" s="118"/>
      <c r="U39" s="118"/>
      <c r="V39" s="118"/>
    </row>
    <row r="40">
      <c r="A40" s="178" t="s">
        <v>133</v>
      </c>
      <c r="B40" s="104"/>
      <c r="C40" s="179"/>
      <c r="D40" s="179"/>
      <c r="E40" s="179"/>
      <c r="F40" s="180"/>
      <c r="G40" s="179"/>
      <c r="H40" s="180"/>
      <c r="I40" s="180"/>
      <c r="J40" s="181"/>
      <c r="K40" s="180"/>
      <c r="L40" s="180"/>
      <c r="M40" s="180"/>
      <c r="N40" s="180"/>
      <c r="O40" s="180"/>
      <c r="P40" s="180"/>
      <c r="Q40" s="180"/>
      <c r="R40" s="180"/>
      <c r="S40" s="180"/>
      <c r="T40" s="180"/>
      <c r="U40" s="180"/>
      <c r="V40" s="180"/>
    </row>
    <row r="41" outlineLevel="1">
      <c r="A41" s="106"/>
      <c r="B41" s="107"/>
      <c r="C41" s="182" t="s">
        <v>48</v>
      </c>
      <c r="D41" s="183" t="s">
        <v>49</v>
      </c>
      <c r="E41" s="182" t="s">
        <v>50</v>
      </c>
      <c r="F41" s="184" t="s">
        <v>51</v>
      </c>
      <c r="G41" s="184" t="s">
        <v>134</v>
      </c>
      <c r="H41" s="185" t="s">
        <v>52</v>
      </c>
      <c r="I41" s="184" t="str">
        <f>'テンプレート'!I56</f>
        <v>着地隙</v>
      </c>
      <c r="J41" s="184" t="s">
        <v>136</v>
      </c>
      <c r="K41" s="184" t="str">
        <f>'テンプレート'!K56</f>
        <v>ベクトル</v>
      </c>
      <c r="L41" s="184" t="str">
        <f>'テンプレート'!L56</f>
        <v>KBG (R.E.)</v>
      </c>
      <c r="M41" s="184" t="str">
        <f>'テンプレート'!M56</f>
        <v>BKB (R.A.)</v>
      </c>
      <c r="N41" s="184" t="str">
        <f>'テンプレート'!N56</f>
        <v>FKB (R.F.)</v>
      </c>
      <c r="O41" s="186" t="str">
        <f>'テンプレート'!O56</f>
        <v>盾削り値</v>
      </c>
      <c r="P41" s="184" t="str">
        <f>'テンプレート'!P56</f>
        <v>ﾋｯﾄｽﾄｯﾌﾟ</v>
      </c>
      <c r="Q41" s="186" t="str">
        <f>'テンプレート'!Q56</f>
        <v>ずらし</v>
      </c>
      <c r="R41" s="187" t="str">
        <f>'テンプレート'!R56</f>
        <v>備考</v>
      </c>
      <c r="S41" s="110"/>
      <c r="T41" s="110"/>
      <c r="U41" s="110"/>
      <c r="V41" s="110"/>
    </row>
    <row r="42" outlineLevel="1">
      <c r="A42" s="213" t="s">
        <v>144</v>
      </c>
      <c r="B42" s="373"/>
      <c r="C42" s="244" t="s">
        <v>771</v>
      </c>
      <c r="D42" s="380" t="s">
        <v>541</v>
      </c>
      <c r="E42" s="401" t="s">
        <v>80</v>
      </c>
      <c r="F42" s="193">
        <v>9.6</v>
      </c>
      <c r="G42" s="193">
        <v>8.16</v>
      </c>
      <c r="H42" s="138" t="s">
        <v>147</v>
      </c>
      <c r="I42" s="215" t="str">
        <f t="array" ref="I42">INDEX('空中攻撃'!$O$3:$AA$109, MATCH($A$1,'空中攻撃'!$A$3:$A$109,0), MATCH(A42,'空中攻撃'!$O$2:$S$2,0))</f>
        <v>9</v>
      </c>
      <c r="J42" s="216" t="s">
        <v>974</v>
      </c>
      <c r="K42" s="376"/>
      <c r="L42" s="377"/>
      <c r="M42" s="825"/>
      <c r="N42" s="825"/>
      <c r="O42" s="199">
        <v>0.0</v>
      </c>
      <c r="P42" s="199">
        <v>1.0</v>
      </c>
      <c r="Q42" s="199">
        <v>1.0</v>
      </c>
      <c r="R42" s="1232"/>
      <c r="S42" s="110"/>
      <c r="T42" s="110"/>
      <c r="U42" s="110"/>
      <c r="V42" s="109"/>
    </row>
    <row r="43" outlineLevel="1">
      <c r="A43" s="188" t="s">
        <v>151</v>
      </c>
      <c r="B43" s="373" t="s">
        <v>125</v>
      </c>
      <c r="C43" s="239" t="s">
        <v>373</v>
      </c>
      <c r="D43" s="374">
        <v>46.0</v>
      </c>
      <c r="E43" s="239" t="s">
        <v>204</v>
      </c>
      <c r="F43" s="138">
        <v>3.5999999999999996</v>
      </c>
      <c r="G43" s="138">
        <v>3.06</v>
      </c>
      <c r="H43" s="138" t="s">
        <v>170</v>
      </c>
      <c r="I43" s="194" t="str">
        <f t="array" ref="I43">INDEX('空中攻撃'!$O$3:$AA$109, MATCH($A$1,'空中攻撃'!$A$3:$A$109,0), MATCH(A43,'空中攻撃'!$O$2:$S$2,0))</f>
        <v>12</v>
      </c>
      <c r="J43" s="195" t="s">
        <v>2823</v>
      </c>
      <c r="K43" s="376"/>
      <c r="L43" s="377"/>
      <c r="M43" s="825"/>
      <c r="N43" s="825"/>
      <c r="O43" s="199">
        <v>0.0</v>
      </c>
      <c r="P43" s="199">
        <v>1.0</v>
      </c>
      <c r="Q43" s="199">
        <v>1.0</v>
      </c>
      <c r="R43" s="240" t="s">
        <v>408</v>
      </c>
      <c r="S43" s="164"/>
      <c r="T43" s="164"/>
      <c r="U43" s="164"/>
      <c r="V43" s="104"/>
    </row>
    <row r="44" outlineLevel="1">
      <c r="A44" s="146"/>
      <c r="B44" s="373" t="s">
        <v>131</v>
      </c>
      <c r="C44" s="239" t="s">
        <v>454</v>
      </c>
      <c r="D44" s="210"/>
      <c r="E44" s="239" t="s">
        <v>204</v>
      </c>
      <c r="F44" s="138">
        <v>3.5999999999999996</v>
      </c>
      <c r="G44" s="138">
        <v>3.06</v>
      </c>
      <c r="H44" s="138" t="s">
        <v>170</v>
      </c>
      <c r="I44" s="146"/>
      <c r="J44" s="210"/>
      <c r="K44" s="376"/>
      <c r="L44" s="377"/>
      <c r="M44" s="825"/>
      <c r="N44" s="825"/>
      <c r="O44" s="199"/>
      <c r="P44" s="199"/>
      <c r="Q44" s="199"/>
      <c r="R44" s="212"/>
      <c r="V44" s="210"/>
    </row>
    <row r="45" outlineLevel="1">
      <c r="A45" s="156"/>
      <c r="B45" s="373" t="s">
        <v>434</v>
      </c>
      <c r="C45" s="239" t="s">
        <v>834</v>
      </c>
      <c r="D45" s="107"/>
      <c r="E45" s="239" t="s">
        <v>150</v>
      </c>
      <c r="F45" s="138">
        <v>6.0</v>
      </c>
      <c r="G45" s="138">
        <v>5.1</v>
      </c>
      <c r="H45" s="138" t="s">
        <v>60</v>
      </c>
      <c r="I45" s="156"/>
      <c r="J45" s="107"/>
      <c r="K45" s="376"/>
      <c r="L45" s="377"/>
      <c r="M45" s="825"/>
      <c r="N45" s="825"/>
      <c r="O45" s="199">
        <v>0.0</v>
      </c>
      <c r="P45" s="199">
        <v>1.0</v>
      </c>
      <c r="Q45" s="199">
        <v>1.0</v>
      </c>
      <c r="R45" s="106"/>
      <c r="S45" s="168"/>
      <c r="T45" s="168"/>
      <c r="U45" s="168"/>
      <c r="V45" s="107"/>
    </row>
    <row r="46" outlineLevel="1">
      <c r="A46" s="213" t="s">
        <v>157</v>
      </c>
      <c r="B46" s="373"/>
      <c r="C46" s="239" t="s">
        <v>223</v>
      </c>
      <c r="D46" s="380">
        <v>37.0</v>
      </c>
      <c r="E46" s="239" t="s">
        <v>119</v>
      </c>
      <c r="F46" s="138">
        <v>16.8</v>
      </c>
      <c r="G46" s="138">
        <v>14.280000000000001</v>
      </c>
      <c r="H46" s="138" t="s">
        <v>75</v>
      </c>
      <c r="I46" s="215">
        <f t="array" ref="I46">INDEX('空中攻撃'!$O$3:$AA$109, MATCH($A$1,'空中攻撃'!$A$3:$A$109,0), MATCH(A46,'空中攻撃'!$O$2:$S$2,0))</f>
        <v>9</v>
      </c>
      <c r="J46" s="216" t="s">
        <v>459</v>
      </c>
      <c r="K46" s="376"/>
      <c r="L46" s="377"/>
      <c r="M46" s="825"/>
      <c r="N46" s="825"/>
      <c r="O46" s="199">
        <v>0.0</v>
      </c>
      <c r="P46" s="199">
        <v>1.0</v>
      </c>
      <c r="Q46" s="199">
        <v>1.0</v>
      </c>
      <c r="R46" s="1232"/>
      <c r="S46" s="110"/>
      <c r="T46" s="110"/>
      <c r="U46" s="110"/>
      <c r="V46" s="109"/>
    </row>
    <row r="47" outlineLevel="1">
      <c r="A47" s="188" t="s">
        <v>162</v>
      </c>
      <c r="B47" s="373"/>
      <c r="C47" s="239" t="s">
        <v>382</v>
      </c>
      <c r="D47" s="374" t="s">
        <v>393</v>
      </c>
      <c r="E47" s="239" t="s">
        <v>153</v>
      </c>
      <c r="F47" s="138">
        <v>19.2</v>
      </c>
      <c r="G47" s="138">
        <v>16.32</v>
      </c>
      <c r="H47" s="138" t="s">
        <v>102</v>
      </c>
      <c r="I47" s="194" t="str">
        <f t="array" ref="I47">INDEX('空中攻撃'!$O$3:$AA$109, MATCH($A$1,'空中攻撃'!$A$3:$A$109,0), MATCH(A47,'空中攻撃'!$O$2:$S$2,0))</f>
        <v>10</v>
      </c>
      <c r="J47" s="195" t="s">
        <v>3743</v>
      </c>
      <c r="K47" s="377"/>
      <c r="L47" s="377"/>
      <c r="M47" s="825"/>
      <c r="N47" s="825"/>
      <c r="O47" s="199">
        <v>0.0</v>
      </c>
      <c r="P47" s="199">
        <v>1.0</v>
      </c>
      <c r="Q47" s="199">
        <v>1.0</v>
      </c>
      <c r="R47" s="220"/>
      <c r="S47" s="164"/>
      <c r="T47" s="164"/>
      <c r="U47" s="164"/>
      <c r="V47" s="104"/>
    </row>
    <row r="48" outlineLevel="1">
      <c r="A48" s="156"/>
      <c r="B48" s="373" t="s">
        <v>84</v>
      </c>
      <c r="C48" s="239" t="s">
        <v>509</v>
      </c>
      <c r="D48" s="107"/>
      <c r="E48" s="239" t="s">
        <v>128</v>
      </c>
      <c r="F48" s="138">
        <v>12.0</v>
      </c>
      <c r="G48" s="138">
        <v>10.2</v>
      </c>
      <c r="H48" s="138" t="s">
        <v>147</v>
      </c>
      <c r="I48" s="156"/>
      <c r="J48" s="107"/>
      <c r="K48" s="377"/>
      <c r="L48" s="377"/>
      <c r="M48" s="825"/>
      <c r="N48" s="825"/>
      <c r="O48" s="199">
        <v>0.0</v>
      </c>
      <c r="P48" s="199">
        <v>1.0</v>
      </c>
      <c r="Q48" s="199">
        <v>1.0</v>
      </c>
      <c r="R48" s="106"/>
      <c r="S48" s="168"/>
      <c r="T48" s="168"/>
      <c r="U48" s="168"/>
      <c r="V48" s="107"/>
    </row>
    <row r="49" outlineLevel="1">
      <c r="A49" s="188" t="s">
        <v>166</v>
      </c>
      <c r="B49" s="373"/>
      <c r="C49" s="239" t="s">
        <v>3744</v>
      </c>
      <c r="D49" s="374">
        <v>58.0</v>
      </c>
      <c r="E49" s="239" t="s">
        <v>1024</v>
      </c>
      <c r="F49" s="138">
        <v>1.7999999999999998</v>
      </c>
      <c r="G49" s="138">
        <v>1.53</v>
      </c>
      <c r="H49" s="138" t="s">
        <v>170</v>
      </c>
      <c r="I49" s="194">
        <f t="array" ref="I49">INDEX('空中攻撃'!$O$3:$AA$109, MATCH($A$1,'空中攻撃'!$A$3:$A$109,0), MATCH(A49,'空中攻撃'!$O$2:$S$2,0))</f>
        <v>18</v>
      </c>
      <c r="J49" s="195" t="s">
        <v>3745</v>
      </c>
      <c r="K49" s="377"/>
      <c r="L49" s="377"/>
      <c r="M49" s="825"/>
      <c r="N49" s="825"/>
      <c r="O49" s="199">
        <v>0.0</v>
      </c>
      <c r="P49" s="199">
        <v>1.0</v>
      </c>
      <c r="Q49" s="199">
        <v>1.0</v>
      </c>
      <c r="R49" s="240" t="s">
        <v>3746</v>
      </c>
      <c r="S49" s="164"/>
      <c r="T49" s="164"/>
      <c r="U49" s="164"/>
      <c r="V49" s="104"/>
    </row>
    <row r="50" outlineLevel="1">
      <c r="A50" s="156"/>
      <c r="B50" s="373" t="s">
        <v>174</v>
      </c>
      <c r="C50" s="239" t="s">
        <v>681</v>
      </c>
      <c r="D50" s="107"/>
      <c r="E50" s="239" t="s">
        <v>150</v>
      </c>
      <c r="F50" s="138">
        <v>6.0</v>
      </c>
      <c r="G50" s="138">
        <v>6.0</v>
      </c>
      <c r="H50" s="138" t="s">
        <v>102</v>
      </c>
      <c r="I50" s="156"/>
      <c r="J50" s="107"/>
      <c r="K50" s="377"/>
      <c r="L50" s="377"/>
      <c r="M50" s="825"/>
      <c r="N50" s="825"/>
      <c r="O50" s="199">
        <v>0.0</v>
      </c>
      <c r="P50" s="199">
        <v>1.0</v>
      </c>
      <c r="Q50" s="199">
        <v>1.0</v>
      </c>
      <c r="R50" s="106"/>
      <c r="S50" s="168"/>
      <c r="T50" s="168"/>
      <c r="U50" s="168"/>
      <c r="V50" s="107"/>
    </row>
    <row r="51">
      <c r="A51" s="223"/>
      <c r="B51" s="224"/>
      <c r="C51" s="225"/>
      <c r="D51" s="225"/>
      <c r="E51" s="226"/>
      <c r="F51" s="226"/>
      <c r="G51" s="226"/>
      <c r="H51" s="227"/>
      <c r="I51" s="227"/>
      <c r="J51" s="228"/>
      <c r="K51" s="228"/>
      <c r="L51" s="228"/>
      <c r="M51" s="228"/>
      <c r="N51" s="228"/>
      <c r="O51" s="228"/>
      <c r="P51" s="228"/>
      <c r="Q51" s="118"/>
      <c r="R51" s="118"/>
      <c r="S51" s="118"/>
      <c r="T51" s="118"/>
      <c r="U51" s="118"/>
      <c r="V51" s="118"/>
    </row>
    <row r="52">
      <c r="A52" s="229" t="s">
        <v>177</v>
      </c>
      <c r="B52" s="109"/>
      <c r="C52" s="225"/>
      <c r="D52" s="225"/>
      <c r="E52" s="226"/>
      <c r="F52" s="226"/>
      <c r="G52" s="226"/>
      <c r="H52" s="227"/>
      <c r="I52" s="227"/>
      <c r="J52" s="228"/>
      <c r="K52" s="228"/>
      <c r="L52" s="228"/>
      <c r="M52" s="228"/>
      <c r="N52" s="228"/>
      <c r="O52" s="228"/>
      <c r="P52" s="228"/>
      <c r="Q52" s="118"/>
      <c r="R52" s="118"/>
      <c r="S52" s="118"/>
      <c r="T52" s="118"/>
      <c r="U52" s="118"/>
      <c r="V52" s="118"/>
    </row>
    <row r="53" outlineLevel="1">
      <c r="A53" s="230" t="s">
        <v>3747</v>
      </c>
      <c r="B53" s="109"/>
      <c r="C53" s="231" t="s">
        <v>48</v>
      </c>
      <c r="D53" s="231" t="s">
        <v>49</v>
      </c>
      <c r="E53" s="231" t="s">
        <v>50</v>
      </c>
      <c r="F53" s="235" t="s">
        <v>2313</v>
      </c>
      <c r="G53" s="231" t="s">
        <v>52</v>
      </c>
      <c r="H53" s="382" t="s">
        <v>53</v>
      </c>
      <c r="I53" s="110"/>
      <c r="J53" s="109"/>
      <c r="K53" s="235" t="s">
        <v>137</v>
      </c>
      <c r="L53" s="235" t="s">
        <v>138</v>
      </c>
      <c r="M53" s="235" t="s">
        <v>139</v>
      </c>
      <c r="N53" s="235" t="s">
        <v>140</v>
      </c>
      <c r="O53" s="236" t="s">
        <v>141</v>
      </c>
      <c r="P53" s="235" t="s">
        <v>142</v>
      </c>
      <c r="Q53" s="236" t="s">
        <v>143</v>
      </c>
      <c r="R53" s="235" t="s">
        <v>179</v>
      </c>
      <c r="S53" s="236" t="s">
        <v>180</v>
      </c>
      <c r="T53" s="236" t="s">
        <v>181</v>
      </c>
      <c r="U53" s="236" t="s">
        <v>182</v>
      </c>
      <c r="V53" s="236" t="s">
        <v>183</v>
      </c>
    </row>
    <row r="54" outlineLevel="1">
      <c r="A54" s="237" t="s">
        <v>184</v>
      </c>
      <c r="B54" s="243"/>
      <c r="C54" s="244" t="s">
        <v>3748</v>
      </c>
      <c r="D54" s="195" t="s">
        <v>208</v>
      </c>
      <c r="E54" s="239" t="s">
        <v>228</v>
      </c>
      <c r="F54" s="138">
        <v>15.6</v>
      </c>
      <c r="G54" s="239" t="s">
        <v>75</v>
      </c>
      <c r="H54" s="163" t="s">
        <v>411</v>
      </c>
      <c r="I54" s="164"/>
      <c r="J54" s="104"/>
      <c r="K54" s="282"/>
      <c r="L54" s="282"/>
      <c r="M54" s="363"/>
      <c r="N54" s="363"/>
      <c r="O54" s="138">
        <v>0.0</v>
      </c>
      <c r="P54" s="138">
        <v>1.0</v>
      </c>
      <c r="Q54" s="138">
        <v>1.0</v>
      </c>
      <c r="R54" s="145" t="b">
        <v>1</v>
      </c>
      <c r="S54" s="145" t="b">
        <v>0</v>
      </c>
      <c r="T54" s="145" t="b">
        <v>1</v>
      </c>
      <c r="U54" s="166" t="s">
        <v>186</v>
      </c>
      <c r="V54" s="166" t="b">
        <v>1</v>
      </c>
    </row>
    <row r="55" outlineLevel="1">
      <c r="A55" s="146"/>
      <c r="B55" s="663" t="s">
        <v>187</v>
      </c>
      <c r="C55" s="244" t="s">
        <v>3749</v>
      </c>
      <c r="D55" s="210"/>
      <c r="E55" s="239" t="s">
        <v>232</v>
      </c>
      <c r="F55" s="138">
        <v>13.2</v>
      </c>
      <c r="G55" s="239" t="s">
        <v>147</v>
      </c>
      <c r="H55" s="212"/>
      <c r="J55" s="210"/>
      <c r="K55" s="282"/>
      <c r="L55" s="282"/>
      <c r="M55" s="363"/>
      <c r="N55" s="363"/>
      <c r="O55" s="138">
        <v>0.0</v>
      </c>
      <c r="P55" s="138">
        <v>1.0</v>
      </c>
      <c r="Q55" s="138">
        <v>1.0</v>
      </c>
      <c r="R55" s="145" t="b">
        <v>1</v>
      </c>
      <c r="S55" s="145" t="b">
        <v>0</v>
      </c>
      <c r="T55" s="145" t="b">
        <v>1</v>
      </c>
      <c r="U55" s="146"/>
      <c r="V55" s="146"/>
    </row>
    <row r="56" outlineLevel="1">
      <c r="A56" s="146"/>
      <c r="B56" s="663" t="s">
        <v>189</v>
      </c>
      <c r="C56" s="244" t="s">
        <v>3750</v>
      </c>
      <c r="D56" s="107"/>
      <c r="E56" s="239" t="s">
        <v>128</v>
      </c>
      <c r="F56" s="138">
        <v>12.0</v>
      </c>
      <c r="G56" s="239" t="s">
        <v>147</v>
      </c>
      <c r="H56" s="106"/>
      <c r="I56" s="168"/>
      <c r="J56" s="107"/>
      <c r="K56" s="282"/>
      <c r="L56" s="282"/>
      <c r="M56" s="363"/>
      <c r="N56" s="363"/>
      <c r="O56" s="138">
        <v>0.0</v>
      </c>
      <c r="P56" s="138">
        <v>1.0</v>
      </c>
      <c r="Q56" s="138">
        <v>1.0</v>
      </c>
      <c r="R56" s="145" t="b">
        <v>1</v>
      </c>
      <c r="S56" s="145" t="b">
        <v>0</v>
      </c>
      <c r="T56" s="145" t="b">
        <v>1</v>
      </c>
      <c r="U56" s="156"/>
      <c r="V56" s="156"/>
    </row>
    <row r="57" outlineLevel="1">
      <c r="A57" s="230" t="s">
        <v>3751</v>
      </c>
      <c r="B57" s="109"/>
      <c r="C57" s="231" t="s">
        <v>48</v>
      </c>
      <c r="D57" s="231" t="s">
        <v>49</v>
      </c>
      <c r="E57" s="231" t="s">
        <v>50</v>
      </c>
      <c r="F57" s="235" t="s">
        <v>2313</v>
      </c>
      <c r="G57" s="231" t="s">
        <v>52</v>
      </c>
      <c r="H57" s="382" t="s">
        <v>53</v>
      </c>
      <c r="I57" s="110"/>
      <c r="J57" s="109"/>
      <c r="K57" s="235" t="s">
        <v>137</v>
      </c>
      <c r="L57" s="235" t="s">
        <v>138</v>
      </c>
      <c r="M57" s="235" t="s">
        <v>139</v>
      </c>
      <c r="N57" s="235" t="s">
        <v>140</v>
      </c>
      <c r="O57" s="236" t="s">
        <v>141</v>
      </c>
      <c r="P57" s="235" t="s">
        <v>142</v>
      </c>
      <c r="Q57" s="236" t="s">
        <v>143</v>
      </c>
      <c r="R57" s="235" t="s">
        <v>179</v>
      </c>
      <c r="S57" s="236" t="s">
        <v>180</v>
      </c>
      <c r="T57" s="236" t="s">
        <v>181</v>
      </c>
      <c r="U57" s="236" t="s">
        <v>182</v>
      </c>
      <c r="V57" s="236" t="s">
        <v>183</v>
      </c>
    </row>
    <row r="58" outlineLevel="1">
      <c r="A58" s="237" t="s">
        <v>184</v>
      </c>
      <c r="B58" s="243"/>
      <c r="C58" s="239" t="s">
        <v>629</v>
      </c>
      <c r="D58" s="195" t="s">
        <v>79</v>
      </c>
      <c r="E58" s="239" t="s">
        <v>176</v>
      </c>
      <c r="F58" s="138">
        <v>2.4</v>
      </c>
      <c r="G58" s="239" t="s">
        <v>170</v>
      </c>
      <c r="H58" s="283" t="s">
        <v>3752</v>
      </c>
      <c r="I58" s="164"/>
      <c r="J58" s="104"/>
      <c r="K58" s="138"/>
      <c r="L58" s="138"/>
      <c r="M58" s="138"/>
      <c r="N58" s="138"/>
      <c r="O58" s="138">
        <v>0.0</v>
      </c>
      <c r="P58" s="138">
        <v>1.0</v>
      </c>
      <c r="Q58" s="138">
        <v>1.0</v>
      </c>
      <c r="R58" s="145" t="b">
        <v>1</v>
      </c>
      <c r="S58" s="145" t="b">
        <v>0</v>
      </c>
      <c r="T58" s="145" t="b">
        <v>1</v>
      </c>
      <c r="U58" s="166" t="s">
        <v>186</v>
      </c>
      <c r="V58" s="166" t="b">
        <v>1</v>
      </c>
    </row>
    <row r="59" outlineLevel="1">
      <c r="A59" s="146"/>
      <c r="B59" s="663" t="s">
        <v>187</v>
      </c>
      <c r="C59" s="244" t="s">
        <v>3753</v>
      </c>
      <c r="D59" s="210"/>
      <c r="E59" s="239" t="s">
        <v>651</v>
      </c>
      <c r="F59" s="138">
        <v>4.2</v>
      </c>
      <c r="G59" s="239" t="s">
        <v>170</v>
      </c>
      <c r="H59" s="212"/>
      <c r="J59" s="210"/>
      <c r="K59" s="138"/>
      <c r="L59" s="138"/>
      <c r="M59" s="138"/>
      <c r="N59" s="138"/>
      <c r="O59" s="138">
        <v>0.0</v>
      </c>
      <c r="P59" s="138">
        <v>1.0</v>
      </c>
      <c r="Q59" s="138">
        <v>1.0</v>
      </c>
      <c r="R59" s="145" t="b">
        <v>1</v>
      </c>
      <c r="S59" s="145" t="b">
        <v>0</v>
      </c>
      <c r="T59" s="145" t="b">
        <v>1</v>
      </c>
      <c r="U59" s="146"/>
      <c r="V59" s="146"/>
    </row>
    <row r="60" outlineLevel="1">
      <c r="A60" s="146"/>
      <c r="B60" s="663" t="s">
        <v>189</v>
      </c>
      <c r="C60" s="244" t="s">
        <v>3754</v>
      </c>
      <c r="D60" s="210"/>
      <c r="E60" s="239" t="s">
        <v>150</v>
      </c>
      <c r="F60" s="138">
        <v>6.0</v>
      </c>
      <c r="G60" s="239" t="s">
        <v>60</v>
      </c>
      <c r="H60" s="212"/>
      <c r="J60" s="210"/>
      <c r="K60" s="138"/>
      <c r="L60" s="138"/>
      <c r="M60" s="138"/>
      <c r="N60" s="138"/>
      <c r="O60" s="138">
        <v>0.0</v>
      </c>
      <c r="P60" s="138">
        <v>1.0</v>
      </c>
      <c r="Q60" s="138">
        <v>1.0</v>
      </c>
      <c r="R60" s="145" t="b">
        <v>1</v>
      </c>
      <c r="S60" s="145" t="b">
        <v>0</v>
      </c>
      <c r="T60" s="145" t="b">
        <v>1</v>
      </c>
      <c r="U60" s="146"/>
      <c r="V60" s="146"/>
    </row>
    <row r="61" outlineLevel="1">
      <c r="A61" s="146"/>
      <c r="B61" s="663" t="s">
        <v>513</v>
      </c>
      <c r="C61" s="244" t="s">
        <v>3755</v>
      </c>
      <c r="D61" s="107"/>
      <c r="E61" s="239" t="s">
        <v>2134</v>
      </c>
      <c r="F61" s="138">
        <v>7.8</v>
      </c>
      <c r="G61" s="239" t="s">
        <v>60</v>
      </c>
      <c r="H61" s="106"/>
      <c r="I61" s="168"/>
      <c r="J61" s="107"/>
      <c r="K61" s="138"/>
      <c r="L61" s="138"/>
      <c r="M61" s="138"/>
      <c r="N61" s="138"/>
      <c r="O61" s="138">
        <v>0.0</v>
      </c>
      <c r="P61" s="138">
        <v>1.0</v>
      </c>
      <c r="Q61" s="138">
        <v>1.0</v>
      </c>
      <c r="R61" s="145" t="b">
        <v>1</v>
      </c>
      <c r="S61" s="145" t="b">
        <v>0</v>
      </c>
      <c r="T61" s="145" t="b">
        <v>1</v>
      </c>
      <c r="U61" s="156"/>
      <c r="V61" s="156"/>
    </row>
    <row r="62" outlineLevel="1">
      <c r="A62" s="230" t="s">
        <v>3756</v>
      </c>
      <c r="B62" s="109"/>
      <c r="C62" s="231" t="s">
        <v>48</v>
      </c>
      <c r="D62" s="231" t="s">
        <v>49</v>
      </c>
      <c r="E62" s="231" t="s">
        <v>50</v>
      </c>
      <c r="F62" s="235" t="s">
        <v>2313</v>
      </c>
      <c r="G62" s="231" t="s">
        <v>52</v>
      </c>
      <c r="H62" s="382"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236" t="s">
        <v>183</v>
      </c>
    </row>
    <row r="63" outlineLevel="1">
      <c r="A63" s="383" t="s">
        <v>184</v>
      </c>
      <c r="B63" s="384" t="s">
        <v>3757</v>
      </c>
      <c r="C63" s="776" t="s">
        <v>3243</v>
      </c>
      <c r="D63" s="393" t="s">
        <v>1419</v>
      </c>
      <c r="E63" s="136" t="s">
        <v>1375</v>
      </c>
      <c r="F63" s="252">
        <v>0.96</v>
      </c>
      <c r="G63" s="239" t="s">
        <v>170</v>
      </c>
      <c r="H63" s="2395" t="s">
        <v>3758</v>
      </c>
      <c r="I63" s="164"/>
      <c r="J63" s="104"/>
      <c r="K63" s="2396"/>
      <c r="L63" s="2396"/>
      <c r="M63" s="2397"/>
      <c r="N63" s="2397"/>
      <c r="O63" s="138">
        <v>0.0</v>
      </c>
      <c r="P63" s="138">
        <v>1.0</v>
      </c>
      <c r="Q63" s="138">
        <v>1.0</v>
      </c>
      <c r="R63" s="145" t="b">
        <v>1</v>
      </c>
      <c r="S63" s="145" t="b">
        <v>1</v>
      </c>
      <c r="T63" s="145" t="b">
        <v>0</v>
      </c>
      <c r="U63" s="166" t="s">
        <v>186</v>
      </c>
      <c r="V63" s="2398" t="b">
        <v>1</v>
      </c>
    </row>
    <row r="64" ht="17.25" customHeight="1" outlineLevel="1">
      <c r="A64" s="146"/>
      <c r="B64" s="384" t="s">
        <v>3759</v>
      </c>
      <c r="C64" s="398" t="s">
        <v>3244</v>
      </c>
      <c r="D64" s="210"/>
      <c r="E64" s="149" t="s">
        <v>1375</v>
      </c>
      <c r="F64" s="252">
        <v>0.96</v>
      </c>
      <c r="G64" s="239" t="s">
        <v>170</v>
      </c>
      <c r="J64" s="210"/>
      <c r="K64" s="2399"/>
      <c r="L64" s="2399"/>
      <c r="M64" s="2400"/>
      <c r="N64" s="2400"/>
      <c r="O64" s="138">
        <v>0.0</v>
      </c>
      <c r="P64" s="138">
        <v>1.0</v>
      </c>
      <c r="Q64" s="138">
        <v>1.0</v>
      </c>
      <c r="R64" s="145" t="b">
        <v>1</v>
      </c>
      <c r="S64" s="145" t="b">
        <v>1</v>
      </c>
      <c r="T64" s="145" t="b">
        <v>0</v>
      </c>
      <c r="U64" s="146"/>
      <c r="V64" s="146"/>
    </row>
    <row r="65" ht="17.25" customHeight="1" outlineLevel="1">
      <c r="A65" s="156"/>
      <c r="B65" s="384" t="s">
        <v>3760</v>
      </c>
      <c r="C65" s="398" t="s">
        <v>3761</v>
      </c>
      <c r="D65" s="107"/>
      <c r="E65" s="149" t="s">
        <v>80</v>
      </c>
      <c r="F65" s="252">
        <v>9.6</v>
      </c>
      <c r="G65" s="239" t="s">
        <v>123</v>
      </c>
      <c r="H65" s="168"/>
      <c r="I65" s="168"/>
      <c r="J65" s="107"/>
      <c r="K65" s="2399"/>
      <c r="L65" s="2399"/>
      <c r="M65" s="2400"/>
      <c r="N65" s="2400"/>
      <c r="O65" s="138">
        <v>0.0</v>
      </c>
      <c r="P65" s="138">
        <v>1.0</v>
      </c>
      <c r="Q65" s="138">
        <v>1.0</v>
      </c>
      <c r="R65" s="145" t="b">
        <v>1</v>
      </c>
      <c r="S65" s="145" t="b">
        <v>1</v>
      </c>
      <c r="T65" s="145" t="b">
        <v>0</v>
      </c>
      <c r="U65" s="156"/>
      <c r="V65" s="146"/>
    </row>
    <row r="66" outlineLevel="1">
      <c r="A66" s="230" t="s">
        <v>3762</v>
      </c>
      <c r="B66" s="109"/>
      <c r="C66" s="231" t="s">
        <v>48</v>
      </c>
      <c r="D66" s="231" t="s">
        <v>49</v>
      </c>
      <c r="E66" s="231" t="s">
        <v>50</v>
      </c>
      <c r="F66" s="235" t="s">
        <v>2313</v>
      </c>
      <c r="G66" s="231" t="s">
        <v>52</v>
      </c>
      <c r="H66" s="382"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outlineLevel="1">
      <c r="A67" s="237" t="s">
        <v>332</v>
      </c>
      <c r="B67" s="243" t="s">
        <v>1147</v>
      </c>
      <c r="C67" s="239" t="s">
        <v>3763</v>
      </c>
      <c r="D67" s="239" t="s">
        <v>358</v>
      </c>
      <c r="E67" s="239" t="s">
        <v>209</v>
      </c>
      <c r="F67" s="138">
        <v>0.0</v>
      </c>
      <c r="G67" s="281"/>
      <c r="H67" s="283" t="s">
        <v>3764</v>
      </c>
      <c r="I67" s="164"/>
      <c r="J67" s="104"/>
      <c r="K67" s="282"/>
      <c r="L67" s="282"/>
      <c r="M67" s="363"/>
      <c r="N67" s="363"/>
      <c r="O67" s="138">
        <v>0.0</v>
      </c>
      <c r="P67" s="138">
        <v>1.0</v>
      </c>
      <c r="Q67" s="138">
        <v>1.0</v>
      </c>
      <c r="R67" s="145" t="b">
        <v>1</v>
      </c>
      <c r="S67" s="145" t="b">
        <v>1</v>
      </c>
      <c r="T67" s="145"/>
      <c r="U67" s="166" t="s">
        <v>186</v>
      </c>
      <c r="V67" s="166" t="b">
        <v>1</v>
      </c>
    </row>
    <row r="68" outlineLevel="1">
      <c r="A68" s="146"/>
      <c r="B68" s="243" t="s">
        <v>243</v>
      </c>
      <c r="C68" s="244" t="s">
        <v>2297</v>
      </c>
      <c r="D68" s="239" t="s">
        <v>413</v>
      </c>
      <c r="E68" s="365" t="s">
        <v>119</v>
      </c>
      <c r="F68" s="138">
        <v>16.8</v>
      </c>
      <c r="G68" s="239" t="s">
        <v>297</v>
      </c>
      <c r="H68" s="212"/>
      <c r="J68" s="210"/>
      <c r="K68" s="138"/>
      <c r="L68" s="138"/>
      <c r="M68" s="145"/>
      <c r="N68" s="145"/>
      <c r="O68" s="138"/>
      <c r="P68" s="138"/>
      <c r="Q68" s="138"/>
      <c r="R68" s="145" t="b">
        <v>0</v>
      </c>
      <c r="S68" s="145" t="b">
        <v>0</v>
      </c>
      <c r="T68" s="145" t="b">
        <v>0</v>
      </c>
      <c r="U68" s="146"/>
      <c r="V68" s="146"/>
    </row>
    <row r="69" outlineLevel="1">
      <c r="A69" s="237" t="s">
        <v>344</v>
      </c>
      <c r="B69" s="243" t="s">
        <v>1147</v>
      </c>
      <c r="C69" s="239" t="s">
        <v>3765</v>
      </c>
      <c r="D69" s="239" t="s">
        <v>3589</v>
      </c>
      <c r="E69" s="239" t="s">
        <v>209</v>
      </c>
      <c r="F69" s="138">
        <v>0.0</v>
      </c>
      <c r="G69" s="281"/>
      <c r="H69" s="212"/>
      <c r="J69" s="210"/>
      <c r="K69" s="138"/>
      <c r="L69" s="138"/>
      <c r="M69" s="145"/>
      <c r="N69" s="145"/>
      <c r="O69" s="138"/>
      <c r="P69" s="138"/>
      <c r="Q69" s="138"/>
      <c r="R69" s="145" t="b">
        <v>0</v>
      </c>
      <c r="S69" s="145" t="b">
        <v>0</v>
      </c>
      <c r="T69" s="145" t="b">
        <v>0</v>
      </c>
      <c r="U69" s="146"/>
      <c r="V69" s="146"/>
    </row>
    <row r="70" outlineLevel="1">
      <c r="A70" s="146"/>
      <c r="B70" s="243" t="s">
        <v>243</v>
      </c>
      <c r="C70" s="244" t="s">
        <v>2297</v>
      </c>
      <c r="D70" s="239" t="s">
        <v>413</v>
      </c>
      <c r="E70" s="365" t="s">
        <v>119</v>
      </c>
      <c r="F70" s="138">
        <v>16.8</v>
      </c>
      <c r="G70" s="239" t="s">
        <v>297</v>
      </c>
      <c r="H70" s="106"/>
      <c r="I70" s="168"/>
      <c r="J70" s="107"/>
      <c r="K70" s="138"/>
      <c r="L70" s="138"/>
      <c r="M70" s="145"/>
      <c r="N70" s="145"/>
      <c r="O70" s="138">
        <v>0.0</v>
      </c>
      <c r="P70" s="138">
        <v>1.0</v>
      </c>
      <c r="Q70" s="138">
        <v>1.0</v>
      </c>
      <c r="R70" s="145" t="b">
        <v>1</v>
      </c>
      <c r="S70" s="145" t="b">
        <v>1</v>
      </c>
      <c r="T70" s="145"/>
      <c r="U70" s="156"/>
      <c r="V70" s="156"/>
    </row>
    <row r="71" outlineLevel="1">
      <c r="A71" s="230" t="s">
        <v>3766</v>
      </c>
      <c r="B71" s="109"/>
      <c r="C71" s="231" t="s">
        <v>48</v>
      </c>
      <c r="D71" s="231" t="s">
        <v>49</v>
      </c>
      <c r="E71" s="231" t="s">
        <v>50</v>
      </c>
      <c r="F71" s="235" t="s">
        <v>2313</v>
      </c>
      <c r="G71" s="231" t="s">
        <v>52</v>
      </c>
      <c r="H71" s="382" t="s">
        <v>53</v>
      </c>
      <c r="I71" s="110"/>
      <c r="J71" s="109"/>
      <c r="K71" s="235" t="s">
        <v>137</v>
      </c>
      <c r="L71" s="235" t="s">
        <v>138</v>
      </c>
      <c r="M71" s="235" t="s">
        <v>139</v>
      </c>
      <c r="N71" s="235" t="s">
        <v>140</v>
      </c>
      <c r="O71" s="236" t="s">
        <v>141</v>
      </c>
      <c r="P71" s="235" t="s">
        <v>142</v>
      </c>
      <c r="Q71" s="236" t="s">
        <v>143</v>
      </c>
      <c r="R71" s="235" t="s">
        <v>179</v>
      </c>
      <c r="S71" s="236" t="s">
        <v>180</v>
      </c>
      <c r="T71" s="236" t="s">
        <v>181</v>
      </c>
      <c r="U71" s="236" t="s">
        <v>182</v>
      </c>
      <c r="V71" s="236" t="s">
        <v>183</v>
      </c>
    </row>
    <row r="72" ht="27.75" customHeight="1" outlineLevel="1">
      <c r="A72" s="1164" t="s">
        <v>332</v>
      </c>
      <c r="B72" s="540" t="s">
        <v>1147</v>
      </c>
      <c r="C72" s="136" t="s">
        <v>3258</v>
      </c>
      <c r="D72" s="136" t="s">
        <v>300</v>
      </c>
      <c r="E72" s="239" t="s">
        <v>209</v>
      </c>
      <c r="F72" s="138">
        <v>0.0</v>
      </c>
      <c r="G72" s="281"/>
      <c r="H72" s="2401" t="s">
        <v>3767</v>
      </c>
      <c r="I72" s="164"/>
      <c r="J72" s="104"/>
      <c r="K72" s="138"/>
      <c r="L72" s="138"/>
      <c r="M72" s="138"/>
      <c r="N72" s="138"/>
      <c r="O72" s="138">
        <v>0.0</v>
      </c>
      <c r="P72" s="138">
        <v>1.0</v>
      </c>
      <c r="Q72" s="138">
        <v>1.0</v>
      </c>
      <c r="R72" s="145" t="b">
        <v>1</v>
      </c>
      <c r="S72" s="145" t="b">
        <v>1</v>
      </c>
      <c r="T72" s="145" t="b">
        <v>0</v>
      </c>
      <c r="U72" s="166" t="s">
        <v>186</v>
      </c>
      <c r="V72" s="166" t="b">
        <v>1</v>
      </c>
    </row>
    <row r="73" ht="27.75" customHeight="1" outlineLevel="1">
      <c r="A73" s="156"/>
      <c r="B73" s="540" t="s">
        <v>243</v>
      </c>
      <c r="C73" s="136" t="s">
        <v>2297</v>
      </c>
      <c r="D73" s="2402" t="s">
        <v>218</v>
      </c>
      <c r="E73" s="138" t="s">
        <v>3768</v>
      </c>
      <c r="F73" s="138" t="s">
        <v>3769</v>
      </c>
      <c r="G73" s="239" t="s">
        <v>3770</v>
      </c>
      <c r="J73" s="210"/>
      <c r="K73" s="138"/>
      <c r="L73" s="138"/>
      <c r="M73" s="138"/>
      <c r="N73" s="138"/>
      <c r="O73" s="138">
        <v>0.0</v>
      </c>
      <c r="P73" s="138">
        <v>1.0</v>
      </c>
      <c r="Q73" s="138">
        <v>1.0</v>
      </c>
      <c r="R73" s="145" t="b">
        <v>1</v>
      </c>
      <c r="S73" s="145" t="b">
        <v>1</v>
      </c>
      <c r="T73" s="145" t="b">
        <v>0</v>
      </c>
      <c r="U73" s="146"/>
      <c r="V73" s="146"/>
    </row>
    <row r="74" ht="27.75" customHeight="1" outlineLevel="1">
      <c r="A74" s="1164" t="s">
        <v>344</v>
      </c>
      <c r="B74" s="540" t="s">
        <v>1147</v>
      </c>
      <c r="C74" s="136" t="s">
        <v>3771</v>
      </c>
      <c r="D74" s="136" t="s">
        <v>810</v>
      </c>
      <c r="E74" s="239" t="s">
        <v>209</v>
      </c>
      <c r="F74" s="138">
        <v>0.0</v>
      </c>
      <c r="G74" s="281"/>
      <c r="J74" s="210"/>
      <c r="K74" s="138"/>
      <c r="L74" s="138"/>
      <c r="M74" s="138"/>
      <c r="N74" s="138"/>
      <c r="O74" s="138">
        <v>0.0</v>
      </c>
      <c r="P74" s="138">
        <v>1.0</v>
      </c>
      <c r="Q74" s="138">
        <v>1.0</v>
      </c>
      <c r="R74" s="145" t="b">
        <v>1</v>
      </c>
      <c r="S74" s="145" t="b">
        <v>1</v>
      </c>
      <c r="T74" s="145" t="b">
        <v>0</v>
      </c>
      <c r="U74" s="146"/>
      <c r="V74" s="146"/>
    </row>
    <row r="75" ht="27.75" customHeight="1" outlineLevel="1">
      <c r="A75" s="156"/>
      <c r="B75" s="540" t="s">
        <v>243</v>
      </c>
      <c r="C75" s="136" t="s">
        <v>2297</v>
      </c>
      <c r="D75" s="2403"/>
      <c r="E75" s="138" t="s">
        <v>3768</v>
      </c>
      <c r="F75" s="138" t="s">
        <v>3769</v>
      </c>
      <c r="G75" s="239" t="s">
        <v>3770</v>
      </c>
      <c r="H75" s="168"/>
      <c r="I75" s="168"/>
      <c r="J75" s="107"/>
      <c r="K75" s="138"/>
      <c r="L75" s="138"/>
      <c r="M75" s="138"/>
      <c r="N75" s="138"/>
      <c r="O75" s="138">
        <v>0.0</v>
      </c>
      <c r="P75" s="138">
        <v>1.0</v>
      </c>
      <c r="Q75" s="138">
        <v>1.0</v>
      </c>
      <c r="R75" s="145" t="b">
        <v>1</v>
      </c>
      <c r="S75" s="145" t="b">
        <v>1</v>
      </c>
      <c r="T75" s="145" t="b">
        <v>0</v>
      </c>
      <c r="U75" s="156"/>
      <c r="V75" s="156"/>
    </row>
    <row r="76" outlineLevel="1">
      <c r="A76" s="230" t="s">
        <v>3772</v>
      </c>
      <c r="B76" s="109"/>
      <c r="C76" s="231" t="s">
        <v>48</v>
      </c>
      <c r="D76" s="231" t="s">
        <v>49</v>
      </c>
      <c r="E76" s="231" t="s">
        <v>50</v>
      </c>
      <c r="F76" s="235" t="s">
        <v>2313</v>
      </c>
      <c r="G76" s="231"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236" t="s">
        <v>183</v>
      </c>
    </row>
    <row r="77" outlineLevel="1">
      <c r="A77" s="383" t="s">
        <v>184</v>
      </c>
      <c r="B77" s="384" t="s">
        <v>397</v>
      </c>
      <c r="C77" s="776" t="s">
        <v>3773</v>
      </c>
      <c r="D77" s="393" t="s">
        <v>634</v>
      </c>
      <c r="E77" s="136" t="s">
        <v>2129</v>
      </c>
      <c r="F77" s="252">
        <v>1.32</v>
      </c>
      <c r="G77" s="239" t="s">
        <v>170</v>
      </c>
      <c r="H77" s="2404" t="s">
        <v>3774</v>
      </c>
      <c r="I77" s="164"/>
      <c r="J77" s="104"/>
      <c r="K77" s="2396"/>
      <c r="L77" s="2396"/>
      <c r="M77" s="2397"/>
      <c r="N77" s="2397"/>
      <c r="O77" s="138">
        <v>0.0</v>
      </c>
      <c r="P77" s="138">
        <v>1.0</v>
      </c>
      <c r="Q77" s="138">
        <v>1.0</v>
      </c>
      <c r="R77" s="145" t="b">
        <v>1</v>
      </c>
      <c r="S77" s="145" t="b">
        <v>0</v>
      </c>
      <c r="T77" s="145" t="b">
        <v>1</v>
      </c>
      <c r="U77" s="166" t="s">
        <v>186</v>
      </c>
      <c r="V77" s="166" t="b">
        <v>1</v>
      </c>
    </row>
    <row r="78" outlineLevel="1">
      <c r="A78" s="156"/>
      <c r="B78" s="390" t="s">
        <v>3775</v>
      </c>
      <c r="C78" s="398" t="s">
        <v>3776</v>
      </c>
      <c r="D78" s="107"/>
      <c r="E78" s="136" t="s">
        <v>80</v>
      </c>
      <c r="F78" s="256">
        <v>9.6</v>
      </c>
      <c r="G78" s="239" t="s">
        <v>60</v>
      </c>
      <c r="H78" s="168"/>
      <c r="I78" s="168"/>
      <c r="J78" s="107"/>
      <c r="K78" s="2399"/>
      <c r="L78" s="2399"/>
      <c r="M78" s="2400"/>
      <c r="N78" s="2400"/>
      <c r="O78" s="138">
        <v>0.0</v>
      </c>
      <c r="P78" s="138">
        <v>1.0</v>
      </c>
      <c r="Q78" s="138">
        <v>1.0</v>
      </c>
      <c r="R78" s="145" t="b">
        <v>1</v>
      </c>
      <c r="S78" s="145" t="b">
        <v>0</v>
      </c>
      <c r="T78" s="145" t="b">
        <v>1</v>
      </c>
      <c r="U78" s="156"/>
      <c r="V78" s="156"/>
    </row>
    <row r="79" outlineLevel="1">
      <c r="A79" s="230" t="s">
        <v>3777</v>
      </c>
      <c r="B79" s="109"/>
      <c r="C79" s="231" t="s">
        <v>48</v>
      </c>
      <c r="D79" s="231" t="s">
        <v>49</v>
      </c>
      <c r="E79" s="232" t="s">
        <v>50</v>
      </c>
      <c r="F79" s="233" t="s">
        <v>51</v>
      </c>
      <c r="G79" s="232" t="s">
        <v>52</v>
      </c>
      <c r="H79" s="382" t="str">
        <f>'テンプレート'!H80</f>
        <v>備考</v>
      </c>
      <c r="I79" s="110"/>
      <c r="J79" s="109"/>
      <c r="K79" s="235" t="str">
        <f>'テンプレート'!K80</f>
        <v>ベクトル</v>
      </c>
      <c r="L79" s="235" t="str">
        <f>'テンプレート'!L80</f>
        <v>KBG (R.E.)</v>
      </c>
      <c r="M79" s="235" t="str">
        <f>'テンプレート'!M80</f>
        <v>BKB (R.A.)</v>
      </c>
      <c r="N79" s="235" t="str">
        <f>'テンプレート'!N80</f>
        <v>FKB (R.F.)</v>
      </c>
      <c r="O79" s="236" t="str">
        <f>'テンプレート'!O80</f>
        <v>盾削り値</v>
      </c>
      <c r="P79" s="235" t="str">
        <f>'テンプレート'!P80</f>
        <v>ﾋｯﾄｽﾄｯﾌﾟ</v>
      </c>
      <c r="Q79" s="236" t="str">
        <f>'テンプレート'!Q80</f>
        <v>ずらし</v>
      </c>
      <c r="R79" s="235" t="str">
        <f>'テンプレート'!R80</f>
        <v>相殺</v>
      </c>
      <c r="S79" s="236" t="str">
        <f>'テンプレート'!S80</f>
        <v>相殺ﾓｰｼｮﾝ</v>
      </c>
      <c r="T79" s="236" t="str">
        <f>'テンプレート'!T80</f>
        <v>飛び道具</v>
      </c>
      <c r="U79" s="236" t="str">
        <f>'テンプレート'!U80</f>
        <v>慣性反転</v>
      </c>
      <c r="V79" s="236" t="str">
        <f>'テンプレート'!V80</f>
        <v>向き反転</v>
      </c>
    </row>
    <row r="80" ht="21.75" customHeight="1" outlineLevel="1">
      <c r="A80" s="237" t="s">
        <v>184</v>
      </c>
      <c r="B80" s="402" t="s">
        <v>3692</v>
      </c>
      <c r="C80" s="239" t="s">
        <v>1734</v>
      </c>
      <c r="D80" s="400"/>
      <c r="E80" s="239" t="s">
        <v>73</v>
      </c>
      <c r="F80" s="138">
        <v>4.8</v>
      </c>
      <c r="G80" s="239" t="s">
        <v>75</v>
      </c>
      <c r="H80" s="163" t="s">
        <v>3778</v>
      </c>
      <c r="I80" s="164"/>
      <c r="J80" s="104"/>
      <c r="K80" s="138"/>
      <c r="L80" s="138"/>
      <c r="M80" s="145"/>
      <c r="N80" s="145"/>
      <c r="O80" s="138">
        <v>0.0</v>
      </c>
      <c r="P80" s="138">
        <v>1.0</v>
      </c>
      <c r="Q80" s="138">
        <v>1.0</v>
      </c>
      <c r="R80" s="145" t="b">
        <v>1</v>
      </c>
      <c r="S80" s="145" t="b">
        <v>1</v>
      </c>
      <c r="T80" s="145" t="b">
        <v>0</v>
      </c>
      <c r="U80" s="166" t="s">
        <v>186</v>
      </c>
      <c r="V80" s="166" t="b">
        <v>1</v>
      </c>
    </row>
    <row r="81" ht="21.75" customHeight="1" outlineLevel="1">
      <c r="A81" s="146"/>
      <c r="B81" s="402" t="s">
        <v>3779</v>
      </c>
      <c r="C81" s="244" t="s">
        <v>3780</v>
      </c>
      <c r="D81" s="146"/>
      <c r="E81" s="239" t="s">
        <v>204</v>
      </c>
      <c r="F81" s="138">
        <v>3.5999999999999996</v>
      </c>
      <c r="G81" s="239" t="s">
        <v>147</v>
      </c>
      <c r="H81" s="212"/>
      <c r="J81" s="210"/>
      <c r="K81" s="138"/>
      <c r="L81" s="138"/>
      <c r="M81" s="145"/>
      <c r="N81" s="145"/>
      <c r="O81" s="138">
        <v>0.0</v>
      </c>
      <c r="P81" s="138">
        <v>1.0</v>
      </c>
      <c r="Q81" s="138">
        <v>1.0</v>
      </c>
      <c r="R81" s="145" t="b">
        <v>1</v>
      </c>
      <c r="S81" s="145" t="b">
        <v>1</v>
      </c>
      <c r="T81" s="145" t="b">
        <v>0</v>
      </c>
      <c r="U81" s="146"/>
      <c r="V81" s="146"/>
    </row>
    <row r="82" ht="21.75" customHeight="1" outlineLevel="1">
      <c r="A82" s="146"/>
      <c r="B82" s="402" t="s">
        <v>174</v>
      </c>
      <c r="C82" s="244" t="s">
        <v>681</v>
      </c>
      <c r="D82" s="239" t="s">
        <v>393</v>
      </c>
      <c r="E82" s="365" t="s">
        <v>80</v>
      </c>
      <c r="F82" s="138">
        <v>9.6</v>
      </c>
      <c r="G82" s="239" t="s">
        <v>123</v>
      </c>
      <c r="H82" s="106"/>
      <c r="I82" s="168"/>
      <c r="J82" s="107"/>
      <c r="K82" s="138"/>
      <c r="L82" s="138"/>
      <c r="M82" s="145"/>
      <c r="N82" s="145"/>
      <c r="O82" s="138">
        <v>0.0</v>
      </c>
      <c r="P82" s="138">
        <v>1.0</v>
      </c>
      <c r="Q82" s="138">
        <v>1.0</v>
      </c>
      <c r="R82" s="145" t="b">
        <v>1</v>
      </c>
      <c r="S82" s="145" t="b">
        <v>1</v>
      </c>
      <c r="T82" s="145" t="b">
        <v>0</v>
      </c>
      <c r="U82" s="156"/>
      <c r="V82" s="156"/>
    </row>
    <row r="83" outlineLevel="1">
      <c r="A83" s="230" t="s">
        <v>3781</v>
      </c>
      <c r="B83" s="109"/>
      <c r="C83" s="231" t="s">
        <v>48</v>
      </c>
      <c r="D83" s="231" t="s">
        <v>49</v>
      </c>
      <c r="E83" s="232" t="s">
        <v>50</v>
      </c>
      <c r="F83" s="233" t="s">
        <v>51</v>
      </c>
      <c r="G83" s="232" t="s">
        <v>52</v>
      </c>
      <c r="H83" s="382" t="str">
        <f>'テンプレート'!H85</f>
        <v>備考</v>
      </c>
      <c r="I83" s="110"/>
      <c r="J83" s="109"/>
      <c r="K83" s="235" t="str">
        <f>'テンプレート'!K85</f>
        <v>ベクトル</v>
      </c>
      <c r="L83" s="235" t="str">
        <f>'テンプレート'!L85</f>
        <v>KBG (R.E.)</v>
      </c>
      <c r="M83" s="235" t="str">
        <f>'テンプレート'!M85</f>
        <v>BKB (R.A.)</v>
      </c>
      <c r="N83" s="235" t="str">
        <f>'テンプレート'!N85</f>
        <v>FKB (R.F.)</v>
      </c>
      <c r="O83" s="236" t="str">
        <f>'テンプレート'!O85</f>
        <v>盾削り値</v>
      </c>
      <c r="P83" s="235" t="str">
        <f>'テンプレート'!P85</f>
        <v>ﾋｯﾄｽﾄｯﾌﾟ</v>
      </c>
      <c r="Q83" s="236" t="str">
        <f>'テンプレート'!Q85</f>
        <v>ずらし</v>
      </c>
      <c r="R83" s="235" t="str">
        <f>'テンプレート'!R85</f>
        <v>相殺</v>
      </c>
      <c r="S83" s="236" t="str">
        <f>'テンプレート'!S85</f>
        <v>相殺ﾓｰｼｮﾝ</v>
      </c>
      <c r="T83" s="236" t="str">
        <f>'テンプレート'!T85</f>
        <v>飛び道具</v>
      </c>
      <c r="U83" s="236" t="str">
        <f>'テンプレート'!U85</f>
        <v>慣性反転</v>
      </c>
      <c r="V83" s="236" t="str">
        <f>'テンプレート'!V85</f>
        <v>向き反転</v>
      </c>
    </row>
    <row r="84" outlineLevel="1">
      <c r="A84" s="383" t="s">
        <v>184</v>
      </c>
      <c r="B84" s="384" t="s">
        <v>125</v>
      </c>
      <c r="C84" s="136" t="s">
        <v>386</v>
      </c>
      <c r="D84" s="2405"/>
      <c r="E84" s="136" t="s">
        <v>58</v>
      </c>
      <c r="F84" s="252">
        <v>2.64</v>
      </c>
      <c r="G84" s="239" t="s">
        <v>60</v>
      </c>
      <c r="H84" s="2404" t="s">
        <v>3782</v>
      </c>
      <c r="I84" s="164"/>
      <c r="J84" s="104"/>
      <c r="K84" s="2396"/>
      <c r="L84" s="2396"/>
      <c r="M84" s="2397"/>
      <c r="N84" s="2397"/>
      <c r="O84" s="138">
        <v>0.0</v>
      </c>
      <c r="P84" s="138">
        <v>1.0</v>
      </c>
      <c r="Q84" s="138">
        <v>1.0</v>
      </c>
      <c r="R84" s="145" t="b">
        <v>1</v>
      </c>
      <c r="S84" s="145" t="b">
        <v>1</v>
      </c>
      <c r="T84" s="145" t="b">
        <v>0</v>
      </c>
      <c r="U84" s="166" t="s">
        <v>186</v>
      </c>
      <c r="V84" s="166" t="b">
        <v>1</v>
      </c>
    </row>
    <row r="85" outlineLevel="1">
      <c r="A85" s="146"/>
      <c r="B85" s="540" t="s">
        <v>360</v>
      </c>
      <c r="C85" s="398" t="s">
        <v>3783</v>
      </c>
      <c r="D85" s="210"/>
      <c r="E85" s="149" t="s">
        <v>204</v>
      </c>
      <c r="F85" s="256">
        <v>3.5999999999999996</v>
      </c>
      <c r="G85" s="239" t="s">
        <v>147</v>
      </c>
      <c r="J85" s="210"/>
      <c r="K85" s="2399"/>
      <c r="L85" s="2399"/>
      <c r="M85" s="2400"/>
      <c r="N85" s="2400"/>
      <c r="O85" s="138">
        <v>0.0</v>
      </c>
      <c r="P85" s="138">
        <v>1.0</v>
      </c>
      <c r="Q85" s="138">
        <v>1.0</v>
      </c>
      <c r="R85" s="145" t="b">
        <v>1</v>
      </c>
      <c r="S85" s="145" t="b">
        <v>1</v>
      </c>
      <c r="T85" s="145" t="b">
        <v>0</v>
      </c>
      <c r="U85" s="146"/>
      <c r="V85" s="146"/>
    </row>
    <row r="86" outlineLevel="1">
      <c r="A86" s="156"/>
      <c r="B86" s="540" t="s">
        <v>365</v>
      </c>
      <c r="C86" s="398" t="s">
        <v>1281</v>
      </c>
      <c r="D86" s="107"/>
      <c r="E86" s="149" t="s">
        <v>73</v>
      </c>
      <c r="F86" s="256">
        <v>4.8</v>
      </c>
      <c r="G86" s="239" t="s">
        <v>75</v>
      </c>
      <c r="H86" s="168"/>
      <c r="I86" s="168"/>
      <c r="J86" s="107"/>
      <c r="K86" s="2399"/>
      <c r="L86" s="2399"/>
      <c r="M86" s="2400"/>
      <c r="N86" s="2400"/>
      <c r="O86" s="138">
        <v>0.0</v>
      </c>
      <c r="P86" s="138">
        <v>1.0</v>
      </c>
      <c r="Q86" s="138">
        <v>1.0</v>
      </c>
      <c r="R86" s="145" t="b">
        <v>1</v>
      </c>
      <c r="S86" s="145" t="b">
        <v>1</v>
      </c>
      <c r="T86" s="145" t="b">
        <v>0</v>
      </c>
      <c r="U86" s="156"/>
      <c r="V86" s="156"/>
    </row>
    <row r="87" outlineLevel="1">
      <c r="A87" s="230" t="s">
        <v>3784</v>
      </c>
      <c r="B87" s="109"/>
      <c r="C87" s="231" t="s">
        <v>48</v>
      </c>
      <c r="D87" s="231" t="s">
        <v>49</v>
      </c>
      <c r="E87" s="231" t="s">
        <v>50</v>
      </c>
      <c r="F87" s="235" t="s">
        <v>2313</v>
      </c>
      <c r="G87" s="231" t="s">
        <v>52</v>
      </c>
      <c r="H87" s="382" t="s">
        <v>53</v>
      </c>
      <c r="I87" s="110"/>
      <c r="J87" s="109"/>
      <c r="K87" s="235" t="s">
        <v>137</v>
      </c>
      <c r="L87" s="235" t="s">
        <v>138</v>
      </c>
      <c r="M87" s="235" t="s">
        <v>139</v>
      </c>
      <c r="N87" s="235" t="s">
        <v>140</v>
      </c>
      <c r="O87" s="236" t="s">
        <v>141</v>
      </c>
      <c r="P87" s="235" t="s">
        <v>142</v>
      </c>
      <c r="Q87" s="236" t="s">
        <v>143</v>
      </c>
      <c r="R87" s="235" t="s">
        <v>179</v>
      </c>
      <c r="S87" s="236" t="s">
        <v>180</v>
      </c>
      <c r="T87" s="236" t="s">
        <v>181</v>
      </c>
      <c r="U87" s="236" t="s">
        <v>182</v>
      </c>
      <c r="V87" s="236" t="s">
        <v>183</v>
      </c>
    </row>
    <row r="88" outlineLevel="1">
      <c r="A88" s="383" t="s">
        <v>332</v>
      </c>
      <c r="B88" s="2406"/>
      <c r="C88" s="776" t="s">
        <v>518</v>
      </c>
      <c r="D88" s="392" t="s">
        <v>2533</v>
      </c>
      <c r="E88" s="776" t="s">
        <v>3785</v>
      </c>
      <c r="F88" s="2407" t="s">
        <v>3786</v>
      </c>
      <c r="G88" s="239" t="s">
        <v>3787</v>
      </c>
      <c r="H88" s="2395" t="s">
        <v>3788</v>
      </c>
      <c r="I88" s="164"/>
      <c r="J88" s="104"/>
      <c r="K88" s="252"/>
      <c r="L88" s="252"/>
      <c r="M88" s="2408"/>
      <c r="N88" s="2408"/>
      <c r="O88" s="138">
        <v>0.0</v>
      </c>
      <c r="P88" s="138">
        <v>1.0</v>
      </c>
      <c r="Q88" s="138">
        <v>1.0</v>
      </c>
      <c r="R88" s="145" t="b">
        <v>1</v>
      </c>
      <c r="S88" s="145" t="b">
        <v>1</v>
      </c>
      <c r="T88" s="145" t="b">
        <v>0</v>
      </c>
      <c r="U88" s="166" t="s">
        <v>186</v>
      </c>
      <c r="V88" s="166" t="b">
        <v>1</v>
      </c>
    </row>
    <row r="89" outlineLevel="1">
      <c r="A89" s="146"/>
      <c r="B89" s="1167" t="s">
        <v>187</v>
      </c>
      <c r="C89" s="399" t="s">
        <v>1290</v>
      </c>
      <c r="D89" s="210"/>
      <c r="E89" s="398" t="s">
        <v>3789</v>
      </c>
      <c r="F89" s="2409" t="s">
        <v>3790</v>
      </c>
      <c r="G89" s="239" t="s">
        <v>3791</v>
      </c>
      <c r="J89" s="210"/>
      <c r="K89" s="256"/>
      <c r="L89" s="256"/>
      <c r="M89" s="2410"/>
      <c r="N89" s="2410"/>
      <c r="O89" s="138">
        <v>0.0</v>
      </c>
      <c r="P89" s="138">
        <v>1.0</v>
      </c>
      <c r="Q89" s="138">
        <v>1.0</v>
      </c>
      <c r="R89" s="145" t="b">
        <v>1</v>
      </c>
      <c r="S89" s="145" t="b">
        <v>1</v>
      </c>
      <c r="T89" s="145" t="b">
        <v>0</v>
      </c>
      <c r="U89" s="146"/>
      <c r="V89" s="146"/>
    </row>
    <row r="90" outlineLevel="1">
      <c r="A90" s="146"/>
      <c r="B90" s="1167" t="s">
        <v>189</v>
      </c>
      <c r="C90" s="399" t="s">
        <v>1532</v>
      </c>
      <c r="D90" s="210"/>
      <c r="E90" s="398" t="s">
        <v>3792</v>
      </c>
      <c r="F90" s="2409" t="s">
        <v>3793</v>
      </c>
      <c r="G90" s="239" t="s">
        <v>512</v>
      </c>
      <c r="J90" s="210"/>
      <c r="K90" s="256"/>
      <c r="L90" s="256"/>
      <c r="M90" s="2410"/>
      <c r="N90" s="2410"/>
      <c r="O90" s="138">
        <v>0.0</v>
      </c>
      <c r="P90" s="138">
        <v>1.0</v>
      </c>
      <c r="Q90" s="138">
        <v>1.0</v>
      </c>
      <c r="R90" s="145" t="b">
        <v>1</v>
      </c>
      <c r="S90" s="145" t="b">
        <v>1</v>
      </c>
      <c r="T90" s="145" t="b">
        <v>0</v>
      </c>
      <c r="U90" s="146"/>
      <c r="V90" s="146"/>
    </row>
    <row r="91" outlineLevel="1">
      <c r="A91" s="156"/>
      <c r="B91" s="1167" t="s">
        <v>513</v>
      </c>
      <c r="C91" s="399" t="s">
        <v>3794</v>
      </c>
      <c r="D91" s="107"/>
      <c r="E91" s="398" t="s">
        <v>3795</v>
      </c>
      <c r="F91" s="2409" t="s">
        <v>3796</v>
      </c>
      <c r="G91" s="239" t="s">
        <v>517</v>
      </c>
      <c r="H91" s="168"/>
      <c r="I91" s="168"/>
      <c r="J91" s="107"/>
      <c r="K91" s="256"/>
      <c r="L91" s="256"/>
      <c r="M91" s="2410"/>
      <c r="N91" s="2410"/>
      <c r="O91" s="138">
        <v>0.0</v>
      </c>
      <c r="P91" s="138">
        <v>1.0</v>
      </c>
      <c r="Q91" s="138">
        <v>1.0</v>
      </c>
      <c r="R91" s="145" t="b">
        <v>1</v>
      </c>
      <c r="S91" s="145" t="b">
        <v>1</v>
      </c>
      <c r="T91" s="145" t="b">
        <v>0</v>
      </c>
      <c r="U91" s="156"/>
      <c r="V91" s="156"/>
    </row>
    <row r="92" outlineLevel="1">
      <c r="A92" s="389" t="s">
        <v>344</v>
      </c>
      <c r="B92" s="1167" t="s">
        <v>125</v>
      </c>
      <c r="C92" s="399" t="s">
        <v>80</v>
      </c>
      <c r="D92" s="2411"/>
      <c r="E92" s="149" t="s">
        <v>204</v>
      </c>
      <c r="F92" s="256">
        <v>3.5999999999999996</v>
      </c>
      <c r="G92" s="239" t="s">
        <v>147</v>
      </c>
      <c r="H92" s="2412" t="s">
        <v>3797</v>
      </c>
      <c r="J92" s="210"/>
      <c r="K92" s="256"/>
      <c r="L92" s="256"/>
      <c r="M92" s="2410"/>
      <c r="N92" s="2410"/>
      <c r="O92" s="138">
        <v>0.0</v>
      </c>
      <c r="P92" s="138">
        <v>1.0</v>
      </c>
      <c r="Q92" s="138">
        <v>1.0</v>
      </c>
      <c r="R92" s="145" t="b">
        <v>1</v>
      </c>
      <c r="S92" s="145" t="b">
        <v>1</v>
      </c>
      <c r="T92" s="145" t="b">
        <v>0</v>
      </c>
      <c r="U92" s="166" t="s">
        <v>186</v>
      </c>
      <c r="V92" s="166" t="b">
        <v>1</v>
      </c>
    </row>
    <row r="93" outlineLevel="1">
      <c r="A93" s="146"/>
      <c r="B93" s="1167" t="s">
        <v>131</v>
      </c>
      <c r="C93" s="398" t="s">
        <v>232</v>
      </c>
      <c r="D93" s="210"/>
      <c r="E93" s="157" t="s">
        <v>176</v>
      </c>
      <c r="F93" s="256">
        <v>2.4</v>
      </c>
      <c r="G93" s="239" t="s">
        <v>60</v>
      </c>
      <c r="J93" s="210"/>
      <c r="K93" s="256"/>
      <c r="L93" s="256"/>
      <c r="M93" s="2410"/>
      <c r="N93" s="2410"/>
      <c r="O93" s="138">
        <v>0.0</v>
      </c>
      <c r="P93" s="138">
        <v>1.0</v>
      </c>
      <c r="Q93" s="138">
        <v>1.0</v>
      </c>
      <c r="R93" s="145" t="b">
        <v>1</v>
      </c>
      <c r="S93" s="145" t="b">
        <v>1</v>
      </c>
      <c r="T93" s="145" t="b">
        <v>0</v>
      </c>
      <c r="U93" s="146"/>
      <c r="V93" s="146"/>
    </row>
    <row r="94" outlineLevel="1">
      <c r="A94" s="146"/>
      <c r="B94" s="1167" t="s">
        <v>434</v>
      </c>
      <c r="C94" s="398" t="s">
        <v>153</v>
      </c>
      <c r="D94" s="210"/>
      <c r="E94" s="157" t="s">
        <v>176</v>
      </c>
      <c r="F94" s="256">
        <v>2.4</v>
      </c>
      <c r="G94" s="239" t="s">
        <v>60</v>
      </c>
      <c r="J94" s="210"/>
      <c r="K94" s="256"/>
      <c r="L94" s="256"/>
      <c r="M94" s="2410"/>
      <c r="N94" s="2410"/>
      <c r="O94" s="138"/>
      <c r="P94" s="138"/>
      <c r="Q94" s="138"/>
      <c r="R94" s="145" t="b">
        <v>0</v>
      </c>
      <c r="S94" s="145" t="b">
        <v>0</v>
      </c>
      <c r="T94" s="145" t="b">
        <v>0</v>
      </c>
      <c r="U94" s="146"/>
      <c r="V94" s="146"/>
    </row>
    <row r="95" outlineLevel="1">
      <c r="A95" s="146"/>
      <c r="B95" s="1167" t="s">
        <v>520</v>
      </c>
      <c r="C95" s="398" t="s">
        <v>296</v>
      </c>
      <c r="D95" s="210"/>
      <c r="E95" s="157" t="s">
        <v>176</v>
      </c>
      <c r="F95" s="256">
        <v>2.4</v>
      </c>
      <c r="G95" s="239" t="s">
        <v>60</v>
      </c>
      <c r="J95" s="210"/>
      <c r="K95" s="256"/>
      <c r="L95" s="256"/>
      <c r="M95" s="2410"/>
      <c r="N95" s="2410"/>
      <c r="O95" s="138">
        <v>0.0</v>
      </c>
      <c r="P95" s="138">
        <v>1.0</v>
      </c>
      <c r="Q95" s="138">
        <v>1.0</v>
      </c>
      <c r="R95" s="145" t="b">
        <v>1</v>
      </c>
      <c r="S95" s="145" t="b">
        <v>1</v>
      </c>
      <c r="T95" s="145" t="b">
        <v>0</v>
      </c>
      <c r="U95" s="146"/>
      <c r="V95" s="146"/>
    </row>
    <row r="96" outlineLevel="1">
      <c r="A96" s="146"/>
      <c r="B96" s="1167" t="s">
        <v>521</v>
      </c>
      <c r="C96" s="398" t="s">
        <v>1114</v>
      </c>
      <c r="D96" s="210"/>
      <c r="E96" s="157" t="s">
        <v>176</v>
      </c>
      <c r="F96" s="256">
        <v>2.4</v>
      </c>
      <c r="G96" s="239" t="s">
        <v>60</v>
      </c>
      <c r="J96" s="210"/>
      <c r="K96" s="256"/>
      <c r="L96" s="256"/>
      <c r="M96" s="2410"/>
      <c r="N96" s="2410"/>
      <c r="O96" s="138"/>
      <c r="P96" s="138"/>
      <c r="Q96" s="138"/>
      <c r="R96" s="145" t="b">
        <v>0</v>
      </c>
      <c r="S96" s="145" t="b">
        <v>0</v>
      </c>
      <c r="T96" s="145" t="b">
        <v>0</v>
      </c>
      <c r="U96" s="146"/>
      <c r="V96" s="146"/>
    </row>
    <row r="97" outlineLevel="1">
      <c r="A97" s="146"/>
      <c r="B97" s="1167" t="s">
        <v>172</v>
      </c>
      <c r="C97" s="398" t="s">
        <v>876</v>
      </c>
      <c r="D97" s="210"/>
      <c r="E97" s="157" t="s">
        <v>176</v>
      </c>
      <c r="F97" s="256">
        <v>2.4</v>
      </c>
      <c r="G97" s="239" t="s">
        <v>60</v>
      </c>
      <c r="J97" s="210"/>
      <c r="K97" s="256"/>
      <c r="L97" s="256"/>
      <c r="M97" s="2410"/>
      <c r="N97" s="2410"/>
      <c r="O97" s="138">
        <v>0.0</v>
      </c>
      <c r="P97" s="138">
        <v>1.0</v>
      </c>
      <c r="Q97" s="138">
        <v>1.0</v>
      </c>
      <c r="R97" s="145" t="b">
        <v>1</v>
      </c>
      <c r="S97" s="145" t="b">
        <v>1</v>
      </c>
      <c r="T97" s="145" t="b">
        <v>0</v>
      </c>
      <c r="U97" s="146"/>
      <c r="V97" s="146"/>
    </row>
    <row r="98" outlineLevel="1">
      <c r="A98" s="146"/>
      <c r="B98" s="1167" t="s">
        <v>365</v>
      </c>
      <c r="C98" s="398" t="s">
        <v>271</v>
      </c>
      <c r="D98" s="210"/>
      <c r="E98" s="157" t="s">
        <v>176</v>
      </c>
      <c r="F98" s="256">
        <v>2.4</v>
      </c>
      <c r="G98" s="239" t="s">
        <v>60</v>
      </c>
      <c r="J98" s="210"/>
      <c r="K98" s="256"/>
      <c r="L98" s="256"/>
      <c r="M98" s="2410"/>
      <c r="N98" s="2410"/>
      <c r="O98" s="138"/>
      <c r="P98" s="138"/>
      <c r="Q98" s="138"/>
      <c r="R98" s="145" t="b">
        <v>0</v>
      </c>
      <c r="S98" s="145" t="b">
        <v>0</v>
      </c>
      <c r="T98" s="145" t="b">
        <v>0</v>
      </c>
      <c r="U98" s="146"/>
      <c r="V98" s="146"/>
    </row>
    <row r="99" outlineLevel="1">
      <c r="A99" s="146"/>
      <c r="B99" s="1167" t="s">
        <v>524</v>
      </c>
      <c r="C99" s="398" t="s">
        <v>282</v>
      </c>
      <c r="D99" s="210"/>
      <c r="E99" s="157" t="s">
        <v>176</v>
      </c>
      <c r="F99" s="256">
        <v>2.4</v>
      </c>
      <c r="G99" s="239" t="s">
        <v>60</v>
      </c>
      <c r="J99" s="210"/>
      <c r="K99" s="256"/>
      <c r="L99" s="256"/>
      <c r="M99" s="2410"/>
      <c r="N99" s="2410"/>
      <c r="O99" s="138">
        <v>0.0</v>
      </c>
      <c r="P99" s="138">
        <v>1.0</v>
      </c>
      <c r="Q99" s="138">
        <v>1.0</v>
      </c>
      <c r="R99" s="145" t="b">
        <v>1</v>
      </c>
      <c r="S99" s="145" t="b">
        <v>1</v>
      </c>
      <c r="T99" s="145" t="b">
        <v>0</v>
      </c>
      <c r="U99" s="146"/>
      <c r="V99" s="146"/>
    </row>
    <row r="100" outlineLevel="1">
      <c r="A100" s="156"/>
      <c r="B100" s="1167" t="s">
        <v>526</v>
      </c>
      <c r="C100" s="399" t="s">
        <v>3798</v>
      </c>
      <c r="D100" s="107"/>
      <c r="E100" s="149" t="s">
        <v>150</v>
      </c>
      <c r="F100" s="256">
        <v>6.0</v>
      </c>
      <c r="G100" s="239" t="s">
        <v>102</v>
      </c>
      <c r="H100" s="168"/>
      <c r="I100" s="168"/>
      <c r="J100" s="107"/>
      <c r="K100" s="256"/>
      <c r="L100" s="256"/>
      <c r="M100" s="2410"/>
      <c r="N100" s="2410"/>
      <c r="O100" s="138">
        <v>0.0</v>
      </c>
      <c r="P100" s="138">
        <v>1.0</v>
      </c>
      <c r="Q100" s="138">
        <v>1.0</v>
      </c>
      <c r="R100" s="145" t="b">
        <v>1</v>
      </c>
      <c r="S100" s="145" t="b">
        <v>1</v>
      </c>
      <c r="T100" s="145" t="b">
        <v>0</v>
      </c>
      <c r="U100" s="156"/>
      <c r="V100" s="156"/>
    </row>
    <row r="101" outlineLevel="1">
      <c r="A101" s="230" t="s">
        <v>3799</v>
      </c>
      <c r="B101" s="109"/>
      <c r="C101" s="231" t="s">
        <v>48</v>
      </c>
      <c r="D101" s="231" t="s">
        <v>49</v>
      </c>
      <c r="E101" s="232" t="s">
        <v>50</v>
      </c>
      <c r="F101" s="233" t="s">
        <v>51</v>
      </c>
      <c r="G101" s="232" t="s">
        <v>52</v>
      </c>
      <c r="H101" s="382" t="str">
        <f>'テンプレート'!H85</f>
        <v>備考</v>
      </c>
      <c r="I101" s="110"/>
      <c r="J101" s="109"/>
      <c r="K101" s="235" t="str">
        <f>'テンプレート'!K85</f>
        <v>ベクトル</v>
      </c>
      <c r="L101" s="235" t="str">
        <f>'テンプレート'!L85</f>
        <v>KBG (R.E.)</v>
      </c>
      <c r="M101" s="235" t="str">
        <f>'テンプレート'!M85</f>
        <v>BKB (R.A.)</v>
      </c>
      <c r="N101" s="235" t="str">
        <f>'テンプレート'!N85</f>
        <v>FKB (R.F.)</v>
      </c>
      <c r="O101" s="236" t="str">
        <f>'テンプレート'!O85</f>
        <v>盾削り値</v>
      </c>
      <c r="P101" s="235" t="str">
        <f>'テンプレート'!P85</f>
        <v>ﾋｯﾄｽﾄｯﾌﾟ</v>
      </c>
      <c r="Q101" s="236" t="str">
        <f>'テンプレート'!Q85</f>
        <v>ずらし</v>
      </c>
      <c r="R101" s="235" t="str">
        <f>'テンプレート'!R85</f>
        <v>相殺</v>
      </c>
      <c r="S101" s="236" t="str">
        <f>'テンプレート'!S85</f>
        <v>相殺ﾓｰｼｮﾝ</v>
      </c>
      <c r="T101" s="236" t="str">
        <f>'テンプレート'!T85</f>
        <v>飛び道具</v>
      </c>
      <c r="U101" s="236" t="str">
        <f>'テンプレート'!U85</f>
        <v>慣性反転</v>
      </c>
      <c r="V101" s="236" t="str">
        <f>'テンプレート'!V85</f>
        <v>向き反転</v>
      </c>
    </row>
    <row r="102" outlineLevel="1">
      <c r="A102" s="237" t="s">
        <v>184</v>
      </c>
      <c r="B102" s="402" t="s">
        <v>3800</v>
      </c>
      <c r="C102" s="901" t="s">
        <v>3801</v>
      </c>
      <c r="D102" s="239" t="s">
        <v>462</v>
      </c>
      <c r="E102" s="250"/>
      <c r="F102" s="250"/>
      <c r="G102" s="250"/>
      <c r="H102" s="2413" t="s">
        <v>3802</v>
      </c>
      <c r="I102" s="164"/>
      <c r="J102" s="104"/>
      <c r="K102" s="281"/>
      <c r="L102" s="281"/>
      <c r="M102" s="281"/>
      <c r="N102" s="281"/>
      <c r="O102" s="281"/>
      <c r="P102" s="281"/>
      <c r="Q102" s="281"/>
      <c r="R102" s="281"/>
      <c r="S102" s="281"/>
      <c r="T102" s="281"/>
      <c r="U102" s="166" t="b">
        <v>0</v>
      </c>
      <c r="V102" s="166" t="b">
        <v>0</v>
      </c>
    </row>
    <row r="103" outlineLevel="1">
      <c r="A103" s="146"/>
      <c r="B103" s="402" t="s">
        <v>3803</v>
      </c>
      <c r="C103" s="156"/>
      <c r="D103" s="239" t="s">
        <v>1839</v>
      </c>
      <c r="E103" s="156"/>
      <c r="F103" s="156"/>
      <c r="G103" s="156"/>
      <c r="H103" s="106"/>
      <c r="I103" s="168"/>
      <c r="J103" s="107"/>
      <c r="K103" s="138"/>
      <c r="L103" s="138"/>
      <c r="M103" s="145"/>
      <c r="N103" s="145"/>
      <c r="O103" s="138"/>
      <c r="P103" s="138"/>
      <c r="Q103" s="138"/>
      <c r="R103" s="145" t="b">
        <v>0</v>
      </c>
      <c r="S103" s="145" t="b">
        <v>0</v>
      </c>
      <c r="T103" s="145" t="b">
        <v>0</v>
      </c>
      <c r="U103" s="146"/>
      <c r="V103" s="146"/>
    </row>
    <row r="104" ht="38.25" customHeight="1" outlineLevel="1">
      <c r="A104" s="146"/>
      <c r="B104" s="402" t="s">
        <v>3804</v>
      </c>
      <c r="C104" s="367" t="s">
        <v>834</v>
      </c>
      <c r="D104" s="365" t="s">
        <v>282</v>
      </c>
      <c r="E104" s="367" t="s">
        <v>1841</v>
      </c>
      <c r="F104" s="394" t="s">
        <v>1842</v>
      </c>
      <c r="G104" s="367" t="s">
        <v>1843</v>
      </c>
      <c r="H104" s="2414" t="s">
        <v>3805</v>
      </c>
      <c r="J104" s="210"/>
      <c r="K104" s="138"/>
      <c r="L104" s="138"/>
      <c r="M104" s="145"/>
      <c r="N104" s="145"/>
      <c r="O104" s="138"/>
      <c r="P104" s="138"/>
      <c r="Q104" s="138"/>
      <c r="R104" s="145" t="b">
        <v>0</v>
      </c>
      <c r="S104" s="145" t="b">
        <v>0</v>
      </c>
      <c r="T104" s="145" t="b">
        <v>0</v>
      </c>
      <c r="U104" s="146"/>
      <c r="V104" s="146"/>
    </row>
    <row r="105" ht="38.25" customHeight="1" outlineLevel="1">
      <c r="A105" s="146"/>
      <c r="B105" s="402" t="s">
        <v>3806</v>
      </c>
      <c r="C105" s="156"/>
      <c r="D105" s="365" t="s">
        <v>384</v>
      </c>
      <c r="E105" s="156"/>
      <c r="F105" s="156"/>
      <c r="G105" s="156"/>
      <c r="H105" s="106"/>
      <c r="I105" s="168"/>
      <c r="J105" s="107"/>
      <c r="K105" s="138"/>
      <c r="L105" s="138"/>
      <c r="M105" s="145"/>
      <c r="N105" s="145"/>
      <c r="O105" s="138">
        <v>0.0</v>
      </c>
      <c r="P105" s="138">
        <v>1.0</v>
      </c>
      <c r="Q105" s="138">
        <v>1.0</v>
      </c>
      <c r="R105" s="145" t="b">
        <v>0</v>
      </c>
      <c r="S105" s="145" t="b">
        <v>0</v>
      </c>
      <c r="T105" s="145"/>
      <c r="U105" s="146"/>
      <c r="V105" s="146"/>
    </row>
    <row r="106" outlineLevel="1">
      <c r="A106" s="230" t="s">
        <v>3807</v>
      </c>
      <c r="B106" s="109"/>
      <c r="C106" s="231" t="s">
        <v>48</v>
      </c>
      <c r="D106" s="231" t="s">
        <v>49</v>
      </c>
      <c r="E106" s="231" t="s">
        <v>50</v>
      </c>
      <c r="F106" s="235" t="s">
        <v>2313</v>
      </c>
      <c r="G106" s="231" t="s">
        <v>52</v>
      </c>
      <c r="H106" s="382" t="s">
        <v>53</v>
      </c>
      <c r="I106" s="110"/>
      <c r="J106" s="109"/>
      <c r="K106" s="235" t="s">
        <v>137</v>
      </c>
      <c r="L106" s="235" t="s">
        <v>138</v>
      </c>
      <c r="M106" s="235" t="s">
        <v>139</v>
      </c>
      <c r="N106" s="235" t="s">
        <v>140</v>
      </c>
      <c r="O106" s="236" t="s">
        <v>141</v>
      </c>
      <c r="P106" s="235" t="s">
        <v>142</v>
      </c>
      <c r="Q106" s="236" t="s">
        <v>143</v>
      </c>
      <c r="R106" s="235" t="s">
        <v>179</v>
      </c>
      <c r="S106" s="236" t="s">
        <v>180</v>
      </c>
      <c r="T106" s="236" t="s">
        <v>181</v>
      </c>
      <c r="U106" s="236" t="s">
        <v>182</v>
      </c>
      <c r="V106" s="236" t="s">
        <v>183</v>
      </c>
    </row>
    <row r="107" outlineLevel="1">
      <c r="A107" s="1202" t="s">
        <v>184</v>
      </c>
      <c r="B107" s="870"/>
      <c r="C107" s="239" t="s">
        <v>3808</v>
      </c>
      <c r="D107" s="216" t="s">
        <v>224</v>
      </c>
      <c r="E107" s="239" t="s">
        <v>86</v>
      </c>
      <c r="F107" s="138">
        <v>7.199999999999999</v>
      </c>
      <c r="G107" s="239" t="s">
        <v>102</v>
      </c>
      <c r="H107" s="2415" t="s">
        <v>3809</v>
      </c>
      <c r="J107" s="210"/>
      <c r="K107" s="138"/>
      <c r="L107" s="138"/>
      <c r="M107" s="145"/>
      <c r="N107" s="145"/>
      <c r="O107" s="138">
        <v>0.0</v>
      </c>
      <c r="P107" s="138">
        <v>1.0</v>
      </c>
      <c r="Q107" s="138">
        <v>1.0</v>
      </c>
      <c r="R107" s="145" t="b">
        <v>0</v>
      </c>
      <c r="S107" s="145" t="b">
        <v>0</v>
      </c>
      <c r="T107" s="145" t="b">
        <v>0</v>
      </c>
      <c r="U107" s="2398" t="s">
        <v>186</v>
      </c>
      <c r="V107" s="2398" t="b">
        <v>1</v>
      </c>
    </row>
    <row r="108" outlineLevel="1">
      <c r="A108" s="230" t="s">
        <v>3810</v>
      </c>
      <c r="B108" s="109"/>
      <c r="C108" s="231" t="s">
        <v>48</v>
      </c>
      <c r="D108" s="231" t="s">
        <v>49</v>
      </c>
      <c r="E108" s="231" t="s">
        <v>50</v>
      </c>
      <c r="F108" s="235" t="s">
        <v>2313</v>
      </c>
      <c r="G108" s="231" t="s">
        <v>52</v>
      </c>
      <c r="H108" s="382" t="s">
        <v>53</v>
      </c>
      <c r="I108" s="110"/>
      <c r="J108" s="109"/>
      <c r="K108" s="235" t="s">
        <v>137</v>
      </c>
      <c r="L108" s="235" t="s">
        <v>138</v>
      </c>
      <c r="M108" s="235" t="s">
        <v>139</v>
      </c>
      <c r="N108" s="235" t="s">
        <v>140</v>
      </c>
      <c r="O108" s="236" t="s">
        <v>141</v>
      </c>
      <c r="P108" s="235" t="s">
        <v>142</v>
      </c>
      <c r="Q108" s="236" t="s">
        <v>143</v>
      </c>
      <c r="R108" s="235" t="s">
        <v>179</v>
      </c>
      <c r="S108" s="236" t="s">
        <v>180</v>
      </c>
      <c r="T108" s="236" t="s">
        <v>181</v>
      </c>
      <c r="U108" s="236" t="s">
        <v>182</v>
      </c>
      <c r="V108" s="236" t="s">
        <v>183</v>
      </c>
    </row>
    <row r="109" outlineLevel="1">
      <c r="A109" s="546" t="s">
        <v>332</v>
      </c>
      <c r="B109" s="870"/>
      <c r="C109" s="364" t="s">
        <v>383</v>
      </c>
      <c r="D109" s="826" t="s">
        <v>462</v>
      </c>
      <c r="E109" s="239" t="s">
        <v>3811</v>
      </c>
      <c r="F109" s="138" t="s">
        <v>3812</v>
      </c>
      <c r="G109" s="239" t="s">
        <v>2002</v>
      </c>
      <c r="H109" s="456"/>
      <c r="I109" s="164"/>
      <c r="J109" s="104"/>
      <c r="K109" s="138"/>
      <c r="L109" s="138"/>
      <c r="M109" s="145"/>
      <c r="N109" s="145"/>
      <c r="O109" s="138">
        <v>0.0</v>
      </c>
      <c r="P109" s="138">
        <v>1.0</v>
      </c>
      <c r="Q109" s="138">
        <v>1.0</v>
      </c>
      <c r="R109" s="145" t="b">
        <v>1</v>
      </c>
      <c r="S109" s="145" t="b">
        <v>1</v>
      </c>
      <c r="T109" s="145" t="b">
        <v>0</v>
      </c>
      <c r="U109" s="166"/>
      <c r="V109" s="166"/>
    </row>
    <row r="110" outlineLevel="1">
      <c r="A110" s="146"/>
      <c r="B110" s="402" t="s">
        <v>187</v>
      </c>
      <c r="C110" s="364" t="s">
        <v>2529</v>
      </c>
      <c r="D110" s="210"/>
      <c r="E110" s="239" t="s">
        <v>3813</v>
      </c>
      <c r="F110" s="138" t="s">
        <v>3814</v>
      </c>
      <c r="G110" s="239" t="s">
        <v>114</v>
      </c>
      <c r="H110" s="212"/>
      <c r="J110" s="210"/>
      <c r="K110" s="138"/>
      <c r="L110" s="138"/>
      <c r="M110" s="145"/>
      <c r="N110" s="145"/>
      <c r="O110" s="138">
        <v>0.0</v>
      </c>
      <c r="P110" s="138">
        <v>1.0</v>
      </c>
      <c r="Q110" s="138">
        <v>1.0</v>
      </c>
      <c r="R110" s="145" t="b">
        <v>1</v>
      </c>
      <c r="S110" s="145" t="b">
        <v>1</v>
      </c>
      <c r="T110" s="145" t="b">
        <v>0</v>
      </c>
      <c r="U110" s="146"/>
      <c r="V110" s="146"/>
    </row>
    <row r="111" outlineLevel="1">
      <c r="A111" s="156"/>
      <c r="B111" s="402" t="s">
        <v>189</v>
      </c>
      <c r="C111" s="364" t="s">
        <v>3036</v>
      </c>
      <c r="D111" s="107"/>
      <c r="E111" s="239" t="s">
        <v>3815</v>
      </c>
      <c r="F111" s="2416">
        <v>43720.0</v>
      </c>
      <c r="G111" s="239" t="s">
        <v>1211</v>
      </c>
      <c r="H111" s="212"/>
      <c r="J111" s="210"/>
      <c r="K111" s="138"/>
      <c r="L111" s="138"/>
      <c r="M111" s="145"/>
      <c r="N111" s="145"/>
      <c r="O111" s="138">
        <v>0.0</v>
      </c>
      <c r="P111" s="138">
        <v>1.0</v>
      </c>
      <c r="Q111" s="138">
        <v>1.0</v>
      </c>
      <c r="R111" s="145" t="b">
        <v>1</v>
      </c>
      <c r="S111" s="145" t="b">
        <v>1</v>
      </c>
      <c r="T111" s="145" t="b">
        <v>0</v>
      </c>
      <c r="U111" s="146"/>
      <c r="V111" s="146"/>
    </row>
    <row r="112" outlineLevel="1">
      <c r="A112" s="396" t="s">
        <v>344</v>
      </c>
      <c r="B112" s="870"/>
      <c r="C112" s="364" t="s">
        <v>325</v>
      </c>
      <c r="D112" s="379" t="s">
        <v>810</v>
      </c>
      <c r="E112" s="239" t="s">
        <v>3813</v>
      </c>
      <c r="F112" s="138" t="s">
        <v>3814</v>
      </c>
      <c r="G112" s="239" t="s">
        <v>114</v>
      </c>
      <c r="H112" s="212"/>
      <c r="J112" s="210"/>
      <c r="K112" s="138"/>
      <c r="L112" s="138"/>
      <c r="M112" s="145"/>
      <c r="N112" s="145"/>
      <c r="O112" s="138">
        <v>0.0</v>
      </c>
      <c r="P112" s="138">
        <v>1.0</v>
      </c>
      <c r="Q112" s="138">
        <v>1.0</v>
      </c>
      <c r="R112" s="145" t="b">
        <v>1</v>
      </c>
      <c r="S112" s="145" t="b">
        <v>1</v>
      </c>
      <c r="T112" s="145" t="b">
        <v>0</v>
      </c>
      <c r="U112" s="146"/>
      <c r="V112" s="146"/>
    </row>
    <row r="113" outlineLevel="1">
      <c r="A113" s="146"/>
      <c r="B113" s="402" t="s">
        <v>187</v>
      </c>
      <c r="C113" s="364" t="s">
        <v>2876</v>
      </c>
      <c r="D113" s="210"/>
      <c r="E113" s="239" t="s">
        <v>3117</v>
      </c>
      <c r="F113" s="138" t="s">
        <v>3118</v>
      </c>
      <c r="G113" s="239" t="s">
        <v>1211</v>
      </c>
      <c r="H113" s="212"/>
      <c r="J113" s="210"/>
      <c r="K113" s="138"/>
      <c r="L113" s="138"/>
      <c r="M113" s="145"/>
      <c r="N113" s="145"/>
      <c r="O113" s="138">
        <v>0.0</v>
      </c>
      <c r="P113" s="138">
        <v>1.0</v>
      </c>
      <c r="Q113" s="138">
        <v>1.0</v>
      </c>
      <c r="R113" s="145" t="b">
        <v>1</v>
      </c>
      <c r="S113" s="145" t="b">
        <v>1</v>
      </c>
      <c r="T113" s="145" t="b">
        <v>0</v>
      </c>
      <c r="U113" s="146"/>
      <c r="V113" s="146"/>
    </row>
    <row r="114" outlineLevel="1">
      <c r="A114" s="156"/>
      <c r="B114" s="402" t="s">
        <v>189</v>
      </c>
      <c r="C114" s="364" t="s">
        <v>847</v>
      </c>
      <c r="D114" s="107"/>
      <c r="E114" s="239" t="s">
        <v>3816</v>
      </c>
      <c r="F114" s="138" t="s">
        <v>3817</v>
      </c>
      <c r="G114" s="239" t="s">
        <v>1117</v>
      </c>
      <c r="H114" s="212"/>
      <c r="J114" s="210"/>
      <c r="K114" s="138"/>
      <c r="L114" s="138"/>
      <c r="M114" s="145"/>
      <c r="N114" s="145"/>
      <c r="O114" s="138">
        <v>0.0</v>
      </c>
      <c r="P114" s="138">
        <v>1.0</v>
      </c>
      <c r="Q114" s="138">
        <v>1.0</v>
      </c>
      <c r="R114" s="145" t="b">
        <v>1</v>
      </c>
      <c r="S114" s="145" t="b">
        <v>1</v>
      </c>
      <c r="T114" s="145" t="b">
        <v>0</v>
      </c>
      <c r="U114" s="146"/>
      <c r="V114" s="146"/>
    </row>
    <row r="115" outlineLevel="1">
      <c r="A115" s="1202" t="s">
        <v>174</v>
      </c>
      <c r="B115" s="402" t="s">
        <v>174</v>
      </c>
      <c r="C115" s="244" t="s">
        <v>175</v>
      </c>
      <c r="D115" s="216" t="s">
        <v>118</v>
      </c>
      <c r="E115" s="239" t="s">
        <v>93</v>
      </c>
      <c r="F115" s="138">
        <v>8.4</v>
      </c>
      <c r="G115" s="239" t="s">
        <v>95</v>
      </c>
      <c r="H115" s="106"/>
      <c r="I115" s="168"/>
      <c r="J115" s="107"/>
      <c r="K115" s="138"/>
      <c r="L115" s="138"/>
      <c r="M115" s="145"/>
      <c r="N115" s="145"/>
      <c r="O115" s="138">
        <v>0.0</v>
      </c>
      <c r="P115" s="138">
        <v>1.0</v>
      </c>
      <c r="Q115" s="138">
        <v>1.0</v>
      </c>
      <c r="R115" s="145" t="b">
        <v>1</v>
      </c>
      <c r="S115" s="145" t="b">
        <v>1</v>
      </c>
      <c r="T115" s="145"/>
      <c r="U115" s="156"/>
      <c r="V115" s="156"/>
    </row>
    <row r="116">
      <c r="A116" s="223"/>
      <c r="B116" s="224"/>
      <c r="C116" s="225"/>
      <c r="D116" s="225"/>
      <c r="E116" s="226"/>
      <c r="F116" s="226"/>
      <c r="G116" s="226"/>
      <c r="H116" s="227"/>
      <c r="I116" s="227"/>
      <c r="J116" s="228"/>
      <c r="K116" s="228"/>
      <c r="L116" s="228"/>
      <c r="M116" s="228"/>
      <c r="N116" s="228"/>
      <c r="O116" s="228"/>
      <c r="P116" s="228"/>
      <c r="Q116" s="118"/>
      <c r="R116" s="118"/>
      <c r="S116" s="118"/>
      <c r="T116" s="118"/>
      <c r="U116" s="118"/>
      <c r="V116" s="118"/>
    </row>
    <row r="117">
      <c r="A117" s="264" t="s">
        <v>211</v>
      </c>
      <c r="B117" s="104"/>
      <c r="C117" s="227"/>
      <c r="D117" s="227"/>
      <c r="E117" s="228"/>
      <c r="F117" s="265"/>
      <c r="G117" s="265"/>
      <c r="H117" s="228"/>
      <c r="I117" s="228"/>
      <c r="J117" s="228"/>
      <c r="K117" s="228"/>
      <c r="L117" s="228"/>
      <c r="M117" s="228"/>
      <c r="N117" s="118"/>
      <c r="O117" s="118"/>
      <c r="P117" s="118"/>
      <c r="Q117" s="228"/>
      <c r="R117" s="228"/>
      <c r="S117" s="228"/>
      <c r="T117" s="228"/>
      <c r="U117" s="228"/>
      <c r="V117" s="228"/>
    </row>
    <row r="118" outlineLevel="1">
      <c r="A118" s="106"/>
      <c r="B118" s="107"/>
      <c r="C118" s="266" t="s">
        <v>48</v>
      </c>
      <c r="D118" s="266" t="s">
        <v>49</v>
      </c>
      <c r="E118" s="266" t="s">
        <v>50</v>
      </c>
      <c r="F118" s="267" t="s">
        <v>51</v>
      </c>
      <c r="G118" s="227"/>
      <c r="H118" s="227"/>
      <c r="I118" s="227"/>
      <c r="J118" s="228"/>
      <c r="K118" s="228"/>
      <c r="L118" s="228"/>
      <c r="M118" s="228"/>
      <c r="N118" s="228"/>
      <c r="O118" s="228"/>
      <c r="P118" s="228"/>
      <c r="Q118" s="228"/>
      <c r="R118" s="228"/>
      <c r="S118" s="228"/>
      <c r="T118" s="228"/>
      <c r="U118" s="228"/>
      <c r="V118" s="228"/>
    </row>
    <row r="119" outlineLevel="1">
      <c r="A119" s="268" t="s">
        <v>212</v>
      </c>
      <c r="B119" s="269" t="s">
        <v>212</v>
      </c>
      <c r="C119" s="239" t="s">
        <v>213</v>
      </c>
      <c r="D119" s="239" t="s">
        <v>86</v>
      </c>
      <c r="E119" s="239" t="s">
        <v>214</v>
      </c>
      <c r="F119" s="138">
        <v>1.56</v>
      </c>
      <c r="G119" s="227"/>
      <c r="H119" s="227"/>
      <c r="I119" s="227"/>
      <c r="J119" s="228"/>
      <c r="K119" s="228"/>
      <c r="L119" s="228"/>
      <c r="M119" s="228"/>
      <c r="N119" s="228"/>
      <c r="O119" s="228"/>
      <c r="P119" s="228"/>
      <c r="Q119" s="228"/>
      <c r="R119" s="228"/>
      <c r="S119" s="228"/>
      <c r="T119" s="228"/>
      <c r="U119" s="228"/>
      <c r="V119" s="228"/>
    </row>
    <row r="120" outlineLevel="1">
      <c r="A120" s="270" t="s">
        <v>215</v>
      </c>
      <c r="B120" s="269" t="s">
        <v>216</v>
      </c>
      <c r="C120" s="239" t="s">
        <v>217</v>
      </c>
      <c r="D120" s="239" t="s">
        <v>218</v>
      </c>
      <c r="E120" s="271"/>
      <c r="F120" s="272"/>
      <c r="G120" s="272"/>
      <c r="H120" s="227"/>
      <c r="I120" s="227"/>
      <c r="J120" s="228"/>
      <c r="K120" s="228"/>
      <c r="L120" s="228"/>
      <c r="M120" s="228"/>
      <c r="N120" s="228"/>
      <c r="O120" s="228"/>
      <c r="P120" s="228"/>
      <c r="Q120" s="228"/>
      <c r="R120" s="228"/>
      <c r="S120" s="228"/>
      <c r="T120" s="228"/>
      <c r="U120" s="228"/>
      <c r="V120" s="228"/>
    </row>
    <row r="121" outlineLevel="1">
      <c r="A121" s="212"/>
      <c r="B121" s="269" t="s">
        <v>219</v>
      </c>
      <c r="C121" s="239" t="s">
        <v>220</v>
      </c>
      <c r="D121" s="239" t="s">
        <v>221</v>
      </c>
      <c r="E121" s="271"/>
      <c r="F121" s="272"/>
      <c r="G121" s="272"/>
      <c r="H121" s="227"/>
      <c r="I121" s="227"/>
      <c r="J121" s="228"/>
      <c r="K121" s="228"/>
      <c r="L121" s="228"/>
      <c r="M121" s="228"/>
      <c r="N121" s="228"/>
      <c r="O121" s="228"/>
      <c r="P121" s="228"/>
      <c r="Q121" s="228"/>
      <c r="R121" s="228"/>
      <c r="S121" s="228"/>
      <c r="T121" s="228"/>
      <c r="U121" s="228"/>
      <c r="V121" s="228"/>
    </row>
    <row r="122" outlineLevel="1">
      <c r="A122" s="106"/>
      <c r="B122" s="269" t="s">
        <v>222</v>
      </c>
      <c r="C122" s="239" t="s">
        <v>223</v>
      </c>
      <c r="D122" s="239" t="s">
        <v>79</v>
      </c>
      <c r="E122" s="227"/>
      <c r="F122" s="272"/>
      <c r="G122" s="272"/>
      <c r="H122" s="227"/>
      <c r="I122" s="227"/>
      <c r="J122" s="228"/>
      <c r="K122" s="228"/>
      <c r="L122" s="228"/>
      <c r="M122" s="228"/>
      <c r="N122" s="228"/>
      <c r="O122" s="228"/>
      <c r="P122" s="228"/>
      <c r="Q122" s="228"/>
      <c r="R122" s="228"/>
      <c r="S122" s="228"/>
      <c r="T122" s="228"/>
      <c r="U122" s="228"/>
      <c r="V122" s="228"/>
    </row>
    <row r="123" outlineLevel="1">
      <c r="A123" s="273" t="s">
        <v>225</v>
      </c>
      <c r="B123" s="109"/>
      <c r="C123" s="266" t="s">
        <v>48</v>
      </c>
      <c r="D123" s="266" t="s">
        <v>49</v>
      </c>
      <c r="E123" s="266" t="s">
        <v>50</v>
      </c>
      <c r="F123" s="267" t="s">
        <v>51</v>
      </c>
      <c r="G123" s="274" t="s">
        <v>53</v>
      </c>
      <c r="H123" s="110"/>
      <c r="I123" s="110"/>
      <c r="J123" s="109"/>
      <c r="K123" s="275" t="str">
        <f>'テンプレート'!K97</f>
        <v>ベクトル</v>
      </c>
      <c r="L123" s="275" t="str">
        <f>'テンプレート'!L97</f>
        <v>KBG (R.E.)</v>
      </c>
      <c r="M123" s="275" t="str">
        <f>'テンプレート'!M97</f>
        <v>BKB (R.A.)</v>
      </c>
      <c r="N123" s="275" t="str">
        <f>'テンプレート'!N97</f>
        <v>FKB (R.F.)</v>
      </c>
      <c r="O123" s="276" t="str">
        <f>'テンプレート'!O97</f>
        <v>盾削り値</v>
      </c>
      <c r="P123" s="275" t="str">
        <f>'テンプレート'!P97</f>
        <v>ﾋｯﾄｽﾄｯﾌﾟ</v>
      </c>
      <c r="Q123" s="276" t="str">
        <f>'テンプレート'!Q97</f>
        <v>ずらし</v>
      </c>
      <c r="R123" s="277"/>
      <c r="S123" s="277"/>
      <c r="T123" s="277"/>
      <c r="U123" s="277"/>
      <c r="V123" s="277"/>
    </row>
    <row r="124" outlineLevel="1">
      <c r="A124" s="278" t="s">
        <v>226</v>
      </c>
      <c r="B124" s="269" t="s">
        <v>227</v>
      </c>
      <c r="C124" s="239" t="s">
        <v>299</v>
      </c>
      <c r="D124" s="367">
        <v>40.0</v>
      </c>
      <c r="E124" s="239" t="s">
        <v>204</v>
      </c>
      <c r="F124" s="138">
        <v>3.5999999999999996</v>
      </c>
      <c r="G124" s="416"/>
      <c r="H124" s="164"/>
      <c r="I124" s="164"/>
      <c r="J124" s="104"/>
      <c r="K124" s="282"/>
      <c r="L124" s="282"/>
      <c r="M124" s="363"/>
      <c r="N124" s="363"/>
      <c r="O124" s="145">
        <v>0.0</v>
      </c>
      <c r="P124" s="145">
        <v>1.0</v>
      </c>
      <c r="Q124" s="145">
        <v>1.0</v>
      </c>
      <c r="R124" s="277"/>
      <c r="S124" s="228"/>
      <c r="T124" s="228"/>
      <c r="U124" s="228"/>
      <c r="V124" s="228"/>
    </row>
    <row r="125" outlineLevel="1">
      <c r="A125" s="156"/>
      <c r="B125" s="269" t="s">
        <v>225</v>
      </c>
      <c r="C125" s="239">
        <v>13.0</v>
      </c>
      <c r="D125" s="156"/>
      <c r="E125" s="239" t="s">
        <v>204</v>
      </c>
      <c r="F125" s="138">
        <v>3.5999999999999996</v>
      </c>
      <c r="G125" s="106"/>
      <c r="H125" s="168"/>
      <c r="I125" s="168"/>
      <c r="J125" s="107"/>
      <c r="K125" s="282"/>
      <c r="L125" s="282"/>
      <c r="M125" s="363"/>
      <c r="N125" s="363"/>
      <c r="O125" s="261"/>
      <c r="P125" s="261"/>
      <c r="Q125" s="261"/>
      <c r="R125" s="277"/>
      <c r="S125" s="228"/>
      <c r="T125" s="228"/>
      <c r="U125" s="228"/>
      <c r="V125" s="228"/>
    </row>
    <row r="126" outlineLevel="1">
      <c r="A126" s="278" t="s">
        <v>229</v>
      </c>
      <c r="B126" s="269" t="s">
        <v>227</v>
      </c>
      <c r="C126" s="239" t="s">
        <v>561</v>
      </c>
      <c r="D126" s="367">
        <v>45.0</v>
      </c>
      <c r="E126" s="239" t="s">
        <v>204</v>
      </c>
      <c r="F126" s="138">
        <v>3.5999999999999996</v>
      </c>
      <c r="G126" s="416"/>
      <c r="H126" s="164"/>
      <c r="I126" s="164"/>
      <c r="J126" s="104"/>
      <c r="K126" s="282"/>
      <c r="L126" s="282"/>
      <c r="M126" s="363"/>
      <c r="N126" s="363"/>
      <c r="O126" s="145">
        <v>0.0</v>
      </c>
      <c r="P126" s="145">
        <v>1.0</v>
      </c>
      <c r="Q126" s="145">
        <v>1.0</v>
      </c>
      <c r="R126" s="277"/>
      <c r="S126" s="228"/>
      <c r="T126" s="228"/>
      <c r="U126" s="228"/>
      <c r="V126" s="228"/>
    </row>
    <row r="127" outlineLevel="1">
      <c r="A127" s="156"/>
      <c r="B127" s="269" t="s">
        <v>225</v>
      </c>
      <c r="C127" s="239">
        <v>16.0</v>
      </c>
      <c r="D127" s="156"/>
      <c r="E127" s="239" t="s">
        <v>204</v>
      </c>
      <c r="F127" s="138">
        <v>3.5999999999999996</v>
      </c>
      <c r="G127" s="106"/>
      <c r="H127" s="168"/>
      <c r="I127" s="168"/>
      <c r="J127" s="107"/>
      <c r="K127" s="282"/>
      <c r="L127" s="282"/>
      <c r="M127" s="363"/>
      <c r="N127" s="363"/>
      <c r="O127" s="261"/>
      <c r="P127" s="261"/>
      <c r="Q127" s="261"/>
      <c r="R127" s="277"/>
      <c r="S127" s="228"/>
      <c r="T127" s="228"/>
      <c r="U127" s="228"/>
      <c r="V127" s="228"/>
    </row>
    <row r="128" outlineLevel="1">
      <c r="A128" s="278" t="s">
        <v>233</v>
      </c>
      <c r="B128" s="269" t="s">
        <v>227</v>
      </c>
      <c r="C128" s="239" t="s">
        <v>834</v>
      </c>
      <c r="D128" s="367">
        <v>49.0</v>
      </c>
      <c r="E128" s="239" t="s">
        <v>176</v>
      </c>
      <c r="F128" s="138">
        <v>2.4</v>
      </c>
      <c r="G128" s="416"/>
      <c r="H128" s="164"/>
      <c r="I128" s="164"/>
      <c r="J128" s="104"/>
      <c r="K128" s="282"/>
      <c r="L128" s="282"/>
      <c r="M128" s="363"/>
      <c r="N128" s="363"/>
      <c r="O128" s="145">
        <v>0.0</v>
      </c>
      <c r="P128" s="145">
        <v>1.0</v>
      </c>
      <c r="Q128" s="145">
        <v>1.0</v>
      </c>
      <c r="R128" s="277"/>
      <c r="S128" s="228"/>
      <c r="T128" s="228"/>
      <c r="U128" s="228"/>
      <c r="V128" s="228"/>
    </row>
    <row r="129" outlineLevel="1">
      <c r="A129" s="156"/>
      <c r="B129" s="269" t="s">
        <v>225</v>
      </c>
      <c r="C129" s="239">
        <v>23.0</v>
      </c>
      <c r="D129" s="156"/>
      <c r="E129" s="239" t="s">
        <v>204</v>
      </c>
      <c r="F129" s="138">
        <v>3.5999999999999996</v>
      </c>
      <c r="G129" s="106"/>
      <c r="H129" s="168"/>
      <c r="I129" s="168"/>
      <c r="J129" s="107"/>
      <c r="K129" s="282"/>
      <c r="L129" s="282"/>
      <c r="M129" s="363"/>
      <c r="N129" s="363"/>
      <c r="O129" s="261"/>
      <c r="P129" s="261"/>
      <c r="Q129" s="261"/>
      <c r="R129" s="277"/>
      <c r="S129" s="117"/>
      <c r="T129" s="117"/>
      <c r="U129" s="117"/>
      <c r="V129" s="117"/>
    </row>
    <row r="130" outlineLevel="1">
      <c r="A130" s="278" t="s">
        <v>234</v>
      </c>
      <c r="B130" s="269" t="s">
        <v>227</v>
      </c>
      <c r="C130" s="239" t="s">
        <v>386</v>
      </c>
      <c r="D130" s="367" t="s">
        <v>72</v>
      </c>
      <c r="E130" s="239" t="s">
        <v>176</v>
      </c>
      <c r="F130" s="138">
        <v>2.4</v>
      </c>
      <c r="G130" s="416"/>
      <c r="H130" s="164"/>
      <c r="I130" s="164"/>
      <c r="J130" s="104"/>
      <c r="K130" s="282"/>
      <c r="L130" s="282"/>
      <c r="M130" s="363"/>
      <c r="N130" s="363"/>
      <c r="O130" s="145">
        <v>0.0</v>
      </c>
      <c r="P130" s="145">
        <v>1.0</v>
      </c>
      <c r="Q130" s="145">
        <v>1.0</v>
      </c>
      <c r="R130" s="277"/>
      <c r="S130" s="117"/>
      <c r="T130" s="117"/>
      <c r="U130" s="117"/>
      <c r="V130" s="117"/>
    </row>
    <row r="131" outlineLevel="1">
      <c r="A131" s="156"/>
      <c r="B131" s="269" t="s">
        <v>225</v>
      </c>
      <c r="C131" s="239" t="s">
        <v>153</v>
      </c>
      <c r="D131" s="156"/>
      <c r="E131" s="239" t="s">
        <v>176</v>
      </c>
      <c r="F131" s="138">
        <v>2.4</v>
      </c>
      <c r="G131" s="106"/>
      <c r="H131" s="168"/>
      <c r="I131" s="168"/>
      <c r="J131" s="107"/>
      <c r="K131" s="282"/>
      <c r="L131" s="282"/>
      <c r="M131" s="363"/>
      <c r="N131" s="363"/>
      <c r="O131" s="261"/>
      <c r="P131" s="1584" t="s">
        <v>2366</v>
      </c>
      <c r="Q131" s="261"/>
      <c r="R131" s="277"/>
      <c r="S131" s="117"/>
      <c r="T131" s="117"/>
      <c r="U131" s="117"/>
      <c r="V131" s="117"/>
    </row>
    <row r="132">
      <c r="A132" s="223"/>
      <c r="B132" s="224"/>
      <c r="C132" s="225"/>
      <c r="D132" s="225"/>
      <c r="E132" s="227"/>
      <c r="F132" s="177"/>
      <c r="G132" s="177"/>
      <c r="H132" s="227"/>
      <c r="I132" s="227"/>
      <c r="J132" s="228"/>
      <c r="K132" s="228"/>
      <c r="L132" s="111"/>
      <c r="M132" s="111"/>
      <c r="N132" s="111"/>
      <c r="O132" s="117"/>
      <c r="P132" s="117"/>
      <c r="Q132" s="111"/>
      <c r="R132" s="111"/>
      <c r="S132" s="111"/>
      <c r="T132" s="111"/>
      <c r="U132" s="111"/>
      <c r="V132" s="111"/>
    </row>
    <row r="133">
      <c r="A133" s="284" t="s">
        <v>241</v>
      </c>
      <c r="B133" s="104"/>
      <c r="C133" s="265"/>
      <c r="D133" s="111"/>
      <c r="E133" s="111"/>
      <c r="F133" s="111"/>
      <c r="G133" s="111"/>
      <c r="H133" s="111"/>
      <c r="I133" s="111"/>
      <c r="J133" s="118"/>
      <c r="K133" s="111"/>
      <c r="L133" s="111"/>
      <c r="M133" s="111"/>
      <c r="N133" s="111"/>
      <c r="O133" s="111"/>
      <c r="P133" s="111"/>
      <c r="Q133" s="118"/>
      <c r="R133" s="111"/>
      <c r="S133" s="111"/>
      <c r="T133" s="111"/>
      <c r="U133" s="111"/>
      <c r="V133" s="111"/>
    </row>
    <row r="134" outlineLevel="1">
      <c r="A134" s="106"/>
      <c r="B134" s="107"/>
      <c r="C134" s="285" t="s">
        <v>235</v>
      </c>
      <c r="D134" s="285" t="s">
        <v>236</v>
      </c>
      <c r="E134" s="285" t="s">
        <v>49</v>
      </c>
      <c r="F134" s="285" t="s">
        <v>237</v>
      </c>
      <c r="G134" s="286"/>
      <c r="H134" s="227"/>
      <c r="I134" s="227"/>
      <c r="J134" s="228"/>
      <c r="K134" s="228"/>
      <c r="L134" s="111"/>
      <c r="M134" s="111"/>
      <c r="N134" s="111"/>
      <c r="O134" s="111"/>
      <c r="P134" s="111"/>
      <c r="Q134" s="111"/>
      <c r="R134" s="111"/>
      <c r="S134" s="111"/>
      <c r="T134" s="111"/>
      <c r="U134" s="111"/>
      <c r="V134" s="111"/>
    </row>
    <row r="135" outlineLevel="1">
      <c r="A135" s="287" t="s">
        <v>395</v>
      </c>
      <c r="B135" s="288" t="s">
        <v>216</v>
      </c>
      <c r="C135" s="113" t="str">
        <f t="array" ref="C135">INDEX('回避'!$C$3:$U$84, MATCH($A$1,'回避'!$A$3:$A$91,0), MATCH(C134,'回避'!$C$2:$F$2,0))</f>
        <v>3-17</v>
      </c>
      <c r="D135" s="113" t="str">
        <f t="array" ref="D135">INDEX('回避'!$C$3:$U$84, MATCH($A$1,'回避'!$A$3:$A$91,0), MATCH(D134,'回避'!$C$2:$F$2,0))</f>
        <v>6-17</v>
      </c>
      <c r="E135" s="113" t="str">
        <f t="array" ref="E135">INDEX('回避'!$C$3:$U$84, MATCH($A$1,'回避'!$A$3:$A$91,0), MATCH(E134,'回避'!$C$2:$F$2,0))</f>
        <v>25 (20)</v>
      </c>
      <c r="F135" s="113" t="str">
        <f t="array" ref="F135">INDEX('回避'!$C$3:$U$84, MATCH($A$1,'回避'!$A$3:$A$91,0), MATCH(F134,'回避'!$C$2:$F$2,0))</f>
        <v>33 (27)</v>
      </c>
      <c r="G135" s="272"/>
      <c r="H135" s="227"/>
      <c r="I135" s="227"/>
      <c r="J135" s="228"/>
      <c r="K135" s="228"/>
      <c r="L135" s="228"/>
      <c r="M135" s="111"/>
      <c r="N135" s="111"/>
      <c r="O135" s="111"/>
      <c r="P135" s="111"/>
      <c r="Q135" s="111"/>
      <c r="R135" s="111"/>
      <c r="S135" s="111"/>
      <c r="T135" s="111"/>
      <c r="U135" s="111"/>
      <c r="V135" s="111"/>
    </row>
    <row r="136" outlineLevel="1">
      <c r="A136" s="212"/>
      <c r="B136" s="288" t="s">
        <v>245</v>
      </c>
      <c r="C136" s="113" t="str">
        <f t="array" ref="C136">INDEX('回避'!$G$3:$U$84, MATCH($A$1,'回避'!$A$3:$A$91,0), MATCH(C134,'回避'!$G$2:$J$2,0))</f>
        <v>4-15</v>
      </c>
      <c r="D136" s="113" t="str">
        <f t="array" ref="D136">INDEX('回避'!$G$3:$U$84, MATCH($A$1,'回避'!$A$3:$A$91,0), MATCH(D134,'回避'!$G$2:$J$2,0))</f>
        <v>8-14</v>
      </c>
      <c r="E136" s="113" t="str">
        <f t="array" ref="E136">INDEX('回避'!$G$3:$U$84, MATCH($A$1,'回避'!$A$3:$A$91,0), MATCH(E134,'回避'!$G$2:$J$2,0))</f>
        <v>29</v>
      </c>
      <c r="F136" s="113">
        <f t="array" ref="F136">INDEX('回避'!$G$3:$U$84, MATCH($A$1,'回避'!$A$3:$A$91,0), MATCH(F134,'回避'!$G$2:$J$2,0))</f>
        <v>38</v>
      </c>
      <c r="G136" s="289"/>
      <c r="H136" s="227"/>
      <c r="I136" s="227"/>
      <c r="J136" s="228"/>
      <c r="K136" s="228"/>
      <c r="L136" s="228"/>
      <c r="M136" s="228"/>
      <c r="N136" s="228"/>
      <c r="O136" s="111"/>
      <c r="P136" s="111"/>
      <c r="Q136" s="111"/>
      <c r="R136" s="111"/>
      <c r="S136" s="111"/>
      <c r="T136" s="111"/>
      <c r="U136" s="111"/>
      <c r="V136" s="111"/>
    </row>
    <row r="137" outlineLevel="1">
      <c r="A137" s="106"/>
      <c r="B137" s="288" t="s">
        <v>246</v>
      </c>
      <c r="C137" s="113" t="str">
        <f t="array" ref="C137">INDEX('回避'!$K$3:$U$84, MATCH($A$1,'回避'!$A$3:$A$91,0), MATCH(C134,'回避'!$K$2:$N$2,0))</f>
        <v>5-16</v>
      </c>
      <c r="D137" s="113" t="str">
        <f t="array" ref="D137">INDEX('回避'!$K$3:$U$84, MATCH($A$1,'回避'!$A$3:$A$91,0), MATCH(D134,'回避'!$K$2:$N$2,0))</f>
        <v>9-14</v>
      </c>
      <c r="E137" s="113" t="str">
        <f t="array" ref="E137">INDEX('回避'!$K$3:$U$84, MATCH($A$1,'回避'!$A$3:$A$91,0), MATCH(E134,'回避'!$K$2:$N$2,0))</f>
        <v>34</v>
      </c>
      <c r="F137" s="113" t="str">
        <f t="array" ref="F137">INDEX('回避'!$K$3:$U$84, MATCH($A$1,'回避'!$A$3:$A$91,0), MATCH(F134,'回避'!$K$2:$N$2,0))</f>
        <v>51</v>
      </c>
      <c r="G137" s="289"/>
      <c r="H137" s="290"/>
      <c r="I137" s="290"/>
      <c r="J137" s="117"/>
      <c r="K137" s="117"/>
      <c r="L137" s="117"/>
      <c r="M137" s="117"/>
      <c r="N137" s="117"/>
      <c r="O137" s="111"/>
      <c r="P137" s="111"/>
      <c r="Q137" s="111"/>
      <c r="R137" s="111"/>
      <c r="S137" s="111"/>
      <c r="T137" s="111"/>
      <c r="U137" s="111"/>
      <c r="V137" s="111"/>
    </row>
    <row r="138" outlineLevel="1">
      <c r="A138" s="287" t="s">
        <v>396</v>
      </c>
      <c r="B138" s="288" t="s">
        <v>397</v>
      </c>
      <c r="C138" s="113" t="str">
        <f t="array" ref="C138">INDEX('回避'!$O$3:$U$84, MATCH($A$1,'回避'!$A$3:$A$91,0), MATCH(C134,'回避'!$O$2:$R$2,0))</f>
        <v>3-30</v>
      </c>
      <c r="D138" s="113" t="str">
        <f t="array" ref="D138">INDEX('回避'!$O$3:$U$84, MATCH($A$1,'回避'!$A$3:$A$91,0), MATCH(D134,'回避'!$O$2:$R$2,0))</f>
        <v>6-27</v>
      </c>
      <c r="E138" s="113" t="str">
        <f t="array" ref="E138">INDEX('回避'!$O$3:$U$84, MATCH($A$1,'回避'!$A$3:$A$91,0), MATCH(E134,'回避'!$O$2:$R$2,0))</f>
        <v>50</v>
      </c>
      <c r="F138" s="177"/>
      <c r="G138" s="177"/>
      <c r="H138" s="118"/>
      <c r="I138" s="118"/>
      <c r="J138" s="111"/>
      <c r="K138" s="111"/>
      <c r="L138" s="111"/>
      <c r="M138" s="111"/>
      <c r="N138" s="111"/>
      <c r="O138" s="228"/>
      <c r="P138" s="228"/>
      <c r="Q138" s="228"/>
      <c r="R138" s="228"/>
      <c r="S138" s="228"/>
      <c r="T138" s="228"/>
      <c r="U138" s="228"/>
      <c r="V138" s="228"/>
    </row>
    <row r="139" outlineLevel="1">
      <c r="A139" s="106"/>
      <c r="B139" s="288" t="s">
        <v>398</v>
      </c>
      <c r="C139" s="113" t="str">
        <f t="array" ref="C139">INDEX('回避'!$S$3:$U$84, MATCH($A$1,'回避'!$A$3:$A$91,0), MATCH(C134,'回避'!$S$2:$U$2,0))</f>
        <v>3-21</v>
      </c>
      <c r="D139" s="113" t="str">
        <f t="array" ref="D139">INDEX('回避'!$S$3:$U$84, MATCH($A$1,'回避'!$A$3:$A$91,0), MATCH(D134,'回避'!$S$2:$U$2,0))</f>
        <v>6-20</v>
      </c>
      <c r="E139" s="113" t="str">
        <f t="array" ref="E139">INDEX('回避'!$S$3:$U$84, MATCH($A$1,'回避'!$A$3:$A$91,0), MATCH(E134,'回避'!$S$2:$U$2,0))</f>
        <v>真横：84
真上：107
真下：69</v>
      </c>
      <c r="F139" s="289"/>
      <c r="G139" s="289"/>
      <c r="H139" s="118"/>
      <c r="I139" s="118"/>
      <c r="J139" s="117"/>
      <c r="K139" s="117"/>
      <c r="L139" s="117"/>
      <c r="M139" s="117"/>
      <c r="N139" s="111"/>
      <c r="O139" s="118"/>
      <c r="P139" s="118"/>
      <c r="Q139" s="118"/>
      <c r="R139" s="118"/>
      <c r="S139" s="118"/>
      <c r="T139" s="118"/>
      <c r="U139" s="118"/>
      <c r="V139" s="118"/>
    </row>
    <row r="140">
      <c r="A140" s="291"/>
      <c r="B140" s="292"/>
      <c r="C140" s="286"/>
      <c r="D140" s="286"/>
      <c r="E140" s="293"/>
      <c r="F140" s="286"/>
      <c r="G140" s="286"/>
      <c r="H140" s="286"/>
      <c r="I140" s="286"/>
      <c r="J140" s="111"/>
      <c r="K140" s="227"/>
      <c r="L140" s="227"/>
      <c r="M140" s="227"/>
      <c r="N140" s="227"/>
      <c r="O140" s="118"/>
      <c r="P140" s="118"/>
      <c r="Q140" s="118"/>
      <c r="R140" s="118"/>
      <c r="S140" s="118"/>
      <c r="T140" s="118"/>
      <c r="U140" s="118"/>
      <c r="V140" s="118"/>
    </row>
    <row r="141">
      <c r="A141" s="294" t="s">
        <v>238</v>
      </c>
      <c r="B141" s="104"/>
      <c r="C141" s="228"/>
      <c r="D141" s="117"/>
      <c r="E141" s="228"/>
      <c r="F141" s="114"/>
      <c r="G141" s="114"/>
      <c r="H141" s="117"/>
      <c r="I141" s="117"/>
      <c r="J141" s="118"/>
      <c r="K141" s="118"/>
      <c r="L141" s="118"/>
      <c r="M141" s="118"/>
      <c r="N141" s="118"/>
      <c r="O141" s="118"/>
      <c r="P141" s="118"/>
      <c r="Q141" s="118"/>
      <c r="R141" s="118"/>
      <c r="S141" s="118"/>
      <c r="T141" s="118"/>
      <c r="U141" s="118"/>
      <c r="V141" s="118"/>
    </row>
    <row r="142" outlineLevel="1">
      <c r="A142" s="106"/>
      <c r="B142" s="107"/>
      <c r="C142" s="295" t="s">
        <v>235</v>
      </c>
      <c r="D142" s="295" t="s">
        <v>49</v>
      </c>
      <c r="E142" s="295" t="s">
        <v>48</v>
      </c>
      <c r="F142" s="295" t="s">
        <v>50</v>
      </c>
      <c r="G142" s="296" t="s">
        <v>51</v>
      </c>
      <c r="H142" s="228"/>
      <c r="I142" s="228"/>
      <c r="J142" s="117"/>
      <c r="K142" s="297" t="str">
        <f>'テンプレート'!K116</f>
        <v>アイテム取得</v>
      </c>
      <c r="L142" s="109"/>
      <c r="M142" s="298" t="str">
        <f>'テンプレート'!M116</f>
        <v>取得フレーム</v>
      </c>
      <c r="N142" s="298" t="str">
        <f>'テンプレート'!N116</f>
        <v>全体フレーム</v>
      </c>
      <c r="O142" s="118"/>
      <c r="P142" s="118"/>
      <c r="Q142" s="118"/>
      <c r="R142" s="118"/>
      <c r="S142" s="118"/>
      <c r="T142" s="118"/>
      <c r="U142" s="118"/>
      <c r="V142" s="118"/>
    </row>
    <row r="143" outlineLevel="1">
      <c r="A143" s="299" t="s">
        <v>239</v>
      </c>
      <c r="B143" s="300" t="s">
        <v>240</v>
      </c>
      <c r="C143" s="301"/>
      <c r="D143" s="113">
        <f t="array" ref="D143">INDEX('崖行動・受け身'!$C$3:$C143, MATCH($A$1,'崖行動・受け身'!$A$3:$A$115,0), MATCH(D142,'崖行動・受け身'!$C$2,0))</f>
        <v>19</v>
      </c>
      <c r="E143" s="301"/>
      <c r="F143" s="301"/>
      <c r="G143" s="301"/>
      <c r="H143" s="228"/>
      <c r="I143" s="228"/>
      <c r="J143" s="111"/>
      <c r="K143" s="302" t="str">
        <f>'テンプレート'!K117</f>
        <v>小アイテム</v>
      </c>
      <c r="L143" s="303" t="str">
        <f>'テンプレート'!L117</f>
        <v>その場</v>
      </c>
      <c r="M143" s="113" t="s">
        <v>76</v>
      </c>
      <c r="N143" s="113">
        <v>7.0</v>
      </c>
      <c r="O143" s="118"/>
      <c r="P143" s="118"/>
      <c r="Q143" s="118"/>
      <c r="R143" s="118"/>
      <c r="S143" s="118"/>
      <c r="T143" s="118"/>
      <c r="U143" s="118"/>
      <c r="V143" s="118"/>
    </row>
    <row r="144" outlineLevel="1">
      <c r="A144" s="146"/>
      <c r="B144" s="300" t="s">
        <v>216</v>
      </c>
      <c r="C144" s="113" t="str">
        <f t="array" ref="C144">INDEX('崖行動・受け身'!$D$3:$E143, MATCH($A$1,'崖行動・受け身'!$A$3:$A$115,0), MATCH(C142,'崖行動・受け身'!$D$2:$E$2,0))</f>
        <v>1-33</v>
      </c>
      <c r="D144" s="113">
        <f t="array" ref="D144">INDEX('崖行動・受け身'!$D$3:$E143, MATCH($A$1,'崖行動・受け身'!$A$3:$A$115,0), MATCH(D142,'崖行動・受け身'!$D$2:$E$2,0))</f>
        <v>34</v>
      </c>
      <c r="E144" s="301"/>
      <c r="F144" s="301"/>
      <c r="G144" s="301"/>
      <c r="H144" s="228"/>
      <c r="I144" s="228"/>
      <c r="J144" s="117"/>
      <c r="K144" s="156"/>
      <c r="L144" s="303" t="str">
        <f>'テンプレート'!L118</f>
        <v>歩き</v>
      </c>
      <c r="M144" s="113" t="s">
        <v>76</v>
      </c>
      <c r="N144" s="113">
        <v>19.0</v>
      </c>
      <c r="O144" s="118"/>
      <c r="P144" s="118"/>
      <c r="Q144" s="118"/>
      <c r="R144" s="118"/>
      <c r="S144" s="118"/>
      <c r="T144" s="118"/>
      <c r="U144" s="118"/>
      <c r="V144" s="118"/>
    </row>
    <row r="145" outlineLevel="1">
      <c r="A145" s="146"/>
      <c r="B145" s="300" t="s">
        <v>241</v>
      </c>
      <c r="C145" s="113" t="str">
        <f t="array" ref="C145">INDEX('崖行動・受け身'!$F$3:$G$115, MATCH($A$1,'崖行動・受け身'!$A$3:$A$115,0), MATCH(C142,'崖行動・受け身'!$F$2:$G$2,0))</f>
        <v>1-25</v>
      </c>
      <c r="D145" s="113">
        <f t="array" ref="D145">INDEX('崖行動・受け身'!$F$3:$G$115, MATCH($A$1,'崖行動・受け身'!$A$3:$A$115,0), MATCH(D142,'崖行動・受け身'!$F$2:$G$2,0))</f>
        <v>45</v>
      </c>
      <c r="E145" s="301"/>
      <c r="F145" s="301"/>
      <c r="G145" s="301"/>
      <c r="H145" s="228"/>
      <c r="I145" s="228"/>
      <c r="J145" s="111"/>
      <c r="K145" s="304" t="str">
        <f>'テンプレート'!K119</f>
        <v>アイテム投擲</v>
      </c>
      <c r="L145" s="109"/>
      <c r="M145" s="298" t="str">
        <f>'テンプレート'!M119</f>
        <v>投擲フレーム</v>
      </c>
      <c r="N145" s="298" t="str">
        <f>'テンプレート'!N119</f>
        <v>全体フレーム</v>
      </c>
      <c r="O145" s="118"/>
      <c r="P145" s="118"/>
      <c r="Q145" s="118"/>
      <c r="R145" s="118"/>
      <c r="S145" s="118"/>
      <c r="T145" s="118"/>
      <c r="U145" s="118"/>
      <c r="V145" s="118"/>
    </row>
    <row r="146" outlineLevel="1">
      <c r="A146" s="146"/>
      <c r="B146" s="300" t="s">
        <v>242</v>
      </c>
      <c r="C146" s="113" t="str">
        <f t="array" ref="C146">INDEX('崖行動・受け身'!$H$3:$I$115, MATCH($A$1,'崖行動・受け身'!$A$3:$A$115,0), MATCH(C142,'崖行動・受け身'!$H$2:$I$2,0))</f>
        <v>1-12</v>
      </c>
      <c r="D146" s="113">
        <f t="array" ref="D146">INDEX('崖行動・受け身'!$H$3:$I$115, MATCH($A$1,'崖行動・受け身'!$A$3:$A$115,0), MATCH(D142,'崖行動・受け身'!$H$2:$I$2,0))</f>
        <v>14</v>
      </c>
      <c r="E146" s="301"/>
      <c r="F146" s="301"/>
      <c r="G146" s="301"/>
      <c r="H146" s="228"/>
      <c r="I146" s="228"/>
      <c r="J146" s="117"/>
      <c r="K146" s="305" t="str">
        <f>'テンプレート'!K120</f>
        <v>地上投擲</v>
      </c>
      <c r="L146" s="303" t="str">
        <f>'テンプレート'!L120</f>
        <v>前投げ</v>
      </c>
      <c r="M146" s="113" t="s">
        <v>128</v>
      </c>
      <c r="N146" s="113">
        <v>20.0</v>
      </c>
      <c r="O146" s="111"/>
      <c r="P146" s="111"/>
      <c r="Q146" s="111"/>
      <c r="R146" s="111"/>
      <c r="S146" s="111"/>
      <c r="T146" s="111"/>
      <c r="U146" s="111"/>
      <c r="V146" s="111"/>
    </row>
    <row r="147" outlineLevel="1">
      <c r="A147" s="156"/>
      <c r="B147" s="300" t="s">
        <v>243</v>
      </c>
      <c r="C147" s="113" t="str">
        <f t="array" ref="C147">INDEX('崖行動・受け身'!$J$3:$M$115, MATCH($A$1,'崖行動・受け身'!$A$3:$A$115,0), MATCH(C142,'崖行動・受け身'!$J$2:$M$2,0))</f>
        <v>1-24</v>
      </c>
      <c r="D147" s="113">
        <f t="array" ref="D147">INDEX('崖行動・受け身'!$J$3:$M$115, MATCH($A$1,'崖行動・受け身'!$A$3:$A$115,0), MATCH(D142,'崖行動・受け身'!$J$2:$M$2,0))</f>
        <v>55</v>
      </c>
      <c r="E147" s="113" t="str">
        <f t="array" ref="E147">INDEX('崖行動・受け身'!$J$3:$M$115, MATCH($A$1,'崖行動・受け身'!$A$3:$A$115,0), MATCH(E142,'崖行動・受け身'!$J$2:$M$2,0))</f>
        <v>22-24</v>
      </c>
      <c r="F147" s="113">
        <f t="array" ref="F147">INDEX('崖行動・受け身'!$J$3:$M$115, MATCH($A$1,'崖行動・受け身'!$A$3:$A$115,0), MATCH(F142,'崖行動・受け身'!$J$2:$M$2,0))</f>
        <v>9</v>
      </c>
      <c r="G147" s="113">
        <f>F147*1.2</f>
        <v>10.8</v>
      </c>
      <c r="H147" s="228"/>
      <c r="I147" s="228"/>
      <c r="J147" s="111"/>
      <c r="K147" s="146"/>
      <c r="L147" s="303" t="str">
        <f>'テンプレート'!L121</f>
        <v>後投げ</v>
      </c>
      <c r="M147" s="113" t="s">
        <v>119</v>
      </c>
      <c r="N147" s="113">
        <v>20.0</v>
      </c>
      <c r="O147" s="111"/>
      <c r="P147" s="111"/>
      <c r="Q147" s="111"/>
      <c r="R147" s="111"/>
      <c r="S147" s="111"/>
      <c r="T147" s="111"/>
      <c r="U147" s="111"/>
      <c r="V147" s="111"/>
    </row>
    <row r="148" outlineLevel="1">
      <c r="A148" s="299" t="s">
        <v>244</v>
      </c>
      <c r="B148" s="300" t="s">
        <v>216</v>
      </c>
      <c r="C148" s="113" t="str">
        <f t="array" ref="C148">INDEX('崖行動・受け身'!$N$3:$O$115, MATCH($A$1,'崖行動・受け身'!$A$3:$A$115,0), MATCH(C142,'崖行動・受け身'!$N$2:$O$2,0))</f>
        <v>1-20</v>
      </c>
      <c r="D148" s="113">
        <f t="array" ref="D148">INDEX('崖行動・受け身'!$N$3:$O$115, MATCH($A$1,'崖行動・受け身'!$A$3:$A$115,0), MATCH(D142,'崖行動・受け身'!$N$2:$O$2,0))</f>
        <v>26</v>
      </c>
      <c r="E148" s="301"/>
      <c r="F148" s="301"/>
      <c r="G148" s="301"/>
      <c r="H148" s="228"/>
      <c r="I148" s="228"/>
      <c r="J148" s="117"/>
      <c r="K148" s="146"/>
      <c r="L148" s="303" t="str">
        <f>'テンプレート'!L122</f>
        <v>上投げ</v>
      </c>
      <c r="M148" s="113" t="s">
        <v>386</v>
      </c>
      <c r="N148" s="113">
        <v>20.0</v>
      </c>
      <c r="O148" s="228"/>
      <c r="P148" s="228"/>
      <c r="Q148" s="228"/>
      <c r="R148" s="228"/>
      <c r="S148" s="228"/>
      <c r="T148" s="228"/>
      <c r="U148" s="228"/>
      <c r="V148" s="228"/>
    </row>
    <row r="149" outlineLevel="1">
      <c r="A149" s="146"/>
      <c r="B149" s="300" t="s">
        <v>245</v>
      </c>
      <c r="C149" s="113" t="str">
        <f t="array" ref="C149">INDEX('崖行動・受け身'!$P$3:$Q$115, MATCH($A$1,'崖行動・受け身'!$A$3:$A$115,0), MATCH(C142,'崖行動・受け身'!$P$2:$Q$2,0))</f>
        <v>1-20</v>
      </c>
      <c r="D149" s="113">
        <f t="array" ref="D149">INDEX('崖行動・受け身'!$P$3:$Q$115, MATCH($A$1,'崖行動・受け身'!$A$3:$A$115,0), MATCH(D142,'崖行動・受け身'!$P$2:$Q$2,0))</f>
        <v>40</v>
      </c>
      <c r="E149" s="301"/>
      <c r="F149" s="301"/>
      <c r="G149" s="301"/>
      <c r="H149" s="228"/>
      <c r="I149" s="228"/>
      <c r="J149" s="111"/>
      <c r="K149" s="146"/>
      <c r="L149" s="303" t="str">
        <f>'テンプレート'!L123</f>
        <v>下投げ</v>
      </c>
      <c r="M149" s="113" t="s">
        <v>80</v>
      </c>
      <c r="N149" s="113">
        <v>18.0</v>
      </c>
      <c r="O149" s="118"/>
      <c r="P149" s="118"/>
      <c r="Q149" s="118"/>
      <c r="R149" s="118"/>
      <c r="S149" s="118"/>
      <c r="T149" s="118"/>
      <c r="U149" s="118"/>
      <c r="V149" s="118"/>
    </row>
    <row r="150" outlineLevel="1">
      <c r="A150" s="156"/>
      <c r="B150" s="300" t="s">
        <v>246</v>
      </c>
      <c r="C150" s="113" t="str">
        <f t="array" ref="C150">INDEX('崖行動・受け身'!$R$3:$S$115, MATCH($A$1,'崖行動・受け身'!$A$3:$A$115,0), MATCH(C142,'崖行動・受け身'!$R$2:$S$2,0))</f>
        <v>1-20</v>
      </c>
      <c r="D150" s="113">
        <f t="array" ref="D150">INDEX('崖行動・受け身'!$R$3:$S$115, MATCH($A$1,'崖行動・受け身'!$A$3:$A$115,0), MATCH(D142,'崖行動・受け身'!$R$2:$S$2,0))</f>
        <v>40</v>
      </c>
      <c r="E150" s="301"/>
      <c r="F150" s="301"/>
      <c r="G150" s="301"/>
      <c r="H150" s="228"/>
      <c r="I150" s="228"/>
      <c r="J150" s="117"/>
      <c r="K150" s="146"/>
      <c r="L150" s="306" t="str">
        <f>'テンプレート'!L124</f>
        <v>ダッシュ</v>
      </c>
      <c r="M150" s="113" t="s">
        <v>86</v>
      </c>
      <c r="N150" s="113">
        <v>45.0</v>
      </c>
      <c r="O150" s="118"/>
      <c r="P150" s="118"/>
      <c r="Q150" s="118"/>
      <c r="R150" s="118"/>
      <c r="S150" s="118"/>
      <c r="T150" s="118"/>
      <c r="U150" s="118"/>
      <c r="V150" s="118"/>
    </row>
    <row r="151" outlineLevel="1">
      <c r="A151" s="299" t="s">
        <v>247</v>
      </c>
      <c r="B151" s="300" t="s">
        <v>248</v>
      </c>
      <c r="C151" s="301"/>
      <c r="D151" s="113" t="str">
        <f t="array" ref="D151">INDEX('起きあがり'!$C$3:$C143, MATCH($A$1,'起きあがり'!$A$3:$A$115,0), MATCH(D142,'起きあがり'!$C$2:$AD$2,0))</f>
        <v>25</v>
      </c>
      <c r="E151" s="301"/>
      <c r="F151" s="301"/>
      <c r="G151" s="301"/>
      <c r="H151" s="228"/>
      <c r="I151" s="228"/>
      <c r="J151" s="111"/>
      <c r="K151" s="156"/>
      <c r="L151" s="306" t="str">
        <f>'テンプレート'!L125</f>
        <v>その場捨て</v>
      </c>
      <c r="M151" s="113" t="s">
        <v>150</v>
      </c>
      <c r="N151" s="113">
        <v>23.0</v>
      </c>
      <c r="O151" s="118"/>
      <c r="P151" s="118"/>
      <c r="Q151" s="118"/>
      <c r="R151" s="118"/>
      <c r="S151" s="118"/>
      <c r="T151" s="118"/>
      <c r="U151" s="118"/>
      <c r="V151" s="118"/>
    </row>
    <row r="152" outlineLevel="1">
      <c r="A152" s="146"/>
      <c r="B152" s="300" t="s">
        <v>216</v>
      </c>
      <c r="C152" s="307" t="str">
        <f t="array" ref="C152">INDEX('起きあがり'!$D$3:$E143, MATCH($A$1,'起きあがり'!$A$3:$A$115,0), MATCH(C142,'起きあがり'!$D$2:$AD$2,0))</f>
        <v>1-22</v>
      </c>
      <c r="D152" s="308">
        <f t="array" ref="D152">INDEX('起きあがり'!$D$3:$E143, MATCH($A$1,'起きあがり'!$A$3:$A$115,0), MATCH(D142,'起きあがり'!$D$2:$AD$2,0))</f>
        <v>29</v>
      </c>
      <c r="E152" s="301"/>
      <c r="F152" s="301"/>
      <c r="G152" s="301"/>
      <c r="H152" s="228"/>
      <c r="I152" s="228"/>
      <c r="J152" s="117"/>
      <c r="K152" s="305" t="str">
        <f>'テンプレート'!K126</f>
        <v>空中投擲</v>
      </c>
      <c r="L152" s="303" t="str">
        <f>'テンプレート'!L126</f>
        <v>前投げ</v>
      </c>
      <c r="M152" s="113" t="s">
        <v>128</v>
      </c>
      <c r="N152" s="113">
        <v>20.0</v>
      </c>
      <c r="O152" s="118"/>
      <c r="P152" s="118"/>
      <c r="Q152" s="118"/>
      <c r="R152" s="118"/>
      <c r="S152" s="118"/>
      <c r="T152" s="118"/>
      <c r="U152" s="118"/>
      <c r="V152" s="118"/>
    </row>
    <row r="153" outlineLevel="1">
      <c r="A153" s="146"/>
      <c r="B153" s="300" t="s">
        <v>245</v>
      </c>
      <c r="C153" s="307" t="str">
        <f t="array" ref="C153">INDEX('起きあがり'!$F$3:$G$115, MATCH($A$1,'起きあがり'!$A$3:$A$115,0), MATCH(C142,'起きあがり'!$F$2:$AD$2,0))</f>
        <v>1-24</v>
      </c>
      <c r="D153" s="308">
        <f t="array" ref="D153">INDEX('起きあがり'!$F$3:$G$115, MATCH($A$1,'起きあがり'!$A$3:$A$115,0), MATCH(D142,'起きあがり'!$F$2:$AD$2,0))</f>
        <v>35</v>
      </c>
      <c r="E153" s="301"/>
      <c r="F153" s="301"/>
      <c r="G153" s="301"/>
      <c r="H153" s="228"/>
      <c r="I153" s="228"/>
      <c r="J153" s="111"/>
      <c r="K153" s="146"/>
      <c r="L153" s="303" t="str">
        <f>'テンプレート'!L127</f>
        <v>後投げ</v>
      </c>
      <c r="M153" s="113" t="s">
        <v>119</v>
      </c>
      <c r="N153" s="113">
        <v>20.0</v>
      </c>
      <c r="O153" s="118"/>
      <c r="P153" s="118"/>
      <c r="Q153" s="118"/>
      <c r="R153" s="118"/>
      <c r="S153" s="118"/>
      <c r="T153" s="118"/>
      <c r="U153" s="118"/>
      <c r="V153" s="118"/>
    </row>
    <row r="154" outlineLevel="1">
      <c r="A154" s="146"/>
      <c r="B154" s="300" t="s">
        <v>246</v>
      </c>
      <c r="C154" s="113" t="str">
        <f t="array" ref="C154">INDEX('起きあがり'!$H$3:$I$115, MATCH($A$1,'起きあがり'!$A$3:$A$115,0), MATCH(C142,'起きあがり'!$H$2:$AD$2,0))</f>
        <v>1-31</v>
      </c>
      <c r="D154" s="113">
        <f t="array" ref="D154">INDEX('起きあがり'!$H$3:$I$115, MATCH($A$1,'起きあがり'!$A$3:$A$115,0), MATCH(D142,'起きあがり'!$H$2:$AD$2,0))</f>
        <v>35</v>
      </c>
      <c r="E154" s="301"/>
      <c r="F154" s="301"/>
      <c r="G154" s="301"/>
      <c r="H154" s="228"/>
      <c r="I154" s="228"/>
      <c r="J154" s="117"/>
      <c r="K154" s="146"/>
      <c r="L154" s="303" t="str">
        <f>'テンプレート'!L128</f>
        <v>上投げ</v>
      </c>
      <c r="M154" s="113" t="s">
        <v>386</v>
      </c>
      <c r="N154" s="113">
        <v>20.0</v>
      </c>
      <c r="O154" s="118"/>
      <c r="P154" s="118"/>
      <c r="Q154" s="118"/>
      <c r="R154" s="118"/>
      <c r="S154" s="118"/>
      <c r="T154" s="118"/>
      <c r="U154" s="118"/>
      <c r="V154" s="118"/>
    </row>
    <row r="155" outlineLevel="1">
      <c r="A155" s="146"/>
      <c r="B155" s="300" t="s">
        <v>249</v>
      </c>
      <c r="C155" s="309" t="str">
        <f t="array" ref="C155">INDEX('起きあがり'!$J$3:$M$115, MATCH($A$1,'起きあがり'!$A$3:$A$115,0), MATCH(C142,'起きあがり'!$J$2:$AD$2,0))</f>
        <v>1-22</v>
      </c>
      <c r="D155" s="310">
        <f t="array" ref="D155">INDEX('起きあがり'!$J$3:$M$115, MATCH($A$1,'起きあがり'!$A$3:$A$115,0), MATCH(D142,'起きあがり'!$J$2:$AD$2,0))</f>
        <v>45</v>
      </c>
      <c r="E155" s="307" t="str">
        <f t="array" ref="E155">INDEX('起きあがり'!$J$3:$M$115, MATCH($A$1,'起きあがり'!$A$3:$A$115,0), MATCH(E142,'起きあがり'!$J$2:$AD$2,0))</f>
        <v>17-18</v>
      </c>
      <c r="F155" s="308">
        <f t="array" ref="F155">INDEX('起きあがり'!$J$3:$M$115, MATCH($A$1,'起きあがり'!$A$3:$A$115,0), MATCH(F142,'起きあがり'!$J$2:$AD$2,0))</f>
        <v>7</v>
      </c>
      <c r="G155" s="113">
        <f t="shared" ref="G155:G156" si="1">F155*1.2</f>
        <v>8.4</v>
      </c>
      <c r="H155" s="228"/>
      <c r="I155" s="228"/>
      <c r="J155" s="111"/>
      <c r="K155" s="156"/>
      <c r="L155" s="303" t="str">
        <f>'テンプレート'!L129</f>
        <v>下投げ</v>
      </c>
      <c r="M155" s="113" t="s">
        <v>80</v>
      </c>
      <c r="N155" s="113">
        <v>18.0</v>
      </c>
      <c r="O155" s="111"/>
      <c r="P155" s="111"/>
      <c r="Q155" s="111"/>
      <c r="R155" s="111"/>
      <c r="S155" s="111"/>
      <c r="T155" s="111"/>
      <c r="U155" s="111"/>
      <c r="V155" s="111"/>
    </row>
    <row r="156" outlineLevel="1">
      <c r="A156" s="156"/>
      <c r="B156" s="311" t="s">
        <v>250</v>
      </c>
      <c r="C156" s="156"/>
      <c r="D156" s="156"/>
      <c r="E156" s="307" t="str">
        <f t="array" ref="E156">INDEX('起きあがり'!$N$3:$O$115, MATCH($A$1,'起きあがり'!$A$3:$A$115,0), MATCH(E142,'起きあがり'!$N$2:$AD$2,0))</f>
        <v>21-22</v>
      </c>
      <c r="F156" s="308">
        <f t="array" ref="F156">INDEX('起きあがり'!$N$3:$O$115, MATCH($A$1,'起きあがり'!$A$3:$A$115,0), MATCH(F142,'起きあがり'!$N$2:$AD$2,0))</f>
        <v>7</v>
      </c>
      <c r="G156" s="113">
        <f t="shared" si="1"/>
        <v>8.4</v>
      </c>
      <c r="H156" s="228"/>
      <c r="I156" s="228"/>
      <c r="J156" s="111"/>
      <c r="K156" s="312" t="str">
        <f>'テンプレート'!K130</f>
        <v>踏み台ジャンプ</v>
      </c>
      <c r="L156" s="168"/>
      <c r="M156" s="298" t="str">
        <f>'テンプレート'!M130</f>
        <v>全体フレーム</v>
      </c>
      <c r="N156" s="114"/>
      <c r="O156" s="111"/>
      <c r="P156" s="111"/>
      <c r="Q156" s="111"/>
      <c r="R156" s="111"/>
      <c r="S156" s="111"/>
      <c r="T156" s="111"/>
      <c r="U156" s="111"/>
      <c r="V156" s="111"/>
    </row>
    <row r="157" outlineLevel="1">
      <c r="A157" s="299" t="s">
        <v>251</v>
      </c>
      <c r="B157" s="300" t="s">
        <v>248</v>
      </c>
      <c r="C157" s="301"/>
      <c r="D157" s="307" t="str">
        <f t="array" ref="D157">INDEX('起きあがり'!$C$3:$C143, MATCH($A$1,'起きあがり'!$A$3:$A$115,0), MATCH(D142,'起きあがり'!$C$2,0))</f>
        <v>25</v>
      </c>
      <c r="E157" s="301"/>
      <c r="F157" s="301"/>
      <c r="G157" s="301"/>
      <c r="H157" s="228"/>
      <c r="I157" s="228"/>
      <c r="J157" s="117"/>
      <c r="K157" s="313" t="str">
        <f>'テンプレート'!K131</f>
        <v>踏み</v>
      </c>
      <c r="L157" s="314" t="str">
        <f>'テンプレート'!L131</f>
        <v>踏み</v>
      </c>
      <c r="M157" s="113">
        <v>7.0</v>
      </c>
      <c r="N157" s="2364"/>
      <c r="O157" s="111"/>
      <c r="P157" s="111"/>
      <c r="Q157" s="111"/>
      <c r="R157" s="111"/>
      <c r="S157" s="111"/>
      <c r="T157" s="111"/>
      <c r="U157" s="111"/>
      <c r="V157" s="111"/>
    </row>
    <row r="158" outlineLevel="1">
      <c r="A158" s="146"/>
      <c r="B158" s="300" t="s">
        <v>216</v>
      </c>
      <c r="C158" s="307" t="str">
        <f t="array" ref="C158">INDEX('起きあがり'!$P$3:$Q$115, MATCH($A$1,'起きあがり'!$A$3:$A$115,0), MATCH(C142,'起きあがり'!$P$2:$AD$2,0))</f>
        <v>1-22</v>
      </c>
      <c r="D158" s="308">
        <f t="array" ref="D158">INDEX('起きあがり'!$P$3:$Q$115, MATCH($A$1,'起きあがり'!$A$3:$A$115,0), MATCH(D142,'起きあがり'!$P$2:$AD$2,0))</f>
        <v>29</v>
      </c>
      <c r="E158" s="301"/>
      <c r="F158" s="301"/>
      <c r="G158" s="301"/>
      <c r="H158" s="228"/>
      <c r="I158" s="228"/>
      <c r="J158" s="111"/>
      <c r="K158" s="305" t="str">
        <f>'テンプレート'!K132</f>
        <v>踏まれ</v>
      </c>
      <c r="L158" s="314" t="str">
        <f>'テンプレート'!L132</f>
        <v>地上踏まれ</v>
      </c>
      <c r="M158" s="113" t="s">
        <v>76</v>
      </c>
      <c r="N158" s="2364"/>
      <c r="O158" s="228"/>
      <c r="P158" s="228"/>
      <c r="Q158" s="228"/>
      <c r="R158" s="228"/>
      <c r="S158" s="228"/>
      <c r="T158" s="228"/>
      <c r="U158" s="228"/>
      <c r="V158" s="228"/>
    </row>
    <row r="159" outlineLevel="1">
      <c r="A159" s="146"/>
      <c r="B159" s="300" t="s">
        <v>245</v>
      </c>
      <c r="C159" s="307" t="str">
        <f t="array" ref="C159">INDEX('起きあがり'!$R$3:$S$115, MATCH($A$1,'起きあがり'!$A$3:$A$115,0), MATCH(C142,'起きあがり'!$R$2:$AD$2,0))</f>
        <v>1-19</v>
      </c>
      <c r="D159" s="308">
        <f t="array" ref="D159">INDEX('起きあがり'!$R$3:$S$115, MATCH($A$1,'起きあがり'!$A$3:$A$115,0), MATCH(D142,'起きあがり'!$R$2:$AD$2,0))</f>
        <v>35</v>
      </c>
      <c r="E159" s="301"/>
      <c r="F159" s="301"/>
      <c r="G159" s="301"/>
      <c r="H159" s="228"/>
      <c r="I159" s="228"/>
      <c r="J159" s="117"/>
      <c r="K159" s="146"/>
      <c r="L159" s="314" t="str">
        <f>'テンプレート'!L133</f>
        <v>地上硬直</v>
      </c>
      <c r="M159" s="113">
        <v>28.0</v>
      </c>
      <c r="N159" s="2313"/>
      <c r="O159" s="118"/>
      <c r="P159" s="118"/>
      <c r="Q159" s="118"/>
      <c r="R159" s="118"/>
      <c r="S159" s="118"/>
      <c r="T159" s="118"/>
      <c r="U159" s="118"/>
      <c r="V159" s="118"/>
    </row>
    <row r="160" outlineLevel="1">
      <c r="A160" s="146"/>
      <c r="B160" s="300" t="s">
        <v>246</v>
      </c>
      <c r="C160" s="307" t="str">
        <f t="array" ref="C160">INDEX('起きあがり'!$T$3:$U$115, MATCH($A$1,'起きあがり'!$A$3:$A$115,0), MATCH(C142,'起きあがり'!$T$2:$AD$2,0))</f>
        <v>1-25</v>
      </c>
      <c r="D160" s="308">
        <f t="array" ref="D160">INDEX('起きあがり'!$T$3:$U$115, MATCH($A$1,'起きあがり'!$A$3:$A$115,0), MATCH(D142,'起きあがり'!$T$2:$AD$2,0))</f>
        <v>35</v>
      </c>
      <c r="E160" s="301"/>
      <c r="F160" s="301"/>
      <c r="G160" s="301"/>
      <c r="H160" s="228"/>
      <c r="I160" s="228"/>
      <c r="J160" s="111"/>
      <c r="K160" s="146"/>
      <c r="L160" s="314" t="str">
        <f>'テンプレート'!L134</f>
        <v>空中踏まれ</v>
      </c>
      <c r="M160" s="113">
        <v>7.0</v>
      </c>
      <c r="N160" s="2313"/>
      <c r="O160" s="118"/>
      <c r="P160" s="118"/>
      <c r="Q160" s="118"/>
      <c r="R160" s="118"/>
      <c r="S160" s="118"/>
      <c r="T160" s="118"/>
      <c r="U160" s="118"/>
      <c r="V160" s="118"/>
    </row>
    <row r="161" outlineLevel="1">
      <c r="A161" s="146"/>
      <c r="B161" s="300" t="s">
        <v>249</v>
      </c>
      <c r="C161" s="309" t="str">
        <f t="array" ref="C161">INDEX('起きあがり'!$V$3:$Y$115, MATCH($A$1,'起きあがり'!$A$3:$A$115,0), MATCH(C142,'起きあがり'!$V$2:$AD$2,0))</f>
        <v>1-22</v>
      </c>
      <c r="D161" s="310">
        <f t="array" ref="D161">INDEX('起きあがり'!$V$3:$Y$115, MATCH($A$1,'起きあがり'!$A$3:$A$115,0), MATCH(D142,'起きあがり'!$V$2:$AD$2,0))</f>
        <v>45</v>
      </c>
      <c r="E161" s="307" t="str">
        <f t="array" ref="E161">INDEX('起きあがり'!$V$3:$Y$115, MATCH($A$1,'起きあがり'!$A$3:$A$115,0), MATCH(E142,'起きあがり'!$V$2:$AD$2,0))</f>
        <v>17-18</v>
      </c>
      <c r="F161" s="308">
        <f t="array" ref="F161">INDEX('起きあがり'!$V$3:$Y$115, MATCH($A$1,'起きあがり'!$A$3:$A$115,0), MATCH(F142,'起きあがり'!$V$2:$AD$2,0))</f>
        <v>7</v>
      </c>
      <c r="G161" s="113">
        <f t="shared" ref="G161:G162" si="2">F161*1.2</f>
        <v>8.4</v>
      </c>
      <c r="H161" s="228"/>
      <c r="I161" s="228"/>
      <c r="J161" s="117"/>
      <c r="K161" s="146"/>
      <c r="L161" s="314" t="str">
        <f>'テンプレート'!L135</f>
        <v>空中落下</v>
      </c>
      <c r="M161" s="113">
        <v>38.0</v>
      </c>
      <c r="N161" s="2313"/>
      <c r="O161" s="118"/>
      <c r="P161" s="118"/>
      <c r="Q161" s="118"/>
      <c r="R161" s="118"/>
      <c r="S161" s="118"/>
      <c r="T161" s="118"/>
      <c r="U161" s="118"/>
      <c r="V161" s="118"/>
    </row>
    <row r="162" outlineLevel="1">
      <c r="A162" s="156"/>
      <c r="B162" s="311" t="s">
        <v>250</v>
      </c>
      <c r="C162" s="156"/>
      <c r="D162" s="156"/>
      <c r="E162" s="307" t="str">
        <f t="array" ref="E162">INDEX('起きあがり'!$Z$3:$AA$115, MATCH($A$1,'起きあがり'!$A$3:$A$115,0), MATCH(E142,'起きあがり'!$Z$2:$AD$2,0))</f>
        <v>21-22</v>
      </c>
      <c r="F162" s="308">
        <f t="array" ref="F162">INDEX('起きあがり'!$Z$3:$AA$115, MATCH($A$1,'起きあがり'!$A$3:$A$115,0), MATCH(F142,'起きあがり'!$Z$2:$AD$2,0))</f>
        <v>7</v>
      </c>
      <c r="G162" s="113">
        <f t="shared" si="2"/>
        <v>8.4</v>
      </c>
      <c r="H162" s="228"/>
      <c r="I162" s="228"/>
      <c r="J162" s="117"/>
      <c r="K162" s="304" t="str">
        <f>'テンプレート'!K136</f>
        <v>倒れダメージ</v>
      </c>
      <c r="L162" s="110"/>
      <c r="M162" s="298" t="str">
        <f>'テンプレート'!M136</f>
        <v>全体フレーム</v>
      </c>
      <c r="N162" s="2313"/>
      <c r="O162" s="118"/>
      <c r="P162" s="118"/>
      <c r="Q162" s="118"/>
      <c r="R162" s="118"/>
      <c r="S162" s="118"/>
      <c r="T162" s="118"/>
      <c r="U162" s="118"/>
      <c r="V162" s="118"/>
    </row>
    <row r="163" outlineLevel="1">
      <c r="A163" s="299" t="s">
        <v>252</v>
      </c>
      <c r="B163" s="300" t="s">
        <v>253</v>
      </c>
      <c r="C163" s="307" t="str">
        <f t="array" ref="C163">INDEX('転倒'!$C$3:$D143, MATCH($A$1,'転倒'!$A$3:$A$115,0), MATCH(C142,'転倒'!$C$2:$AC$2,0))</f>
        <v>1-5</v>
      </c>
      <c r="D163" s="308">
        <f t="array" ref="D163">INDEX('転倒'!$C$3:$D143, MATCH($A$1,'転倒'!$A$3:$A$115,0), MATCH(D142,'転倒'!$C$2:$AC$2,0))</f>
        <v>29</v>
      </c>
      <c r="E163" s="301"/>
      <c r="F163" s="301"/>
      <c r="G163" s="301"/>
      <c r="H163" s="228"/>
      <c r="I163" s="228"/>
      <c r="J163" s="111"/>
      <c r="K163" s="313" t="str">
        <f>'テンプレート'!K137</f>
        <v>あお向け倒れ</v>
      </c>
      <c r="L163" s="306" t="str">
        <f>'テンプレート'!L137</f>
        <v>モーション大</v>
      </c>
      <c r="M163" s="113">
        <v>39.0</v>
      </c>
      <c r="N163" s="2364"/>
      <c r="O163" s="118"/>
      <c r="P163" s="118"/>
      <c r="Q163" s="118"/>
      <c r="R163" s="118"/>
      <c r="S163" s="118"/>
      <c r="T163" s="118"/>
      <c r="U163" s="118"/>
      <c r="V163" s="118"/>
    </row>
    <row r="164" outlineLevel="1">
      <c r="A164" s="146"/>
      <c r="B164" s="300" t="s">
        <v>254</v>
      </c>
      <c r="C164" s="307" t="str">
        <f t="array" ref="C164">INDEX('転倒'!$E$3:$F143, MATCH($A$1,'転倒'!$A$3:$A$115,0), MATCH(C142,'転倒'!$E$2:$AC$2,0))</f>
        <v>1-5</v>
      </c>
      <c r="D164" s="308">
        <f t="array" ref="D164">INDEX('転倒'!$E$3:$F143, MATCH($A$1,'転倒'!$A$3:$A$115,0), MATCH(D142,'転倒'!$E$2:$AC$2,0))</f>
        <v>39</v>
      </c>
      <c r="E164" s="301"/>
      <c r="F164" s="301"/>
      <c r="G164" s="301"/>
      <c r="H164" s="228"/>
      <c r="I164" s="228"/>
      <c r="J164" s="117"/>
      <c r="K164" s="313" t="str">
        <f>'テンプレート'!K138</f>
        <v>うつ伏せ倒れ</v>
      </c>
      <c r="L164" s="306" t="str">
        <f>'テンプレート'!L138</f>
        <v>モーション大</v>
      </c>
      <c r="M164" s="113" t="s">
        <v>118</v>
      </c>
      <c r="N164" s="2364"/>
      <c r="O164" s="118"/>
      <c r="P164" s="118"/>
      <c r="Q164" s="118"/>
      <c r="R164" s="118"/>
      <c r="S164" s="118"/>
      <c r="T164" s="118"/>
      <c r="U164" s="118"/>
      <c r="V164" s="118"/>
    </row>
    <row r="165" outlineLevel="1">
      <c r="A165" s="146"/>
      <c r="B165" s="300" t="s">
        <v>216</v>
      </c>
      <c r="C165" s="307" t="str">
        <f t="array" ref="C165">INDEX('転倒'!$G$3:$H$115, MATCH($A$1,'転倒'!$A$3:$A$115,0), MATCH(C142,'転倒'!$G$2:$AC$2,0))</f>
        <v>1-16</v>
      </c>
      <c r="D165" s="308">
        <f t="array" ref="D165">INDEX('転倒'!$G$3:$H$115, MATCH($A$1,'転倒'!$A$3:$A$115,0), MATCH(D142,'転倒'!$G$2:$AC$2,0))</f>
        <v>21</v>
      </c>
      <c r="E165" s="301"/>
      <c r="F165" s="301"/>
      <c r="G165" s="301"/>
      <c r="H165" s="228"/>
      <c r="I165" s="228"/>
      <c r="J165" s="111"/>
      <c r="K165" s="304" t="str">
        <f>'テンプレート'!K139</f>
        <v/>
      </c>
      <c r="L165" s="110"/>
      <c r="M165" s="298" t="str">
        <f>'テンプレート'!M139</f>
        <v/>
      </c>
      <c r="N165" s="2313"/>
      <c r="O165" s="118"/>
      <c r="P165" s="118"/>
      <c r="Q165" s="118"/>
      <c r="R165" s="118"/>
      <c r="S165" s="118"/>
      <c r="T165" s="118"/>
      <c r="U165" s="118"/>
      <c r="V165" s="118"/>
    </row>
    <row r="166" outlineLevel="1">
      <c r="A166" s="146"/>
      <c r="B166" s="300" t="s">
        <v>245</v>
      </c>
      <c r="C166" s="307" t="str">
        <f t="array" ref="C166">INDEX('転倒'!$I$3:$J$115, MATCH($A$1,'転倒'!$A$3:$A$115,0), MATCH(C142,'転倒'!$I$2:$AC$2,0))</f>
        <v>1-9</v>
      </c>
      <c r="D166" s="308">
        <f t="array" ref="D166">INDEX('転倒'!$I$3:$J$115, MATCH($A$1,'転倒'!$A$3:$A$115,0), MATCH(D142,'転倒'!$I$2:$AC$2,0))</f>
        <v>28</v>
      </c>
      <c r="E166" s="301"/>
      <c r="F166" s="301"/>
      <c r="G166" s="301"/>
      <c r="H166" s="228"/>
      <c r="I166" s="228"/>
      <c r="J166" s="228"/>
      <c r="K166" s="316"/>
      <c r="L166" s="317" t="str">
        <f>'テンプレート'!L140</f>
        <v/>
      </c>
      <c r="M166" s="113" t="s">
        <v>76</v>
      </c>
      <c r="N166" s="2313"/>
      <c r="O166" s="118"/>
      <c r="P166" s="118"/>
      <c r="Q166" s="118"/>
      <c r="R166" s="118"/>
      <c r="S166" s="118"/>
      <c r="T166" s="118"/>
      <c r="U166" s="118"/>
      <c r="V166" s="118"/>
    </row>
    <row r="167" outlineLevel="1">
      <c r="A167" s="146"/>
      <c r="B167" s="300" t="s">
        <v>246</v>
      </c>
      <c r="C167" s="307" t="str">
        <f t="array" ref="C167">INDEX('転倒'!$K$3:$L$115, MATCH($A$1,'転倒'!$A$3:$A$115,0), MATCH(C142,'転倒'!$K$2:$AC$2,0))</f>
        <v>1-9</v>
      </c>
      <c r="D167" s="308">
        <f t="array" ref="D167">INDEX('転倒'!$K$3:$L$115, MATCH($A$1,'転倒'!$A$3:$A$115,0), MATCH(D142,'転倒'!$K$2:$AC$2,0))</f>
        <v>28</v>
      </c>
      <c r="E167" s="301"/>
      <c r="F167" s="301"/>
      <c r="G167" s="301"/>
      <c r="H167" s="228"/>
      <c r="I167" s="228"/>
      <c r="J167" s="228"/>
      <c r="K167" s="2365"/>
      <c r="L167" s="118"/>
      <c r="M167" s="118"/>
      <c r="N167" s="2313"/>
      <c r="O167" s="118"/>
      <c r="P167" s="118"/>
      <c r="Q167" s="118"/>
      <c r="R167" s="118"/>
      <c r="S167" s="118"/>
      <c r="T167" s="118"/>
      <c r="U167" s="118"/>
      <c r="V167" s="118"/>
    </row>
    <row r="168" outlineLevel="1">
      <c r="A168" s="146"/>
      <c r="B168" s="300" t="s">
        <v>249</v>
      </c>
      <c r="C168" s="309" t="str">
        <f t="array" ref="C168">INDEX('転倒'!$M$3:$P$115, MATCH($A$1,'転倒'!$A$3:$A$115,0), MATCH(C142,'転倒'!$M$2:$AC$2,0))</f>
        <v>1-7</v>
      </c>
      <c r="D168" s="310">
        <f t="array" ref="D168">INDEX('転倒'!$M$3:$P$115, MATCH($A$1,'転倒'!$A$3:$A$115,0), MATCH(D142,'転倒'!$M$2:$AC$2,0))</f>
        <v>49</v>
      </c>
      <c r="E168" s="307" t="str">
        <f t="array" ref="E168">INDEX('転倒'!$M$3:$P$115, MATCH($A$1,'転倒'!$A$3:$A$115,0), MATCH(E142,'転倒'!$M$2:$AC$2,0))</f>
        <v>19-20</v>
      </c>
      <c r="F168" s="308">
        <f t="array" ref="F168">INDEX('転倒'!$M$3:$P$115, MATCH($A$1,'転倒'!$A$3:$A$115,0), MATCH(F142,'転倒'!$M$2:$AC$2,0))</f>
        <v>5</v>
      </c>
      <c r="G168" s="113">
        <f t="shared" ref="G168:G169" si="3">F168*1.2</f>
        <v>6</v>
      </c>
      <c r="H168" s="228"/>
      <c r="I168" s="228"/>
      <c r="J168" s="228"/>
      <c r="K168" s="118"/>
      <c r="L168" s="118"/>
      <c r="M168" s="118"/>
      <c r="N168" s="2313"/>
      <c r="O168" s="2313"/>
      <c r="P168" s="2313"/>
      <c r="Q168" s="2313"/>
      <c r="R168" s="118"/>
      <c r="S168" s="118"/>
      <c r="T168" s="118"/>
      <c r="U168" s="118"/>
      <c r="V168" s="118"/>
    </row>
    <row r="169" outlineLevel="1">
      <c r="A169" s="156"/>
      <c r="B169" s="311" t="s">
        <v>250</v>
      </c>
      <c r="C169" s="156"/>
      <c r="D169" s="156"/>
      <c r="E169" s="307" t="str">
        <f t="array" ref="E169">INDEX('転倒'!$Q$3:$R$115, MATCH($A$1,'転倒'!$A$3:$A$115,0), MATCH(E142,'転倒'!$Q$2:$AC$2,0))</f>
        <v>28-29</v>
      </c>
      <c r="F169" s="308">
        <f t="array" ref="F169">INDEX('転倒'!$Q$3:$R$115, MATCH($A$1,'転倒'!$A$3:$A$115,0), MATCH(F142,'転倒'!$Q$2:$AC$2,0))</f>
        <v>5</v>
      </c>
      <c r="G169" s="113">
        <f t="shared" si="3"/>
        <v>6</v>
      </c>
      <c r="H169" s="228"/>
      <c r="I169" s="228"/>
      <c r="J169" s="228"/>
      <c r="K169" s="118"/>
      <c r="L169" s="118"/>
      <c r="M169" s="118"/>
      <c r="N169" s="2313"/>
      <c r="O169" s="2313"/>
      <c r="P169" s="2313"/>
      <c r="Q169" s="2313"/>
      <c r="R169" s="118"/>
      <c r="S169" s="118"/>
      <c r="T169" s="118"/>
      <c r="U169" s="118"/>
      <c r="V169" s="118"/>
    </row>
    <row r="170" outlineLevel="1">
      <c r="A170" s="319"/>
      <c r="B170" s="320"/>
      <c r="C170" s="321"/>
      <c r="D170" s="321"/>
      <c r="E170" s="322"/>
      <c r="F170" s="322"/>
      <c r="G170" s="114"/>
      <c r="H170" s="228"/>
      <c r="I170" s="228"/>
      <c r="J170" s="228"/>
      <c r="K170" s="118"/>
      <c r="L170" s="118"/>
      <c r="M170" s="118"/>
      <c r="N170" s="2313"/>
      <c r="O170" s="2313"/>
      <c r="P170" s="2313"/>
      <c r="Q170" s="2313"/>
      <c r="R170" s="118"/>
      <c r="S170" s="118"/>
      <c r="T170" s="118"/>
      <c r="U170" s="118"/>
      <c r="V170" s="118"/>
    </row>
    <row r="171" outlineLevel="1">
      <c r="A171" s="323" t="s">
        <v>255</v>
      </c>
      <c r="B171" s="109"/>
      <c r="C171" s="321"/>
      <c r="D171" s="321"/>
      <c r="E171" s="322"/>
      <c r="F171" s="322"/>
      <c r="G171" s="114"/>
      <c r="H171" s="228"/>
      <c r="I171" s="228"/>
      <c r="J171" s="228"/>
      <c r="K171" s="118"/>
      <c r="L171" s="118"/>
      <c r="M171" s="118"/>
      <c r="N171" s="2313"/>
      <c r="O171" s="2313"/>
      <c r="P171" s="2313"/>
      <c r="Q171" s="2313"/>
      <c r="R171" s="118"/>
      <c r="S171" s="118"/>
      <c r="T171" s="118"/>
      <c r="U171" s="118"/>
      <c r="V171" s="118"/>
    </row>
    <row r="172" outlineLevel="1">
      <c r="A172" s="324" t="s">
        <v>256</v>
      </c>
      <c r="B172" s="109"/>
      <c r="C172" s="325" t="s">
        <v>257</v>
      </c>
      <c r="D172" s="325" t="s">
        <v>49</v>
      </c>
      <c r="E172" s="322"/>
      <c r="F172" s="322"/>
      <c r="G172" s="114"/>
      <c r="H172" s="228"/>
      <c r="I172" s="228"/>
      <c r="J172" s="228"/>
      <c r="K172" s="118"/>
      <c r="L172" s="118"/>
      <c r="M172" s="118"/>
      <c r="N172" s="2313"/>
      <c r="O172" s="2313"/>
      <c r="P172" s="2313"/>
      <c r="Q172" s="2313"/>
      <c r="R172" s="118"/>
      <c r="S172" s="118"/>
      <c r="T172" s="118"/>
      <c r="U172" s="118"/>
      <c r="V172" s="118"/>
    </row>
    <row r="173" outlineLevel="1">
      <c r="A173" s="326" t="s">
        <v>258</v>
      </c>
      <c r="B173" s="327" t="s">
        <v>216</v>
      </c>
      <c r="C173" s="328" t="str">
        <f t="array" ref="C173">INDEX('アイテム'!$C$3:$D$114, MATCH($A$1,'アイテム'!$A$3:$A$114,0), MATCH(C172,'アイテム'!$C$2:$AQ$2,0))</f>
        <v>2</v>
      </c>
      <c r="D173" s="328">
        <f t="array" ref="D173">INDEX('アイテム'!$C$3:$D$114, MATCH($A$1,'アイテム'!$A$3:$A$114,0), MATCH(D172,'アイテム'!$C$2:$AQ$2,0))</f>
        <v>7</v>
      </c>
      <c r="E173" s="322"/>
      <c r="F173" s="322"/>
      <c r="G173" s="114"/>
      <c r="H173" s="228"/>
      <c r="I173" s="228"/>
      <c r="J173" s="228"/>
      <c r="K173" s="118"/>
      <c r="L173" s="118"/>
      <c r="M173" s="118"/>
      <c r="N173" s="2313"/>
      <c r="O173" s="2313"/>
      <c r="P173" s="2313"/>
      <c r="Q173" s="2313"/>
      <c r="R173" s="118"/>
      <c r="S173" s="118"/>
      <c r="T173" s="118"/>
      <c r="U173" s="118"/>
      <c r="V173" s="118"/>
    </row>
    <row r="174" outlineLevel="1">
      <c r="A174" s="156"/>
      <c r="B174" s="327" t="s">
        <v>219</v>
      </c>
      <c r="C174" s="328" t="str">
        <f t="array" ref="C174">INDEX('アイテム'!$E$3:$F$114, MATCH($A$1,'アイテム'!$A$3:$A$114,0), MATCH(C172,'アイテム'!$C$2:$AQ$2,0))</f>
        <v>2</v>
      </c>
      <c r="D174" s="328">
        <f t="array" ref="D174">INDEX('アイテム'!$E$3:$F$114, MATCH($A$1,'アイテム'!$A$3:$A$114,0), MATCH(D172,'アイテム'!$C$2:$AQ$2,0))</f>
        <v>19</v>
      </c>
      <c r="E174" s="322"/>
      <c r="F174" s="322"/>
      <c r="G174" s="114"/>
      <c r="H174" s="228"/>
      <c r="I174" s="228"/>
      <c r="J174" s="228"/>
      <c r="K174" s="118"/>
      <c r="L174" s="118"/>
      <c r="M174" s="118"/>
      <c r="N174" s="2313"/>
      <c r="O174" s="2313"/>
      <c r="P174" s="2313"/>
      <c r="Q174" s="2313"/>
      <c r="R174" s="118"/>
      <c r="S174" s="118"/>
      <c r="T174" s="118"/>
      <c r="U174" s="118"/>
      <c r="V174" s="118"/>
    </row>
    <row r="175" outlineLevel="1">
      <c r="A175" s="329" t="s">
        <v>259</v>
      </c>
      <c r="B175" s="327" t="s">
        <v>216</v>
      </c>
      <c r="C175" s="328">
        <f t="array" ref="C175">INDEX('アイテム'!$AA$3:$AB$114, MATCH($A$1,'アイテム'!$A$3:$A$114,0), MATCH(C172,'アイテム'!$C$2:$AQ$2,0))</f>
        <v>3</v>
      </c>
      <c r="D175" s="328" t="str">
        <f t="array" ref="D175">INDEX('アイテム'!$AA$3:$AB$114, MATCH($A$1,'アイテム'!$A$3:$A$114,0), MATCH(D172,'アイテム'!$C$2:$AQ$2,0))</f>
        <v>12</v>
      </c>
      <c r="E175" s="322"/>
      <c r="F175" s="322"/>
      <c r="G175" s="114"/>
      <c r="H175" s="228"/>
      <c r="I175" s="228"/>
      <c r="J175" s="228"/>
      <c r="K175" s="118"/>
      <c r="L175" s="118"/>
      <c r="M175" s="118"/>
      <c r="N175" s="2313"/>
      <c r="O175" s="2313"/>
      <c r="P175" s="2313"/>
      <c r="Q175" s="2313"/>
      <c r="R175" s="118"/>
      <c r="S175" s="118"/>
      <c r="T175" s="118"/>
      <c r="U175" s="118"/>
      <c r="V175" s="118"/>
    </row>
    <row r="176" outlineLevel="1">
      <c r="A176" s="324" t="s">
        <v>260</v>
      </c>
      <c r="B176" s="109"/>
      <c r="C176" s="325" t="s">
        <v>261</v>
      </c>
      <c r="D176" s="325" t="s">
        <v>49</v>
      </c>
      <c r="E176" s="322"/>
      <c r="F176" s="322"/>
      <c r="G176" s="114"/>
      <c r="H176" s="228"/>
      <c r="I176" s="228"/>
      <c r="J176" s="228"/>
      <c r="K176" s="118"/>
      <c r="L176" s="118"/>
      <c r="M176" s="118"/>
      <c r="N176" s="2313"/>
      <c r="O176" s="2313"/>
      <c r="P176" s="2313"/>
      <c r="Q176" s="2313"/>
      <c r="R176" s="118"/>
      <c r="S176" s="118"/>
      <c r="T176" s="118"/>
      <c r="U176" s="118"/>
      <c r="V176" s="118"/>
    </row>
    <row r="177" outlineLevel="1">
      <c r="A177" s="326" t="s">
        <v>262</v>
      </c>
      <c r="B177" s="327" t="s">
        <v>226</v>
      </c>
      <c r="C177" s="328" t="str">
        <f t="array" ref="C177">INDEX('アイテム'!$G$3:$H$114, MATCH($A$1,'アイテム'!$A$3:$A$114,0), MATCH(C172,'アイテム'!$C$2:$AQ$2,0))</f>
        <v>10</v>
      </c>
      <c r="D177" s="328">
        <f t="array" ref="D177">INDEX('アイテム'!$G$3:$H$114, MATCH($A$1,'アイテム'!$A$3:$A$114,0), MATCH(D172,'アイテム'!$C$2:$AQ$2,0))</f>
        <v>24</v>
      </c>
      <c r="E177" s="322"/>
      <c r="F177" s="322"/>
      <c r="G177" s="114"/>
      <c r="H177" s="228"/>
      <c r="I177" s="228"/>
      <c r="J177" s="228"/>
      <c r="K177" s="118"/>
      <c r="L177" s="118"/>
      <c r="M177" s="118"/>
      <c r="N177" s="2313"/>
      <c r="O177" s="2313"/>
      <c r="P177" s="2313"/>
      <c r="Q177" s="2313"/>
      <c r="R177" s="118"/>
      <c r="S177" s="118"/>
      <c r="T177" s="118"/>
      <c r="U177" s="118"/>
      <c r="V177" s="118"/>
    </row>
    <row r="178" outlineLevel="1">
      <c r="A178" s="146"/>
      <c r="B178" s="327" t="s">
        <v>229</v>
      </c>
      <c r="C178" s="328" t="str">
        <f t="array" ref="C178">INDEX('アイテム'!$I$3:$J$114, MATCH($A$1,'アイテム'!$A$3:$A$114,0), MATCH(C172,'アイテム'!$C$2:$AQ$2,0))</f>
        <v>14</v>
      </c>
      <c r="D178" s="328">
        <f t="array" ref="D178">INDEX('アイテム'!$I$3:$J$114, MATCH($A$1,'アイテム'!$A$3:$A$114,0), MATCH(D172,'アイテム'!$C$2:$AQ$2,0))</f>
        <v>24</v>
      </c>
      <c r="E178" s="322"/>
      <c r="F178" s="322"/>
      <c r="G178" s="114"/>
      <c r="H178" s="228"/>
      <c r="I178" s="228"/>
      <c r="J178" s="228"/>
      <c r="K178" s="118"/>
      <c r="L178" s="118"/>
      <c r="M178" s="118"/>
      <c r="N178" s="2313"/>
      <c r="O178" s="2313"/>
      <c r="P178" s="2313"/>
      <c r="Q178" s="2313"/>
      <c r="R178" s="118"/>
      <c r="S178" s="118"/>
      <c r="T178" s="118"/>
      <c r="U178" s="118"/>
      <c r="V178" s="118"/>
    </row>
    <row r="179" outlineLevel="1">
      <c r="A179" s="146"/>
      <c r="B179" s="327" t="s">
        <v>233</v>
      </c>
      <c r="C179" s="328" t="str">
        <f t="array" ref="C179">INDEX('アイテム'!$K$3:$L$114, MATCH($A$1,'アイテム'!$A$3:$A$114,0), MATCH(C172,'アイテム'!$C$2:$AQ$2,0))</f>
        <v>15</v>
      </c>
      <c r="D179" s="328">
        <f t="array" ref="D179">INDEX('アイテム'!$K$3:$L$114, MATCH($A$1,'アイテム'!$A$3:$A$114,0), MATCH(D172,'アイテム'!$C$2:$AQ$2,0))</f>
        <v>23</v>
      </c>
      <c r="E179" s="322"/>
      <c r="F179" s="322"/>
      <c r="G179" s="114"/>
      <c r="H179" s="228"/>
      <c r="I179" s="228"/>
      <c r="J179" s="228"/>
      <c r="K179" s="118"/>
      <c r="L179" s="118"/>
      <c r="M179" s="118"/>
      <c r="N179" s="2313"/>
      <c r="O179" s="2313"/>
      <c r="P179" s="2313"/>
      <c r="Q179" s="2313"/>
      <c r="R179" s="118"/>
      <c r="S179" s="118"/>
      <c r="T179" s="118"/>
      <c r="U179" s="118"/>
      <c r="V179" s="118"/>
    </row>
    <row r="180" outlineLevel="1">
      <c r="A180" s="146"/>
      <c r="B180" s="327" t="s">
        <v>234</v>
      </c>
      <c r="C180" s="328" t="str">
        <f t="array" ref="C180">INDEX('アイテム'!$M$3:$N$114, MATCH($A$1,'アイテム'!$A$3:$A$114,0), MATCH(C172,'アイテム'!$C$2:$AQ$2,0))</f>
        <v>8</v>
      </c>
      <c r="D180" s="328">
        <f t="array" ref="D180">INDEX('アイテム'!$M$3:$N$114, MATCH($A$1,'アイテム'!$A$3:$A$114,0), MATCH(D172,'アイテム'!$C$2:$AQ$2,0))</f>
        <v>19</v>
      </c>
      <c r="E180" s="322"/>
      <c r="F180" s="322"/>
      <c r="G180" s="114"/>
      <c r="H180" s="228"/>
      <c r="I180" s="228"/>
      <c r="J180" s="228"/>
      <c r="K180" s="118"/>
      <c r="L180" s="118"/>
      <c r="M180" s="118"/>
      <c r="N180" s="2313"/>
      <c r="O180" s="2313"/>
      <c r="P180" s="2313"/>
      <c r="Q180" s="2313"/>
      <c r="R180" s="118"/>
      <c r="S180" s="118"/>
      <c r="T180" s="118"/>
      <c r="U180" s="118"/>
      <c r="V180" s="118"/>
    </row>
    <row r="181" outlineLevel="1">
      <c r="A181" s="146"/>
      <c r="B181" s="327" t="s">
        <v>219</v>
      </c>
      <c r="C181" s="328" t="str">
        <f t="array" ref="C181">INDEX('アイテム'!$O$3:$P$114, MATCH($A$1,'アイテム'!$A$3:$A$114,0), MATCH(C172,'アイテム'!$C$2:$AQ$2,0))</f>
        <v>6</v>
      </c>
      <c r="D181" s="328">
        <f t="array" ref="D181">INDEX('アイテム'!$O$3:$P$114, MATCH($A$1,'アイテム'!$A$3:$A$114,0), MATCH(D172,'アイテム'!$C$2:$AQ$2,0))</f>
        <v>29</v>
      </c>
      <c r="E181" s="322"/>
      <c r="F181" s="322"/>
      <c r="G181" s="114"/>
      <c r="H181" s="228"/>
      <c r="I181" s="228"/>
      <c r="J181" s="228"/>
      <c r="K181" s="118"/>
      <c r="L181" s="118"/>
      <c r="M181" s="118"/>
      <c r="N181" s="2313"/>
      <c r="O181" s="2313"/>
      <c r="P181" s="2313"/>
      <c r="Q181" s="2313"/>
      <c r="R181" s="118"/>
      <c r="S181" s="118"/>
      <c r="T181" s="118"/>
      <c r="U181" s="118"/>
      <c r="V181" s="118"/>
    </row>
    <row r="182" outlineLevel="1">
      <c r="A182" s="156"/>
      <c r="B182" s="327" t="s">
        <v>263</v>
      </c>
      <c r="C182" s="328" t="str">
        <f t="array" ref="C182">INDEX('アイテム'!$Q$3:$R$114, MATCH($A$1,'アイテム'!$A$3:$A$114,0), MATCH(C172,'アイテム'!$C$2:$AQ$2,0))</f>
        <v>5</v>
      </c>
      <c r="D182" s="328">
        <f t="array" ref="D182">INDEX('アイテム'!$Q$3:$R$114, MATCH($A$1,'アイテム'!$A$3:$A$114,0), MATCH(D172,'アイテム'!$C$2:$AQ$2,0))</f>
        <v>23</v>
      </c>
      <c r="E182" s="322"/>
      <c r="F182" s="322"/>
      <c r="G182" s="114"/>
      <c r="H182" s="228"/>
      <c r="I182" s="228"/>
      <c r="J182" s="228"/>
      <c r="K182" s="118"/>
      <c r="L182" s="118"/>
      <c r="M182" s="118"/>
      <c r="N182" s="2313"/>
      <c r="O182" s="2313"/>
      <c r="P182" s="2313"/>
      <c r="Q182" s="2313"/>
      <c r="R182" s="118"/>
      <c r="S182" s="118"/>
      <c r="T182" s="118"/>
      <c r="U182" s="118"/>
      <c r="V182" s="118"/>
    </row>
    <row r="183" outlineLevel="1">
      <c r="A183" s="326" t="s">
        <v>264</v>
      </c>
      <c r="B183" s="327" t="s">
        <v>226</v>
      </c>
      <c r="C183" s="328" t="str">
        <f t="array" ref="C183">INDEX('アイテム'!$S$3:$T$114, MATCH($A$1,'アイテム'!$A$3:$A$114,0), MATCH(C172,'アイテム'!$C$2:$AQ$2,0))</f>
        <v>10</v>
      </c>
      <c r="D183" s="328">
        <f t="array" ref="D183">INDEX('アイテム'!$S$3:$T$114, MATCH($A$1,'アイテム'!$A$3:$A$114,0), MATCH(D172,'アイテム'!$C$2:$AQ$2,0))</f>
        <v>24</v>
      </c>
      <c r="E183" s="322"/>
      <c r="F183" s="322"/>
      <c r="G183" s="114"/>
      <c r="H183" s="228"/>
      <c r="I183" s="228"/>
      <c r="J183" s="228"/>
      <c r="K183" s="118"/>
      <c r="L183" s="118"/>
      <c r="M183" s="118"/>
      <c r="N183" s="2313"/>
      <c r="O183" s="2313"/>
      <c r="P183" s="2313"/>
      <c r="Q183" s="2313"/>
      <c r="R183" s="118"/>
      <c r="S183" s="118"/>
      <c r="T183" s="118"/>
      <c r="U183" s="118"/>
      <c r="V183" s="118"/>
    </row>
    <row r="184" outlineLevel="1">
      <c r="A184" s="146"/>
      <c r="B184" s="327" t="s">
        <v>229</v>
      </c>
      <c r="C184" s="328" t="str">
        <f t="array" ref="C184">INDEX('アイテム'!$U$3:$V$114, MATCH($A$1,'アイテム'!$A$3:$A$114,0), MATCH(C172,'アイテム'!$C$2:$AQ$2,0))</f>
        <v>14</v>
      </c>
      <c r="D184" s="328">
        <f t="array" ref="D184">INDEX('アイテム'!$U$3:$V$114, MATCH($A$1,'アイテム'!$A$3:$A$114,0), MATCH(D172,'アイテム'!$C$2:$AQ$2,0))</f>
        <v>24</v>
      </c>
      <c r="E184" s="322"/>
      <c r="F184" s="322"/>
      <c r="G184" s="114"/>
      <c r="H184" s="228"/>
      <c r="I184" s="228"/>
      <c r="J184" s="228"/>
      <c r="K184" s="118"/>
      <c r="L184" s="118"/>
      <c r="M184" s="118"/>
      <c r="N184" s="2313"/>
      <c r="O184" s="2313"/>
      <c r="P184" s="2313"/>
      <c r="Q184" s="2313"/>
      <c r="R184" s="118"/>
      <c r="S184" s="118"/>
      <c r="T184" s="118"/>
      <c r="U184" s="118"/>
      <c r="V184" s="118"/>
    </row>
    <row r="185" outlineLevel="1">
      <c r="A185" s="146"/>
      <c r="B185" s="327" t="s">
        <v>233</v>
      </c>
      <c r="C185" s="328" t="str">
        <f t="array" ref="C185">INDEX('アイテム'!$W$3:$X$114, MATCH($A$1,'アイテム'!$A$3:$A$114,0), MATCH(C172,'アイテム'!$C$2:$AQ$2,0))</f>
        <v>15</v>
      </c>
      <c r="D185" s="328">
        <f t="array" ref="D185">INDEX('アイテム'!$W$3:$X$114, MATCH($A$1,'アイテム'!$A$3:$A$114,0), MATCH(D172,'アイテム'!$C$2:$AQ$2,0))</f>
        <v>23</v>
      </c>
      <c r="E185" s="322"/>
      <c r="F185" s="322"/>
      <c r="G185" s="114"/>
      <c r="H185" s="228"/>
      <c r="I185" s="228"/>
      <c r="J185" s="228"/>
      <c r="K185" s="118"/>
      <c r="L185" s="118"/>
      <c r="M185" s="118"/>
      <c r="N185" s="2313"/>
      <c r="O185" s="2313"/>
      <c r="P185" s="2313"/>
      <c r="Q185" s="2313"/>
      <c r="R185" s="118"/>
      <c r="S185" s="118"/>
      <c r="T185" s="118"/>
      <c r="U185" s="118"/>
      <c r="V185" s="118"/>
    </row>
    <row r="186" outlineLevel="1">
      <c r="A186" s="156"/>
      <c r="B186" s="327" t="s">
        <v>234</v>
      </c>
      <c r="C186" s="328" t="str">
        <f t="array" ref="C186">INDEX('アイテム'!$Y$3:$Z$114, MATCH($A$1,'アイテム'!$A$3:$A$114,0), MATCH(C172,'アイテム'!$C$2:$AQ$2,0))</f>
        <v>8</v>
      </c>
      <c r="D186" s="328">
        <f t="array" ref="D186">INDEX('アイテム'!$Y$3:$Z$114, MATCH($A$1,'アイテム'!$A$3:$A$114,0), MATCH(D172,'アイテム'!$C$2:$AQ$2,0))</f>
        <v>19</v>
      </c>
      <c r="E186" s="322"/>
      <c r="F186" s="322"/>
      <c r="G186" s="114"/>
      <c r="H186" s="228"/>
      <c r="I186" s="228"/>
      <c r="J186" s="228"/>
      <c r="K186" s="118"/>
      <c r="L186" s="118"/>
      <c r="M186" s="118"/>
      <c r="N186" s="2313"/>
      <c r="O186" s="2313"/>
      <c r="P186" s="2313"/>
      <c r="Q186" s="2313"/>
      <c r="R186" s="118"/>
      <c r="S186" s="118"/>
      <c r="T186" s="118"/>
      <c r="U186" s="118"/>
      <c r="V186" s="118"/>
    </row>
    <row r="187" outlineLevel="1">
      <c r="A187" s="326" t="s">
        <v>265</v>
      </c>
      <c r="B187" s="327" t="s">
        <v>226</v>
      </c>
      <c r="C187" s="328">
        <f t="array" ref="C187">INDEX('アイテム'!$AC$3:$AD$114, MATCH($A$1,'アイテム'!$A$3:$A$114,0), MATCH(C172,'アイテム'!$C$2:$AQ$2,0))</f>
        <v>14</v>
      </c>
      <c r="D187" s="328" t="str">
        <f t="array" ref="D187">INDEX('アイテム'!$AC$3:$AD$114, MATCH($A$1,'アイテム'!$A$3:$A$114,0), MATCH(D172,'アイテム'!$C$2:$AQ$2,0))</f>
        <v>30</v>
      </c>
      <c r="E187" s="322"/>
      <c r="F187" s="322"/>
      <c r="G187" s="114"/>
      <c r="H187" s="228"/>
      <c r="I187" s="228"/>
      <c r="J187" s="228"/>
      <c r="K187" s="118"/>
      <c r="L187" s="118"/>
      <c r="M187" s="118"/>
      <c r="N187" s="2313"/>
      <c r="O187" s="2313"/>
      <c r="P187" s="2313"/>
      <c r="Q187" s="2313"/>
      <c r="R187" s="118"/>
      <c r="S187" s="118"/>
      <c r="T187" s="118"/>
      <c r="U187" s="118"/>
      <c r="V187" s="118"/>
    </row>
    <row r="188" outlineLevel="1">
      <c r="A188" s="146"/>
      <c r="B188" s="327" t="s">
        <v>229</v>
      </c>
      <c r="C188" s="328">
        <f t="array" ref="C188">INDEX('アイテム'!$AE$3:$AF$114, MATCH($A$1,'アイテム'!$A$3:$A$114,0), MATCH(C172,'アイテム'!$C$2:$AQ$2,0))</f>
        <v>15</v>
      </c>
      <c r="D188" s="328" t="str">
        <f t="array" ref="D188">INDEX('アイテム'!$AE$3:$AF$114, MATCH($A$1,'アイテム'!$A$3:$A$114,0), MATCH(D172,'アイテム'!$C$2:$AQ$2,0))</f>
        <v>30</v>
      </c>
      <c r="E188" s="322"/>
      <c r="F188" s="322"/>
      <c r="G188" s="114"/>
      <c r="H188" s="228"/>
      <c r="I188" s="228"/>
      <c r="J188" s="228"/>
      <c r="K188" s="118"/>
      <c r="L188" s="118"/>
      <c r="M188" s="118"/>
      <c r="N188" s="2313"/>
      <c r="O188" s="2313"/>
      <c r="P188" s="2313"/>
      <c r="Q188" s="2313"/>
      <c r="R188" s="118"/>
      <c r="S188" s="118"/>
      <c r="T188" s="118"/>
      <c r="U188" s="118"/>
      <c r="V188" s="118"/>
    </row>
    <row r="189" outlineLevel="1">
      <c r="A189" s="146"/>
      <c r="B189" s="327" t="s">
        <v>233</v>
      </c>
      <c r="C189" s="328">
        <f t="array" ref="C189">INDEX('アイテム'!$AG$3:$AH$114, MATCH($A$1,'アイテム'!$A$3:$A$114,0), MATCH(C172,'アイテム'!$C$2:$AQ$2,0))</f>
        <v>11</v>
      </c>
      <c r="D189" s="328" t="str">
        <f t="array" ref="D189">INDEX('アイテム'!$AG$3:$AH$114, MATCH($A$1,'アイテム'!$A$3:$A$114,0), MATCH(D172,'アイテム'!$C$2:$AQ$2,0))</f>
        <v>22</v>
      </c>
      <c r="E189" s="322"/>
      <c r="F189" s="322"/>
      <c r="G189" s="114"/>
      <c r="H189" s="228"/>
      <c r="I189" s="228"/>
      <c r="J189" s="228"/>
      <c r="K189" s="118"/>
      <c r="L189" s="118"/>
      <c r="M189" s="118"/>
      <c r="N189" s="2313"/>
      <c r="O189" s="2313"/>
      <c r="P189" s="2313"/>
      <c r="Q189" s="2313"/>
      <c r="R189" s="118"/>
      <c r="S189" s="118"/>
      <c r="T189" s="118"/>
      <c r="U189" s="118"/>
      <c r="V189" s="118"/>
    </row>
    <row r="190" outlineLevel="1">
      <c r="A190" s="156"/>
      <c r="B190" s="327" t="s">
        <v>234</v>
      </c>
      <c r="C190" s="328">
        <f t="array" ref="C190">INDEX('アイテム'!$AI$3:$AJ$114, MATCH($A$1,'アイテム'!$A$3:$A$114,0), MATCH(C172,'アイテム'!$C$2:$AQ$2,0))</f>
        <v>9</v>
      </c>
      <c r="D190" s="328" t="str">
        <f t="array" ref="D190">INDEX('アイテム'!$AI$3:$AJ$114, MATCH($A$1,'アイテム'!$A$3:$A$114,0), MATCH(D172,'アイテム'!$C$2:$AQ$2,0))</f>
        <v>22</v>
      </c>
      <c r="E190" s="322"/>
      <c r="F190" s="322"/>
      <c r="G190" s="114"/>
      <c r="H190" s="228"/>
      <c r="I190" s="228"/>
      <c r="J190" s="228"/>
      <c r="K190" s="118"/>
      <c r="L190" s="118"/>
      <c r="M190" s="118"/>
      <c r="N190" s="2313"/>
      <c r="O190" s="2313"/>
      <c r="P190" s="2313"/>
      <c r="Q190" s="2313"/>
      <c r="R190" s="118"/>
      <c r="S190" s="118"/>
      <c r="T190" s="118"/>
      <c r="U190" s="118"/>
      <c r="V190" s="118"/>
    </row>
  </sheetData>
  <mergeCells count="197">
    <mergeCell ref="H37:J38"/>
    <mergeCell ref="I43:I45"/>
    <mergeCell ref="J43:J45"/>
    <mergeCell ref="I47:I48"/>
    <mergeCell ref="J47:J48"/>
    <mergeCell ref="I49:I50"/>
    <mergeCell ref="J49:J50"/>
    <mergeCell ref="H53:J53"/>
    <mergeCell ref="H54:J56"/>
    <mergeCell ref="H57:J57"/>
    <mergeCell ref="H58:J61"/>
    <mergeCell ref="H62:J62"/>
    <mergeCell ref="H63:J65"/>
    <mergeCell ref="H66:J66"/>
    <mergeCell ref="H67:J70"/>
    <mergeCell ref="H71:J71"/>
    <mergeCell ref="H72:J75"/>
    <mergeCell ref="H76:J76"/>
    <mergeCell ref="H77:J78"/>
    <mergeCell ref="H79:J79"/>
    <mergeCell ref="H80:J82"/>
    <mergeCell ref="G102:G103"/>
    <mergeCell ref="G104:G105"/>
    <mergeCell ref="H83:J83"/>
    <mergeCell ref="H84:J86"/>
    <mergeCell ref="H87:J87"/>
    <mergeCell ref="H88:J91"/>
    <mergeCell ref="H92:J100"/>
    <mergeCell ref="H101:J101"/>
    <mergeCell ref="H102:J103"/>
    <mergeCell ref="H104:J105"/>
    <mergeCell ref="H106:J106"/>
    <mergeCell ref="H107:J107"/>
    <mergeCell ref="H108:J108"/>
    <mergeCell ref="H109:J115"/>
    <mergeCell ref="G123:J123"/>
    <mergeCell ref="G124:J125"/>
    <mergeCell ref="K152:K155"/>
    <mergeCell ref="K156:L156"/>
    <mergeCell ref="K158:K161"/>
    <mergeCell ref="K162:L162"/>
    <mergeCell ref="K165:L165"/>
    <mergeCell ref="G126:J127"/>
    <mergeCell ref="G128:J129"/>
    <mergeCell ref="G130:J131"/>
    <mergeCell ref="K142:L142"/>
    <mergeCell ref="K143:K144"/>
    <mergeCell ref="K145:L145"/>
    <mergeCell ref="K146:K151"/>
    <mergeCell ref="U63:U65"/>
    <mergeCell ref="V63:V65"/>
    <mergeCell ref="U67:U70"/>
    <mergeCell ref="V67:V70"/>
    <mergeCell ref="U72:U75"/>
    <mergeCell ref="V72:V75"/>
    <mergeCell ref="V77:V78"/>
    <mergeCell ref="U92:U100"/>
    <mergeCell ref="V92:V100"/>
    <mergeCell ref="U102:U105"/>
    <mergeCell ref="V102:V105"/>
    <mergeCell ref="U109:U115"/>
    <mergeCell ref="V109:V115"/>
    <mergeCell ref="U77:U78"/>
    <mergeCell ref="U80:U82"/>
    <mergeCell ref="V80:V82"/>
    <mergeCell ref="U84:U86"/>
    <mergeCell ref="V84:V86"/>
    <mergeCell ref="U88:U91"/>
    <mergeCell ref="V88:V91"/>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1"/>
    <mergeCell ref="H32:J32"/>
    <mergeCell ref="A47:A48"/>
    <mergeCell ref="D47:D48"/>
    <mergeCell ref="A69:A70"/>
    <mergeCell ref="A74:A75"/>
    <mergeCell ref="H33:J33"/>
    <mergeCell ref="H34:J36"/>
    <mergeCell ref="U34:U36"/>
    <mergeCell ref="U37:U38"/>
    <mergeCell ref="R41:V41"/>
    <mergeCell ref="R42:V42"/>
    <mergeCell ref="R43:V45"/>
    <mergeCell ref="R46:V46"/>
    <mergeCell ref="R47:V48"/>
    <mergeCell ref="R49:V50"/>
    <mergeCell ref="U54:U56"/>
    <mergeCell ref="V54:V56"/>
    <mergeCell ref="U58:U61"/>
    <mergeCell ref="V58:V61"/>
    <mergeCell ref="E104:E105"/>
    <mergeCell ref="F104:F105"/>
    <mergeCell ref="A92:A100"/>
    <mergeCell ref="A101:B101"/>
    <mergeCell ref="A102:A105"/>
    <mergeCell ref="C102:C103"/>
    <mergeCell ref="E102:E103"/>
    <mergeCell ref="F102:F103"/>
    <mergeCell ref="C104:C105"/>
    <mergeCell ref="A106:B106"/>
    <mergeCell ref="A108:B108"/>
    <mergeCell ref="A109:A111"/>
    <mergeCell ref="A112:A114"/>
    <mergeCell ref="A117:B118"/>
    <mergeCell ref="A120:A122"/>
    <mergeCell ref="A123:B123"/>
    <mergeCell ref="A124:A125"/>
    <mergeCell ref="A126:A127"/>
    <mergeCell ref="A128:A129"/>
    <mergeCell ref="A130:A131"/>
    <mergeCell ref="A133:B134"/>
    <mergeCell ref="A135:A137"/>
    <mergeCell ref="A141:B142"/>
    <mergeCell ref="C161:C162"/>
    <mergeCell ref="D161:D162"/>
    <mergeCell ref="C155:C156"/>
    <mergeCell ref="C168:C169"/>
    <mergeCell ref="A163:A169"/>
    <mergeCell ref="A171:B171"/>
    <mergeCell ref="A172:B172"/>
    <mergeCell ref="A173:A174"/>
    <mergeCell ref="A176:B176"/>
    <mergeCell ref="A177:A182"/>
    <mergeCell ref="A183:A186"/>
    <mergeCell ref="A187:A190"/>
    <mergeCell ref="A138:A139"/>
    <mergeCell ref="A143:A147"/>
    <mergeCell ref="A148:A150"/>
    <mergeCell ref="A151:A156"/>
    <mergeCell ref="D155:D156"/>
    <mergeCell ref="A157:A162"/>
    <mergeCell ref="D168:D169"/>
    <mergeCell ref="D37:D38"/>
    <mergeCell ref="D43:D45"/>
    <mergeCell ref="A24:B25"/>
    <mergeCell ref="A26:A28"/>
    <mergeCell ref="A34:A36"/>
    <mergeCell ref="D34:D36"/>
    <mergeCell ref="A37:A38"/>
    <mergeCell ref="A40:B41"/>
    <mergeCell ref="A43:A45"/>
    <mergeCell ref="A49:A50"/>
    <mergeCell ref="D49:D50"/>
    <mergeCell ref="A52:B52"/>
    <mergeCell ref="A53:B53"/>
    <mergeCell ref="A54:A56"/>
    <mergeCell ref="A57:B57"/>
    <mergeCell ref="A62:B62"/>
    <mergeCell ref="A58:A61"/>
    <mergeCell ref="A63:A65"/>
    <mergeCell ref="A66:B66"/>
    <mergeCell ref="A67:A68"/>
    <mergeCell ref="A71:B71"/>
    <mergeCell ref="A72:A73"/>
    <mergeCell ref="A76:B76"/>
    <mergeCell ref="A77:A78"/>
    <mergeCell ref="A79:B79"/>
    <mergeCell ref="A80:A82"/>
    <mergeCell ref="A83:B83"/>
    <mergeCell ref="A84:A86"/>
    <mergeCell ref="A87:B87"/>
    <mergeCell ref="A88:A91"/>
    <mergeCell ref="D92:D100"/>
    <mergeCell ref="D109:D111"/>
    <mergeCell ref="D112:D114"/>
    <mergeCell ref="D124:D125"/>
    <mergeCell ref="D126:D127"/>
    <mergeCell ref="D128:D129"/>
    <mergeCell ref="D130:D131"/>
    <mergeCell ref="D54:D56"/>
    <mergeCell ref="D58:D61"/>
    <mergeCell ref="D63:D65"/>
    <mergeCell ref="D77:D78"/>
    <mergeCell ref="D80:D81"/>
    <mergeCell ref="D84:D86"/>
    <mergeCell ref="D88:D91"/>
  </mergeCells>
  <conditionalFormatting sqref="K1:K15 K17:K101 K103:K166">
    <cfRule type="containsText" dxfId="0" priority="1" operator="containsText" text="361">
      <formula>NOT(ISERROR(SEARCH(("361"),(K1))))</formula>
    </cfRule>
  </conditionalFormatting>
  <conditionalFormatting sqref="K1:K15 K17:K101 K103:K166">
    <cfRule type="containsText" dxfId="1" priority="2" operator="containsText" text="363">
      <formula>NOT(ISERROR(SEARCH(("363"),(K1))))</formula>
    </cfRule>
  </conditionalFormatting>
  <conditionalFormatting sqref="K1:K15 K17:K101 K103:K166">
    <cfRule type="containsText" dxfId="1" priority="3" operator="containsText" text="365">
      <formula>NOT(ISERROR(SEARCH(("365"),(K1))))</formula>
    </cfRule>
  </conditionalFormatting>
  <conditionalFormatting sqref="K1:K15 K17:K101 K103:K166">
    <cfRule type="containsText" dxfId="1" priority="4" operator="containsText" text="366">
      <formula>NOT(ISERROR(SEARCH(("366"),(K1))))</formula>
    </cfRule>
  </conditionalFormatting>
  <conditionalFormatting sqref="K1:K15 K17:K101 K103:K166">
    <cfRule type="containsText" dxfId="1" priority="5" operator="containsText" text="367">
      <formula>NOT(ISERROR(SEARCH(("367"),(K1))))</formula>
    </cfRule>
  </conditionalFormatting>
  <conditionalFormatting sqref="P124:P131">
    <cfRule type="cellIs" dxfId="2" priority="6" operator="equal">
      <formula>"敵のみ"</formula>
    </cfRule>
  </conditionalFormatting>
  <conditionalFormatting sqref="C124:C131">
    <cfRule type="cellIs" dxfId="3" priority="7" operator="equal">
      <formula>"-"</formula>
    </cfRule>
  </conditionalFormatting>
  <conditionalFormatting sqref="O1:O101 O103:O190">
    <cfRule type="cellIs" dxfId="4" priority="8" operator="greaterThan">
      <formula>0</formula>
    </cfRule>
  </conditionalFormatting>
  <conditionalFormatting sqref="P1:Q101 P103:Q190">
    <cfRule type="cellIs" dxfId="5" priority="9" operator="lessThan">
      <formula>1</formula>
    </cfRule>
  </conditionalFormatting>
  <conditionalFormatting sqref="P1:Q101 P103:Q190">
    <cfRule type="cellIs" dxfId="4" priority="10" operator="greaterThan">
      <formula>1</formula>
    </cfRule>
  </conditionalFormatting>
  <conditionalFormatting sqref="N25:N101 N103:N131">
    <cfRule type="cellIs" dxfId="6" priority="11" operator="greaterThan">
      <formula>0</formula>
    </cfRule>
  </conditionalFormatting>
  <conditionalFormatting sqref="N1:N15 N17:N101 N103:N190">
    <cfRule type="containsText" dxfId="6" priority="12" operator="containsText" text="/">
      <formula>NOT(ISERROR(SEARCH(("/"),(N1))))</formula>
    </cfRule>
  </conditionalFormatting>
  <drawing r:id="rId2"/>
  <legacyDrawing r:id="rId3"/>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BB253"/>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417">
        <v>53.0</v>
      </c>
      <c r="B1" s="2418"/>
      <c r="C1" s="2419" t="str">
        <f>IMAGE(VLOOKUP($A$1,Fighters!A2:AI114,12,FALSE),1)</f>
        <v>#REF!</v>
      </c>
      <c r="D1" s="2420"/>
      <c r="E1" s="2420"/>
      <c r="F1" s="2420"/>
      <c r="G1" s="2421"/>
      <c r="H1" s="2422"/>
      <c r="I1" s="2420"/>
      <c r="J1" s="2421"/>
      <c r="K1" s="2423"/>
      <c r="L1" s="2420"/>
      <c r="M1" s="2421"/>
      <c r="N1" s="2424"/>
      <c r="O1" s="2424"/>
      <c r="P1" s="2424"/>
      <c r="Q1" s="2424"/>
      <c r="R1" s="2425"/>
      <c r="S1" s="2425"/>
      <c r="T1" s="2425"/>
      <c r="U1" s="2425"/>
      <c r="V1" s="2425"/>
    </row>
    <row r="2">
      <c r="A2" s="2426" t="str">
        <f>VLOOKUP($A$1,Fighters!$A$2:$AI$81,6,FALSE)</f>
        <v>#ebb253</v>
      </c>
      <c r="B2" s="2418"/>
      <c r="C2" s="2427"/>
      <c r="G2" s="2428"/>
      <c r="H2" s="2429"/>
      <c r="I2" s="2430"/>
      <c r="J2" s="2431"/>
      <c r="K2" s="2429"/>
      <c r="L2" s="2430"/>
      <c r="M2" s="2431"/>
      <c r="N2" s="2424"/>
      <c r="O2" s="2424"/>
      <c r="P2" s="2424"/>
      <c r="Q2" s="2424"/>
      <c r="R2" s="2425"/>
      <c r="S2" s="2425"/>
      <c r="T2" s="2425"/>
      <c r="U2" s="2425"/>
      <c r="V2" s="2425"/>
    </row>
    <row r="3">
      <c r="A3" s="2426" t="str">
        <f>VLOOKUP($A$1,Fighters!$A$2:$AI$81,14,FALSE)</f>
        <v>53. 射撃Mii</v>
      </c>
      <c r="B3" s="2418"/>
      <c r="C3" s="2427"/>
      <c r="G3" s="2428"/>
      <c r="H3" s="2432"/>
      <c r="I3" s="2432"/>
      <c r="J3" s="2432"/>
      <c r="K3" s="2433"/>
      <c r="L3" s="2433"/>
      <c r="M3" s="2433"/>
      <c r="N3" s="2424"/>
      <c r="O3" s="2424"/>
      <c r="P3" s="2424"/>
      <c r="Q3" s="2424"/>
      <c r="R3" s="2434"/>
      <c r="S3" s="2425"/>
      <c r="T3" s="2425"/>
      <c r="U3" s="2425"/>
      <c r="V3" s="2425"/>
    </row>
    <row r="4">
      <c r="A4" s="2426" t="str">
        <f>VLOOKUP($A$1,Fighters!$A$2:$AI$81,13,FALSE)</f>
        <v>1</v>
      </c>
      <c r="B4" s="2418"/>
      <c r="C4" s="2427"/>
      <c r="G4" s="2428"/>
      <c r="H4" s="2435"/>
      <c r="I4" s="2435"/>
      <c r="J4" s="2432"/>
      <c r="K4" s="2433"/>
      <c r="L4" s="2433"/>
      <c r="M4" s="2433"/>
      <c r="N4" s="2424"/>
      <c r="O4" s="2424"/>
      <c r="P4" s="2424"/>
      <c r="Q4" s="2424"/>
      <c r="R4" s="2434"/>
      <c r="S4" s="2425"/>
      <c r="T4" s="2425"/>
      <c r="U4" s="2425"/>
      <c r="V4" s="2425"/>
    </row>
    <row r="5" ht="16.5" customHeight="1">
      <c r="A5" s="2417"/>
      <c r="B5" s="2418"/>
      <c r="C5" s="2427"/>
      <c r="G5" s="2428"/>
      <c r="H5" s="2436"/>
      <c r="I5" s="2436"/>
      <c r="J5" s="2437"/>
      <c r="K5" s="2438"/>
      <c r="L5" s="2439"/>
      <c r="M5" s="2439"/>
      <c r="N5" s="2424"/>
      <c r="O5" s="2424"/>
      <c r="P5" s="2424"/>
      <c r="Q5" s="2424"/>
      <c r="R5" s="2434"/>
      <c r="S5" s="2425"/>
      <c r="T5" s="2425"/>
      <c r="U5" s="2425"/>
      <c r="V5" s="2425"/>
    </row>
    <row r="6">
      <c r="A6" s="2418"/>
      <c r="B6" s="2418"/>
      <c r="C6" s="2427"/>
      <c r="G6" s="2428"/>
      <c r="H6" s="2435"/>
      <c r="I6" s="2440" t="s">
        <v>39</v>
      </c>
      <c r="J6" s="2438"/>
      <c r="K6" s="2441"/>
      <c r="L6" s="2439"/>
      <c r="M6" s="2439"/>
      <c r="N6" s="2424"/>
      <c r="O6" s="2424"/>
      <c r="P6" s="2424"/>
      <c r="Q6" s="2424"/>
      <c r="R6" s="2434"/>
      <c r="S6" s="2425"/>
      <c r="T6" s="2425"/>
      <c r="U6" s="2425"/>
      <c r="V6" s="2425"/>
    </row>
    <row r="7">
      <c r="A7" s="2418"/>
      <c r="B7" s="2418"/>
      <c r="C7" s="2427"/>
      <c r="G7" s="2428"/>
      <c r="H7" s="2436"/>
      <c r="I7" s="2436"/>
      <c r="J7" s="2438"/>
      <c r="K7" s="2441"/>
      <c r="L7" s="2439"/>
      <c r="M7" s="2439"/>
      <c r="N7" s="2424"/>
      <c r="O7" s="2424"/>
      <c r="P7" s="2424"/>
      <c r="Q7" s="2424"/>
      <c r="R7" s="2434"/>
      <c r="S7" s="2425"/>
      <c r="T7" s="2425"/>
      <c r="U7" s="2425"/>
      <c r="V7" s="2425"/>
    </row>
    <row r="8">
      <c r="A8" s="2418"/>
      <c r="B8" s="2418"/>
      <c r="C8" s="2427"/>
      <c r="G8" s="2428"/>
      <c r="H8" s="2442">
        <v>44382.63336694444</v>
      </c>
      <c r="I8" s="2420"/>
      <c r="J8" s="2421"/>
      <c r="K8" s="2438"/>
      <c r="L8" s="2439"/>
      <c r="M8" s="2439"/>
      <c r="N8" s="2424"/>
      <c r="O8" s="2424"/>
      <c r="P8" s="2424"/>
      <c r="Q8" s="2424"/>
      <c r="R8" s="2434"/>
      <c r="S8" s="2425"/>
      <c r="T8" s="2425"/>
      <c r="U8" s="2425"/>
      <c r="V8" s="2425"/>
    </row>
    <row r="9">
      <c r="A9" s="2418"/>
      <c r="B9" s="2418"/>
      <c r="C9" s="2427"/>
      <c r="G9" s="2428"/>
      <c r="H9" s="2429"/>
      <c r="I9" s="2430"/>
      <c r="J9" s="2431"/>
      <c r="K9" s="2425"/>
      <c r="L9" s="2424"/>
      <c r="M9" s="2424"/>
      <c r="N9" s="2424"/>
      <c r="O9" s="2424"/>
      <c r="P9" s="2424"/>
      <c r="Q9" s="2424"/>
      <c r="R9" s="2434"/>
      <c r="S9" s="2425"/>
      <c r="T9" s="2425"/>
      <c r="U9" s="2425"/>
      <c r="V9" s="2425"/>
    </row>
    <row r="10">
      <c r="A10" s="2418"/>
      <c r="B10" s="2418"/>
      <c r="C10" s="2427"/>
      <c r="G10" s="2428"/>
      <c r="H10" s="2443"/>
      <c r="I10" s="2443"/>
      <c r="J10" s="2425"/>
      <c r="K10" s="2425"/>
      <c r="L10" s="2424"/>
      <c r="M10" s="2424"/>
      <c r="N10" s="2424"/>
      <c r="O10" s="2424"/>
      <c r="P10" s="2424"/>
      <c r="Q10" s="2424"/>
      <c r="R10" s="2434"/>
      <c r="S10" s="2425"/>
      <c r="T10" s="2425"/>
      <c r="U10" s="2425"/>
      <c r="V10" s="2425"/>
    </row>
    <row r="11">
      <c r="A11" s="2444" t="s">
        <v>40</v>
      </c>
      <c r="B11" s="2421"/>
      <c r="C11" s="2427"/>
      <c r="G11" s="2428"/>
      <c r="H11" s="2436"/>
      <c r="I11" s="2436"/>
      <c r="J11" s="2425"/>
      <c r="K11" s="2425"/>
      <c r="L11" s="2424"/>
      <c r="M11" s="2424"/>
      <c r="N11" s="2424"/>
      <c r="O11" s="2424"/>
      <c r="P11" s="2424"/>
      <c r="Q11" s="2424"/>
      <c r="R11" s="2434"/>
      <c r="S11" s="2425"/>
      <c r="T11" s="2425"/>
      <c r="U11" s="2425"/>
      <c r="V11" s="2425"/>
    </row>
    <row r="12">
      <c r="A12" s="2429"/>
      <c r="B12" s="2431"/>
      <c r="C12" s="2429"/>
      <c r="D12" s="2430"/>
      <c r="E12" s="2430"/>
      <c r="F12" s="2430"/>
      <c r="G12" s="2431"/>
      <c r="H12" s="2445"/>
      <c r="I12" s="2445"/>
      <c r="J12" s="2418"/>
      <c r="K12" s="2418"/>
      <c r="L12" s="2424"/>
      <c r="M12" s="2424"/>
      <c r="N12" s="2424"/>
      <c r="O12" s="2424"/>
      <c r="P12" s="2424"/>
      <c r="Q12" s="2424"/>
      <c r="R12" s="2434"/>
      <c r="S12" s="2425"/>
      <c r="T12" s="2425"/>
      <c r="U12" s="2425"/>
      <c r="V12" s="2425"/>
    </row>
    <row r="13">
      <c r="A13" s="88"/>
      <c r="B13" s="89"/>
      <c r="C13" s="89"/>
      <c r="D13" s="90"/>
      <c r="E13" s="90"/>
      <c r="F13" s="90"/>
      <c r="G13" s="2309"/>
      <c r="H13" s="2309"/>
      <c r="I13" s="92"/>
      <c r="J13" s="88"/>
      <c r="K13" s="90"/>
      <c r="L13" s="2310"/>
      <c r="M13" s="2310"/>
      <c r="N13" s="2310"/>
      <c r="O13" s="2310"/>
      <c r="P13" s="2310"/>
      <c r="Q13" s="2310"/>
      <c r="R13" s="2309"/>
      <c r="S13" s="88"/>
      <c r="T13" s="88"/>
      <c r="U13" s="88"/>
      <c r="V13" s="88"/>
    </row>
    <row r="14">
      <c r="A14" s="94"/>
      <c r="B14" s="95"/>
      <c r="C14" s="95"/>
      <c r="D14" s="96"/>
      <c r="E14" s="96"/>
      <c r="F14" s="96"/>
      <c r="G14" s="2311"/>
      <c r="H14" s="2312"/>
      <c r="I14" s="99"/>
      <c r="J14" s="100"/>
      <c r="K14" s="101"/>
      <c r="L14" s="2313"/>
      <c r="M14" s="2313"/>
      <c r="N14" s="2313"/>
      <c r="O14" s="2313"/>
      <c r="P14" s="2313"/>
      <c r="Q14" s="2313"/>
      <c r="R14" s="2312"/>
      <c r="S14" s="100"/>
      <c r="T14" s="100"/>
      <c r="U14" s="100"/>
      <c r="V14" s="100"/>
    </row>
    <row r="15">
      <c r="A15" s="103" t="str">
        <f>'テンプレート'!A15</f>
        <v>行動フレーム・能力値</v>
      </c>
      <c r="B15" s="104"/>
      <c r="C15" s="101"/>
      <c r="D15" s="101"/>
      <c r="E15" s="101"/>
      <c r="F15" s="101"/>
      <c r="G15" s="2312"/>
      <c r="H15" s="2312"/>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104 [22nd]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1.63 [85th]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2314"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 [56th]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49F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30.9 [60th]</v>
      </c>
      <c r="O18" s="99"/>
      <c r="P18" s="99"/>
      <c r="Q18" s="99"/>
      <c r="R18" s="99"/>
      <c r="S18" s="111"/>
      <c r="T18" s="111"/>
      <c r="U18" s="111"/>
      <c r="V18" s="111"/>
    </row>
    <row r="19" outlineLevel="1">
      <c r="A19" s="112" t="str">
        <f>'テンプレート'!A19</f>
        <v>カベジャンプ</v>
      </c>
      <c r="B19" s="2314"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1.37 [85th]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0.076 [88th]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14.6 [65th]</v>
      </c>
      <c r="O19" s="99"/>
      <c r="P19" s="99"/>
      <c r="Q19" s="99"/>
      <c r="R19" s="99"/>
      <c r="S19" s="111"/>
      <c r="T19" s="111"/>
      <c r="U19" s="111"/>
      <c r="V19" s="111"/>
    </row>
    <row r="20" outlineLevel="1">
      <c r="A20" s="112" t="str">
        <f>'テンプレート'!A20</f>
        <v>カベ張りつき</v>
      </c>
      <c r="B20" s="2314"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8F [3rd]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0.93 [74th]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0.053 [68th]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32.3 [53rd]</v>
      </c>
      <c r="O20" s="99"/>
      <c r="P20" s="99"/>
      <c r="Q20" s="99"/>
      <c r="R20" s="99"/>
      <c r="S20" s="100"/>
      <c r="T20" s="100"/>
      <c r="U20" s="100"/>
      <c r="V20" s="100"/>
    </row>
    <row r="21" outlineLevel="1">
      <c r="A21" s="112" t="str">
        <f>'テンプレート'!A21</f>
        <v>空中ワイヤー</v>
      </c>
      <c r="B21" s="2314"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1.45 [65th]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0.012 [33rd]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2.32 [63rd]</v>
      </c>
      <c r="G22" s="2312"/>
      <c r="H22" s="2312"/>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0.098 [34th]</v>
      </c>
      <c r="M22" s="100"/>
      <c r="N22" s="117"/>
      <c r="O22" s="99"/>
      <c r="P22" s="99"/>
      <c r="Q22" s="99"/>
      <c r="R22" s="99"/>
      <c r="S22" s="100"/>
      <c r="T22" s="100"/>
      <c r="U22" s="100"/>
      <c r="V22" s="100"/>
    </row>
    <row r="23">
      <c r="A23" s="101"/>
      <c r="B23" s="101"/>
      <c r="C23" s="101"/>
      <c r="D23" s="101"/>
      <c r="E23" s="101"/>
      <c r="F23" s="101"/>
      <c r="G23" s="2312"/>
      <c r="H23" s="2312"/>
      <c r="I23" s="114"/>
      <c r="J23" s="101"/>
      <c r="K23" s="118"/>
      <c r="L23" s="114"/>
      <c r="M23" s="100"/>
      <c r="N23" s="117"/>
      <c r="O23" s="99"/>
      <c r="P23" s="99"/>
      <c r="Q23" s="99"/>
      <c r="R23" s="99"/>
      <c r="S23" s="100"/>
      <c r="T23" s="100"/>
      <c r="U23" s="100"/>
      <c r="V23" s="100"/>
    </row>
    <row r="24">
      <c r="A24" s="2316" t="s">
        <v>47</v>
      </c>
      <c r="B24" s="104"/>
      <c r="C24" s="2317"/>
      <c r="D24" s="2318"/>
      <c r="E24" s="2318"/>
      <c r="F24" s="2319"/>
      <c r="G24" s="2320"/>
      <c r="H24" s="2318"/>
      <c r="I24" s="2318"/>
      <c r="J24" s="2318"/>
      <c r="K24" s="2318"/>
      <c r="L24" s="2321"/>
      <c r="M24" s="2321"/>
      <c r="N24" s="2322"/>
      <c r="O24" s="2322"/>
      <c r="P24" s="2322"/>
      <c r="Q24" s="2323"/>
      <c r="R24" s="2321"/>
      <c r="S24" s="2321"/>
      <c r="T24" s="2321"/>
      <c r="U24" s="2321"/>
      <c r="V24" s="124"/>
    </row>
    <row r="25" outlineLevel="1">
      <c r="A25" s="106"/>
      <c r="B25" s="107"/>
      <c r="C25" s="2324" t="s">
        <v>48</v>
      </c>
      <c r="D25" s="2325" t="s">
        <v>49</v>
      </c>
      <c r="E25" s="2325" t="s">
        <v>50</v>
      </c>
      <c r="F25" s="2326" t="s">
        <v>51</v>
      </c>
      <c r="G25" s="2325" t="s">
        <v>52</v>
      </c>
      <c r="H25" s="2327" t="str">
        <f>'テンプレート'!H25</f>
        <v>備考</v>
      </c>
      <c r="I25" s="110"/>
      <c r="J25" s="109"/>
      <c r="K25" s="2328" t="str">
        <f>'テンプレート'!K25</f>
        <v>ベクトル</v>
      </c>
      <c r="L25" s="2328" t="str">
        <f>'テンプレート'!L25</f>
        <v>KBG (R.E.)</v>
      </c>
      <c r="M25" s="2328" t="str">
        <f>'テンプレート'!M25</f>
        <v>BKB (R.A.)</v>
      </c>
      <c r="N25" s="2328" t="str">
        <f>'テンプレート'!N25</f>
        <v>FKB (R.F.)</v>
      </c>
      <c r="O25" s="2329" t="str">
        <f>'テンプレート'!O25</f>
        <v>盾削り値</v>
      </c>
      <c r="P25" s="2328" t="str">
        <f>'テンプレート'!P25</f>
        <v>ﾋｯﾄｽﾄｯﾌﾟ</v>
      </c>
      <c r="Q25" s="2329" t="str">
        <f>'テンプレート'!Q25</f>
        <v>ずらし</v>
      </c>
      <c r="R25" s="2330"/>
      <c r="S25" s="2330"/>
      <c r="T25" s="2330"/>
      <c r="U25" s="2324" t="s">
        <v>54</v>
      </c>
      <c r="V25" s="100"/>
    </row>
    <row r="26" outlineLevel="1">
      <c r="A26" s="2331" t="s">
        <v>266</v>
      </c>
      <c r="B26" s="2332" t="s">
        <v>55</v>
      </c>
      <c r="C26" s="2333" t="s">
        <v>267</v>
      </c>
      <c r="D26" s="2333" t="s">
        <v>3409</v>
      </c>
      <c r="E26" s="2333" t="s">
        <v>66</v>
      </c>
      <c r="F26" s="2334">
        <v>2.04</v>
      </c>
      <c r="G26" s="2333" t="s">
        <v>60</v>
      </c>
      <c r="H26" s="140" t="s">
        <v>3818</v>
      </c>
      <c r="I26" s="110"/>
      <c r="J26" s="109"/>
      <c r="K26" s="138"/>
      <c r="L26" s="282"/>
      <c r="M26" s="363"/>
      <c r="N26" s="363"/>
      <c r="O26" s="145">
        <v>0.0</v>
      </c>
      <c r="P26" s="145">
        <v>1.0</v>
      </c>
      <c r="Q26" s="145">
        <v>1.0</v>
      </c>
      <c r="R26" s="100"/>
      <c r="S26" s="100"/>
      <c r="T26" s="100"/>
      <c r="U26" s="145" t="s">
        <v>69</v>
      </c>
      <c r="V26" s="100"/>
    </row>
    <row r="27" outlineLevel="1">
      <c r="A27" s="146"/>
      <c r="B27" s="2335" t="s">
        <v>63</v>
      </c>
      <c r="C27" s="2336" t="s">
        <v>717</v>
      </c>
      <c r="D27" s="2336" t="s">
        <v>92</v>
      </c>
      <c r="E27" s="2336" t="s">
        <v>700</v>
      </c>
      <c r="F27" s="2334">
        <v>2.16</v>
      </c>
      <c r="G27" s="2333" t="s">
        <v>60</v>
      </c>
      <c r="H27" s="140" t="s">
        <v>3819</v>
      </c>
      <c r="I27" s="110"/>
      <c r="J27" s="109"/>
      <c r="K27" s="282"/>
      <c r="L27" s="282"/>
      <c r="M27" s="363"/>
      <c r="N27" s="363"/>
      <c r="O27" s="145">
        <v>0.0</v>
      </c>
      <c r="P27" s="145">
        <v>1.0</v>
      </c>
      <c r="Q27" s="145">
        <v>1.0</v>
      </c>
      <c r="R27" s="100"/>
      <c r="S27" s="100"/>
      <c r="T27" s="100"/>
      <c r="U27" s="145" t="s">
        <v>76</v>
      </c>
      <c r="V27" s="100"/>
    </row>
    <row r="28" outlineLevel="1">
      <c r="A28" s="146"/>
      <c r="B28" s="2335" t="s">
        <v>3820</v>
      </c>
      <c r="C28" s="2336" t="s">
        <v>217</v>
      </c>
      <c r="D28" s="2342" t="s">
        <v>79</v>
      </c>
      <c r="E28" s="2336" t="s">
        <v>213</v>
      </c>
      <c r="F28" s="2334">
        <v>1.2</v>
      </c>
      <c r="G28" s="2333" t="s">
        <v>170</v>
      </c>
      <c r="H28" s="368"/>
      <c r="I28" s="164"/>
      <c r="J28" s="104"/>
      <c r="K28" s="282"/>
      <c r="L28" s="282"/>
      <c r="M28" s="363"/>
      <c r="N28" s="363"/>
      <c r="O28" s="145">
        <v>0.0</v>
      </c>
      <c r="P28" s="145">
        <v>1.0</v>
      </c>
      <c r="Q28" s="145">
        <v>1.0</v>
      </c>
      <c r="R28" s="100"/>
      <c r="S28" s="100"/>
      <c r="T28" s="100"/>
      <c r="U28" s="166" t="s">
        <v>76</v>
      </c>
      <c r="V28" s="100"/>
    </row>
    <row r="29" outlineLevel="1">
      <c r="A29" s="156"/>
      <c r="B29" s="2335" t="s">
        <v>3821</v>
      </c>
      <c r="C29" s="2336" t="s">
        <v>373</v>
      </c>
      <c r="D29" s="107"/>
      <c r="E29" s="2336" t="s">
        <v>1438</v>
      </c>
      <c r="F29" s="2334">
        <v>5.3999999999999995</v>
      </c>
      <c r="G29" s="2333" t="s">
        <v>75</v>
      </c>
      <c r="H29" s="106"/>
      <c r="I29" s="168"/>
      <c r="J29" s="107"/>
      <c r="K29" s="282"/>
      <c r="L29" s="282"/>
      <c r="M29" s="363"/>
      <c r="N29" s="363"/>
      <c r="O29" s="145">
        <v>0.0</v>
      </c>
      <c r="P29" s="145">
        <v>1.0</v>
      </c>
      <c r="Q29" s="145">
        <v>1.0</v>
      </c>
      <c r="R29" s="100"/>
      <c r="S29" s="100"/>
      <c r="T29" s="100"/>
      <c r="U29" s="156"/>
      <c r="V29" s="100"/>
    </row>
    <row r="30" outlineLevel="1">
      <c r="A30" s="2343" t="s">
        <v>77</v>
      </c>
      <c r="B30" s="2341"/>
      <c r="C30" s="2336" t="s">
        <v>1290</v>
      </c>
      <c r="D30" s="2336" t="s">
        <v>146</v>
      </c>
      <c r="E30" s="2336" t="s">
        <v>232</v>
      </c>
      <c r="F30" s="2334">
        <v>13.2</v>
      </c>
      <c r="G30" s="2446" t="s">
        <v>1187</v>
      </c>
      <c r="H30" s="151" t="s">
        <v>1433</v>
      </c>
      <c r="I30" s="110"/>
      <c r="J30" s="109"/>
      <c r="K30" s="138"/>
      <c r="L30" s="282"/>
      <c r="M30" s="363"/>
      <c r="N30" s="363"/>
      <c r="O30" s="145">
        <v>0.0</v>
      </c>
      <c r="P30" s="145">
        <v>1.0</v>
      </c>
      <c r="Q30" s="145">
        <v>1.0</v>
      </c>
      <c r="R30" s="100"/>
      <c r="S30" s="100"/>
      <c r="T30" s="100"/>
      <c r="U30" s="145" t="s">
        <v>69</v>
      </c>
      <c r="V30" s="100"/>
    </row>
    <row r="31" outlineLevel="1">
      <c r="A31" s="2331" t="s">
        <v>89</v>
      </c>
      <c r="B31" s="2335"/>
      <c r="C31" s="2336" t="s">
        <v>319</v>
      </c>
      <c r="D31" s="2342" t="s">
        <v>72</v>
      </c>
      <c r="E31" s="2336" t="s">
        <v>228</v>
      </c>
      <c r="F31" s="2334">
        <v>15.6</v>
      </c>
      <c r="G31" s="2333" t="s">
        <v>407</v>
      </c>
      <c r="H31" s="456"/>
      <c r="I31" s="164"/>
      <c r="J31" s="104"/>
      <c r="K31" s="138"/>
      <c r="L31" s="282"/>
      <c r="M31" s="363"/>
      <c r="N31" s="363"/>
      <c r="O31" s="145">
        <v>0.0</v>
      </c>
      <c r="P31" s="145">
        <v>1.0</v>
      </c>
      <c r="Q31" s="145">
        <v>1.0</v>
      </c>
      <c r="R31" s="100"/>
      <c r="S31" s="100"/>
      <c r="T31" s="100"/>
      <c r="U31" s="166" t="s">
        <v>62</v>
      </c>
      <c r="V31" s="100"/>
    </row>
    <row r="32" outlineLevel="1">
      <c r="A32" s="146"/>
      <c r="B32" s="2335" t="s">
        <v>187</v>
      </c>
      <c r="C32" s="2336" t="s">
        <v>220</v>
      </c>
      <c r="D32" s="210"/>
      <c r="E32" s="2336" t="s">
        <v>159</v>
      </c>
      <c r="F32" s="2334">
        <v>12.6</v>
      </c>
      <c r="G32" s="2333" t="s">
        <v>121</v>
      </c>
      <c r="H32" s="212"/>
      <c r="J32" s="210"/>
      <c r="K32" s="138"/>
      <c r="L32" s="282"/>
      <c r="M32" s="363"/>
      <c r="N32" s="363"/>
      <c r="O32" s="145">
        <v>0.0</v>
      </c>
      <c r="P32" s="145">
        <v>1.0</v>
      </c>
      <c r="Q32" s="145">
        <v>1.0</v>
      </c>
      <c r="R32" s="100"/>
      <c r="S32" s="100"/>
      <c r="T32" s="100"/>
      <c r="U32" s="146"/>
      <c r="V32" s="100"/>
    </row>
    <row r="33" outlineLevel="1">
      <c r="A33" s="156"/>
      <c r="B33" s="2335" t="s">
        <v>189</v>
      </c>
      <c r="C33" s="2336" t="s">
        <v>299</v>
      </c>
      <c r="D33" s="107"/>
      <c r="E33" s="2336" t="s">
        <v>80</v>
      </c>
      <c r="F33" s="2334">
        <v>9.6</v>
      </c>
      <c r="G33" s="2333" t="s">
        <v>123</v>
      </c>
      <c r="H33" s="106"/>
      <c r="I33" s="168"/>
      <c r="J33" s="107"/>
      <c r="K33" s="138"/>
      <c r="L33" s="282"/>
      <c r="M33" s="363"/>
      <c r="N33" s="363"/>
      <c r="O33" s="145">
        <v>0.0</v>
      </c>
      <c r="P33" s="145">
        <v>1.0</v>
      </c>
      <c r="Q33" s="145">
        <v>1.0</v>
      </c>
      <c r="R33" s="100"/>
      <c r="S33" s="100"/>
      <c r="T33" s="100"/>
      <c r="U33" s="156"/>
      <c r="V33" s="100"/>
    </row>
    <row r="34" outlineLevel="1">
      <c r="A34" s="2331" t="s">
        <v>97</v>
      </c>
      <c r="B34" s="2341"/>
      <c r="C34" s="2336" t="s">
        <v>150</v>
      </c>
      <c r="D34" s="2342" t="s">
        <v>79</v>
      </c>
      <c r="E34" s="2336" t="s">
        <v>1129</v>
      </c>
      <c r="F34" s="2334" t="s">
        <v>1130</v>
      </c>
      <c r="G34" s="2333" t="s">
        <v>2449</v>
      </c>
      <c r="H34" s="456"/>
      <c r="I34" s="164"/>
      <c r="J34" s="104"/>
      <c r="K34" s="282"/>
      <c r="L34" s="282"/>
      <c r="M34" s="363"/>
      <c r="N34" s="363"/>
      <c r="O34" s="145">
        <v>0.0</v>
      </c>
      <c r="P34" s="145">
        <v>1.0</v>
      </c>
      <c r="Q34" s="145">
        <v>1.0</v>
      </c>
      <c r="R34" s="100"/>
      <c r="S34" s="100"/>
      <c r="T34" s="100"/>
      <c r="U34" s="166" t="s">
        <v>62</v>
      </c>
      <c r="V34" s="100"/>
    </row>
    <row r="35" outlineLevel="1">
      <c r="A35" s="146"/>
      <c r="B35" s="2335" t="s">
        <v>187</v>
      </c>
      <c r="C35" s="2336" t="s">
        <v>217</v>
      </c>
      <c r="D35" s="210"/>
      <c r="E35" s="2336" t="s">
        <v>128</v>
      </c>
      <c r="F35" s="2334">
        <v>12.0</v>
      </c>
      <c r="G35" s="2333" t="s">
        <v>121</v>
      </c>
      <c r="H35" s="212"/>
      <c r="J35" s="210"/>
      <c r="K35" s="145"/>
      <c r="L35" s="363"/>
      <c r="M35" s="363"/>
      <c r="N35" s="363"/>
      <c r="O35" s="145"/>
      <c r="P35" s="145"/>
      <c r="Q35" s="145"/>
      <c r="R35" s="100"/>
      <c r="S35" s="100"/>
      <c r="T35" s="100"/>
      <c r="U35" s="146"/>
      <c r="V35" s="100"/>
    </row>
    <row r="36" outlineLevel="1">
      <c r="A36" s="156"/>
      <c r="B36" s="2335" t="s">
        <v>189</v>
      </c>
      <c r="C36" s="2336" t="s">
        <v>518</v>
      </c>
      <c r="D36" s="107"/>
      <c r="E36" s="2336" t="s">
        <v>80</v>
      </c>
      <c r="F36" s="2334">
        <v>9.6</v>
      </c>
      <c r="G36" s="2333" t="s">
        <v>123</v>
      </c>
      <c r="H36" s="106"/>
      <c r="I36" s="168"/>
      <c r="J36" s="107"/>
      <c r="K36" s="145"/>
      <c r="L36" s="363"/>
      <c r="M36" s="363"/>
      <c r="N36" s="363"/>
      <c r="O36" s="145">
        <v>0.0</v>
      </c>
      <c r="P36" s="145">
        <v>1.0</v>
      </c>
      <c r="Q36" s="145">
        <v>1.0</v>
      </c>
      <c r="R36" s="100"/>
      <c r="S36" s="100"/>
      <c r="T36" s="100"/>
      <c r="U36" s="156"/>
      <c r="V36" s="100"/>
    </row>
    <row r="37" outlineLevel="1">
      <c r="A37" s="2343" t="s">
        <v>103</v>
      </c>
      <c r="B37" s="2341"/>
      <c r="C37" s="2336" t="s">
        <v>161</v>
      </c>
      <c r="D37" s="2336" t="s">
        <v>628</v>
      </c>
      <c r="E37" s="2336" t="s">
        <v>119</v>
      </c>
      <c r="F37" s="2334">
        <v>16.8</v>
      </c>
      <c r="G37" s="2333" t="s">
        <v>297</v>
      </c>
      <c r="H37" s="159"/>
      <c r="I37" s="110"/>
      <c r="J37" s="109"/>
      <c r="K37" s="145"/>
      <c r="L37" s="363"/>
      <c r="M37" s="363"/>
      <c r="N37" s="363"/>
      <c r="O37" s="145">
        <v>0.0</v>
      </c>
      <c r="P37" s="145">
        <v>1.0</v>
      </c>
      <c r="Q37" s="145">
        <v>1.0</v>
      </c>
      <c r="R37" s="100"/>
      <c r="S37" s="100"/>
      <c r="T37" s="100"/>
      <c r="U37" s="145" t="s">
        <v>62</v>
      </c>
      <c r="V37" s="100"/>
    </row>
    <row r="38" outlineLevel="1">
      <c r="A38" s="2331" t="s">
        <v>109</v>
      </c>
      <c r="B38" s="2335" t="s">
        <v>199</v>
      </c>
      <c r="C38" s="2336" t="s">
        <v>3822</v>
      </c>
      <c r="D38" s="2342" t="s">
        <v>428</v>
      </c>
      <c r="E38" s="2336" t="s">
        <v>700</v>
      </c>
      <c r="F38" s="2334">
        <v>2.16</v>
      </c>
      <c r="G38" s="2333" t="s">
        <v>60</v>
      </c>
      <c r="H38" s="163" t="s">
        <v>3823</v>
      </c>
      <c r="I38" s="164"/>
      <c r="J38" s="104"/>
      <c r="K38" s="282"/>
      <c r="L38" s="282"/>
      <c r="M38" s="363"/>
      <c r="N38" s="363"/>
      <c r="O38" s="145">
        <v>0.0</v>
      </c>
      <c r="P38" s="145">
        <v>0.66</v>
      </c>
      <c r="Q38" s="145">
        <v>0.7</v>
      </c>
      <c r="R38" s="100"/>
      <c r="S38" s="100"/>
      <c r="T38" s="100"/>
      <c r="U38" s="166" t="s">
        <v>95</v>
      </c>
      <c r="V38" s="100"/>
    </row>
    <row r="39" outlineLevel="1">
      <c r="A39" s="156"/>
      <c r="B39" s="2335" t="s">
        <v>202</v>
      </c>
      <c r="C39" s="2336" t="s">
        <v>628</v>
      </c>
      <c r="D39" s="107"/>
      <c r="E39" s="2336" t="s">
        <v>1665</v>
      </c>
      <c r="F39" s="2334">
        <v>9.0</v>
      </c>
      <c r="G39" s="2333" t="s">
        <v>102</v>
      </c>
      <c r="H39" s="106"/>
      <c r="I39" s="168"/>
      <c r="J39" s="107"/>
      <c r="K39" s="282"/>
      <c r="L39" s="282"/>
      <c r="M39" s="363"/>
      <c r="N39" s="363"/>
      <c r="O39" s="145">
        <v>0.0</v>
      </c>
      <c r="P39" s="145">
        <v>3.0</v>
      </c>
      <c r="Q39" s="145">
        <v>0.0</v>
      </c>
      <c r="R39" s="100"/>
      <c r="S39" s="100"/>
      <c r="T39" s="100"/>
      <c r="U39" s="156"/>
      <c r="V39" s="100"/>
    </row>
    <row r="40" outlineLevel="1">
      <c r="A40" s="2331" t="s">
        <v>116</v>
      </c>
      <c r="B40" s="2335" t="s">
        <v>125</v>
      </c>
      <c r="C40" s="2336" t="s">
        <v>299</v>
      </c>
      <c r="D40" s="2342" t="s">
        <v>300</v>
      </c>
      <c r="E40" s="2336" t="s">
        <v>204</v>
      </c>
      <c r="F40" s="2334">
        <v>3.5999999999999996</v>
      </c>
      <c r="G40" s="2333" t="s">
        <v>60</v>
      </c>
      <c r="H40" s="163" t="s">
        <v>1379</v>
      </c>
      <c r="I40" s="164"/>
      <c r="J40" s="104"/>
      <c r="K40" s="363"/>
      <c r="L40" s="363"/>
      <c r="M40" s="363"/>
      <c r="N40" s="363"/>
      <c r="O40" s="145">
        <v>0.0</v>
      </c>
      <c r="P40" s="145">
        <v>1.0</v>
      </c>
      <c r="Q40" s="145">
        <v>1.2</v>
      </c>
      <c r="R40" s="100"/>
      <c r="S40" s="100"/>
      <c r="T40" s="100"/>
      <c r="U40" s="166" t="s">
        <v>62</v>
      </c>
      <c r="V40" s="100"/>
    </row>
    <row r="41" outlineLevel="1">
      <c r="A41" s="146"/>
      <c r="B41" s="2335" t="s">
        <v>131</v>
      </c>
      <c r="C41" s="2336" t="s">
        <v>561</v>
      </c>
      <c r="D41" s="210"/>
      <c r="E41" s="2336" t="s">
        <v>535</v>
      </c>
      <c r="F41" s="2334">
        <v>3.0</v>
      </c>
      <c r="G41" s="2333" t="s">
        <v>60</v>
      </c>
      <c r="H41" s="212"/>
      <c r="J41" s="210"/>
      <c r="K41" s="363"/>
      <c r="L41" s="363"/>
      <c r="M41" s="363"/>
      <c r="N41" s="363"/>
      <c r="O41" s="145">
        <v>0.0</v>
      </c>
      <c r="P41" s="145">
        <v>1.0</v>
      </c>
      <c r="Q41" s="145">
        <v>1.2</v>
      </c>
      <c r="R41" s="100"/>
      <c r="S41" s="100"/>
      <c r="T41" s="100"/>
      <c r="U41" s="146"/>
      <c r="V41" s="100"/>
    </row>
    <row r="42" outlineLevel="1">
      <c r="A42" s="146"/>
      <c r="B42" s="2335" t="s">
        <v>434</v>
      </c>
      <c r="C42" s="2336" t="s">
        <v>334</v>
      </c>
      <c r="D42" s="210"/>
      <c r="E42" s="2336" t="s">
        <v>535</v>
      </c>
      <c r="F42" s="2334">
        <v>3.0</v>
      </c>
      <c r="G42" s="2333" t="s">
        <v>60</v>
      </c>
      <c r="H42" s="212"/>
      <c r="J42" s="210"/>
      <c r="K42" s="363"/>
      <c r="L42" s="363"/>
      <c r="M42" s="363"/>
      <c r="N42" s="363"/>
      <c r="O42" s="145">
        <v>0.0</v>
      </c>
      <c r="P42" s="145">
        <v>1.0</v>
      </c>
      <c r="Q42" s="145">
        <v>1.2</v>
      </c>
      <c r="R42" s="100"/>
      <c r="S42" s="100"/>
      <c r="T42" s="100"/>
      <c r="U42" s="146"/>
      <c r="V42" s="100"/>
    </row>
    <row r="43" outlineLevel="1">
      <c r="A43" s="146"/>
      <c r="B43" s="2335" t="s">
        <v>520</v>
      </c>
      <c r="C43" s="2336" t="s">
        <v>377</v>
      </c>
      <c r="D43" s="210"/>
      <c r="E43" s="2336" t="s">
        <v>535</v>
      </c>
      <c r="F43" s="2334">
        <v>3.0</v>
      </c>
      <c r="G43" s="2333" t="s">
        <v>60</v>
      </c>
      <c r="H43" s="212"/>
      <c r="J43" s="210"/>
      <c r="K43" s="363"/>
      <c r="L43" s="363"/>
      <c r="M43" s="363"/>
      <c r="N43" s="363"/>
      <c r="O43" s="145">
        <v>0.0</v>
      </c>
      <c r="P43" s="145">
        <v>1.0</v>
      </c>
      <c r="Q43" s="145">
        <v>1.2</v>
      </c>
      <c r="R43" s="100"/>
      <c r="S43" s="100"/>
      <c r="T43" s="100"/>
      <c r="U43" s="146"/>
      <c r="V43" s="100"/>
    </row>
    <row r="44" outlineLevel="1">
      <c r="A44" s="156"/>
      <c r="B44" s="2335" t="s">
        <v>521</v>
      </c>
      <c r="C44" s="2336" t="s">
        <v>562</v>
      </c>
      <c r="D44" s="107"/>
      <c r="E44" s="2336" t="s">
        <v>93</v>
      </c>
      <c r="F44" s="2334">
        <v>8.4</v>
      </c>
      <c r="G44" s="2333" t="s">
        <v>102</v>
      </c>
      <c r="H44" s="106"/>
      <c r="I44" s="168"/>
      <c r="J44" s="107"/>
      <c r="K44" s="363"/>
      <c r="L44" s="363"/>
      <c r="M44" s="363"/>
      <c r="N44" s="363"/>
      <c r="O44" s="145">
        <v>0.0</v>
      </c>
      <c r="P44" s="145">
        <v>1.0</v>
      </c>
      <c r="Q44" s="145">
        <v>1.2</v>
      </c>
      <c r="R44" s="100"/>
      <c r="S44" s="100"/>
      <c r="T44" s="100"/>
      <c r="U44" s="156"/>
      <c r="V44" s="100"/>
    </row>
    <row r="45" outlineLevel="1">
      <c r="A45" s="2331" t="s">
        <v>124</v>
      </c>
      <c r="B45" s="2335" t="s">
        <v>125</v>
      </c>
      <c r="C45" s="2336" t="s">
        <v>274</v>
      </c>
      <c r="D45" s="2342" t="s">
        <v>634</v>
      </c>
      <c r="E45" s="2336" t="s">
        <v>3348</v>
      </c>
      <c r="F45" s="2334">
        <v>13.799999999999999</v>
      </c>
      <c r="G45" s="2333" t="s">
        <v>123</v>
      </c>
      <c r="H45" s="163" t="s">
        <v>1214</v>
      </c>
      <c r="I45" s="164"/>
      <c r="J45" s="104"/>
      <c r="K45" s="282"/>
      <c r="L45" s="282"/>
      <c r="M45" s="363"/>
      <c r="N45" s="363"/>
      <c r="O45" s="145">
        <v>0.0</v>
      </c>
      <c r="P45" s="145">
        <v>1.0</v>
      </c>
      <c r="Q45" s="145">
        <v>0.0</v>
      </c>
      <c r="R45" s="100"/>
      <c r="S45" s="100"/>
      <c r="T45" s="100"/>
      <c r="U45" s="166" t="s">
        <v>69</v>
      </c>
      <c r="V45" s="100"/>
    </row>
    <row r="46" outlineLevel="1">
      <c r="A46" s="156"/>
      <c r="B46" s="2335" t="s">
        <v>131</v>
      </c>
      <c r="C46" s="2336" t="s">
        <v>1053</v>
      </c>
      <c r="D46" s="107"/>
      <c r="E46" s="2336" t="s">
        <v>119</v>
      </c>
      <c r="F46" s="2334">
        <v>16.8</v>
      </c>
      <c r="G46" s="2333" t="s">
        <v>121</v>
      </c>
      <c r="H46" s="106"/>
      <c r="I46" s="168"/>
      <c r="J46" s="107"/>
      <c r="K46" s="282"/>
      <c r="L46" s="282"/>
      <c r="M46" s="363"/>
      <c r="N46" s="363"/>
      <c r="O46" s="145">
        <v>0.0</v>
      </c>
      <c r="P46" s="145">
        <v>1.0</v>
      </c>
      <c r="Q46" s="145">
        <v>1.0</v>
      </c>
      <c r="R46" s="100"/>
      <c r="S46" s="100"/>
      <c r="T46" s="100"/>
      <c r="U46" s="156"/>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
        <v>133</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
        <v>48</v>
      </c>
      <c r="D49" s="183" t="s">
        <v>49</v>
      </c>
      <c r="E49" s="182" t="s">
        <v>50</v>
      </c>
      <c r="F49" s="184" t="s">
        <v>51</v>
      </c>
      <c r="G49" s="184" t="s">
        <v>134</v>
      </c>
      <c r="H49" s="185" t="s">
        <v>52</v>
      </c>
      <c r="I49" s="184" t="str">
        <f>'テンプレート'!I56</f>
        <v>着地隙</v>
      </c>
      <c r="J49" s="184" t="s">
        <v>136</v>
      </c>
      <c r="K49" s="184" t="str">
        <f>'テンプレート'!K56</f>
        <v>ベクトル</v>
      </c>
      <c r="L49" s="184" t="str">
        <f>'テンプレート'!L56</f>
        <v>KBG (R.E.)</v>
      </c>
      <c r="M49" s="184" t="str">
        <f>'テンプレート'!M56</f>
        <v>BKB (R.A.)</v>
      </c>
      <c r="N49" s="184" t="str">
        <f>'テンプレート'!N56</f>
        <v>FKB (R.F.)</v>
      </c>
      <c r="O49" s="186" t="str">
        <f>'テンプレート'!O56</f>
        <v>盾削り値</v>
      </c>
      <c r="P49" s="184" t="str">
        <f>'テンプレート'!P56</f>
        <v>ﾋｯﾄｽﾄｯﾌﾟ</v>
      </c>
      <c r="Q49" s="186" t="str">
        <f>'テンプレート'!Q56</f>
        <v>ずらし</v>
      </c>
      <c r="R49" s="187" t="str">
        <f>'テンプレート'!R56</f>
        <v>備考</v>
      </c>
      <c r="S49" s="110"/>
      <c r="T49" s="110"/>
      <c r="U49" s="110"/>
      <c r="V49" s="110"/>
    </row>
    <row r="50" outlineLevel="1">
      <c r="A50" s="213" t="s">
        <v>144</v>
      </c>
      <c r="B50" s="373"/>
      <c r="C50" s="239" t="s">
        <v>3258</v>
      </c>
      <c r="D50" s="380" t="s">
        <v>384</v>
      </c>
      <c r="E50" s="401" t="s">
        <v>128</v>
      </c>
      <c r="F50" s="193">
        <v>12.0</v>
      </c>
      <c r="G50" s="193">
        <v>10.2</v>
      </c>
      <c r="H50" s="138" t="s">
        <v>147</v>
      </c>
      <c r="I50" s="621" t="str">
        <f t="array" ref="I50">INDEX('空中攻撃'!$O$3:$AA$109, MATCH($A$1,'空中攻撃'!$A$3:$A$109,0), MATCH(A50,'空中攻撃'!$O$2:$S$2,0))</f>
        <v>11</v>
      </c>
      <c r="J50" s="467" t="s">
        <v>1177</v>
      </c>
      <c r="K50" s="376"/>
      <c r="L50" s="377"/>
      <c r="M50" s="825"/>
      <c r="N50" s="825"/>
      <c r="O50" s="199">
        <v>0.0</v>
      </c>
      <c r="P50" s="199">
        <v>1.0</v>
      </c>
      <c r="Q50" s="199">
        <v>1.0</v>
      </c>
      <c r="R50" s="1232"/>
      <c r="S50" s="110"/>
      <c r="T50" s="110"/>
      <c r="U50" s="110"/>
      <c r="V50" s="109"/>
    </row>
    <row r="51" outlineLevel="1">
      <c r="A51" s="188" t="s">
        <v>151</v>
      </c>
      <c r="B51" s="373"/>
      <c r="C51" s="239" t="s">
        <v>1670</v>
      </c>
      <c r="D51" s="195" t="s">
        <v>127</v>
      </c>
      <c r="E51" s="239" t="s">
        <v>80</v>
      </c>
      <c r="F51" s="138">
        <v>9.6</v>
      </c>
      <c r="G51" s="138">
        <v>8.16</v>
      </c>
      <c r="H51" s="138" t="s">
        <v>147</v>
      </c>
      <c r="I51" s="454" t="str">
        <f t="array" ref="I51">INDEX('空中攻撃'!$O$3:$AA$109, MATCH($A$1,'空中攻撃'!$A$3:$A$109,0), MATCH(A51,'空中攻撃'!$O$2:$S$2,0))</f>
        <v>12</v>
      </c>
      <c r="J51" s="379" t="s">
        <v>2176</v>
      </c>
      <c r="K51" s="376"/>
      <c r="L51" s="377"/>
      <c r="M51" s="825"/>
      <c r="N51" s="825"/>
      <c r="O51" s="199">
        <v>0.0</v>
      </c>
      <c r="P51" s="199">
        <v>1.0</v>
      </c>
      <c r="Q51" s="199">
        <v>1.0</v>
      </c>
      <c r="R51" s="240" t="s">
        <v>411</v>
      </c>
      <c r="S51" s="164"/>
      <c r="T51" s="164"/>
      <c r="U51" s="164"/>
      <c r="V51" s="104"/>
    </row>
    <row r="52" outlineLevel="1">
      <c r="A52" s="156"/>
      <c r="B52" s="373" t="s">
        <v>84</v>
      </c>
      <c r="C52" s="239" t="s">
        <v>156</v>
      </c>
      <c r="D52" s="107"/>
      <c r="E52" s="239" t="s">
        <v>86</v>
      </c>
      <c r="F52" s="138">
        <v>7.199999999999999</v>
      </c>
      <c r="G52" s="138">
        <v>6.12</v>
      </c>
      <c r="H52" s="138" t="s">
        <v>60</v>
      </c>
      <c r="I52" s="156"/>
      <c r="J52" s="107"/>
      <c r="K52" s="376"/>
      <c r="L52" s="377"/>
      <c r="M52" s="825"/>
      <c r="N52" s="825"/>
      <c r="O52" s="199">
        <v>0.0</v>
      </c>
      <c r="P52" s="199">
        <v>1.0</v>
      </c>
      <c r="Q52" s="199">
        <v>1.0</v>
      </c>
      <c r="R52" s="106"/>
      <c r="S52" s="168"/>
      <c r="T52" s="168"/>
      <c r="U52" s="168"/>
      <c r="V52" s="107"/>
    </row>
    <row r="53" outlineLevel="1">
      <c r="A53" s="188" t="s">
        <v>157</v>
      </c>
      <c r="B53" s="373"/>
      <c r="C53" s="239" t="s">
        <v>220</v>
      </c>
      <c r="D53" s="374">
        <v>47.0</v>
      </c>
      <c r="E53" s="239" t="s">
        <v>228</v>
      </c>
      <c r="F53" s="138">
        <v>15.6</v>
      </c>
      <c r="G53" s="138">
        <v>13.26</v>
      </c>
      <c r="H53" s="138" t="s">
        <v>75</v>
      </c>
      <c r="I53" s="454">
        <f t="array" ref="I53">INDEX('空中攻撃'!$O$3:$AA$109, MATCH($A$1,'空中攻撃'!$A$3:$A$109,0), MATCH(A53,'空中攻撃'!$O$2:$S$2,0))</f>
        <v>11</v>
      </c>
      <c r="J53" s="455" t="s">
        <v>830</v>
      </c>
      <c r="K53" s="376"/>
      <c r="L53" s="377"/>
      <c r="M53" s="825"/>
      <c r="N53" s="825"/>
      <c r="O53" s="199">
        <v>0.0</v>
      </c>
      <c r="P53" s="199">
        <v>1.0</v>
      </c>
      <c r="Q53" s="199">
        <v>1.0</v>
      </c>
      <c r="R53" s="220"/>
      <c r="S53" s="164"/>
      <c r="T53" s="164"/>
      <c r="U53" s="164"/>
      <c r="V53" s="104"/>
    </row>
    <row r="54" outlineLevel="1">
      <c r="A54" s="156"/>
      <c r="B54" s="373" t="s">
        <v>84</v>
      </c>
      <c r="C54" s="239" t="s">
        <v>232</v>
      </c>
      <c r="D54" s="107"/>
      <c r="E54" s="239" t="s">
        <v>232</v>
      </c>
      <c r="F54" s="138">
        <v>13.2</v>
      </c>
      <c r="G54" s="138">
        <v>11.22</v>
      </c>
      <c r="H54" s="138" t="s">
        <v>147</v>
      </c>
      <c r="I54" s="156"/>
      <c r="J54" s="107"/>
      <c r="K54" s="376"/>
      <c r="L54" s="377"/>
      <c r="M54" s="825"/>
      <c r="N54" s="825"/>
      <c r="O54" s="199"/>
      <c r="P54" s="199"/>
      <c r="Q54" s="199"/>
      <c r="R54" s="106"/>
      <c r="S54" s="168"/>
      <c r="T54" s="168"/>
      <c r="U54" s="168"/>
      <c r="V54" s="107"/>
    </row>
    <row r="55" outlineLevel="1">
      <c r="A55" s="188" t="s">
        <v>162</v>
      </c>
      <c r="B55" s="373" t="s">
        <v>152</v>
      </c>
      <c r="C55" s="244" t="s">
        <v>394</v>
      </c>
      <c r="D55" s="195" t="s">
        <v>462</v>
      </c>
      <c r="E55" s="239" t="s">
        <v>700</v>
      </c>
      <c r="F55" s="138">
        <v>2.16</v>
      </c>
      <c r="G55" s="138">
        <v>1.836</v>
      </c>
      <c r="H55" s="138" t="s">
        <v>170</v>
      </c>
      <c r="I55" s="454" t="str">
        <f t="array" ref="I55">INDEX('空中攻撃'!$O$3:$AA$109, MATCH($A$1,'空中攻撃'!$A$3:$A$109,0), MATCH(A55,'空中攻撃'!$O$2:$S$2,0))</f>
        <v>13</v>
      </c>
      <c r="J55" s="195" t="s">
        <v>3824</v>
      </c>
      <c r="K55" s="377"/>
      <c r="L55" s="377"/>
      <c r="M55" s="825"/>
      <c r="N55" s="825"/>
      <c r="O55" s="199">
        <v>0.0</v>
      </c>
      <c r="P55" s="199">
        <v>1.0</v>
      </c>
      <c r="Q55" s="199">
        <v>0.8</v>
      </c>
      <c r="R55" s="240" t="s">
        <v>411</v>
      </c>
      <c r="S55" s="164"/>
      <c r="T55" s="164"/>
      <c r="U55" s="164"/>
      <c r="V55" s="104"/>
    </row>
    <row r="56" outlineLevel="1">
      <c r="A56" s="146"/>
      <c r="B56" s="373" t="s">
        <v>199</v>
      </c>
      <c r="C56" s="239" t="s">
        <v>3825</v>
      </c>
      <c r="D56" s="210"/>
      <c r="E56" s="239" t="s">
        <v>700</v>
      </c>
      <c r="F56" s="138">
        <v>2.16</v>
      </c>
      <c r="G56" s="138">
        <v>1.836</v>
      </c>
      <c r="H56" s="138" t="s">
        <v>170</v>
      </c>
      <c r="I56" s="146"/>
      <c r="J56" s="210"/>
      <c r="K56" s="377"/>
      <c r="L56" s="377"/>
      <c r="M56" s="825"/>
      <c r="N56" s="825"/>
      <c r="O56" s="199">
        <v>0.0</v>
      </c>
      <c r="P56" s="199">
        <v>1.0</v>
      </c>
      <c r="Q56" s="199">
        <v>0.8</v>
      </c>
      <c r="R56" s="212"/>
      <c r="V56" s="210"/>
    </row>
    <row r="57" outlineLevel="1">
      <c r="A57" s="156"/>
      <c r="B57" s="373" t="s">
        <v>202</v>
      </c>
      <c r="C57" s="239" t="s">
        <v>218</v>
      </c>
      <c r="D57" s="107"/>
      <c r="E57" s="239" t="s">
        <v>73</v>
      </c>
      <c r="F57" s="138">
        <v>4.8</v>
      </c>
      <c r="G57" s="138">
        <v>4.08</v>
      </c>
      <c r="H57" s="138" t="s">
        <v>60</v>
      </c>
      <c r="I57" s="156"/>
      <c r="J57" s="107"/>
      <c r="K57" s="377"/>
      <c r="L57" s="377"/>
      <c r="M57" s="825"/>
      <c r="N57" s="825"/>
      <c r="O57" s="199">
        <v>0.0</v>
      </c>
      <c r="P57" s="199">
        <v>1.0</v>
      </c>
      <c r="Q57" s="199">
        <v>0.8</v>
      </c>
      <c r="R57" s="106"/>
      <c r="S57" s="168"/>
      <c r="T57" s="168"/>
      <c r="U57" s="168"/>
      <c r="V57" s="107"/>
    </row>
    <row r="58" outlineLevel="1">
      <c r="A58" s="188" t="s">
        <v>166</v>
      </c>
      <c r="B58" s="373"/>
      <c r="C58" s="239" t="s">
        <v>351</v>
      </c>
      <c r="D58" s="374">
        <v>54.0</v>
      </c>
      <c r="E58" s="239" t="s">
        <v>3826</v>
      </c>
      <c r="F58" s="138" t="s">
        <v>3827</v>
      </c>
      <c r="G58" s="138" t="s">
        <v>3828</v>
      </c>
      <c r="H58" s="138" t="s">
        <v>2956</v>
      </c>
      <c r="I58" s="454">
        <f t="array" ref="I58">INDEX('空中攻撃'!$O$3:$AA$109, MATCH($A$1,'空中攻撃'!$A$3:$A$109,0), MATCH(A58,'空中攻撃'!$O$2:$S$2,0))</f>
        <v>17</v>
      </c>
      <c r="J58" s="455" t="s">
        <v>3829</v>
      </c>
      <c r="K58" s="377"/>
      <c r="L58" s="377"/>
      <c r="M58" s="825"/>
      <c r="N58" s="825"/>
      <c r="O58" s="199"/>
      <c r="P58" s="199"/>
      <c r="Q58" s="199"/>
      <c r="R58" s="220"/>
      <c r="S58" s="164"/>
      <c r="T58" s="164"/>
      <c r="U58" s="164"/>
      <c r="V58" s="104"/>
    </row>
    <row r="59" outlineLevel="1">
      <c r="A59" s="156"/>
      <c r="B59" s="373" t="s">
        <v>84</v>
      </c>
      <c r="C59" s="239" t="s">
        <v>2021</v>
      </c>
      <c r="D59" s="107"/>
      <c r="E59" s="239" t="s">
        <v>3830</v>
      </c>
      <c r="F59" s="138" t="s">
        <v>3831</v>
      </c>
      <c r="G59" s="138" t="s">
        <v>3832</v>
      </c>
      <c r="H59" s="138" t="s">
        <v>2956</v>
      </c>
      <c r="I59" s="156"/>
      <c r="J59" s="107"/>
      <c r="K59" s="377"/>
      <c r="L59" s="377"/>
      <c r="M59" s="825"/>
      <c r="N59" s="825"/>
      <c r="O59" s="199">
        <v>0.0</v>
      </c>
      <c r="P59" s="199">
        <v>1.0</v>
      </c>
      <c r="Q59" s="199">
        <v>1.0</v>
      </c>
      <c r="R59" s="106"/>
      <c r="S59" s="168"/>
      <c r="T59" s="168"/>
      <c r="U59" s="168"/>
      <c r="V59" s="107"/>
    </row>
    <row r="60">
      <c r="A60" s="223"/>
      <c r="B60" s="224"/>
      <c r="C60" s="225"/>
      <c r="D60" s="225"/>
      <c r="E60" s="226"/>
      <c r="F60" s="226"/>
      <c r="G60" s="226"/>
      <c r="H60" s="227"/>
      <c r="I60" s="227"/>
      <c r="J60" s="228"/>
      <c r="K60" s="228"/>
      <c r="L60" s="228"/>
      <c r="M60" s="228"/>
      <c r="N60" s="228"/>
      <c r="O60" s="228"/>
      <c r="P60" s="228"/>
      <c r="Q60" s="118"/>
      <c r="R60" s="118"/>
      <c r="S60" s="118"/>
      <c r="T60" s="118"/>
      <c r="U60" s="118"/>
      <c r="V60" s="118"/>
    </row>
    <row r="61">
      <c r="A61" s="229" t="s">
        <v>177</v>
      </c>
      <c r="B61" s="109"/>
      <c r="C61" s="225"/>
      <c r="D61" s="225"/>
      <c r="E61" s="226"/>
      <c r="F61" s="226"/>
      <c r="G61" s="226"/>
      <c r="H61" s="227"/>
      <c r="I61" s="227"/>
      <c r="J61" s="228"/>
      <c r="K61" s="228"/>
      <c r="L61" s="228"/>
      <c r="M61" s="228"/>
      <c r="N61" s="228"/>
      <c r="O61" s="228"/>
      <c r="P61" s="228"/>
      <c r="Q61" s="118"/>
      <c r="R61" s="118"/>
      <c r="S61" s="118"/>
      <c r="T61" s="118"/>
      <c r="U61" s="118"/>
      <c r="V61" s="118"/>
    </row>
    <row r="62" outlineLevel="1">
      <c r="A62" s="230" t="s">
        <v>3833</v>
      </c>
      <c r="B62" s="109"/>
      <c r="C62" s="231" t="s">
        <v>48</v>
      </c>
      <c r="D62" s="231" t="s">
        <v>49</v>
      </c>
      <c r="E62" s="231" t="s">
        <v>50</v>
      </c>
      <c r="F62" s="235" t="s">
        <v>2313</v>
      </c>
      <c r="G62" s="231" t="s">
        <v>52</v>
      </c>
      <c r="H62" s="2447"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236" t="s">
        <v>183</v>
      </c>
    </row>
    <row r="63" ht="21.0" customHeight="1" outlineLevel="1">
      <c r="A63" s="383" t="s">
        <v>184</v>
      </c>
      <c r="B63" s="2448" t="s">
        <v>473</v>
      </c>
      <c r="C63" s="392" t="s">
        <v>3834</v>
      </c>
      <c r="D63" s="393" t="s">
        <v>455</v>
      </c>
      <c r="E63" s="136" t="s">
        <v>73</v>
      </c>
      <c r="F63" s="252">
        <v>4.8</v>
      </c>
      <c r="G63" s="397" t="s">
        <v>170</v>
      </c>
      <c r="H63" s="2401" t="s">
        <v>3835</v>
      </c>
      <c r="I63" s="164"/>
      <c r="J63" s="104"/>
      <c r="K63" s="2449"/>
      <c r="L63" s="2449"/>
      <c r="M63" s="2450"/>
      <c r="N63" s="2450"/>
      <c r="O63" s="138">
        <v>0.0</v>
      </c>
      <c r="P63" s="138">
        <v>1.0</v>
      </c>
      <c r="Q63" s="138">
        <v>1.0</v>
      </c>
      <c r="R63" s="145" t="b">
        <v>1</v>
      </c>
      <c r="S63" s="145" t="b">
        <v>0</v>
      </c>
      <c r="T63" s="145" t="b">
        <v>1</v>
      </c>
      <c r="U63" s="2451" t="s">
        <v>186</v>
      </c>
      <c r="V63" s="2452" t="b">
        <v>1</v>
      </c>
    </row>
    <row r="64" ht="21.0" customHeight="1" outlineLevel="1">
      <c r="A64" s="146"/>
      <c r="B64" s="387" t="s">
        <v>340</v>
      </c>
      <c r="C64" s="107"/>
      <c r="D64" s="107"/>
      <c r="E64" s="149" t="s">
        <v>876</v>
      </c>
      <c r="F64" s="256">
        <v>31.2</v>
      </c>
      <c r="G64" s="397" t="s">
        <v>123</v>
      </c>
      <c r="J64" s="210"/>
      <c r="K64" s="2453"/>
      <c r="L64" s="2453"/>
      <c r="M64" s="2454"/>
      <c r="N64" s="2454"/>
      <c r="O64" s="138">
        <v>0.0</v>
      </c>
      <c r="P64" s="138">
        <v>1.0</v>
      </c>
      <c r="Q64" s="138">
        <v>1.0</v>
      </c>
      <c r="R64" s="145" t="b">
        <v>1</v>
      </c>
      <c r="S64" s="145" t="b">
        <v>0</v>
      </c>
      <c r="T64" s="145" t="b">
        <v>1</v>
      </c>
      <c r="U64" s="210"/>
      <c r="V64" s="210"/>
    </row>
    <row r="65" ht="21.0" customHeight="1" outlineLevel="1">
      <c r="A65" s="156"/>
      <c r="B65" s="390" t="s">
        <v>1578</v>
      </c>
      <c r="C65" s="149" t="s">
        <v>3836</v>
      </c>
      <c r="D65" s="149" t="s">
        <v>118</v>
      </c>
      <c r="E65" s="400"/>
      <c r="F65" s="400"/>
      <c r="G65" s="400"/>
      <c r="H65" s="168"/>
      <c r="I65" s="168"/>
      <c r="J65" s="107"/>
      <c r="K65" s="2453"/>
      <c r="L65" s="2453"/>
      <c r="M65" s="2454"/>
      <c r="N65" s="2454"/>
      <c r="O65" s="138"/>
      <c r="P65" s="138"/>
      <c r="Q65" s="138"/>
      <c r="R65" s="145" t="b">
        <v>0</v>
      </c>
      <c r="S65" s="145" t="b">
        <v>0</v>
      </c>
      <c r="T65" s="145" t="b">
        <v>0</v>
      </c>
      <c r="U65" s="107"/>
      <c r="V65" s="107"/>
    </row>
    <row r="66" outlineLevel="1">
      <c r="A66" s="230" t="s">
        <v>3837</v>
      </c>
      <c r="B66" s="109"/>
      <c r="C66" s="231" t="s">
        <v>48</v>
      </c>
      <c r="D66" s="231" t="s">
        <v>49</v>
      </c>
      <c r="E66" s="231" t="s">
        <v>50</v>
      </c>
      <c r="F66" s="235" t="s">
        <v>2313</v>
      </c>
      <c r="G66" s="231" t="s">
        <v>52</v>
      </c>
      <c r="H66" s="2447"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outlineLevel="1">
      <c r="A67" s="1770" t="s">
        <v>184</v>
      </c>
      <c r="B67" s="2455"/>
      <c r="C67" s="136" t="s">
        <v>1628</v>
      </c>
      <c r="D67" s="136" t="s">
        <v>221</v>
      </c>
      <c r="E67" s="136" t="s">
        <v>150</v>
      </c>
      <c r="F67" s="252">
        <v>6.0</v>
      </c>
      <c r="G67" s="397" t="s">
        <v>60</v>
      </c>
      <c r="H67" s="2456" t="s">
        <v>3838</v>
      </c>
      <c r="I67" s="110"/>
      <c r="J67" s="109"/>
      <c r="K67" s="2457"/>
      <c r="L67" s="2457"/>
      <c r="M67" s="2408"/>
      <c r="N67" s="2408"/>
      <c r="O67" s="138">
        <v>0.0</v>
      </c>
      <c r="P67" s="138">
        <v>1.0</v>
      </c>
      <c r="Q67" s="138">
        <v>1.0</v>
      </c>
      <c r="R67" s="145" t="b">
        <v>0</v>
      </c>
      <c r="S67" s="145" t="b">
        <v>0</v>
      </c>
      <c r="T67" s="145" t="b">
        <v>1</v>
      </c>
      <c r="U67" s="145" t="s">
        <v>186</v>
      </c>
      <c r="V67" s="145" t="b">
        <v>1</v>
      </c>
    </row>
    <row r="68" outlineLevel="1">
      <c r="A68" s="230" t="s">
        <v>3839</v>
      </c>
      <c r="B68" s="109"/>
      <c r="C68" s="231" t="s">
        <v>48</v>
      </c>
      <c r="D68" s="231" t="s">
        <v>49</v>
      </c>
      <c r="E68" s="231" t="s">
        <v>50</v>
      </c>
      <c r="F68" s="235" t="s">
        <v>2313</v>
      </c>
      <c r="G68" s="231" t="s">
        <v>52</v>
      </c>
      <c r="H68" s="2447" t="s">
        <v>53</v>
      </c>
      <c r="I68" s="110"/>
      <c r="J68" s="109"/>
      <c r="K68" s="235" t="s">
        <v>137</v>
      </c>
      <c r="L68" s="235" t="s">
        <v>138</v>
      </c>
      <c r="M68" s="235" t="s">
        <v>139</v>
      </c>
      <c r="N68" s="235" t="s">
        <v>140</v>
      </c>
      <c r="O68" s="236" t="s">
        <v>141</v>
      </c>
      <c r="P68" s="235" t="s">
        <v>142</v>
      </c>
      <c r="Q68" s="236" t="s">
        <v>143</v>
      </c>
      <c r="R68" s="235" t="s">
        <v>179</v>
      </c>
      <c r="S68" s="236" t="s">
        <v>180</v>
      </c>
      <c r="T68" s="236" t="s">
        <v>181</v>
      </c>
      <c r="U68" s="236" t="s">
        <v>182</v>
      </c>
      <c r="V68" s="236" t="s">
        <v>183</v>
      </c>
    </row>
    <row r="69" outlineLevel="1">
      <c r="A69" s="383" t="s">
        <v>184</v>
      </c>
      <c r="B69" s="384" t="s">
        <v>3840</v>
      </c>
      <c r="C69" s="136" t="s">
        <v>3841</v>
      </c>
      <c r="D69" s="393" t="s">
        <v>892</v>
      </c>
      <c r="E69" s="136" t="s">
        <v>209</v>
      </c>
      <c r="F69" s="252">
        <v>0.0</v>
      </c>
      <c r="G69" s="400"/>
      <c r="H69" s="2395" t="s">
        <v>3842</v>
      </c>
      <c r="I69" s="164"/>
      <c r="J69" s="104"/>
      <c r="K69" s="2457"/>
      <c r="L69" s="2457"/>
      <c r="M69" s="2408"/>
      <c r="N69" s="2408"/>
      <c r="O69" s="138">
        <v>0.0</v>
      </c>
      <c r="P69" s="138">
        <v>1.0</v>
      </c>
      <c r="Q69" s="138">
        <v>1.0</v>
      </c>
      <c r="R69" s="145" t="b">
        <v>1</v>
      </c>
      <c r="S69" s="145" t="b">
        <v>0</v>
      </c>
      <c r="T69" s="145" t="b">
        <v>1</v>
      </c>
      <c r="U69" s="166" t="s">
        <v>186</v>
      </c>
      <c r="V69" s="166" t="b">
        <v>1</v>
      </c>
    </row>
    <row r="70" outlineLevel="1">
      <c r="A70" s="146"/>
      <c r="B70" s="384" t="s">
        <v>3843</v>
      </c>
      <c r="C70" s="398" t="s">
        <v>3844</v>
      </c>
      <c r="D70" s="210"/>
      <c r="E70" s="149" t="s">
        <v>169</v>
      </c>
      <c r="F70" s="252">
        <v>1.68</v>
      </c>
      <c r="G70" s="397" t="s">
        <v>170</v>
      </c>
      <c r="J70" s="210"/>
      <c r="K70" s="2458"/>
      <c r="L70" s="2458"/>
      <c r="M70" s="2410"/>
      <c r="N70" s="2410"/>
      <c r="O70" s="138">
        <v>0.0</v>
      </c>
      <c r="P70" s="138">
        <v>1.0</v>
      </c>
      <c r="Q70" s="138">
        <v>1.0</v>
      </c>
      <c r="R70" s="145" t="b">
        <v>0</v>
      </c>
      <c r="S70" s="145" t="b">
        <v>0</v>
      </c>
      <c r="T70" s="145" t="b">
        <v>1</v>
      </c>
      <c r="U70" s="146"/>
      <c r="V70" s="146"/>
    </row>
    <row r="71" outlineLevel="1">
      <c r="A71" s="156"/>
      <c r="B71" s="384" t="s">
        <v>3845</v>
      </c>
      <c r="C71" s="398" t="s">
        <v>466</v>
      </c>
      <c r="D71" s="107"/>
      <c r="E71" s="149" t="s">
        <v>101</v>
      </c>
      <c r="F71" s="252">
        <v>7.919999999999999</v>
      </c>
      <c r="G71" s="397" t="s">
        <v>60</v>
      </c>
      <c r="H71" s="168"/>
      <c r="I71" s="168"/>
      <c r="J71" s="107"/>
      <c r="K71" s="2458"/>
      <c r="L71" s="2458"/>
      <c r="M71" s="2410"/>
      <c r="N71" s="2410"/>
      <c r="O71" s="138">
        <v>0.0</v>
      </c>
      <c r="P71" s="138">
        <v>1.0</v>
      </c>
      <c r="Q71" s="138">
        <v>1.0</v>
      </c>
      <c r="R71" s="145" t="b">
        <v>0</v>
      </c>
      <c r="S71" s="145" t="b">
        <v>0</v>
      </c>
      <c r="T71" s="145" t="b">
        <v>1</v>
      </c>
      <c r="U71" s="156"/>
      <c r="V71" s="156"/>
    </row>
    <row r="72" outlineLevel="1">
      <c r="A72" s="230" t="s">
        <v>3846</v>
      </c>
      <c r="B72" s="109"/>
      <c r="C72" s="231" t="s">
        <v>48</v>
      </c>
      <c r="D72" s="231" t="s">
        <v>49</v>
      </c>
      <c r="E72" s="231" t="s">
        <v>50</v>
      </c>
      <c r="F72" s="235" t="s">
        <v>2313</v>
      </c>
      <c r="G72" s="231" t="s">
        <v>52</v>
      </c>
      <c r="H72" s="2447"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236" t="s">
        <v>183</v>
      </c>
    </row>
    <row r="73" outlineLevel="1">
      <c r="A73" s="383" t="s">
        <v>184</v>
      </c>
      <c r="B73" s="2406" t="s">
        <v>1072</v>
      </c>
      <c r="C73" s="776" t="s">
        <v>3847</v>
      </c>
      <c r="D73" s="393" t="s">
        <v>748</v>
      </c>
      <c r="E73" s="149" t="s">
        <v>176</v>
      </c>
      <c r="F73" s="256">
        <v>2.4</v>
      </c>
      <c r="G73" s="397" t="s">
        <v>170</v>
      </c>
      <c r="H73" s="163" t="s">
        <v>3848</v>
      </c>
      <c r="I73" s="164"/>
      <c r="J73" s="104"/>
      <c r="K73" s="2458"/>
      <c r="L73" s="2458"/>
      <c r="M73" s="2458"/>
      <c r="N73" s="2458"/>
      <c r="O73" s="138">
        <v>0.0</v>
      </c>
      <c r="P73" s="138">
        <v>1.0</v>
      </c>
      <c r="Q73" s="138">
        <v>1.0</v>
      </c>
      <c r="R73" s="145" t="b">
        <v>1</v>
      </c>
      <c r="S73" s="145" t="b">
        <v>0</v>
      </c>
      <c r="T73" s="145" t="b">
        <v>1</v>
      </c>
      <c r="U73" s="2451" t="s">
        <v>186</v>
      </c>
      <c r="V73" s="2452" t="b">
        <v>1</v>
      </c>
    </row>
    <row r="74" outlineLevel="1">
      <c r="A74" s="146"/>
      <c r="B74" s="390" t="s">
        <v>3849</v>
      </c>
      <c r="C74" s="398" t="s">
        <v>3850</v>
      </c>
      <c r="D74" s="210"/>
      <c r="E74" s="149" t="s">
        <v>58</v>
      </c>
      <c r="F74" s="256">
        <v>2.64</v>
      </c>
      <c r="G74" s="397" t="s">
        <v>170</v>
      </c>
      <c r="H74" s="212"/>
      <c r="J74" s="210"/>
      <c r="K74" s="2458"/>
      <c r="L74" s="2458"/>
      <c r="M74" s="2410"/>
      <c r="N74" s="2410"/>
      <c r="O74" s="138">
        <v>0.0</v>
      </c>
      <c r="P74" s="138">
        <v>1.0</v>
      </c>
      <c r="Q74" s="138">
        <v>1.0</v>
      </c>
      <c r="R74" s="145" t="b">
        <v>1</v>
      </c>
      <c r="S74" s="145" t="b">
        <v>0</v>
      </c>
      <c r="T74" s="145" t="b">
        <v>1</v>
      </c>
      <c r="U74" s="210"/>
      <c r="V74" s="210"/>
    </row>
    <row r="75" outlineLevel="1">
      <c r="A75" s="156"/>
      <c r="B75" s="390" t="s">
        <v>3851</v>
      </c>
      <c r="C75" s="398" t="s">
        <v>3852</v>
      </c>
      <c r="D75" s="107"/>
      <c r="E75" s="149" t="s">
        <v>663</v>
      </c>
      <c r="F75" s="256">
        <v>3.36</v>
      </c>
      <c r="G75" s="397" t="s">
        <v>170</v>
      </c>
      <c r="H75" s="106"/>
      <c r="I75" s="168"/>
      <c r="J75" s="107"/>
      <c r="K75" s="2458"/>
      <c r="L75" s="2458"/>
      <c r="M75" s="2410"/>
      <c r="N75" s="2410"/>
      <c r="O75" s="138">
        <v>0.0</v>
      </c>
      <c r="P75" s="138">
        <v>1.0</v>
      </c>
      <c r="Q75" s="138">
        <v>1.0</v>
      </c>
      <c r="R75" s="145" t="b">
        <v>0</v>
      </c>
      <c r="S75" s="145" t="b">
        <v>0</v>
      </c>
      <c r="T75" s="145" t="b">
        <v>1</v>
      </c>
      <c r="U75" s="107"/>
      <c r="V75" s="107"/>
    </row>
    <row r="76" outlineLevel="1">
      <c r="A76" s="230" t="s">
        <v>3853</v>
      </c>
      <c r="B76" s="109"/>
      <c r="C76" s="231" t="s">
        <v>48</v>
      </c>
      <c r="D76" s="231" t="s">
        <v>49</v>
      </c>
      <c r="E76" s="231" t="s">
        <v>50</v>
      </c>
      <c r="F76" s="235" t="s">
        <v>2313</v>
      </c>
      <c r="G76" s="231" t="s">
        <v>52</v>
      </c>
      <c r="H76" s="2447"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236" t="s">
        <v>183</v>
      </c>
    </row>
    <row r="77" ht="32.25" customHeight="1" outlineLevel="1">
      <c r="A77" s="383" t="s">
        <v>184</v>
      </c>
      <c r="B77" s="384" t="s">
        <v>333</v>
      </c>
      <c r="C77" s="136" t="s">
        <v>1486</v>
      </c>
      <c r="D77" s="136" t="s">
        <v>1580</v>
      </c>
      <c r="E77" s="136" t="s">
        <v>3854</v>
      </c>
      <c r="F77" s="2459">
        <v>14.563199999999998</v>
      </c>
      <c r="G77" s="136" t="s">
        <v>147</v>
      </c>
      <c r="H77" s="2460" t="s">
        <v>3855</v>
      </c>
      <c r="I77" s="164"/>
      <c r="J77" s="104"/>
      <c r="K77" s="2457"/>
      <c r="L77" s="2457"/>
      <c r="M77" s="2408"/>
      <c r="N77" s="2408"/>
      <c r="O77" s="138">
        <v>0.0</v>
      </c>
      <c r="P77" s="138">
        <v>1.0</v>
      </c>
      <c r="Q77" s="138">
        <v>1.0</v>
      </c>
      <c r="R77" s="145" t="b">
        <v>1</v>
      </c>
      <c r="S77" s="145" t="b">
        <v>0</v>
      </c>
      <c r="T77" s="145" t="b">
        <v>1</v>
      </c>
      <c r="U77" s="166" t="s">
        <v>186</v>
      </c>
      <c r="V77" s="166" t="b">
        <v>1</v>
      </c>
    </row>
    <row r="78" ht="32.25" customHeight="1" outlineLevel="1">
      <c r="A78" s="156"/>
      <c r="B78" s="2461" t="s">
        <v>340</v>
      </c>
      <c r="C78" s="139" t="s">
        <v>3856</v>
      </c>
      <c r="D78" s="216" t="s">
        <v>3857</v>
      </c>
      <c r="E78" s="139" t="s">
        <v>3858</v>
      </c>
      <c r="F78" s="463">
        <v>21.648</v>
      </c>
      <c r="G78" s="136" t="s">
        <v>102</v>
      </c>
      <c r="H78" s="168"/>
      <c r="I78" s="168"/>
      <c r="J78" s="107"/>
      <c r="K78" s="233"/>
      <c r="L78" s="233"/>
      <c r="M78" s="233"/>
      <c r="N78" s="233"/>
      <c r="O78" s="236"/>
      <c r="P78" s="235"/>
      <c r="Q78" s="236"/>
      <c r="R78" s="235"/>
      <c r="S78" s="236"/>
      <c r="T78" s="236"/>
      <c r="U78" s="156"/>
      <c r="V78" s="156"/>
    </row>
    <row r="79" outlineLevel="1">
      <c r="A79" s="230" t="s">
        <v>3859</v>
      </c>
      <c r="B79" s="109"/>
      <c r="C79" s="231" t="s">
        <v>48</v>
      </c>
      <c r="D79" s="231" t="s">
        <v>49</v>
      </c>
      <c r="E79" s="231" t="s">
        <v>50</v>
      </c>
      <c r="F79" s="235" t="s">
        <v>2313</v>
      </c>
      <c r="G79" s="231" t="s">
        <v>52</v>
      </c>
      <c r="H79" s="2447" t="s">
        <v>53</v>
      </c>
      <c r="I79" s="110"/>
      <c r="J79" s="109"/>
      <c r="K79" s="235" t="s">
        <v>137</v>
      </c>
      <c r="L79" s="235" t="s">
        <v>138</v>
      </c>
      <c r="M79" s="235" t="s">
        <v>139</v>
      </c>
      <c r="N79" s="235" t="s">
        <v>140</v>
      </c>
      <c r="O79" s="236" t="s">
        <v>141</v>
      </c>
      <c r="P79" s="235" t="s">
        <v>142</v>
      </c>
      <c r="Q79" s="236" t="s">
        <v>143</v>
      </c>
      <c r="R79" s="235" t="s">
        <v>179</v>
      </c>
      <c r="S79" s="236" t="s">
        <v>180</v>
      </c>
      <c r="T79" s="236" t="s">
        <v>181</v>
      </c>
      <c r="U79" s="236" t="s">
        <v>182</v>
      </c>
      <c r="V79" s="236" t="s">
        <v>183</v>
      </c>
    </row>
    <row r="80" outlineLevel="1">
      <c r="A80" s="383" t="s">
        <v>184</v>
      </c>
      <c r="B80" s="384" t="s">
        <v>3860</v>
      </c>
      <c r="C80" s="136" t="s">
        <v>3861</v>
      </c>
      <c r="D80" s="136" t="s">
        <v>374</v>
      </c>
      <c r="E80" s="136" t="s">
        <v>1665</v>
      </c>
      <c r="F80" s="252">
        <v>9.0</v>
      </c>
      <c r="G80" s="397" t="s">
        <v>60</v>
      </c>
      <c r="H80" s="2395" t="s">
        <v>3862</v>
      </c>
      <c r="I80" s="164"/>
      <c r="J80" s="104"/>
      <c r="K80" s="2457"/>
      <c r="L80" s="2457"/>
      <c r="M80" s="2408"/>
      <c r="N80" s="2408"/>
      <c r="O80" s="138">
        <v>0.0</v>
      </c>
      <c r="P80" s="138">
        <v>1.0</v>
      </c>
      <c r="Q80" s="138">
        <v>1.0</v>
      </c>
      <c r="R80" s="145" t="b">
        <v>1</v>
      </c>
      <c r="S80" s="145" t="b">
        <v>0</v>
      </c>
      <c r="T80" s="145" t="b">
        <v>1</v>
      </c>
      <c r="U80" s="166" t="b">
        <v>0</v>
      </c>
      <c r="V80" s="166" t="b">
        <v>1</v>
      </c>
    </row>
    <row r="81" outlineLevel="1">
      <c r="A81" s="156"/>
      <c r="B81" s="540" t="s">
        <v>3863</v>
      </c>
      <c r="C81" s="398" t="s">
        <v>3864</v>
      </c>
      <c r="D81" s="149" t="s">
        <v>185</v>
      </c>
      <c r="E81" s="149" t="s">
        <v>2454</v>
      </c>
      <c r="F81" s="256">
        <v>17.4</v>
      </c>
      <c r="G81" s="397" t="s">
        <v>75</v>
      </c>
      <c r="H81" s="168"/>
      <c r="I81" s="168"/>
      <c r="J81" s="107"/>
      <c r="K81" s="256"/>
      <c r="L81" s="256"/>
      <c r="M81" s="2410"/>
      <c r="N81" s="2410"/>
      <c r="O81" s="138">
        <v>0.0</v>
      </c>
      <c r="P81" s="138">
        <v>1.0</v>
      </c>
      <c r="Q81" s="138">
        <v>1.0</v>
      </c>
      <c r="R81" s="145" t="b">
        <v>1</v>
      </c>
      <c r="S81" s="145" t="b">
        <v>0</v>
      </c>
      <c r="T81" s="145" t="b">
        <v>1</v>
      </c>
      <c r="U81" s="156"/>
      <c r="V81" s="156"/>
    </row>
    <row r="82" outlineLevel="1">
      <c r="A82" s="230" t="s">
        <v>3865</v>
      </c>
      <c r="B82" s="109"/>
      <c r="C82" s="231" t="s">
        <v>48</v>
      </c>
      <c r="D82" s="231" t="s">
        <v>49</v>
      </c>
      <c r="E82" s="231" t="s">
        <v>50</v>
      </c>
      <c r="F82" s="235" t="s">
        <v>2313</v>
      </c>
      <c r="G82" s="231" t="s">
        <v>52</v>
      </c>
      <c r="H82" s="2447" t="s">
        <v>53</v>
      </c>
      <c r="I82" s="110"/>
      <c r="J82" s="109"/>
      <c r="K82" s="235" t="s">
        <v>137</v>
      </c>
      <c r="L82" s="235" t="s">
        <v>138</v>
      </c>
      <c r="M82" s="235" t="s">
        <v>139</v>
      </c>
      <c r="N82" s="235" t="s">
        <v>140</v>
      </c>
      <c r="O82" s="236" t="s">
        <v>141</v>
      </c>
      <c r="P82" s="235" t="s">
        <v>142</v>
      </c>
      <c r="Q82" s="236" t="s">
        <v>143</v>
      </c>
      <c r="R82" s="235" t="s">
        <v>179</v>
      </c>
      <c r="S82" s="236" t="s">
        <v>180</v>
      </c>
      <c r="T82" s="236" t="s">
        <v>181</v>
      </c>
      <c r="U82" s="236" t="s">
        <v>182</v>
      </c>
      <c r="V82" s="236" t="s">
        <v>183</v>
      </c>
    </row>
    <row r="83" outlineLevel="1">
      <c r="A83" s="237" t="s">
        <v>184</v>
      </c>
      <c r="B83" s="402"/>
      <c r="C83" s="364" t="s">
        <v>771</v>
      </c>
      <c r="D83" s="400"/>
      <c r="E83" s="239" t="s">
        <v>93</v>
      </c>
      <c r="F83" s="252">
        <v>8.4</v>
      </c>
      <c r="G83" s="397" t="s">
        <v>60</v>
      </c>
      <c r="H83" s="903" t="s">
        <v>3866</v>
      </c>
      <c r="I83" s="110"/>
      <c r="J83" s="109"/>
      <c r="K83" s="138"/>
      <c r="L83" s="138"/>
      <c r="M83" s="145"/>
      <c r="N83" s="145"/>
      <c r="O83" s="138">
        <v>0.0</v>
      </c>
      <c r="P83" s="138">
        <v>1.0</v>
      </c>
      <c r="Q83" s="138">
        <v>1.0</v>
      </c>
      <c r="R83" s="145" t="b">
        <v>1</v>
      </c>
      <c r="S83" s="145" t="b">
        <v>0</v>
      </c>
      <c r="T83" s="145" t="b">
        <v>1</v>
      </c>
      <c r="U83" s="145" t="s">
        <v>186</v>
      </c>
      <c r="V83" s="145" t="b">
        <v>1</v>
      </c>
    </row>
    <row r="84" outlineLevel="1">
      <c r="A84" s="230" t="s">
        <v>3867</v>
      </c>
      <c r="B84" s="109"/>
      <c r="C84" s="231" t="s">
        <v>48</v>
      </c>
      <c r="D84" s="231" t="s">
        <v>49</v>
      </c>
      <c r="E84" s="231" t="s">
        <v>50</v>
      </c>
      <c r="F84" s="235" t="s">
        <v>2313</v>
      </c>
      <c r="G84" s="231" t="s">
        <v>52</v>
      </c>
      <c r="H84" s="2447" t="s">
        <v>53</v>
      </c>
      <c r="I84" s="110"/>
      <c r="J84" s="109"/>
      <c r="K84" s="235" t="s">
        <v>137</v>
      </c>
      <c r="L84" s="235" t="s">
        <v>138</v>
      </c>
      <c r="M84" s="235" t="s">
        <v>139</v>
      </c>
      <c r="N84" s="235" t="s">
        <v>140</v>
      </c>
      <c r="O84" s="236" t="s">
        <v>141</v>
      </c>
      <c r="P84" s="235" t="s">
        <v>142</v>
      </c>
      <c r="Q84" s="236" t="s">
        <v>143</v>
      </c>
      <c r="R84" s="235" t="s">
        <v>179</v>
      </c>
      <c r="S84" s="236" t="s">
        <v>180</v>
      </c>
      <c r="T84" s="236" t="s">
        <v>181</v>
      </c>
      <c r="U84" s="236" t="s">
        <v>182</v>
      </c>
      <c r="V84" s="236" t="s">
        <v>183</v>
      </c>
    </row>
    <row r="85" ht="21.75" customHeight="1" outlineLevel="1">
      <c r="A85" s="383" t="s">
        <v>184</v>
      </c>
      <c r="B85" s="384" t="s">
        <v>125</v>
      </c>
      <c r="C85" s="136" t="s">
        <v>217</v>
      </c>
      <c r="D85" s="2405"/>
      <c r="E85" s="136" t="s">
        <v>274</v>
      </c>
      <c r="F85" s="252">
        <v>10.799999999999999</v>
      </c>
      <c r="G85" s="397" t="s">
        <v>275</v>
      </c>
      <c r="H85" s="1161" t="s">
        <v>3868</v>
      </c>
      <c r="I85" s="164"/>
      <c r="J85" s="104"/>
      <c r="K85" s="2457"/>
      <c r="L85" s="2457"/>
      <c r="M85" s="2408"/>
      <c r="N85" s="2408"/>
      <c r="O85" s="138">
        <v>0.0</v>
      </c>
      <c r="P85" s="138">
        <v>1.0</v>
      </c>
      <c r="Q85" s="138">
        <v>1.0</v>
      </c>
      <c r="R85" s="145" t="b">
        <v>1</v>
      </c>
      <c r="S85" s="145" t="b">
        <v>1</v>
      </c>
      <c r="T85" s="145"/>
      <c r="U85" s="166" t="s">
        <v>186</v>
      </c>
      <c r="V85" s="166" t="b">
        <v>1</v>
      </c>
    </row>
    <row r="86" ht="21.75" customHeight="1" outlineLevel="1">
      <c r="A86" s="146"/>
      <c r="B86" s="540" t="s">
        <v>131</v>
      </c>
      <c r="C86" s="149" t="s">
        <v>1208</v>
      </c>
      <c r="D86" s="210"/>
      <c r="E86" s="149" t="s">
        <v>80</v>
      </c>
      <c r="F86" s="256">
        <v>9.6</v>
      </c>
      <c r="G86" s="397" t="s">
        <v>123</v>
      </c>
      <c r="J86" s="210"/>
      <c r="K86" s="2458"/>
      <c r="L86" s="2458"/>
      <c r="M86" s="2410"/>
      <c r="N86" s="2410"/>
      <c r="O86" s="138">
        <v>0.0</v>
      </c>
      <c r="P86" s="138">
        <v>1.0</v>
      </c>
      <c r="Q86" s="138">
        <v>1.0</v>
      </c>
      <c r="R86" s="145" t="b">
        <v>1</v>
      </c>
      <c r="S86" s="145" t="b">
        <v>0</v>
      </c>
      <c r="T86" s="145"/>
      <c r="U86" s="146"/>
      <c r="V86" s="146"/>
    </row>
    <row r="87" ht="21.75" customHeight="1" outlineLevel="1">
      <c r="A87" s="156"/>
      <c r="B87" s="540" t="s">
        <v>432</v>
      </c>
      <c r="C87" s="149" t="s">
        <v>1982</v>
      </c>
      <c r="D87" s="107"/>
      <c r="E87" s="149" t="s">
        <v>86</v>
      </c>
      <c r="F87" s="256">
        <v>7.199999999999999</v>
      </c>
      <c r="G87" s="136" t="s">
        <v>102</v>
      </c>
      <c r="H87" s="168"/>
      <c r="I87" s="168"/>
      <c r="J87" s="107"/>
      <c r="K87" s="2458"/>
      <c r="L87" s="2458"/>
      <c r="M87" s="2410"/>
      <c r="N87" s="2410"/>
      <c r="O87" s="138">
        <v>0.0</v>
      </c>
      <c r="P87" s="138">
        <v>1.0</v>
      </c>
      <c r="Q87" s="138">
        <v>1.0</v>
      </c>
      <c r="R87" s="145" t="b">
        <v>1</v>
      </c>
      <c r="S87" s="145" t="b">
        <v>0</v>
      </c>
      <c r="T87" s="145"/>
      <c r="U87" s="156"/>
      <c r="V87" s="156"/>
    </row>
    <row r="88" outlineLevel="1">
      <c r="A88" s="230" t="s">
        <v>3869</v>
      </c>
      <c r="B88" s="109"/>
      <c r="C88" s="231" t="s">
        <v>48</v>
      </c>
      <c r="D88" s="231" t="s">
        <v>49</v>
      </c>
      <c r="E88" s="231" t="s">
        <v>50</v>
      </c>
      <c r="F88" s="235" t="s">
        <v>2313</v>
      </c>
      <c r="G88" s="231" t="s">
        <v>52</v>
      </c>
      <c r="H88" s="2447" t="s">
        <v>53</v>
      </c>
      <c r="I88" s="110"/>
      <c r="J88" s="109"/>
      <c r="K88" s="235" t="s">
        <v>137</v>
      </c>
      <c r="L88" s="235" t="s">
        <v>138</v>
      </c>
      <c r="M88" s="235" t="s">
        <v>139</v>
      </c>
      <c r="N88" s="235" t="s">
        <v>140</v>
      </c>
      <c r="O88" s="236" t="s">
        <v>141</v>
      </c>
      <c r="P88" s="235" t="s">
        <v>142</v>
      </c>
      <c r="Q88" s="236" t="s">
        <v>143</v>
      </c>
      <c r="R88" s="235" t="s">
        <v>179</v>
      </c>
      <c r="S88" s="236" t="s">
        <v>180</v>
      </c>
      <c r="T88" s="236" t="s">
        <v>181</v>
      </c>
      <c r="U88" s="236" t="s">
        <v>182</v>
      </c>
      <c r="V88" s="236" t="s">
        <v>183</v>
      </c>
    </row>
    <row r="89" outlineLevel="1">
      <c r="A89" s="237" t="s">
        <v>184</v>
      </c>
      <c r="B89" s="2406"/>
      <c r="C89" s="400"/>
      <c r="D89" s="400"/>
      <c r="E89" s="400"/>
      <c r="F89" s="400"/>
      <c r="G89" s="400"/>
      <c r="H89" s="151" t="s">
        <v>3870</v>
      </c>
      <c r="I89" s="110"/>
      <c r="J89" s="109"/>
      <c r="K89" s="250"/>
      <c r="L89" s="250"/>
      <c r="M89" s="250"/>
      <c r="N89" s="250"/>
      <c r="O89" s="250"/>
      <c r="P89" s="250"/>
      <c r="Q89" s="250"/>
      <c r="R89" s="250"/>
      <c r="S89" s="250"/>
      <c r="T89" s="250"/>
      <c r="U89" s="145" t="s">
        <v>186</v>
      </c>
      <c r="V89" s="145" t="b">
        <v>1</v>
      </c>
    </row>
    <row r="90" outlineLevel="1">
      <c r="A90" s="230" t="s">
        <v>3871</v>
      </c>
      <c r="B90" s="109"/>
      <c r="C90" s="231" t="s">
        <v>48</v>
      </c>
      <c r="D90" s="231" t="s">
        <v>49</v>
      </c>
      <c r="E90" s="231" t="s">
        <v>50</v>
      </c>
      <c r="F90" s="235" t="s">
        <v>2313</v>
      </c>
      <c r="G90" s="231" t="s">
        <v>52</v>
      </c>
      <c r="H90" s="2447" t="s">
        <v>53</v>
      </c>
      <c r="I90" s="110"/>
      <c r="J90" s="109"/>
      <c r="K90" s="235" t="s">
        <v>137</v>
      </c>
      <c r="L90" s="235" t="s">
        <v>138</v>
      </c>
      <c r="M90" s="235" t="s">
        <v>139</v>
      </c>
      <c r="N90" s="235" t="s">
        <v>140</v>
      </c>
      <c r="O90" s="236" t="s">
        <v>141</v>
      </c>
      <c r="P90" s="235" t="s">
        <v>142</v>
      </c>
      <c r="Q90" s="236" t="s">
        <v>143</v>
      </c>
      <c r="R90" s="235" t="s">
        <v>179</v>
      </c>
      <c r="S90" s="236" t="s">
        <v>180</v>
      </c>
      <c r="T90" s="236" t="s">
        <v>181</v>
      </c>
      <c r="U90" s="236" t="s">
        <v>182</v>
      </c>
      <c r="V90" s="236" t="s">
        <v>183</v>
      </c>
    </row>
    <row r="91" outlineLevel="1">
      <c r="A91" s="383" t="s">
        <v>184</v>
      </c>
      <c r="B91" s="2406" t="s">
        <v>860</v>
      </c>
      <c r="C91" s="136" t="s">
        <v>861</v>
      </c>
      <c r="D91" s="136" t="s">
        <v>282</v>
      </c>
      <c r="E91" s="397" t="s">
        <v>176</v>
      </c>
      <c r="F91" s="252">
        <v>2.4</v>
      </c>
      <c r="G91" s="397" t="s">
        <v>60</v>
      </c>
      <c r="H91" s="2360" t="s">
        <v>3872</v>
      </c>
      <c r="I91" s="164"/>
      <c r="J91" s="104"/>
      <c r="K91" s="2457"/>
      <c r="L91" s="2457"/>
      <c r="M91" s="2408"/>
      <c r="N91" s="2408"/>
      <c r="O91" s="138">
        <v>0.0</v>
      </c>
      <c r="P91" s="138">
        <v>1.0</v>
      </c>
      <c r="Q91" s="138">
        <v>1.0</v>
      </c>
      <c r="R91" s="145" t="b">
        <v>0</v>
      </c>
      <c r="S91" s="145" t="b">
        <v>0</v>
      </c>
      <c r="T91" s="145"/>
      <c r="U91" s="2452" t="b">
        <v>0</v>
      </c>
      <c r="V91" s="2462" t="b">
        <v>0</v>
      </c>
    </row>
    <row r="92" outlineLevel="1">
      <c r="A92" s="146"/>
      <c r="B92" s="1167" t="s">
        <v>677</v>
      </c>
      <c r="C92" s="2463"/>
      <c r="D92" s="149" t="s">
        <v>386</v>
      </c>
      <c r="E92" s="2463"/>
      <c r="F92" s="2463"/>
      <c r="G92" s="2463"/>
      <c r="H92" s="106"/>
      <c r="I92" s="168"/>
      <c r="J92" s="107"/>
      <c r="K92" s="2464"/>
      <c r="L92" s="2464"/>
      <c r="M92" s="2464"/>
      <c r="N92" s="2464"/>
      <c r="O92" s="138"/>
      <c r="P92" s="138"/>
      <c r="Q92" s="138"/>
      <c r="R92" s="145" t="b">
        <v>0</v>
      </c>
      <c r="S92" s="145" t="b">
        <v>0</v>
      </c>
      <c r="T92" s="145" t="b">
        <v>0</v>
      </c>
      <c r="U92" s="210"/>
      <c r="V92" s="210"/>
    </row>
    <row r="93" outlineLevel="1">
      <c r="A93" s="156"/>
      <c r="B93" s="540" t="s">
        <v>863</v>
      </c>
      <c r="C93" s="2463"/>
      <c r="D93" s="149" t="s">
        <v>3873</v>
      </c>
      <c r="E93" s="2463"/>
      <c r="F93" s="2463"/>
      <c r="G93" s="2463"/>
      <c r="H93" s="2465" t="s">
        <v>3874</v>
      </c>
      <c r="I93" s="110"/>
      <c r="J93" s="109"/>
      <c r="K93" s="2464"/>
      <c r="L93" s="2464"/>
      <c r="M93" s="2464"/>
      <c r="N93" s="2464"/>
      <c r="O93" s="138">
        <v>0.0</v>
      </c>
      <c r="P93" s="138">
        <v>1.0</v>
      </c>
      <c r="Q93" s="138">
        <v>1.0</v>
      </c>
      <c r="R93" s="145" t="b">
        <v>0</v>
      </c>
      <c r="S93" s="145" t="b">
        <v>0</v>
      </c>
      <c r="T93" s="145"/>
      <c r="U93" s="107"/>
      <c r="V93" s="107"/>
    </row>
    <row r="94" outlineLevel="1">
      <c r="A94" s="230" t="s">
        <v>3875</v>
      </c>
      <c r="B94" s="109"/>
      <c r="C94" s="231" t="s">
        <v>48</v>
      </c>
      <c r="D94" s="231" t="s">
        <v>49</v>
      </c>
      <c r="E94" s="231" t="s">
        <v>50</v>
      </c>
      <c r="F94" s="235" t="s">
        <v>2313</v>
      </c>
      <c r="G94" s="231" t="s">
        <v>52</v>
      </c>
      <c r="H94" s="2447" t="s">
        <v>53</v>
      </c>
      <c r="I94" s="110"/>
      <c r="J94" s="109"/>
      <c r="K94" s="235" t="s">
        <v>137</v>
      </c>
      <c r="L94" s="235" t="s">
        <v>138</v>
      </c>
      <c r="M94" s="235" t="s">
        <v>139</v>
      </c>
      <c r="N94" s="235" t="s">
        <v>140</v>
      </c>
      <c r="O94" s="236" t="s">
        <v>141</v>
      </c>
      <c r="P94" s="235" t="s">
        <v>142</v>
      </c>
      <c r="Q94" s="236" t="s">
        <v>143</v>
      </c>
      <c r="R94" s="235" t="s">
        <v>179</v>
      </c>
      <c r="S94" s="236" t="s">
        <v>180</v>
      </c>
      <c r="T94" s="236" t="s">
        <v>181</v>
      </c>
      <c r="U94" s="236" t="s">
        <v>182</v>
      </c>
      <c r="V94" s="236" t="s">
        <v>183</v>
      </c>
    </row>
    <row r="95" ht="25.5" customHeight="1" outlineLevel="1">
      <c r="A95" s="383" t="s">
        <v>184</v>
      </c>
      <c r="B95" s="2466" t="s">
        <v>3876</v>
      </c>
      <c r="C95" s="136" t="s">
        <v>3877</v>
      </c>
      <c r="D95" s="393" t="s">
        <v>892</v>
      </c>
      <c r="E95" s="136" t="s">
        <v>176</v>
      </c>
      <c r="F95" s="252">
        <v>2.4</v>
      </c>
      <c r="G95" s="448" t="s">
        <v>123</v>
      </c>
      <c r="H95" s="2467" t="s">
        <v>3878</v>
      </c>
      <c r="J95" s="210"/>
      <c r="K95" s="2457"/>
      <c r="L95" s="2457"/>
      <c r="M95" s="2408"/>
      <c r="N95" s="2408"/>
      <c r="O95" s="138">
        <v>0.0</v>
      </c>
      <c r="P95" s="138">
        <v>1.0</v>
      </c>
      <c r="Q95" s="138">
        <v>1.0</v>
      </c>
      <c r="R95" s="145" t="b">
        <v>1</v>
      </c>
      <c r="S95" s="145" t="b">
        <v>0</v>
      </c>
      <c r="T95" s="145" t="b">
        <v>1</v>
      </c>
      <c r="U95" s="2468" t="s">
        <v>186</v>
      </c>
      <c r="V95" s="2469" t="b">
        <v>1</v>
      </c>
    </row>
    <row r="96" ht="25.5" customHeight="1" outlineLevel="1">
      <c r="A96" s="156"/>
      <c r="B96" s="402" t="s">
        <v>1485</v>
      </c>
      <c r="C96" s="239" t="s">
        <v>2153</v>
      </c>
      <c r="D96" s="107"/>
      <c r="E96" s="239" t="s">
        <v>274</v>
      </c>
      <c r="F96" s="138">
        <v>10.799999999999999</v>
      </c>
      <c r="G96" s="136" t="s">
        <v>147</v>
      </c>
      <c r="H96" s="168"/>
      <c r="I96" s="168"/>
      <c r="J96" s="107"/>
      <c r="K96" s="138"/>
      <c r="L96" s="138"/>
      <c r="M96" s="145"/>
      <c r="N96" s="145"/>
      <c r="O96" s="138">
        <v>0.0</v>
      </c>
      <c r="P96" s="138">
        <v>1.0</v>
      </c>
      <c r="Q96" s="138">
        <v>1.0</v>
      </c>
      <c r="R96" s="145" t="b">
        <v>1</v>
      </c>
      <c r="S96" s="145" t="b">
        <v>0</v>
      </c>
      <c r="T96" s="145" t="b">
        <v>1</v>
      </c>
      <c r="U96" s="107"/>
      <c r="V96" s="107"/>
    </row>
    <row r="97" outlineLevel="1">
      <c r="A97" s="230" t="s">
        <v>3879</v>
      </c>
      <c r="B97" s="109"/>
      <c r="C97" s="231" t="s">
        <v>48</v>
      </c>
      <c r="D97" s="231" t="s">
        <v>49</v>
      </c>
      <c r="E97" s="231" t="s">
        <v>50</v>
      </c>
      <c r="F97" s="235" t="s">
        <v>2313</v>
      </c>
      <c r="G97" s="231" t="s">
        <v>52</v>
      </c>
      <c r="H97" s="2447" t="s">
        <v>53</v>
      </c>
      <c r="I97" s="110"/>
      <c r="J97" s="109"/>
      <c r="K97" s="235" t="s">
        <v>137</v>
      </c>
      <c r="L97" s="235" t="s">
        <v>138</v>
      </c>
      <c r="M97" s="235" t="s">
        <v>139</v>
      </c>
      <c r="N97" s="235" t="s">
        <v>140</v>
      </c>
      <c r="O97" s="236" t="s">
        <v>141</v>
      </c>
      <c r="P97" s="235" t="s">
        <v>142</v>
      </c>
      <c r="Q97" s="236" t="s">
        <v>143</v>
      </c>
      <c r="R97" s="235" t="s">
        <v>179</v>
      </c>
      <c r="S97" s="236" t="s">
        <v>180</v>
      </c>
      <c r="T97" s="236" t="s">
        <v>181</v>
      </c>
      <c r="U97" s="236" t="s">
        <v>182</v>
      </c>
      <c r="V97" s="236" t="s">
        <v>183</v>
      </c>
    </row>
    <row r="98" outlineLevel="1">
      <c r="A98" s="383" t="s">
        <v>184</v>
      </c>
      <c r="B98" s="2406" t="s">
        <v>860</v>
      </c>
      <c r="C98" s="137" t="s">
        <v>3880</v>
      </c>
      <c r="D98" s="403" t="s">
        <v>268</v>
      </c>
      <c r="E98" s="137" t="s">
        <v>73</v>
      </c>
      <c r="F98" s="251">
        <v>4.8</v>
      </c>
      <c r="G98" s="397" t="s">
        <v>75</v>
      </c>
      <c r="H98" s="2360" t="s">
        <v>3881</v>
      </c>
      <c r="I98" s="164"/>
      <c r="J98" s="104"/>
      <c r="K98" s="2470"/>
      <c r="L98" s="2470"/>
      <c r="M98" s="2471"/>
      <c r="N98" s="2471"/>
      <c r="O98" s="138">
        <v>0.0</v>
      </c>
      <c r="P98" s="138">
        <v>1.0</v>
      </c>
      <c r="Q98" s="138">
        <v>1.0</v>
      </c>
      <c r="R98" s="145" t="b">
        <v>0</v>
      </c>
      <c r="S98" s="145" t="b">
        <v>0</v>
      </c>
      <c r="T98" s="145"/>
      <c r="U98" s="2356" t="s">
        <v>186</v>
      </c>
      <c r="V98" s="2472" t="b">
        <v>1</v>
      </c>
    </row>
    <row r="99" outlineLevel="1">
      <c r="A99" s="146"/>
      <c r="B99" s="540" t="s">
        <v>3882</v>
      </c>
      <c r="C99" s="448" t="s">
        <v>213</v>
      </c>
      <c r="D99" s="403" t="s">
        <v>86</v>
      </c>
      <c r="E99" s="136" t="s">
        <v>209</v>
      </c>
      <c r="F99" s="136" t="s">
        <v>209</v>
      </c>
      <c r="G99" s="2463"/>
      <c r="H99" s="106"/>
      <c r="I99" s="168"/>
      <c r="J99" s="107"/>
      <c r="K99" s="2470"/>
      <c r="L99" s="2470"/>
      <c r="M99" s="2471"/>
      <c r="N99" s="2471"/>
      <c r="O99" s="138"/>
      <c r="P99" s="138"/>
      <c r="Q99" s="138"/>
      <c r="R99" s="145" t="b">
        <v>0</v>
      </c>
      <c r="S99" s="145" t="b">
        <v>0</v>
      </c>
      <c r="T99" s="145" t="b">
        <v>0</v>
      </c>
      <c r="U99" s="146"/>
      <c r="V99" s="146"/>
    </row>
    <row r="100" outlineLevel="1">
      <c r="A100" s="156"/>
      <c r="B100" s="540" t="s">
        <v>1093</v>
      </c>
      <c r="C100" s="2463"/>
      <c r="D100" s="137" t="s">
        <v>3883</v>
      </c>
      <c r="E100" s="2463"/>
      <c r="F100" s="2463"/>
      <c r="G100" s="2463"/>
      <c r="H100" s="2465" t="s">
        <v>1095</v>
      </c>
      <c r="I100" s="110"/>
      <c r="J100" s="109"/>
      <c r="K100" s="2470"/>
      <c r="L100" s="2470"/>
      <c r="M100" s="2471"/>
      <c r="N100" s="2471"/>
      <c r="O100" s="138">
        <v>0.0</v>
      </c>
      <c r="P100" s="138">
        <v>1.0</v>
      </c>
      <c r="Q100" s="138">
        <v>1.0</v>
      </c>
      <c r="R100" s="145" t="b">
        <v>0</v>
      </c>
      <c r="S100" s="145" t="b">
        <v>0</v>
      </c>
      <c r="T100" s="145"/>
      <c r="U100" s="156"/>
      <c r="V100" s="156"/>
    </row>
    <row r="101">
      <c r="A101" s="223"/>
      <c r="B101" s="224"/>
      <c r="C101" s="225"/>
      <c r="D101" s="225"/>
      <c r="E101" s="226"/>
      <c r="F101" s="226"/>
      <c r="G101" s="226"/>
      <c r="H101" s="227"/>
      <c r="I101" s="227"/>
      <c r="J101" s="228"/>
      <c r="K101" s="228"/>
      <c r="L101" s="228"/>
      <c r="M101" s="228"/>
      <c r="N101" s="228"/>
      <c r="O101" s="228"/>
      <c r="P101" s="228"/>
      <c r="Q101" s="118"/>
      <c r="R101" s="118"/>
      <c r="S101" s="118"/>
      <c r="T101" s="118"/>
      <c r="U101" s="118"/>
      <c r="V101" s="118"/>
    </row>
    <row r="102">
      <c r="A102" s="264" t="str">
        <f>'テンプレート'!A91</f>
        <v>つかみ・投げ</v>
      </c>
      <c r="B102" s="104"/>
      <c r="C102" s="227"/>
      <c r="D102" s="227"/>
      <c r="E102" s="228"/>
      <c r="F102" s="265"/>
      <c r="G102" s="265"/>
      <c r="H102" s="228"/>
      <c r="I102" s="228"/>
      <c r="J102" s="228"/>
      <c r="K102" s="228"/>
      <c r="L102" s="228"/>
      <c r="M102" s="228"/>
      <c r="N102" s="118"/>
      <c r="O102" s="118"/>
      <c r="P102" s="118"/>
      <c r="Q102" s="228"/>
      <c r="R102" s="228"/>
      <c r="S102" s="228"/>
      <c r="T102" s="228"/>
      <c r="U102" s="228"/>
      <c r="V102" s="228"/>
    </row>
    <row r="103" outlineLevel="1">
      <c r="A103" s="106"/>
      <c r="B103" s="107"/>
      <c r="C103" s="266" t="str">
        <f>'テンプレート'!C92</f>
        <v>判定持続</v>
      </c>
      <c r="D103" s="266" t="str">
        <f>'テンプレート'!D92</f>
        <v>全体フレーム</v>
      </c>
      <c r="E103" s="266" t="str">
        <f>'テンプレート'!E92</f>
        <v>基礎ダメージ</v>
      </c>
      <c r="F103" s="267" t="str">
        <f>'テンプレート'!F92</f>
        <v>ダメージ (1v1)</v>
      </c>
      <c r="G103" s="227"/>
      <c r="H103" s="227"/>
      <c r="I103" s="227"/>
      <c r="J103" s="228"/>
      <c r="K103" s="228"/>
      <c r="L103" s="228"/>
      <c r="M103" s="228"/>
      <c r="N103" s="228"/>
      <c r="O103" s="228"/>
      <c r="P103" s="228"/>
      <c r="Q103" s="228"/>
      <c r="R103" s="228"/>
      <c r="S103" s="228"/>
      <c r="T103" s="228"/>
      <c r="U103" s="228"/>
      <c r="V103" s="228"/>
    </row>
    <row r="104" outlineLevel="1">
      <c r="A104" s="268" t="str">
        <f>'テンプレート'!A93</f>
        <v>つかみ攻撃</v>
      </c>
      <c r="B104" s="269" t="str">
        <f>'テンプレート'!B93</f>
        <v>つかみ攻撃</v>
      </c>
      <c r="C104" s="239" t="s">
        <v>213</v>
      </c>
      <c r="D104" s="239" t="s">
        <v>86</v>
      </c>
      <c r="E104" s="113" t="s">
        <v>214</v>
      </c>
      <c r="F104" s="138">
        <f>E104*1.2</f>
        <v>1.56</v>
      </c>
      <c r="G104" s="227"/>
      <c r="H104" s="227"/>
      <c r="I104" s="227"/>
      <c r="J104" s="228"/>
      <c r="K104" s="228"/>
      <c r="L104" s="228"/>
      <c r="M104" s="228"/>
      <c r="N104" s="228"/>
      <c r="O104" s="228"/>
      <c r="P104" s="228"/>
      <c r="Q104" s="228"/>
      <c r="R104" s="228"/>
      <c r="S104" s="228"/>
      <c r="T104" s="228"/>
      <c r="U104" s="228"/>
      <c r="V104" s="228"/>
    </row>
    <row r="105" outlineLevel="1">
      <c r="A105" s="270" t="str">
        <f>'テンプレート'!A94</f>
        <v>つかみ</v>
      </c>
      <c r="B105" s="269" t="str">
        <f>'テンプレート'!B94</f>
        <v>その場</v>
      </c>
      <c r="C105" s="239" t="s">
        <v>3884</v>
      </c>
      <c r="D105" s="239" t="s">
        <v>218</v>
      </c>
      <c r="E105" s="271"/>
      <c r="F105" s="272"/>
      <c r="G105" s="272"/>
      <c r="H105" s="227"/>
      <c r="I105" s="227"/>
      <c r="J105" s="228"/>
      <c r="K105" s="228"/>
      <c r="L105" s="228"/>
      <c r="M105" s="228"/>
      <c r="N105" s="228"/>
      <c r="O105" s="228"/>
      <c r="P105" s="228"/>
      <c r="Q105" s="228"/>
      <c r="R105" s="228"/>
      <c r="S105" s="228"/>
      <c r="T105" s="228"/>
      <c r="U105" s="228"/>
      <c r="V105" s="228"/>
    </row>
    <row r="106" outlineLevel="1">
      <c r="A106" s="212"/>
      <c r="B106" s="269" t="str">
        <f>'テンプレート'!B95</f>
        <v>ダッシュ</v>
      </c>
      <c r="C106" s="239" t="s">
        <v>220</v>
      </c>
      <c r="D106" s="239" t="s">
        <v>221</v>
      </c>
      <c r="E106" s="271"/>
      <c r="F106" s="272"/>
      <c r="G106" s="272"/>
      <c r="H106" s="227"/>
      <c r="I106" s="227"/>
      <c r="J106" s="228"/>
      <c r="K106" s="228"/>
      <c r="L106" s="228"/>
      <c r="M106" s="228"/>
      <c r="N106" s="228"/>
      <c r="O106" s="228"/>
      <c r="P106" s="228"/>
      <c r="Q106" s="228"/>
      <c r="R106" s="228"/>
      <c r="S106" s="228"/>
      <c r="T106" s="228"/>
      <c r="U106" s="228"/>
      <c r="V106" s="228"/>
    </row>
    <row r="107" outlineLevel="1">
      <c r="A107" s="106"/>
      <c r="B107" s="269" t="str">
        <f>'テンプレート'!B96</f>
        <v>ふりむき</v>
      </c>
      <c r="C107" s="239" t="s">
        <v>223</v>
      </c>
      <c r="D107" s="239" t="s">
        <v>79</v>
      </c>
      <c r="E107" s="227"/>
      <c r="F107" s="272"/>
      <c r="G107" s="272"/>
      <c r="H107" s="227"/>
      <c r="I107" s="227"/>
      <c r="J107" s="228"/>
      <c r="K107" s="228"/>
      <c r="L107" s="228"/>
      <c r="M107" s="228"/>
      <c r="N107" s="228"/>
      <c r="O107" s="228"/>
      <c r="P107" s="228"/>
      <c r="Q107" s="228"/>
      <c r="R107" s="228"/>
      <c r="S107" s="228"/>
      <c r="T107" s="228"/>
      <c r="U107" s="228"/>
      <c r="V107" s="228"/>
    </row>
    <row r="108" outlineLevel="1">
      <c r="A108" s="273" t="str">
        <f>'テンプレート'!A97</f>
        <v>投げ</v>
      </c>
      <c r="B108" s="109"/>
      <c r="C108" s="266" t="str">
        <f>'テンプレート'!C97</f>
        <v>判定持続</v>
      </c>
      <c r="D108" s="266" t="str">
        <f>'テンプレート'!D97</f>
        <v>全体フレーム</v>
      </c>
      <c r="E108" s="266" t="str">
        <f>'テンプレート'!E97</f>
        <v>基礎ダメージ</v>
      </c>
      <c r="F108" s="266" t="str">
        <f>'テンプレート'!F97</f>
        <v>ダメージ (1v1)</v>
      </c>
      <c r="G108" s="669" t="str">
        <f>'テンプレート'!G97</f>
        <v>備考</v>
      </c>
      <c r="H108" s="110"/>
      <c r="I108" s="110"/>
      <c r="J108" s="109"/>
      <c r="K108" s="2473"/>
      <c r="L108" s="275" t="str">
        <f>'テンプレート'!K97</f>
        <v>ベクトル</v>
      </c>
      <c r="M108" s="275" t="str">
        <f>'テンプレート'!L97</f>
        <v>KBG (R.E.)</v>
      </c>
      <c r="N108" s="275" t="str">
        <f>'テンプレート'!M97</f>
        <v>BKB (R.A.)</v>
      </c>
      <c r="O108" s="275" t="str">
        <f>'テンプレート'!N97</f>
        <v>FKB (R.F.)</v>
      </c>
      <c r="P108" s="276" t="str">
        <f>'テンプレート'!O97</f>
        <v>盾削り値</v>
      </c>
      <c r="Q108" s="275" t="str">
        <f>'テンプレート'!P97</f>
        <v>ﾋｯﾄｽﾄｯﾌﾟ</v>
      </c>
      <c r="R108" s="276" t="str">
        <f>'テンプレート'!Q97</f>
        <v>ずらし</v>
      </c>
      <c r="S108" s="277"/>
      <c r="T108" s="277"/>
      <c r="U108" s="277"/>
      <c r="V108" s="277"/>
    </row>
    <row r="109" outlineLevel="1">
      <c r="A109" s="278" t="str">
        <f>'テンプレート'!A98</f>
        <v>前投げ</v>
      </c>
      <c r="B109" s="269" t="str">
        <f>'テンプレート'!B98</f>
        <v>打撃</v>
      </c>
      <c r="C109" s="239" t="s">
        <v>3885</v>
      </c>
      <c r="D109" s="367">
        <v>33.0</v>
      </c>
      <c r="E109" s="239" t="s">
        <v>73</v>
      </c>
      <c r="F109" s="138">
        <v>4.8</v>
      </c>
      <c r="G109" s="416"/>
      <c r="H109" s="164"/>
      <c r="I109" s="164"/>
      <c r="J109" s="104"/>
      <c r="K109" s="282"/>
      <c r="L109" s="282"/>
      <c r="M109" s="363"/>
      <c r="N109" s="363"/>
      <c r="O109" s="145">
        <v>1.0</v>
      </c>
      <c r="P109" s="145">
        <v>1.0</v>
      </c>
      <c r="Q109" s="145">
        <v>1.0</v>
      </c>
      <c r="R109" s="277"/>
      <c r="S109" s="228"/>
      <c r="T109" s="228"/>
      <c r="U109" s="228"/>
      <c r="V109" s="228"/>
    </row>
    <row r="110" outlineLevel="1">
      <c r="A110" s="156"/>
      <c r="B110" s="269" t="str">
        <f>'テンプレート'!B99</f>
        <v>投げ</v>
      </c>
      <c r="C110" s="239">
        <v>12.0</v>
      </c>
      <c r="D110" s="156"/>
      <c r="E110" s="239" t="s">
        <v>204</v>
      </c>
      <c r="F110" s="138">
        <v>3.5999999999999996</v>
      </c>
      <c r="G110" s="106"/>
      <c r="H110" s="168"/>
      <c r="I110" s="168"/>
      <c r="J110" s="107"/>
      <c r="K110" s="282"/>
      <c r="L110" s="282"/>
      <c r="M110" s="363"/>
      <c r="N110" s="363"/>
      <c r="O110" s="261"/>
      <c r="P110" s="261"/>
      <c r="Q110" s="261"/>
      <c r="R110" s="277"/>
      <c r="S110" s="228"/>
      <c r="T110" s="228"/>
      <c r="U110" s="228"/>
      <c r="V110" s="228"/>
    </row>
    <row r="111" outlineLevel="1">
      <c r="A111" s="278" t="str">
        <f>'テンプレート'!A100</f>
        <v>後投げ</v>
      </c>
      <c r="B111" s="269" t="s">
        <v>3208</v>
      </c>
      <c r="C111" s="244" t="s">
        <v>351</v>
      </c>
      <c r="D111" s="367">
        <v>49.0</v>
      </c>
      <c r="E111" s="239" t="s">
        <v>73</v>
      </c>
      <c r="F111" s="138">
        <v>4.8</v>
      </c>
      <c r="G111" s="413" t="s">
        <v>3886</v>
      </c>
      <c r="H111" s="164"/>
      <c r="I111" s="164"/>
      <c r="J111" s="104"/>
      <c r="K111" s="282"/>
      <c r="L111" s="282"/>
      <c r="M111" s="363"/>
      <c r="N111" s="363"/>
      <c r="O111" s="145">
        <v>0.0</v>
      </c>
      <c r="P111" s="145">
        <v>1.0</v>
      </c>
      <c r="Q111" s="145">
        <v>1.0</v>
      </c>
      <c r="R111" s="277"/>
      <c r="S111" s="228"/>
      <c r="T111" s="228"/>
      <c r="U111" s="228"/>
      <c r="V111" s="228"/>
    </row>
    <row r="112" outlineLevel="1">
      <c r="A112" s="146"/>
      <c r="B112" s="269" t="s">
        <v>3887</v>
      </c>
      <c r="C112" s="239" t="s">
        <v>3888</v>
      </c>
      <c r="D112" s="146"/>
      <c r="E112" s="239" t="s">
        <v>204</v>
      </c>
      <c r="F112" s="138">
        <v>3.6</v>
      </c>
      <c r="G112" s="212"/>
      <c r="J112" s="210"/>
      <c r="K112" s="282"/>
      <c r="L112" s="282"/>
      <c r="M112" s="363"/>
      <c r="N112" s="363"/>
      <c r="O112" s="261"/>
      <c r="P112" s="261"/>
      <c r="Q112" s="261"/>
      <c r="R112" s="277"/>
      <c r="S112" s="228"/>
      <c r="T112" s="228"/>
      <c r="U112" s="228"/>
      <c r="V112" s="228"/>
    </row>
    <row r="113" outlineLevel="1">
      <c r="A113" s="156"/>
      <c r="B113" s="269" t="str">
        <f>'テンプレート'!B101</f>
        <v>投げ</v>
      </c>
      <c r="C113" s="239">
        <v>10.0</v>
      </c>
      <c r="D113" s="156"/>
      <c r="E113" s="239" t="s">
        <v>93</v>
      </c>
      <c r="F113" s="138">
        <v>8.4</v>
      </c>
      <c r="G113" s="106"/>
      <c r="H113" s="168"/>
      <c r="I113" s="168"/>
      <c r="J113" s="107"/>
      <c r="K113" s="282"/>
      <c r="L113" s="282"/>
      <c r="M113" s="363"/>
      <c r="N113" s="363"/>
      <c r="O113" s="261"/>
      <c r="P113" s="261"/>
      <c r="Q113" s="261"/>
      <c r="R113" s="277"/>
      <c r="S113" s="228"/>
      <c r="T113" s="228"/>
      <c r="U113" s="228"/>
      <c r="V113" s="228"/>
    </row>
    <row r="114" outlineLevel="1">
      <c r="A114" s="278" t="str">
        <f>'テンプレート'!A102</f>
        <v>上投げ</v>
      </c>
      <c r="B114" s="269" t="s">
        <v>3889</v>
      </c>
      <c r="C114" s="239" t="s">
        <v>653</v>
      </c>
      <c r="D114" s="367" t="s">
        <v>455</v>
      </c>
      <c r="E114" s="239" t="s">
        <v>73</v>
      </c>
      <c r="F114" s="138">
        <v>4.8</v>
      </c>
      <c r="G114" s="413" t="s">
        <v>3886</v>
      </c>
      <c r="H114" s="164"/>
      <c r="I114" s="164"/>
      <c r="J114" s="104"/>
      <c r="K114" s="282"/>
      <c r="L114" s="282"/>
      <c r="M114" s="363"/>
      <c r="N114" s="363"/>
      <c r="O114" s="145">
        <v>0.0</v>
      </c>
      <c r="P114" s="145">
        <v>1.0</v>
      </c>
      <c r="Q114" s="145">
        <v>1.0</v>
      </c>
      <c r="R114" s="277"/>
      <c r="S114" s="228"/>
      <c r="T114" s="228"/>
      <c r="U114" s="228"/>
      <c r="V114" s="228"/>
    </row>
    <row r="115" outlineLevel="1">
      <c r="A115" s="146"/>
      <c r="B115" s="269" t="s">
        <v>3890</v>
      </c>
      <c r="C115" s="239" t="s">
        <v>3891</v>
      </c>
      <c r="D115" s="146"/>
      <c r="E115" s="239" t="s">
        <v>204</v>
      </c>
      <c r="F115" s="138">
        <v>3.6</v>
      </c>
      <c r="G115" s="212"/>
      <c r="J115" s="210"/>
      <c r="K115" s="282"/>
      <c r="L115" s="282"/>
      <c r="M115" s="363"/>
      <c r="N115" s="363"/>
      <c r="O115" s="261"/>
      <c r="P115" s="261"/>
      <c r="Q115" s="261"/>
      <c r="R115" s="277"/>
      <c r="S115" s="117"/>
      <c r="T115" s="117"/>
      <c r="U115" s="117"/>
      <c r="V115" s="117"/>
    </row>
    <row r="116" outlineLevel="1">
      <c r="A116" s="146"/>
      <c r="B116" s="269" t="s">
        <v>3892</v>
      </c>
      <c r="C116" s="239" t="s">
        <v>784</v>
      </c>
      <c r="D116" s="146"/>
      <c r="E116" s="239" t="s">
        <v>73</v>
      </c>
      <c r="F116" s="138">
        <v>4.8</v>
      </c>
      <c r="G116" s="212"/>
      <c r="J116" s="210"/>
      <c r="K116" s="282"/>
      <c r="L116" s="282"/>
      <c r="M116" s="363"/>
      <c r="N116" s="363"/>
      <c r="O116" s="261"/>
      <c r="P116" s="261"/>
      <c r="Q116" s="261"/>
      <c r="R116" s="277"/>
      <c r="S116" s="117"/>
      <c r="T116" s="117"/>
      <c r="U116" s="117"/>
      <c r="V116" s="117"/>
    </row>
    <row r="117" outlineLevel="1">
      <c r="A117" s="146"/>
      <c r="B117" s="269" t="s">
        <v>3893</v>
      </c>
      <c r="C117" s="239" t="s">
        <v>3894</v>
      </c>
      <c r="D117" s="146"/>
      <c r="E117" s="239" t="s">
        <v>204</v>
      </c>
      <c r="F117" s="138">
        <v>3.6</v>
      </c>
      <c r="G117" s="212"/>
      <c r="J117" s="210"/>
      <c r="K117" s="282"/>
      <c r="L117" s="282"/>
      <c r="M117" s="363"/>
      <c r="N117" s="363"/>
      <c r="O117" s="261"/>
      <c r="P117" s="261"/>
      <c r="Q117" s="261"/>
      <c r="R117" s="277"/>
      <c r="S117" s="117"/>
      <c r="T117" s="117"/>
      <c r="U117" s="117"/>
      <c r="V117" s="117"/>
    </row>
    <row r="118" outlineLevel="1">
      <c r="A118" s="156"/>
      <c r="B118" s="269" t="str">
        <f>'テンプレート'!B103</f>
        <v>投げ</v>
      </c>
      <c r="C118" s="239">
        <v>7.0</v>
      </c>
      <c r="D118" s="156"/>
      <c r="E118" s="239" t="s">
        <v>93</v>
      </c>
      <c r="F118" s="138">
        <v>8.4</v>
      </c>
      <c r="G118" s="106"/>
      <c r="H118" s="168"/>
      <c r="I118" s="168"/>
      <c r="J118" s="107"/>
      <c r="K118" s="282"/>
      <c r="L118" s="282"/>
      <c r="M118" s="363"/>
      <c r="N118" s="363"/>
      <c r="O118" s="261"/>
      <c r="P118" s="261"/>
      <c r="Q118" s="261"/>
      <c r="R118" s="277"/>
      <c r="S118" s="117"/>
      <c r="T118" s="117"/>
      <c r="U118" s="117"/>
      <c r="V118" s="117"/>
    </row>
    <row r="119" outlineLevel="1">
      <c r="A119" s="278" t="str">
        <f>'テンプレート'!A104</f>
        <v>下投げ</v>
      </c>
      <c r="B119" s="269" t="str">
        <f>'テンプレート'!B104</f>
        <v>打撃</v>
      </c>
      <c r="C119" s="553"/>
      <c r="D119" s="367" t="s">
        <v>628</v>
      </c>
      <c r="E119" s="261"/>
      <c r="F119" s="261"/>
      <c r="G119" s="416"/>
      <c r="H119" s="164"/>
      <c r="I119" s="164"/>
      <c r="J119" s="104"/>
      <c r="K119" s="261"/>
      <c r="L119" s="261"/>
      <c r="M119" s="261"/>
      <c r="N119" s="261"/>
      <c r="O119" s="261"/>
      <c r="P119" s="261"/>
      <c r="Q119" s="261"/>
      <c r="R119" s="277"/>
      <c r="S119" s="117"/>
      <c r="T119" s="117"/>
      <c r="U119" s="117"/>
      <c r="V119" s="117"/>
    </row>
    <row r="120" outlineLevel="1">
      <c r="A120" s="156"/>
      <c r="B120" s="269" t="str">
        <f>'テンプレート'!B105</f>
        <v>投げ</v>
      </c>
      <c r="C120" s="113">
        <v>16.0</v>
      </c>
      <c r="D120" s="156"/>
      <c r="E120" s="239" t="s">
        <v>93</v>
      </c>
      <c r="F120" s="138">
        <v>8.4</v>
      </c>
      <c r="G120" s="106"/>
      <c r="H120" s="168"/>
      <c r="I120" s="168"/>
      <c r="J120" s="107"/>
      <c r="K120" s="282"/>
      <c r="L120" s="282"/>
      <c r="M120" s="363"/>
      <c r="N120" s="363"/>
      <c r="O120" s="261"/>
      <c r="P120" s="261"/>
      <c r="Q120" s="261"/>
      <c r="R120" s="277"/>
      <c r="S120" s="117"/>
      <c r="T120" s="117"/>
      <c r="U120" s="117"/>
      <c r="V120" s="117"/>
    </row>
    <row r="121">
      <c r="A121" s="223"/>
      <c r="B121" s="224"/>
      <c r="C121" s="225"/>
      <c r="D121" s="225"/>
      <c r="E121" s="227"/>
      <c r="F121" s="177"/>
      <c r="G121" s="177"/>
      <c r="H121" s="227"/>
      <c r="I121" s="227"/>
      <c r="J121" s="228"/>
      <c r="K121" s="228"/>
      <c r="L121" s="111"/>
      <c r="M121" s="111"/>
      <c r="N121" s="111"/>
      <c r="O121" s="117"/>
      <c r="P121" s="117"/>
      <c r="Q121" s="111"/>
      <c r="R121" s="111"/>
      <c r="S121" s="111"/>
      <c r="T121" s="111"/>
      <c r="U121" s="111"/>
      <c r="V121" s="111"/>
    </row>
    <row r="122">
      <c r="A122" s="284" t="str">
        <f>'テンプレート'!A107</f>
        <v>回避</v>
      </c>
      <c r="B122" s="104"/>
      <c r="C122" s="265"/>
      <c r="D122" s="111"/>
      <c r="E122" s="111"/>
      <c r="F122" s="111"/>
      <c r="G122" s="111"/>
      <c r="H122" s="111"/>
      <c r="I122" s="111"/>
      <c r="J122" s="118"/>
      <c r="K122" s="111"/>
      <c r="L122" s="111"/>
      <c r="M122" s="111"/>
      <c r="N122" s="111"/>
      <c r="O122" s="111"/>
      <c r="P122" s="111"/>
      <c r="Q122" s="118"/>
      <c r="R122" s="111"/>
      <c r="S122" s="111"/>
      <c r="T122" s="111"/>
      <c r="U122" s="111"/>
      <c r="V122" s="111"/>
    </row>
    <row r="123" outlineLevel="1">
      <c r="A123" s="106"/>
      <c r="B123" s="107"/>
      <c r="C123" s="285" t="s">
        <v>235</v>
      </c>
      <c r="D123" s="285" t="s">
        <v>236</v>
      </c>
      <c r="E123" s="285" t="s">
        <v>49</v>
      </c>
      <c r="F123" s="285" t="s">
        <v>237</v>
      </c>
      <c r="G123" s="286"/>
      <c r="H123" s="227"/>
      <c r="I123" s="227"/>
      <c r="J123" s="228"/>
      <c r="K123" s="228"/>
      <c r="L123" s="111"/>
      <c r="M123" s="111"/>
      <c r="N123" s="111"/>
      <c r="O123" s="111"/>
      <c r="P123" s="111"/>
      <c r="Q123" s="111"/>
      <c r="R123" s="111"/>
      <c r="S123" s="111"/>
      <c r="T123" s="111"/>
      <c r="U123" s="111"/>
      <c r="V123" s="111"/>
    </row>
    <row r="124" outlineLevel="1">
      <c r="A124" s="287" t="str">
        <f>'テンプレート'!A109</f>
        <v>地上回避</v>
      </c>
      <c r="B124" s="288" t="str">
        <f>'テンプレート'!B109</f>
        <v>その場</v>
      </c>
      <c r="C124" s="113" t="str">
        <f t="array" ref="C124">INDEX('回避'!$C$3:$U$84, MATCH($A$1,'回避'!$A$3:$A$91,0), MATCH(C123,'回避'!$C$2:$F$2,0))</f>
        <v>3-17</v>
      </c>
      <c r="D124" s="113" t="str">
        <f t="array" ref="D124">INDEX('回避'!$C$3:$U$84, MATCH($A$1,'回避'!$A$3:$A$91,0), MATCH(D123,'回避'!$C$2:$F$2,0))</f>
        <v>6-17</v>
      </c>
      <c r="E124" s="113" t="str">
        <f t="array" ref="E124">INDEX('回避'!$C$3:$U$84, MATCH($A$1,'回避'!$A$3:$A$91,0), MATCH(E123,'回避'!$C$2:$F$2,0))</f>
        <v>25 (20)</v>
      </c>
      <c r="F124" s="113" t="str">
        <f t="array" ref="F124">INDEX('回避'!$C$3:$U$84, MATCH($A$1,'回避'!$A$3:$A$91,0), MATCH(F123,'回避'!$C$2:$F$2,0))</f>
        <v>33 (27)</v>
      </c>
      <c r="G124" s="272"/>
      <c r="H124" s="227"/>
      <c r="I124" s="227"/>
      <c r="J124" s="228"/>
      <c r="K124" s="228"/>
      <c r="L124" s="228"/>
      <c r="M124" s="111"/>
      <c r="N124" s="111"/>
      <c r="O124" s="111"/>
      <c r="P124" s="111"/>
      <c r="Q124" s="111"/>
      <c r="R124" s="111"/>
      <c r="S124" s="111"/>
      <c r="T124" s="111"/>
      <c r="U124" s="111"/>
      <c r="V124" s="111"/>
    </row>
    <row r="125" outlineLevel="1">
      <c r="A125" s="212"/>
      <c r="B125" s="288" t="str">
        <f>'テンプレート'!B110</f>
        <v>前方</v>
      </c>
      <c r="C125" s="113" t="str">
        <f t="array" ref="C125">INDEX('回避'!$G$3:$U$84, MATCH($A$1,'回避'!$A$3:$A$91,0), MATCH(C123,'回避'!$G$2:$J$2,0))</f>
        <v>4-15</v>
      </c>
      <c r="D125" s="113" t="str">
        <f t="array" ref="D125">INDEX('回避'!$G$3:$U$84, MATCH($A$1,'回避'!$A$3:$A$91,0), MATCH(D123,'回避'!$G$2:$J$2,0))</f>
        <v>8-14</v>
      </c>
      <c r="E125" s="113" t="str">
        <f t="array" ref="E125">INDEX('回避'!$G$3:$U$84, MATCH($A$1,'回避'!$A$3:$A$91,0), MATCH(E123,'回避'!$G$2:$J$2,0))</f>
        <v>29</v>
      </c>
      <c r="F125" s="113">
        <f t="array" ref="F125">INDEX('回避'!$G$3:$U$84, MATCH($A$1,'回避'!$A$3:$A$91,0), MATCH(F123,'回避'!$G$2:$J$2,0))</f>
        <v>38</v>
      </c>
      <c r="G125" s="289"/>
      <c r="H125" s="227"/>
      <c r="I125" s="227"/>
      <c r="J125" s="228"/>
      <c r="K125" s="228"/>
      <c r="L125" s="228"/>
      <c r="M125" s="228"/>
      <c r="N125" s="228"/>
      <c r="O125" s="111"/>
      <c r="P125" s="111"/>
      <c r="Q125" s="111"/>
      <c r="R125" s="111"/>
      <c r="S125" s="111"/>
      <c r="T125" s="111"/>
      <c r="U125" s="111"/>
      <c r="V125" s="111"/>
    </row>
    <row r="126" outlineLevel="1">
      <c r="A126" s="106"/>
      <c r="B126" s="288" t="str">
        <f>'テンプレート'!B111</f>
        <v>後方</v>
      </c>
      <c r="C126" s="113" t="str">
        <f t="array" ref="C126">INDEX('回避'!$K$3:$U$84, MATCH($A$1,'回避'!$A$3:$A$91,0), MATCH(C123,'回避'!$K$2:$N$2,0))</f>
        <v>5-16</v>
      </c>
      <c r="D126" s="113" t="str">
        <f t="array" ref="D126">INDEX('回避'!$K$3:$U$84, MATCH($A$1,'回避'!$A$3:$A$91,0), MATCH(D123,'回避'!$K$2:$N$2,0))</f>
        <v>9-14</v>
      </c>
      <c r="E126" s="113" t="str">
        <f t="array" ref="E126">INDEX('回避'!$K$3:$U$84, MATCH($A$1,'回避'!$A$3:$A$91,0), MATCH(E123,'回避'!$K$2:$N$2,0))</f>
        <v>34</v>
      </c>
      <c r="F126" s="113" t="str">
        <f t="array" ref="F126">INDEX('回避'!$K$3:$U$84, MATCH($A$1,'回避'!$A$3:$A$91,0), MATCH(F123,'回避'!$K$2:$N$2,0))</f>
        <v>51</v>
      </c>
      <c r="G126" s="289"/>
      <c r="H126" s="290"/>
      <c r="I126" s="290"/>
      <c r="J126" s="117"/>
      <c r="K126" s="117"/>
      <c r="L126" s="117"/>
      <c r="M126" s="117"/>
      <c r="N126" s="117"/>
      <c r="O126" s="111"/>
      <c r="P126" s="111"/>
      <c r="Q126" s="111"/>
      <c r="R126" s="111"/>
      <c r="S126" s="111"/>
      <c r="T126" s="111"/>
      <c r="U126" s="111"/>
      <c r="V126" s="111"/>
    </row>
    <row r="127" outlineLevel="1">
      <c r="A127" s="287" t="str">
        <f>'テンプレート'!A112</f>
        <v>空中回避</v>
      </c>
      <c r="B127" s="288" t="str">
        <f>'テンプレート'!B112</f>
        <v>通常</v>
      </c>
      <c r="C127" s="113" t="str">
        <f t="array" ref="C127">INDEX('回避'!$O$3:$U$84, MATCH($A$1,'回避'!$A$3:$A$91,0), MATCH(C123,'回避'!$O$2:$R$2,0))</f>
        <v>3-29</v>
      </c>
      <c r="D127" s="113" t="str">
        <f t="array" ref="D127">INDEX('回避'!$O$3:$U$84, MATCH($A$1,'回避'!$A$3:$A$91,0), MATCH(D123,'回避'!$O$2:$R$2,0))</f>
        <v>6-27</v>
      </c>
      <c r="E127" s="113" t="str">
        <f t="array" ref="E127">INDEX('回避'!$O$3:$U$84, MATCH($A$1,'回避'!$A$3:$A$91,0), MATCH(E123,'回避'!$O$2:$R$2,0))</f>
        <v>52</v>
      </c>
      <c r="F127" s="177"/>
      <c r="G127" s="177"/>
      <c r="H127" s="118"/>
      <c r="I127" s="118"/>
      <c r="J127" s="111"/>
      <c r="K127" s="111"/>
      <c r="L127" s="111"/>
      <c r="M127" s="111"/>
      <c r="N127" s="111"/>
      <c r="O127" s="228"/>
      <c r="P127" s="228"/>
      <c r="Q127" s="228"/>
      <c r="R127" s="228"/>
      <c r="S127" s="228"/>
      <c r="T127" s="228"/>
      <c r="U127" s="228"/>
      <c r="V127" s="228"/>
    </row>
    <row r="128" outlineLevel="1">
      <c r="A128" s="106"/>
      <c r="B128" s="288" t="str">
        <f>'テンプレート'!B113</f>
        <v>移動</v>
      </c>
      <c r="C128" s="113" t="str">
        <f t="array" ref="C128">INDEX('回避'!$S$3:$U$84, MATCH($A$1,'回避'!$A$3:$A$91,0), MATCH(C123,'回避'!$S$2:$U$2,0))</f>
        <v>3-21</v>
      </c>
      <c r="D128" s="113" t="str">
        <f t="array" ref="D128">INDEX('回避'!$S$3:$U$84, MATCH($A$1,'回避'!$A$3:$A$91,0), MATCH(D123,'回避'!$S$2:$U$2,0))</f>
        <v>6-20</v>
      </c>
      <c r="E128" s="113" t="str">
        <f t="array" ref="E128">INDEX('回避'!$S$3:$U$84, MATCH($A$1,'回避'!$A$3:$A$91,0), MATCH(E123,'回避'!$S$2:$U$2,0))</f>
        <v>真横：87
真上：114
真下：73</v>
      </c>
      <c r="F128" s="289"/>
      <c r="G128" s="289"/>
      <c r="H128" s="118"/>
      <c r="I128" s="118"/>
      <c r="J128" s="117"/>
      <c r="K128" s="117"/>
      <c r="L128" s="117"/>
      <c r="M128" s="117"/>
      <c r="N128" s="111"/>
      <c r="O128" s="118"/>
      <c r="P128" s="118"/>
      <c r="Q128" s="118"/>
      <c r="R128" s="118"/>
      <c r="S128" s="118"/>
      <c r="T128" s="118"/>
      <c r="U128" s="118"/>
      <c r="V128" s="118"/>
    </row>
    <row r="129">
      <c r="A129" s="291"/>
      <c r="B129" s="292"/>
      <c r="C129" s="286"/>
      <c r="D129" s="286"/>
      <c r="E129" s="293"/>
      <c r="F129" s="286"/>
      <c r="G129" s="286"/>
      <c r="H129" s="286"/>
      <c r="I129" s="286"/>
      <c r="J129" s="111"/>
      <c r="K129" s="227"/>
      <c r="L129" s="227"/>
      <c r="M129" s="227"/>
      <c r="N129" s="227"/>
      <c r="O129" s="118"/>
      <c r="P129" s="118"/>
      <c r="Q129" s="118"/>
      <c r="R129" s="118"/>
      <c r="S129" s="118"/>
      <c r="T129" s="118"/>
      <c r="U129" s="118"/>
      <c r="V129" s="118"/>
    </row>
    <row r="130">
      <c r="A130" s="294" t="s">
        <v>238</v>
      </c>
      <c r="B130" s="104"/>
      <c r="C130" s="228"/>
      <c r="D130" s="117"/>
      <c r="E130" s="228"/>
      <c r="F130" s="114"/>
      <c r="G130" s="114"/>
      <c r="H130" s="117"/>
      <c r="I130" s="117"/>
      <c r="J130" s="118"/>
      <c r="K130" s="118"/>
      <c r="L130" s="118"/>
      <c r="M130" s="118"/>
      <c r="N130" s="118"/>
      <c r="O130" s="118"/>
      <c r="P130" s="118"/>
      <c r="Q130" s="118"/>
      <c r="R130" s="118"/>
      <c r="S130" s="118"/>
      <c r="T130" s="118"/>
      <c r="U130" s="118"/>
      <c r="V130" s="118"/>
    </row>
    <row r="131" outlineLevel="1">
      <c r="A131" s="106"/>
      <c r="B131" s="107"/>
      <c r="C131" s="295" t="s">
        <v>235</v>
      </c>
      <c r="D131" s="295" t="s">
        <v>49</v>
      </c>
      <c r="E131" s="295" t="s">
        <v>48</v>
      </c>
      <c r="F131" s="295" t="s">
        <v>50</v>
      </c>
      <c r="G131" s="296" t="s">
        <v>51</v>
      </c>
      <c r="H131" s="228"/>
      <c r="I131" s="228"/>
      <c r="J131" s="117"/>
      <c r="K131" s="297" t="str">
        <f>'テンプレート'!K116</f>
        <v>アイテム取得</v>
      </c>
      <c r="L131" s="109"/>
      <c r="M131" s="298" t="str">
        <f>'テンプレート'!M116</f>
        <v>取得フレーム</v>
      </c>
      <c r="N131" s="298" t="str">
        <f>'テンプレート'!N116</f>
        <v>全体フレーム</v>
      </c>
      <c r="O131" s="118"/>
      <c r="P131" s="118"/>
      <c r="Q131" s="118"/>
      <c r="R131" s="118"/>
      <c r="S131" s="118"/>
      <c r="T131" s="118"/>
      <c r="U131" s="118"/>
      <c r="V131" s="118"/>
    </row>
    <row r="132" outlineLevel="1">
      <c r="A132" s="299" t="s">
        <v>239</v>
      </c>
      <c r="B132" s="300" t="s">
        <v>240</v>
      </c>
      <c r="C132" s="301"/>
      <c r="D132" s="113">
        <f t="array" ref="D132">INDEX('崖行動・受け身'!$C$3:$C129, MATCH($A$1,'崖行動・受け身'!$A$3:$A$115,0), MATCH(D131,'崖行動・受け身'!$C$2,0))</f>
        <v>19</v>
      </c>
      <c r="E132" s="301"/>
      <c r="F132" s="301"/>
      <c r="G132" s="301"/>
      <c r="H132" s="228"/>
      <c r="I132" s="228"/>
      <c r="J132" s="111"/>
      <c r="K132" s="302" t="str">
        <f>'テンプレート'!K117</f>
        <v>小アイテム</v>
      </c>
      <c r="L132" s="303" t="str">
        <f>'テンプレート'!L117</f>
        <v>その場</v>
      </c>
      <c r="M132" s="113" t="s">
        <v>76</v>
      </c>
      <c r="N132" s="113">
        <v>7.0</v>
      </c>
      <c r="O132" s="118"/>
      <c r="P132" s="118"/>
      <c r="Q132" s="118"/>
      <c r="R132" s="118"/>
      <c r="S132" s="118"/>
      <c r="T132" s="118"/>
      <c r="U132" s="118"/>
      <c r="V132" s="118"/>
    </row>
    <row r="133" outlineLevel="1">
      <c r="A133" s="146"/>
      <c r="B133" s="300" t="s">
        <v>216</v>
      </c>
      <c r="C133" s="113" t="str">
        <f t="array" ref="C133">INDEX('崖行動・受け身'!$D$3:$E129, MATCH($A$1,'崖行動・受け身'!$A$3:$A$115,0), MATCH(C131,'崖行動・受け身'!$D$2:$E$2,0))</f>
        <v>1-33</v>
      </c>
      <c r="D133" s="113">
        <f t="array" ref="D133">INDEX('崖行動・受け身'!$D$3:$E129, MATCH($A$1,'崖行動・受け身'!$A$3:$A$115,0), MATCH(D131,'崖行動・受け身'!$D$2:$E$2,0))</f>
        <v>34</v>
      </c>
      <c r="E133" s="301"/>
      <c r="F133" s="301"/>
      <c r="G133" s="301"/>
      <c r="H133" s="228"/>
      <c r="I133" s="228"/>
      <c r="J133" s="117"/>
      <c r="K133" s="156"/>
      <c r="L133" s="303" t="str">
        <f>'テンプレート'!L118</f>
        <v>歩き</v>
      </c>
      <c r="M133" s="113" t="s">
        <v>76</v>
      </c>
      <c r="N133" s="113">
        <v>19.0</v>
      </c>
      <c r="O133" s="118"/>
      <c r="P133" s="118"/>
      <c r="Q133" s="118"/>
      <c r="R133" s="118"/>
      <c r="S133" s="118"/>
      <c r="T133" s="118"/>
      <c r="U133" s="118"/>
      <c r="V133" s="118"/>
    </row>
    <row r="134" outlineLevel="1">
      <c r="A134" s="146"/>
      <c r="B134" s="300" t="s">
        <v>241</v>
      </c>
      <c r="C134" s="113" t="str">
        <f t="array" ref="C134">INDEX('崖行動・受け身'!$F$3:$G$115, MATCH($A$1,'崖行動・受け身'!$A$3:$A$115,0), MATCH(C131,'崖行動・受け身'!$F$2:$G$2,0))</f>
        <v>1-22</v>
      </c>
      <c r="D134" s="113">
        <f t="array" ref="D134">INDEX('崖行動・受け身'!$F$3:$G$115, MATCH($A$1,'崖行動・受け身'!$A$3:$A$115,0), MATCH(D131,'崖行動・受け身'!$F$2:$G$2,0))</f>
        <v>45</v>
      </c>
      <c r="E134" s="301"/>
      <c r="F134" s="301"/>
      <c r="G134" s="301"/>
      <c r="H134" s="228"/>
      <c r="I134" s="228"/>
      <c r="J134" s="111"/>
      <c r="K134" s="304" t="str">
        <f>'テンプレート'!K119</f>
        <v>アイテム投擲</v>
      </c>
      <c r="L134" s="109"/>
      <c r="M134" s="298" t="str">
        <f>'テンプレート'!M119</f>
        <v>投擲フレーム</v>
      </c>
      <c r="N134" s="298" t="str">
        <f>'テンプレート'!N119</f>
        <v>全体フレーム</v>
      </c>
      <c r="O134" s="118"/>
      <c r="P134" s="118"/>
      <c r="Q134" s="118"/>
      <c r="R134" s="118"/>
      <c r="S134" s="118"/>
      <c r="T134" s="118"/>
      <c r="U134" s="118"/>
      <c r="V134" s="118"/>
    </row>
    <row r="135" outlineLevel="1">
      <c r="A135" s="146"/>
      <c r="B135" s="300" t="s">
        <v>242</v>
      </c>
      <c r="C135" s="113" t="str">
        <f t="array" ref="C135">INDEX('崖行動・受け身'!$H$3:$I$115, MATCH($A$1,'崖行動・受け身'!$A$3:$A$115,0), MATCH(C131,'崖行動・受け身'!$H$2:$I$2,0))</f>
        <v>1-12</v>
      </c>
      <c r="D135" s="113">
        <f t="array" ref="D135">INDEX('崖行動・受け身'!$H$3:$I$115, MATCH($A$1,'崖行動・受け身'!$A$3:$A$115,0), MATCH(D131,'崖行動・受け身'!$H$2:$I$2,0))</f>
        <v>14</v>
      </c>
      <c r="E135" s="301"/>
      <c r="F135" s="301"/>
      <c r="G135" s="301"/>
      <c r="H135" s="228"/>
      <c r="I135" s="228"/>
      <c r="J135" s="117"/>
      <c r="K135" s="305" t="str">
        <f>'テンプレート'!K120</f>
        <v>地上投擲</v>
      </c>
      <c r="L135" s="303" t="str">
        <f>'テンプレート'!L120</f>
        <v>前投げ</v>
      </c>
      <c r="M135" s="113" t="s">
        <v>80</v>
      </c>
      <c r="N135" s="113">
        <v>25.0</v>
      </c>
      <c r="O135" s="111"/>
      <c r="P135" s="111"/>
      <c r="Q135" s="111"/>
      <c r="R135" s="111"/>
      <c r="S135" s="111"/>
      <c r="T135" s="111"/>
      <c r="U135" s="111"/>
      <c r="V135" s="111"/>
    </row>
    <row r="136" outlineLevel="1">
      <c r="A136" s="156"/>
      <c r="B136" s="300" t="s">
        <v>243</v>
      </c>
      <c r="C136" s="113" t="str">
        <f t="array" ref="C136">INDEX('崖行動・受け身'!$J$3:$M$115, MATCH($A$1,'崖行動・受け身'!$A$3:$A$115,0), MATCH(C131,'崖行動・受け身'!$J$2:$M$2,0))</f>
        <v>1-22</v>
      </c>
      <c r="D136" s="113">
        <f t="array" ref="D136">INDEX('崖行動・受け身'!$J$3:$M$115, MATCH($A$1,'崖行動・受け身'!$A$3:$A$115,0), MATCH(D131,'崖行動・受け身'!$J$2:$M$2,0))</f>
        <v>55</v>
      </c>
      <c r="E136" s="113" t="str">
        <f t="array" ref="E136">INDEX('崖行動・受け身'!$J$3:$M$115, MATCH($A$1,'崖行動・受け身'!$A$3:$A$115,0), MATCH(E131,'崖行動・受け身'!$J$2:$M$2,0))</f>
        <v>20-22</v>
      </c>
      <c r="F136" s="113">
        <f t="array" ref="F136">INDEX('崖行動・受け身'!$J$3:$M$115, MATCH($A$1,'崖行動・受け身'!$A$3:$A$115,0), MATCH(F131,'崖行動・受け身'!$J$2:$M$2,0))</f>
        <v>9</v>
      </c>
      <c r="G136" s="113">
        <f>F136*1.2</f>
        <v>10.8</v>
      </c>
      <c r="H136" s="228"/>
      <c r="I136" s="228"/>
      <c r="J136" s="111"/>
      <c r="K136" s="146"/>
      <c r="L136" s="303" t="str">
        <f>'テンプレート'!L121</f>
        <v>後投げ</v>
      </c>
      <c r="M136" s="113" t="s">
        <v>232</v>
      </c>
      <c r="N136" s="113">
        <v>25.0</v>
      </c>
      <c r="O136" s="111"/>
      <c r="P136" s="111"/>
      <c r="Q136" s="111"/>
      <c r="R136" s="111"/>
      <c r="S136" s="111"/>
      <c r="T136" s="111"/>
      <c r="U136" s="111"/>
      <c r="V136" s="111"/>
    </row>
    <row r="137" outlineLevel="1">
      <c r="A137" s="299" t="s">
        <v>244</v>
      </c>
      <c r="B137" s="300" t="s">
        <v>216</v>
      </c>
      <c r="C137" s="113" t="str">
        <f t="array" ref="C137">INDEX('崖行動・受け身'!$N$3:$O$115, MATCH($A$1,'崖行動・受け身'!$A$3:$A$115,0), MATCH(C131,'崖行動・受け身'!$N$2:$O$2,0))</f>
        <v>1-20</v>
      </c>
      <c r="D137" s="113">
        <f t="array" ref="D137">INDEX('崖行動・受け身'!$N$3:$O$115, MATCH($A$1,'崖行動・受け身'!$A$3:$A$115,0), MATCH(D131,'崖行動・受け身'!$N$2:$O$2,0))</f>
        <v>26</v>
      </c>
      <c r="E137" s="301"/>
      <c r="F137" s="301"/>
      <c r="G137" s="301"/>
      <c r="H137" s="228"/>
      <c r="I137" s="228"/>
      <c r="J137" s="117"/>
      <c r="K137" s="146"/>
      <c r="L137" s="303" t="str">
        <f>'テンプレート'!L122</f>
        <v>上投げ</v>
      </c>
      <c r="M137" s="113" t="s">
        <v>129</v>
      </c>
      <c r="N137" s="113">
        <v>24.0</v>
      </c>
      <c r="O137" s="228"/>
      <c r="P137" s="228"/>
      <c r="Q137" s="228"/>
      <c r="R137" s="228"/>
      <c r="S137" s="228"/>
      <c r="T137" s="228"/>
      <c r="U137" s="228"/>
      <c r="V137" s="228"/>
    </row>
    <row r="138" outlineLevel="1">
      <c r="A138" s="146"/>
      <c r="B138" s="300" t="s">
        <v>245</v>
      </c>
      <c r="C138" s="113" t="str">
        <f t="array" ref="C138">INDEX('崖行動・受け身'!$P$3:$Q$115, MATCH($A$1,'崖行動・受け身'!$A$3:$A$115,0), MATCH(C131,'崖行動・受け身'!$P$2:$Q$2,0))</f>
        <v>1-20</v>
      </c>
      <c r="D138" s="113">
        <f t="array" ref="D138">INDEX('崖行動・受け身'!$P$3:$Q$115, MATCH($A$1,'崖行動・受け身'!$A$3:$A$115,0), MATCH(D131,'崖行動・受け身'!$P$2:$Q$2,0))</f>
        <v>40</v>
      </c>
      <c r="E138" s="301"/>
      <c r="F138" s="301"/>
      <c r="G138" s="301"/>
      <c r="H138" s="228"/>
      <c r="I138" s="228"/>
      <c r="J138" s="111"/>
      <c r="K138" s="146"/>
      <c r="L138" s="303" t="str">
        <f>'テンプレート'!L123</f>
        <v>下投げ</v>
      </c>
      <c r="M138" s="113" t="s">
        <v>93</v>
      </c>
      <c r="N138" s="113">
        <v>20.0</v>
      </c>
      <c r="O138" s="118"/>
      <c r="P138" s="118"/>
      <c r="Q138" s="118"/>
      <c r="R138" s="118"/>
      <c r="S138" s="118"/>
      <c r="T138" s="118"/>
      <c r="U138" s="118"/>
      <c r="V138" s="118"/>
    </row>
    <row r="139" outlineLevel="1">
      <c r="A139" s="156"/>
      <c r="B139" s="300" t="s">
        <v>246</v>
      </c>
      <c r="C139" s="113" t="str">
        <f t="array" ref="C139">INDEX('崖行動・受け身'!$R$3:$S$115, MATCH($A$1,'崖行動・受け身'!$A$3:$A$115,0), MATCH(C131,'崖行動・受け身'!$R$2:$S$2,0))</f>
        <v>1-20</v>
      </c>
      <c r="D139" s="113">
        <f t="array" ref="D139">INDEX('崖行動・受け身'!$R$3:$S$115, MATCH($A$1,'崖行動・受け身'!$A$3:$A$115,0), MATCH(D131,'崖行動・受け身'!$R$2:$S$2,0))</f>
        <v>40</v>
      </c>
      <c r="E139" s="301"/>
      <c r="F139" s="301"/>
      <c r="G139" s="301"/>
      <c r="H139" s="228"/>
      <c r="I139" s="228"/>
      <c r="J139" s="117"/>
      <c r="K139" s="146"/>
      <c r="L139" s="306" t="str">
        <f>'テンプレート'!L124</f>
        <v>ダッシュ</v>
      </c>
      <c r="M139" s="113" t="s">
        <v>150</v>
      </c>
      <c r="N139" s="113">
        <v>38.0</v>
      </c>
      <c r="O139" s="118"/>
      <c r="P139" s="118"/>
      <c r="Q139" s="118"/>
      <c r="R139" s="118"/>
      <c r="S139" s="118"/>
      <c r="T139" s="118"/>
      <c r="U139" s="118"/>
      <c r="V139" s="118"/>
    </row>
    <row r="140" outlineLevel="1">
      <c r="A140" s="299" t="s">
        <v>247</v>
      </c>
      <c r="B140" s="300" t="s">
        <v>248</v>
      </c>
      <c r="C140" s="301"/>
      <c r="D140" s="113" t="str">
        <f t="array" ref="D140">INDEX('起きあがり'!$C$3:$C129, MATCH($A$1,'起きあがり'!$A$3:$A$115,0), MATCH(D131,'起きあがり'!$C$2:$AD$2,0))</f>
        <v>25</v>
      </c>
      <c r="E140" s="301"/>
      <c r="F140" s="301"/>
      <c r="G140" s="301"/>
      <c r="H140" s="228"/>
      <c r="I140" s="228"/>
      <c r="J140" s="111"/>
      <c r="K140" s="156"/>
      <c r="L140" s="306" t="str">
        <f>'テンプレート'!L125</f>
        <v>その場捨て</v>
      </c>
      <c r="M140" s="113" t="s">
        <v>150</v>
      </c>
      <c r="N140" s="113">
        <v>24.0</v>
      </c>
      <c r="O140" s="118"/>
      <c r="P140" s="118"/>
      <c r="Q140" s="118"/>
      <c r="R140" s="118"/>
      <c r="S140" s="118"/>
      <c r="T140" s="118"/>
      <c r="U140" s="118"/>
      <c r="V140" s="118"/>
    </row>
    <row r="141" outlineLevel="1">
      <c r="A141" s="146"/>
      <c r="B141" s="300" t="s">
        <v>216</v>
      </c>
      <c r="C141" s="307" t="str">
        <f t="array" ref="C141">INDEX('起きあがり'!$D$3:$E129, MATCH($A$1,'起きあがり'!$A$3:$A$115,0), MATCH(C131,'起きあがり'!$D$2:$AD$2,0))</f>
        <v>1-22</v>
      </c>
      <c r="D141" s="308">
        <f t="array" ref="D141">INDEX('起きあがり'!$D$3:$E129, MATCH($A$1,'起きあがり'!$A$3:$A$115,0), MATCH(D131,'起きあがり'!$D$2:$AD$2,0))</f>
        <v>29</v>
      </c>
      <c r="E141" s="301"/>
      <c r="F141" s="301"/>
      <c r="G141" s="301"/>
      <c r="H141" s="228"/>
      <c r="I141" s="228"/>
      <c r="J141" s="117"/>
      <c r="K141" s="305" t="str">
        <f>'テンプレート'!K126</f>
        <v>空中投擲</v>
      </c>
      <c r="L141" s="303" t="str">
        <f>'テンプレート'!L126</f>
        <v>前投げ</v>
      </c>
      <c r="M141" s="113" t="s">
        <v>80</v>
      </c>
      <c r="N141" s="113">
        <v>25.0</v>
      </c>
      <c r="O141" s="118"/>
      <c r="P141" s="118"/>
      <c r="Q141" s="118"/>
      <c r="R141" s="118"/>
      <c r="S141" s="118"/>
      <c r="T141" s="118"/>
      <c r="U141" s="118"/>
      <c r="V141" s="118"/>
    </row>
    <row r="142" outlineLevel="1">
      <c r="A142" s="146"/>
      <c r="B142" s="300" t="s">
        <v>245</v>
      </c>
      <c r="C142" s="307" t="str">
        <f t="array" ref="C142">INDEX('起きあがり'!$F$3:$G$115, MATCH($A$1,'起きあがり'!$A$3:$A$115,0), MATCH(C131,'起きあがり'!$F$2:$AD$2,0))</f>
        <v>1-14</v>
      </c>
      <c r="D142" s="308">
        <f t="array" ref="D142">INDEX('起きあがり'!$F$3:$G$115, MATCH($A$1,'起きあがり'!$A$3:$A$115,0), MATCH(D131,'起きあがり'!$F$2:$AD$2,0))</f>
        <v>35</v>
      </c>
      <c r="E142" s="301"/>
      <c r="F142" s="301"/>
      <c r="G142" s="301"/>
      <c r="H142" s="228"/>
      <c r="I142" s="228"/>
      <c r="J142" s="111"/>
      <c r="K142" s="146"/>
      <c r="L142" s="303" t="str">
        <f>'テンプレート'!L127</f>
        <v>後投げ</v>
      </c>
      <c r="M142" s="113" t="s">
        <v>232</v>
      </c>
      <c r="N142" s="113">
        <v>25.0</v>
      </c>
      <c r="O142" s="118"/>
      <c r="P142" s="118"/>
      <c r="Q142" s="118"/>
      <c r="R142" s="118"/>
      <c r="S142" s="118"/>
      <c r="T142" s="118"/>
      <c r="U142" s="118"/>
      <c r="V142" s="118"/>
    </row>
    <row r="143" outlineLevel="1">
      <c r="A143" s="146"/>
      <c r="B143" s="300" t="s">
        <v>246</v>
      </c>
      <c r="C143" s="113" t="str">
        <f t="array" ref="C143">INDEX('起きあがり'!$H$3:$I$115, MATCH($A$1,'起きあがり'!$A$3:$A$115,0), MATCH(C131,'起きあがり'!$H$2:$AD$2,0))</f>
        <v>1-20</v>
      </c>
      <c r="D143" s="113">
        <f t="array" ref="D143">INDEX('起きあがり'!$H$3:$I$115, MATCH($A$1,'起きあがり'!$A$3:$A$115,0), MATCH(D131,'起きあがり'!$H$2:$AD$2,0))</f>
        <v>35</v>
      </c>
      <c r="E143" s="301"/>
      <c r="F143" s="301"/>
      <c r="G143" s="301"/>
      <c r="H143" s="228"/>
      <c r="I143" s="228"/>
      <c r="J143" s="117"/>
      <c r="K143" s="146"/>
      <c r="L143" s="303" t="str">
        <f>'テンプレート'!L128</f>
        <v>上投げ</v>
      </c>
      <c r="M143" s="113" t="s">
        <v>129</v>
      </c>
      <c r="N143" s="113">
        <v>24.0</v>
      </c>
      <c r="O143" s="118"/>
      <c r="P143" s="118"/>
      <c r="Q143" s="118"/>
      <c r="R143" s="118"/>
      <c r="S143" s="118"/>
      <c r="T143" s="118"/>
      <c r="U143" s="118"/>
      <c r="V143" s="118"/>
    </row>
    <row r="144" outlineLevel="1">
      <c r="A144" s="146"/>
      <c r="B144" s="300" t="s">
        <v>249</v>
      </c>
      <c r="C144" s="309" t="str">
        <f t="array" ref="C144">INDEX('起きあがり'!$J$3:$M$115, MATCH($A$1,'起きあがり'!$A$3:$A$115,0), MATCH(C131,'起きあがり'!$J$2:$AD$2,0))</f>
        <v>1-22</v>
      </c>
      <c r="D144" s="310">
        <f t="array" ref="D144">INDEX('起きあがり'!$J$3:$M$115, MATCH($A$1,'起きあがり'!$A$3:$A$115,0), MATCH(D131,'起きあがり'!$J$2:$AD$2,0))</f>
        <v>45</v>
      </c>
      <c r="E144" s="307" t="str">
        <f t="array" ref="E144">INDEX('起きあがり'!$J$3:$M$115, MATCH($A$1,'起きあがり'!$A$3:$A$115,0), MATCH(E131,'起きあがり'!$J$2:$AD$2,0))</f>
        <v>14-15</v>
      </c>
      <c r="F144" s="308">
        <f t="array" ref="F144">INDEX('起きあがり'!$J$3:$M$115, MATCH($A$1,'起きあがり'!$A$3:$A$115,0), MATCH(F131,'起きあがり'!$J$2:$AD$2,0))</f>
        <v>7</v>
      </c>
      <c r="G144" s="113">
        <f t="shared" ref="G144:G145" si="1">F144*1.2</f>
        <v>8.4</v>
      </c>
      <c r="H144" s="228"/>
      <c r="I144" s="228"/>
      <c r="J144" s="111"/>
      <c r="K144" s="156"/>
      <c r="L144" s="303" t="str">
        <f>'テンプレート'!L129</f>
        <v>下投げ</v>
      </c>
      <c r="M144" s="113" t="s">
        <v>93</v>
      </c>
      <c r="N144" s="113">
        <v>20.0</v>
      </c>
      <c r="O144" s="111"/>
      <c r="P144" s="111"/>
      <c r="Q144" s="111"/>
      <c r="R144" s="111"/>
      <c r="S144" s="111"/>
      <c r="T144" s="111"/>
      <c r="U144" s="111"/>
      <c r="V144" s="111"/>
    </row>
    <row r="145" outlineLevel="1">
      <c r="A145" s="156"/>
      <c r="B145" s="311" t="s">
        <v>250</v>
      </c>
      <c r="C145" s="156"/>
      <c r="D145" s="156"/>
      <c r="E145" s="307" t="str">
        <f t="array" ref="E145">INDEX('起きあがり'!$N$3:$O$115, MATCH($A$1,'起きあがり'!$A$3:$A$115,0), MATCH(E131,'起きあがり'!$N$2:$AD$2,0))</f>
        <v>21-22</v>
      </c>
      <c r="F145" s="308">
        <f t="array" ref="F145">INDEX('起きあがり'!$N$3:$O$115, MATCH($A$1,'起きあがり'!$A$3:$A$115,0), MATCH(F131,'起きあがり'!$N$2:$AD$2,0))</f>
        <v>7</v>
      </c>
      <c r="G145" s="113">
        <f t="shared" si="1"/>
        <v>8.4</v>
      </c>
      <c r="H145" s="228"/>
      <c r="I145" s="228"/>
      <c r="J145" s="111"/>
      <c r="K145" s="312" t="str">
        <f>'テンプレート'!K130</f>
        <v>踏み台ジャンプ</v>
      </c>
      <c r="L145" s="168"/>
      <c r="M145" s="298" t="str">
        <f>'テンプレート'!M130</f>
        <v>全体フレーム</v>
      </c>
      <c r="N145" s="114"/>
      <c r="O145" s="111"/>
      <c r="P145" s="111"/>
      <c r="Q145" s="111"/>
      <c r="R145" s="111"/>
      <c r="S145" s="111"/>
      <c r="T145" s="111"/>
      <c r="U145" s="111"/>
      <c r="V145" s="111"/>
    </row>
    <row r="146" outlineLevel="1">
      <c r="A146" s="299" t="s">
        <v>251</v>
      </c>
      <c r="B146" s="300" t="s">
        <v>248</v>
      </c>
      <c r="C146" s="301"/>
      <c r="D146" s="307" t="str">
        <f t="array" ref="D146">INDEX('起きあがり'!$C$3:$C129, MATCH($A$1,'起きあがり'!$A$3:$A$115,0), MATCH(D131,'起きあがり'!$C$2,0))</f>
        <v>25</v>
      </c>
      <c r="E146" s="301"/>
      <c r="F146" s="301"/>
      <c r="G146" s="301"/>
      <c r="H146" s="228"/>
      <c r="I146" s="228"/>
      <c r="J146" s="117"/>
      <c r="K146" s="313" t="str">
        <f>'テンプレート'!K131</f>
        <v>踏み</v>
      </c>
      <c r="L146" s="314" t="str">
        <f>'テンプレート'!L131</f>
        <v>踏み</v>
      </c>
      <c r="M146" s="113">
        <v>8.0</v>
      </c>
      <c r="N146" s="2364"/>
      <c r="O146" s="111"/>
      <c r="P146" s="111"/>
      <c r="Q146" s="111"/>
      <c r="R146" s="111"/>
      <c r="S146" s="111"/>
      <c r="T146" s="111"/>
      <c r="U146" s="111"/>
      <c r="V146" s="111"/>
    </row>
    <row r="147" outlineLevel="1">
      <c r="A147" s="146"/>
      <c r="B147" s="300" t="s">
        <v>216</v>
      </c>
      <c r="C147" s="307" t="str">
        <f t="array" ref="C147">INDEX('起きあがり'!$P$3:$Q$115, MATCH($A$1,'起きあがり'!$A$3:$A$115,0), MATCH(C131,'起きあがり'!$P$2:$AD$2,0))</f>
        <v>1-22</v>
      </c>
      <c r="D147" s="308">
        <f t="array" ref="D147">INDEX('起きあがり'!$P$3:$Q$115, MATCH($A$1,'起きあがり'!$A$3:$A$115,0), MATCH(D131,'起きあがり'!$P$2:$AD$2,0))</f>
        <v>29</v>
      </c>
      <c r="E147" s="301"/>
      <c r="F147" s="301"/>
      <c r="G147" s="301"/>
      <c r="H147" s="228"/>
      <c r="I147" s="228"/>
      <c r="J147" s="111"/>
      <c r="K147" s="305" t="str">
        <f>'テンプレート'!K132</f>
        <v>踏まれ</v>
      </c>
      <c r="L147" s="314" t="str">
        <f>'テンプレート'!L132</f>
        <v>地上踏まれ</v>
      </c>
      <c r="M147" s="113" t="s">
        <v>76</v>
      </c>
      <c r="N147" s="2364"/>
      <c r="O147" s="228"/>
      <c r="P147" s="228"/>
      <c r="Q147" s="228"/>
      <c r="R147" s="228"/>
      <c r="S147" s="228"/>
      <c r="T147" s="228"/>
      <c r="U147" s="228"/>
      <c r="V147" s="228"/>
    </row>
    <row r="148" outlineLevel="1">
      <c r="A148" s="146"/>
      <c r="B148" s="300" t="s">
        <v>245</v>
      </c>
      <c r="C148" s="307" t="str">
        <f t="array" ref="C148">INDEX('起きあがり'!$R$3:$S$115, MATCH($A$1,'起きあがり'!$A$3:$A$115,0), MATCH(C131,'起きあがり'!$R$2:$AD$2,0))</f>
        <v>1-19</v>
      </c>
      <c r="D148" s="308">
        <f t="array" ref="D148">INDEX('起きあがり'!$R$3:$S$115, MATCH($A$1,'起きあがり'!$A$3:$A$115,0), MATCH(D131,'起きあがり'!$R$2:$AD$2,0))</f>
        <v>35</v>
      </c>
      <c r="E148" s="301"/>
      <c r="F148" s="301"/>
      <c r="G148" s="301"/>
      <c r="H148" s="228"/>
      <c r="I148" s="228"/>
      <c r="J148" s="117"/>
      <c r="K148" s="146"/>
      <c r="L148" s="314" t="str">
        <f>'テンプレート'!L133</f>
        <v>地上硬直</v>
      </c>
      <c r="M148" s="113">
        <v>28.0</v>
      </c>
      <c r="N148" s="2313"/>
      <c r="O148" s="118"/>
      <c r="P148" s="118"/>
      <c r="Q148" s="118"/>
      <c r="R148" s="118"/>
      <c r="S148" s="118"/>
      <c r="T148" s="118"/>
      <c r="U148" s="118"/>
      <c r="V148" s="118"/>
    </row>
    <row r="149" outlineLevel="1">
      <c r="A149" s="146"/>
      <c r="B149" s="300" t="s">
        <v>246</v>
      </c>
      <c r="C149" s="307" t="str">
        <f t="array" ref="C149">INDEX('起きあがり'!$T$3:$U$115, MATCH($A$1,'起きあがり'!$A$3:$A$115,0), MATCH(C131,'起きあがり'!$T$2:$AD$2,0))</f>
        <v>1-22</v>
      </c>
      <c r="D149" s="308">
        <f t="array" ref="D149">INDEX('起きあがり'!$T$3:$U$115, MATCH($A$1,'起きあがり'!$A$3:$A$115,0), MATCH(D131,'起きあがり'!$T$2:$AD$2,0))</f>
        <v>35</v>
      </c>
      <c r="E149" s="301"/>
      <c r="F149" s="301"/>
      <c r="G149" s="301"/>
      <c r="H149" s="228"/>
      <c r="I149" s="228"/>
      <c r="J149" s="111"/>
      <c r="K149" s="146"/>
      <c r="L149" s="314" t="str">
        <f>'テンプレート'!L134</f>
        <v>空中踏まれ</v>
      </c>
      <c r="M149" s="113">
        <v>7.0</v>
      </c>
      <c r="N149" s="2313"/>
      <c r="O149" s="118"/>
      <c r="P149" s="118"/>
      <c r="Q149" s="118"/>
      <c r="R149" s="118"/>
      <c r="S149" s="118"/>
      <c r="T149" s="118"/>
      <c r="U149" s="118"/>
      <c r="V149" s="118"/>
    </row>
    <row r="150" outlineLevel="1">
      <c r="A150" s="146"/>
      <c r="B150" s="300" t="s">
        <v>249</v>
      </c>
      <c r="C150" s="309" t="str">
        <f t="array" ref="C150">INDEX('起きあがり'!$V$3:$Y$115, MATCH($A$1,'起きあがり'!$A$3:$A$115,0), MATCH(C131,'起きあがり'!$V$2:$AD$2,0))</f>
        <v>1-23</v>
      </c>
      <c r="D150" s="310">
        <f t="array" ref="D150">INDEX('起きあがり'!$V$3:$Y$115, MATCH($A$1,'起きあがり'!$A$3:$A$115,0), MATCH(D131,'起きあがり'!$V$2:$AD$2,0))</f>
        <v>45</v>
      </c>
      <c r="E150" s="307" t="str">
        <f t="array" ref="E150">INDEX('起きあがり'!$V$3:$Y$115, MATCH($A$1,'起きあがり'!$A$3:$A$115,0), MATCH(E131,'起きあがり'!$V$2:$AD$2,0))</f>
        <v>14-15</v>
      </c>
      <c r="F150" s="308">
        <f t="array" ref="F150">INDEX('起きあがり'!$V$3:$Y$115, MATCH($A$1,'起きあがり'!$A$3:$A$115,0), MATCH(F131,'起きあがり'!$V$2:$AD$2,0))</f>
        <v>7</v>
      </c>
      <c r="G150" s="113">
        <f t="shared" ref="G150:G151" si="2">F150*1.2</f>
        <v>8.4</v>
      </c>
      <c r="H150" s="228"/>
      <c r="I150" s="228"/>
      <c r="J150" s="117"/>
      <c r="K150" s="146"/>
      <c r="L150" s="314" t="str">
        <f>'テンプレート'!L135</f>
        <v>空中落下</v>
      </c>
      <c r="M150" s="113">
        <v>36.0</v>
      </c>
      <c r="N150" s="2313"/>
      <c r="O150" s="118"/>
      <c r="P150" s="118"/>
      <c r="Q150" s="118"/>
      <c r="R150" s="118"/>
      <c r="S150" s="118"/>
      <c r="T150" s="118"/>
      <c r="U150" s="118"/>
      <c r="V150" s="118"/>
    </row>
    <row r="151" outlineLevel="1">
      <c r="A151" s="156"/>
      <c r="B151" s="311" t="s">
        <v>250</v>
      </c>
      <c r="C151" s="156"/>
      <c r="D151" s="156"/>
      <c r="E151" s="307" t="str">
        <f t="array" ref="E151">INDEX('起きあがり'!$Z$3:$AA$115, MATCH($A$1,'起きあがり'!$A$3:$A$115,0), MATCH(E131,'起きあがり'!$Z$2:$AD$2,0))</f>
        <v>22-23</v>
      </c>
      <c r="F151" s="308">
        <f t="array" ref="F151">INDEX('起きあがり'!$Z$3:$AA$115, MATCH($A$1,'起きあがり'!$A$3:$A$115,0), MATCH(F131,'起きあがり'!$Z$2:$AD$2,0))</f>
        <v>7</v>
      </c>
      <c r="G151" s="113">
        <f t="shared" si="2"/>
        <v>8.4</v>
      </c>
      <c r="H151" s="228"/>
      <c r="I151" s="228"/>
      <c r="J151" s="117"/>
      <c r="K151" s="304" t="str">
        <f>'テンプレート'!K136</f>
        <v>倒れダメージ</v>
      </c>
      <c r="L151" s="110"/>
      <c r="M151" s="298" t="str">
        <f>'テンプレート'!M136</f>
        <v>全体フレーム</v>
      </c>
      <c r="N151" s="2313"/>
      <c r="O151" s="118"/>
      <c r="P151" s="118"/>
      <c r="Q151" s="118"/>
      <c r="R151" s="118"/>
      <c r="S151" s="118"/>
      <c r="T151" s="118"/>
      <c r="U151" s="118"/>
      <c r="V151" s="118"/>
    </row>
    <row r="152" outlineLevel="1">
      <c r="A152" s="299" t="s">
        <v>252</v>
      </c>
      <c r="B152" s="300" t="s">
        <v>253</v>
      </c>
      <c r="C152" s="307" t="str">
        <f t="array" ref="C152">INDEX('転倒'!$C$3:$D129, MATCH($A$1,'転倒'!$A$3:$A$115,0), MATCH(C131,'転倒'!$C$2:$AC$2,0))</f>
        <v>1-5</v>
      </c>
      <c r="D152" s="308">
        <f t="array" ref="D152">INDEX('転倒'!$C$3:$D129, MATCH($A$1,'転倒'!$A$3:$A$115,0), MATCH(D131,'転倒'!$C$2:$AC$2,0))</f>
        <v>29</v>
      </c>
      <c r="E152" s="301"/>
      <c r="F152" s="301"/>
      <c r="G152" s="301"/>
      <c r="H152" s="228"/>
      <c r="I152" s="228"/>
      <c r="J152" s="111"/>
      <c r="K152" s="313" t="str">
        <f>'テンプレート'!K137</f>
        <v>あお向け倒れ</v>
      </c>
      <c r="L152" s="306" t="str">
        <f>'テンプレート'!L137</f>
        <v>モーション大</v>
      </c>
      <c r="M152" s="113">
        <v>39.0</v>
      </c>
      <c r="N152" s="2364"/>
      <c r="O152" s="118"/>
      <c r="P152" s="118"/>
      <c r="Q152" s="118"/>
      <c r="R152" s="118"/>
      <c r="S152" s="118"/>
      <c r="T152" s="118"/>
      <c r="U152" s="118"/>
      <c r="V152" s="118"/>
    </row>
    <row r="153" outlineLevel="1">
      <c r="A153" s="146"/>
      <c r="B153" s="300" t="s">
        <v>254</v>
      </c>
      <c r="C153" s="307" t="str">
        <f t="array" ref="C153">INDEX('転倒'!$E$3:$F129, MATCH($A$1,'転倒'!$A$3:$A$115,0), MATCH(C131,'転倒'!$E$2:$AC$2,0))</f>
        <v>1-5</v>
      </c>
      <c r="D153" s="308">
        <f t="array" ref="D153">INDEX('転倒'!$E$3:$F129, MATCH($A$1,'転倒'!$A$3:$A$115,0), MATCH(D131,'転倒'!$E$2:$AC$2,0))</f>
        <v>39</v>
      </c>
      <c r="E153" s="301"/>
      <c r="F153" s="301"/>
      <c r="G153" s="301"/>
      <c r="H153" s="228"/>
      <c r="I153" s="228"/>
      <c r="J153" s="117"/>
      <c r="K153" s="313" t="str">
        <f>'テンプレート'!K138</f>
        <v>うつ伏せ倒れ</v>
      </c>
      <c r="L153" s="306" t="str">
        <f>'テンプレート'!L138</f>
        <v>モーション大</v>
      </c>
      <c r="M153" s="113" t="s">
        <v>118</v>
      </c>
      <c r="N153" s="2364"/>
      <c r="O153" s="118"/>
      <c r="P153" s="118"/>
      <c r="Q153" s="118"/>
      <c r="R153" s="118"/>
      <c r="S153" s="118"/>
      <c r="T153" s="118"/>
      <c r="U153" s="118"/>
      <c r="V153" s="118"/>
    </row>
    <row r="154" outlineLevel="1">
      <c r="A154" s="146"/>
      <c r="B154" s="300" t="s">
        <v>216</v>
      </c>
      <c r="C154" s="307" t="str">
        <f t="array" ref="C154">INDEX('転倒'!$G$3:$H$115, MATCH($A$1,'転倒'!$A$3:$A$115,0), MATCH(C131,'転倒'!$G$2:$AC$2,0))</f>
        <v>1-16</v>
      </c>
      <c r="D154" s="308">
        <f t="array" ref="D154">INDEX('転倒'!$G$3:$H$115, MATCH($A$1,'転倒'!$A$3:$A$115,0), MATCH(D131,'転倒'!$G$2:$AC$2,0))</f>
        <v>21</v>
      </c>
      <c r="E154" s="301"/>
      <c r="F154" s="301"/>
      <c r="G154" s="301"/>
      <c r="H154" s="228"/>
      <c r="I154" s="228"/>
      <c r="J154" s="111"/>
      <c r="K154" s="304" t="str">
        <f>'テンプレート'!K139</f>
        <v/>
      </c>
      <c r="L154" s="110"/>
      <c r="M154" s="298" t="str">
        <f>'テンプレート'!M139</f>
        <v/>
      </c>
      <c r="N154" s="2313"/>
      <c r="O154" s="118"/>
      <c r="P154" s="118"/>
      <c r="Q154" s="118"/>
      <c r="R154" s="118"/>
      <c r="S154" s="118"/>
      <c r="T154" s="118"/>
      <c r="U154" s="118"/>
      <c r="V154" s="118"/>
    </row>
    <row r="155" outlineLevel="1">
      <c r="A155" s="146"/>
      <c r="B155" s="300" t="s">
        <v>245</v>
      </c>
      <c r="C155" s="307" t="str">
        <f t="array" ref="C155">INDEX('転倒'!$I$3:$J$115, MATCH($A$1,'転倒'!$A$3:$A$115,0), MATCH(C131,'転倒'!$I$2:$AC$2,0))</f>
        <v>1-9</v>
      </c>
      <c r="D155" s="308">
        <f t="array" ref="D155">INDEX('転倒'!$I$3:$J$115, MATCH($A$1,'転倒'!$A$3:$A$115,0), MATCH(D131,'転倒'!$I$2:$AC$2,0))</f>
        <v>28</v>
      </c>
      <c r="E155" s="301"/>
      <c r="F155" s="301"/>
      <c r="G155" s="301"/>
      <c r="H155" s="228"/>
      <c r="I155" s="228"/>
      <c r="J155" s="228"/>
      <c r="K155" s="316"/>
      <c r="L155" s="317" t="str">
        <f>'テンプレート'!L140</f>
        <v/>
      </c>
      <c r="M155" s="113" t="s">
        <v>76</v>
      </c>
      <c r="N155" s="2313"/>
      <c r="O155" s="118"/>
      <c r="P155" s="118"/>
      <c r="Q155" s="118"/>
      <c r="R155" s="118"/>
      <c r="S155" s="118"/>
      <c r="T155" s="118"/>
      <c r="U155" s="118"/>
      <c r="V155" s="118"/>
    </row>
    <row r="156" outlineLevel="1">
      <c r="A156" s="146"/>
      <c r="B156" s="300" t="s">
        <v>246</v>
      </c>
      <c r="C156" s="307" t="str">
        <f t="array" ref="C156">INDEX('転倒'!$K$3:$L$115, MATCH($A$1,'転倒'!$A$3:$A$115,0), MATCH(C131,'転倒'!$K$2:$AC$2,0))</f>
        <v>1-9</v>
      </c>
      <c r="D156" s="308">
        <f t="array" ref="D156">INDEX('転倒'!$K$3:$L$115, MATCH($A$1,'転倒'!$A$3:$A$115,0), MATCH(D131,'転倒'!$K$2:$AC$2,0))</f>
        <v>28</v>
      </c>
      <c r="E156" s="301"/>
      <c r="F156" s="301"/>
      <c r="G156" s="301"/>
      <c r="H156" s="228"/>
      <c r="I156" s="228"/>
      <c r="J156" s="228"/>
      <c r="K156" s="2365"/>
      <c r="L156" s="118"/>
      <c r="M156" s="118"/>
      <c r="N156" s="2313"/>
      <c r="O156" s="118"/>
      <c r="P156" s="118"/>
      <c r="Q156" s="118"/>
      <c r="R156" s="118"/>
      <c r="S156" s="118"/>
      <c r="T156" s="118"/>
      <c r="U156" s="118"/>
      <c r="V156" s="118"/>
    </row>
    <row r="157" outlineLevel="1">
      <c r="A157" s="146"/>
      <c r="B157" s="300" t="s">
        <v>249</v>
      </c>
      <c r="C157" s="309" t="str">
        <f t="array" ref="C157">INDEX('転倒'!$M$3:$P$115, MATCH($A$1,'転倒'!$A$3:$A$115,0), MATCH(C131,'転倒'!$M$2:$AC$2,0))</f>
        <v>1-7</v>
      </c>
      <c r="D157" s="310">
        <f t="array" ref="D157">INDEX('転倒'!$M$3:$P$115, MATCH($A$1,'転倒'!$A$3:$A$115,0), MATCH(D131,'転倒'!$M$2:$AC$2,0))</f>
        <v>49</v>
      </c>
      <c r="E157" s="307" t="str">
        <f t="array" ref="E157">INDEX('転倒'!$M$3:$P$115, MATCH($A$1,'転倒'!$A$3:$A$115,0), MATCH(E131,'転倒'!$M$2:$AC$2,0))</f>
        <v>19-20</v>
      </c>
      <c r="F157" s="308">
        <f t="array" ref="F157">INDEX('転倒'!$M$3:$P$115, MATCH($A$1,'転倒'!$A$3:$A$115,0), MATCH(F131,'転倒'!$M$2:$AC$2,0))</f>
        <v>5</v>
      </c>
      <c r="G157" s="113">
        <f t="shared" ref="G157:G158" si="3">F157*1.2</f>
        <v>6</v>
      </c>
      <c r="H157" s="228"/>
      <c r="I157" s="228"/>
      <c r="J157" s="228"/>
      <c r="K157" s="118"/>
      <c r="L157" s="118"/>
      <c r="M157" s="118"/>
      <c r="N157" s="2313"/>
      <c r="O157" s="2313"/>
      <c r="P157" s="2313"/>
      <c r="Q157" s="2313"/>
      <c r="R157" s="118"/>
      <c r="S157" s="118"/>
      <c r="T157" s="118"/>
      <c r="U157" s="118"/>
      <c r="V157" s="118"/>
    </row>
    <row r="158" outlineLevel="1">
      <c r="A158" s="156"/>
      <c r="B158" s="311" t="s">
        <v>250</v>
      </c>
      <c r="C158" s="156"/>
      <c r="D158" s="156"/>
      <c r="E158" s="307" t="str">
        <f t="array" ref="E158">INDEX('転倒'!$Q$3:$R$115, MATCH($A$1,'転倒'!$A$3:$A$115,0), MATCH(E131,'転倒'!$Q$2:$AC$2,0))</f>
        <v>31-32</v>
      </c>
      <c r="F158" s="308">
        <f t="array" ref="F158">INDEX('転倒'!$Q$3:$R$115, MATCH($A$1,'転倒'!$A$3:$A$115,0), MATCH(F131,'転倒'!$Q$2:$AC$2,0))</f>
        <v>5</v>
      </c>
      <c r="G158" s="113">
        <f t="shared" si="3"/>
        <v>6</v>
      </c>
      <c r="H158" s="228"/>
      <c r="I158" s="228"/>
      <c r="J158" s="228"/>
      <c r="K158" s="118"/>
      <c r="L158" s="118"/>
      <c r="M158" s="118"/>
      <c r="N158" s="2313"/>
      <c r="O158" s="2313"/>
      <c r="P158" s="2313"/>
      <c r="Q158" s="2313"/>
      <c r="R158" s="118"/>
      <c r="S158" s="118"/>
      <c r="T158" s="118"/>
      <c r="U158" s="118"/>
      <c r="V158" s="118"/>
    </row>
    <row r="159" outlineLevel="1">
      <c r="A159" s="319"/>
      <c r="B159" s="320"/>
      <c r="C159" s="321"/>
      <c r="D159" s="321"/>
      <c r="E159" s="322"/>
      <c r="F159" s="322"/>
      <c r="G159" s="114"/>
      <c r="H159" s="228"/>
      <c r="I159" s="228"/>
      <c r="J159" s="228"/>
      <c r="K159" s="118"/>
      <c r="L159" s="118"/>
      <c r="M159" s="118"/>
      <c r="N159" s="2313"/>
      <c r="O159" s="2313"/>
      <c r="P159" s="2313"/>
      <c r="Q159" s="2313"/>
      <c r="R159" s="118"/>
      <c r="S159" s="118"/>
      <c r="T159" s="118"/>
      <c r="U159" s="118"/>
      <c r="V159" s="118"/>
    </row>
    <row r="160" outlineLevel="1">
      <c r="A160" s="323" t="s">
        <v>255</v>
      </c>
      <c r="B160" s="109"/>
      <c r="C160" s="321"/>
      <c r="D160" s="321"/>
      <c r="E160" s="322"/>
      <c r="F160" s="322"/>
      <c r="G160" s="114"/>
      <c r="H160" s="228"/>
      <c r="I160" s="228"/>
      <c r="J160" s="228"/>
      <c r="K160" s="118"/>
      <c r="L160" s="118"/>
      <c r="M160" s="118"/>
      <c r="N160" s="2313"/>
      <c r="O160" s="2313"/>
      <c r="P160" s="2313"/>
      <c r="Q160" s="2313"/>
      <c r="R160" s="118"/>
      <c r="S160" s="118"/>
      <c r="T160" s="118"/>
      <c r="U160" s="118"/>
      <c r="V160" s="118"/>
    </row>
    <row r="161" outlineLevel="1">
      <c r="A161" s="324" t="s">
        <v>256</v>
      </c>
      <c r="B161" s="109"/>
      <c r="C161" s="325" t="s">
        <v>257</v>
      </c>
      <c r="D161" s="325" t="s">
        <v>49</v>
      </c>
      <c r="E161" s="322"/>
      <c r="F161" s="322"/>
      <c r="G161" s="114"/>
      <c r="H161" s="228"/>
      <c r="I161" s="228"/>
      <c r="J161" s="228"/>
      <c r="K161" s="118"/>
      <c r="L161" s="118"/>
      <c r="M161" s="118"/>
      <c r="N161" s="2313"/>
      <c r="O161" s="2313"/>
      <c r="P161" s="2313"/>
      <c r="Q161" s="2313"/>
      <c r="R161" s="118"/>
      <c r="S161" s="118"/>
      <c r="T161" s="118"/>
      <c r="U161" s="118"/>
      <c r="V161" s="118"/>
    </row>
    <row r="162" outlineLevel="1">
      <c r="A162" s="326" t="s">
        <v>258</v>
      </c>
      <c r="B162" s="327" t="s">
        <v>216</v>
      </c>
      <c r="C162" s="328" t="str">
        <f t="array" ref="C162">INDEX('アイテム'!$C$3:$D$114, MATCH($A$1,'アイテム'!$A$3:$A$114,0), MATCH(C161,'アイテム'!$C$2:$AQ$2,0))</f>
        <v>2</v>
      </c>
      <c r="D162" s="328">
        <f t="array" ref="D162">INDEX('アイテム'!$C$3:$D$114, MATCH($A$1,'アイテム'!$A$3:$A$114,0), MATCH(D161,'アイテム'!$C$2:$AQ$2,0))</f>
        <v>7</v>
      </c>
      <c r="E162" s="322"/>
      <c r="F162" s="322"/>
      <c r="G162" s="114"/>
      <c r="H162" s="228"/>
      <c r="I162" s="228"/>
      <c r="J162" s="228"/>
      <c r="K162" s="118"/>
      <c r="L162" s="118"/>
      <c r="M162" s="118"/>
      <c r="N162" s="2313"/>
      <c r="O162" s="2313"/>
      <c r="P162" s="2313"/>
      <c r="Q162" s="2313"/>
      <c r="R162" s="118"/>
      <c r="S162" s="118"/>
      <c r="T162" s="118"/>
      <c r="U162" s="118"/>
      <c r="V162" s="118"/>
    </row>
    <row r="163" outlineLevel="1">
      <c r="A163" s="156"/>
      <c r="B163" s="327" t="s">
        <v>219</v>
      </c>
      <c r="C163" s="328" t="str">
        <f t="array" ref="C163">INDEX('アイテム'!$E$3:$F$114, MATCH($A$1,'アイテム'!$A$3:$A$114,0), MATCH(C161,'アイテム'!$C$2:$AQ$2,0))</f>
        <v>2</v>
      </c>
      <c r="D163" s="328">
        <f t="array" ref="D163">INDEX('アイテム'!$E$3:$F$114, MATCH($A$1,'アイテム'!$A$3:$A$114,0), MATCH(D161,'アイテム'!$C$2:$AQ$2,0))</f>
        <v>19</v>
      </c>
      <c r="E163" s="322"/>
      <c r="F163" s="322"/>
      <c r="G163" s="114"/>
      <c r="H163" s="228"/>
      <c r="I163" s="228"/>
      <c r="J163" s="228"/>
      <c r="K163" s="118"/>
      <c r="L163" s="118"/>
      <c r="M163" s="118"/>
      <c r="N163" s="2313"/>
      <c r="O163" s="2313"/>
      <c r="P163" s="2313"/>
      <c r="Q163" s="2313"/>
      <c r="R163" s="118"/>
      <c r="S163" s="118"/>
      <c r="T163" s="118"/>
      <c r="U163" s="118"/>
      <c r="V163" s="118"/>
    </row>
    <row r="164" outlineLevel="1">
      <c r="A164" s="329" t="s">
        <v>259</v>
      </c>
      <c r="B164" s="327" t="s">
        <v>216</v>
      </c>
      <c r="C164" s="328">
        <f t="array" ref="C164">INDEX('アイテム'!$AA$3:$AB$114, MATCH($A$1,'アイテム'!$A$3:$A$114,0), MATCH(C161,'アイテム'!$C$2:$AQ$2,0))</f>
        <v>3</v>
      </c>
      <c r="D164" s="328" t="str">
        <f t="array" ref="D164">INDEX('アイテム'!$AA$3:$AB$114, MATCH($A$1,'アイテム'!$A$3:$A$114,0), MATCH(D161,'アイテム'!$C$2:$AQ$2,0))</f>
        <v>12</v>
      </c>
      <c r="E164" s="322"/>
      <c r="F164" s="322"/>
      <c r="G164" s="114"/>
      <c r="H164" s="228"/>
      <c r="I164" s="228"/>
      <c r="J164" s="228"/>
      <c r="K164" s="118"/>
      <c r="L164" s="118"/>
      <c r="M164" s="118"/>
      <c r="N164" s="2313"/>
      <c r="O164" s="2313"/>
      <c r="P164" s="2313"/>
      <c r="Q164" s="2313"/>
      <c r="R164" s="118"/>
      <c r="S164" s="118"/>
      <c r="T164" s="118"/>
      <c r="U164" s="118"/>
      <c r="V164" s="118"/>
    </row>
    <row r="165" outlineLevel="1">
      <c r="A165" s="324" t="s">
        <v>260</v>
      </c>
      <c r="B165" s="109"/>
      <c r="C165" s="325" t="s">
        <v>261</v>
      </c>
      <c r="D165" s="325" t="s">
        <v>49</v>
      </c>
      <c r="E165" s="322"/>
      <c r="F165" s="322"/>
      <c r="G165" s="114"/>
      <c r="H165" s="228"/>
      <c r="I165" s="228"/>
      <c r="J165" s="228"/>
      <c r="K165" s="118"/>
      <c r="L165" s="118"/>
      <c r="M165" s="118"/>
      <c r="N165" s="2313"/>
      <c r="O165" s="2313"/>
      <c r="P165" s="2313"/>
      <c r="Q165" s="2313"/>
      <c r="R165" s="118"/>
      <c r="S165" s="118"/>
      <c r="T165" s="118"/>
      <c r="U165" s="118"/>
      <c r="V165" s="118"/>
    </row>
    <row r="166" outlineLevel="1">
      <c r="A166" s="326" t="s">
        <v>262</v>
      </c>
      <c r="B166" s="327" t="s">
        <v>226</v>
      </c>
      <c r="C166" s="328" t="str">
        <f t="array" ref="C166">INDEX('アイテム'!$G$3:$H$114, MATCH($A$1,'アイテム'!$A$3:$A$114,0), MATCH(C161,'アイテム'!$C$2:$AQ$2,0))</f>
        <v>8</v>
      </c>
      <c r="D166" s="328">
        <f t="array" ref="D166">INDEX('アイテム'!$G$3:$H$114, MATCH($A$1,'アイテム'!$A$3:$A$114,0), MATCH(D161,'アイテム'!$C$2:$AQ$2,0))</f>
        <v>24</v>
      </c>
      <c r="E166" s="322"/>
      <c r="F166" s="322"/>
      <c r="G166" s="114"/>
      <c r="H166" s="228"/>
      <c r="I166" s="228"/>
      <c r="J166" s="228"/>
      <c r="K166" s="118"/>
      <c r="L166" s="118"/>
      <c r="M166" s="118"/>
      <c r="N166" s="2313"/>
      <c r="O166" s="2313"/>
      <c r="P166" s="2313"/>
      <c r="Q166" s="2313"/>
      <c r="R166" s="118"/>
      <c r="S166" s="118"/>
      <c r="T166" s="118"/>
      <c r="U166" s="118"/>
      <c r="V166" s="118"/>
    </row>
    <row r="167" outlineLevel="1">
      <c r="A167" s="146"/>
      <c r="B167" s="327" t="s">
        <v>229</v>
      </c>
      <c r="C167" s="328" t="str">
        <f t="array" ref="C167">INDEX('アイテム'!$I$3:$J$114, MATCH($A$1,'アイテム'!$A$3:$A$114,0), MATCH(C161,'アイテム'!$C$2:$AQ$2,0))</f>
        <v>11</v>
      </c>
      <c r="D167" s="328">
        <f t="array" ref="D167">INDEX('アイテム'!$I$3:$J$114, MATCH($A$1,'アイテム'!$A$3:$A$114,0), MATCH(D161,'アイテム'!$C$2:$AQ$2,0))</f>
        <v>24</v>
      </c>
      <c r="E167" s="322"/>
      <c r="F167" s="322"/>
      <c r="G167" s="114"/>
      <c r="H167" s="228"/>
      <c r="I167" s="228"/>
      <c r="J167" s="228"/>
      <c r="K167" s="118"/>
      <c r="L167" s="118"/>
      <c r="M167" s="118"/>
      <c r="N167" s="2313"/>
      <c r="O167" s="2313"/>
      <c r="P167" s="2313"/>
      <c r="Q167" s="2313"/>
      <c r="R167" s="118"/>
      <c r="S167" s="118"/>
      <c r="T167" s="118"/>
      <c r="U167" s="118"/>
      <c r="V167" s="118"/>
    </row>
    <row r="168" outlineLevel="1">
      <c r="A168" s="146"/>
      <c r="B168" s="327" t="s">
        <v>233</v>
      </c>
      <c r="C168" s="328" t="str">
        <f t="array" ref="C168">INDEX('アイテム'!$K$3:$L$114, MATCH($A$1,'アイテム'!$A$3:$A$114,0), MATCH(C161,'アイテム'!$C$2:$AQ$2,0))</f>
        <v>12</v>
      </c>
      <c r="D168" s="328">
        <f t="array" ref="D168">INDEX('アイテム'!$K$3:$L$114, MATCH($A$1,'アイテム'!$A$3:$A$114,0), MATCH(D161,'アイテム'!$C$2:$AQ$2,0))</f>
        <v>23</v>
      </c>
      <c r="E168" s="322"/>
      <c r="F168" s="322"/>
      <c r="G168" s="114"/>
      <c r="H168" s="228"/>
      <c r="I168" s="228"/>
      <c r="J168" s="228"/>
      <c r="K168" s="118"/>
      <c r="L168" s="118"/>
      <c r="M168" s="118"/>
      <c r="N168" s="2313"/>
      <c r="O168" s="2313"/>
      <c r="P168" s="2313"/>
      <c r="Q168" s="2313"/>
      <c r="R168" s="118"/>
      <c r="S168" s="118"/>
      <c r="T168" s="118"/>
      <c r="U168" s="118"/>
      <c r="V168" s="118"/>
    </row>
    <row r="169" outlineLevel="1">
      <c r="A169" s="146"/>
      <c r="B169" s="327" t="s">
        <v>234</v>
      </c>
      <c r="C169" s="328" t="str">
        <f t="array" ref="C169">INDEX('アイテム'!$M$3:$N$114, MATCH($A$1,'アイテム'!$A$3:$A$114,0), MATCH(C161,'アイテム'!$C$2:$AQ$2,0))</f>
        <v>7</v>
      </c>
      <c r="D169" s="328">
        <f t="array" ref="D169">INDEX('アイテム'!$M$3:$N$114, MATCH($A$1,'アイテム'!$A$3:$A$114,0), MATCH(D161,'アイテム'!$C$2:$AQ$2,0))</f>
        <v>19</v>
      </c>
      <c r="E169" s="322"/>
      <c r="F169" s="322"/>
      <c r="G169" s="114"/>
      <c r="H169" s="228"/>
      <c r="I169" s="228"/>
      <c r="J169" s="228"/>
      <c r="K169" s="118"/>
      <c r="L169" s="118"/>
      <c r="M169" s="118"/>
      <c r="N169" s="2313"/>
      <c r="O169" s="2313"/>
      <c r="P169" s="2313"/>
      <c r="Q169" s="2313"/>
      <c r="R169" s="118"/>
      <c r="S169" s="118"/>
      <c r="T169" s="118"/>
      <c r="U169" s="118"/>
      <c r="V169" s="118"/>
    </row>
    <row r="170" outlineLevel="1">
      <c r="A170" s="146"/>
      <c r="B170" s="327" t="s">
        <v>219</v>
      </c>
      <c r="C170" s="328" t="str">
        <f t="array" ref="C170">INDEX('アイテム'!$O$3:$P$114, MATCH($A$1,'アイテム'!$A$3:$A$114,0), MATCH(C161,'アイテム'!$C$2:$AQ$2,0))</f>
        <v>5</v>
      </c>
      <c r="D170" s="328">
        <f t="array" ref="D170">INDEX('アイテム'!$O$3:$P$114, MATCH($A$1,'アイテム'!$A$3:$A$114,0), MATCH(D161,'アイテム'!$C$2:$AQ$2,0))</f>
        <v>29</v>
      </c>
      <c r="E170" s="322"/>
      <c r="F170" s="322"/>
      <c r="G170" s="114"/>
      <c r="H170" s="228"/>
      <c r="I170" s="228"/>
      <c r="J170" s="228"/>
      <c r="K170" s="118"/>
      <c r="L170" s="118"/>
      <c r="M170" s="118"/>
      <c r="N170" s="2313"/>
      <c r="O170" s="2313"/>
      <c r="P170" s="2313"/>
      <c r="Q170" s="2313"/>
      <c r="R170" s="118"/>
      <c r="S170" s="118"/>
      <c r="T170" s="118"/>
      <c r="U170" s="118"/>
      <c r="V170" s="118"/>
    </row>
    <row r="171" outlineLevel="1">
      <c r="A171" s="156"/>
      <c r="B171" s="327" t="s">
        <v>263</v>
      </c>
      <c r="C171" s="328" t="str">
        <f t="array" ref="C171">INDEX('アイテム'!$Q$3:$R$114, MATCH($A$1,'アイテム'!$A$3:$A$114,0), MATCH(C161,'アイテム'!$C$2:$AQ$2,0))</f>
        <v>5</v>
      </c>
      <c r="D171" s="328">
        <f t="array" ref="D171">INDEX('アイテム'!$Q$3:$R$114, MATCH($A$1,'アイテム'!$A$3:$A$114,0), MATCH(D161,'アイテム'!$C$2:$AQ$2,0))</f>
        <v>23</v>
      </c>
      <c r="E171" s="322"/>
      <c r="F171" s="322"/>
      <c r="G171" s="114"/>
      <c r="H171" s="228"/>
      <c r="I171" s="228"/>
      <c r="J171" s="228"/>
      <c r="K171" s="118"/>
      <c r="L171" s="118"/>
      <c r="M171" s="118"/>
      <c r="N171" s="2313"/>
      <c r="O171" s="2313"/>
      <c r="P171" s="2313"/>
      <c r="Q171" s="2313"/>
      <c r="R171" s="118"/>
      <c r="S171" s="118"/>
      <c r="T171" s="118"/>
      <c r="U171" s="118"/>
      <c r="V171" s="118"/>
    </row>
    <row r="172" outlineLevel="1">
      <c r="A172" s="326" t="s">
        <v>264</v>
      </c>
      <c r="B172" s="327" t="s">
        <v>226</v>
      </c>
      <c r="C172" s="328" t="str">
        <f t="array" ref="C172">INDEX('アイテム'!$S$3:$T$114, MATCH($A$1,'アイテム'!$A$3:$A$114,0), MATCH(C161,'アイテム'!$C$2:$AQ$2,0))</f>
        <v>8</v>
      </c>
      <c r="D172" s="328">
        <f t="array" ref="D172">INDEX('アイテム'!$S$3:$T$114, MATCH($A$1,'アイテム'!$A$3:$A$114,0), MATCH(D161,'アイテム'!$C$2:$AQ$2,0))</f>
        <v>24</v>
      </c>
      <c r="E172" s="322"/>
      <c r="F172" s="322"/>
      <c r="G172" s="114"/>
      <c r="H172" s="228"/>
      <c r="I172" s="228"/>
      <c r="J172" s="228"/>
      <c r="K172" s="118"/>
      <c r="L172" s="118"/>
      <c r="M172" s="118"/>
      <c r="N172" s="2313"/>
      <c r="O172" s="2313"/>
      <c r="P172" s="2313"/>
      <c r="Q172" s="2313"/>
      <c r="R172" s="118"/>
      <c r="S172" s="118"/>
      <c r="T172" s="118"/>
      <c r="U172" s="118"/>
      <c r="V172" s="118"/>
    </row>
    <row r="173" outlineLevel="1">
      <c r="A173" s="146"/>
      <c r="B173" s="327" t="s">
        <v>229</v>
      </c>
      <c r="C173" s="328" t="str">
        <f t="array" ref="C173">INDEX('アイテム'!$U$3:$V$114, MATCH($A$1,'アイテム'!$A$3:$A$114,0), MATCH(C161,'アイテム'!$C$2:$AQ$2,0))</f>
        <v>11</v>
      </c>
      <c r="D173" s="328">
        <f t="array" ref="D173">INDEX('アイテム'!$U$3:$V$114, MATCH($A$1,'アイテム'!$A$3:$A$114,0), MATCH(D161,'アイテム'!$C$2:$AQ$2,0))</f>
        <v>24</v>
      </c>
      <c r="E173" s="322"/>
      <c r="F173" s="322"/>
      <c r="G173" s="114"/>
      <c r="H173" s="228"/>
      <c r="I173" s="228"/>
      <c r="J173" s="228"/>
      <c r="K173" s="118"/>
      <c r="L173" s="118"/>
      <c r="M173" s="118"/>
      <c r="N173" s="2313"/>
      <c r="O173" s="2313"/>
      <c r="P173" s="2313"/>
      <c r="Q173" s="2313"/>
      <c r="R173" s="118"/>
      <c r="S173" s="118"/>
      <c r="T173" s="118"/>
      <c r="U173" s="118"/>
      <c r="V173" s="118"/>
    </row>
    <row r="174" outlineLevel="1">
      <c r="A174" s="146"/>
      <c r="B174" s="327" t="s">
        <v>233</v>
      </c>
      <c r="C174" s="328" t="str">
        <f t="array" ref="C174">INDEX('アイテム'!$W$3:$X$114, MATCH($A$1,'アイテム'!$A$3:$A$114,0), MATCH(C161,'アイテム'!$C$2:$AQ$2,0))</f>
        <v>12</v>
      </c>
      <c r="D174" s="328">
        <f t="array" ref="D174">INDEX('アイテム'!$W$3:$X$114, MATCH($A$1,'アイテム'!$A$3:$A$114,0), MATCH(D161,'アイテム'!$C$2:$AQ$2,0))</f>
        <v>23</v>
      </c>
      <c r="E174" s="322"/>
      <c r="F174" s="322"/>
      <c r="G174" s="114"/>
      <c r="H174" s="228"/>
      <c r="I174" s="228"/>
      <c r="J174" s="228"/>
      <c r="K174" s="118"/>
      <c r="L174" s="118"/>
      <c r="M174" s="118"/>
      <c r="N174" s="2313"/>
      <c r="O174" s="2313"/>
      <c r="P174" s="2313"/>
      <c r="Q174" s="2313"/>
      <c r="R174" s="118"/>
      <c r="S174" s="118"/>
      <c r="T174" s="118"/>
      <c r="U174" s="118"/>
      <c r="V174" s="118"/>
    </row>
    <row r="175" outlineLevel="1">
      <c r="A175" s="156"/>
      <c r="B175" s="327" t="s">
        <v>234</v>
      </c>
      <c r="C175" s="328" t="str">
        <f t="array" ref="C175">INDEX('アイテム'!$Y$3:$Z$114, MATCH($A$1,'アイテム'!$A$3:$A$114,0), MATCH(C161,'アイテム'!$C$2:$AQ$2,0))</f>
        <v>7</v>
      </c>
      <c r="D175" s="328">
        <f t="array" ref="D175">INDEX('アイテム'!$Y$3:$Z$114, MATCH($A$1,'アイテム'!$A$3:$A$114,0), MATCH(D161,'アイテム'!$C$2:$AQ$2,0))</f>
        <v>19</v>
      </c>
      <c r="E175" s="322"/>
      <c r="F175" s="322"/>
      <c r="G175" s="114"/>
      <c r="H175" s="228"/>
      <c r="I175" s="228"/>
      <c r="J175" s="228"/>
      <c r="K175" s="118"/>
      <c r="L175" s="118"/>
      <c r="M175" s="118"/>
      <c r="N175" s="2313"/>
      <c r="O175" s="2313"/>
      <c r="P175" s="2313"/>
      <c r="Q175" s="2313"/>
      <c r="R175" s="118"/>
      <c r="S175" s="118"/>
      <c r="T175" s="118"/>
      <c r="U175" s="118"/>
      <c r="V175" s="118"/>
    </row>
    <row r="176" outlineLevel="1">
      <c r="A176" s="326" t="s">
        <v>265</v>
      </c>
      <c r="B176" s="327" t="s">
        <v>226</v>
      </c>
      <c r="C176" s="328">
        <f t="array" ref="C176">INDEX('アイテム'!$AC$3:$AD$114, MATCH($A$1,'アイテム'!$A$3:$A$114,0), MATCH(C161,'アイテム'!$C$2:$AQ$2,0))</f>
        <v>14</v>
      </c>
      <c r="D176" s="328" t="str">
        <f t="array" ref="D176">INDEX('アイテム'!$AC$3:$AD$114, MATCH($A$1,'アイテム'!$A$3:$A$114,0), MATCH(D161,'アイテム'!$C$2:$AQ$2,0))</f>
        <v>30</v>
      </c>
      <c r="E176" s="322"/>
      <c r="F176" s="322"/>
      <c r="G176" s="114"/>
      <c r="H176" s="228"/>
      <c r="I176" s="228"/>
      <c r="J176" s="228"/>
      <c r="K176" s="118"/>
      <c r="L176" s="118"/>
      <c r="M176" s="118"/>
      <c r="N176" s="2313"/>
      <c r="O176" s="2313"/>
      <c r="P176" s="2313"/>
      <c r="Q176" s="2313"/>
      <c r="R176" s="118"/>
      <c r="S176" s="118"/>
      <c r="T176" s="118"/>
      <c r="U176" s="118"/>
      <c r="V176" s="118"/>
    </row>
    <row r="177" outlineLevel="1">
      <c r="A177" s="146"/>
      <c r="B177" s="327" t="s">
        <v>229</v>
      </c>
      <c r="C177" s="328">
        <f t="array" ref="C177">INDEX('アイテム'!$AE$3:$AF$114, MATCH($A$1,'アイテム'!$A$3:$A$114,0), MATCH(C161,'アイテム'!$C$2:$AQ$2,0))</f>
        <v>15</v>
      </c>
      <c r="D177" s="328" t="str">
        <f t="array" ref="D177">INDEX('アイテム'!$AE$3:$AF$114, MATCH($A$1,'アイテム'!$A$3:$A$114,0), MATCH(D161,'アイテム'!$C$2:$AQ$2,0))</f>
        <v>30</v>
      </c>
      <c r="E177" s="322"/>
      <c r="F177" s="322"/>
      <c r="G177" s="114"/>
      <c r="H177" s="228"/>
      <c r="I177" s="228"/>
      <c r="J177" s="228"/>
      <c r="K177" s="118"/>
      <c r="L177" s="118"/>
      <c r="M177" s="118"/>
      <c r="N177" s="2313"/>
      <c r="O177" s="2313"/>
      <c r="P177" s="2313"/>
      <c r="Q177" s="2313"/>
      <c r="R177" s="118"/>
      <c r="S177" s="118"/>
      <c r="T177" s="118"/>
      <c r="U177" s="118"/>
      <c r="V177" s="118"/>
    </row>
    <row r="178" outlineLevel="1">
      <c r="A178" s="146"/>
      <c r="B178" s="327" t="s">
        <v>233</v>
      </c>
      <c r="C178" s="328">
        <f t="array" ref="C178">INDEX('アイテム'!$AG$3:$AH$114, MATCH($A$1,'アイテム'!$A$3:$A$114,0), MATCH(C161,'アイテム'!$C$2:$AQ$2,0))</f>
        <v>11</v>
      </c>
      <c r="D178" s="328" t="str">
        <f t="array" ref="D178">INDEX('アイテム'!$AG$3:$AH$114, MATCH($A$1,'アイテム'!$A$3:$A$114,0), MATCH(D161,'アイテム'!$C$2:$AQ$2,0))</f>
        <v>22</v>
      </c>
      <c r="E178" s="322"/>
      <c r="F178" s="322"/>
      <c r="G178" s="114"/>
      <c r="H178" s="228"/>
      <c r="I178" s="228"/>
      <c r="J178" s="228"/>
      <c r="K178" s="118"/>
      <c r="L178" s="118"/>
      <c r="M178" s="118"/>
      <c r="N178" s="2313"/>
      <c r="O178" s="2313"/>
      <c r="P178" s="2313"/>
      <c r="Q178" s="2313"/>
      <c r="R178" s="118"/>
      <c r="S178" s="118"/>
      <c r="T178" s="118"/>
      <c r="U178" s="118"/>
      <c r="V178" s="118"/>
    </row>
    <row r="179" outlineLevel="1">
      <c r="A179" s="156"/>
      <c r="B179" s="327" t="s">
        <v>234</v>
      </c>
      <c r="C179" s="328">
        <f t="array" ref="C179">INDEX('アイテム'!$AI$3:$AJ$114, MATCH($A$1,'アイテム'!$A$3:$A$114,0), MATCH(C161,'アイテム'!$C$2:$AQ$2,0))</f>
        <v>9</v>
      </c>
      <c r="D179" s="328" t="str">
        <f t="array" ref="D179">INDEX('アイテム'!$AI$3:$AJ$114, MATCH($A$1,'アイテム'!$A$3:$A$114,0), MATCH(D161,'アイテム'!$C$2:$AQ$2,0))</f>
        <v>22</v>
      </c>
      <c r="E179" s="322"/>
      <c r="F179" s="322"/>
      <c r="G179" s="114"/>
      <c r="H179" s="228"/>
      <c r="I179" s="228"/>
      <c r="J179" s="228"/>
      <c r="K179" s="118"/>
      <c r="L179" s="118"/>
      <c r="M179" s="118"/>
      <c r="N179" s="2313"/>
      <c r="O179" s="2313"/>
      <c r="P179" s="2313"/>
      <c r="Q179" s="2313"/>
      <c r="R179" s="118"/>
      <c r="S179" s="118"/>
      <c r="T179" s="118"/>
      <c r="U179" s="118"/>
      <c r="V179" s="118"/>
    </row>
  </sheetData>
  <mergeCells count="188">
    <mergeCell ref="H37:J37"/>
    <mergeCell ref="H38:J39"/>
    <mergeCell ref="H40:J44"/>
    <mergeCell ref="H45:J46"/>
    <mergeCell ref="I51:I52"/>
    <mergeCell ref="J51:J52"/>
    <mergeCell ref="J53:J54"/>
    <mergeCell ref="I53:I54"/>
    <mergeCell ref="I55:I57"/>
    <mergeCell ref="J55:J57"/>
    <mergeCell ref="I58:I59"/>
    <mergeCell ref="J58:J59"/>
    <mergeCell ref="H62:J62"/>
    <mergeCell ref="H63:J65"/>
    <mergeCell ref="H66:J66"/>
    <mergeCell ref="H67:J67"/>
    <mergeCell ref="H68:J68"/>
    <mergeCell ref="H69:J71"/>
    <mergeCell ref="H72:J72"/>
    <mergeCell ref="H73:J75"/>
    <mergeCell ref="H76:J76"/>
    <mergeCell ref="H77:J78"/>
    <mergeCell ref="H79:J79"/>
    <mergeCell ref="H80:J81"/>
    <mergeCell ref="H82:J82"/>
    <mergeCell ref="H83:J83"/>
    <mergeCell ref="H84:J84"/>
    <mergeCell ref="H85:J87"/>
    <mergeCell ref="H88:J88"/>
    <mergeCell ref="H89:J89"/>
    <mergeCell ref="H90:J90"/>
    <mergeCell ref="H91:J92"/>
    <mergeCell ref="H93:J93"/>
    <mergeCell ref="H94:J94"/>
    <mergeCell ref="H95:J96"/>
    <mergeCell ref="H97:J97"/>
    <mergeCell ref="H98:J99"/>
    <mergeCell ref="H100:J100"/>
    <mergeCell ref="G108:J108"/>
    <mergeCell ref="G109:J110"/>
    <mergeCell ref="G111:J113"/>
    <mergeCell ref="G114:J118"/>
    <mergeCell ref="K147:K150"/>
    <mergeCell ref="K151:L151"/>
    <mergeCell ref="K154:L154"/>
    <mergeCell ref="G119:J120"/>
    <mergeCell ref="K131:L131"/>
    <mergeCell ref="K132:K133"/>
    <mergeCell ref="K134:L134"/>
    <mergeCell ref="K135:K140"/>
    <mergeCell ref="K141:K144"/>
    <mergeCell ref="K145:L145"/>
    <mergeCell ref="U85:U87"/>
    <mergeCell ref="V85:V87"/>
    <mergeCell ref="U91:U93"/>
    <mergeCell ref="V91:V93"/>
    <mergeCell ref="U95:U96"/>
    <mergeCell ref="V95:V96"/>
    <mergeCell ref="U98:U100"/>
    <mergeCell ref="V98:V100"/>
    <mergeCell ref="U69:U71"/>
    <mergeCell ref="U73:U75"/>
    <mergeCell ref="V73:V75"/>
    <mergeCell ref="U77:U78"/>
    <mergeCell ref="V77:V78"/>
    <mergeCell ref="U80:U81"/>
    <mergeCell ref="V80:V81"/>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D34:D36"/>
    <mergeCell ref="D38:D39"/>
    <mergeCell ref="H26:J26"/>
    <mergeCell ref="H27:J27"/>
    <mergeCell ref="H28:J29"/>
    <mergeCell ref="U28:U29"/>
    <mergeCell ref="H30:J30"/>
    <mergeCell ref="H31:J33"/>
    <mergeCell ref="H34:J36"/>
    <mergeCell ref="U31:U33"/>
    <mergeCell ref="U34:U36"/>
    <mergeCell ref="U38:U39"/>
    <mergeCell ref="U40:U44"/>
    <mergeCell ref="U45:U46"/>
    <mergeCell ref="R49:V49"/>
    <mergeCell ref="R50:V50"/>
    <mergeCell ref="R51:V52"/>
    <mergeCell ref="R53:V54"/>
    <mergeCell ref="R55:V57"/>
    <mergeCell ref="R58:V59"/>
    <mergeCell ref="U63:U65"/>
    <mergeCell ref="V63:V65"/>
    <mergeCell ref="V69:V71"/>
    <mergeCell ref="A73:A75"/>
    <mergeCell ref="A77:A78"/>
    <mergeCell ref="A79:B79"/>
    <mergeCell ref="A80:A81"/>
    <mergeCell ref="A82:B82"/>
    <mergeCell ref="A84:B84"/>
    <mergeCell ref="D85:D87"/>
    <mergeCell ref="A85:A87"/>
    <mergeCell ref="A88:B88"/>
    <mergeCell ref="A90:B90"/>
    <mergeCell ref="A91:A93"/>
    <mergeCell ref="A94:B94"/>
    <mergeCell ref="D95:D96"/>
    <mergeCell ref="A97:B97"/>
    <mergeCell ref="A95:A96"/>
    <mergeCell ref="A98:A100"/>
    <mergeCell ref="A102:B103"/>
    <mergeCell ref="A105:A107"/>
    <mergeCell ref="A108:B108"/>
    <mergeCell ref="A109:A110"/>
    <mergeCell ref="A111:A113"/>
    <mergeCell ref="A114:A118"/>
    <mergeCell ref="A119:A120"/>
    <mergeCell ref="A122:B123"/>
    <mergeCell ref="A124:A126"/>
    <mergeCell ref="A127:A128"/>
    <mergeCell ref="A130:B131"/>
    <mergeCell ref="A132:A136"/>
    <mergeCell ref="C150:C151"/>
    <mergeCell ref="C157:C158"/>
    <mergeCell ref="A152:A158"/>
    <mergeCell ref="A160:B160"/>
    <mergeCell ref="A161:B161"/>
    <mergeCell ref="A162:A163"/>
    <mergeCell ref="A165:B165"/>
    <mergeCell ref="A166:A171"/>
    <mergeCell ref="A172:A175"/>
    <mergeCell ref="A176:A179"/>
    <mergeCell ref="A137:A139"/>
    <mergeCell ref="A140:A145"/>
    <mergeCell ref="C144:C145"/>
    <mergeCell ref="D144:D145"/>
    <mergeCell ref="A146:A151"/>
    <mergeCell ref="D150:D151"/>
    <mergeCell ref="D157:D158"/>
    <mergeCell ref="D31:D33"/>
    <mergeCell ref="D40:D44"/>
    <mergeCell ref="A24:B25"/>
    <mergeCell ref="A26:A29"/>
    <mergeCell ref="D28:D29"/>
    <mergeCell ref="A31:A33"/>
    <mergeCell ref="A34:A36"/>
    <mergeCell ref="A38:A39"/>
    <mergeCell ref="A40:A44"/>
    <mergeCell ref="D53:D54"/>
    <mergeCell ref="D55:D57"/>
    <mergeCell ref="A45:A46"/>
    <mergeCell ref="D45:D46"/>
    <mergeCell ref="A48:B49"/>
    <mergeCell ref="A51:A52"/>
    <mergeCell ref="D51:D52"/>
    <mergeCell ref="A53:A54"/>
    <mergeCell ref="A55:A57"/>
    <mergeCell ref="A58:A59"/>
    <mergeCell ref="D58:D59"/>
    <mergeCell ref="A61:B61"/>
    <mergeCell ref="A62:B62"/>
    <mergeCell ref="A63:A65"/>
    <mergeCell ref="C63:C64"/>
    <mergeCell ref="D63:D64"/>
    <mergeCell ref="A66:B66"/>
    <mergeCell ref="A68:B68"/>
    <mergeCell ref="A69:A71"/>
    <mergeCell ref="D69:D71"/>
    <mergeCell ref="A72:B72"/>
    <mergeCell ref="D73:D75"/>
    <mergeCell ref="A76:B76"/>
    <mergeCell ref="D109:D110"/>
    <mergeCell ref="D111:D113"/>
    <mergeCell ref="D114:D118"/>
    <mergeCell ref="D119:D120"/>
  </mergeCells>
  <conditionalFormatting sqref="K1:K15 K17:K88 L73:N73 O73:Q74 K90:K107 L108 K109:K155">
    <cfRule type="containsText" dxfId="0" priority="1" operator="containsText" text="361">
      <formula>NOT(ISERROR(SEARCH(("361"),(K1))))</formula>
    </cfRule>
  </conditionalFormatting>
  <conditionalFormatting sqref="K1:K15 K17:K88 L73:N73 O73:Q74 K90:K107 L108 K109:K155">
    <cfRule type="containsText" dxfId="1" priority="2" operator="containsText" text="363">
      <formula>NOT(ISERROR(SEARCH(("363"),(K1))))</formula>
    </cfRule>
  </conditionalFormatting>
  <conditionalFormatting sqref="K1:K15 K17:K88 L73:N73 O73:Q74 K90:K107 L108 K109:K155">
    <cfRule type="containsText" dxfId="1" priority="3" operator="containsText" text="365">
      <formula>NOT(ISERROR(SEARCH(("365"),(K1))))</formula>
    </cfRule>
  </conditionalFormatting>
  <conditionalFormatting sqref="K1:K15 K17:K88 L73:N73 O73:Q74 K90:K107 L108 K109:K155">
    <cfRule type="containsText" dxfId="1" priority="4" operator="containsText" text="366">
      <formula>NOT(ISERROR(SEARCH(("366"),(K1))))</formula>
    </cfRule>
  </conditionalFormatting>
  <conditionalFormatting sqref="K1:K15 K17:K88 L73:N73 O73:Q74 K90:K107 L108 K109:K155">
    <cfRule type="containsText" dxfId="1" priority="5" operator="containsText" text="367">
      <formula>NOT(ISERROR(SEARCH(("367"),(K1))))</formula>
    </cfRule>
  </conditionalFormatting>
  <conditionalFormatting sqref="P109:P120">
    <cfRule type="cellIs" dxfId="2" priority="6" operator="equal">
      <formula>"敵のみ"</formula>
    </cfRule>
  </conditionalFormatting>
  <conditionalFormatting sqref="C109:C120">
    <cfRule type="cellIs" dxfId="3" priority="7" operator="equal">
      <formula>"-"</formula>
    </cfRule>
  </conditionalFormatting>
  <conditionalFormatting sqref="O1:O88 O90:O107 P108 O109:O179 C119 E119:F119 K119:N119 P119:P120 Q119">
    <cfRule type="cellIs" dxfId="4" priority="8" operator="greaterThan">
      <formula>0</formula>
    </cfRule>
  </conditionalFormatting>
  <conditionalFormatting sqref="P1:Q88 P90:P107 Q90:Q179 R108 P109:P179">
    <cfRule type="cellIs" dxfId="5" priority="9" operator="lessThan">
      <formula>1</formula>
    </cfRule>
  </conditionalFormatting>
  <conditionalFormatting sqref="P1:Q88 P90:P107 Q90:Q179 R108 P109:P179">
    <cfRule type="cellIs" dxfId="4" priority="10" operator="greaterThan">
      <formula>1</formula>
    </cfRule>
  </conditionalFormatting>
  <conditionalFormatting sqref="N25:N88 N90:N107 O108 N109:N120">
    <cfRule type="cellIs" dxfId="6" priority="11" operator="greaterThan">
      <formula>0</formula>
    </cfRule>
  </conditionalFormatting>
  <conditionalFormatting sqref="N1:N15 N17:N88 N90:N107 O108 N109:N179">
    <cfRule type="containsText" dxfId="6" priority="12" operator="containsText" text="/">
      <formula>NOT(ISERROR(SEARCH(("/"),(N1))))</formula>
    </cfRule>
  </conditionalFormatting>
  <drawing r:id="rId2"/>
  <legacyDrawing r:id="rId3"/>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1E5C1"/>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474">
        <v>54.0</v>
      </c>
      <c r="B1" s="2475"/>
      <c r="C1" s="2476" t="str">
        <f>IMAGE(VLOOKUP($A$1,Fighters!A2:AI114,12,FALSE),1)</f>
        <v>#REF!</v>
      </c>
      <c r="D1" s="2477"/>
      <c r="E1" s="2477"/>
      <c r="F1" s="2477"/>
      <c r="G1" s="2478"/>
      <c r="H1" s="2479"/>
      <c r="I1" s="2477"/>
      <c r="J1" s="2478"/>
      <c r="K1" s="2480"/>
      <c r="L1" s="2477"/>
      <c r="M1" s="2478"/>
      <c r="N1" s="2481"/>
      <c r="O1" s="2481"/>
      <c r="P1" s="2481"/>
      <c r="Q1" s="2481"/>
      <c r="R1" s="2482"/>
      <c r="S1" s="2482"/>
      <c r="T1" s="2482"/>
      <c r="U1" s="2482"/>
      <c r="V1" s="2482"/>
    </row>
    <row r="2">
      <c r="A2" s="2483" t="str">
        <f>VLOOKUP($A$1,Fighters!$A$2:$AI$81,6,FALSE)</f>
        <v>#91e5c1</v>
      </c>
      <c r="B2" s="2475"/>
      <c r="C2" s="2484"/>
      <c r="G2" s="2485"/>
      <c r="H2" s="2486"/>
      <c r="I2" s="2487"/>
      <c r="J2" s="2488"/>
      <c r="K2" s="2486"/>
      <c r="L2" s="2487"/>
      <c r="M2" s="2488"/>
      <c r="N2" s="2481"/>
      <c r="O2" s="2481"/>
      <c r="P2" s="2481"/>
      <c r="Q2" s="2481"/>
      <c r="R2" s="2482"/>
      <c r="S2" s="2482"/>
      <c r="T2" s="2482"/>
      <c r="U2" s="2482"/>
      <c r="V2" s="2482"/>
    </row>
    <row r="3">
      <c r="A3" s="2483" t="str">
        <f>VLOOKUP($A$1,Fighters!$A$2:$AI$81,14,FALSE)</f>
        <v>54. パルテナ</v>
      </c>
      <c r="B3" s="2475"/>
      <c r="C3" s="2484"/>
      <c r="G3" s="2485"/>
      <c r="H3" s="2489"/>
      <c r="I3" s="2489"/>
      <c r="J3" s="2489"/>
      <c r="K3" s="2490"/>
      <c r="L3" s="2490"/>
      <c r="M3" s="2490"/>
      <c r="N3" s="2481"/>
      <c r="O3" s="2481"/>
      <c r="P3" s="2481"/>
      <c r="Q3" s="2481"/>
      <c r="R3" s="2491"/>
      <c r="S3" s="2482"/>
      <c r="T3" s="2482"/>
      <c r="U3" s="2482"/>
      <c r="V3" s="2482"/>
    </row>
    <row r="4">
      <c r="A4" s="2483" t="str">
        <f>VLOOKUP($A$1,Fighters!$A$2:$AI$81,13,FALSE)</f>
        <v>1</v>
      </c>
      <c r="B4" s="2475"/>
      <c r="C4" s="2484"/>
      <c r="G4" s="2485"/>
      <c r="H4" s="2492"/>
      <c r="I4" s="2492"/>
      <c r="J4" s="2489"/>
      <c r="K4" s="2490"/>
      <c r="L4" s="2490"/>
      <c r="M4" s="2490"/>
      <c r="N4" s="2481"/>
      <c r="O4" s="2481"/>
      <c r="P4" s="2481"/>
      <c r="Q4" s="2481"/>
      <c r="R4" s="2491"/>
      <c r="S4" s="2482"/>
      <c r="T4" s="2482"/>
      <c r="U4" s="2482"/>
      <c r="V4" s="2482"/>
    </row>
    <row r="5" ht="16.5" customHeight="1">
      <c r="A5" s="2474"/>
      <c r="B5" s="2475"/>
      <c r="C5" s="2484"/>
      <c r="G5" s="2485"/>
      <c r="H5" s="2493"/>
      <c r="I5" s="2493"/>
      <c r="J5" s="2494"/>
      <c r="K5" s="2495"/>
      <c r="L5" s="2496"/>
      <c r="M5" s="2496"/>
      <c r="N5" s="2481"/>
      <c r="O5" s="2481"/>
      <c r="P5" s="2481"/>
      <c r="Q5" s="2481"/>
      <c r="R5" s="2491"/>
      <c r="S5" s="2482"/>
      <c r="T5" s="2482"/>
      <c r="U5" s="2482"/>
      <c r="V5" s="2482"/>
    </row>
    <row r="6">
      <c r="A6" s="2475"/>
      <c r="B6" s="2475"/>
      <c r="C6" s="2484"/>
      <c r="G6" s="2485"/>
      <c r="H6" s="2492"/>
      <c r="I6" s="2497" t="s">
        <v>39</v>
      </c>
      <c r="J6" s="2495"/>
      <c r="K6" s="2498"/>
      <c r="L6" s="2496"/>
      <c r="M6" s="2496"/>
      <c r="N6" s="2481"/>
      <c r="O6" s="2481"/>
      <c r="P6" s="2481"/>
      <c r="Q6" s="2481"/>
      <c r="R6" s="2491"/>
      <c r="S6" s="2482"/>
      <c r="T6" s="2482"/>
      <c r="U6" s="2482"/>
      <c r="V6" s="2482"/>
    </row>
    <row r="7">
      <c r="A7" s="2475"/>
      <c r="B7" s="2475"/>
      <c r="C7" s="2484"/>
      <c r="G7" s="2485"/>
      <c r="H7" s="2493"/>
      <c r="I7" s="2493"/>
      <c r="J7" s="2495"/>
      <c r="K7" s="2498"/>
      <c r="L7" s="2496"/>
      <c r="M7" s="2496"/>
      <c r="N7" s="2481"/>
      <c r="O7" s="2481"/>
      <c r="P7" s="2481"/>
      <c r="Q7" s="2481"/>
      <c r="R7" s="2491"/>
      <c r="S7" s="2482"/>
      <c r="T7" s="2482"/>
      <c r="U7" s="2482"/>
      <c r="V7" s="2482"/>
    </row>
    <row r="8">
      <c r="A8" s="2475"/>
      <c r="B8" s="2475"/>
      <c r="C8" s="2484"/>
      <c r="G8" s="2485"/>
      <c r="H8" s="2499">
        <v>44379.844782835644</v>
      </c>
      <c r="I8" s="2477"/>
      <c r="J8" s="2478"/>
      <c r="K8" s="2495"/>
      <c r="L8" s="2496"/>
      <c r="M8" s="2496"/>
      <c r="N8" s="2481"/>
      <c r="O8" s="2481"/>
      <c r="P8" s="2481"/>
      <c r="Q8" s="2481"/>
      <c r="R8" s="2491"/>
      <c r="S8" s="2482"/>
      <c r="T8" s="2482"/>
      <c r="U8" s="2482"/>
      <c r="V8" s="2482"/>
    </row>
    <row r="9">
      <c r="A9" s="2475"/>
      <c r="B9" s="2475"/>
      <c r="C9" s="2484"/>
      <c r="G9" s="2485"/>
      <c r="H9" s="2486"/>
      <c r="I9" s="2487"/>
      <c r="J9" s="2488"/>
      <c r="K9" s="2482"/>
      <c r="L9" s="2481"/>
      <c r="M9" s="2481"/>
      <c r="N9" s="2481"/>
      <c r="O9" s="2481"/>
      <c r="P9" s="2481"/>
      <c r="Q9" s="2481"/>
      <c r="R9" s="2491"/>
      <c r="S9" s="2482"/>
      <c r="T9" s="2482"/>
      <c r="U9" s="2482"/>
      <c r="V9" s="2482"/>
    </row>
    <row r="10">
      <c r="A10" s="2475"/>
      <c r="B10" s="2475"/>
      <c r="C10" s="2484"/>
      <c r="G10" s="2485"/>
      <c r="H10" s="2500"/>
      <c r="I10" s="2500"/>
      <c r="J10" s="2482"/>
      <c r="K10" s="2482"/>
      <c r="L10" s="2481"/>
      <c r="M10" s="2481"/>
      <c r="N10" s="2481"/>
      <c r="O10" s="2481"/>
      <c r="P10" s="2481"/>
      <c r="Q10" s="2481"/>
      <c r="R10" s="2491"/>
      <c r="S10" s="2482"/>
      <c r="T10" s="2482"/>
      <c r="U10" s="2482"/>
      <c r="V10" s="2482"/>
    </row>
    <row r="11">
      <c r="A11" s="2501" t="s">
        <v>40</v>
      </c>
      <c r="B11" s="2478"/>
      <c r="C11" s="2484"/>
      <c r="G11" s="2485"/>
      <c r="H11" s="2493"/>
      <c r="I11" s="2493"/>
      <c r="J11" s="2482"/>
      <c r="K11" s="2482"/>
      <c r="L11" s="2481"/>
      <c r="M11" s="2481"/>
      <c r="N11" s="2481"/>
      <c r="O11" s="2481"/>
      <c r="P11" s="2481"/>
      <c r="Q11" s="2481"/>
      <c r="R11" s="2491"/>
      <c r="S11" s="2482"/>
      <c r="T11" s="2482"/>
      <c r="U11" s="2482"/>
      <c r="V11" s="2482"/>
    </row>
    <row r="12">
      <c r="A12" s="2486"/>
      <c r="B12" s="2488"/>
      <c r="C12" s="2486"/>
      <c r="D12" s="2487"/>
      <c r="E12" s="2487"/>
      <c r="F12" s="2487"/>
      <c r="G12" s="2488"/>
      <c r="H12" s="2502"/>
      <c r="I12" s="2502"/>
      <c r="J12" s="2475"/>
      <c r="K12" s="2475"/>
      <c r="L12" s="2481"/>
      <c r="M12" s="2481"/>
      <c r="N12" s="2481"/>
      <c r="O12" s="2481"/>
      <c r="P12" s="2481"/>
      <c r="Q12" s="2481"/>
      <c r="R12" s="2491"/>
      <c r="S12" s="2482"/>
      <c r="T12" s="2482"/>
      <c r="U12" s="2482"/>
      <c r="V12" s="2482"/>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91 [59th]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34F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2.035 [25th]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1.271 [17th]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50F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0.17391 [13th]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35.9 [18th]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2.077 [17th]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0.106 [50th]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17.3 [22nd]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 [58th]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0.115 [5th]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35.9 [25th]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1.55 [53rd]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2.48 [51st]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 [15th]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518</v>
      </c>
      <c r="D26" s="139" t="s">
        <v>268</v>
      </c>
      <c r="E26" s="139" t="s">
        <v>204</v>
      </c>
      <c r="F26" s="138">
        <v>3.5999999999999996</v>
      </c>
      <c r="G26" s="139" t="s">
        <v>147</v>
      </c>
      <c r="H26" s="140" t="s">
        <v>3895</v>
      </c>
      <c r="I26" s="110"/>
      <c r="J26" s="109"/>
      <c r="K26" s="138"/>
      <c r="L26" s="282"/>
      <c r="M26" s="363"/>
      <c r="N26" s="363"/>
      <c r="O26" s="145">
        <v>0.0</v>
      </c>
      <c r="P26" s="145">
        <v>1.0</v>
      </c>
      <c r="Q26" s="145">
        <v>1.0</v>
      </c>
      <c r="R26" s="100"/>
      <c r="S26" s="100"/>
      <c r="T26" s="100"/>
      <c r="U26" s="166" t="s">
        <v>62</v>
      </c>
      <c r="V26" s="100"/>
    </row>
    <row r="27" outlineLevel="1">
      <c r="A27" s="146"/>
      <c r="B27" s="147" t="s">
        <v>703</v>
      </c>
      <c r="C27" s="657"/>
      <c r="D27" s="216" t="s">
        <v>176</v>
      </c>
      <c r="E27" s="659"/>
      <c r="F27" s="658"/>
      <c r="G27" s="659"/>
      <c r="H27" s="366"/>
      <c r="I27" s="110"/>
      <c r="J27" s="109"/>
      <c r="K27" s="261"/>
      <c r="L27" s="261"/>
      <c r="M27" s="261"/>
      <c r="N27" s="261"/>
      <c r="O27" s="261"/>
      <c r="P27" s="261"/>
      <c r="Q27" s="261"/>
      <c r="R27" s="100"/>
      <c r="S27" s="100"/>
      <c r="T27" s="100"/>
      <c r="U27" s="146"/>
      <c r="V27" s="100"/>
    </row>
    <row r="28" outlineLevel="1">
      <c r="A28" s="146"/>
      <c r="B28" s="147" t="s">
        <v>704</v>
      </c>
      <c r="C28" s="214" t="s">
        <v>2221</v>
      </c>
      <c r="D28" s="216" t="s">
        <v>65</v>
      </c>
      <c r="E28" s="216" t="s">
        <v>201</v>
      </c>
      <c r="F28" s="138">
        <v>0.72</v>
      </c>
      <c r="G28" s="450" t="s">
        <v>75</v>
      </c>
      <c r="H28" s="140" t="s">
        <v>3896</v>
      </c>
      <c r="I28" s="110"/>
      <c r="J28" s="109"/>
      <c r="K28" s="282"/>
      <c r="L28" s="282"/>
      <c r="M28" s="363"/>
      <c r="N28" s="363"/>
      <c r="O28" s="145">
        <v>0.0</v>
      </c>
      <c r="P28" s="145">
        <v>1.0</v>
      </c>
      <c r="Q28" s="145">
        <v>1.0</v>
      </c>
      <c r="R28" s="100"/>
      <c r="S28" s="100"/>
      <c r="T28" s="100"/>
      <c r="U28" s="146"/>
      <c r="V28" s="100"/>
    </row>
    <row r="29" outlineLevel="1">
      <c r="A29" s="156"/>
      <c r="B29" s="147" t="s">
        <v>708</v>
      </c>
      <c r="C29" s="216" t="s">
        <v>71</v>
      </c>
      <c r="D29" s="216" t="s">
        <v>118</v>
      </c>
      <c r="E29" s="216" t="s">
        <v>651</v>
      </c>
      <c r="F29" s="138">
        <v>4.2</v>
      </c>
      <c r="G29" s="467" t="s">
        <v>147</v>
      </c>
      <c r="H29" s="140" t="s">
        <v>411</v>
      </c>
      <c r="I29" s="110"/>
      <c r="J29" s="109"/>
      <c r="K29" s="282"/>
      <c r="L29" s="282"/>
      <c r="M29" s="363"/>
      <c r="N29" s="363"/>
      <c r="O29" s="145">
        <v>0.0</v>
      </c>
      <c r="P29" s="145">
        <v>1.0</v>
      </c>
      <c r="Q29" s="145">
        <v>1.0</v>
      </c>
      <c r="R29" s="100"/>
      <c r="S29" s="100"/>
      <c r="T29" s="100"/>
      <c r="U29" s="156"/>
      <c r="V29" s="100"/>
    </row>
    <row r="30" ht="20.25" customHeight="1" outlineLevel="1">
      <c r="A30" s="133" t="s">
        <v>77</v>
      </c>
      <c r="B30" s="160"/>
      <c r="C30" s="216" t="s">
        <v>543</v>
      </c>
      <c r="D30" s="379" t="s">
        <v>628</v>
      </c>
      <c r="E30" s="216" t="s">
        <v>232</v>
      </c>
      <c r="F30" s="138">
        <v>13.2</v>
      </c>
      <c r="G30" s="139" t="s">
        <v>121</v>
      </c>
      <c r="H30" s="283" t="s">
        <v>3897</v>
      </c>
      <c r="I30" s="164"/>
      <c r="J30" s="104"/>
      <c r="K30" s="138"/>
      <c r="L30" s="282"/>
      <c r="M30" s="363"/>
      <c r="N30" s="363"/>
      <c r="O30" s="145">
        <v>3.0</v>
      </c>
      <c r="P30" s="145">
        <v>1.0</v>
      </c>
      <c r="Q30" s="145">
        <v>1.0</v>
      </c>
      <c r="R30" s="100"/>
      <c r="S30" s="100"/>
      <c r="T30" s="100"/>
      <c r="U30" s="166" t="s">
        <v>69</v>
      </c>
      <c r="V30" s="100"/>
    </row>
    <row r="31" ht="20.25" customHeight="1" outlineLevel="1">
      <c r="A31" s="156"/>
      <c r="B31" s="147" t="s">
        <v>84</v>
      </c>
      <c r="C31" s="216" t="s">
        <v>3533</v>
      </c>
      <c r="D31" s="107"/>
      <c r="E31" s="216" t="s">
        <v>93</v>
      </c>
      <c r="F31" s="138">
        <v>8.4</v>
      </c>
      <c r="G31" s="139" t="s">
        <v>95</v>
      </c>
      <c r="H31" s="106"/>
      <c r="I31" s="168"/>
      <c r="J31" s="107"/>
      <c r="K31" s="282"/>
      <c r="L31" s="282"/>
      <c r="M31" s="363"/>
      <c r="N31" s="363"/>
      <c r="O31" s="145">
        <v>3.0</v>
      </c>
      <c r="P31" s="145">
        <v>1.0</v>
      </c>
      <c r="Q31" s="145">
        <v>1.0</v>
      </c>
      <c r="R31" s="100"/>
      <c r="S31" s="100"/>
      <c r="T31" s="100"/>
      <c r="U31" s="156"/>
      <c r="V31" s="100"/>
    </row>
    <row r="32" outlineLevel="1">
      <c r="A32" s="133" t="s">
        <v>89</v>
      </c>
      <c r="B32" s="147" t="s">
        <v>125</v>
      </c>
      <c r="C32" s="216" t="s">
        <v>509</v>
      </c>
      <c r="D32" s="195" t="s">
        <v>462</v>
      </c>
      <c r="E32" s="216" t="s">
        <v>86</v>
      </c>
      <c r="F32" s="138">
        <v>7.199999999999999</v>
      </c>
      <c r="G32" s="139" t="s">
        <v>102</v>
      </c>
      <c r="H32" s="283" t="s">
        <v>3898</v>
      </c>
      <c r="I32" s="164"/>
      <c r="J32" s="104"/>
      <c r="K32" s="138"/>
      <c r="L32" s="282"/>
      <c r="M32" s="363"/>
      <c r="N32" s="363"/>
      <c r="O32" s="145">
        <v>1.0</v>
      </c>
      <c r="P32" s="145">
        <v>1.0</v>
      </c>
      <c r="Q32" s="145">
        <v>1.0</v>
      </c>
      <c r="R32" s="100"/>
      <c r="S32" s="100"/>
      <c r="T32" s="100"/>
      <c r="U32" s="166" t="s">
        <v>96</v>
      </c>
      <c r="V32" s="100"/>
    </row>
    <row r="33" outlineLevel="1">
      <c r="A33" s="156"/>
      <c r="B33" s="147" t="s">
        <v>131</v>
      </c>
      <c r="C33" s="216" t="s">
        <v>2636</v>
      </c>
      <c r="D33" s="107"/>
      <c r="E33" s="216" t="s">
        <v>93</v>
      </c>
      <c r="F33" s="138">
        <v>8.4</v>
      </c>
      <c r="G33" s="139" t="s">
        <v>95</v>
      </c>
      <c r="H33" s="106"/>
      <c r="I33" s="168"/>
      <c r="J33" s="107"/>
      <c r="K33" s="138"/>
      <c r="L33" s="282"/>
      <c r="M33" s="363"/>
      <c r="N33" s="363"/>
      <c r="O33" s="145">
        <v>1.0</v>
      </c>
      <c r="P33" s="145">
        <v>1.0</v>
      </c>
      <c r="Q33" s="145">
        <v>1.0</v>
      </c>
      <c r="R33" s="100"/>
      <c r="S33" s="100"/>
      <c r="T33" s="100"/>
      <c r="U33" s="156"/>
      <c r="V33" s="100"/>
    </row>
    <row r="34" outlineLevel="1">
      <c r="A34" s="133" t="s">
        <v>97</v>
      </c>
      <c r="B34" s="147" t="s">
        <v>199</v>
      </c>
      <c r="C34" s="216" t="s">
        <v>3899</v>
      </c>
      <c r="D34" s="195" t="s">
        <v>300</v>
      </c>
      <c r="E34" s="216" t="s">
        <v>169</v>
      </c>
      <c r="F34" s="138">
        <v>1.68</v>
      </c>
      <c r="G34" s="139" t="s">
        <v>60</v>
      </c>
      <c r="H34" s="163" t="s">
        <v>1167</v>
      </c>
      <c r="I34" s="164"/>
      <c r="J34" s="104"/>
      <c r="K34" s="282"/>
      <c r="L34" s="282"/>
      <c r="M34" s="363"/>
      <c r="N34" s="363"/>
      <c r="O34" s="145">
        <v>0.0</v>
      </c>
      <c r="P34" s="145">
        <v>1.0</v>
      </c>
      <c r="Q34" s="145">
        <v>1.0</v>
      </c>
      <c r="R34" s="100"/>
      <c r="S34" s="100"/>
      <c r="T34" s="100"/>
      <c r="U34" s="166" t="s">
        <v>62</v>
      </c>
      <c r="V34" s="100"/>
    </row>
    <row r="35" outlineLevel="1">
      <c r="A35" s="156"/>
      <c r="B35" s="147" t="s">
        <v>202</v>
      </c>
      <c r="C35" s="216" t="s">
        <v>443</v>
      </c>
      <c r="D35" s="107"/>
      <c r="E35" s="450" t="s">
        <v>1438</v>
      </c>
      <c r="F35" s="138">
        <v>5.3999999999999995</v>
      </c>
      <c r="G35" s="139" t="s">
        <v>75</v>
      </c>
      <c r="H35" s="106"/>
      <c r="I35" s="168"/>
      <c r="J35" s="107"/>
      <c r="K35" s="145"/>
      <c r="L35" s="363"/>
      <c r="M35" s="363"/>
      <c r="N35" s="363"/>
      <c r="O35" s="145">
        <v>0.0</v>
      </c>
      <c r="P35" s="145">
        <v>1.0</v>
      </c>
      <c r="Q35" s="145">
        <v>1.0</v>
      </c>
      <c r="R35" s="100"/>
      <c r="S35" s="100"/>
      <c r="T35" s="100"/>
      <c r="U35" s="156"/>
      <c r="V35" s="100"/>
    </row>
    <row r="36" outlineLevel="1">
      <c r="A36" s="133" t="s">
        <v>103</v>
      </c>
      <c r="B36" s="147" t="s">
        <v>350</v>
      </c>
      <c r="C36" s="195" t="s">
        <v>3900</v>
      </c>
      <c r="D36" s="195" t="s">
        <v>118</v>
      </c>
      <c r="E36" s="216" t="s">
        <v>1855</v>
      </c>
      <c r="F36" s="138">
        <v>10.2</v>
      </c>
      <c r="G36" s="139" t="s">
        <v>123</v>
      </c>
      <c r="H36" s="163" t="s">
        <v>1167</v>
      </c>
      <c r="I36" s="164"/>
      <c r="J36" s="104"/>
      <c r="K36" s="145"/>
      <c r="L36" s="363"/>
      <c r="M36" s="363"/>
      <c r="N36" s="363"/>
      <c r="O36" s="145">
        <v>1.0</v>
      </c>
      <c r="P36" s="145">
        <v>1.0</v>
      </c>
      <c r="Q36" s="145">
        <v>1.0</v>
      </c>
      <c r="R36" s="100"/>
      <c r="S36" s="100"/>
      <c r="T36" s="100"/>
      <c r="U36" s="166" t="s">
        <v>69</v>
      </c>
      <c r="V36" s="100"/>
    </row>
    <row r="37" outlineLevel="1">
      <c r="A37" s="156"/>
      <c r="B37" s="147" t="s">
        <v>356</v>
      </c>
      <c r="C37" s="107"/>
      <c r="D37" s="107"/>
      <c r="E37" s="216" t="s">
        <v>150</v>
      </c>
      <c r="F37" s="138">
        <v>6.0</v>
      </c>
      <c r="G37" s="659"/>
      <c r="H37" s="106"/>
      <c r="I37" s="168"/>
      <c r="J37" s="107"/>
      <c r="K37" s="145"/>
      <c r="L37" s="363"/>
      <c r="M37" s="363"/>
      <c r="N37" s="363"/>
      <c r="O37" s="145">
        <v>1.0</v>
      </c>
      <c r="P37" s="145">
        <v>1.0</v>
      </c>
      <c r="Q37" s="145">
        <v>1.0</v>
      </c>
      <c r="R37" s="100"/>
      <c r="S37" s="100"/>
      <c r="T37" s="100"/>
      <c r="U37" s="156"/>
      <c r="V37" s="100"/>
    </row>
    <row r="38" outlineLevel="1">
      <c r="A38" s="133" t="s">
        <v>109</v>
      </c>
      <c r="B38" s="147"/>
      <c r="C38" s="216" t="s">
        <v>312</v>
      </c>
      <c r="D38" s="195" t="s">
        <v>748</v>
      </c>
      <c r="E38" s="216" t="s">
        <v>326</v>
      </c>
      <c r="F38" s="138" t="s">
        <v>327</v>
      </c>
      <c r="G38" s="139" t="s">
        <v>1511</v>
      </c>
      <c r="H38" s="163" t="s">
        <v>3901</v>
      </c>
      <c r="I38" s="164"/>
      <c r="J38" s="104"/>
      <c r="K38" s="282"/>
      <c r="L38" s="282"/>
      <c r="M38" s="363"/>
      <c r="N38" s="363"/>
      <c r="O38" s="145">
        <v>1.0</v>
      </c>
      <c r="P38" s="145">
        <v>1.0</v>
      </c>
      <c r="Q38" s="145">
        <v>1.0</v>
      </c>
      <c r="R38" s="100"/>
      <c r="S38" s="100"/>
      <c r="T38" s="100"/>
      <c r="U38" s="166" t="s">
        <v>407</v>
      </c>
      <c r="V38" s="100"/>
    </row>
    <row r="39" outlineLevel="1">
      <c r="A39" s="146"/>
      <c r="B39" s="147" t="s">
        <v>1933</v>
      </c>
      <c r="C39" s="216" t="s">
        <v>2165</v>
      </c>
      <c r="D39" s="210"/>
      <c r="E39" s="216" t="s">
        <v>209</v>
      </c>
      <c r="F39" s="138">
        <v>0.0</v>
      </c>
      <c r="G39" s="659"/>
      <c r="H39" s="212"/>
      <c r="J39" s="210"/>
      <c r="K39" s="282"/>
      <c r="L39" s="282"/>
      <c r="M39" s="363"/>
      <c r="N39" s="363"/>
      <c r="O39" s="145">
        <v>1.0</v>
      </c>
      <c r="P39" s="145">
        <v>1.0</v>
      </c>
      <c r="Q39" s="145">
        <v>1.0</v>
      </c>
      <c r="R39" s="100"/>
      <c r="S39" s="100"/>
      <c r="T39" s="100"/>
      <c r="U39" s="146"/>
      <c r="V39" s="100"/>
    </row>
    <row r="40" outlineLevel="1">
      <c r="A40" s="156"/>
      <c r="B40" s="147" t="s">
        <v>3902</v>
      </c>
      <c r="C40" s="216" t="s">
        <v>3903</v>
      </c>
      <c r="D40" s="107"/>
      <c r="E40" s="216" t="s">
        <v>209</v>
      </c>
      <c r="F40" s="138">
        <v>0.0</v>
      </c>
      <c r="G40" s="659"/>
      <c r="H40" s="106"/>
      <c r="I40" s="168"/>
      <c r="J40" s="107"/>
      <c r="K40" s="282"/>
      <c r="L40" s="282"/>
      <c r="M40" s="363"/>
      <c r="N40" s="363"/>
      <c r="O40" s="145">
        <v>1.0</v>
      </c>
      <c r="P40" s="145">
        <v>1.0</v>
      </c>
      <c r="Q40" s="145">
        <v>1.0</v>
      </c>
      <c r="R40" s="100"/>
      <c r="S40" s="100"/>
      <c r="T40" s="100"/>
      <c r="U40" s="156"/>
      <c r="V40" s="100"/>
    </row>
    <row r="41" outlineLevel="1">
      <c r="A41" s="133" t="s">
        <v>116</v>
      </c>
      <c r="B41" s="160"/>
      <c r="C41" s="216" t="s">
        <v>1315</v>
      </c>
      <c r="D41" s="195" t="s">
        <v>748</v>
      </c>
      <c r="E41" s="216" t="s">
        <v>3904</v>
      </c>
      <c r="F41" s="138" t="s">
        <v>3905</v>
      </c>
      <c r="G41" s="139" t="s">
        <v>3906</v>
      </c>
      <c r="H41" s="163" t="s">
        <v>3907</v>
      </c>
      <c r="I41" s="164"/>
      <c r="J41" s="104"/>
      <c r="K41" s="363"/>
      <c r="L41" s="363"/>
      <c r="M41" s="363"/>
      <c r="N41" s="363"/>
      <c r="O41" s="145">
        <v>0.0</v>
      </c>
      <c r="P41" s="145">
        <v>1.0</v>
      </c>
      <c r="Q41" s="145">
        <v>1.0</v>
      </c>
      <c r="R41" s="100"/>
      <c r="S41" s="100"/>
      <c r="T41" s="100"/>
      <c r="U41" s="166" t="s">
        <v>62</v>
      </c>
      <c r="V41" s="100"/>
    </row>
    <row r="42" outlineLevel="1">
      <c r="A42" s="156"/>
      <c r="B42" s="147" t="s">
        <v>84</v>
      </c>
      <c r="C42" s="216" t="s">
        <v>3908</v>
      </c>
      <c r="D42" s="107"/>
      <c r="E42" s="216" t="s">
        <v>3909</v>
      </c>
      <c r="F42" s="138" t="s">
        <v>3910</v>
      </c>
      <c r="G42" s="139" t="s">
        <v>3911</v>
      </c>
      <c r="H42" s="106"/>
      <c r="I42" s="168"/>
      <c r="J42" s="107"/>
      <c r="K42" s="363"/>
      <c r="L42" s="363"/>
      <c r="M42" s="363"/>
      <c r="N42" s="363"/>
      <c r="O42" s="145"/>
      <c r="P42" s="145"/>
      <c r="Q42" s="145"/>
      <c r="R42" s="100"/>
      <c r="S42" s="100"/>
      <c r="T42" s="100"/>
      <c r="U42" s="156"/>
      <c r="V42" s="100"/>
    </row>
    <row r="43" outlineLevel="1">
      <c r="A43" s="133" t="s">
        <v>124</v>
      </c>
      <c r="B43" s="147"/>
      <c r="C43" s="216" t="s">
        <v>394</v>
      </c>
      <c r="D43" s="195" t="s">
        <v>1160</v>
      </c>
      <c r="E43" s="467" t="s">
        <v>386</v>
      </c>
      <c r="F43" s="138">
        <v>18.0</v>
      </c>
      <c r="G43" s="139" t="s">
        <v>121</v>
      </c>
      <c r="H43" s="163" t="s">
        <v>3912</v>
      </c>
      <c r="I43" s="164"/>
      <c r="J43" s="104"/>
      <c r="K43" s="282"/>
      <c r="L43" s="282"/>
      <c r="M43" s="363"/>
      <c r="N43" s="363"/>
      <c r="O43" s="145">
        <v>0.0</v>
      </c>
      <c r="P43" s="145">
        <v>1.0</v>
      </c>
      <c r="Q43" s="145">
        <v>1.0</v>
      </c>
      <c r="R43" s="100"/>
      <c r="S43" s="100"/>
      <c r="T43" s="100"/>
      <c r="U43" s="166" t="s">
        <v>69</v>
      </c>
      <c r="V43" s="100"/>
    </row>
    <row r="44" outlineLevel="1">
      <c r="A44" s="146"/>
      <c r="B44" s="147" t="s">
        <v>84</v>
      </c>
      <c r="C44" s="216" t="s">
        <v>653</v>
      </c>
      <c r="D44" s="210"/>
      <c r="E44" s="467" t="s">
        <v>228</v>
      </c>
      <c r="F44" s="138">
        <v>15.6</v>
      </c>
      <c r="G44" s="139" t="s">
        <v>275</v>
      </c>
      <c r="H44" s="212"/>
      <c r="J44" s="210"/>
      <c r="K44" s="282"/>
      <c r="L44" s="282"/>
      <c r="M44" s="363"/>
      <c r="N44" s="363"/>
      <c r="O44" s="145">
        <v>0.0</v>
      </c>
      <c r="P44" s="145">
        <v>1.0</v>
      </c>
      <c r="Q44" s="145">
        <v>1.0</v>
      </c>
      <c r="R44" s="100"/>
      <c r="S44" s="100"/>
      <c r="T44" s="100"/>
      <c r="U44" s="146"/>
      <c r="V44" s="100"/>
    </row>
    <row r="45" outlineLevel="1">
      <c r="A45" s="156"/>
      <c r="B45" s="147" t="s">
        <v>1933</v>
      </c>
      <c r="C45" s="216" t="s">
        <v>895</v>
      </c>
      <c r="D45" s="107"/>
      <c r="E45" s="467" t="s">
        <v>209</v>
      </c>
      <c r="F45" s="138">
        <v>0.0</v>
      </c>
      <c r="G45" s="659"/>
      <c r="H45" s="106"/>
      <c r="I45" s="168"/>
      <c r="J45" s="107"/>
      <c r="K45" s="282"/>
      <c r="L45" s="282"/>
      <c r="M45" s="363"/>
      <c r="N45" s="363"/>
      <c r="O45" s="145">
        <v>0.0</v>
      </c>
      <c r="P45" s="145">
        <v>1.0</v>
      </c>
      <c r="Q45" s="145">
        <v>1.0</v>
      </c>
      <c r="R45" s="100"/>
      <c r="S45" s="100"/>
      <c r="T45" s="100"/>
      <c r="U45" s="156"/>
      <c r="V45" s="100"/>
    </row>
    <row r="46">
      <c r="A46" s="118"/>
      <c r="B46" s="176"/>
      <c r="C46" s="118"/>
      <c r="D46" s="118"/>
      <c r="E46" s="118"/>
      <c r="F46" s="177"/>
      <c r="G46" s="177"/>
      <c r="H46" s="118"/>
      <c r="I46" s="118"/>
      <c r="J46" s="118"/>
      <c r="K46" s="118"/>
      <c r="L46" s="118"/>
      <c r="M46" s="118"/>
      <c r="N46" s="118"/>
      <c r="O46" s="118"/>
      <c r="P46" s="118"/>
      <c r="Q46" s="118"/>
      <c r="R46" s="118"/>
      <c r="S46" s="118"/>
      <c r="T46" s="118"/>
      <c r="U46" s="118"/>
      <c r="V46" s="118"/>
    </row>
    <row r="47">
      <c r="A47" s="178" t="s">
        <v>133</v>
      </c>
      <c r="B47" s="104"/>
      <c r="C47" s="179"/>
      <c r="D47" s="179"/>
      <c r="E47" s="179"/>
      <c r="F47" s="180"/>
      <c r="G47" s="179"/>
      <c r="H47" s="180"/>
      <c r="I47" s="180"/>
      <c r="J47" s="181"/>
      <c r="K47" s="180"/>
      <c r="L47" s="180"/>
      <c r="M47" s="180"/>
      <c r="N47" s="180"/>
      <c r="O47" s="180"/>
      <c r="P47" s="180"/>
      <c r="Q47" s="180"/>
      <c r="R47" s="180"/>
      <c r="S47" s="180"/>
      <c r="T47" s="180"/>
      <c r="U47" s="180"/>
      <c r="V47" s="180"/>
    </row>
    <row r="48" outlineLevel="1">
      <c r="A48" s="106"/>
      <c r="B48" s="107"/>
      <c r="C48" s="182" t="s">
        <v>48</v>
      </c>
      <c r="D48" s="183" t="s">
        <v>49</v>
      </c>
      <c r="E48" s="182" t="s">
        <v>50</v>
      </c>
      <c r="F48" s="184" t="s">
        <v>51</v>
      </c>
      <c r="G48" s="184" t="s">
        <v>134</v>
      </c>
      <c r="H48" s="185" t="s">
        <v>52</v>
      </c>
      <c r="I48" s="184" t="str">
        <f>'テンプレート'!I56</f>
        <v>着地隙</v>
      </c>
      <c r="J48" s="184" t="s">
        <v>136</v>
      </c>
      <c r="K48" s="184" t="str">
        <f>'テンプレート'!K56</f>
        <v>ベクトル</v>
      </c>
      <c r="L48" s="184" t="str">
        <f>'テンプレート'!L56</f>
        <v>KBG (R.E.)</v>
      </c>
      <c r="M48" s="184" t="str">
        <f>'テンプレート'!M56</f>
        <v>BKB (R.A.)</v>
      </c>
      <c r="N48" s="184" t="str">
        <f>'テンプレート'!N56</f>
        <v>FKB (R.F.)</v>
      </c>
      <c r="O48" s="186" t="str">
        <f>'テンプレート'!O56</f>
        <v>盾削り値</v>
      </c>
      <c r="P48" s="184" t="str">
        <f>'テンプレート'!P56</f>
        <v>ﾋｯﾄｽﾄｯﾌﾟ</v>
      </c>
      <c r="Q48" s="186" t="str">
        <f>'テンプレート'!Q56</f>
        <v>ずらし</v>
      </c>
      <c r="R48" s="187" t="str">
        <f>'テンプレート'!R56</f>
        <v>備考</v>
      </c>
      <c r="S48" s="110"/>
      <c r="T48" s="110"/>
      <c r="U48" s="110"/>
      <c r="V48" s="110"/>
    </row>
    <row r="49" outlineLevel="1">
      <c r="A49" s="188" t="s">
        <v>144</v>
      </c>
      <c r="B49" s="373" t="s">
        <v>199</v>
      </c>
      <c r="C49" s="239" t="s">
        <v>3913</v>
      </c>
      <c r="D49" s="374" t="s">
        <v>455</v>
      </c>
      <c r="E49" s="401" t="s">
        <v>169</v>
      </c>
      <c r="F49" s="193">
        <v>1.68</v>
      </c>
      <c r="G49" s="193">
        <v>1.428</v>
      </c>
      <c r="H49" s="138" t="s">
        <v>170</v>
      </c>
      <c r="I49" s="194" t="s">
        <v>129</v>
      </c>
      <c r="J49" s="195" t="s">
        <v>649</v>
      </c>
      <c r="K49" s="138"/>
      <c r="L49" s="282"/>
      <c r="M49" s="282"/>
      <c r="N49" s="282"/>
      <c r="O49" s="138">
        <v>1.0</v>
      </c>
      <c r="P49" s="138">
        <v>1.0</v>
      </c>
      <c r="Q49" s="138">
        <v>1.0</v>
      </c>
      <c r="R49" s="2503"/>
      <c r="S49" s="164"/>
      <c r="T49" s="164"/>
      <c r="U49" s="164"/>
      <c r="V49" s="104"/>
    </row>
    <row r="50" outlineLevel="1">
      <c r="A50" s="156"/>
      <c r="B50" s="373" t="s">
        <v>202</v>
      </c>
      <c r="C50" s="239" t="s">
        <v>433</v>
      </c>
      <c r="D50" s="107"/>
      <c r="E50" s="239" t="s">
        <v>575</v>
      </c>
      <c r="F50" s="138">
        <v>6.119999999999999</v>
      </c>
      <c r="G50" s="138">
        <v>5.202</v>
      </c>
      <c r="H50" s="138" t="s">
        <v>60</v>
      </c>
      <c r="I50" s="156"/>
      <c r="J50" s="107"/>
      <c r="K50" s="138"/>
      <c r="L50" s="282"/>
      <c r="M50" s="282"/>
      <c r="N50" s="282"/>
      <c r="O50" s="138">
        <v>3.0</v>
      </c>
      <c r="P50" s="138">
        <v>1.0</v>
      </c>
      <c r="Q50" s="138">
        <v>1.0</v>
      </c>
      <c r="R50" s="106"/>
      <c r="S50" s="168"/>
      <c r="T50" s="168"/>
      <c r="U50" s="168"/>
      <c r="V50" s="107"/>
    </row>
    <row r="51" outlineLevel="1">
      <c r="A51" s="213" t="s">
        <v>151</v>
      </c>
      <c r="B51" s="373"/>
      <c r="C51" s="239" t="s">
        <v>835</v>
      </c>
      <c r="D51" s="380">
        <v>44.0</v>
      </c>
      <c r="E51" s="239" t="s">
        <v>128</v>
      </c>
      <c r="F51" s="138">
        <v>12.0</v>
      </c>
      <c r="G51" s="138">
        <v>10.2</v>
      </c>
      <c r="H51" s="138" t="s">
        <v>147</v>
      </c>
      <c r="I51" s="365" t="s">
        <v>274</v>
      </c>
      <c r="J51" s="216" t="s">
        <v>3914</v>
      </c>
      <c r="K51" s="138"/>
      <c r="L51" s="282"/>
      <c r="M51" s="282"/>
      <c r="N51" s="282"/>
      <c r="O51" s="138">
        <v>3.0</v>
      </c>
      <c r="P51" s="138">
        <v>1.0</v>
      </c>
      <c r="Q51" s="138">
        <v>1.0</v>
      </c>
      <c r="R51" s="2504"/>
      <c r="S51" s="110"/>
      <c r="T51" s="110"/>
      <c r="U51" s="110"/>
      <c r="V51" s="109"/>
    </row>
    <row r="52" outlineLevel="1">
      <c r="A52" s="213" t="s">
        <v>157</v>
      </c>
      <c r="B52" s="373"/>
      <c r="C52" s="239" t="s">
        <v>161</v>
      </c>
      <c r="D52" s="380">
        <v>49.0</v>
      </c>
      <c r="E52" s="239" t="s">
        <v>129</v>
      </c>
      <c r="F52" s="138">
        <v>14.399999999999999</v>
      </c>
      <c r="G52" s="138">
        <v>12.24</v>
      </c>
      <c r="H52" s="138" t="s">
        <v>75</v>
      </c>
      <c r="I52" s="215">
        <v>10.0</v>
      </c>
      <c r="J52" s="216" t="s">
        <v>1624</v>
      </c>
      <c r="K52" s="138"/>
      <c r="L52" s="282"/>
      <c r="M52" s="282"/>
      <c r="N52" s="282"/>
      <c r="O52" s="138">
        <v>3.0</v>
      </c>
      <c r="P52" s="138">
        <v>1.0</v>
      </c>
      <c r="Q52" s="138">
        <v>1.0</v>
      </c>
      <c r="R52" s="381" t="s">
        <v>3915</v>
      </c>
      <c r="S52" s="110"/>
      <c r="T52" s="110"/>
      <c r="U52" s="110"/>
      <c r="V52" s="109"/>
    </row>
    <row r="53" outlineLevel="1">
      <c r="A53" s="188" t="s">
        <v>162</v>
      </c>
      <c r="B53" s="373" t="s">
        <v>199</v>
      </c>
      <c r="C53" s="239" t="s">
        <v>3916</v>
      </c>
      <c r="D53" s="374" t="s">
        <v>455</v>
      </c>
      <c r="E53" s="239" t="s">
        <v>213</v>
      </c>
      <c r="F53" s="138">
        <v>1.2</v>
      </c>
      <c r="G53" s="138">
        <v>1.02</v>
      </c>
      <c r="H53" s="138" t="s">
        <v>170</v>
      </c>
      <c r="I53" s="194" t="s">
        <v>119</v>
      </c>
      <c r="J53" s="195" t="s">
        <v>2387</v>
      </c>
      <c r="K53" s="282"/>
      <c r="L53" s="282"/>
      <c r="M53" s="282"/>
      <c r="N53" s="282"/>
      <c r="O53" s="138">
        <v>0.0</v>
      </c>
      <c r="P53" s="138">
        <v>1.0</v>
      </c>
      <c r="Q53" s="138">
        <v>1.0</v>
      </c>
      <c r="R53" s="2503"/>
      <c r="S53" s="164"/>
      <c r="T53" s="164"/>
      <c r="U53" s="164"/>
      <c r="V53" s="104"/>
    </row>
    <row r="54" outlineLevel="1">
      <c r="A54" s="156"/>
      <c r="B54" s="373" t="s">
        <v>202</v>
      </c>
      <c r="C54" s="239" t="s">
        <v>443</v>
      </c>
      <c r="D54" s="107"/>
      <c r="E54" s="239" t="s">
        <v>150</v>
      </c>
      <c r="F54" s="138">
        <v>6.0</v>
      </c>
      <c r="G54" s="138">
        <v>5.1</v>
      </c>
      <c r="H54" s="138" t="s">
        <v>60</v>
      </c>
      <c r="I54" s="156"/>
      <c r="J54" s="107"/>
      <c r="K54" s="282"/>
      <c r="L54" s="282"/>
      <c r="M54" s="282"/>
      <c r="N54" s="282"/>
      <c r="O54" s="138">
        <v>0.0</v>
      </c>
      <c r="P54" s="138">
        <v>1.0</v>
      </c>
      <c r="Q54" s="138">
        <v>1.0</v>
      </c>
      <c r="R54" s="106"/>
      <c r="S54" s="168"/>
      <c r="T54" s="168"/>
      <c r="U54" s="168"/>
      <c r="V54" s="107"/>
    </row>
    <row r="55" outlineLevel="1">
      <c r="A55" s="213" t="s">
        <v>166</v>
      </c>
      <c r="B55" s="373"/>
      <c r="C55" s="239" t="s">
        <v>223</v>
      </c>
      <c r="D55" s="380">
        <v>58.0</v>
      </c>
      <c r="E55" s="239" t="s">
        <v>232</v>
      </c>
      <c r="F55" s="138">
        <v>13.2</v>
      </c>
      <c r="G55" s="138">
        <v>11.22</v>
      </c>
      <c r="H55" s="138" t="s">
        <v>147</v>
      </c>
      <c r="I55" s="215">
        <v>11.0</v>
      </c>
      <c r="J55" s="216" t="s">
        <v>3917</v>
      </c>
      <c r="K55" s="282"/>
      <c r="L55" s="282"/>
      <c r="M55" s="282"/>
      <c r="N55" s="282"/>
      <c r="O55" s="138">
        <v>0.0</v>
      </c>
      <c r="P55" s="138">
        <v>1.0</v>
      </c>
      <c r="Q55" s="138">
        <v>1.0</v>
      </c>
      <c r="R55" s="140" t="s">
        <v>411</v>
      </c>
      <c r="S55" s="110"/>
      <c r="T55" s="110"/>
      <c r="U55" s="110"/>
      <c r="V55" s="109"/>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
        <v>177</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
        <v>3918</v>
      </c>
      <c r="B58" s="109"/>
      <c r="C58" s="231" t="s">
        <v>48</v>
      </c>
      <c r="D58" s="231" t="s">
        <v>49</v>
      </c>
      <c r="E58" s="232" t="s">
        <v>50</v>
      </c>
      <c r="F58" s="233" t="s">
        <v>51</v>
      </c>
      <c r="G58" s="232" t="s">
        <v>52</v>
      </c>
      <c r="H58" s="382" t="s">
        <v>53</v>
      </c>
      <c r="I58" s="110"/>
      <c r="J58" s="109"/>
      <c r="K58" s="235" t="str">
        <f>'テンプレート'!K72</f>
        <v>ベクトル</v>
      </c>
      <c r="L58" s="235" t="str">
        <f>'テンプレート'!L72</f>
        <v>KBG (R.E.)</v>
      </c>
      <c r="M58" s="235" t="str">
        <f>'テンプレート'!M72</f>
        <v>BKB (R.A.)</v>
      </c>
      <c r="N58" s="235" t="str">
        <f>'テンプレート'!N72</f>
        <v>FKB (R.F.)</v>
      </c>
      <c r="O58" s="236" t="str">
        <f>'テンプレート'!O72</f>
        <v>盾削り値</v>
      </c>
      <c r="P58" s="235" t="str">
        <f>'テンプレート'!P72</f>
        <v>ﾋｯﾄｽﾄｯﾌﾟ</v>
      </c>
      <c r="Q58" s="236" t="str">
        <f>'テンプレート'!Q72</f>
        <v>ずらし</v>
      </c>
      <c r="R58" s="235" t="str">
        <f>'テンプレート'!R72</f>
        <v>相殺</v>
      </c>
      <c r="S58" s="236" t="str">
        <f>'テンプレート'!S72</f>
        <v>相殺ﾓｰｼｮﾝ</v>
      </c>
      <c r="T58" s="236" t="str">
        <f>'テンプレート'!T72</f>
        <v>飛び道具</v>
      </c>
      <c r="U58" s="236" t="str">
        <f>'テンプレート'!U72</f>
        <v>慣性反転</v>
      </c>
      <c r="V58" s="236" t="str">
        <f>'テンプレート'!V72</f>
        <v>向き反転</v>
      </c>
    </row>
    <row r="59" outlineLevel="1">
      <c r="A59" s="237" t="s">
        <v>184</v>
      </c>
      <c r="B59" s="243" t="s">
        <v>3919</v>
      </c>
      <c r="C59" s="239" t="s">
        <v>2218</v>
      </c>
      <c r="D59" s="455" t="s">
        <v>208</v>
      </c>
      <c r="E59" s="409"/>
      <c r="F59" s="409"/>
      <c r="G59" s="409"/>
      <c r="H59" s="550"/>
      <c r="I59" s="164"/>
      <c r="J59" s="104"/>
      <c r="K59" s="409"/>
      <c r="L59" s="409"/>
      <c r="M59" s="409"/>
      <c r="N59" s="409"/>
      <c r="O59" s="409"/>
      <c r="P59" s="409"/>
      <c r="Q59" s="409"/>
      <c r="R59" s="409"/>
      <c r="S59" s="409"/>
      <c r="T59" s="409"/>
      <c r="U59" s="166" t="s">
        <v>186</v>
      </c>
      <c r="V59" s="166" t="b">
        <v>1</v>
      </c>
    </row>
    <row r="60" outlineLevel="1">
      <c r="A60" s="146"/>
      <c r="B60" s="243" t="s">
        <v>3208</v>
      </c>
      <c r="C60" s="239" t="s">
        <v>3920</v>
      </c>
      <c r="D60" s="107"/>
      <c r="E60" s="239" t="s">
        <v>651</v>
      </c>
      <c r="F60" s="138">
        <v>4.2</v>
      </c>
      <c r="G60" s="239" t="s">
        <v>170</v>
      </c>
      <c r="H60" s="106"/>
      <c r="I60" s="168"/>
      <c r="J60" s="107"/>
      <c r="K60" s="282"/>
      <c r="L60" s="282"/>
      <c r="M60" s="363"/>
      <c r="N60" s="363"/>
      <c r="O60" s="138">
        <v>0.0</v>
      </c>
      <c r="P60" s="138">
        <v>1.0</v>
      </c>
      <c r="Q60" s="138">
        <v>1.0</v>
      </c>
      <c r="R60" s="145" t="b">
        <v>1</v>
      </c>
      <c r="S60" s="145" t="b">
        <v>0</v>
      </c>
      <c r="T60" s="145" t="b">
        <v>1</v>
      </c>
      <c r="U60" s="156"/>
      <c r="V60" s="156"/>
    </row>
    <row r="61" outlineLevel="1">
      <c r="A61" s="230" t="s">
        <v>3921</v>
      </c>
      <c r="B61" s="109"/>
      <c r="C61" s="231" t="s">
        <v>48</v>
      </c>
      <c r="D61" s="231" t="s">
        <v>49</v>
      </c>
      <c r="E61" s="232" t="s">
        <v>50</v>
      </c>
      <c r="F61" s="233" t="s">
        <v>51</v>
      </c>
      <c r="G61" s="232" t="s">
        <v>52</v>
      </c>
      <c r="H61" s="382" t="s">
        <v>53</v>
      </c>
      <c r="I61" s="110"/>
      <c r="J61" s="109"/>
      <c r="K61" s="235" t="str">
        <f>'テンプレート'!K75</f>
        <v>ベクトル</v>
      </c>
      <c r="L61" s="235" t="str">
        <f>'テンプレート'!L75</f>
        <v>KBG (R.E.)</v>
      </c>
      <c r="M61" s="235" t="str">
        <f>'テンプレート'!M75</f>
        <v>BKB (R.A.)</v>
      </c>
      <c r="N61" s="235" t="str">
        <f>'テンプレート'!N75</f>
        <v>FKB (R.F.)</v>
      </c>
      <c r="O61" s="236" t="str">
        <f>'テンプレート'!O75</f>
        <v>盾削り値</v>
      </c>
      <c r="P61" s="235" t="str">
        <f>'テンプレート'!P75</f>
        <v>ﾋｯﾄｽﾄｯﾌﾟ</v>
      </c>
      <c r="Q61" s="236" t="str">
        <f>'テンプレート'!Q75</f>
        <v>ずらし</v>
      </c>
      <c r="R61" s="235" t="str">
        <f>'テンプレート'!R75</f>
        <v>相殺</v>
      </c>
      <c r="S61" s="236" t="str">
        <f>'テンプレート'!S75</f>
        <v>相殺ﾓｰｼｮﾝ</v>
      </c>
      <c r="T61" s="236" t="str">
        <f>'テンプレート'!T75</f>
        <v>飛び道具</v>
      </c>
      <c r="U61" s="236" t="str">
        <f>'テンプレート'!U75</f>
        <v>慣性反転</v>
      </c>
      <c r="V61" s="236" t="str">
        <f>'テンプレート'!V75</f>
        <v>向き反転</v>
      </c>
    </row>
    <row r="62" outlineLevel="1">
      <c r="A62" s="546" t="s">
        <v>184</v>
      </c>
      <c r="B62" s="243" t="s">
        <v>199</v>
      </c>
      <c r="C62" s="239" t="s">
        <v>3922</v>
      </c>
      <c r="D62" s="195" t="s">
        <v>765</v>
      </c>
      <c r="E62" s="239" t="s">
        <v>1024</v>
      </c>
      <c r="F62" s="138">
        <v>1.7999999999999998</v>
      </c>
      <c r="G62" s="239" t="s">
        <v>170</v>
      </c>
      <c r="H62" s="163" t="s">
        <v>411</v>
      </c>
      <c r="I62" s="164"/>
      <c r="J62" s="104"/>
      <c r="K62" s="282"/>
      <c r="L62" s="282"/>
      <c r="M62" s="363"/>
      <c r="N62" s="363"/>
      <c r="O62" s="138">
        <v>0.0</v>
      </c>
      <c r="P62" s="138">
        <v>1.0</v>
      </c>
      <c r="Q62" s="138">
        <v>1.0</v>
      </c>
      <c r="R62" s="145" t="b">
        <v>0</v>
      </c>
      <c r="S62" s="145" t="b">
        <v>0</v>
      </c>
      <c r="T62" s="145" t="b">
        <v>1</v>
      </c>
      <c r="U62" s="166" t="b">
        <v>0</v>
      </c>
      <c r="V62" s="166" t="b">
        <v>1</v>
      </c>
    </row>
    <row r="63" outlineLevel="1">
      <c r="A63" s="156"/>
      <c r="B63" s="243" t="s">
        <v>202</v>
      </c>
      <c r="C63" s="239" t="s">
        <v>600</v>
      </c>
      <c r="D63" s="107"/>
      <c r="E63" s="239" t="s">
        <v>100</v>
      </c>
      <c r="F63" s="138">
        <v>6.6</v>
      </c>
      <c r="G63" s="239" t="s">
        <v>60</v>
      </c>
      <c r="H63" s="106"/>
      <c r="I63" s="168"/>
      <c r="J63" s="107"/>
      <c r="K63" s="138"/>
      <c r="L63" s="138"/>
      <c r="M63" s="145"/>
      <c r="N63" s="145"/>
      <c r="O63" s="138">
        <v>0.0</v>
      </c>
      <c r="P63" s="138">
        <v>1.0</v>
      </c>
      <c r="Q63" s="138">
        <v>1.0</v>
      </c>
      <c r="R63" s="145" t="b">
        <v>0</v>
      </c>
      <c r="S63" s="145" t="b">
        <v>0</v>
      </c>
      <c r="T63" s="145" t="b">
        <v>1</v>
      </c>
      <c r="U63" s="156"/>
      <c r="V63" s="156"/>
    </row>
    <row r="64" outlineLevel="1">
      <c r="A64" s="230" t="s">
        <v>2038</v>
      </c>
      <c r="B64" s="109"/>
      <c r="C64" s="231" t="s">
        <v>48</v>
      </c>
      <c r="D64" s="231" t="s">
        <v>49</v>
      </c>
      <c r="E64" s="232" t="s">
        <v>50</v>
      </c>
      <c r="F64" s="233" t="s">
        <v>51</v>
      </c>
      <c r="G64" s="232" t="s">
        <v>52</v>
      </c>
      <c r="H64" s="382" t="s">
        <v>53</v>
      </c>
      <c r="I64" s="110"/>
      <c r="J64" s="109"/>
      <c r="K64" s="235" t="str">
        <f>'テンプレート'!K80</f>
        <v>ベクトル</v>
      </c>
      <c r="L64" s="235" t="str">
        <f>'テンプレート'!L80</f>
        <v>KBG (R.E.)</v>
      </c>
      <c r="M64" s="235" t="str">
        <f>'テンプレート'!M80</f>
        <v>BKB (R.A.)</v>
      </c>
      <c r="N64" s="235" t="str">
        <f>'テンプレート'!N80</f>
        <v>FKB (R.F.)</v>
      </c>
      <c r="O64" s="236" t="str">
        <f>'テンプレート'!O80</f>
        <v>盾削り値</v>
      </c>
      <c r="P64" s="235" t="str">
        <f>'テンプレート'!P80</f>
        <v>ﾋｯﾄｽﾄｯﾌﾟ</v>
      </c>
      <c r="Q64" s="236" t="str">
        <f>'テンプレート'!Q80</f>
        <v>ずらし</v>
      </c>
      <c r="R64" s="235" t="str">
        <f>'テンプレート'!R80</f>
        <v>相殺</v>
      </c>
      <c r="S64" s="236" t="str">
        <f>'テンプレート'!S80</f>
        <v>相殺ﾓｰｼｮﾝ</v>
      </c>
      <c r="T64" s="236" t="str">
        <f>'テンプレート'!T80</f>
        <v>飛び道具</v>
      </c>
      <c r="U64" s="236" t="str">
        <f>'テンプレート'!U80</f>
        <v>慣性反転</v>
      </c>
      <c r="V64" s="236" t="str">
        <f>'テンプレート'!V80</f>
        <v>向き反転</v>
      </c>
    </row>
    <row r="65" outlineLevel="1">
      <c r="A65" s="1202" t="s">
        <v>184</v>
      </c>
      <c r="B65" s="870"/>
      <c r="C65" s="409"/>
      <c r="D65" s="244" t="s">
        <v>1181</v>
      </c>
      <c r="E65" s="409"/>
      <c r="F65" s="409"/>
      <c r="G65" s="409"/>
      <c r="H65" s="140" t="s">
        <v>3923</v>
      </c>
      <c r="I65" s="110"/>
      <c r="J65" s="109"/>
      <c r="K65" s="281"/>
      <c r="L65" s="281"/>
      <c r="M65" s="281"/>
      <c r="N65" s="281"/>
      <c r="O65" s="281"/>
      <c r="P65" s="281"/>
      <c r="Q65" s="281"/>
      <c r="R65" s="281"/>
      <c r="S65" s="281"/>
      <c r="T65" s="281"/>
      <c r="U65" s="145" t="b">
        <v>0</v>
      </c>
      <c r="V65" s="145" t="b">
        <v>0</v>
      </c>
    </row>
    <row r="66" outlineLevel="1">
      <c r="A66" s="230" t="s">
        <v>3924</v>
      </c>
      <c r="B66" s="109"/>
      <c r="C66" s="231" t="s">
        <v>48</v>
      </c>
      <c r="D66" s="231" t="s">
        <v>49</v>
      </c>
      <c r="E66" s="232" t="s">
        <v>50</v>
      </c>
      <c r="F66" s="233" t="s">
        <v>51</v>
      </c>
      <c r="G66" s="232" t="s">
        <v>52</v>
      </c>
      <c r="H66" s="382" t="s">
        <v>53</v>
      </c>
      <c r="I66" s="110"/>
      <c r="J66" s="109"/>
      <c r="K66" s="235" t="str">
        <f>'テンプレート'!K85</f>
        <v>ベクトル</v>
      </c>
      <c r="L66" s="235" t="str">
        <f>'テンプレート'!L85</f>
        <v>KBG (R.E.)</v>
      </c>
      <c r="M66" s="235" t="str">
        <f>'テンプレート'!M85</f>
        <v>BKB (R.A.)</v>
      </c>
      <c r="N66" s="235" t="str">
        <f>'テンプレート'!N85</f>
        <v>FKB (R.F.)</v>
      </c>
      <c r="O66" s="236" t="str">
        <f>'テンプレート'!O85</f>
        <v>盾削り値</v>
      </c>
      <c r="P66" s="235" t="str">
        <f>'テンプレート'!P85</f>
        <v>ﾋｯﾄｽﾄｯﾌﾟ</v>
      </c>
      <c r="Q66" s="236" t="str">
        <f>'テンプレート'!Q85</f>
        <v>ずらし</v>
      </c>
      <c r="R66" s="235" t="str">
        <f>'テンプレート'!R85</f>
        <v>相殺</v>
      </c>
      <c r="S66" s="236" t="str">
        <f>'テンプレート'!S85</f>
        <v>相殺ﾓｰｼｮﾝ</v>
      </c>
      <c r="T66" s="236" t="str">
        <f>'テンプレート'!T85</f>
        <v>飛び道具</v>
      </c>
      <c r="U66" s="236" t="str">
        <f>'テンプレート'!U85</f>
        <v>慣性反転</v>
      </c>
      <c r="V66" s="236" t="str">
        <f>'テンプレート'!V85</f>
        <v>向き反転</v>
      </c>
    </row>
    <row r="67" outlineLevel="1">
      <c r="A67" s="546" t="s">
        <v>184</v>
      </c>
      <c r="B67" s="402" t="s">
        <v>1837</v>
      </c>
      <c r="C67" s="239" t="s">
        <v>3925</v>
      </c>
      <c r="D67" s="239" t="s">
        <v>1580</v>
      </c>
      <c r="E67" s="281"/>
      <c r="F67" s="409"/>
      <c r="G67" s="409"/>
      <c r="H67" s="140" t="s">
        <v>3926</v>
      </c>
      <c r="I67" s="110"/>
      <c r="J67" s="109"/>
      <c r="K67" s="281"/>
      <c r="L67" s="281"/>
      <c r="M67" s="281"/>
      <c r="N67" s="281"/>
      <c r="O67" s="281"/>
      <c r="P67" s="281"/>
      <c r="Q67" s="281"/>
      <c r="R67" s="281"/>
      <c r="S67" s="281"/>
      <c r="T67" s="281"/>
      <c r="U67" s="166" t="b">
        <v>0</v>
      </c>
      <c r="V67" s="166" t="b">
        <v>0</v>
      </c>
    </row>
    <row r="68" outlineLevel="1">
      <c r="A68" s="146"/>
      <c r="B68" s="402" t="s">
        <v>1242</v>
      </c>
      <c r="C68" s="239" t="s">
        <v>91</v>
      </c>
      <c r="D68" s="239" t="s">
        <v>79</v>
      </c>
      <c r="E68" s="239" t="s">
        <v>673</v>
      </c>
      <c r="F68" s="239" t="s">
        <v>674</v>
      </c>
      <c r="G68" s="239" t="s">
        <v>675</v>
      </c>
      <c r="H68" s="140" t="s">
        <v>3927</v>
      </c>
      <c r="I68" s="110"/>
      <c r="J68" s="109"/>
      <c r="K68" s="138"/>
      <c r="L68" s="138"/>
      <c r="M68" s="145"/>
      <c r="N68" s="145"/>
      <c r="O68" s="138"/>
      <c r="P68" s="138"/>
      <c r="Q68" s="138"/>
      <c r="R68" s="145" t="b">
        <v>0</v>
      </c>
      <c r="S68" s="145" t="b">
        <v>0</v>
      </c>
      <c r="T68" s="145" t="b">
        <v>0</v>
      </c>
      <c r="U68" s="146"/>
      <c r="V68" s="146"/>
    </row>
    <row r="69" ht="21.0" customHeight="1" outlineLevel="1">
      <c r="A69" s="146"/>
      <c r="B69" s="402" t="s">
        <v>3928</v>
      </c>
      <c r="C69" s="239" t="s">
        <v>3929</v>
      </c>
      <c r="D69" s="367" t="s">
        <v>218</v>
      </c>
      <c r="E69" s="409"/>
      <c r="F69" s="409"/>
      <c r="G69" s="409"/>
      <c r="H69" s="283" t="s">
        <v>3930</v>
      </c>
      <c r="I69" s="164"/>
      <c r="J69" s="104"/>
      <c r="K69" s="138"/>
      <c r="L69" s="138"/>
      <c r="M69" s="145"/>
      <c r="N69" s="145"/>
      <c r="O69" s="138"/>
      <c r="P69" s="138"/>
      <c r="Q69" s="138"/>
      <c r="R69" s="145" t="b">
        <v>0</v>
      </c>
      <c r="S69" s="145" t="b">
        <v>0</v>
      </c>
      <c r="T69" s="145" t="b">
        <v>0</v>
      </c>
      <c r="U69" s="146"/>
      <c r="V69" s="146"/>
    </row>
    <row r="70" ht="21.0" customHeight="1" outlineLevel="1">
      <c r="A70" s="156"/>
      <c r="B70" s="402" t="s">
        <v>3931</v>
      </c>
      <c r="C70" s="239" t="s">
        <v>3932</v>
      </c>
      <c r="D70" s="156"/>
      <c r="E70" s="239" t="s">
        <v>209</v>
      </c>
      <c r="F70" s="239" t="s">
        <v>209</v>
      </c>
      <c r="G70" s="409"/>
      <c r="H70" s="106"/>
      <c r="I70" s="168"/>
      <c r="J70" s="107"/>
      <c r="K70" s="138"/>
      <c r="L70" s="138"/>
      <c r="M70" s="145"/>
      <c r="N70" s="145"/>
      <c r="O70" s="138">
        <v>0.0</v>
      </c>
      <c r="P70" s="138">
        <v>1.0</v>
      </c>
      <c r="Q70" s="138">
        <v>1.0</v>
      </c>
      <c r="R70" s="145" t="b">
        <v>0</v>
      </c>
      <c r="S70" s="145" t="b">
        <v>0</v>
      </c>
      <c r="T70" s="145"/>
      <c r="U70" s="156"/>
      <c r="V70" s="156"/>
    </row>
    <row r="71">
      <c r="A71" s="223"/>
      <c r="B71" s="224"/>
      <c r="C71" s="225"/>
      <c r="D71" s="225"/>
      <c r="E71" s="226"/>
      <c r="F71" s="226"/>
      <c r="G71" s="226"/>
      <c r="H71" s="227"/>
      <c r="I71" s="227"/>
      <c r="J71" s="228"/>
      <c r="K71" s="228"/>
      <c r="L71" s="228"/>
      <c r="M71" s="228"/>
      <c r="N71" s="228"/>
      <c r="O71" s="228"/>
      <c r="P71" s="228"/>
      <c r="Q71" s="118"/>
      <c r="R71" s="118"/>
      <c r="S71" s="118"/>
      <c r="T71" s="118"/>
      <c r="U71" s="118"/>
      <c r="V71" s="118"/>
    </row>
    <row r="72">
      <c r="A72" s="264" t="s">
        <v>211</v>
      </c>
      <c r="B72" s="104"/>
      <c r="C72" s="227"/>
      <c r="D72" s="227"/>
      <c r="E72" s="228"/>
      <c r="F72" s="265"/>
      <c r="G72" s="265"/>
      <c r="H72" s="228"/>
      <c r="I72" s="228"/>
      <c r="J72" s="228"/>
      <c r="K72" s="228"/>
      <c r="L72" s="228"/>
      <c r="M72" s="228"/>
      <c r="N72" s="118"/>
      <c r="O72" s="118"/>
      <c r="P72" s="118"/>
      <c r="Q72" s="228"/>
      <c r="R72" s="228"/>
      <c r="S72" s="228"/>
      <c r="T72" s="228"/>
      <c r="U72" s="228"/>
      <c r="V72" s="228"/>
    </row>
    <row r="73" outlineLevel="1">
      <c r="A73" s="106"/>
      <c r="B73" s="107"/>
      <c r="C73" s="266" t="s">
        <v>48</v>
      </c>
      <c r="D73" s="266" t="s">
        <v>49</v>
      </c>
      <c r="E73" s="266" t="s">
        <v>50</v>
      </c>
      <c r="F73" s="267" t="s">
        <v>51</v>
      </c>
      <c r="G73" s="227"/>
      <c r="H73" s="227"/>
      <c r="I73" s="227"/>
      <c r="J73" s="228"/>
      <c r="K73" s="228"/>
      <c r="L73" s="228"/>
      <c r="M73" s="228"/>
      <c r="N73" s="228"/>
      <c r="O73" s="228"/>
      <c r="P73" s="228"/>
      <c r="Q73" s="228"/>
      <c r="R73" s="228"/>
      <c r="S73" s="228"/>
      <c r="T73" s="228"/>
      <c r="U73" s="228"/>
      <c r="V73" s="228"/>
    </row>
    <row r="74" outlineLevel="1">
      <c r="A74" s="268" t="s">
        <v>212</v>
      </c>
      <c r="B74" s="269" t="s">
        <v>212</v>
      </c>
      <c r="C74" s="239" t="s">
        <v>213</v>
      </c>
      <c r="D74" s="239" t="s">
        <v>86</v>
      </c>
      <c r="E74" s="239" t="s">
        <v>214</v>
      </c>
      <c r="F74" s="138">
        <v>1.56</v>
      </c>
      <c r="G74" s="227"/>
      <c r="H74" s="227"/>
      <c r="I74" s="227"/>
      <c r="J74" s="228"/>
      <c r="K74" s="228"/>
      <c r="L74" s="228"/>
      <c r="M74" s="228"/>
      <c r="N74" s="228"/>
      <c r="O74" s="228"/>
      <c r="P74" s="228"/>
      <c r="Q74" s="228"/>
      <c r="R74" s="228"/>
      <c r="S74" s="228"/>
      <c r="T74" s="228"/>
      <c r="U74" s="228"/>
      <c r="V74" s="228"/>
    </row>
    <row r="75" outlineLevel="1">
      <c r="A75" s="270" t="s">
        <v>215</v>
      </c>
      <c r="B75" s="269" t="s">
        <v>216</v>
      </c>
      <c r="C75" s="239" t="s">
        <v>319</v>
      </c>
      <c r="D75" s="239" t="s">
        <v>118</v>
      </c>
      <c r="E75" s="271"/>
      <c r="F75" s="272"/>
      <c r="G75" s="272"/>
      <c r="H75" s="227"/>
      <c r="I75" s="227"/>
      <c r="J75" s="228"/>
      <c r="K75" s="228"/>
      <c r="L75" s="228"/>
      <c r="M75" s="228"/>
      <c r="N75" s="228"/>
      <c r="O75" s="228"/>
      <c r="P75" s="228"/>
      <c r="Q75" s="228"/>
      <c r="R75" s="228"/>
      <c r="S75" s="228"/>
      <c r="T75" s="228"/>
      <c r="U75" s="228"/>
      <c r="V75" s="228"/>
    </row>
    <row r="76" outlineLevel="1">
      <c r="A76" s="212"/>
      <c r="B76" s="269" t="s">
        <v>219</v>
      </c>
      <c r="C76" s="239" t="s">
        <v>223</v>
      </c>
      <c r="D76" s="239" t="s">
        <v>111</v>
      </c>
      <c r="E76" s="271"/>
      <c r="F76" s="272"/>
      <c r="G76" s="272"/>
      <c r="H76" s="227"/>
      <c r="I76" s="227"/>
      <c r="J76" s="228"/>
      <c r="K76" s="228"/>
      <c r="L76" s="228"/>
      <c r="M76" s="228"/>
      <c r="N76" s="228"/>
      <c r="O76" s="228"/>
      <c r="P76" s="228"/>
      <c r="Q76" s="228"/>
      <c r="R76" s="228"/>
      <c r="S76" s="228"/>
      <c r="T76" s="228"/>
      <c r="U76" s="228"/>
      <c r="V76" s="228"/>
    </row>
    <row r="77" outlineLevel="1">
      <c r="A77" s="106"/>
      <c r="B77" s="269" t="s">
        <v>222</v>
      </c>
      <c r="C77" s="239" t="s">
        <v>299</v>
      </c>
      <c r="D77" s="239" t="s">
        <v>221</v>
      </c>
      <c r="E77" s="227"/>
      <c r="F77" s="272"/>
      <c r="G77" s="272"/>
      <c r="H77" s="227"/>
      <c r="I77" s="227"/>
      <c r="J77" s="228"/>
      <c r="K77" s="228"/>
      <c r="L77" s="228"/>
      <c r="M77" s="228"/>
      <c r="N77" s="228"/>
      <c r="O77" s="228"/>
      <c r="P77" s="228"/>
      <c r="Q77" s="228"/>
      <c r="R77" s="228"/>
      <c r="S77" s="228"/>
      <c r="T77" s="228"/>
      <c r="U77" s="228"/>
      <c r="V77" s="228"/>
    </row>
    <row r="78" outlineLevel="1">
      <c r="A78" s="273" t="s">
        <v>225</v>
      </c>
      <c r="B78" s="109"/>
      <c r="C78" s="266" t="s">
        <v>48</v>
      </c>
      <c r="D78" s="266" t="s">
        <v>49</v>
      </c>
      <c r="E78" s="266" t="s">
        <v>50</v>
      </c>
      <c r="F78" s="267" t="s">
        <v>51</v>
      </c>
      <c r="G78" s="1168" t="s">
        <v>53</v>
      </c>
      <c r="H78" s="110"/>
      <c r="I78" s="110"/>
      <c r="J78" s="109"/>
      <c r="K78" s="275" t="str">
        <f>'テンプレート'!K97</f>
        <v>ベクトル</v>
      </c>
      <c r="L78" s="275" t="str">
        <f>'テンプレート'!L97</f>
        <v>KBG (R.E.)</v>
      </c>
      <c r="M78" s="275" t="str">
        <f>'テンプレート'!M97</f>
        <v>BKB (R.A.)</v>
      </c>
      <c r="N78" s="275" t="str">
        <f>'テンプレート'!N97</f>
        <v>FKB (R.F.)</v>
      </c>
      <c r="O78" s="276" t="str">
        <f>'テンプレート'!O97</f>
        <v>盾削り値</v>
      </c>
      <c r="P78" s="275" t="str">
        <f>'テンプレート'!P97</f>
        <v>ﾋｯﾄｽﾄｯﾌﾟ</v>
      </c>
      <c r="Q78" s="276" t="str">
        <f>'テンプレート'!Q97</f>
        <v>ずらし</v>
      </c>
      <c r="R78" s="277"/>
      <c r="S78" s="277"/>
      <c r="T78" s="277"/>
      <c r="U78" s="277"/>
      <c r="V78" s="277"/>
    </row>
    <row r="79" outlineLevel="1">
      <c r="A79" s="278" t="s">
        <v>226</v>
      </c>
      <c r="B79" s="269" t="s">
        <v>227</v>
      </c>
      <c r="C79" s="281"/>
      <c r="D79" s="279">
        <v>44.0</v>
      </c>
      <c r="E79" s="409"/>
      <c r="F79" s="281"/>
      <c r="G79" s="1170"/>
      <c r="H79" s="164"/>
      <c r="I79" s="164"/>
      <c r="J79" s="104"/>
      <c r="K79" s="281"/>
      <c r="L79" s="281"/>
      <c r="M79" s="281"/>
      <c r="N79" s="281"/>
      <c r="O79" s="281"/>
      <c r="P79" s="281"/>
      <c r="Q79" s="281"/>
      <c r="R79" s="277"/>
      <c r="S79" s="228"/>
      <c r="T79" s="228"/>
      <c r="U79" s="228"/>
      <c r="V79" s="228"/>
    </row>
    <row r="80" outlineLevel="1">
      <c r="A80" s="156"/>
      <c r="B80" s="269" t="s">
        <v>225</v>
      </c>
      <c r="C80" s="113">
        <v>20.0</v>
      </c>
      <c r="D80" s="156"/>
      <c r="E80" s="239" t="s">
        <v>274</v>
      </c>
      <c r="F80" s="138">
        <v>10.799999999999999</v>
      </c>
      <c r="G80" s="106"/>
      <c r="H80" s="168"/>
      <c r="I80" s="168"/>
      <c r="J80" s="107"/>
      <c r="K80" s="282"/>
      <c r="L80" s="282"/>
      <c r="M80" s="363"/>
      <c r="N80" s="363"/>
      <c r="O80" s="261"/>
      <c r="P80" s="261"/>
      <c r="Q80" s="261"/>
      <c r="R80" s="277"/>
      <c r="S80" s="228"/>
      <c r="T80" s="228"/>
      <c r="U80" s="228"/>
      <c r="V80" s="228"/>
    </row>
    <row r="81" outlineLevel="1">
      <c r="A81" s="278" t="s">
        <v>229</v>
      </c>
      <c r="B81" s="269" t="s">
        <v>227</v>
      </c>
      <c r="C81" s="281"/>
      <c r="D81" s="279">
        <v>54.0</v>
      </c>
      <c r="E81" s="281"/>
      <c r="F81" s="281"/>
      <c r="G81" s="1170"/>
      <c r="H81" s="164"/>
      <c r="I81" s="164"/>
      <c r="J81" s="104"/>
      <c r="K81" s="281"/>
      <c r="L81" s="281"/>
      <c r="M81" s="281"/>
      <c r="N81" s="281"/>
      <c r="O81" s="281"/>
      <c r="P81" s="281"/>
      <c r="Q81" s="281"/>
      <c r="R81" s="277"/>
      <c r="S81" s="228"/>
      <c r="T81" s="228"/>
      <c r="U81" s="228"/>
      <c r="V81" s="228"/>
    </row>
    <row r="82" outlineLevel="1">
      <c r="A82" s="156"/>
      <c r="B82" s="269" t="s">
        <v>225</v>
      </c>
      <c r="C82" s="113">
        <v>20.0</v>
      </c>
      <c r="D82" s="156"/>
      <c r="E82" s="239" t="s">
        <v>128</v>
      </c>
      <c r="F82" s="138">
        <v>12.0</v>
      </c>
      <c r="G82" s="106"/>
      <c r="H82" s="168"/>
      <c r="I82" s="168"/>
      <c r="J82" s="107"/>
      <c r="K82" s="282"/>
      <c r="L82" s="282"/>
      <c r="M82" s="363"/>
      <c r="N82" s="363"/>
      <c r="O82" s="261"/>
      <c r="P82" s="261"/>
      <c r="Q82" s="261"/>
      <c r="R82" s="277"/>
      <c r="S82" s="228"/>
      <c r="T82" s="228"/>
      <c r="U82" s="228"/>
      <c r="V82" s="228"/>
    </row>
    <row r="83" outlineLevel="1">
      <c r="A83" s="278" t="s">
        <v>233</v>
      </c>
      <c r="B83" s="269" t="s">
        <v>227</v>
      </c>
      <c r="C83" s="281"/>
      <c r="D83" s="279">
        <v>54.0</v>
      </c>
      <c r="E83" s="281"/>
      <c r="F83" s="281"/>
      <c r="G83" s="1170"/>
      <c r="H83" s="164"/>
      <c r="I83" s="164"/>
      <c r="J83" s="104"/>
      <c r="K83" s="281"/>
      <c r="L83" s="281"/>
      <c r="M83" s="281"/>
      <c r="N83" s="281"/>
      <c r="O83" s="281"/>
      <c r="P83" s="281"/>
      <c r="Q83" s="281"/>
      <c r="R83" s="277"/>
      <c r="S83" s="228"/>
      <c r="T83" s="228"/>
      <c r="U83" s="228"/>
      <c r="V83" s="228"/>
    </row>
    <row r="84" outlineLevel="1">
      <c r="A84" s="156"/>
      <c r="B84" s="269" t="s">
        <v>225</v>
      </c>
      <c r="C84" s="113">
        <v>17.0</v>
      </c>
      <c r="D84" s="156"/>
      <c r="E84" s="239" t="s">
        <v>80</v>
      </c>
      <c r="F84" s="138">
        <v>9.6</v>
      </c>
      <c r="G84" s="106"/>
      <c r="H84" s="168"/>
      <c r="I84" s="168"/>
      <c r="J84" s="107"/>
      <c r="K84" s="282"/>
      <c r="L84" s="282"/>
      <c r="M84" s="363"/>
      <c r="N84" s="363"/>
      <c r="O84" s="261"/>
      <c r="P84" s="261"/>
      <c r="Q84" s="261"/>
      <c r="R84" s="277"/>
      <c r="S84" s="117"/>
      <c r="T84" s="117"/>
      <c r="U84" s="117"/>
      <c r="V84" s="117"/>
    </row>
    <row r="85" outlineLevel="1">
      <c r="A85" s="278" t="s">
        <v>234</v>
      </c>
      <c r="B85" s="269" t="s">
        <v>227</v>
      </c>
      <c r="C85" s="281"/>
      <c r="D85" s="367" t="s">
        <v>146</v>
      </c>
      <c r="E85" s="281"/>
      <c r="F85" s="281"/>
      <c r="G85" s="283" t="s">
        <v>2928</v>
      </c>
      <c r="H85" s="164"/>
      <c r="I85" s="164"/>
      <c r="J85" s="104"/>
      <c r="K85" s="281"/>
      <c r="L85" s="281"/>
      <c r="M85" s="281"/>
      <c r="N85" s="281"/>
      <c r="O85" s="281"/>
      <c r="P85" s="281"/>
      <c r="Q85" s="281"/>
      <c r="R85" s="277"/>
      <c r="S85" s="117"/>
      <c r="T85" s="117"/>
      <c r="U85" s="117"/>
      <c r="V85" s="117"/>
    </row>
    <row r="86" outlineLevel="1">
      <c r="A86" s="156"/>
      <c r="B86" s="269" t="s">
        <v>225</v>
      </c>
      <c r="C86" s="113">
        <v>25.0</v>
      </c>
      <c r="D86" s="156"/>
      <c r="E86" s="239" t="s">
        <v>150</v>
      </c>
      <c r="F86" s="138">
        <v>6.0</v>
      </c>
      <c r="G86" s="106"/>
      <c r="H86" s="168"/>
      <c r="I86" s="168"/>
      <c r="J86" s="107"/>
      <c r="K86" s="282"/>
      <c r="L86" s="282"/>
      <c r="M86" s="363"/>
      <c r="N86" s="363"/>
      <c r="O86" s="261"/>
      <c r="P86" s="1584" t="s">
        <v>2366</v>
      </c>
      <c r="Q86" s="261"/>
      <c r="R86" s="277"/>
      <c r="S86" s="117"/>
      <c r="T86" s="117"/>
      <c r="U86" s="117"/>
      <c r="V86" s="117"/>
    </row>
    <row r="87">
      <c r="A87" s="223"/>
      <c r="B87" s="224"/>
      <c r="C87" s="225"/>
      <c r="D87" s="225"/>
      <c r="E87" s="227"/>
      <c r="F87" s="177"/>
      <c r="G87" s="177"/>
      <c r="H87" s="227"/>
      <c r="I87" s="227"/>
      <c r="J87" s="228"/>
      <c r="K87" s="228"/>
      <c r="L87" s="111"/>
      <c r="M87" s="111"/>
      <c r="N87" s="111"/>
      <c r="O87" s="117"/>
      <c r="P87" s="117"/>
      <c r="Q87" s="111"/>
      <c r="R87" s="111"/>
      <c r="S87" s="111"/>
      <c r="T87" s="111"/>
      <c r="U87" s="111"/>
      <c r="V87" s="111"/>
    </row>
    <row r="88">
      <c r="A88" s="284" t="str">
        <f>'テンプレート'!A107</f>
        <v>回避</v>
      </c>
      <c r="B88" s="104"/>
      <c r="C88" s="265"/>
      <c r="D88" s="111"/>
      <c r="E88" s="111"/>
      <c r="F88" s="111"/>
      <c r="G88" s="111"/>
      <c r="H88" s="111"/>
      <c r="I88" s="111"/>
      <c r="J88" s="118"/>
      <c r="K88" s="111"/>
      <c r="L88" s="111"/>
      <c r="M88" s="111"/>
      <c r="N88" s="111"/>
      <c r="O88" s="111"/>
      <c r="P88" s="111"/>
      <c r="Q88" s="118"/>
      <c r="R88" s="111"/>
      <c r="S88" s="111"/>
      <c r="T88" s="111"/>
      <c r="U88" s="111"/>
      <c r="V88" s="111"/>
    </row>
    <row r="89" outlineLevel="1">
      <c r="A89" s="106"/>
      <c r="B89" s="107"/>
      <c r="C89" s="285" t="s">
        <v>235</v>
      </c>
      <c r="D89" s="285" t="s">
        <v>236</v>
      </c>
      <c r="E89" s="285" t="s">
        <v>49</v>
      </c>
      <c r="F89" s="285" t="s">
        <v>237</v>
      </c>
      <c r="G89" s="286"/>
      <c r="H89" s="227"/>
      <c r="I89" s="227"/>
      <c r="J89" s="228"/>
      <c r="K89" s="228"/>
      <c r="L89" s="111"/>
      <c r="M89" s="111"/>
      <c r="N89" s="111"/>
      <c r="O89" s="111"/>
      <c r="P89" s="111"/>
      <c r="Q89" s="111"/>
      <c r="R89" s="111"/>
      <c r="S89" s="111"/>
      <c r="T89" s="111"/>
      <c r="U89" s="111"/>
      <c r="V89" s="111"/>
    </row>
    <row r="90" outlineLevel="1">
      <c r="A90" s="287" t="str">
        <f>'テンプレート'!A109</f>
        <v>地上回避</v>
      </c>
      <c r="B90" s="288" t="str">
        <f>'テンプレート'!B109</f>
        <v>その場</v>
      </c>
      <c r="C90" s="113" t="str">
        <f t="array" ref="C90">INDEX('回避'!$C$3:$U$84, MATCH($A$1,'回避'!$A$3:$A$91,0), MATCH(C89,'回避'!$C$2:$F$2,0))</f>
        <v>3-17</v>
      </c>
      <c r="D90" s="113" t="str">
        <f t="array" ref="D90">INDEX('回避'!$C$3:$U$84, MATCH($A$1,'回避'!$A$3:$A$91,0), MATCH(D89,'回避'!$C$2:$F$2,0))</f>
        <v>6-17</v>
      </c>
      <c r="E90" s="113" t="str">
        <f t="array" ref="E90">INDEX('回避'!$C$3:$U$84, MATCH($A$1,'回避'!$A$3:$A$91,0), MATCH(E89,'回避'!$C$2:$F$2,0))</f>
        <v>25 (20)</v>
      </c>
      <c r="F90" s="113" t="str">
        <f t="array" ref="F90">INDEX('回避'!$C$3:$U$84, MATCH($A$1,'回避'!$A$3:$A$91,0), MATCH(F89,'回避'!$C$2:$F$2,0))</f>
        <v>33 (27)</v>
      </c>
      <c r="G90" s="272"/>
      <c r="H90" s="227"/>
      <c r="I90" s="227"/>
      <c r="J90" s="228"/>
      <c r="K90" s="228"/>
      <c r="L90" s="228"/>
      <c r="M90" s="111"/>
      <c r="N90" s="111"/>
      <c r="O90" s="111"/>
      <c r="P90" s="111"/>
      <c r="Q90" s="111"/>
      <c r="R90" s="111"/>
      <c r="S90" s="111"/>
      <c r="T90" s="111"/>
      <c r="U90" s="111"/>
      <c r="V90" s="111"/>
    </row>
    <row r="91" outlineLevel="1">
      <c r="A91" s="212"/>
      <c r="B91" s="288" t="str">
        <f>'テンプレート'!B110</f>
        <v>前方</v>
      </c>
      <c r="C91" s="113" t="str">
        <f t="array" ref="C91">INDEX('回避'!$G$3:$U$84, MATCH($A$1,'回避'!$A$3:$A$91,0), MATCH(C89,'回避'!$G$2:$J$2,0))</f>
        <v>4-15</v>
      </c>
      <c r="D91" s="113" t="str">
        <f t="array" ref="D91">INDEX('回避'!$G$3:$U$84, MATCH($A$1,'回避'!$A$3:$A$91,0), MATCH(D89,'回避'!$G$2:$J$2,0))</f>
        <v>8-14</v>
      </c>
      <c r="E91" s="113" t="str">
        <f t="array" ref="E91">INDEX('回避'!$G$3:$U$84, MATCH($A$1,'回避'!$A$3:$A$91,0), MATCH(E89,'回避'!$G$2:$J$2,0))</f>
        <v>29</v>
      </c>
      <c r="F91" s="113">
        <f t="array" ref="F91">INDEX('回避'!$G$3:$U$84, MATCH($A$1,'回避'!$A$3:$A$91,0), MATCH(F89,'回避'!$G$2:$J$2,0))</f>
        <v>38</v>
      </c>
      <c r="G91" s="289"/>
      <c r="H91" s="227"/>
      <c r="I91" s="227"/>
      <c r="J91" s="228"/>
      <c r="K91" s="228"/>
      <c r="L91" s="228"/>
      <c r="M91" s="228"/>
      <c r="N91" s="228"/>
      <c r="O91" s="111"/>
      <c r="P91" s="111"/>
      <c r="Q91" s="111"/>
      <c r="R91" s="111"/>
      <c r="S91" s="111"/>
      <c r="T91" s="111"/>
      <c r="U91" s="111"/>
      <c r="V91" s="111"/>
    </row>
    <row r="92" outlineLevel="1">
      <c r="A92" s="106"/>
      <c r="B92" s="288" t="str">
        <f>'テンプレート'!B111</f>
        <v>後方</v>
      </c>
      <c r="C92" s="113" t="str">
        <f t="array" ref="C92">INDEX('回避'!$K$3:$U$84, MATCH($A$1,'回避'!$A$3:$A$91,0), MATCH(C89,'回避'!$K$2:$N$2,0))</f>
        <v>5-16</v>
      </c>
      <c r="D92" s="113" t="str">
        <f t="array" ref="D92">INDEX('回避'!$K$3:$U$84, MATCH($A$1,'回避'!$A$3:$A$91,0), MATCH(D89,'回避'!$K$2:$N$2,0))</f>
        <v>9-14</v>
      </c>
      <c r="E92" s="113" t="str">
        <f t="array" ref="E92">INDEX('回避'!$K$3:$U$84, MATCH($A$1,'回避'!$A$3:$A$91,0), MATCH(E89,'回避'!$K$2:$N$2,0))</f>
        <v>34</v>
      </c>
      <c r="F92" s="113" t="str">
        <f t="array" ref="F92">INDEX('回避'!$K$3:$U$84, MATCH($A$1,'回避'!$A$3:$A$91,0), MATCH(F89,'回避'!$K$2:$N$2,0))</f>
        <v>51</v>
      </c>
      <c r="G92" s="289"/>
      <c r="H92" s="290"/>
      <c r="I92" s="290"/>
      <c r="J92" s="117"/>
      <c r="K92" s="117"/>
      <c r="L92" s="117"/>
      <c r="M92" s="117"/>
      <c r="N92" s="117"/>
      <c r="O92" s="111"/>
      <c r="P92" s="111"/>
      <c r="Q92" s="111"/>
      <c r="R92" s="111"/>
      <c r="S92" s="111"/>
      <c r="T92" s="111"/>
      <c r="U92" s="111"/>
      <c r="V92" s="111"/>
    </row>
    <row r="93" outlineLevel="1">
      <c r="A93" s="287" t="str">
        <f>'テンプレート'!A112</f>
        <v>空中回避</v>
      </c>
      <c r="B93" s="288" t="str">
        <f>'テンプレート'!B112</f>
        <v>通常</v>
      </c>
      <c r="C93" s="113" t="str">
        <f t="array" ref="C93">INDEX('回避'!$O$3:$U$84, MATCH($A$1,'回避'!$A$3:$A$91,0), MATCH(C89,'回避'!$O$2:$R$2,0))</f>
        <v>3-30</v>
      </c>
      <c r="D93" s="113" t="str">
        <f t="array" ref="D93">INDEX('回避'!$O$3:$U$84, MATCH($A$1,'回避'!$A$3:$A$91,0), MATCH(D89,'回避'!$O$2:$R$2,0))</f>
        <v>6-27</v>
      </c>
      <c r="E93" s="113" t="str">
        <f t="array" ref="E93">INDEX('回避'!$O$3:$U$84, MATCH($A$1,'回避'!$A$3:$A$91,0), MATCH(E89,'回避'!$O$2:$R$2,0))</f>
        <v>49</v>
      </c>
      <c r="F93" s="177"/>
      <c r="G93" s="177"/>
      <c r="H93" s="118"/>
      <c r="I93" s="118"/>
      <c r="J93" s="111"/>
      <c r="K93" s="111"/>
      <c r="L93" s="111"/>
      <c r="M93" s="111"/>
      <c r="N93" s="111"/>
      <c r="O93" s="228"/>
      <c r="P93" s="228"/>
      <c r="Q93" s="228"/>
      <c r="R93" s="228"/>
      <c r="S93" s="228"/>
      <c r="T93" s="228"/>
      <c r="U93" s="228"/>
      <c r="V93" s="228"/>
    </row>
    <row r="94" outlineLevel="1">
      <c r="A94" s="106"/>
      <c r="B94" s="288" t="str">
        <f>'テンプレート'!B113</f>
        <v>移動</v>
      </c>
      <c r="C94" s="113" t="str">
        <f t="array" ref="C94">INDEX('回避'!$S$3:$U$84, MATCH($A$1,'回避'!$A$3:$A$91,0), MATCH(C89,'回避'!$S$2:$U$2,0))</f>
        <v>3-21</v>
      </c>
      <c r="D94" s="113" t="str">
        <f t="array" ref="D94">INDEX('回避'!$S$3:$U$84, MATCH($A$1,'回避'!$A$3:$A$91,0), MATCH(D89,'回避'!$S$2:$U$2,0))</f>
        <v>6-20</v>
      </c>
      <c r="E94" s="113" t="str">
        <f t="array" ref="E94">INDEX('回避'!$S$3:$U$84, MATCH($A$1,'回避'!$A$3:$A$91,0), MATCH(E89,'回避'!$S$2:$U$2,0))</f>
        <v>真横：82
真上：105
真下：70</v>
      </c>
      <c r="F94" s="289"/>
      <c r="G94" s="289"/>
      <c r="H94" s="118"/>
      <c r="I94" s="118"/>
      <c r="J94" s="117"/>
      <c r="K94" s="117"/>
      <c r="L94" s="117"/>
      <c r="M94" s="117"/>
      <c r="N94" s="111"/>
      <c r="O94" s="118"/>
      <c r="P94" s="118"/>
      <c r="Q94" s="118"/>
      <c r="R94" s="118"/>
      <c r="S94" s="118"/>
      <c r="T94" s="118"/>
      <c r="U94" s="118"/>
      <c r="V94" s="118"/>
    </row>
    <row r="95">
      <c r="A95" s="291"/>
      <c r="B95" s="292"/>
      <c r="C95" s="286"/>
      <c r="D95" s="286"/>
      <c r="E95" s="293"/>
      <c r="F95" s="286"/>
      <c r="G95" s="286"/>
      <c r="H95" s="286"/>
      <c r="I95" s="286"/>
      <c r="J95" s="111"/>
      <c r="K95" s="227"/>
      <c r="L95" s="227"/>
      <c r="M95" s="227"/>
      <c r="N95" s="227"/>
      <c r="O95" s="118"/>
      <c r="P95" s="118"/>
      <c r="Q95" s="118"/>
      <c r="R95" s="118"/>
      <c r="S95" s="118"/>
      <c r="T95" s="118"/>
      <c r="U95" s="118"/>
      <c r="V95" s="118"/>
    </row>
    <row r="96">
      <c r="A96" s="294" t="s">
        <v>238</v>
      </c>
      <c r="B96" s="104"/>
      <c r="C96" s="228"/>
      <c r="D96" s="117"/>
      <c r="E96" s="228"/>
      <c r="F96" s="114"/>
      <c r="G96" s="114"/>
      <c r="H96" s="117"/>
      <c r="I96" s="117"/>
      <c r="J96" s="118"/>
      <c r="K96" s="118"/>
      <c r="L96" s="118"/>
      <c r="M96" s="118"/>
      <c r="N96" s="118"/>
      <c r="O96" s="118"/>
      <c r="P96" s="118"/>
      <c r="Q96" s="118"/>
      <c r="R96" s="118"/>
      <c r="S96" s="118"/>
      <c r="T96" s="118"/>
      <c r="U96" s="118"/>
      <c r="V96" s="118"/>
    </row>
    <row r="97" outlineLevel="1">
      <c r="A97" s="106"/>
      <c r="B97" s="107"/>
      <c r="C97" s="295" t="s">
        <v>235</v>
      </c>
      <c r="D97" s="295" t="s">
        <v>49</v>
      </c>
      <c r="E97" s="295" t="s">
        <v>48</v>
      </c>
      <c r="F97" s="295" t="s">
        <v>50</v>
      </c>
      <c r="G97" s="296" t="s">
        <v>51</v>
      </c>
      <c r="H97" s="228"/>
      <c r="I97" s="228"/>
      <c r="J97" s="117"/>
      <c r="K97" s="297" t="str">
        <f>'テンプレート'!K116</f>
        <v>アイテム取得</v>
      </c>
      <c r="L97" s="109"/>
      <c r="M97" s="298" t="str">
        <f>'テンプレート'!M116</f>
        <v>取得フレーム</v>
      </c>
      <c r="N97" s="298" t="str">
        <f>'テンプレート'!N116</f>
        <v>全体フレーム</v>
      </c>
      <c r="O97" s="118"/>
      <c r="P97" s="118"/>
      <c r="Q97" s="118"/>
      <c r="R97" s="118"/>
      <c r="S97" s="118"/>
      <c r="T97" s="118"/>
      <c r="U97" s="118"/>
      <c r="V97" s="118"/>
    </row>
    <row r="98" outlineLevel="1">
      <c r="A98" s="299" t="s">
        <v>239</v>
      </c>
      <c r="B98" s="300" t="s">
        <v>240</v>
      </c>
      <c r="C98" s="301"/>
      <c r="D98" s="113">
        <f t="array" ref="D98">INDEX('崖行動・受け身'!$C$3:$C103, MATCH($A$1,'崖行動・受け身'!$A$3:$A$115,0), MATCH(D97,'崖行動・受け身'!$C$2,0))</f>
        <v>19</v>
      </c>
      <c r="E98" s="301"/>
      <c r="F98" s="301"/>
      <c r="G98" s="301"/>
      <c r="H98" s="228"/>
      <c r="I98" s="228"/>
      <c r="J98" s="111"/>
      <c r="K98" s="302" t="str">
        <f>'テンプレート'!K117</f>
        <v>小アイテム</v>
      </c>
      <c r="L98" s="303" t="str">
        <f>'テンプレート'!L117</f>
        <v>その場</v>
      </c>
      <c r="M98" s="967" t="s">
        <v>76</v>
      </c>
      <c r="N98" s="967">
        <v>7.0</v>
      </c>
      <c r="O98" s="118"/>
      <c r="P98" s="118"/>
      <c r="Q98" s="118"/>
      <c r="R98" s="118"/>
      <c r="S98" s="118"/>
      <c r="T98" s="118"/>
      <c r="U98" s="118"/>
      <c r="V98" s="118"/>
    </row>
    <row r="99" outlineLevel="1">
      <c r="A99" s="146"/>
      <c r="B99" s="300" t="s">
        <v>216</v>
      </c>
      <c r="C99" s="113" t="str">
        <f t="array" ref="C99">INDEX('崖行動・受け身'!$D$3:$E103, MATCH($A$1,'崖行動・受け身'!$A$3:$A$115,0), MATCH(C97,'崖行動・受け身'!$D$2:$E$2,0))</f>
        <v>1-33</v>
      </c>
      <c r="D99" s="113">
        <f t="array" ref="D99">INDEX('崖行動・受け身'!$D$3:$E103, MATCH($A$1,'崖行動・受け身'!$A$3:$A$115,0), MATCH(D97,'崖行動・受け身'!$D$2:$E$2,0))</f>
        <v>34</v>
      </c>
      <c r="E99" s="301"/>
      <c r="F99" s="301"/>
      <c r="G99" s="301"/>
      <c r="H99" s="228"/>
      <c r="I99" s="228"/>
      <c r="J99" s="117"/>
      <c r="K99" s="156"/>
      <c r="L99" s="303" t="str">
        <f>'テンプレート'!L118</f>
        <v>歩き</v>
      </c>
      <c r="M99" s="967" t="s">
        <v>76</v>
      </c>
      <c r="N99" s="967">
        <v>19.0</v>
      </c>
      <c r="O99" s="118"/>
      <c r="P99" s="118"/>
      <c r="Q99" s="118"/>
      <c r="R99" s="118"/>
      <c r="S99" s="118"/>
      <c r="T99" s="118"/>
      <c r="U99" s="118"/>
      <c r="V99" s="118"/>
    </row>
    <row r="100" outlineLevel="1">
      <c r="A100" s="146"/>
      <c r="B100" s="300" t="s">
        <v>241</v>
      </c>
      <c r="C100" s="113" t="str">
        <f t="array" ref="C100">INDEX('崖行動・受け身'!$F$3:$G$115, MATCH($A$1,'崖行動・受け身'!$A$3:$A$115,0), MATCH(C97,'崖行動・受け身'!$F$2:$G$2,0))</f>
        <v>1-25</v>
      </c>
      <c r="D100" s="113">
        <f t="array" ref="D100">INDEX('崖行動・受け身'!$F$3:$G$115, MATCH($A$1,'崖行動・受け身'!$A$3:$A$115,0), MATCH(D97,'崖行動・受け身'!$F$2:$G$2,0))</f>
        <v>45</v>
      </c>
      <c r="E100" s="301"/>
      <c r="F100" s="301"/>
      <c r="G100" s="301"/>
      <c r="H100" s="228"/>
      <c r="I100" s="228"/>
      <c r="J100" s="111"/>
      <c r="K100" s="304" t="str">
        <f>'テンプレート'!K119</f>
        <v>アイテム投擲</v>
      </c>
      <c r="L100" s="109"/>
      <c r="M100" s="298" t="str">
        <f>'テンプレート'!M119</f>
        <v>投擲フレーム</v>
      </c>
      <c r="N100" s="298" t="str">
        <f>'テンプレート'!N119</f>
        <v>全体フレーム</v>
      </c>
      <c r="O100" s="118"/>
      <c r="P100" s="118"/>
      <c r="Q100" s="118"/>
      <c r="R100" s="118"/>
      <c r="S100" s="118"/>
      <c r="T100" s="118"/>
      <c r="U100" s="118"/>
      <c r="V100" s="118"/>
    </row>
    <row r="101" outlineLevel="1">
      <c r="A101" s="146"/>
      <c r="B101" s="300" t="s">
        <v>242</v>
      </c>
      <c r="C101" s="113" t="str">
        <f t="array" ref="C101">INDEX('崖行動・受け身'!$H$3:$I$115, MATCH($A$1,'崖行動・受け身'!$A$3:$A$115,0), MATCH(C97,'崖行動・受け身'!$H$2:$I$2,0))</f>
        <v>1-12</v>
      </c>
      <c r="D101" s="113">
        <f t="array" ref="D101">INDEX('崖行動・受け身'!$H$3:$I$115, MATCH($A$1,'崖行動・受け身'!$A$3:$A$115,0), MATCH(D97,'崖行動・受け身'!$H$2:$I$2,0))</f>
        <v>14</v>
      </c>
      <c r="E101" s="301"/>
      <c r="F101" s="301"/>
      <c r="G101" s="301"/>
      <c r="H101" s="228"/>
      <c r="I101" s="228"/>
      <c r="J101" s="117"/>
      <c r="K101" s="305" t="str">
        <f>'テンプレート'!K120</f>
        <v>地上投擲</v>
      </c>
      <c r="L101" s="303" t="str">
        <f>'テンプレート'!L120</f>
        <v>前投げ</v>
      </c>
      <c r="M101" s="113" t="s">
        <v>93</v>
      </c>
      <c r="N101" s="365" t="s">
        <v>268</v>
      </c>
      <c r="O101" s="111"/>
      <c r="P101" s="111"/>
      <c r="Q101" s="111"/>
      <c r="R101" s="111"/>
      <c r="S101" s="111"/>
      <c r="T101" s="111"/>
      <c r="U101" s="111"/>
      <c r="V101" s="111"/>
    </row>
    <row r="102" outlineLevel="1">
      <c r="A102" s="156"/>
      <c r="B102" s="300" t="s">
        <v>243</v>
      </c>
      <c r="C102" s="113" t="str">
        <f t="array" ref="C102">INDEX('崖行動・受け身'!$J$3:$M$115, MATCH($A$1,'崖行動・受け身'!$A$3:$A$115,0), MATCH(C97,'崖行動・受け身'!$J$2:$M$2,0))</f>
        <v>1-25</v>
      </c>
      <c r="D102" s="113">
        <f t="array" ref="D102">INDEX('崖行動・受け身'!$J$3:$M$115, MATCH($A$1,'崖行動・受け身'!$A$3:$A$115,0), MATCH(D97,'崖行動・受け身'!$J$2:$M$2,0))</f>
        <v>55</v>
      </c>
      <c r="E102" s="113" t="str">
        <f t="array" ref="E102">INDEX('崖行動・受け身'!$J$3:$M$115, MATCH($A$1,'崖行動・受け身'!$A$3:$A$115,0), MATCH(E97,'崖行動・受け身'!$J$2:$M$2,0))</f>
        <v>23-25</v>
      </c>
      <c r="F102" s="113">
        <f t="array" ref="F102">INDEX('崖行動・受け身'!$J$3:$M$115, MATCH($A$1,'崖行動・受け身'!$A$3:$A$115,0), MATCH(F97,'崖行動・受け身'!$J$2:$M$2,0))</f>
        <v>9</v>
      </c>
      <c r="G102" s="113">
        <f>F102*1.2</f>
        <v>10.8</v>
      </c>
      <c r="H102" s="228"/>
      <c r="I102" s="228"/>
      <c r="J102" s="111"/>
      <c r="K102" s="146"/>
      <c r="L102" s="303" t="str">
        <f>'テンプレート'!L121</f>
        <v>後投げ</v>
      </c>
      <c r="M102" s="113" t="s">
        <v>274</v>
      </c>
      <c r="N102" s="365" t="s">
        <v>268</v>
      </c>
      <c r="O102" s="111"/>
      <c r="P102" s="111"/>
      <c r="Q102" s="111"/>
      <c r="R102" s="111"/>
      <c r="S102" s="111"/>
      <c r="T102" s="111"/>
      <c r="U102" s="111"/>
      <c r="V102" s="111"/>
    </row>
    <row r="103" outlineLevel="1">
      <c r="A103" s="299" t="s">
        <v>244</v>
      </c>
      <c r="B103" s="300" t="s">
        <v>216</v>
      </c>
      <c r="C103" s="113" t="str">
        <f t="array" ref="C103">INDEX('崖行動・受け身'!$N$3:$O$115, MATCH($A$1,'崖行動・受け身'!$A$3:$A$115,0), MATCH(C97,'崖行動・受け身'!$N$2:$O$2,0))</f>
        <v>1-20</v>
      </c>
      <c r="D103" s="113">
        <f t="array" ref="D103">INDEX('崖行動・受け身'!$N$3:$O$115, MATCH($A$1,'崖行動・受け身'!$A$3:$A$115,0), MATCH(D97,'崖行動・受け身'!$N$2:$O$2,0))</f>
        <v>26</v>
      </c>
      <c r="E103" s="301"/>
      <c r="F103" s="301"/>
      <c r="G103" s="301"/>
      <c r="H103" s="228"/>
      <c r="I103" s="228"/>
      <c r="J103" s="117"/>
      <c r="K103" s="146"/>
      <c r="L103" s="303" t="str">
        <f>'テンプレート'!L122</f>
        <v>上投げ</v>
      </c>
      <c r="M103" s="113" t="s">
        <v>232</v>
      </c>
      <c r="N103" s="365" t="s">
        <v>173</v>
      </c>
      <c r="O103" s="228"/>
      <c r="P103" s="228"/>
      <c r="Q103" s="228"/>
      <c r="R103" s="228"/>
      <c r="S103" s="228"/>
      <c r="T103" s="228"/>
      <c r="U103" s="228"/>
      <c r="V103" s="228"/>
    </row>
    <row r="104" outlineLevel="1">
      <c r="A104" s="146"/>
      <c r="B104" s="300" t="s">
        <v>245</v>
      </c>
      <c r="C104" s="113" t="str">
        <f t="array" ref="C104">INDEX('崖行動・受け身'!$P$3:$Q$115, MATCH($A$1,'崖行動・受け身'!$A$3:$A$115,0), MATCH(C97,'崖行動・受け身'!$P$2:$Q$2,0))</f>
        <v>1-20</v>
      </c>
      <c r="D104" s="113">
        <f t="array" ref="D104">INDEX('崖行動・受け身'!$P$3:$Q$115, MATCH($A$1,'崖行動・受け身'!$A$3:$A$115,0), MATCH(D97,'崖行動・受け身'!$P$2:$Q$2,0))</f>
        <v>40</v>
      </c>
      <c r="E104" s="301"/>
      <c r="F104" s="301"/>
      <c r="G104" s="301"/>
      <c r="H104" s="228"/>
      <c r="I104" s="228"/>
      <c r="J104" s="111"/>
      <c r="K104" s="146"/>
      <c r="L104" s="303" t="str">
        <f>'テンプレート'!L123</f>
        <v>下投げ</v>
      </c>
      <c r="M104" s="113" t="s">
        <v>86</v>
      </c>
      <c r="N104" s="365" t="s">
        <v>296</v>
      </c>
      <c r="O104" s="118"/>
      <c r="P104" s="118"/>
      <c r="Q104" s="118"/>
      <c r="R104" s="118"/>
      <c r="S104" s="118"/>
      <c r="T104" s="118"/>
      <c r="U104" s="118"/>
      <c r="V104" s="118"/>
    </row>
    <row r="105" outlineLevel="1">
      <c r="A105" s="156"/>
      <c r="B105" s="300" t="s">
        <v>246</v>
      </c>
      <c r="C105" s="113" t="str">
        <f t="array" ref="C105">INDEX('崖行動・受け身'!$R$3:$S$115, MATCH($A$1,'崖行動・受け身'!$A$3:$A$115,0), MATCH(C97,'崖行動・受け身'!$R$2:$S$2,0))</f>
        <v>1-20</v>
      </c>
      <c r="D105" s="113">
        <f t="array" ref="D105">INDEX('崖行動・受け身'!$R$3:$S$115, MATCH($A$1,'崖行動・受け身'!$A$3:$A$115,0), MATCH(D97,'崖行動・受け身'!$R$2:$S$2,0))</f>
        <v>40</v>
      </c>
      <c r="E105" s="301"/>
      <c r="F105" s="301"/>
      <c r="G105" s="301"/>
      <c r="H105" s="228"/>
      <c r="I105" s="228"/>
      <c r="J105" s="117"/>
      <c r="K105" s="146"/>
      <c r="L105" s="306" t="str">
        <f>'テンプレート'!L124</f>
        <v>ダッシュ</v>
      </c>
      <c r="M105" s="113" t="s">
        <v>73</v>
      </c>
      <c r="N105" s="365" t="s">
        <v>99</v>
      </c>
      <c r="O105" s="118"/>
      <c r="P105" s="118"/>
      <c r="Q105" s="118"/>
      <c r="R105" s="118"/>
      <c r="S105" s="118"/>
      <c r="T105" s="118"/>
      <c r="U105" s="118"/>
      <c r="V105" s="118"/>
    </row>
    <row r="106" outlineLevel="1">
      <c r="A106" s="299" t="s">
        <v>247</v>
      </c>
      <c r="B106" s="300" t="s">
        <v>248</v>
      </c>
      <c r="C106" s="301"/>
      <c r="D106" s="113" t="str">
        <f t="array" ref="D106">INDEX('起きあがり'!$C$3:$C103, MATCH($A$1,'起きあがり'!$A$3:$A$115,0), MATCH(D97,'起きあがり'!$C$2:$AD$2,0))</f>
        <v>25</v>
      </c>
      <c r="E106" s="301"/>
      <c r="F106" s="301"/>
      <c r="G106" s="301"/>
      <c r="H106" s="228"/>
      <c r="I106" s="228"/>
      <c r="J106" s="111"/>
      <c r="K106" s="156"/>
      <c r="L106" s="306" t="str">
        <f>'テンプレート'!L125</f>
        <v>その場捨て</v>
      </c>
      <c r="M106" s="365" t="s">
        <v>86</v>
      </c>
      <c r="N106" s="113">
        <v>23.0</v>
      </c>
      <c r="O106" s="118"/>
      <c r="P106" s="118"/>
      <c r="Q106" s="118"/>
      <c r="R106" s="118"/>
      <c r="S106" s="118"/>
      <c r="T106" s="118"/>
      <c r="U106" s="118"/>
      <c r="V106" s="118"/>
    </row>
    <row r="107" outlineLevel="1">
      <c r="A107" s="146"/>
      <c r="B107" s="300" t="s">
        <v>216</v>
      </c>
      <c r="C107" s="307" t="str">
        <f t="array" ref="C107">INDEX('起きあがり'!$D$3:$E103, MATCH($A$1,'起きあがり'!$A$3:$A$115,0), MATCH(C97,'起きあがり'!$D$2:$AD$2,0))</f>
        <v>1-22</v>
      </c>
      <c r="D107" s="308">
        <f t="array" ref="D107">INDEX('起きあがり'!$D$3:$E103, MATCH($A$1,'起きあがり'!$A$3:$A$115,0), MATCH(D97,'起きあがり'!$D$2:$AD$2,0))</f>
        <v>29</v>
      </c>
      <c r="E107" s="301"/>
      <c r="F107" s="301"/>
      <c r="G107" s="301"/>
      <c r="H107" s="228"/>
      <c r="I107" s="228"/>
      <c r="J107" s="117"/>
      <c r="K107" s="305" t="str">
        <f>'テンプレート'!K126</f>
        <v>空中投擲</v>
      </c>
      <c r="L107" s="303" t="str">
        <f>'テンプレート'!L126</f>
        <v>前投げ</v>
      </c>
      <c r="M107" s="113" t="s">
        <v>93</v>
      </c>
      <c r="N107" s="365" t="s">
        <v>268</v>
      </c>
      <c r="O107" s="118"/>
      <c r="P107" s="118"/>
      <c r="Q107" s="118"/>
      <c r="R107" s="118"/>
      <c r="S107" s="118"/>
      <c r="T107" s="118"/>
      <c r="U107" s="118"/>
      <c r="V107" s="118"/>
    </row>
    <row r="108" outlineLevel="1">
      <c r="A108" s="146"/>
      <c r="B108" s="300" t="s">
        <v>245</v>
      </c>
      <c r="C108" s="307" t="str">
        <f t="array" ref="C108">INDEX('起きあがり'!$F$3:$G$115, MATCH($A$1,'起きあがり'!$A$3:$A$115,0), MATCH(C97,'起きあがり'!$F$2:$AD$2,0))</f>
        <v>1-22</v>
      </c>
      <c r="D108" s="308">
        <f t="array" ref="D108">INDEX('起きあがり'!$F$3:$G$115, MATCH($A$1,'起きあがり'!$A$3:$A$115,0), MATCH(D97,'起きあがり'!$F$2:$AD$2,0))</f>
        <v>35</v>
      </c>
      <c r="E108" s="301"/>
      <c r="F108" s="301"/>
      <c r="G108" s="301"/>
      <c r="H108" s="228"/>
      <c r="I108" s="228"/>
      <c r="J108" s="111"/>
      <c r="K108" s="146"/>
      <c r="L108" s="303" t="str">
        <f>'テンプレート'!L127</f>
        <v>後投げ</v>
      </c>
      <c r="M108" s="113" t="s">
        <v>274</v>
      </c>
      <c r="N108" s="365" t="s">
        <v>268</v>
      </c>
      <c r="O108" s="118"/>
      <c r="P108" s="118"/>
      <c r="Q108" s="118"/>
      <c r="R108" s="118"/>
      <c r="S108" s="118"/>
      <c r="T108" s="118"/>
      <c r="U108" s="118"/>
      <c r="V108" s="118"/>
    </row>
    <row r="109" outlineLevel="1">
      <c r="A109" s="146"/>
      <c r="B109" s="300" t="s">
        <v>246</v>
      </c>
      <c r="C109" s="113" t="str">
        <f t="array" ref="C109">INDEX('起きあがり'!$H$3:$I$115, MATCH($A$1,'起きあがり'!$A$3:$A$115,0), MATCH(C97,'起きあがり'!$H$2:$AD$2,0))</f>
        <v>1-22</v>
      </c>
      <c r="D109" s="113">
        <f t="array" ref="D109">INDEX('起きあがり'!$H$3:$I$115, MATCH($A$1,'起きあがり'!$A$3:$A$115,0), MATCH(D97,'起きあがり'!$H$2:$AD$2,0))</f>
        <v>35</v>
      </c>
      <c r="E109" s="301"/>
      <c r="F109" s="301"/>
      <c r="G109" s="301"/>
      <c r="H109" s="228"/>
      <c r="I109" s="228"/>
      <c r="J109" s="117"/>
      <c r="K109" s="146"/>
      <c r="L109" s="303" t="str">
        <f>'テンプレート'!L128</f>
        <v>上投げ</v>
      </c>
      <c r="M109" s="113" t="s">
        <v>232</v>
      </c>
      <c r="N109" s="113">
        <v>23.0</v>
      </c>
      <c r="O109" s="118"/>
      <c r="P109" s="118"/>
      <c r="Q109" s="118"/>
      <c r="R109" s="118"/>
      <c r="S109" s="118"/>
      <c r="T109" s="118"/>
      <c r="U109" s="118"/>
      <c r="V109" s="118"/>
    </row>
    <row r="110" outlineLevel="1">
      <c r="A110" s="146"/>
      <c r="B110" s="300" t="s">
        <v>249</v>
      </c>
      <c r="C110" s="309" t="str">
        <f t="array" ref="C110">INDEX('起きあがり'!$J$3:$M$115, MATCH($A$1,'起きあがり'!$A$3:$A$115,0), MATCH(C97,'起きあがり'!$J$2:$AD$2,0))</f>
        <v>1-26</v>
      </c>
      <c r="D110" s="310">
        <f t="array" ref="D110">INDEX('起きあがり'!$J$3:$M$115, MATCH($A$1,'起きあがり'!$A$3:$A$115,0), MATCH(D97,'起きあがり'!$J$2:$AD$2,0))</f>
        <v>45</v>
      </c>
      <c r="E110" s="307" t="str">
        <f t="array" ref="E110">INDEX('起きあがり'!$J$3:$M$115, MATCH($A$1,'起きあがり'!$A$3:$A$115,0), MATCH(E97,'起きあがり'!$J$2:$AD$2,0))</f>
        <v>16-17</v>
      </c>
      <c r="F110" s="308">
        <f t="array" ref="F110">INDEX('起きあがり'!$J$3:$M$115, MATCH($A$1,'起きあがり'!$A$3:$A$115,0), MATCH(F97,'起きあがり'!$J$2:$AD$2,0))</f>
        <v>7</v>
      </c>
      <c r="G110" s="113">
        <f t="shared" ref="G110:G111" si="1">F110*1.2</f>
        <v>8.4</v>
      </c>
      <c r="H110" s="228"/>
      <c r="I110" s="228"/>
      <c r="J110" s="111"/>
      <c r="K110" s="156"/>
      <c r="L110" s="303" t="str">
        <f>'テンプレート'!L129</f>
        <v>下投げ</v>
      </c>
      <c r="M110" s="113" t="s">
        <v>86</v>
      </c>
      <c r="N110" s="365" t="s">
        <v>296</v>
      </c>
      <c r="O110" s="111"/>
      <c r="P110" s="111"/>
      <c r="Q110" s="111"/>
      <c r="R110" s="111"/>
      <c r="S110" s="111"/>
      <c r="T110" s="111"/>
      <c r="U110" s="111"/>
      <c r="V110" s="111"/>
    </row>
    <row r="111" outlineLevel="1">
      <c r="A111" s="156"/>
      <c r="B111" s="311" t="s">
        <v>250</v>
      </c>
      <c r="C111" s="156"/>
      <c r="D111" s="156"/>
      <c r="E111" s="307" t="str">
        <f t="array" ref="E111">INDEX('起きあがり'!$N$3:$O$115, MATCH($A$1,'起きあがり'!$A$3:$A$115,0), MATCH(E97,'起きあがり'!$N$2:$AD$2,0))</f>
        <v>25-26</v>
      </c>
      <c r="F111" s="308">
        <f t="array" ref="F111">INDEX('起きあがり'!$N$3:$O$115, MATCH($A$1,'起きあがり'!$A$3:$A$115,0), MATCH(F97,'起きあがり'!$N$2:$AD$2,0))</f>
        <v>7</v>
      </c>
      <c r="G111" s="113">
        <f t="shared" si="1"/>
        <v>8.4</v>
      </c>
      <c r="H111" s="228"/>
      <c r="I111" s="228"/>
      <c r="J111" s="111"/>
      <c r="K111" s="312" t="str">
        <f>'テンプレート'!K130</f>
        <v>踏み台ジャンプ</v>
      </c>
      <c r="L111" s="168"/>
      <c r="M111" s="298" t="str">
        <f>'テンプレート'!M130</f>
        <v>全体フレーム</v>
      </c>
      <c r="N111" s="114"/>
      <c r="O111" s="111"/>
      <c r="P111" s="111"/>
      <c r="Q111" s="111"/>
      <c r="R111" s="111"/>
      <c r="S111" s="111"/>
      <c r="T111" s="111"/>
      <c r="U111" s="111"/>
      <c r="V111" s="111"/>
    </row>
    <row r="112" outlineLevel="1">
      <c r="A112" s="299" t="s">
        <v>251</v>
      </c>
      <c r="B112" s="300" t="s">
        <v>248</v>
      </c>
      <c r="C112" s="301"/>
      <c r="D112" s="307" t="str">
        <f t="array" ref="D112">INDEX('起きあがり'!$C$3:$C103, MATCH($A$1,'起きあがり'!$A$3:$A$115,0), MATCH(D97,'起きあがり'!$C$2,0))</f>
        <v>25</v>
      </c>
      <c r="E112" s="301"/>
      <c r="F112" s="301"/>
      <c r="G112" s="301"/>
      <c r="H112" s="228"/>
      <c r="I112" s="228"/>
      <c r="J112" s="117"/>
      <c r="K112" s="313" t="str">
        <f>'テンプレート'!K131</f>
        <v>踏み</v>
      </c>
      <c r="L112" s="314" t="str">
        <f>'テンプレート'!L131</f>
        <v>踏み</v>
      </c>
      <c r="M112" s="967">
        <v>8.0</v>
      </c>
      <c r="N112" s="315"/>
      <c r="O112" s="111"/>
      <c r="P112" s="111"/>
      <c r="Q112" s="111"/>
      <c r="R112" s="111"/>
      <c r="S112" s="111"/>
      <c r="T112" s="111"/>
      <c r="U112" s="111"/>
      <c r="V112" s="111"/>
    </row>
    <row r="113" outlineLevel="1">
      <c r="A113" s="146"/>
      <c r="B113" s="300" t="s">
        <v>216</v>
      </c>
      <c r="C113" s="307" t="str">
        <f t="array" ref="C113">INDEX('起きあがり'!$P$3:$Q$115, MATCH($A$1,'起きあがり'!$A$3:$A$115,0), MATCH(C97,'起きあがり'!$P$2:$AD$2,0))</f>
        <v>1-22</v>
      </c>
      <c r="D113" s="308">
        <f t="array" ref="D113">INDEX('起きあがり'!$P$3:$Q$115, MATCH($A$1,'起きあがり'!$A$3:$A$115,0), MATCH(D97,'起きあがり'!$P$2:$AD$2,0))</f>
        <v>29</v>
      </c>
      <c r="E113" s="301"/>
      <c r="F113" s="301"/>
      <c r="G113" s="301"/>
      <c r="H113" s="228"/>
      <c r="I113" s="228"/>
      <c r="J113" s="111"/>
      <c r="K113" s="305" t="str">
        <f>'テンプレート'!K132</f>
        <v>踏まれ</v>
      </c>
      <c r="L113" s="314" t="str">
        <f>'テンプレート'!L132</f>
        <v>地上踏まれ</v>
      </c>
      <c r="M113" s="967" t="s">
        <v>76</v>
      </c>
      <c r="N113" s="315"/>
      <c r="O113" s="228"/>
      <c r="P113" s="228"/>
      <c r="Q113" s="228"/>
      <c r="R113" s="228"/>
      <c r="S113" s="228"/>
      <c r="T113" s="228"/>
      <c r="U113" s="228"/>
      <c r="V113" s="228"/>
    </row>
    <row r="114" outlineLevel="1">
      <c r="A114" s="146"/>
      <c r="B114" s="300" t="s">
        <v>245</v>
      </c>
      <c r="C114" s="307" t="str">
        <f t="array" ref="C114">INDEX('起きあがり'!$R$3:$S$115, MATCH($A$1,'起きあがり'!$A$3:$A$115,0), MATCH(C97,'起きあがり'!$R$2:$AD$2,0))</f>
        <v>1-22</v>
      </c>
      <c r="D114" s="308">
        <f t="array" ref="D114">INDEX('起きあがり'!$R$3:$S$115, MATCH($A$1,'起きあがり'!$A$3:$A$115,0), MATCH(D97,'起きあがり'!$R$2:$AD$2,0))</f>
        <v>35</v>
      </c>
      <c r="E114" s="301"/>
      <c r="F114" s="301"/>
      <c r="G114" s="301"/>
      <c r="H114" s="228"/>
      <c r="I114" s="228"/>
      <c r="J114" s="117"/>
      <c r="K114" s="146"/>
      <c r="L114" s="314" t="str">
        <f>'テンプレート'!L133</f>
        <v>地上硬直</v>
      </c>
      <c r="M114" s="967">
        <v>26.0</v>
      </c>
      <c r="N114" s="102"/>
      <c r="O114" s="118"/>
      <c r="P114" s="118"/>
      <c r="Q114" s="118"/>
      <c r="R114" s="118"/>
      <c r="S114" s="118"/>
      <c r="T114" s="118"/>
      <c r="U114" s="118"/>
      <c r="V114" s="118"/>
    </row>
    <row r="115" outlineLevel="1">
      <c r="A115" s="146"/>
      <c r="B115" s="300" t="s">
        <v>246</v>
      </c>
      <c r="C115" s="307" t="str">
        <f t="array" ref="C115">INDEX('起きあがり'!$T$3:$U$115, MATCH($A$1,'起きあがり'!$A$3:$A$115,0), MATCH(C97,'起きあがり'!$T$2:$AD$2,0))</f>
        <v>1-22</v>
      </c>
      <c r="D115" s="308">
        <f t="array" ref="D115">INDEX('起きあがり'!$T$3:$U$115, MATCH($A$1,'起きあがり'!$A$3:$A$115,0), MATCH(D97,'起きあがり'!$T$2:$AD$2,0))</f>
        <v>35</v>
      </c>
      <c r="E115" s="301"/>
      <c r="F115" s="301"/>
      <c r="G115" s="301"/>
      <c r="H115" s="228"/>
      <c r="I115" s="228"/>
      <c r="J115" s="111"/>
      <c r="K115" s="146"/>
      <c r="L115" s="314" t="str">
        <f>'テンプレート'!L134</f>
        <v>空中踏まれ</v>
      </c>
      <c r="M115" s="967">
        <v>7.0</v>
      </c>
      <c r="N115" s="102"/>
      <c r="O115" s="118"/>
      <c r="P115" s="118"/>
      <c r="Q115" s="118"/>
      <c r="R115" s="118"/>
      <c r="S115" s="118"/>
      <c r="T115" s="118"/>
      <c r="U115" s="118"/>
      <c r="V115" s="118"/>
    </row>
    <row r="116" outlineLevel="1">
      <c r="A116" s="146"/>
      <c r="B116" s="300" t="s">
        <v>249</v>
      </c>
      <c r="C116" s="309" t="str">
        <f t="array" ref="C116">INDEX('起きあがり'!$V$3:$Y$115, MATCH($A$1,'起きあがり'!$A$3:$A$115,0), MATCH(C97,'起きあがり'!$V$2:$AD$2,0))</f>
        <v>1-25</v>
      </c>
      <c r="D116" s="310">
        <f t="array" ref="D116">INDEX('起きあがり'!$V$3:$Y$115, MATCH($A$1,'起きあがり'!$A$3:$A$115,0), MATCH(D97,'起きあがり'!$V$2:$AD$2,0))</f>
        <v>45</v>
      </c>
      <c r="E116" s="307" t="str">
        <f t="array" ref="E116">INDEX('起きあがり'!$V$3:$Y$115, MATCH($A$1,'起きあがり'!$A$3:$A$115,0), MATCH(E97,'起きあがり'!$V$2:$AD$2,0))</f>
        <v>14-15</v>
      </c>
      <c r="F116" s="308">
        <f t="array" ref="F116">INDEX('起きあがり'!$V$3:$Y$115, MATCH($A$1,'起きあがり'!$A$3:$A$115,0), MATCH(F97,'起きあがり'!$V$2:$AD$2,0))</f>
        <v>7</v>
      </c>
      <c r="G116" s="113">
        <f t="shared" ref="G116:G117" si="2">F116*1.2</f>
        <v>8.4</v>
      </c>
      <c r="H116" s="228"/>
      <c r="I116" s="228"/>
      <c r="J116" s="117"/>
      <c r="K116" s="146"/>
      <c r="L116" s="314" t="str">
        <f>'テンプレート'!L135</f>
        <v>空中落下</v>
      </c>
      <c r="M116" s="967">
        <v>39.0</v>
      </c>
      <c r="N116" s="102"/>
      <c r="O116" s="118"/>
      <c r="P116" s="118"/>
      <c r="Q116" s="118"/>
      <c r="R116" s="118"/>
      <c r="S116" s="118"/>
      <c r="T116" s="118"/>
      <c r="U116" s="118"/>
      <c r="V116" s="118"/>
    </row>
    <row r="117" outlineLevel="1">
      <c r="A117" s="156"/>
      <c r="B117" s="311" t="s">
        <v>250</v>
      </c>
      <c r="C117" s="156"/>
      <c r="D117" s="156"/>
      <c r="E117" s="307" t="str">
        <f t="array" ref="E117">INDEX('起きあがり'!$Z$3:$AA$115, MATCH($A$1,'起きあがり'!$A$3:$A$115,0), MATCH(E97,'起きあがり'!$Z$2:$AD$2,0))</f>
        <v>24-25</v>
      </c>
      <c r="F117" s="308">
        <f t="array" ref="F117">INDEX('起きあがり'!$Z$3:$AA$115, MATCH($A$1,'起きあがり'!$A$3:$A$115,0), MATCH(F97,'起きあがり'!$Z$2:$AD$2,0))</f>
        <v>7</v>
      </c>
      <c r="G117" s="113">
        <f t="shared" si="2"/>
        <v>8.4</v>
      </c>
      <c r="H117" s="228"/>
      <c r="I117" s="228"/>
      <c r="J117" s="117"/>
      <c r="K117" s="304" t="str">
        <f>'テンプレート'!K136</f>
        <v>倒れダメージ</v>
      </c>
      <c r="L117" s="110"/>
      <c r="M117" s="298" t="str">
        <f>'テンプレート'!M136</f>
        <v>全体フレーム</v>
      </c>
      <c r="N117" s="102"/>
      <c r="O117" s="118"/>
      <c r="P117" s="118"/>
      <c r="Q117" s="118"/>
      <c r="R117" s="118"/>
      <c r="S117" s="118"/>
      <c r="T117" s="118"/>
      <c r="U117" s="118"/>
      <c r="V117" s="118"/>
    </row>
    <row r="118" outlineLevel="1">
      <c r="A118" s="299" t="s">
        <v>252</v>
      </c>
      <c r="B118" s="300" t="s">
        <v>253</v>
      </c>
      <c r="C118" s="307" t="str">
        <f t="array" ref="C118">INDEX('転倒'!$C$3:$D103, MATCH($A$1,'転倒'!$A$3:$A$115,0), MATCH(C97,'転倒'!$C$2:$AC$2,0))</f>
        <v>1-5</v>
      </c>
      <c r="D118" s="308">
        <f t="array" ref="D118">INDEX('転倒'!$C$3:$D103, MATCH($A$1,'転倒'!$A$3:$A$115,0), MATCH(D97,'転倒'!$C$2:$AC$2,0))</f>
        <v>29</v>
      </c>
      <c r="E118" s="301"/>
      <c r="F118" s="301"/>
      <c r="G118" s="301"/>
      <c r="H118" s="228"/>
      <c r="I118" s="228"/>
      <c r="J118" s="111"/>
      <c r="K118" s="313" t="str">
        <f>'テンプレート'!K137</f>
        <v>あお向け倒れ</v>
      </c>
      <c r="L118" s="306" t="str">
        <f>'テンプレート'!L137</f>
        <v>モーション大</v>
      </c>
      <c r="M118" s="967">
        <v>39.0</v>
      </c>
      <c r="N118" s="315"/>
      <c r="O118" s="118"/>
      <c r="P118" s="118"/>
      <c r="Q118" s="118"/>
      <c r="R118" s="118"/>
      <c r="S118" s="118"/>
      <c r="T118" s="118"/>
      <c r="U118" s="118"/>
      <c r="V118" s="118"/>
    </row>
    <row r="119" outlineLevel="1">
      <c r="A119" s="146"/>
      <c r="B119" s="300" t="s">
        <v>254</v>
      </c>
      <c r="C119" s="307" t="str">
        <f t="array" ref="C119">INDEX('転倒'!$E$3:$F103, MATCH($A$1,'転倒'!$A$3:$A$115,0), MATCH(C97,'転倒'!$E$2:$AC$2,0))</f>
        <v>1-5</v>
      </c>
      <c r="D119" s="308">
        <f t="array" ref="D119">INDEX('転倒'!$E$3:$F103, MATCH($A$1,'転倒'!$A$3:$A$115,0), MATCH(D97,'転倒'!$E$2:$AC$2,0))</f>
        <v>39</v>
      </c>
      <c r="E119" s="301"/>
      <c r="F119" s="301"/>
      <c r="G119" s="301"/>
      <c r="H119" s="228"/>
      <c r="I119" s="228"/>
      <c r="J119" s="117"/>
      <c r="K119" s="313" t="str">
        <f>'テンプレート'!K138</f>
        <v>うつ伏せ倒れ</v>
      </c>
      <c r="L119" s="306" t="str">
        <f>'テンプレート'!L138</f>
        <v>モーション大</v>
      </c>
      <c r="M119" s="967" t="s">
        <v>118</v>
      </c>
      <c r="N119" s="315"/>
      <c r="O119" s="118"/>
      <c r="P119" s="118"/>
      <c r="Q119" s="118"/>
      <c r="R119" s="118"/>
      <c r="S119" s="118"/>
      <c r="T119" s="118"/>
      <c r="U119" s="118"/>
      <c r="V119" s="118"/>
    </row>
    <row r="120" outlineLevel="1">
      <c r="A120" s="146"/>
      <c r="B120" s="300" t="s">
        <v>216</v>
      </c>
      <c r="C120" s="307" t="str">
        <f t="array" ref="C120">INDEX('転倒'!$G$3:$H$115, MATCH($A$1,'転倒'!$A$3:$A$115,0), MATCH(C97,'転倒'!$G$2:$AC$2,0))</f>
        <v>1-16</v>
      </c>
      <c r="D120" s="308">
        <f t="array" ref="D120">INDEX('転倒'!$G$3:$H$115, MATCH($A$1,'転倒'!$A$3:$A$115,0), MATCH(D97,'転倒'!$G$2:$AC$2,0))</f>
        <v>21</v>
      </c>
      <c r="E120" s="301"/>
      <c r="F120" s="301"/>
      <c r="G120" s="301"/>
      <c r="H120" s="228"/>
      <c r="I120" s="228"/>
      <c r="J120" s="111"/>
      <c r="K120" s="304" t="str">
        <f>'テンプレート'!K139</f>
        <v/>
      </c>
      <c r="L120" s="110"/>
      <c r="M120" s="298" t="str">
        <f>'テンプレート'!M139</f>
        <v/>
      </c>
      <c r="N120" s="102"/>
      <c r="O120" s="118"/>
      <c r="P120" s="118"/>
      <c r="Q120" s="118"/>
      <c r="R120" s="118"/>
      <c r="S120" s="118"/>
      <c r="T120" s="118"/>
      <c r="U120" s="118"/>
      <c r="V120" s="118"/>
    </row>
    <row r="121" outlineLevel="1">
      <c r="A121" s="146"/>
      <c r="B121" s="300" t="s">
        <v>245</v>
      </c>
      <c r="C121" s="307" t="str">
        <f t="array" ref="C121">INDEX('転倒'!$I$3:$J$115, MATCH($A$1,'転倒'!$A$3:$A$115,0), MATCH(C97,'転倒'!$I$2:$AC$2,0))</f>
        <v>1-9</v>
      </c>
      <c r="D121" s="308">
        <f t="array" ref="D121">INDEX('転倒'!$I$3:$J$115, MATCH($A$1,'転倒'!$A$3:$A$115,0), MATCH(D97,'転倒'!$I$2:$AC$2,0))</f>
        <v>28</v>
      </c>
      <c r="E121" s="301"/>
      <c r="F121" s="301"/>
      <c r="G121" s="301"/>
      <c r="H121" s="228"/>
      <c r="I121" s="228"/>
      <c r="J121" s="228"/>
      <c r="K121" s="316"/>
      <c r="L121" s="317" t="str">
        <f>'テンプレート'!L140</f>
        <v/>
      </c>
      <c r="M121" s="113" t="s">
        <v>76</v>
      </c>
      <c r="N121" s="102"/>
      <c r="O121" s="118"/>
      <c r="P121" s="118"/>
      <c r="Q121" s="118"/>
      <c r="R121" s="118"/>
      <c r="S121" s="118"/>
      <c r="T121" s="118"/>
      <c r="U121" s="118"/>
      <c r="V121" s="118"/>
    </row>
    <row r="122" outlineLevel="1">
      <c r="A122" s="146"/>
      <c r="B122" s="300" t="s">
        <v>246</v>
      </c>
      <c r="C122" s="307" t="str">
        <f t="array" ref="C122">INDEX('転倒'!$K$3:$L$115, MATCH($A$1,'転倒'!$A$3:$A$115,0), MATCH(C97,'転倒'!$K$2:$AC$2,0))</f>
        <v>1-9</v>
      </c>
      <c r="D122" s="308">
        <f t="array" ref="D122">INDEX('転倒'!$K$3:$L$115, MATCH($A$1,'転倒'!$A$3:$A$115,0), MATCH(D97,'転倒'!$K$2:$AC$2,0))</f>
        <v>28</v>
      </c>
      <c r="E122" s="301"/>
      <c r="F122" s="301"/>
      <c r="G122" s="301"/>
      <c r="H122" s="228"/>
      <c r="I122" s="228"/>
      <c r="J122" s="228"/>
      <c r="K122" s="318"/>
      <c r="L122" s="118"/>
      <c r="M122" s="118"/>
      <c r="N122" s="102"/>
      <c r="O122" s="118"/>
      <c r="P122" s="118"/>
      <c r="Q122" s="118"/>
      <c r="R122" s="118"/>
      <c r="S122" s="118"/>
      <c r="T122" s="118"/>
      <c r="U122" s="118"/>
      <c r="V122" s="118"/>
    </row>
    <row r="123" outlineLevel="1">
      <c r="A123" s="146"/>
      <c r="B123" s="300" t="s">
        <v>249</v>
      </c>
      <c r="C123" s="309" t="str">
        <f t="array" ref="C123">INDEX('転倒'!$M$3:$P$115, MATCH($A$1,'転倒'!$A$3:$A$115,0), MATCH(C97,'転倒'!$M$2:$AC$2,0))</f>
        <v>1-7</v>
      </c>
      <c r="D123" s="310">
        <f t="array" ref="D123">INDEX('転倒'!$M$3:$P$115, MATCH($A$1,'転倒'!$A$3:$A$115,0), MATCH(D97,'転倒'!$M$2:$AC$2,0))</f>
        <v>49</v>
      </c>
      <c r="E123" s="307" t="str">
        <f t="array" ref="E123">INDEX('転倒'!$M$3:$P$115, MATCH($A$1,'転倒'!$A$3:$A$115,0), MATCH(E97,'転倒'!$M$2:$AC$2,0))</f>
        <v>13-14</v>
      </c>
      <c r="F123" s="308">
        <f t="array" ref="F123">INDEX('転倒'!$M$3:$P$115, MATCH($A$1,'転倒'!$A$3:$A$115,0), MATCH(F97,'転倒'!$M$2:$AC$2,0))</f>
        <v>5</v>
      </c>
      <c r="G123" s="113">
        <f t="shared" ref="G123:G124" si="3">F123*1.2</f>
        <v>6</v>
      </c>
      <c r="H123" s="228"/>
      <c r="I123" s="228"/>
      <c r="J123" s="228"/>
      <c r="K123" s="118"/>
      <c r="L123" s="118"/>
      <c r="M123" s="118"/>
      <c r="N123" s="102"/>
      <c r="O123" s="102"/>
      <c r="P123" s="102"/>
      <c r="Q123" s="102"/>
      <c r="R123" s="118"/>
      <c r="S123" s="118"/>
      <c r="T123" s="118"/>
      <c r="U123" s="118"/>
      <c r="V123" s="118"/>
    </row>
    <row r="124" outlineLevel="1">
      <c r="A124" s="156"/>
      <c r="B124" s="311" t="s">
        <v>250</v>
      </c>
      <c r="C124" s="156"/>
      <c r="D124" s="156"/>
      <c r="E124" s="307" t="str">
        <f t="array" ref="E124">INDEX('転倒'!$Q$3:$R$115, MATCH($A$1,'転倒'!$A$3:$A$115,0), MATCH(E97,'転倒'!$Q$2:$AC$2,0))</f>
        <v>24-25</v>
      </c>
      <c r="F124" s="308">
        <f t="array" ref="F124">INDEX('転倒'!$Q$3:$R$115, MATCH($A$1,'転倒'!$A$3:$A$115,0), MATCH(F97,'転倒'!$Q$2:$AC$2,0))</f>
        <v>5</v>
      </c>
      <c r="G124" s="113">
        <f t="shared" si="3"/>
        <v>6</v>
      </c>
      <c r="H124" s="228"/>
      <c r="I124" s="228"/>
      <c r="J124" s="228"/>
      <c r="K124" s="118"/>
      <c r="L124" s="118"/>
      <c r="M124" s="118"/>
      <c r="N124" s="102"/>
      <c r="O124" s="102"/>
      <c r="P124" s="102"/>
      <c r="Q124" s="102"/>
      <c r="R124" s="118"/>
      <c r="S124" s="118"/>
      <c r="T124" s="118"/>
      <c r="U124" s="118"/>
      <c r="V124" s="118"/>
    </row>
    <row r="125" outlineLevel="1">
      <c r="A125" s="319"/>
      <c r="B125" s="320"/>
      <c r="C125" s="321"/>
      <c r="D125" s="321"/>
      <c r="E125" s="322"/>
      <c r="F125" s="322"/>
      <c r="G125" s="114"/>
      <c r="H125" s="228"/>
      <c r="I125" s="228"/>
      <c r="J125" s="228"/>
      <c r="K125" s="118"/>
      <c r="L125" s="118"/>
      <c r="M125" s="118"/>
      <c r="N125" s="102"/>
      <c r="O125" s="102"/>
      <c r="P125" s="102"/>
      <c r="Q125" s="102"/>
      <c r="R125" s="118"/>
      <c r="S125" s="118"/>
      <c r="T125" s="118"/>
      <c r="U125" s="118"/>
      <c r="V125" s="118"/>
    </row>
    <row r="126" outlineLevel="1">
      <c r="A126" s="323" t="s">
        <v>255</v>
      </c>
      <c r="B126" s="109"/>
      <c r="C126" s="321"/>
      <c r="D126" s="321"/>
      <c r="E126" s="322"/>
      <c r="F126" s="322"/>
      <c r="G126" s="114"/>
      <c r="H126" s="228"/>
      <c r="I126" s="228"/>
      <c r="J126" s="228"/>
      <c r="K126" s="118"/>
      <c r="L126" s="118"/>
      <c r="M126" s="118"/>
      <c r="N126" s="102"/>
      <c r="O126" s="102"/>
      <c r="P126" s="102"/>
      <c r="Q126" s="102"/>
      <c r="R126" s="118"/>
      <c r="S126" s="118"/>
      <c r="T126" s="118"/>
      <c r="U126" s="118"/>
      <c r="V126" s="118"/>
    </row>
    <row r="127" outlineLevel="1">
      <c r="A127" s="324" t="s">
        <v>256</v>
      </c>
      <c r="B127" s="109"/>
      <c r="C127" s="325" t="s">
        <v>257</v>
      </c>
      <c r="D127" s="325" t="s">
        <v>49</v>
      </c>
      <c r="E127" s="322"/>
      <c r="F127" s="322"/>
      <c r="G127" s="114"/>
      <c r="H127" s="228"/>
      <c r="I127" s="228"/>
      <c r="J127" s="228"/>
      <c r="K127" s="118"/>
      <c r="L127" s="118"/>
      <c r="M127" s="118"/>
      <c r="N127" s="102"/>
      <c r="O127" s="102"/>
      <c r="P127" s="102"/>
      <c r="Q127" s="102"/>
      <c r="R127" s="118"/>
      <c r="S127" s="118"/>
      <c r="T127" s="118"/>
      <c r="U127" s="118"/>
      <c r="V127" s="118"/>
    </row>
    <row r="128" outlineLevel="1">
      <c r="A128" s="326" t="s">
        <v>258</v>
      </c>
      <c r="B128" s="327" t="s">
        <v>216</v>
      </c>
      <c r="C128" s="328" t="str">
        <f t="array" ref="C128">INDEX('アイテム'!$C$3:$D$114, MATCH($A$1,'アイテム'!$A$3:$A$114,0), MATCH(C127,'アイテム'!$C$2:$AQ$2,0))</f>
        <v>2</v>
      </c>
      <c r="D128" s="328">
        <f t="array" ref="D128">INDEX('アイテム'!$C$3:$D$114, MATCH($A$1,'アイテム'!$A$3:$A$114,0), MATCH(D127,'アイテム'!$C$2:$AQ$2,0))</f>
        <v>7</v>
      </c>
      <c r="E128" s="322"/>
      <c r="F128" s="322"/>
      <c r="G128" s="114"/>
      <c r="H128" s="228"/>
      <c r="I128" s="228"/>
      <c r="J128" s="228"/>
      <c r="K128" s="118"/>
      <c r="L128" s="118"/>
      <c r="M128" s="118"/>
      <c r="N128" s="102"/>
      <c r="O128" s="102"/>
      <c r="P128" s="102"/>
      <c r="Q128" s="102"/>
      <c r="R128" s="118"/>
      <c r="S128" s="118"/>
      <c r="T128" s="118"/>
      <c r="U128" s="118"/>
      <c r="V128" s="118"/>
    </row>
    <row r="129" outlineLevel="1">
      <c r="A129" s="156"/>
      <c r="B129" s="327" t="s">
        <v>219</v>
      </c>
      <c r="C129" s="328" t="str">
        <f t="array" ref="C129">INDEX('アイテム'!$E$3:$F$114, MATCH($A$1,'アイテム'!$A$3:$A$114,0), MATCH(C127,'アイテム'!$C$2:$AQ$2,0))</f>
        <v>2</v>
      </c>
      <c r="D129" s="328">
        <f t="array" ref="D129">INDEX('アイテム'!$E$3:$F$114, MATCH($A$1,'アイテム'!$A$3:$A$114,0), MATCH(D127,'アイテム'!$C$2:$AQ$2,0))</f>
        <v>19</v>
      </c>
      <c r="E129" s="322"/>
      <c r="F129" s="322"/>
      <c r="G129" s="114"/>
      <c r="H129" s="228"/>
      <c r="I129" s="228"/>
      <c r="J129" s="228"/>
      <c r="K129" s="118"/>
      <c r="L129" s="118"/>
      <c r="M129" s="118"/>
      <c r="N129" s="102"/>
      <c r="O129" s="102"/>
      <c r="P129" s="102"/>
      <c r="Q129" s="102"/>
      <c r="R129" s="118"/>
      <c r="S129" s="118"/>
      <c r="T129" s="118"/>
      <c r="U129" s="118"/>
      <c r="V129" s="118"/>
    </row>
    <row r="130" outlineLevel="1">
      <c r="A130" s="329" t="s">
        <v>259</v>
      </c>
      <c r="B130" s="327" t="s">
        <v>216</v>
      </c>
      <c r="C130" s="328">
        <f t="array" ref="C130">INDEX('アイテム'!$AA$3:$AB$114, MATCH($A$1,'アイテム'!$A$3:$A$114,0), MATCH(C127,'アイテム'!$C$2:$AQ$2,0))</f>
        <v>2</v>
      </c>
      <c r="D130" s="328" t="str">
        <f t="array" ref="D130">INDEX('アイテム'!$AA$3:$AB$114, MATCH($A$1,'アイテム'!$A$3:$A$114,0), MATCH(D127,'アイテム'!$C$2:$AQ$2,0))</f>
        <v>12</v>
      </c>
      <c r="E130" s="322"/>
      <c r="F130" s="322"/>
      <c r="G130" s="114"/>
      <c r="H130" s="228"/>
      <c r="I130" s="228"/>
      <c r="J130" s="228"/>
      <c r="K130" s="118"/>
      <c r="L130" s="118"/>
      <c r="M130" s="118"/>
      <c r="N130" s="102"/>
      <c r="O130" s="102"/>
      <c r="P130" s="102"/>
      <c r="Q130" s="102"/>
      <c r="R130" s="118"/>
      <c r="S130" s="118"/>
      <c r="T130" s="118"/>
      <c r="U130" s="118"/>
      <c r="V130" s="118"/>
    </row>
    <row r="131" outlineLevel="1">
      <c r="A131" s="324" t="s">
        <v>260</v>
      </c>
      <c r="B131" s="109"/>
      <c r="C131" s="325" t="s">
        <v>261</v>
      </c>
      <c r="D131" s="325" t="s">
        <v>49</v>
      </c>
      <c r="E131" s="322"/>
      <c r="F131" s="322"/>
      <c r="G131" s="114"/>
      <c r="H131" s="228"/>
      <c r="I131" s="228"/>
      <c r="J131" s="228"/>
      <c r="K131" s="118"/>
      <c r="L131" s="118"/>
      <c r="M131" s="118"/>
      <c r="N131" s="102"/>
      <c r="O131" s="102"/>
      <c r="P131" s="102"/>
      <c r="Q131" s="102"/>
      <c r="R131" s="118"/>
      <c r="S131" s="118"/>
      <c r="T131" s="118"/>
      <c r="U131" s="118"/>
      <c r="V131" s="118"/>
    </row>
    <row r="132" outlineLevel="1">
      <c r="A132" s="326" t="s">
        <v>262</v>
      </c>
      <c r="B132" s="327" t="s">
        <v>226</v>
      </c>
      <c r="C132" s="328" t="str">
        <f t="array" ref="C132">INDEX('アイテム'!$G$3:$H$114, MATCH($A$1,'アイテム'!$A$3:$A$114,0), MATCH(C127,'アイテム'!$C$2:$AQ$2,0))</f>
        <v>7</v>
      </c>
      <c r="D132" s="328">
        <f t="array" ref="D132">INDEX('アイテム'!$G$3:$H$114, MATCH($A$1,'アイテム'!$A$3:$A$114,0), MATCH(D127,'アイテム'!$C$2:$AQ$2,0))</f>
        <v>24</v>
      </c>
      <c r="E132" s="322"/>
      <c r="F132" s="322"/>
      <c r="G132" s="114"/>
      <c r="H132" s="228"/>
      <c r="I132" s="228"/>
      <c r="J132" s="228"/>
      <c r="K132" s="118"/>
      <c r="L132" s="118"/>
      <c r="M132" s="118"/>
      <c r="N132" s="102"/>
      <c r="O132" s="102"/>
      <c r="P132" s="102"/>
      <c r="Q132" s="102"/>
      <c r="R132" s="118"/>
      <c r="S132" s="118"/>
      <c r="T132" s="118"/>
      <c r="U132" s="118"/>
      <c r="V132" s="118"/>
    </row>
    <row r="133" outlineLevel="1">
      <c r="A133" s="146"/>
      <c r="B133" s="327" t="s">
        <v>229</v>
      </c>
      <c r="C133" s="328" t="str">
        <f t="array" ref="C133">INDEX('アイテム'!$I$3:$J$114, MATCH($A$1,'アイテム'!$A$3:$A$114,0), MATCH(C127,'アイテム'!$C$2:$AQ$2,0))</f>
        <v>9</v>
      </c>
      <c r="D133" s="328">
        <f t="array" ref="D133">INDEX('アイテム'!$I$3:$J$114, MATCH($A$1,'アイテム'!$A$3:$A$114,0), MATCH(D127,'アイテム'!$C$2:$AQ$2,0))</f>
        <v>24</v>
      </c>
      <c r="E133" s="322"/>
      <c r="F133" s="322"/>
      <c r="G133" s="114"/>
      <c r="H133" s="228"/>
      <c r="I133" s="228"/>
      <c r="J133" s="228"/>
      <c r="K133" s="118"/>
      <c r="L133" s="118"/>
      <c r="M133" s="118"/>
      <c r="N133" s="102"/>
      <c r="O133" s="102"/>
      <c r="P133" s="102"/>
      <c r="Q133" s="102"/>
      <c r="R133" s="118"/>
      <c r="S133" s="118"/>
      <c r="T133" s="118"/>
      <c r="U133" s="118"/>
      <c r="V133" s="118"/>
    </row>
    <row r="134" outlineLevel="1">
      <c r="A134" s="146"/>
      <c r="B134" s="327" t="s">
        <v>233</v>
      </c>
      <c r="C134" s="328" t="str">
        <f t="array" ref="C134">INDEX('アイテム'!$K$3:$L$114, MATCH($A$1,'アイテム'!$A$3:$A$114,0), MATCH(C127,'アイテム'!$C$2:$AQ$2,0))</f>
        <v>11</v>
      </c>
      <c r="D134" s="328">
        <f t="array" ref="D134">INDEX('アイテム'!$K$3:$L$114, MATCH($A$1,'アイテム'!$A$3:$A$114,0), MATCH(D127,'アイテム'!$C$2:$AQ$2,0))</f>
        <v>23</v>
      </c>
      <c r="E134" s="322"/>
      <c r="F134" s="322"/>
      <c r="G134" s="114"/>
      <c r="H134" s="228"/>
      <c r="I134" s="228"/>
      <c r="J134" s="228"/>
      <c r="K134" s="118"/>
      <c r="L134" s="118"/>
      <c r="M134" s="118"/>
      <c r="N134" s="102"/>
      <c r="O134" s="102"/>
      <c r="P134" s="102"/>
      <c r="Q134" s="102"/>
      <c r="R134" s="118"/>
      <c r="S134" s="118"/>
      <c r="T134" s="118"/>
      <c r="U134" s="118"/>
      <c r="V134" s="118"/>
    </row>
    <row r="135" outlineLevel="1">
      <c r="A135" s="146"/>
      <c r="B135" s="327" t="s">
        <v>234</v>
      </c>
      <c r="C135" s="328" t="str">
        <f t="array" ref="C135">INDEX('アイテム'!$M$3:$N$114, MATCH($A$1,'アイテム'!$A$3:$A$114,0), MATCH(C127,'アイテム'!$C$2:$AQ$2,0))</f>
        <v>6</v>
      </c>
      <c r="D135" s="328">
        <f t="array" ref="D135">INDEX('アイテム'!$M$3:$N$114, MATCH($A$1,'アイテム'!$A$3:$A$114,0), MATCH(D127,'アイテム'!$C$2:$AQ$2,0))</f>
        <v>19</v>
      </c>
      <c r="E135" s="322"/>
      <c r="F135" s="322"/>
      <c r="G135" s="114"/>
      <c r="H135" s="228"/>
      <c r="I135" s="228"/>
      <c r="J135" s="228"/>
      <c r="K135" s="118"/>
      <c r="L135" s="118"/>
      <c r="M135" s="118"/>
      <c r="N135" s="102"/>
      <c r="O135" s="102"/>
      <c r="P135" s="102"/>
      <c r="Q135" s="102"/>
      <c r="R135" s="118"/>
      <c r="S135" s="118"/>
      <c r="T135" s="118"/>
      <c r="U135" s="118"/>
      <c r="V135" s="118"/>
    </row>
    <row r="136" outlineLevel="1">
      <c r="A136" s="146"/>
      <c r="B136" s="327" t="s">
        <v>219</v>
      </c>
      <c r="C136" s="328" t="str">
        <f t="array" ref="C136">INDEX('アイテム'!$O$3:$P$114, MATCH($A$1,'アイテム'!$A$3:$A$114,0), MATCH(C127,'アイテム'!$C$2:$AQ$2,0))</f>
        <v>4</v>
      </c>
      <c r="D136" s="328">
        <f t="array" ref="D136">INDEX('アイテム'!$O$3:$P$114, MATCH($A$1,'アイテム'!$A$3:$A$114,0), MATCH(D127,'アイテム'!$C$2:$AQ$2,0))</f>
        <v>29</v>
      </c>
      <c r="E136" s="322"/>
      <c r="F136" s="322"/>
      <c r="G136" s="114"/>
      <c r="H136" s="228"/>
      <c r="I136" s="228"/>
      <c r="J136" s="228"/>
      <c r="K136" s="118"/>
      <c r="L136" s="118"/>
      <c r="M136" s="118"/>
      <c r="N136" s="102"/>
      <c r="O136" s="102"/>
      <c r="P136" s="102"/>
      <c r="Q136" s="102"/>
      <c r="R136" s="118"/>
      <c r="S136" s="118"/>
      <c r="T136" s="118"/>
      <c r="U136" s="118"/>
      <c r="V136" s="118"/>
    </row>
    <row r="137" outlineLevel="1">
      <c r="A137" s="156"/>
      <c r="B137" s="327" t="s">
        <v>263</v>
      </c>
      <c r="C137" s="328" t="str">
        <f t="array" ref="C137">INDEX('アイテム'!$Q$3:$R$114, MATCH($A$1,'アイテム'!$A$3:$A$114,0), MATCH(C127,'アイテム'!$C$2:$AQ$2,0))</f>
        <v>5</v>
      </c>
      <c r="D137" s="328">
        <f t="array" ref="D137">INDEX('アイテム'!$Q$3:$R$114, MATCH($A$1,'アイテム'!$A$3:$A$114,0), MATCH(D127,'アイテム'!$C$2:$AQ$2,0))</f>
        <v>23</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264</v>
      </c>
      <c r="B138" s="327" t="s">
        <v>226</v>
      </c>
      <c r="C138" s="328" t="str">
        <f t="array" ref="C138">INDEX('アイテム'!$S$3:$T$114, MATCH($A$1,'アイテム'!$A$3:$A$114,0), MATCH(C127,'アイテム'!$C$2:$AQ$2,0))</f>
        <v>7</v>
      </c>
      <c r="D138" s="328">
        <f t="array" ref="D138">INDEX('アイテム'!$S$3:$T$114, MATCH($A$1,'アイテム'!$A$3:$A$114,0), MATCH(D127,'アイテム'!$C$2:$AQ$2,0))</f>
        <v>24</v>
      </c>
      <c r="E138" s="322"/>
      <c r="F138" s="322"/>
      <c r="G138" s="114"/>
      <c r="H138" s="228"/>
      <c r="I138" s="228"/>
      <c r="J138" s="228"/>
      <c r="K138" s="118"/>
      <c r="L138" s="118"/>
      <c r="M138" s="118"/>
      <c r="N138" s="102"/>
      <c r="O138" s="102"/>
      <c r="P138" s="102"/>
      <c r="Q138" s="102"/>
      <c r="R138" s="118"/>
      <c r="S138" s="118"/>
      <c r="T138" s="118"/>
      <c r="U138" s="118"/>
      <c r="V138" s="118"/>
    </row>
    <row r="139" outlineLevel="1">
      <c r="A139" s="146"/>
      <c r="B139" s="327" t="s">
        <v>229</v>
      </c>
      <c r="C139" s="328" t="str">
        <f t="array" ref="C139">INDEX('アイテム'!$U$3:$V$114, MATCH($A$1,'アイテム'!$A$3:$A$114,0), MATCH(C127,'アイテム'!$C$2:$AQ$2,0))</f>
        <v>9</v>
      </c>
      <c r="D139" s="328">
        <f t="array" ref="D139">INDEX('アイテム'!$U$3:$V$114, MATCH($A$1,'アイテム'!$A$3:$A$114,0), MATCH(D127,'アイテム'!$C$2:$AQ$2,0))</f>
        <v>24</v>
      </c>
      <c r="E139" s="322"/>
      <c r="F139" s="322"/>
      <c r="G139" s="114"/>
      <c r="H139" s="228"/>
      <c r="I139" s="228"/>
      <c r="J139" s="228"/>
      <c r="K139" s="118"/>
      <c r="L139" s="118"/>
      <c r="M139" s="118"/>
      <c r="N139" s="102"/>
      <c r="O139" s="102"/>
      <c r="P139" s="102"/>
      <c r="Q139" s="102"/>
      <c r="R139" s="118"/>
      <c r="S139" s="118"/>
      <c r="T139" s="118"/>
      <c r="U139" s="118"/>
      <c r="V139" s="118"/>
    </row>
    <row r="140" outlineLevel="1">
      <c r="A140" s="146"/>
      <c r="B140" s="327" t="s">
        <v>233</v>
      </c>
      <c r="C140" s="328" t="str">
        <f t="array" ref="C140">INDEX('アイテム'!$W$3:$X$114, MATCH($A$1,'アイテム'!$A$3:$A$114,0), MATCH(C127,'アイテム'!$C$2:$AQ$2,0))</f>
        <v>11</v>
      </c>
      <c r="D140" s="328">
        <f t="array" ref="D140">INDEX('アイテム'!$W$3:$X$114, MATCH($A$1,'アイテム'!$A$3:$A$114,0), MATCH(D127,'アイテム'!$C$2:$AQ$2,0))</f>
        <v>23</v>
      </c>
      <c r="E140" s="322"/>
      <c r="F140" s="322"/>
      <c r="G140" s="114"/>
      <c r="H140" s="228"/>
      <c r="I140" s="228"/>
      <c r="J140" s="228"/>
      <c r="K140" s="118"/>
      <c r="L140" s="118"/>
      <c r="M140" s="118"/>
      <c r="N140" s="102"/>
      <c r="O140" s="102"/>
      <c r="P140" s="102"/>
      <c r="Q140" s="102"/>
      <c r="R140" s="118"/>
      <c r="S140" s="118"/>
      <c r="T140" s="118"/>
      <c r="U140" s="118"/>
      <c r="V140" s="118"/>
    </row>
    <row r="141" outlineLevel="1">
      <c r="A141" s="156"/>
      <c r="B141" s="327" t="s">
        <v>234</v>
      </c>
      <c r="C141" s="328" t="str">
        <f t="array" ref="C141">INDEX('アイテム'!$Y$3:$Z$114, MATCH($A$1,'アイテム'!$A$3:$A$114,0), MATCH(C127,'アイテム'!$C$2:$AQ$2,0))</f>
        <v>6</v>
      </c>
      <c r="D141" s="328">
        <f t="array" ref="D141">INDEX('アイテム'!$Y$3:$Z$114, MATCH($A$1,'アイテム'!$A$3:$A$114,0), MATCH(D127,'アイテム'!$C$2:$AQ$2,0))</f>
        <v>19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265</v>
      </c>
      <c r="B142" s="327" t="s">
        <v>226</v>
      </c>
      <c r="C142" s="328">
        <f t="array" ref="C142">INDEX('アイテム'!$AC$3:$AD$114, MATCH($A$1,'アイテム'!$A$3:$A$114,0), MATCH(C127,'アイテム'!$C$2:$AQ$2,0))</f>
        <v>16</v>
      </c>
      <c r="D142" s="328" t="str">
        <f t="array" ref="D142">INDEX('アイテム'!$AC$3:$AD$114, MATCH($A$1,'アイテム'!$A$3:$A$114,0), MATCH(D127,'アイテム'!$C$2:$AQ$2,0))</f>
        <v>30</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229</v>
      </c>
      <c r="C143" s="328">
        <f t="array" ref="C143">INDEX('アイテム'!$AE$3:$AF$114, MATCH($A$1,'アイテム'!$A$3:$A$114,0), MATCH(C127,'アイテム'!$C$2:$AQ$2,0))</f>
        <v>16</v>
      </c>
      <c r="D143" s="328" t="str">
        <f t="array" ref="D143">INDEX('アイテム'!$AE$3:$AF$114, MATCH($A$1,'アイテム'!$A$3:$A$114,0), MATCH(D127,'アイテム'!$C$2:$AQ$2,0))</f>
        <v>30</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233</v>
      </c>
      <c r="C144" s="328">
        <f t="array" ref="C144">INDEX('アイテム'!$AG$3:$AH$114, MATCH($A$1,'アイテム'!$A$3:$A$114,0), MATCH(C127,'アイテム'!$C$2:$AQ$2,0))</f>
        <v>11</v>
      </c>
      <c r="D144" s="328" t="str">
        <f t="array" ref="D144">INDEX('アイテム'!$AG$3:$AH$114, MATCH($A$1,'アイテム'!$A$3:$A$114,0), MATCH(D127,'アイテム'!$C$2:$AQ$2,0))</f>
        <v>22</v>
      </c>
      <c r="E144" s="322"/>
      <c r="F144" s="322"/>
      <c r="G144" s="114"/>
      <c r="H144" s="228"/>
      <c r="I144" s="228"/>
      <c r="J144" s="228"/>
      <c r="K144" s="118"/>
      <c r="L144" s="118"/>
      <c r="M144" s="118"/>
      <c r="N144" s="102"/>
      <c r="O144" s="102"/>
      <c r="P144" s="102"/>
      <c r="Q144" s="102"/>
      <c r="R144" s="118"/>
      <c r="S144" s="118"/>
      <c r="T144" s="118"/>
      <c r="U144" s="118"/>
      <c r="V144" s="118"/>
    </row>
    <row r="145" outlineLevel="1">
      <c r="A145" s="156"/>
      <c r="B145" s="327" t="s">
        <v>234</v>
      </c>
      <c r="C145" s="328">
        <f t="array" ref="C145">INDEX('アイテム'!$AI$3:$AJ$114, MATCH($A$1,'アイテム'!$A$3:$A$114,0), MATCH(C127,'アイテム'!$C$2:$AQ$2,0))</f>
        <v>11</v>
      </c>
      <c r="D145" s="328" t="str">
        <f t="array" ref="D145">INDEX('アイテム'!$AI$3:$AJ$114, MATCH($A$1,'アイテム'!$A$3:$A$114,0), MATCH(D127,'アイテム'!$C$2:$AQ$2,0))</f>
        <v>22</v>
      </c>
      <c r="E145" s="322"/>
      <c r="F145" s="322"/>
      <c r="G145" s="114"/>
      <c r="H145" s="228"/>
      <c r="I145" s="228"/>
      <c r="J145" s="228"/>
      <c r="K145" s="118"/>
      <c r="L145" s="118"/>
      <c r="M145" s="118"/>
      <c r="N145" s="102"/>
      <c r="O145" s="102"/>
      <c r="P145" s="102"/>
      <c r="Q145" s="102"/>
      <c r="R145" s="118"/>
      <c r="S145" s="118"/>
      <c r="T145" s="118"/>
      <c r="U145" s="118"/>
      <c r="V145" s="118"/>
    </row>
  </sheetData>
  <mergeCells count="142">
    <mergeCell ref="H36:J37"/>
    <mergeCell ref="H38:J40"/>
    <mergeCell ref="H41:J42"/>
    <mergeCell ref="H43:J45"/>
    <mergeCell ref="I49:I50"/>
    <mergeCell ref="J49:J50"/>
    <mergeCell ref="I53:I54"/>
    <mergeCell ref="J53:J54"/>
    <mergeCell ref="H58:J58"/>
    <mergeCell ref="H59:J60"/>
    <mergeCell ref="H61:J61"/>
    <mergeCell ref="H62:J63"/>
    <mergeCell ref="H64:J64"/>
    <mergeCell ref="H65:J65"/>
    <mergeCell ref="H66:J66"/>
    <mergeCell ref="H67:J67"/>
    <mergeCell ref="G78:J78"/>
    <mergeCell ref="G79:J80"/>
    <mergeCell ref="G81:J82"/>
    <mergeCell ref="G83:J84"/>
    <mergeCell ref="G85:J86"/>
    <mergeCell ref="K117:L117"/>
    <mergeCell ref="K120:L120"/>
    <mergeCell ref="K97:L97"/>
    <mergeCell ref="K98:K99"/>
    <mergeCell ref="K100:L100"/>
    <mergeCell ref="K101:K106"/>
    <mergeCell ref="K107:K110"/>
    <mergeCell ref="K111:L111"/>
    <mergeCell ref="K113:K116"/>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A24:B25"/>
    <mergeCell ref="A26:A29"/>
    <mergeCell ref="U26:U29"/>
    <mergeCell ref="H27:J27"/>
    <mergeCell ref="H28:J28"/>
    <mergeCell ref="A30:A31"/>
    <mergeCell ref="D30:D31"/>
    <mergeCell ref="H29:J29"/>
    <mergeCell ref="H30:J31"/>
    <mergeCell ref="A32:A33"/>
    <mergeCell ref="D32:D33"/>
    <mergeCell ref="H32:J33"/>
    <mergeCell ref="D34:D35"/>
    <mergeCell ref="H34:J35"/>
    <mergeCell ref="R48:V48"/>
    <mergeCell ref="R49:V50"/>
    <mergeCell ref="R51:V51"/>
    <mergeCell ref="R52:V52"/>
    <mergeCell ref="R53:V54"/>
    <mergeCell ref="R55:V55"/>
    <mergeCell ref="V59:V60"/>
    <mergeCell ref="U59:U60"/>
    <mergeCell ref="U62:U63"/>
    <mergeCell ref="V62:V63"/>
    <mergeCell ref="U67:U70"/>
    <mergeCell ref="V67:V70"/>
    <mergeCell ref="H68:J68"/>
    <mergeCell ref="H69:J70"/>
    <mergeCell ref="U30:U31"/>
    <mergeCell ref="U32:U33"/>
    <mergeCell ref="U34:U35"/>
    <mergeCell ref="U36:U37"/>
    <mergeCell ref="U38:U40"/>
    <mergeCell ref="U41:U42"/>
    <mergeCell ref="U43:U45"/>
    <mergeCell ref="A106:A111"/>
    <mergeCell ref="A112:A117"/>
    <mergeCell ref="A90:A92"/>
    <mergeCell ref="A93:A94"/>
    <mergeCell ref="A96:B97"/>
    <mergeCell ref="A98:A102"/>
    <mergeCell ref="A103:A105"/>
    <mergeCell ref="C110:C111"/>
    <mergeCell ref="D110:D111"/>
    <mergeCell ref="A34:A35"/>
    <mergeCell ref="A36:A37"/>
    <mergeCell ref="C36:C37"/>
    <mergeCell ref="D36:D37"/>
    <mergeCell ref="A38:A40"/>
    <mergeCell ref="D38:D40"/>
    <mergeCell ref="D41:D42"/>
    <mergeCell ref="A41:A42"/>
    <mergeCell ref="A43:A45"/>
    <mergeCell ref="A47:B48"/>
    <mergeCell ref="A49:A50"/>
    <mergeCell ref="A53:A54"/>
    <mergeCell ref="A57:B57"/>
    <mergeCell ref="A58:B58"/>
    <mergeCell ref="A59:A60"/>
    <mergeCell ref="A61:B61"/>
    <mergeCell ref="A62:A63"/>
    <mergeCell ref="A64:B64"/>
    <mergeCell ref="A66:B66"/>
    <mergeCell ref="A67:A70"/>
    <mergeCell ref="A72:B73"/>
    <mergeCell ref="D81:D82"/>
    <mergeCell ref="D83:D84"/>
    <mergeCell ref="D85:D86"/>
    <mergeCell ref="D43:D45"/>
    <mergeCell ref="D49:D50"/>
    <mergeCell ref="D53:D54"/>
    <mergeCell ref="D59:D60"/>
    <mergeCell ref="D62:D63"/>
    <mergeCell ref="D69:D70"/>
    <mergeCell ref="D79:D80"/>
    <mergeCell ref="A75:A77"/>
    <mergeCell ref="A78:B78"/>
    <mergeCell ref="A79:A80"/>
    <mergeCell ref="A81:A82"/>
    <mergeCell ref="A83:A84"/>
    <mergeCell ref="A85:A86"/>
    <mergeCell ref="A88:B89"/>
    <mergeCell ref="A128:A129"/>
    <mergeCell ref="A131:B131"/>
    <mergeCell ref="A132:A137"/>
    <mergeCell ref="A138:A141"/>
    <mergeCell ref="A142:A145"/>
    <mergeCell ref="C116:C117"/>
    <mergeCell ref="D116:D117"/>
    <mergeCell ref="A118:A124"/>
    <mergeCell ref="C123:C124"/>
    <mergeCell ref="D123:D124"/>
    <mergeCell ref="A126:B126"/>
    <mergeCell ref="A127:B127"/>
  </mergeCells>
  <conditionalFormatting sqref="K1:K15 K17:K58 K60:K64 K66 K68:K78 K80 K82 K84 K86:K121">
    <cfRule type="containsText" dxfId="0" priority="1" operator="containsText" text="361">
      <formula>NOT(ISERROR(SEARCH(("361"),(K1))))</formula>
    </cfRule>
  </conditionalFormatting>
  <conditionalFormatting sqref="K1:K15 K17:K58 K60:K64 K66 K68:K78 K80 K82 K84 K86:K121">
    <cfRule type="containsText" dxfId="1" priority="2" operator="containsText" text="363">
      <formula>NOT(ISERROR(SEARCH(("363"),(K1))))</formula>
    </cfRule>
  </conditionalFormatting>
  <conditionalFormatting sqref="K1:K15 K17:K58 K60:K64 K66 K68:K78 K80 K82 K84 K86:K121">
    <cfRule type="containsText" dxfId="1" priority="3" operator="containsText" text="365">
      <formula>NOT(ISERROR(SEARCH(("365"),(K1))))</formula>
    </cfRule>
  </conditionalFormatting>
  <conditionalFormatting sqref="K1:K15 K17:K58 K60:K64 K66 K68:K78 K80 K82 K84 K86:K121">
    <cfRule type="containsText" dxfId="1" priority="4" operator="containsText" text="366">
      <formula>NOT(ISERROR(SEARCH(("366"),(K1))))</formula>
    </cfRule>
  </conditionalFormatting>
  <conditionalFormatting sqref="K1:K15 K17:K58 K60:K64 K66 K68:K78 K80 K82 K84 K86:K121">
    <cfRule type="containsText" dxfId="1" priority="5" operator="containsText" text="367">
      <formula>NOT(ISERROR(SEARCH(("367"),(K1))))</formula>
    </cfRule>
  </conditionalFormatting>
  <conditionalFormatting sqref="P80 P82 P84 P86">
    <cfRule type="cellIs" dxfId="2" priority="6" operator="equal">
      <formula>"敵のみ"</formula>
    </cfRule>
  </conditionalFormatting>
  <conditionalFormatting sqref="C80 C82 C84 C86">
    <cfRule type="cellIs" dxfId="3" priority="7" operator="equal">
      <formula>"-"</formula>
    </cfRule>
  </conditionalFormatting>
  <conditionalFormatting sqref="O1:O58 O60:O64 O66 O68:O78 O80 O82 O84 O86:O145">
    <cfRule type="cellIs" dxfId="4" priority="8" operator="greaterThan">
      <formula>0</formula>
    </cfRule>
  </conditionalFormatting>
  <conditionalFormatting sqref="P1:Q58 P60:Q64 P66:Q66 P68:Q78 P80:Q80 P82:Q82 P84:Q84 P86:Q145">
    <cfRule type="cellIs" dxfId="5" priority="9" operator="lessThan">
      <formula>1</formula>
    </cfRule>
  </conditionalFormatting>
  <conditionalFormatting sqref="P1:Q58 P60:Q64 P66:Q66 P68:Q78 P80:Q80 P82:Q82 P84:Q84 P86:Q145">
    <cfRule type="cellIs" dxfId="4" priority="10" operator="greaterThan">
      <formula>1</formula>
    </cfRule>
  </conditionalFormatting>
  <conditionalFormatting sqref="N25:N58 N60:N64 N66 N68:N78 N80 N82 N84 N86">
    <cfRule type="cellIs" dxfId="6" priority="11" operator="greaterThan">
      <formula>0</formula>
    </cfRule>
  </conditionalFormatting>
  <conditionalFormatting sqref="N1:N15 N17:N58 N60:N64 N66 N68:N78 N80 N82 N84 N86:N145">
    <cfRule type="containsText" dxfId="6" priority="12" operator="containsText" text="/">
      <formula>NOT(ISERROR(SEARCH(("/"),(N1))))</formula>
    </cfRule>
  </conditionalFormatting>
  <drawing r:id="rId2"/>
  <legacyDrawing r:id="rId3"/>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36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505">
        <v>55.0</v>
      </c>
      <c r="B1" s="2506"/>
      <c r="C1" s="2507" t="str">
        <f>IMAGE(VLOOKUP($A$1,Fighters!A2:AI114,12,FALSE),1)</f>
        <v>#REF!</v>
      </c>
      <c r="D1" s="2508"/>
      <c r="E1" s="2508"/>
      <c r="F1" s="2508"/>
      <c r="G1" s="2509"/>
      <c r="H1" s="2510"/>
      <c r="I1" s="2508"/>
      <c r="J1" s="2509"/>
      <c r="K1" s="2511"/>
      <c r="L1" s="2508"/>
      <c r="M1" s="2509"/>
      <c r="N1" s="2512"/>
      <c r="O1" s="2512"/>
      <c r="P1" s="2512"/>
      <c r="Q1" s="2512"/>
      <c r="R1" s="2513"/>
      <c r="S1" s="2513"/>
      <c r="T1" s="2513"/>
      <c r="U1" s="2513"/>
      <c r="V1" s="2513"/>
    </row>
    <row r="2">
      <c r="A2" s="2514" t="str">
        <f>VLOOKUP($A$1,Fighters!$A$2:$AI$81,6,FALSE)</f>
        <v>#fbe36b</v>
      </c>
      <c r="B2" s="2506"/>
      <c r="C2" s="2515"/>
      <c r="G2" s="2516"/>
      <c r="H2" s="2517"/>
      <c r="I2" s="2518"/>
      <c r="J2" s="2519"/>
      <c r="K2" s="2517"/>
      <c r="L2" s="2518"/>
      <c r="M2" s="2519"/>
      <c r="N2" s="2512"/>
      <c r="O2" s="2512"/>
      <c r="P2" s="2512"/>
      <c r="Q2" s="2512"/>
      <c r="R2" s="2513"/>
      <c r="S2" s="2513"/>
      <c r="T2" s="2513"/>
      <c r="U2" s="2513"/>
      <c r="V2" s="2513"/>
    </row>
    <row r="3">
      <c r="A3" s="2514" t="str">
        <f>VLOOKUP($A$1,Fighters!$A$2:$AI$81,14,FALSE)</f>
        <v>55. パックマン</v>
      </c>
      <c r="B3" s="2506"/>
      <c r="C3" s="2515"/>
      <c r="G3" s="2516"/>
      <c r="H3" s="2520"/>
      <c r="I3" s="2520"/>
      <c r="J3" s="2520"/>
      <c r="K3" s="2521"/>
      <c r="L3" s="2521"/>
      <c r="M3" s="2521"/>
      <c r="N3" s="2512"/>
      <c r="O3" s="2512"/>
      <c r="P3" s="2512"/>
      <c r="Q3" s="2512"/>
      <c r="R3" s="2522"/>
      <c r="S3" s="2513"/>
      <c r="T3" s="2513"/>
      <c r="U3" s="2513"/>
      <c r="V3" s="2513"/>
    </row>
    <row r="4">
      <c r="A4" s="2514" t="str">
        <f>VLOOKUP($A$1,Fighters!$A$2:$AI$81,13,FALSE)</f>
        <v>0</v>
      </c>
      <c r="B4" s="2506"/>
      <c r="C4" s="2515"/>
      <c r="G4" s="2516"/>
      <c r="H4" s="2523"/>
      <c r="I4" s="2523"/>
      <c r="J4" s="2520"/>
      <c r="K4" s="2521"/>
      <c r="L4" s="2521"/>
      <c r="M4" s="2521"/>
      <c r="N4" s="2512"/>
      <c r="O4" s="2512"/>
      <c r="P4" s="2512"/>
      <c r="Q4" s="2512"/>
      <c r="R4" s="2522"/>
      <c r="S4" s="2513"/>
      <c r="T4" s="2513"/>
      <c r="U4" s="2513"/>
      <c r="V4" s="2513"/>
    </row>
    <row r="5" ht="16.5" customHeight="1">
      <c r="A5" s="2505"/>
      <c r="B5" s="2506"/>
      <c r="C5" s="2515"/>
      <c r="G5" s="2516"/>
      <c r="H5" s="2524"/>
      <c r="I5" s="2524"/>
      <c r="J5" s="2525"/>
      <c r="K5" s="2526"/>
      <c r="L5" s="2527"/>
      <c r="M5" s="2527"/>
      <c r="N5" s="2512"/>
      <c r="O5" s="2512"/>
      <c r="P5" s="2512"/>
      <c r="Q5" s="2512"/>
      <c r="R5" s="2522"/>
      <c r="S5" s="2513"/>
      <c r="T5" s="2513"/>
      <c r="U5" s="2513"/>
      <c r="V5" s="2513"/>
    </row>
    <row r="6">
      <c r="A6" s="2506"/>
      <c r="B6" s="2506"/>
      <c r="C6" s="2515"/>
      <c r="G6" s="2516"/>
      <c r="H6" s="2523"/>
      <c r="I6" s="2528" t="s">
        <v>39</v>
      </c>
      <c r="J6" s="2526"/>
      <c r="K6" s="2529"/>
      <c r="L6" s="2527"/>
      <c r="M6" s="2527"/>
      <c r="N6" s="2512"/>
      <c r="O6" s="2512"/>
      <c r="P6" s="2512"/>
      <c r="Q6" s="2512"/>
      <c r="R6" s="2522"/>
      <c r="S6" s="2513"/>
      <c r="T6" s="2513"/>
      <c r="U6" s="2513"/>
      <c r="V6" s="2513"/>
    </row>
    <row r="7">
      <c r="A7" s="2506"/>
      <c r="B7" s="2506"/>
      <c r="C7" s="2515"/>
      <c r="G7" s="2516"/>
      <c r="H7" s="2524"/>
      <c r="I7" s="2524"/>
      <c r="J7" s="2526"/>
      <c r="K7" s="2529"/>
      <c r="L7" s="2527"/>
      <c r="M7" s="2527"/>
      <c r="N7" s="2512"/>
      <c r="O7" s="2512"/>
      <c r="P7" s="2512"/>
      <c r="Q7" s="2512"/>
      <c r="R7" s="2522"/>
      <c r="S7" s="2513"/>
      <c r="T7" s="2513"/>
      <c r="U7" s="2513"/>
      <c r="V7" s="2513"/>
    </row>
    <row r="8">
      <c r="A8" s="2506"/>
      <c r="B8" s="2506"/>
      <c r="C8" s="2515"/>
      <c r="G8" s="2516"/>
      <c r="H8" s="2530">
        <v>44379.844803541666</v>
      </c>
      <c r="I8" s="2508"/>
      <c r="J8" s="2509"/>
      <c r="K8" s="2526"/>
      <c r="L8" s="2527"/>
      <c r="M8" s="2527"/>
      <c r="N8" s="2512"/>
      <c r="O8" s="2512"/>
      <c r="P8" s="2512"/>
      <c r="Q8" s="2512"/>
      <c r="R8" s="2522"/>
      <c r="S8" s="2513"/>
      <c r="T8" s="2513"/>
      <c r="U8" s="2513"/>
      <c r="V8" s="2513"/>
    </row>
    <row r="9">
      <c r="A9" s="2506"/>
      <c r="B9" s="2506"/>
      <c r="C9" s="2515"/>
      <c r="G9" s="2516"/>
      <c r="H9" s="2517"/>
      <c r="I9" s="2518"/>
      <c r="J9" s="2519"/>
      <c r="K9" s="2513"/>
      <c r="L9" s="2512"/>
      <c r="M9" s="2512"/>
      <c r="N9" s="2512"/>
      <c r="O9" s="2512"/>
      <c r="P9" s="2512"/>
      <c r="Q9" s="2512"/>
      <c r="R9" s="2522"/>
      <c r="S9" s="2513"/>
      <c r="T9" s="2513"/>
      <c r="U9" s="2513"/>
      <c r="V9" s="2513"/>
    </row>
    <row r="10">
      <c r="A10" s="2506"/>
      <c r="B10" s="2506"/>
      <c r="C10" s="2515"/>
      <c r="G10" s="2516"/>
      <c r="H10" s="2531"/>
      <c r="I10" s="2531"/>
      <c r="J10" s="2513"/>
      <c r="K10" s="2513"/>
      <c r="L10" s="2512"/>
      <c r="M10" s="2512"/>
      <c r="N10" s="2512"/>
      <c r="O10" s="2512"/>
      <c r="P10" s="2512"/>
      <c r="Q10" s="2512"/>
      <c r="R10" s="2522"/>
      <c r="S10" s="2513"/>
      <c r="T10" s="2513"/>
      <c r="U10" s="2513"/>
      <c r="V10" s="2513"/>
    </row>
    <row r="11">
      <c r="A11" s="2532" t="s">
        <v>40</v>
      </c>
      <c r="B11" s="2509"/>
      <c r="C11" s="2515"/>
      <c r="G11" s="2516"/>
      <c r="H11" s="2524"/>
      <c r="I11" s="2524"/>
      <c r="J11" s="2513"/>
      <c r="K11" s="2513"/>
      <c r="L11" s="2512"/>
      <c r="M11" s="2512"/>
      <c r="N11" s="2512"/>
      <c r="O11" s="2512"/>
      <c r="P11" s="2512"/>
      <c r="Q11" s="2512"/>
      <c r="R11" s="2522"/>
      <c r="S11" s="2513"/>
      <c r="T11" s="2513"/>
      <c r="U11" s="2513"/>
      <c r="V11" s="2513"/>
    </row>
    <row r="12">
      <c r="A12" s="2517"/>
      <c r="B12" s="2519"/>
      <c r="C12" s="2517"/>
      <c r="D12" s="2518"/>
      <c r="E12" s="2518"/>
      <c r="F12" s="2518"/>
      <c r="G12" s="2519"/>
      <c r="H12" s="2533"/>
      <c r="I12" s="2533"/>
      <c r="J12" s="2506"/>
      <c r="K12" s="2506"/>
      <c r="L12" s="2512"/>
      <c r="M12" s="2512"/>
      <c r="N12" s="2512"/>
      <c r="O12" s="2512"/>
      <c r="P12" s="2512"/>
      <c r="Q12" s="2512"/>
      <c r="R12" s="2522"/>
      <c r="S12" s="2513"/>
      <c r="T12" s="2513"/>
      <c r="U12" s="2513"/>
      <c r="V12" s="251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95 [44th]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42F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1.87 [51st]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1.097 [49th]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59F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34.1 [28th]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1.672 [48th]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0.116 [20th]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16.48 [35th]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1.092 [39th]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34.1 [34th]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1.35 [71st]</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2.16 [71st]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0.072 [79th]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73</v>
      </c>
      <c r="D26" s="139" t="s">
        <v>2688</v>
      </c>
      <c r="E26" s="139" t="s">
        <v>176</v>
      </c>
      <c r="F26" s="138">
        <v>2.4</v>
      </c>
      <c r="G26" s="139" t="s">
        <v>60</v>
      </c>
      <c r="H26" s="140" t="s">
        <v>3933</v>
      </c>
      <c r="I26" s="110"/>
      <c r="J26" s="109"/>
      <c r="K26" s="138"/>
      <c r="L26" s="282"/>
      <c r="M26" s="363"/>
      <c r="N26" s="363"/>
      <c r="O26" s="145">
        <v>0.0</v>
      </c>
      <c r="P26" s="145">
        <v>1.0</v>
      </c>
      <c r="Q26" s="145">
        <v>1.0</v>
      </c>
      <c r="R26" s="100"/>
      <c r="S26" s="100"/>
      <c r="T26" s="100"/>
      <c r="U26" s="145" t="s">
        <v>69</v>
      </c>
      <c r="V26" s="100"/>
    </row>
    <row r="27" outlineLevel="1">
      <c r="A27" s="146"/>
      <c r="B27" s="147" t="s">
        <v>63</v>
      </c>
      <c r="C27" s="216" t="s">
        <v>73</v>
      </c>
      <c r="D27" s="216" t="s">
        <v>65</v>
      </c>
      <c r="E27" s="216" t="s">
        <v>176</v>
      </c>
      <c r="F27" s="138">
        <v>2.4</v>
      </c>
      <c r="G27" s="139" t="s">
        <v>60</v>
      </c>
      <c r="H27" s="140" t="s">
        <v>2446</v>
      </c>
      <c r="I27" s="110"/>
      <c r="J27" s="109"/>
      <c r="K27" s="282"/>
      <c r="L27" s="282"/>
      <c r="M27" s="363"/>
      <c r="N27" s="363"/>
      <c r="O27" s="145">
        <v>0.0</v>
      </c>
      <c r="P27" s="145">
        <v>1.0</v>
      </c>
      <c r="Q27" s="145">
        <v>1.0</v>
      </c>
      <c r="R27" s="100"/>
      <c r="S27" s="100"/>
      <c r="T27" s="100"/>
      <c r="U27" s="145" t="s">
        <v>76</v>
      </c>
      <c r="V27" s="100"/>
    </row>
    <row r="28" outlineLevel="1">
      <c r="A28" s="156"/>
      <c r="B28" s="147" t="s">
        <v>70</v>
      </c>
      <c r="C28" s="216" t="s">
        <v>717</v>
      </c>
      <c r="D28" s="216" t="s">
        <v>72</v>
      </c>
      <c r="E28" s="216" t="s">
        <v>73</v>
      </c>
      <c r="F28" s="138">
        <v>4.8</v>
      </c>
      <c r="G28" s="139" t="s">
        <v>75</v>
      </c>
      <c r="H28" s="366"/>
      <c r="I28" s="110"/>
      <c r="J28" s="109"/>
      <c r="K28" s="282"/>
      <c r="L28" s="282"/>
      <c r="M28" s="363"/>
      <c r="N28" s="363"/>
      <c r="O28" s="145">
        <v>0.0</v>
      </c>
      <c r="P28" s="145">
        <v>1.0</v>
      </c>
      <c r="Q28" s="145">
        <v>1.0</v>
      </c>
      <c r="R28" s="100"/>
      <c r="S28" s="100"/>
      <c r="T28" s="100"/>
      <c r="U28" s="145" t="s">
        <v>76</v>
      </c>
      <c r="V28" s="100"/>
    </row>
    <row r="29" outlineLevel="1">
      <c r="A29" s="133" t="s">
        <v>77</v>
      </c>
      <c r="B29" s="147" t="s">
        <v>3508</v>
      </c>
      <c r="C29" s="216" t="s">
        <v>3934</v>
      </c>
      <c r="D29" s="195" t="s">
        <v>146</v>
      </c>
      <c r="E29" s="216" t="s">
        <v>209</v>
      </c>
      <c r="F29" s="138">
        <v>0.0</v>
      </c>
      <c r="G29" s="553"/>
      <c r="H29" s="368"/>
      <c r="I29" s="164"/>
      <c r="J29" s="104"/>
      <c r="K29" s="138"/>
      <c r="L29" s="282"/>
      <c r="M29" s="363"/>
      <c r="N29" s="363"/>
      <c r="O29" s="145">
        <v>0.0</v>
      </c>
      <c r="P29" s="145">
        <v>1.0</v>
      </c>
      <c r="Q29" s="145">
        <v>1.0</v>
      </c>
      <c r="R29" s="100"/>
      <c r="S29" s="100"/>
      <c r="T29" s="100"/>
      <c r="U29" s="166" t="s">
        <v>69</v>
      </c>
      <c r="V29" s="100"/>
    </row>
    <row r="30" outlineLevel="1">
      <c r="A30" s="146"/>
      <c r="B30" s="147" t="s">
        <v>903</v>
      </c>
      <c r="C30" s="216" t="s">
        <v>3935</v>
      </c>
      <c r="D30" s="210"/>
      <c r="E30" s="216" t="s">
        <v>176</v>
      </c>
      <c r="F30" s="138">
        <v>2.4</v>
      </c>
      <c r="G30" s="139" t="s">
        <v>60</v>
      </c>
      <c r="H30" s="212"/>
      <c r="J30" s="210"/>
      <c r="K30" s="282"/>
      <c r="L30" s="282"/>
      <c r="M30" s="363"/>
      <c r="N30" s="363"/>
      <c r="O30" s="145">
        <v>0.0</v>
      </c>
      <c r="P30" s="145">
        <v>1.0</v>
      </c>
      <c r="Q30" s="145">
        <v>1.0</v>
      </c>
      <c r="R30" s="100"/>
      <c r="S30" s="100"/>
      <c r="T30" s="100"/>
      <c r="U30" s="146"/>
      <c r="V30" s="100"/>
    </row>
    <row r="31" outlineLevel="1">
      <c r="A31" s="156"/>
      <c r="B31" s="147" t="s">
        <v>520</v>
      </c>
      <c r="C31" s="216" t="s">
        <v>79</v>
      </c>
      <c r="D31" s="107"/>
      <c r="E31" s="216" t="s">
        <v>73</v>
      </c>
      <c r="F31" s="138">
        <v>4.8</v>
      </c>
      <c r="G31" s="139" t="s">
        <v>75</v>
      </c>
      <c r="H31" s="106"/>
      <c r="I31" s="168"/>
      <c r="J31" s="107"/>
      <c r="K31" s="282"/>
      <c r="L31" s="282"/>
      <c r="M31" s="363"/>
      <c r="N31" s="363"/>
      <c r="O31" s="145">
        <v>1.0</v>
      </c>
      <c r="P31" s="145">
        <v>1.0</v>
      </c>
      <c r="Q31" s="145">
        <v>1.0</v>
      </c>
      <c r="R31" s="100"/>
      <c r="S31" s="100"/>
      <c r="T31" s="100"/>
      <c r="U31" s="156"/>
      <c r="V31" s="100"/>
    </row>
    <row r="32" outlineLevel="1">
      <c r="A32" s="170" t="s">
        <v>89</v>
      </c>
      <c r="B32" s="147" t="s">
        <v>90</v>
      </c>
      <c r="C32" s="216" t="s">
        <v>91</v>
      </c>
      <c r="D32" s="216" t="s">
        <v>164</v>
      </c>
      <c r="E32" s="216" t="s">
        <v>80</v>
      </c>
      <c r="F32" s="138">
        <v>9.6</v>
      </c>
      <c r="G32" s="139" t="s">
        <v>123</v>
      </c>
      <c r="H32" s="366"/>
      <c r="I32" s="110"/>
      <c r="J32" s="109"/>
      <c r="K32" s="138"/>
      <c r="L32" s="282"/>
      <c r="M32" s="363"/>
      <c r="N32" s="363"/>
      <c r="O32" s="145">
        <v>0.0</v>
      </c>
      <c r="P32" s="145">
        <v>1.0</v>
      </c>
      <c r="Q32" s="145">
        <v>1.0</v>
      </c>
      <c r="R32" s="100"/>
      <c r="S32" s="100"/>
      <c r="T32" s="100"/>
      <c r="U32" s="145" t="s">
        <v>62</v>
      </c>
      <c r="V32" s="100"/>
    </row>
    <row r="33" outlineLevel="1">
      <c r="A33" s="170" t="s">
        <v>97</v>
      </c>
      <c r="B33" s="160"/>
      <c r="C33" s="216" t="s">
        <v>975</v>
      </c>
      <c r="D33" s="216" t="s">
        <v>268</v>
      </c>
      <c r="E33" s="216" t="s">
        <v>2134</v>
      </c>
      <c r="F33" s="138">
        <v>7.8</v>
      </c>
      <c r="G33" s="139" t="s">
        <v>95</v>
      </c>
      <c r="H33" s="140" t="s">
        <v>3936</v>
      </c>
      <c r="I33" s="110"/>
      <c r="J33" s="109"/>
      <c r="K33" s="282"/>
      <c r="L33" s="282"/>
      <c r="M33" s="363"/>
      <c r="N33" s="363"/>
      <c r="O33" s="145">
        <v>0.0</v>
      </c>
      <c r="P33" s="145">
        <v>1.0</v>
      </c>
      <c r="Q33" s="145">
        <v>1.0</v>
      </c>
      <c r="R33" s="100"/>
      <c r="S33" s="100"/>
      <c r="T33" s="100"/>
      <c r="U33" s="145" t="s">
        <v>69</v>
      </c>
      <c r="V33" s="100"/>
    </row>
    <row r="34" outlineLevel="1">
      <c r="A34" s="170" t="s">
        <v>103</v>
      </c>
      <c r="B34" s="160"/>
      <c r="C34" s="216" t="s">
        <v>277</v>
      </c>
      <c r="D34" s="216" t="s">
        <v>876</v>
      </c>
      <c r="E34" s="216" t="s">
        <v>86</v>
      </c>
      <c r="F34" s="138">
        <v>7.199999999999999</v>
      </c>
      <c r="G34" s="139" t="s">
        <v>102</v>
      </c>
      <c r="H34" s="159"/>
      <c r="I34" s="110"/>
      <c r="J34" s="109"/>
      <c r="K34" s="145"/>
      <c r="L34" s="363"/>
      <c r="M34" s="363"/>
      <c r="N34" s="363"/>
      <c r="O34" s="145">
        <v>0.0</v>
      </c>
      <c r="P34" s="145">
        <v>1.0</v>
      </c>
      <c r="Q34" s="145">
        <v>1.0</v>
      </c>
      <c r="R34" s="100"/>
      <c r="S34" s="100"/>
      <c r="T34" s="100"/>
      <c r="U34" s="145" t="s">
        <v>69</v>
      </c>
      <c r="V34" s="100"/>
    </row>
    <row r="35" outlineLevel="1">
      <c r="A35" s="133" t="s">
        <v>109</v>
      </c>
      <c r="B35" s="147"/>
      <c r="C35" s="216" t="s">
        <v>1137</v>
      </c>
      <c r="D35" s="195" t="s">
        <v>634</v>
      </c>
      <c r="E35" s="216" t="s">
        <v>3937</v>
      </c>
      <c r="F35" s="138" t="s">
        <v>3938</v>
      </c>
      <c r="G35" s="139" t="s">
        <v>1302</v>
      </c>
      <c r="H35" s="163" t="s">
        <v>3939</v>
      </c>
      <c r="I35" s="164"/>
      <c r="J35" s="104"/>
      <c r="K35" s="282"/>
      <c r="L35" s="282"/>
      <c r="M35" s="363"/>
      <c r="N35" s="363"/>
      <c r="O35" s="145">
        <v>0.0</v>
      </c>
      <c r="P35" s="145">
        <v>1.0</v>
      </c>
      <c r="Q35" s="145">
        <v>1.0</v>
      </c>
      <c r="R35" s="100"/>
      <c r="S35" s="100"/>
      <c r="T35" s="100"/>
      <c r="U35" s="166" t="s">
        <v>62</v>
      </c>
      <c r="V35" s="100"/>
    </row>
    <row r="36" outlineLevel="1">
      <c r="A36" s="156"/>
      <c r="B36" s="147" t="s">
        <v>84</v>
      </c>
      <c r="C36" s="216" t="s">
        <v>1998</v>
      </c>
      <c r="D36" s="107"/>
      <c r="E36" s="216" t="s">
        <v>274</v>
      </c>
      <c r="F36" s="138">
        <v>10.799999999999999</v>
      </c>
      <c r="G36" s="139" t="s">
        <v>95</v>
      </c>
      <c r="H36" s="106"/>
      <c r="I36" s="168"/>
      <c r="J36" s="107"/>
      <c r="K36" s="282"/>
      <c r="L36" s="282"/>
      <c r="M36" s="363"/>
      <c r="N36" s="363"/>
      <c r="O36" s="145">
        <v>0.0</v>
      </c>
      <c r="P36" s="145">
        <v>1.0</v>
      </c>
      <c r="Q36" s="145">
        <v>1.0</v>
      </c>
      <c r="R36" s="100"/>
      <c r="S36" s="100"/>
      <c r="T36" s="100"/>
      <c r="U36" s="156"/>
      <c r="V36" s="100"/>
    </row>
    <row r="37" outlineLevel="1">
      <c r="A37" s="133" t="s">
        <v>116</v>
      </c>
      <c r="B37" s="147" t="s">
        <v>125</v>
      </c>
      <c r="C37" s="216" t="s">
        <v>232</v>
      </c>
      <c r="D37" s="195" t="s">
        <v>185</v>
      </c>
      <c r="E37" s="216" t="s">
        <v>204</v>
      </c>
      <c r="F37" s="138">
        <v>3.5999999999999996</v>
      </c>
      <c r="G37" s="139" t="s">
        <v>60</v>
      </c>
      <c r="H37" s="163" t="s">
        <v>3940</v>
      </c>
      <c r="I37" s="164"/>
      <c r="J37" s="104"/>
      <c r="K37" s="363"/>
      <c r="L37" s="363"/>
      <c r="M37" s="363"/>
      <c r="N37" s="363"/>
      <c r="O37" s="145">
        <v>0.0</v>
      </c>
      <c r="P37" s="145">
        <v>1.0</v>
      </c>
      <c r="Q37" s="145">
        <v>1.0</v>
      </c>
      <c r="R37" s="100"/>
      <c r="S37" s="100"/>
      <c r="T37" s="100"/>
      <c r="U37" s="166" t="s">
        <v>62</v>
      </c>
      <c r="V37" s="100"/>
    </row>
    <row r="38" outlineLevel="1">
      <c r="A38" s="146"/>
      <c r="B38" s="147" t="s">
        <v>131</v>
      </c>
      <c r="C38" s="216" t="s">
        <v>460</v>
      </c>
      <c r="D38" s="210"/>
      <c r="E38" s="216" t="s">
        <v>119</v>
      </c>
      <c r="F38" s="138">
        <v>16.8</v>
      </c>
      <c r="G38" s="139" t="s">
        <v>121</v>
      </c>
      <c r="H38" s="212"/>
      <c r="J38" s="210"/>
      <c r="K38" s="363"/>
      <c r="L38" s="363"/>
      <c r="M38" s="363"/>
      <c r="N38" s="363"/>
      <c r="O38" s="145">
        <v>0.0</v>
      </c>
      <c r="P38" s="145">
        <v>1.0</v>
      </c>
      <c r="Q38" s="145">
        <v>1.0</v>
      </c>
      <c r="R38" s="100"/>
      <c r="S38" s="100"/>
      <c r="T38" s="100"/>
      <c r="U38" s="146"/>
      <c r="V38" s="100"/>
    </row>
    <row r="39" outlineLevel="1">
      <c r="A39" s="156"/>
      <c r="B39" s="147" t="s">
        <v>432</v>
      </c>
      <c r="C39" s="216" t="s">
        <v>1021</v>
      </c>
      <c r="D39" s="107"/>
      <c r="E39" s="216" t="s">
        <v>80</v>
      </c>
      <c r="F39" s="138">
        <v>9.6</v>
      </c>
      <c r="G39" s="139" t="s">
        <v>102</v>
      </c>
      <c r="H39" s="106"/>
      <c r="I39" s="168"/>
      <c r="J39" s="107"/>
      <c r="K39" s="363"/>
      <c r="L39" s="363"/>
      <c r="M39" s="363"/>
      <c r="N39" s="363"/>
      <c r="O39" s="145">
        <v>0.0</v>
      </c>
      <c r="P39" s="145">
        <v>1.0</v>
      </c>
      <c r="Q39" s="145">
        <v>1.0</v>
      </c>
      <c r="R39" s="100"/>
      <c r="S39" s="100"/>
      <c r="T39" s="100"/>
      <c r="U39" s="156"/>
      <c r="V39" s="100"/>
    </row>
    <row r="40" outlineLevel="1">
      <c r="A40" s="133" t="s">
        <v>124</v>
      </c>
      <c r="B40" s="147"/>
      <c r="C40" s="216" t="s">
        <v>460</v>
      </c>
      <c r="D40" s="195" t="s">
        <v>289</v>
      </c>
      <c r="E40" s="216" t="s">
        <v>228</v>
      </c>
      <c r="F40" s="138">
        <v>15.6</v>
      </c>
      <c r="G40" s="139" t="s">
        <v>275</v>
      </c>
      <c r="H40" s="163" t="s">
        <v>3941</v>
      </c>
      <c r="I40" s="164"/>
      <c r="J40" s="104"/>
      <c r="K40" s="282"/>
      <c r="L40" s="282"/>
      <c r="M40" s="363"/>
      <c r="N40" s="363"/>
      <c r="O40" s="145">
        <v>0.0</v>
      </c>
      <c r="P40" s="145">
        <v>1.0</v>
      </c>
      <c r="Q40" s="145">
        <v>1.0</v>
      </c>
      <c r="R40" s="100"/>
      <c r="S40" s="100"/>
      <c r="T40" s="100"/>
      <c r="U40" s="166" t="s">
        <v>62</v>
      </c>
      <c r="V40" s="100"/>
    </row>
    <row r="41" outlineLevel="1">
      <c r="A41" s="156"/>
      <c r="B41" s="147" t="s">
        <v>84</v>
      </c>
      <c r="C41" s="216" t="s">
        <v>1021</v>
      </c>
      <c r="D41" s="107"/>
      <c r="E41" s="216" t="s">
        <v>93</v>
      </c>
      <c r="F41" s="138">
        <v>8.4</v>
      </c>
      <c r="G41" s="139" t="s">
        <v>102</v>
      </c>
      <c r="H41" s="106"/>
      <c r="I41" s="168"/>
      <c r="J41" s="107"/>
      <c r="K41" s="282"/>
      <c r="L41" s="282"/>
      <c r="M41" s="363"/>
      <c r="N41" s="363"/>
      <c r="O41" s="145">
        <v>0.0</v>
      </c>
      <c r="P41" s="145">
        <v>1.0</v>
      </c>
      <c r="Q41" s="145">
        <v>1.0</v>
      </c>
      <c r="R41" s="100"/>
      <c r="S41" s="100"/>
      <c r="T41" s="100"/>
      <c r="U41" s="156"/>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187" t="str">
        <f>'テンプレート'!R56</f>
        <v>備考</v>
      </c>
      <c r="S44" s="110"/>
      <c r="T44" s="110"/>
      <c r="U44" s="110"/>
      <c r="V44" s="110"/>
    </row>
    <row r="45" outlineLevel="1">
      <c r="A45" s="188" t="s">
        <v>144</v>
      </c>
      <c r="B45" s="373"/>
      <c r="C45" s="239" t="s">
        <v>818</v>
      </c>
      <c r="D45" s="374" t="s">
        <v>455</v>
      </c>
      <c r="E45" s="401" t="s">
        <v>128</v>
      </c>
      <c r="F45" s="193">
        <v>12.0</v>
      </c>
      <c r="G45" s="193">
        <v>10.2</v>
      </c>
      <c r="H45" s="138" t="s">
        <v>147</v>
      </c>
      <c r="I45" s="454" t="str">
        <f t="array" ref="I45">INDEX('空中攻撃'!$O$3:$AA$109, MATCH($A$1,'空中攻撃'!$A$3:$A$109,0), MATCH(A45,'空中攻撃'!$O$2:$S$2,0))</f>
        <v>7</v>
      </c>
      <c r="J45" s="195" t="s">
        <v>1530</v>
      </c>
      <c r="K45" s="138"/>
      <c r="L45" s="282"/>
      <c r="M45" s="363"/>
      <c r="N45" s="363"/>
      <c r="O45" s="145">
        <v>0.0</v>
      </c>
      <c r="P45" s="145">
        <v>1.0</v>
      </c>
      <c r="Q45" s="145">
        <v>1.0</v>
      </c>
      <c r="R45" s="619"/>
      <c r="S45" s="164"/>
      <c r="T45" s="164"/>
      <c r="U45" s="164"/>
      <c r="V45" s="104"/>
    </row>
    <row r="46" outlineLevel="1">
      <c r="A46" s="146"/>
      <c r="B46" s="373" t="s">
        <v>187</v>
      </c>
      <c r="C46" s="239" t="s">
        <v>543</v>
      </c>
      <c r="D46" s="210"/>
      <c r="E46" s="401" t="s">
        <v>1855</v>
      </c>
      <c r="F46" s="193">
        <v>10.2</v>
      </c>
      <c r="G46" s="193">
        <v>8.67</v>
      </c>
      <c r="H46" s="138" t="s">
        <v>147</v>
      </c>
      <c r="I46" s="146"/>
      <c r="J46" s="210"/>
      <c r="K46" s="138"/>
      <c r="L46" s="282"/>
      <c r="M46" s="363"/>
      <c r="N46" s="363"/>
      <c r="O46" s="145"/>
      <c r="P46" s="145"/>
      <c r="Q46" s="145"/>
      <c r="R46" s="212"/>
      <c r="V46" s="210"/>
    </row>
    <row r="47" outlineLevel="1">
      <c r="A47" s="156"/>
      <c r="B47" s="373" t="s">
        <v>189</v>
      </c>
      <c r="C47" s="239" t="s">
        <v>2157</v>
      </c>
      <c r="D47" s="107"/>
      <c r="E47" s="239" t="s">
        <v>86</v>
      </c>
      <c r="F47" s="193">
        <v>7.199999999999999</v>
      </c>
      <c r="G47" s="193">
        <v>6.12</v>
      </c>
      <c r="H47" s="138" t="s">
        <v>60</v>
      </c>
      <c r="I47" s="156"/>
      <c r="J47" s="107"/>
      <c r="K47" s="138"/>
      <c r="L47" s="282"/>
      <c r="M47" s="363"/>
      <c r="N47" s="363"/>
      <c r="O47" s="145">
        <v>0.0</v>
      </c>
      <c r="P47" s="145">
        <v>1.0</v>
      </c>
      <c r="Q47" s="145">
        <v>1.0</v>
      </c>
      <c r="R47" s="106"/>
      <c r="S47" s="168"/>
      <c r="T47" s="168"/>
      <c r="U47" s="168"/>
      <c r="V47" s="107"/>
    </row>
    <row r="48" outlineLevel="1">
      <c r="A48" s="213" t="s">
        <v>151</v>
      </c>
      <c r="B48" s="373"/>
      <c r="C48" s="239" t="s">
        <v>713</v>
      </c>
      <c r="D48" s="380">
        <v>25.0</v>
      </c>
      <c r="E48" s="239" t="s">
        <v>3942</v>
      </c>
      <c r="F48" s="193">
        <v>9.18</v>
      </c>
      <c r="G48" s="193">
        <v>7.803000000000001</v>
      </c>
      <c r="H48" s="138" t="s">
        <v>147</v>
      </c>
      <c r="I48" s="621" t="str">
        <f t="array" ref="I48">INDEX('空中攻撃'!$O$3:$AA$109, MATCH($A$1,'空中攻撃'!$A$3:$A$109,0), MATCH(A48,'空中攻撃'!$O$2:$S$2,0))</f>
        <v>10</v>
      </c>
      <c r="J48" s="450" t="s">
        <v>3943</v>
      </c>
      <c r="K48" s="138"/>
      <c r="L48" s="282"/>
      <c r="M48" s="363"/>
      <c r="N48" s="363"/>
      <c r="O48" s="145">
        <v>0.0</v>
      </c>
      <c r="P48" s="145">
        <v>1.0</v>
      </c>
      <c r="Q48" s="145">
        <v>1.0</v>
      </c>
      <c r="R48" s="622"/>
      <c r="S48" s="110"/>
      <c r="T48" s="110"/>
      <c r="U48" s="110"/>
      <c r="V48" s="109"/>
    </row>
    <row r="49" outlineLevel="1">
      <c r="A49" s="188" t="s">
        <v>157</v>
      </c>
      <c r="B49" s="373"/>
      <c r="C49" s="239" t="s">
        <v>835</v>
      </c>
      <c r="D49" s="374">
        <v>40.0</v>
      </c>
      <c r="E49" s="239" t="s">
        <v>1564</v>
      </c>
      <c r="F49" s="193">
        <v>14.16</v>
      </c>
      <c r="G49" s="193">
        <v>12.036000000000001</v>
      </c>
      <c r="H49" s="138" t="s">
        <v>75</v>
      </c>
      <c r="I49" s="454">
        <f t="array" ref="I49">INDEX('空中攻撃'!$O$3:$AA$109, MATCH($A$1,'空中攻撃'!$A$3:$A$109,0), MATCH(A49,'空中攻撃'!$O$2:$S$2,0))</f>
        <v>13</v>
      </c>
      <c r="J49" s="455" t="s">
        <v>3944</v>
      </c>
      <c r="K49" s="138"/>
      <c r="L49" s="282"/>
      <c r="M49" s="363"/>
      <c r="N49" s="363"/>
      <c r="O49" s="145">
        <v>0.0</v>
      </c>
      <c r="P49" s="145">
        <v>1.0</v>
      </c>
      <c r="Q49" s="145">
        <v>1.0</v>
      </c>
      <c r="R49" s="619"/>
      <c r="S49" s="164"/>
      <c r="T49" s="164"/>
      <c r="U49" s="164"/>
      <c r="V49" s="104"/>
    </row>
    <row r="50" outlineLevel="1">
      <c r="A50" s="156"/>
      <c r="B50" s="373" t="s">
        <v>84</v>
      </c>
      <c r="C50" s="239" t="s">
        <v>1670</v>
      </c>
      <c r="D50" s="107"/>
      <c r="E50" s="239" t="s">
        <v>93</v>
      </c>
      <c r="F50" s="193">
        <v>8.4</v>
      </c>
      <c r="G50" s="193">
        <v>7.140000000000001</v>
      </c>
      <c r="H50" s="138" t="s">
        <v>60</v>
      </c>
      <c r="I50" s="156"/>
      <c r="J50" s="107"/>
      <c r="K50" s="138"/>
      <c r="L50" s="282"/>
      <c r="M50" s="363"/>
      <c r="N50" s="363"/>
      <c r="O50" s="145">
        <v>0.0</v>
      </c>
      <c r="P50" s="145">
        <v>1.0</v>
      </c>
      <c r="Q50" s="145">
        <v>1.0</v>
      </c>
      <c r="R50" s="106"/>
      <c r="S50" s="168"/>
      <c r="T50" s="168"/>
      <c r="U50" s="168"/>
      <c r="V50" s="107"/>
    </row>
    <row r="51" outlineLevel="1">
      <c r="A51" s="213" t="s">
        <v>162</v>
      </c>
      <c r="B51" s="373"/>
      <c r="C51" s="239" t="s">
        <v>321</v>
      </c>
      <c r="D51" s="380" t="s">
        <v>224</v>
      </c>
      <c r="E51" s="239" t="s">
        <v>128</v>
      </c>
      <c r="F51" s="193">
        <v>12.0</v>
      </c>
      <c r="G51" s="193">
        <v>10.2</v>
      </c>
      <c r="H51" s="138" t="s">
        <v>147</v>
      </c>
      <c r="I51" s="621" t="str">
        <f t="array" ref="I51">INDEX('空中攻撃'!$O$3:$AA$109, MATCH($A$1,'空中攻撃'!$A$3:$A$109,0), MATCH(A51,'空中攻撃'!$O$2:$S$2,0))</f>
        <v>10</v>
      </c>
      <c r="J51" s="467" t="s">
        <v>3945</v>
      </c>
      <c r="K51" s="282"/>
      <c r="L51" s="282"/>
      <c r="M51" s="363"/>
      <c r="N51" s="363"/>
      <c r="O51" s="145">
        <v>0.0</v>
      </c>
      <c r="P51" s="145">
        <v>1.0</v>
      </c>
      <c r="Q51" s="145">
        <v>1.0</v>
      </c>
      <c r="R51" s="622"/>
      <c r="S51" s="110"/>
      <c r="T51" s="110"/>
      <c r="U51" s="110"/>
      <c r="V51" s="109"/>
    </row>
    <row r="52" outlineLevel="1">
      <c r="A52" s="188" t="s">
        <v>166</v>
      </c>
      <c r="B52" s="373" t="s">
        <v>903</v>
      </c>
      <c r="C52" s="239" t="s">
        <v>3946</v>
      </c>
      <c r="D52" s="195" t="s">
        <v>185</v>
      </c>
      <c r="E52" s="239" t="s">
        <v>176</v>
      </c>
      <c r="F52" s="193">
        <v>2.4</v>
      </c>
      <c r="G52" s="193">
        <v>2.04</v>
      </c>
      <c r="H52" s="138" t="s">
        <v>170</v>
      </c>
      <c r="I52" s="454">
        <f t="array" ref="I52">INDEX('空中攻撃'!$O$3:$AA$109, MATCH($A$1,'空中攻撃'!$A$3:$A$109,0), MATCH(A52,'空中攻撃'!$O$2:$S$2,0))</f>
        <v>12</v>
      </c>
      <c r="J52" s="379" t="s">
        <v>3490</v>
      </c>
      <c r="K52" s="282"/>
      <c r="L52" s="282"/>
      <c r="M52" s="363"/>
      <c r="N52" s="363"/>
      <c r="O52" s="145">
        <v>0.0</v>
      </c>
      <c r="P52" s="145">
        <v>1.0</v>
      </c>
      <c r="Q52" s="145">
        <v>1.0</v>
      </c>
      <c r="R52" s="163"/>
      <c r="S52" s="164"/>
      <c r="T52" s="164"/>
      <c r="U52" s="164"/>
      <c r="V52" s="104"/>
    </row>
    <row r="53" outlineLevel="1">
      <c r="A53" s="156"/>
      <c r="B53" s="373" t="s">
        <v>520</v>
      </c>
      <c r="C53" s="239" t="s">
        <v>562</v>
      </c>
      <c r="D53" s="107"/>
      <c r="E53" s="239" t="s">
        <v>93</v>
      </c>
      <c r="F53" s="193">
        <v>8.4</v>
      </c>
      <c r="G53" s="193">
        <v>7.140000000000001</v>
      </c>
      <c r="H53" s="138" t="s">
        <v>60</v>
      </c>
      <c r="I53" s="156"/>
      <c r="J53" s="107"/>
      <c r="K53" s="282"/>
      <c r="L53" s="282"/>
      <c r="M53" s="363"/>
      <c r="N53" s="363"/>
      <c r="O53" s="145">
        <v>0.0</v>
      </c>
      <c r="P53" s="145">
        <v>1.0</v>
      </c>
      <c r="Q53" s="145">
        <v>1.0</v>
      </c>
      <c r="R53" s="106"/>
      <c r="S53" s="168"/>
      <c r="T53" s="168"/>
      <c r="U53" s="168"/>
      <c r="V53" s="107"/>
    </row>
    <row r="54">
      <c r="A54" s="223"/>
      <c r="B54" s="224"/>
      <c r="C54" s="225"/>
      <c r="D54" s="225"/>
      <c r="E54" s="226"/>
      <c r="F54" s="226"/>
      <c r="G54" s="226"/>
      <c r="H54" s="227"/>
      <c r="I54" s="227"/>
      <c r="J54" s="228"/>
      <c r="K54" s="228"/>
      <c r="L54" s="228"/>
      <c r="M54" s="228"/>
      <c r="N54" s="228"/>
      <c r="O54" s="228"/>
      <c r="P54" s="228"/>
      <c r="Q54" s="118"/>
      <c r="R54" s="118"/>
      <c r="S54" s="118"/>
      <c r="T54" s="118"/>
      <c r="U54" s="118"/>
      <c r="V54" s="118"/>
    </row>
    <row r="55">
      <c r="A55" s="229" t="s">
        <v>177</v>
      </c>
      <c r="B55" s="109"/>
      <c r="C55" s="225"/>
      <c r="D55" s="225"/>
      <c r="E55" s="226"/>
      <c r="F55" s="226"/>
      <c r="G55" s="226"/>
      <c r="H55" s="227"/>
      <c r="I55" s="227"/>
      <c r="J55" s="228"/>
      <c r="K55" s="228"/>
      <c r="L55" s="228"/>
      <c r="M55" s="228"/>
      <c r="N55" s="228"/>
      <c r="O55" s="228"/>
      <c r="P55" s="228"/>
      <c r="Q55" s="118"/>
      <c r="R55" s="118"/>
      <c r="S55" s="118"/>
      <c r="T55" s="118"/>
      <c r="U55" s="118"/>
      <c r="V55" s="118"/>
    </row>
    <row r="56" outlineLevel="1">
      <c r="A56" s="230" t="s">
        <v>3947</v>
      </c>
      <c r="B56" s="109"/>
      <c r="C56" s="231" t="s">
        <v>48</v>
      </c>
      <c r="D56" s="231" t="s">
        <v>49</v>
      </c>
      <c r="E56" s="232" t="s">
        <v>50</v>
      </c>
      <c r="F56" s="233" t="s">
        <v>51</v>
      </c>
      <c r="G56" s="232" t="s">
        <v>52</v>
      </c>
      <c r="H56" s="382" t="str">
        <f>'テンプレート'!H72</f>
        <v>備考</v>
      </c>
      <c r="I56" s="110"/>
      <c r="J56" s="109"/>
      <c r="K56" s="235" t="str">
        <f>'テンプレート'!K72</f>
        <v>ベクトル</v>
      </c>
      <c r="L56" s="235" t="str">
        <f>'テンプレート'!L72</f>
        <v>KBG (R.E.)</v>
      </c>
      <c r="M56" s="235" t="str">
        <f>'テンプレート'!M72</f>
        <v>BKB (R.A.)</v>
      </c>
      <c r="N56" s="235" t="str">
        <f>'テンプレート'!N72</f>
        <v>FKB (R.F.)</v>
      </c>
      <c r="O56" s="236" t="str">
        <f>'テンプレート'!O72</f>
        <v>盾削り値</v>
      </c>
      <c r="P56" s="235" t="str">
        <f>'テンプレート'!P72</f>
        <v>ﾋｯﾄｽﾄｯﾌﾟ</v>
      </c>
      <c r="Q56" s="236" t="str">
        <f>'テンプレート'!Q72</f>
        <v>ずらし</v>
      </c>
      <c r="R56" s="235" t="str">
        <f>'テンプレート'!R72</f>
        <v>相殺</v>
      </c>
      <c r="S56" s="236" t="str">
        <f>'テンプレート'!S72</f>
        <v>相殺ﾓｰｼｮﾝ</v>
      </c>
      <c r="T56" s="236" t="str">
        <f>'テンプレート'!T72</f>
        <v>飛び道具</v>
      </c>
      <c r="U56" s="236" t="str">
        <f>'テンプレート'!U72</f>
        <v>慣性反転</v>
      </c>
      <c r="V56" s="236" t="str">
        <f>'テンプレート'!V72</f>
        <v>向き反転</v>
      </c>
    </row>
    <row r="57" ht="21.75" customHeight="1" outlineLevel="1">
      <c r="A57" s="237" t="s">
        <v>184</v>
      </c>
      <c r="B57" s="663" t="s">
        <v>3948</v>
      </c>
      <c r="C57" s="553"/>
      <c r="D57" s="239" t="s">
        <v>93</v>
      </c>
      <c r="E57" s="553"/>
      <c r="F57" s="553"/>
      <c r="G57" s="553"/>
      <c r="H57" s="386" t="s">
        <v>3949</v>
      </c>
      <c r="I57" s="164"/>
      <c r="J57" s="104"/>
      <c r="K57" s="261"/>
      <c r="L57" s="261"/>
      <c r="M57" s="261"/>
      <c r="N57" s="261"/>
      <c r="O57" s="261"/>
      <c r="P57" s="261"/>
      <c r="Q57" s="261"/>
      <c r="R57" s="261"/>
      <c r="S57" s="261"/>
      <c r="T57" s="261"/>
      <c r="U57" s="166" t="s">
        <v>186</v>
      </c>
      <c r="V57" s="166" t="b">
        <v>1</v>
      </c>
    </row>
    <row r="58" ht="21.75" customHeight="1" outlineLevel="1">
      <c r="A58" s="146"/>
      <c r="B58" s="663" t="s">
        <v>3950</v>
      </c>
      <c r="C58" s="244" t="s">
        <v>3951</v>
      </c>
      <c r="D58" s="367" t="s">
        <v>384</v>
      </c>
      <c r="E58" s="239" t="s">
        <v>3952</v>
      </c>
      <c r="F58" s="138">
        <v>5.159999999999999</v>
      </c>
      <c r="G58" s="139" t="s">
        <v>170</v>
      </c>
      <c r="H58" s="212"/>
      <c r="J58" s="210"/>
      <c r="K58" s="282"/>
      <c r="L58" s="282"/>
      <c r="M58" s="363"/>
      <c r="N58" s="363"/>
      <c r="O58" s="138"/>
      <c r="P58" s="138"/>
      <c r="Q58" s="138"/>
      <c r="R58" s="145" t="b">
        <v>1</v>
      </c>
      <c r="S58" s="145"/>
      <c r="T58" s="145" t="b">
        <v>1</v>
      </c>
      <c r="U58" s="146"/>
      <c r="V58" s="146"/>
    </row>
    <row r="59" ht="21.75" customHeight="1" outlineLevel="1">
      <c r="A59" s="146"/>
      <c r="B59" s="663" t="s">
        <v>3953</v>
      </c>
      <c r="C59" s="244" t="s">
        <v>3951</v>
      </c>
      <c r="D59" s="146"/>
      <c r="E59" s="239" t="s">
        <v>86</v>
      </c>
      <c r="F59" s="138">
        <v>7.199999999999999</v>
      </c>
      <c r="G59" s="139" t="s">
        <v>60</v>
      </c>
      <c r="H59" s="212"/>
      <c r="J59" s="210"/>
      <c r="K59" s="282"/>
      <c r="L59" s="282"/>
      <c r="M59" s="363"/>
      <c r="N59" s="363"/>
      <c r="O59" s="138"/>
      <c r="P59" s="138"/>
      <c r="Q59" s="138"/>
      <c r="R59" s="145" t="b">
        <v>1</v>
      </c>
      <c r="S59" s="145"/>
      <c r="T59" s="145" t="b">
        <v>1</v>
      </c>
      <c r="U59" s="146"/>
      <c r="V59" s="146"/>
    </row>
    <row r="60" ht="21.75" customHeight="1" outlineLevel="1">
      <c r="A60" s="146"/>
      <c r="B60" s="663" t="s">
        <v>3954</v>
      </c>
      <c r="C60" s="244" t="s">
        <v>3955</v>
      </c>
      <c r="D60" s="146"/>
      <c r="E60" s="239" t="s">
        <v>1665</v>
      </c>
      <c r="F60" s="138">
        <v>9.0</v>
      </c>
      <c r="G60" s="139" t="s">
        <v>60</v>
      </c>
      <c r="H60" s="212"/>
      <c r="J60" s="210"/>
      <c r="K60" s="282"/>
      <c r="L60" s="282"/>
      <c r="M60" s="363"/>
      <c r="N60" s="363"/>
      <c r="O60" s="138"/>
      <c r="P60" s="138"/>
      <c r="Q60" s="138"/>
      <c r="R60" s="145" t="b">
        <v>1</v>
      </c>
      <c r="S60" s="145"/>
      <c r="T60" s="145" t="b">
        <v>1</v>
      </c>
      <c r="U60" s="146"/>
      <c r="V60" s="146"/>
    </row>
    <row r="61" ht="21.75" customHeight="1" outlineLevel="1">
      <c r="A61" s="146"/>
      <c r="B61" s="663" t="s">
        <v>3956</v>
      </c>
      <c r="C61" s="244" t="s">
        <v>3957</v>
      </c>
      <c r="D61" s="146"/>
      <c r="E61" s="239" t="s">
        <v>1858</v>
      </c>
      <c r="F61" s="138">
        <v>11.4</v>
      </c>
      <c r="G61" s="139" t="s">
        <v>147</v>
      </c>
      <c r="H61" s="212"/>
      <c r="J61" s="210"/>
      <c r="K61" s="282"/>
      <c r="L61" s="282"/>
      <c r="M61" s="363"/>
      <c r="N61" s="363"/>
      <c r="O61" s="138"/>
      <c r="P61" s="138"/>
      <c r="Q61" s="138"/>
      <c r="R61" s="145" t="b">
        <v>1</v>
      </c>
      <c r="S61" s="145"/>
      <c r="T61" s="145" t="b">
        <v>1</v>
      </c>
      <c r="U61" s="146"/>
      <c r="V61" s="146"/>
    </row>
    <row r="62" ht="21.75" customHeight="1" outlineLevel="1">
      <c r="A62" s="146"/>
      <c r="B62" s="663" t="s">
        <v>3958</v>
      </c>
      <c r="C62" s="244" t="s">
        <v>3959</v>
      </c>
      <c r="D62" s="146"/>
      <c r="E62" s="239" t="s">
        <v>129</v>
      </c>
      <c r="F62" s="138">
        <v>14.399999999999999</v>
      </c>
      <c r="G62" s="139" t="s">
        <v>147</v>
      </c>
      <c r="H62" s="212"/>
      <c r="J62" s="210"/>
      <c r="K62" s="282"/>
      <c r="L62" s="282"/>
      <c r="M62" s="363"/>
      <c r="N62" s="363"/>
      <c r="O62" s="138"/>
      <c r="P62" s="138"/>
      <c r="Q62" s="138"/>
      <c r="R62" s="145" t="b">
        <v>1</v>
      </c>
      <c r="S62" s="145"/>
      <c r="T62" s="145" t="b">
        <v>1</v>
      </c>
      <c r="U62" s="146"/>
      <c r="V62" s="146"/>
    </row>
    <row r="63" outlineLevel="1">
      <c r="A63" s="146"/>
      <c r="B63" s="663" t="s">
        <v>3960</v>
      </c>
      <c r="C63" s="244" t="s">
        <v>3961</v>
      </c>
      <c r="D63" s="146"/>
      <c r="E63" s="239" t="s">
        <v>274</v>
      </c>
      <c r="F63" s="138">
        <v>10.799999999999999</v>
      </c>
      <c r="G63" s="139" t="s">
        <v>147</v>
      </c>
      <c r="H63" s="212"/>
      <c r="J63" s="210"/>
      <c r="K63" s="282"/>
      <c r="L63" s="282"/>
      <c r="M63" s="363"/>
      <c r="N63" s="363"/>
      <c r="O63" s="138"/>
      <c r="P63" s="138"/>
      <c r="Q63" s="138"/>
      <c r="R63" s="145" t="b">
        <v>1</v>
      </c>
      <c r="S63" s="145"/>
      <c r="T63" s="145" t="b">
        <v>1</v>
      </c>
      <c r="U63" s="146"/>
      <c r="V63" s="146"/>
    </row>
    <row r="64" ht="21.75" customHeight="1" outlineLevel="1">
      <c r="A64" s="146"/>
      <c r="B64" s="663" t="s">
        <v>3962</v>
      </c>
      <c r="C64" s="244" t="s">
        <v>3963</v>
      </c>
      <c r="D64" s="146"/>
      <c r="E64" s="239" t="s">
        <v>1665</v>
      </c>
      <c r="F64" s="138">
        <v>9.0</v>
      </c>
      <c r="G64" s="139" t="s">
        <v>60</v>
      </c>
      <c r="H64" s="212"/>
      <c r="J64" s="210"/>
      <c r="K64" s="282"/>
      <c r="L64" s="282"/>
      <c r="M64" s="363"/>
      <c r="N64" s="363"/>
      <c r="O64" s="138"/>
      <c r="P64" s="138"/>
      <c r="Q64" s="138"/>
      <c r="R64" s="145" t="b">
        <v>1</v>
      </c>
      <c r="S64" s="145"/>
      <c r="T64" s="145" t="b">
        <v>1</v>
      </c>
      <c r="U64" s="146"/>
      <c r="V64" s="146"/>
    </row>
    <row r="65" ht="21.75" customHeight="1" outlineLevel="1">
      <c r="A65" s="156"/>
      <c r="B65" s="663" t="s">
        <v>3964</v>
      </c>
      <c r="C65" s="244" t="s">
        <v>3965</v>
      </c>
      <c r="D65" s="156"/>
      <c r="E65" s="239" t="s">
        <v>153</v>
      </c>
      <c r="F65" s="138">
        <v>19.2</v>
      </c>
      <c r="G65" s="139" t="s">
        <v>75</v>
      </c>
      <c r="H65" s="106"/>
      <c r="I65" s="168"/>
      <c r="J65" s="107"/>
      <c r="K65" s="282"/>
      <c r="L65" s="282"/>
      <c r="M65" s="363"/>
      <c r="N65" s="363"/>
      <c r="O65" s="138"/>
      <c r="P65" s="138"/>
      <c r="Q65" s="138"/>
      <c r="R65" s="145" t="b">
        <v>1</v>
      </c>
      <c r="S65" s="145"/>
      <c r="T65" s="145" t="b">
        <v>1</v>
      </c>
      <c r="U65" s="156"/>
      <c r="V65" s="156"/>
    </row>
    <row r="66" outlineLevel="1">
      <c r="A66" s="230" t="s">
        <v>3966</v>
      </c>
      <c r="B66" s="109"/>
      <c r="C66" s="231" t="s">
        <v>48</v>
      </c>
      <c r="D66" s="231" t="s">
        <v>49</v>
      </c>
      <c r="E66" s="232" t="s">
        <v>50</v>
      </c>
      <c r="F66" s="233" t="s">
        <v>51</v>
      </c>
      <c r="G66" s="232" t="s">
        <v>52</v>
      </c>
      <c r="H66" s="382" t="str">
        <f>'テンプレート'!H75</f>
        <v>備考</v>
      </c>
      <c r="I66" s="110"/>
      <c r="J66" s="109"/>
      <c r="K66" s="235" t="str">
        <f>'テンプレート'!K75</f>
        <v>ベクトル</v>
      </c>
      <c r="L66" s="235" t="str">
        <f>'テンプレート'!L75</f>
        <v>KBG (R.E.)</v>
      </c>
      <c r="M66" s="235" t="str">
        <f>'テンプレート'!M75</f>
        <v>BKB (R.A.)</v>
      </c>
      <c r="N66" s="235" t="str">
        <f>'テンプレート'!N75</f>
        <v>FKB (R.F.)</v>
      </c>
      <c r="O66" s="236" t="str">
        <f>'テンプレート'!O75</f>
        <v>盾削り値</v>
      </c>
      <c r="P66" s="235" t="str">
        <f>'テンプレート'!P75</f>
        <v>ﾋｯﾄｽﾄｯﾌﾟ</v>
      </c>
      <c r="Q66" s="236" t="str">
        <f>'テンプレート'!Q75</f>
        <v>ずらし</v>
      </c>
      <c r="R66" s="235" t="str">
        <f>'テンプレート'!R75</f>
        <v>相殺</v>
      </c>
      <c r="S66" s="236" t="str">
        <f>'テンプレート'!S75</f>
        <v>相殺ﾓｰｼｮﾝ</v>
      </c>
      <c r="T66" s="236" t="str">
        <f>'テンプレート'!T75</f>
        <v>飛び道具</v>
      </c>
      <c r="U66" s="236" t="str">
        <f>'テンプレート'!U75</f>
        <v>慣性反転</v>
      </c>
      <c r="V66" s="236" t="str">
        <f>'テンプレート'!V75</f>
        <v>向き反転</v>
      </c>
    </row>
    <row r="67" ht="30.75" customHeight="1" outlineLevel="1">
      <c r="A67" s="237" t="s">
        <v>184</v>
      </c>
      <c r="B67" s="243" t="s">
        <v>3967</v>
      </c>
      <c r="C67" s="244" t="s">
        <v>3968</v>
      </c>
      <c r="D67" s="1397" t="s">
        <v>3969</v>
      </c>
      <c r="E67" s="244" t="s">
        <v>3970</v>
      </c>
      <c r="F67" s="246" t="s">
        <v>3971</v>
      </c>
      <c r="G67" s="139" t="s">
        <v>3972</v>
      </c>
      <c r="H67" s="175" t="s">
        <v>3973</v>
      </c>
      <c r="I67" s="164"/>
      <c r="J67" s="104"/>
      <c r="K67" s="282"/>
      <c r="L67" s="282"/>
      <c r="M67" s="363"/>
      <c r="N67" s="363"/>
      <c r="O67" s="138">
        <v>0.0</v>
      </c>
      <c r="P67" s="138">
        <v>1.0</v>
      </c>
      <c r="Q67" s="138">
        <v>1.0</v>
      </c>
      <c r="R67" s="145" t="b">
        <v>0</v>
      </c>
      <c r="S67" s="145" t="b">
        <v>0</v>
      </c>
      <c r="T67" s="145"/>
      <c r="U67" s="166" t="b">
        <v>0</v>
      </c>
      <c r="V67" s="166" t="b">
        <v>1</v>
      </c>
    </row>
    <row r="68" ht="30.75" customHeight="1" outlineLevel="1">
      <c r="A68" s="146"/>
      <c r="B68" s="243" t="s">
        <v>3974</v>
      </c>
      <c r="C68" s="244" t="s">
        <v>282</v>
      </c>
      <c r="D68" s="146"/>
      <c r="E68" s="244" t="s">
        <v>213</v>
      </c>
      <c r="F68" s="246">
        <v>1.2</v>
      </c>
      <c r="G68" s="139" t="s">
        <v>170</v>
      </c>
      <c r="H68" s="212"/>
      <c r="J68" s="210"/>
      <c r="K68" s="138"/>
      <c r="L68" s="138"/>
      <c r="M68" s="145"/>
      <c r="N68" s="145"/>
      <c r="O68" s="138">
        <v>0.0</v>
      </c>
      <c r="P68" s="138">
        <v>1.0</v>
      </c>
      <c r="Q68" s="138">
        <v>1.0</v>
      </c>
      <c r="R68" s="145" t="b">
        <v>0</v>
      </c>
      <c r="S68" s="145" t="b">
        <v>0</v>
      </c>
      <c r="T68" s="145"/>
      <c r="U68" s="146"/>
      <c r="V68" s="146"/>
    </row>
    <row r="69" ht="30.75" customHeight="1" outlineLevel="1">
      <c r="A69" s="146"/>
      <c r="B69" s="243" t="s">
        <v>3975</v>
      </c>
      <c r="C69" s="244" t="s">
        <v>3976</v>
      </c>
      <c r="D69" s="156"/>
      <c r="E69" s="244" t="s">
        <v>3977</v>
      </c>
      <c r="F69" s="246" t="s">
        <v>3978</v>
      </c>
      <c r="G69" s="239" t="s">
        <v>3979</v>
      </c>
      <c r="H69" s="212"/>
      <c r="J69" s="210"/>
      <c r="K69" s="138"/>
      <c r="L69" s="138"/>
      <c r="M69" s="145"/>
      <c r="N69" s="145"/>
      <c r="O69" s="138">
        <v>0.0</v>
      </c>
      <c r="P69" s="138">
        <v>1.0</v>
      </c>
      <c r="Q69" s="138">
        <v>1.0</v>
      </c>
      <c r="R69" s="145" t="b">
        <v>0</v>
      </c>
      <c r="S69" s="145" t="b">
        <v>0</v>
      </c>
      <c r="T69" s="145"/>
      <c r="U69" s="146"/>
      <c r="V69" s="146"/>
    </row>
    <row r="70" ht="30.75" customHeight="1" outlineLevel="1">
      <c r="A70" s="146"/>
      <c r="B70" s="243" t="s">
        <v>3980</v>
      </c>
      <c r="C70" s="822"/>
      <c r="D70" s="245" t="s">
        <v>193</v>
      </c>
      <c r="E70" s="822"/>
      <c r="F70" s="822"/>
      <c r="G70" s="822"/>
      <c r="H70" s="212"/>
      <c r="J70" s="210"/>
      <c r="K70" s="138"/>
      <c r="L70" s="138"/>
      <c r="M70" s="145"/>
      <c r="N70" s="145"/>
      <c r="O70" s="138"/>
      <c r="P70" s="138"/>
      <c r="Q70" s="138"/>
      <c r="R70" s="145" t="b">
        <v>0</v>
      </c>
      <c r="S70" s="145" t="b">
        <v>0</v>
      </c>
      <c r="T70" s="145" t="b">
        <v>0</v>
      </c>
      <c r="U70" s="146"/>
      <c r="V70" s="146"/>
    </row>
    <row r="71" ht="30.75" customHeight="1" outlineLevel="1">
      <c r="A71" s="146"/>
      <c r="B71" s="243" t="s">
        <v>2420</v>
      </c>
      <c r="C71" s="822"/>
      <c r="D71" s="245" t="s">
        <v>628</v>
      </c>
      <c r="E71" s="822"/>
      <c r="F71" s="822"/>
      <c r="G71" s="553"/>
      <c r="H71" s="106"/>
      <c r="I71" s="168"/>
      <c r="J71" s="107"/>
      <c r="K71" s="261"/>
      <c r="L71" s="261"/>
      <c r="M71" s="261"/>
      <c r="N71" s="261"/>
      <c r="O71" s="261"/>
      <c r="P71" s="261"/>
      <c r="Q71" s="261"/>
      <c r="R71" s="261"/>
      <c r="S71" s="261"/>
      <c r="T71" s="261"/>
      <c r="U71" s="156"/>
      <c r="V71" s="156"/>
    </row>
    <row r="72" outlineLevel="1">
      <c r="A72" s="230" t="s">
        <v>3981</v>
      </c>
      <c r="B72" s="109"/>
      <c r="C72" s="231" t="s">
        <v>48</v>
      </c>
      <c r="D72" s="231" t="s">
        <v>49</v>
      </c>
      <c r="E72" s="232" t="s">
        <v>50</v>
      </c>
      <c r="F72" s="233" t="s">
        <v>51</v>
      </c>
      <c r="G72" s="232" t="s">
        <v>52</v>
      </c>
      <c r="H72" s="382" t="str">
        <f>'テンプレート'!H80</f>
        <v>備考</v>
      </c>
      <c r="I72" s="110"/>
      <c r="J72" s="109"/>
      <c r="K72" s="235" t="str">
        <f>'テンプレート'!K80</f>
        <v>ベクトル</v>
      </c>
      <c r="L72" s="235" t="str">
        <f>'テンプレート'!L80</f>
        <v>KBG (R.E.)</v>
      </c>
      <c r="M72" s="235" t="str">
        <f>'テンプレート'!M80</f>
        <v>BKB (R.A.)</v>
      </c>
      <c r="N72" s="235" t="str">
        <f>'テンプレート'!N80</f>
        <v>FKB (R.F.)</v>
      </c>
      <c r="O72" s="236" t="str">
        <f>'テンプレート'!O80</f>
        <v>盾削り値</v>
      </c>
      <c r="P72" s="235" t="str">
        <f>'テンプレート'!P80</f>
        <v>ﾋｯﾄｽﾄｯﾌﾟ</v>
      </c>
      <c r="Q72" s="236" t="str">
        <f>'テンプレート'!Q80</f>
        <v>ずらし</v>
      </c>
      <c r="R72" s="235" t="str">
        <f>'テンプレート'!R80</f>
        <v>相殺</v>
      </c>
      <c r="S72" s="236" t="str">
        <f>'テンプレート'!S80</f>
        <v>相殺ﾓｰｼｮﾝ</v>
      </c>
      <c r="T72" s="236" t="str">
        <f>'テンプレート'!T80</f>
        <v>飛び道具</v>
      </c>
      <c r="U72" s="236" t="str">
        <f>'テンプレート'!U80</f>
        <v>慣性反転</v>
      </c>
      <c r="V72" s="236" t="str">
        <f>'テンプレート'!V80</f>
        <v>向き反転</v>
      </c>
    </row>
    <row r="73" ht="23.25" customHeight="1" outlineLevel="1">
      <c r="A73" s="237" t="s">
        <v>242</v>
      </c>
      <c r="B73" s="870"/>
      <c r="C73" s="239" t="s">
        <v>2613</v>
      </c>
      <c r="D73" s="400"/>
      <c r="E73" s="239" t="s">
        <v>150</v>
      </c>
      <c r="F73" s="138">
        <v>6.0</v>
      </c>
      <c r="G73" s="139" t="s">
        <v>102</v>
      </c>
      <c r="H73" s="163" t="s">
        <v>3982</v>
      </c>
      <c r="I73" s="164"/>
      <c r="J73" s="104"/>
      <c r="K73" s="138"/>
      <c r="L73" s="138"/>
      <c r="M73" s="145"/>
      <c r="N73" s="145"/>
      <c r="O73" s="138">
        <v>0.0</v>
      </c>
      <c r="P73" s="138">
        <v>1.0</v>
      </c>
      <c r="Q73" s="138">
        <v>1.0</v>
      </c>
      <c r="R73" s="145" t="b">
        <v>1</v>
      </c>
      <c r="S73" s="145" t="b">
        <v>0</v>
      </c>
      <c r="T73" s="145"/>
      <c r="U73" s="166" t="b">
        <v>0</v>
      </c>
      <c r="V73" s="166" t="b">
        <v>0</v>
      </c>
    </row>
    <row r="74" ht="23.25" customHeight="1" outlineLevel="1">
      <c r="A74" s="146"/>
      <c r="B74" s="402" t="s">
        <v>187</v>
      </c>
      <c r="C74" s="239" t="s">
        <v>1670</v>
      </c>
      <c r="D74" s="146"/>
      <c r="E74" s="239" t="s">
        <v>86</v>
      </c>
      <c r="F74" s="138">
        <v>7.199999999999999</v>
      </c>
      <c r="G74" s="139" t="s">
        <v>102</v>
      </c>
      <c r="H74" s="212"/>
      <c r="J74" s="210"/>
      <c r="K74" s="138"/>
      <c r="L74" s="138"/>
      <c r="M74" s="145"/>
      <c r="N74" s="145"/>
      <c r="O74" s="138">
        <v>0.0</v>
      </c>
      <c r="P74" s="138">
        <v>1.0</v>
      </c>
      <c r="Q74" s="138">
        <v>1.0</v>
      </c>
      <c r="R74" s="145" t="b">
        <v>1</v>
      </c>
      <c r="S74" s="145" t="b">
        <v>0</v>
      </c>
      <c r="T74" s="145"/>
      <c r="U74" s="146"/>
      <c r="V74" s="146"/>
    </row>
    <row r="75" ht="23.25" customHeight="1" outlineLevel="1">
      <c r="A75" s="146"/>
      <c r="B75" s="402" t="s">
        <v>189</v>
      </c>
      <c r="C75" s="239" t="s">
        <v>1602</v>
      </c>
      <c r="D75" s="156"/>
      <c r="E75" s="239" t="s">
        <v>93</v>
      </c>
      <c r="F75" s="138">
        <v>8.4</v>
      </c>
      <c r="G75" s="139" t="s">
        <v>95</v>
      </c>
      <c r="H75" s="106"/>
      <c r="I75" s="168"/>
      <c r="J75" s="107"/>
      <c r="K75" s="138"/>
      <c r="L75" s="138"/>
      <c r="M75" s="145"/>
      <c r="N75" s="145"/>
      <c r="O75" s="138">
        <v>0.0</v>
      </c>
      <c r="P75" s="138">
        <v>1.0</v>
      </c>
      <c r="Q75" s="138">
        <v>1.0</v>
      </c>
      <c r="R75" s="145" t="b">
        <v>1</v>
      </c>
      <c r="S75" s="145" t="b">
        <v>0</v>
      </c>
      <c r="T75" s="145"/>
      <c r="U75" s="156"/>
      <c r="V75" s="156"/>
    </row>
    <row r="76" outlineLevel="1">
      <c r="A76" s="230" t="s">
        <v>3983</v>
      </c>
      <c r="B76" s="109"/>
      <c r="C76" s="231" t="s">
        <v>48</v>
      </c>
      <c r="D76" s="231" t="s">
        <v>49</v>
      </c>
      <c r="E76" s="232" t="s">
        <v>50</v>
      </c>
      <c r="F76" s="233" t="s">
        <v>51</v>
      </c>
      <c r="G76" s="232" t="s">
        <v>52</v>
      </c>
      <c r="H76" s="382" t="str">
        <f>'テンプレート'!H85</f>
        <v>備考</v>
      </c>
      <c r="I76" s="110"/>
      <c r="J76" s="109"/>
      <c r="K76" s="235" t="str">
        <f>'テンプレート'!K85</f>
        <v>ベクトル</v>
      </c>
      <c r="L76" s="235" t="str">
        <f>'テンプレート'!L85</f>
        <v>KBG (R.E.)</v>
      </c>
      <c r="M76" s="235" t="str">
        <f>'テンプレート'!M85</f>
        <v>BKB (R.A.)</v>
      </c>
      <c r="N76" s="235" t="str">
        <f>'テンプレート'!N85</f>
        <v>FKB (R.F.)</v>
      </c>
      <c r="O76" s="236" t="str">
        <f>'テンプレート'!O85</f>
        <v>盾削り値</v>
      </c>
      <c r="P76" s="235" t="str">
        <f>'テンプレート'!P85</f>
        <v>ﾋｯﾄｽﾄｯﾌﾟ</v>
      </c>
      <c r="Q76" s="236" t="str">
        <f>'テンプレート'!Q85</f>
        <v>ずらし</v>
      </c>
      <c r="R76" s="235" t="str">
        <f>'テンプレート'!R85</f>
        <v>相殺</v>
      </c>
      <c r="S76" s="236" t="str">
        <f>'テンプレート'!S85</f>
        <v>相殺ﾓｰｼｮﾝ</v>
      </c>
      <c r="T76" s="236" t="str">
        <f>'テンプレート'!T85</f>
        <v>飛び道具</v>
      </c>
      <c r="U76" s="236" t="str">
        <f>'テンプレート'!U85</f>
        <v>慣性反転</v>
      </c>
      <c r="V76" s="236" t="str">
        <f>'テンプレート'!V85</f>
        <v>向き反転</v>
      </c>
    </row>
    <row r="77" outlineLevel="1">
      <c r="A77" s="237" t="s">
        <v>184</v>
      </c>
      <c r="B77" s="402" t="s">
        <v>3984</v>
      </c>
      <c r="C77" s="239" t="s">
        <v>3985</v>
      </c>
      <c r="D77" s="239" t="s">
        <v>218</v>
      </c>
      <c r="E77" s="553"/>
      <c r="F77" s="553"/>
      <c r="G77" s="553"/>
      <c r="H77" s="163" t="s">
        <v>3986</v>
      </c>
      <c r="I77" s="164"/>
      <c r="J77" s="104"/>
      <c r="K77" s="261"/>
      <c r="L77" s="261"/>
      <c r="M77" s="261"/>
      <c r="N77" s="261"/>
      <c r="O77" s="261"/>
      <c r="P77" s="261"/>
      <c r="Q77" s="261"/>
      <c r="R77" s="261"/>
      <c r="S77" s="261"/>
      <c r="T77" s="261"/>
      <c r="U77" s="166" t="b">
        <v>0</v>
      </c>
      <c r="V77" s="166" t="b">
        <v>0</v>
      </c>
    </row>
    <row r="78" outlineLevel="1">
      <c r="A78" s="156"/>
      <c r="B78" s="402" t="s">
        <v>1482</v>
      </c>
      <c r="C78" s="553"/>
      <c r="D78" s="113" t="s">
        <v>118</v>
      </c>
      <c r="E78" s="553"/>
      <c r="F78" s="553"/>
      <c r="G78" s="553"/>
      <c r="H78" s="212"/>
      <c r="J78" s="210"/>
      <c r="K78" s="261"/>
      <c r="L78" s="261"/>
      <c r="M78" s="261"/>
      <c r="N78" s="261"/>
      <c r="O78" s="261"/>
      <c r="P78" s="261"/>
      <c r="Q78" s="261"/>
      <c r="R78" s="261"/>
      <c r="S78" s="261"/>
      <c r="T78" s="261"/>
      <c r="U78" s="146"/>
      <c r="V78" s="146"/>
    </row>
    <row r="79" outlineLevel="1">
      <c r="A79" s="259" t="s">
        <v>344</v>
      </c>
      <c r="B79" s="402" t="s">
        <v>3987</v>
      </c>
      <c r="C79" s="239" t="s">
        <v>3139</v>
      </c>
      <c r="D79" s="553"/>
      <c r="E79" s="239" t="s">
        <v>274</v>
      </c>
      <c r="F79" s="138">
        <v>10.799999999999999</v>
      </c>
      <c r="G79" s="139" t="s">
        <v>147</v>
      </c>
      <c r="H79" s="212"/>
      <c r="J79" s="210"/>
      <c r="K79" s="138"/>
      <c r="L79" s="138"/>
      <c r="M79" s="145"/>
      <c r="N79" s="145"/>
      <c r="O79" s="138">
        <v>0.0</v>
      </c>
      <c r="P79" s="138">
        <v>1.0</v>
      </c>
      <c r="Q79" s="138">
        <v>1.0</v>
      </c>
      <c r="R79" s="145" t="b">
        <v>1</v>
      </c>
      <c r="S79" s="145"/>
      <c r="T79" s="145" t="b">
        <v>1</v>
      </c>
      <c r="U79" s="146"/>
      <c r="V79" s="146"/>
    </row>
    <row r="80" outlineLevel="1">
      <c r="A80" s="237" t="s">
        <v>3987</v>
      </c>
      <c r="B80" s="402" t="s">
        <v>3988</v>
      </c>
      <c r="C80" s="244" t="s">
        <v>2485</v>
      </c>
      <c r="D80" s="553"/>
      <c r="E80" s="239" t="s">
        <v>228</v>
      </c>
      <c r="F80" s="138">
        <v>15.6</v>
      </c>
      <c r="G80" s="139" t="s">
        <v>75</v>
      </c>
      <c r="H80" s="212"/>
      <c r="J80" s="210"/>
      <c r="K80" s="138"/>
      <c r="L80" s="138"/>
      <c r="M80" s="145"/>
      <c r="N80" s="145"/>
      <c r="O80" s="138">
        <v>0.0</v>
      </c>
      <c r="P80" s="138">
        <v>1.0</v>
      </c>
      <c r="Q80" s="138">
        <v>1.0</v>
      </c>
      <c r="R80" s="145" t="b">
        <v>1</v>
      </c>
      <c r="S80" s="145"/>
      <c r="T80" s="145" t="b">
        <v>1</v>
      </c>
      <c r="U80" s="146"/>
      <c r="V80" s="146"/>
    </row>
    <row r="81" outlineLevel="1">
      <c r="A81" s="146"/>
      <c r="B81" s="402" t="s">
        <v>671</v>
      </c>
      <c r="C81" s="244" t="s">
        <v>2485</v>
      </c>
      <c r="D81" s="553"/>
      <c r="E81" s="239" t="s">
        <v>128</v>
      </c>
      <c r="F81" s="138">
        <v>12.0</v>
      </c>
      <c r="G81" s="139" t="s">
        <v>147</v>
      </c>
      <c r="H81" s="212"/>
      <c r="J81" s="210"/>
      <c r="K81" s="138"/>
      <c r="L81" s="138"/>
      <c r="M81" s="145"/>
      <c r="N81" s="145"/>
      <c r="O81" s="138"/>
      <c r="P81" s="138"/>
      <c r="Q81" s="138"/>
      <c r="R81" s="145" t="b">
        <v>0</v>
      </c>
      <c r="S81" s="145" t="b">
        <v>0</v>
      </c>
      <c r="T81" s="145" t="b">
        <v>0</v>
      </c>
      <c r="U81" s="146"/>
      <c r="V81" s="146"/>
    </row>
    <row r="82" outlineLevel="1">
      <c r="A82" s="146"/>
      <c r="B82" s="402" t="s">
        <v>3989</v>
      </c>
      <c r="C82" s="244" t="s">
        <v>3990</v>
      </c>
      <c r="D82" s="553"/>
      <c r="E82" s="239" t="s">
        <v>209</v>
      </c>
      <c r="F82" s="138">
        <v>0.0</v>
      </c>
      <c r="G82" s="553"/>
      <c r="H82" s="212"/>
      <c r="J82" s="210"/>
      <c r="K82" s="138"/>
      <c r="L82" s="138"/>
      <c r="M82" s="145"/>
      <c r="N82" s="145"/>
      <c r="O82" s="138">
        <v>0.0</v>
      </c>
      <c r="P82" s="138">
        <v>1.0</v>
      </c>
      <c r="Q82" s="138">
        <v>1.0</v>
      </c>
      <c r="R82" s="145"/>
      <c r="S82" s="145"/>
      <c r="T82" s="145" t="b">
        <v>1</v>
      </c>
      <c r="U82" s="146"/>
      <c r="V82" s="146"/>
    </row>
    <row r="83" outlineLevel="1">
      <c r="A83" s="156"/>
      <c r="B83" s="402" t="s">
        <v>3991</v>
      </c>
      <c r="C83" s="244" t="s">
        <v>3990</v>
      </c>
      <c r="D83" s="553"/>
      <c r="E83" s="239" t="s">
        <v>209</v>
      </c>
      <c r="F83" s="138">
        <v>0.0</v>
      </c>
      <c r="G83" s="553"/>
      <c r="H83" s="106"/>
      <c r="I83" s="168"/>
      <c r="J83" s="107"/>
      <c r="K83" s="138"/>
      <c r="L83" s="138"/>
      <c r="M83" s="145"/>
      <c r="N83" s="145"/>
      <c r="O83" s="138">
        <v>0.0</v>
      </c>
      <c r="P83" s="138">
        <v>1.0</v>
      </c>
      <c r="Q83" s="138">
        <v>1.0</v>
      </c>
      <c r="R83" s="145" t="b">
        <v>0</v>
      </c>
      <c r="S83" s="145" t="b">
        <v>0</v>
      </c>
      <c r="T83" s="145" t="b">
        <v>1</v>
      </c>
      <c r="U83" s="156"/>
      <c r="V83" s="156"/>
    </row>
    <row r="84">
      <c r="A84" s="223"/>
      <c r="B84" s="224"/>
      <c r="C84" s="225"/>
      <c r="D84" s="225"/>
      <c r="E84" s="226"/>
      <c r="F84" s="226"/>
      <c r="G84" s="226"/>
      <c r="H84" s="227"/>
      <c r="I84" s="227"/>
      <c r="J84" s="228"/>
      <c r="K84" s="228"/>
      <c r="L84" s="228"/>
      <c r="M84" s="228"/>
      <c r="N84" s="228"/>
      <c r="O84" s="228"/>
      <c r="P84" s="228"/>
      <c r="Q84" s="118"/>
      <c r="R84" s="118"/>
      <c r="S84" s="118"/>
      <c r="T84" s="118"/>
      <c r="U84" s="118"/>
      <c r="V84" s="118"/>
    </row>
    <row r="85">
      <c r="A85" s="264" t="s">
        <v>211</v>
      </c>
      <c r="B85" s="104"/>
      <c r="C85" s="227"/>
      <c r="D85" s="227"/>
      <c r="E85" s="228"/>
      <c r="F85" s="265"/>
      <c r="G85" s="265"/>
      <c r="H85" s="228"/>
      <c r="I85" s="228"/>
      <c r="J85" s="228"/>
      <c r="K85" s="228"/>
      <c r="L85" s="228"/>
      <c r="M85" s="228"/>
      <c r="N85" s="118"/>
      <c r="O85" s="118"/>
      <c r="P85" s="118"/>
      <c r="Q85" s="228"/>
      <c r="R85" s="228"/>
      <c r="S85" s="228"/>
      <c r="T85" s="228"/>
      <c r="U85" s="228"/>
      <c r="V85" s="228"/>
    </row>
    <row r="86" outlineLevel="1">
      <c r="A86" s="106"/>
      <c r="B86" s="107"/>
      <c r="C86" s="266" t="s">
        <v>48</v>
      </c>
      <c r="D86" s="266" t="s">
        <v>49</v>
      </c>
      <c r="E86" s="266" t="s">
        <v>50</v>
      </c>
      <c r="F86" s="267" t="s">
        <v>51</v>
      </c>
      <c r="G86" s="227"/>
      <c r="H86" s="227"/>
      <c r="I86" s="227"/>
      <c r="J86" s="228"/>
      <c r="K86" s="228"/>
      <c r="L86" s="228"/>
      <c r="M86" s="228"/>
      <c r="N86" s="228"/>
      <c r="O86" s="228"/>
      <c r="P86" s="228"/>
      <c r="Q86" s="228"/>
      <c r="R86" s="228"/>
      <c r="S86" s="228"/>
      <c r="T86" s="228"/>
      <c r="U86" s="228"/>
      <c r="V86" s="228"/>
    </row>
    <row r="87" outlineLevel="1">
      <c r="A87" s="268" t="s">
        <v>212</v>
      </c>
      <c r="B87" s="269" t="s">
        <v>212</v>
      </c>
      <c r="C87" s="239" t="s">
        <v>213</v>
      </c>
      <c r="D87" s="239" t="s">
        <v>86</v>
      </c>
      <c r="E87" s="239" t="s">
        <v>214</v>
      </c>
      <c r="F87" s="138">
        <v>1.56</v>
      </c>
      <c r="G87" s="227"/>
      <c r="H87" s="227"/>
      <c r="I87" s="227"/>
      <c r="J87" s="228"/>
      <c r="K87" s="228"/>
      <c r="L87" s="228"/>
      <c r="M87" s="228"/>
      <c r="N87" s="228"/>
      <c r="O87" s="228"/>
      <c r="P87" s="228"/>
      <c r="Q87" s="228"/>
      <c r="R87" s="228"/>
      <c r="S87" s="228"/>
      <c r="T87" s="228"/>
      <c r="U87" s="228"/>
      <c r="V87" s="228"/>
    </row>
    <row r="88" outlineLevel="1">
      <c r="A88" s="270" t="s">
        <v>215</v>
      </c>
      <c r="B88" s="269" t="s">
        <v>216</v>
      </c>
      <c r="C88" s="239" t="s">
        <v>3992</v>
      </c>
      <c r="D88" s="239" t="s">
        <v>810</v>
      </c>
      <c r="E88" s="271"/>
      <c r="F88" s="272"/>
      <c r="G88" s="272"/>
      <c r="H88" s="227"/>
      <c r="I88" s="227"/>
      <c r="J88" s="228"/>
      <c r="K88" s="228"/>
      <c r="L88" s="228"/>
      <c r="M88" s="228"/>
      <c r="N88" s="228"/>
      <c r="O88" s="228"/>
      <c r="P88" s="228"/>
      <c r="Q88" s="228"/>
      <c r="R88" s="228"/>
      <c r="S88" s="228"/>
      <c r="T88" s="228"/>
      <c r="U88" s="228"/>
      <c r="V88" s="228"/>
    </row>
    <row r="89" outlineLevel="1">
      <c r="A89" s="212"/>
      <c r="B89" s="269" t="s">
        <v>219</v>
      </c>
      <c r="C89" s="239" t="s">
        <v>3993</v>
      </c>
      <c r="D89" s="239" t="s">
        <v>1577</v>
      </c>
      <c r="E89" s="271"/>
      <c r="F89" s="272"/>
      <c r="G89" s="272"/>
      <c r="H89" s="227"/>
      <c r="I89" s="227"/>
      <c r="J89" s="228"/>
      <c r="K89" s="228"/>
      <c r="L89" s="228"/>
      <c r="M89" s="228"/>
      <c r="N89" s="228"/>
      <c r="O89" s="228"/>
      <c r="P89" s="228"/>
      <c r="Q89" s="228"/>
      <c r="R89" s="228"/>
      <c r="S89" s="228"/>
      <c r="T89" s="228"/>
      <c r="U89" s="228"/>
      <c r="V89" s="228"/>
    </row>
    <row r="90" outlineLevel="1">
      <c r="A90" s="106"/>
      <c r="B90" s="269" t="s">
        <v>222</v>
      </c>
      <c r="C90" s="239" t="s">
        <v>3994</v>
      </c>
      <c r="D90" s="239" t="s">
        <v>601</v>
      </c>
      <c r="E90" s="227"/>
      <c r="F90" s="272"/>
      <c r="G90" s="272"/>
      <c r="H90" s="227"/>
      <c r="I90" s="227"/>
      <c r="J90" s="228"/>
      <c r="K90" s="228"/>
      <c r="L90" s="228"/>
      <c r="M90" s="228"/>
      <c r="N90" s="228"/>
      <c r="O90" s="228"/>
      <c r="P90" s="228"/>
      <c r="Q90" s="228"/>
      <c r="R90" s="228"/>
      <c r="S90" s="228"/>
      <c r="T90" s="228"/>
      <c r="U90" s="228"/>
      <c r="V90" s="228"/>
    </row>
    <row r="91" outlineLevel="1">
      <c r="A91" s="273" t="s">
        <v>225</v>
      </c>
      <c r="B91" s="109"/>
      <c r="C91" s="266" t="s">
        <v>48</v>
      </c>
      <c r="D91" s="266" t="s">
        <v>49</v>
      </c>
      <c r="E91" s="266" t="s">
        <v>50</v>
      </c>
      <c r="F91" s="267" t="s">
        <v>51</v>
      </c>
      <c r="G91" s="1168" t="s">
        <v>53</v>
      </c>
      <c r="H91" s="110"/>
      <c r="I91" s="110"/>
      <c r="J91" s="109"/>
      <c r="K91" s="275" t="str">
        <f>'テンプレート'!K97</f>
        <v>ベクトル</v>
      </c>
      <c r="L91" s="275" t="str">
        <f>'テンプレート'!L97</f>
        <v>KBG (R.E.)</v>
      </c>
      <c r="M91" s="275" t="str">
        <f>'テンプレート'!M97</f>
        <v>BKB (R.A.)</v>
      </c>
      <c r="N91" s="275" t="str">
        <f>'テンプレート'!N97</f>
        <v>FKB (R.F.)</v>
      </c>
      <c r="O91" s="276" t="str">
        <f>'テンプレート'!O97</f>
        <v>盾削り値</v>
      </c>
      <c r="P91" s="275" t="str">
        <f>'テンプレート'!P97</f>
        <v>ﾋｯﾄｽﾄｯﾌﾟ</v>
      </c>
      <c r="Q91" s="276" t="str">
        <f>'テンプレート'!Q97</f>
        <v>ずらし</v>
      </c>
      <c r="R91" s="277"/>
      <c r="S91" s="277"/>
      <c r="T91" s="277"/>
      <c r="U91" s="277"/>
      <c r="V91" s="277"/>
    </row>
    <row r="92" outlineLevel="1">
      <c r="A92" s="278" t="s">
        <v>226</v>
      </c>
      <c r="B92" s="269" t="s">
        <v>227</v>
      </c>
      <c r="C92" s="261"/>
      <c r="D92" s="279">
        <v>33.0</v>
      </c>
      <c r="E92" s="261"/>
      <c r="F92" s="261"/>
      <c r="G92" s="1170"/>
      <c r="H92" s="164"/>
      <c r="I92" s="164"/>
      <c r="J92" s="104"/>
      <c r="K92" s="261"/>
      <c r="L92" s="261"/>
      <c r="M92" s="261"/>
      <c r="N92" s="261"/>
      <c r="O92" s="261"/>
      <c r="P92" s="261"/>
      <c r="Q92" s="261"/>
      <c r="R92" s="277"/>
      <c r="S92" s="228"/>
      <c r="T92" s="228"/>
      <c r="U92" s="228"/>
      <c r="V92" s="228"/>
    </row>
    <row r="93" outlineLevel="1">
      <c r="A93" s="156"/>
      <c r="B93" s="269" t="s">
        <v>225</v>
      </c>
      <c r="C93" s="113">
        <v>13.0</v>
      </c>
      <c r="D93" s="156"/>
      <c r="E93" s="239" t="s">
        <v>80</v>
      </c>
      <c r="F93" s="138">
        <v>9.6</v>
      </c>
      <c r="G93" s="106"/>
      <c r="H93" s="168"/>
      <c r="I93" s="168"/>
      <c r="J93" s="107"/>
      <c r="K93" s="282"/>
      <c r="L93" s="282"/>
      <c r="M93" s="363"/>
      <c r="N93" s="363"/>
      <c r="O93" s="261"/>
      <c r="P93" s="261"/>
      <c r="Q93" s="261"/>
      <c r="R93" s="277"/>
      <c r="S93" s="228"/>
      <c r="T93" s="228"/>
      <c r="U93" s="228"/>
      <c r="V93" s="228"/>
    </row>
    <row r="94" outlineLevel="1">
      <c r="A94" s="278" t="s">
        <v>229</v>
      </c>
      <c r="B94" s="269" t="s">
        <v>227</v>
      </c>
      <c r="C94" s="261"/>
      <c r="D94" s="367" t="s">
        <v>462</v>
      </c>
      <c r="E94" s="261"/>
      <c r="F94" s="261"/>
      <c r="G94" s="1170"/>
      <c r="H94" s="164"/>
      <c r="I94" s="164"/>
      <c r="J94" s="104"/>
      <c r="K94" s="261"/>
      <c r="L94" s="261"/>
      <c r="M94" s="261"/>
      <c r="N94" s="261"/>
      <c r="O94" s="261"/>
      <c r="P94" s="261"/>
      <c r="Q94" s="261"/>
      <c r="R94" s="277"/>
      <c r="S94" s="228"/>
      <c r="T94" s="228"/>
      <c r="U94" s="228"/>
      <c r="V94" s="228"/>
    </row>
    <row r="95" outlineLevel="1">
      <c r="A95" s="156"/>
      <c r="B95" s="269" t="s">
        <v>225</v>
      </c>
      <c r="C95" s="239" t="s">
        <v>92</v>
      </c>
      <c r="D95" s="156"/>
      <c r="E95" s="239" t="s">
        <v>232</v>
      </c>
      <c r="F95" s="138">
        <v>13.2</v>
      </c>
      <c r="G95" s="106"/>
      <c r="H95" s="168"/>
      <c r="I95" s="168"/>
      <c r="J95" s="107"/>
      <c r="K95" s="282"/>
      <c r="L95" s="282"/>
      <c r="M95" s="363"/>
      <c r="N95" s="363"/>
      <c r="O95" s="261"/>
      <c r="P95" s="261"/>
      <c r="Q95" s="261"/>
      <c r="R95" s="277"/>
      <c r="S95" s="228"/>
      <c r="T95" s="228"/>
      <c r="U95" s="228"/>
      <c r="V95" s="228"/>
    </row>
    <row r="96" outlineLevel="1">
      <c r="A96" s="278" t="s">
        <v>233</v>
      </c>
      <c r="B96" s="269" t="s">
        <v>227</v>
      </c>
      <c r="C96" s="553"/>
      <c r="D96" s="367" t="s">
        <v>79</v>
      </c>
      <c r="E96" s="553"/>
      <c r="F96" s="261"/>
      <c r="G96" s="1170"/>
      <c r="H96" s="164"/>
      <c r="I96" s="164"/>
      <c r="J96" s="104"/>
      <c r="K96" s="261"/>
      <c r="L96" s="261"/>
      <c r="M96" s="261"/>
      <c r="N96" s="261"/>
      <c r="O96" s="261"/>
      <c r="P96" s="261"/>
      <c r="Q96" s="261"/>
      <c r="R96" s="277"/>
      <c r="S96" s="228"/>
      <c r="T96" s="228"/>
      <c r="U96" s="228"/>
      <c r="V96" s="228"/>
    </row>
    <row r="97" outlineLevel="1">
      <c r="A97" s="156"/>
      <c r="B97" s="269" t="s">
        <v>225</v>
      </c>
      <c r="C97" s="113">
        <v>18.0</v>
      </c>
      <c r="D97" s="156"/>
      <c r="E97" s="239" t="s">
        <v>150</v>
      </c>
      <c r="F97" s="138">
        <v>6.0</v>
      </c>
      <c r="G97" s="106"/>
      <c r="H97" s="168"/>
      <c r="I97" s="168"/>
      <c r="J97" s="107"/>
      <c r="K97" s="282"/>
      <c r="L97" s="282"/>
      <c r="M97" s="363"/>
      <c r="N97" s="363"/>
      <c r="O97" s="261"/>
      <c r="P97" s="261"/>
      <c r="Q97" s="261"/>
      <c r="R97" s="277"/>
      <c r="S97" s="117"/>
      <c r="T97" s="117"/>
      <c r="U97" s="117"/>
      <c r="V97" s="117"/>
    </row>
    <row r="98" outlineLevel="1">
      <c r="A98" s="278" t="s">
        <v>234</v>
      </c>
      <c r="B98" s="269" t="s">
        <v>1096</v>
      </c>
      <c r="C98" s="239" t="s">
        <v>3995</v>
      </c>
      <c r="D98" s="279">
        <v>64.0</v>
      </c>
      <c r="E98" s="239" t="s">
        <v>1024</v>
      </c>
      <c r="F98" s="138">
        <v>1.7999999999999998</v>
      </c>
      <c r="G98" s="1170"/>
      <c r="H98" s="164"/>
      <c r="I98" s="164"/>
      <c r="J98" s="104"/>
      <c r="K98" s="282"/>
      <c r="L98" s="282"/>
      <c r="M98" s="363"/>
      <c r="N98" s="363"/>
      <c r="O98" s="145">
        <v>0.0</v>
      </c>
      <c r="P98" s="145">
        <v>1.0</v>
      </c>
      <c r="Q98" s="145">
        <v>1.0</v>
      </c>
      <c r="R98" s="277"/>
      <c r="S98" s="117"/>
      <c r="T98" s="117"/>
      <c r="U98" s="117"/>
      <c r="V98" s="117"/>
    </row>
    <row r="99" outlineLevel="1">
      <c r="A99" s="156"/>
      <c r="B99" s="269" t="s">
        <v>225</v>
      </c>
      <c r="C99" s="239" t="s">
        <v>218</v>
      </c>
      <c r="D99" s="156"/>
      <c r="E99" s="239" t="s">
        <v>86</v>
      </c>
      <c r="F99" s="138">
        <v>7.199999999999999</v>
      </c>
      <c r="G99" s="106"/>
      <c r="H99" s="168"/>
      <c r="I99" s="168"/>
      <c r="J99" s="107"/>
      <c r="K99" s="282"/>
      <c r="L99" s="282"/>
      <c r="M99" s="363"/>
      <c r="N99" s="363"/>
      <c r="O99" s="261"/>
      <c r="P99" s="261"/>
      <c r="Q99" s="261"/>
      <c r="R99" s="277"/>
      <c r="S99" s="117"/>
      <c r="T99" s="117"/>
      <c r="U99" s="117"/>
      <c r="V99" s="117"/>
    </row>
    <row r="100">
      <c r="A100" s="223"/>
      <c r="B100" s="224"/>
      <c r="C100" s="225"/>
      <c r="D100" s="225"/>
      <c r="E100" s="227"/>
      <c r="F100" s="177"/>
      <c r="G100" s="177"/>
      <c r="H100" s="227"/>
      <c r="I100" s="227"/>
      <c r="J100" s="228"/>
      <c r="K100" s="228"/>
      <c r="L100" s="111"/>
      <c r="M100" s="111"/>
      <c r="N100" s="111"/>
      <c r="O100" s="117"/>
      <c r="P100" s="117"/>
      <c r="Q100" s="111"/>
      <c r="R100" s="111"/>
      <c r="S100" s="111"/>
      <c r="T100" s="111"/>
      <c r="U100" s="111"/>
      <c r="V100" s="111"/>
    </row>
    <row r="101">
      <c r="A101" s="284" t="s">
        <v>241</v>
      </c>
      <c r="B101" s="104"/>
      <c r="C101" s="265"/>
      <c r="D101" s="111"/>
      <c r="E101" s="111"/>
      <c r="F101" s="111"/>
      <c r="G101" s="111"/>
      <c r="H101" s="111"/>
      <c r="I101" s="111"/>
      <c r="J101" s="118"/>
      <c r="K101" s="111"/>
      <c r="L101" s="111"/>
      <c r="M101" s="111"/>
      <c r="N101" s="111"/>
      <c r="O101" s="111"/>
      <c r="P101" s="111"/>
      <c r="Q101" s="118"/>
      <c r="R101" s="111"/>
      <c r="S101" s="111"/>
      <c r="T101" s="111"/>
      <c r="U101" s="111"/>
      <c r="V101" s="111"/>
    </row>
    <row r="102" outlineLevel="1">
      <c r="A102" s="106"/>
      <c r="B102" s="107"/>
      <c r="C102" s="285" t="s">
        <v>235</v>
      </c>
      <c r="D102" s="285" t="s">
        <v>236</v>
      </c>
      <c r="E102" s="285" t="s">
        <v>49</v>
      </c>
      <c r="F102" s="285" t="s">
        <v>237</v>
      </c>
      <c r="G102" s="286"/>
      <c r="H102" s="227"/>
      <c r="I102" s="227"/>
      <c r="J102" s="228"/>
      <c r="K102" s="228"/>
      <c r="L102" s="111"/>
      <c r="M102" s="111"/>
      <c r="N102" s="111"/>
      <c r="O102" s="111"/>
      <c r="P102" s="111"/>
      <c r="Q102" s="111"/>
      <c r="R102" s="111"/>
      <c r="S102" s="111"/>
      <c r="T102" s="111"/>
      <c r="U102" s="111"/>
      <c r="V102" s="111"/>
    </row>
    <row r="103" outlineLevel="1">
      <c r="A103" s="287" t="s">
        <v>395</v>
      </c>
      <c r="B103" s="288" t="s">
        <v>216</v>
      </c>
      <c r="C103" s="113" t="str">
        <f t="array" ref="C103">INDEX('回避'!$C$3:$U$84, MATCH($A$1,'回避'!$A$3:$A$91,0), MATCH(C102,'回避'!$C$2:$F$2,0))</f>
        <v>3-17</v>
      </c>
      <c r="D103" s="113" t="str">
        <f t="array" ref="D103">INDEX('回避'!$C$3:$U$84, MATCH($A$1,'回避'!$A$3:$A$91,0), MATCH(D102,'回避'!$C$2:$F$2,0))</f>
        <v>6-17</v>
      </c>
      <c r="E103" s="113" t="str">
        <f t="array" ref="E103">INDEX('回避'!$C$3:$U$84, MATCH($A$1,'回避'!$A$3:$A$91,0), MATCH(E102,'回避'!$C$2:$F$2,0))</f>
        <v>25 (20)</v>
      </c>
      <c r="F103" s="113" t="str">
        <f t="array" ref="F103">INDEX('回避'!$C$3:$U$84, MATCH($A$1,'回避'!$A$3:$A$91,0), MATCH(F102,'回避'!$C$2:$F$2,0))</f>
        <v>33 (27)</v>
      </c>
      <c r="G103" s="272"/>
      <c r="H103" s="227"/>
      <c r="I103" s="227"/>
      <c r="J103" s="228"/>
      <c r="K103" s="228"/>
      <c r="L103" s="228"/>
      <c r="M103" s="111"/>
      <c r="N103" s="111"/>
      <c r="O103" s="111"/>
      <c r="P103" s="111"/>
      <c r="Q103" s="111"/>
      <c r="R103" s="111"/>
      <c r="S103" s="111"/>
      <c r="T103" s="111"/>
      <c r="U103" s="111"/>
      <c r="V103" s="111"/>
    </row>
    <row r="104" outlineLevel="1">
      <c r="A104" s="212"/>
      <c r="B104" s="288" t="s">
        <v>245</v>
      </c>
      <c r="C104" s="113" t="str">
        <f t="array" ref="C104">INDEX('回避'!$G$3:$U$84, MATCH($A$1,'回避'!$A$3:$A$91,0), MATCH(C102,'回避'!$G$2:$J$2,0))</f>
        <v>4-15</v>
      </c>
      <c r="D104" s="113" t="str">
        <f t="array" ref="D104">INDEX('回避'!$G$3:$U$84, MATCH($A$1,'回避'!$A$3:$A$91,0), MATCH(D102,'回避'!$G$2:$J$2,0))</f>
        <v>8-14</v>
      </c>
      <c r="E104" s="113" t="str">
        <f t="array" ref="E104">INDEX('回避'!$G$3:$U$84, MATCH($A$1,'回避'!$A$3:$A$91,0), MATCH(E102,'回避'!$G$2:$J$2,0))</f>
        <v>29</v>
      </c>
      <c r="F104" s="113">
        <f t="array" ref="F104">INDEX('回避'!$G$3:$U$84, MATCH($A$1,'回避'!$A$3:$A$91,0), MATCH(F102,'回避'!$G$2:$J$2,0))</f>
        <v>38</v>
      </c>
      <c r="G104" s="289"/>
      <c r="H104" s="227"/>
      <c r="I104" s="227"/>
      <c r="J104" s="228"/>
      <c r="K104" s="228"/>
      <c r="L104" s="228"/>
      <c r="M104" s="228"/>
      <c r="N104" s="228"/>
      <c r="O104" s="111"/>
      <c r="P104" s="111"/>
      <c r="Q104" s="111"/>
      <c r="R104" s="111"/>
      <c r="S104" s="111"/>
      <c r="T104" s="111"/>
      <c r="U104" s="111"/>
      <c r="V104" s="111"/>
    </row>
    <row r="105" outlineLevel="1">
      <c r="A105" s="106"/>
      <c r="B105" s="288" t="s">
        <v>246</v>
      </c>
      <c r="C105" s="113" t="str">
        <f t="array" ref="C105">INDEX('回避'!$K$3:$U$84, MATCH($A$1,'回避'!$A$3:$A$91,0), MATCH(C102,'回避'!$K$2:$N$2,0))</f>
        <v>5-16</v>
      </c>
      <c r="D105" s="113" t="str">
        <f t="array" ref="D105">INDEX('回避'!$K$3:$U$84, MATCH($A$1,'回避'!$A$3:$A$91,0), MATCH(D102,'回避'!$K$2:$N$2,0))</f>
        <v>9-14</v>
      </c>
      <c r="E105" s="113" t="str">
        <f t="array" ref="E105">INDEX('回避'!$K$3:$U$84, MATCH($A$1,'回避'!$A$3:$A$91,0), MATCH(E102,'回避'!$K$2:$N$2,0))</f>
        <v>34</v>
      </c>
      <c r="F105" s="113" t="str">
        <f t="array" ref="F105">INDEX('回避'!$K$3:$U$84, MATCH($A$1,'回避'!$A$3:$A$91,0), MATCH(F102,'回避'!$K$2:$N$2,0))</f>
        <v>51</v>
      </c>
      <c r="G105" s="289"/>
      <c r="H105" s="290"/>
      <c r="I105" s="290"/>
      <c r="J105" s="117"/>
      <c r="K105" s="117"/>
      <c r="L105" s="117"/>
      <c r="M105" s="117"/>
      <c r="N105" s="117"/>
      <c r="O105" s="111"/>
      <c r="P105" s="111"/>
      <c r="Q105" s="111"/>
      <c r="R105" s="111"/>
      <c r="S105" s="111"/>
      <c r="T105" s="111"/>
      <c r="U105" s="111"/>
      <c r="V105" s="111"/>
    </row>
    <row r="106" outlineLevel="1">
      <c r="A106" s="287" t="s">
        <v>396</v>
      </c>
      <c r="B106" s="288" t="s">
        <v>397</v>
      </c>
      <c r="C106" s="113" t="str">
        <f t="array" ref="C106">INDEX('回避'!$O$3:$U$84, MATCH($A$1,'回避'!$A$3:$A$91,0), MATCH(C102,'回避'!$O$2:$R$2,0))</f>
        <v>3-29</v>
      </c>
      <c r="D106" s="113" t="str">
        <f t="array" ref="D106">INDEX('回避'!$O$3:$U$84, MATCH($A$1,'回避'!$A$3:$A$91,0), MATCH(D102,'回避'!$O$2:$R$2,0))</f>
        <v>6-27</v>
      </c>
      <c r="E106" s="113" t="str">
        <f t="array" ref="E106">INDEX('回避'!$O$3:$U$84, MATCH($A$1,'回避'!$A$3:$A$91,0), MATCH(E102,'回避'!$O$2:$R$2,0))</f>
        <v>55</v>
      </c>
      <c r="F106" s="177"/>
      <c r="G106" s="177"/>
      <c r="H106" s="118"/>
      <c r="I106" s="118"/>
      <c r="J106" s="111"/>
      <c r="K106" s="111"/>
      <c r="L106" s="111"/>
      <c r="M106" s="111"/>
      <c r="N106" s="111"/>
      <c r="O106" s="228"/>
      <c r="P106" s="228"/>
      <c r="Q106" s="228"/>
      <c r="R106" s="228"/>
      <c r="S106" s="228"/>
      <c r="T106" s="228"/>
      <c r="U106" s="228"/>
      <c r="V106" s="228"/>
    </row>
    <row r="107" outlineLevel="1">
      <c r="A107" s="106"/>
      <c r="B107" s="288" t="s">
        <v>398</v>
      </c>
      <c r="C107" s="113" t="str">
        <f t="array" ref="C107">INDEX('回避'!$S$3:$U$84, MATCH($A$1,'回避'!$A$3:$A$91,0), MATCH(C102,'回避'!$S$2:$U$2,0))</f>
        <v>3-21</v>
      </c>
      <c r="D107" s="113" t="str">
        <f t="array" ref="D107">INDEX('回避'!$S$3:$U$84, MATCH($A$1,'回避'!$A$3:$A$91,0), MATCH(D102,'回避'!$S$2:$U$2,0))</f>
        <v>6-20</v>
      </c>
      <c r="E107" s="113" t="str">
        <f t="array" ref="E107">INDEX('回避'!$S$3:$U$84, MATCH($A$1,'回避'!$A$3:$A$91,0), MATCH(E102,'回避'!$S$2:$U$2,0))</f>
        <v>真横：95
真上：130
真下：78</v>
      </c>
      <c r="F107" s="289"/>
      <c r="G107" s="289"/>
      <c r="H107" s="118"/>
      <c r="I107" s="118"/>
      <c r="J107" s="117"/>
      <c r="K107" s="117"/>
      <c r="L107" s="117"/>
      <c r="M107" s="117"/>
      <c r="N107" s="111"/>
      <c r="O107" s="118"/>
      <c r="P107" s="118"/>
      <c r="Q107" s="118"/>
      <c r="R107" s="118"/>
      <c r="S107" s="118"/>
      <c r="T107" s="118"/>
      <c r="U107" s="118"/>
      <c r="V107" s="118"/>
    </row>
    <row r="108">
      <c r="A108" s="291"/>
      <c r="B108" s="292"/>
      <c r="C108" s="286"/>
      <c r="D108" s="286"/>
      <c r="E108" s="293"/>
      <c r="F108" s="286"/>
      <c r="G108" s="286"/>
      <c r="H108" s="286"/>
      <c r="I108" s="286"/>
      <c r="J108" s="111"/>
      <c r="K108" s="227"/>
      <c r="L108" s="227"/>
      <c r="M108" s="227"/>
      <c r="N108" s="227"/>
      <c r="O108" s="118"/>
      <c r="P108" s="118"/>
      <c r="Q108" s="118"/>
      <c r="R108" s="118"/>
      <c r="S108" s="118"/>
      <c r="T108" s="118"/>
      <c r="U108" s="118"/>
      <c r="V108" s="118"/>
    </row>
    <row r="109">
      <c r="A109" s="2534" t="s">
        <v>238</v>
      </c>
      <c r="B109" s="104"/>
      <c r="C109" s="2535"/>
      <c r="D109" s="2536"/>
      <c r="E109" s="2535"/>
      <c r="F109" s="2537"/>
      <c r="G109" s="2537"/>
      <c r="H109" s="117"/>
      <c r="I109" s="117"/>
      <c r="J109" s="118"/>
      <c r="K109" s="118"/>
      <c r="L109" s="118"/>
      <c r="M109" s="118"/>
      <c r="N109" s="118"/>
      <c r="O109" s="118"/>
      <c r="P109" s="118"/>
      <c r="Q109" s="118"/>
      <c r="R109" s="118"/>
      <c r="S109" s="118"/>
      <c r="T109" s="118"/>
      <c r="U109" s="118"/>
      <c r="V109" s="118"/>
    </row>
    <row r="110" outlineLevel="1">
      <c r="A110" s="106"/>
      <c r="B110" s="107"/>
      <c r="C110" s="2538" t="s">
        <v>235</v>
      </c>
      <c r="D110" s="2538" t="s">
        <v>49</v>
      </c>
      <c r="E110" s="2538" t="s">
        <v>48</v>
      </c>
      <c r="F110" s="2538" t="s">
        <v>50</v>
      </c>
      <c r="G110" s="2539" t="s">
        <v>51</v>
      </c>
      <c r="H110" s="228"/>
      <c r="I110" s="228"/>
      <c r="J110" s="117"/>
      <c r="K110" s="297" t="str">
        <f>'テンプレート'!K116</f>
        <v>アイテム取得</v>
      </c>
      <c r="L110" s="109"/>
      <c r="M110" s="298" t="str">
        <f>'テンプレート'!M116</f>
        <v>取得フレーム</v>
      </c>
      <c r="N110" s="298" t="str">
        <f>'テンプレート'!N116</f>
        <v>全体フレーム</v>
      </c>
      <c r="O110" s="118"/>
      <c r="P110" s="118"/>
      <c r="Q110" s="118"/>
      <c r="R110" s="118"/>
      <c r="S110" s="118"/>
      <c r="T110" s="118"/>
      <c r="U110" s="118"/>
      <c r="V110" s="118"/>
    </row>
    <row r="111" outlineLevel="1">
      <c r="A111" s="299" t="s">
        <v>239</v>
      </c>
      <c r="B111" s="300" t="s">
        <v>240</v>
      </c>
      <c r="C111" s="1162"/>
      <c r="D111" s="518">
        <f t="array" ref="D111">INDEX('崖行動・受け身'!$C$3:$C114, MATCH($A$1,'崖行動・受け身'!$A$3:$A$115,0), MATCH(D110,'崖行動・受け身'!$C$2,0))</f>
        <v>19</v>
      </c>
      <c r="E111" s="1162"/>
      <c r="F111" s="1162"/>
      <c r="G111" s="1162"/>
      <c r="H111" s="228"/>
      <c r="I111" s="228"/>
      <c r="J111" s="111"/>
      <c r="K111" s="302" t="str">
        <f>'テンプレート'!K117</f>
        <v>小アイテム</v>
      </c>
      <c r="L111" s="303" t="str">
        <f>'テンプレート'!L117</f>
        <v>その場</v>
      </c>
      <c r="M111" s="113" t="s">
        <v>76</v>
      </c>
      <c r="N111" s="113">
        <v>7.0</v>
      </c>
      <c r="O111" s="118"/>
      <c r="P111" s="118"/>
      <c r="Q111" s="118"/>
      <c r="R111" s="118"/>
      <c r="S111" s="118"/>
      <c r="T111" s="118"/>
      <c r="U111" s="118"/>
      <c r="V111" s="118"/>
    </row>
    <row r="112" outlineLevel="1">
      <c r="A112" s="146"/>
      <c r="B112" s="300" t="s">
        <v>216</v>
      </c>
      <c r="C112" s="518" t="str">
        <f t="array" ref="C112">INDEX('崖行動・受け身'!$D$3:$E114, MATCH($A$1,'崖行動・受け身'!$A$3:$A$115,0), MATCH(C110,'崖行動・受け身'!$D$2:$E$2,0))</f>
        <v>1-30</v>
      </c>
      <c r="D112" s="518">
        <f t="array" ref="D112">INDEX('崖行動・受け身'!$D$3:$E114, MATCH($A$1,'崖行動・受け身'!$A$3:$A$115,0), MATCH(D110,'崖行動・受け身'!$D$2:$E$2,0))</f>
        <v>31</v>
      </c>
      <c r="E112" s="1162"/>
      <c r="F112" s="1162"/>
      <c r="G112" s="1162"/>
      <c r="H112" s="228"/>
      <c r="I112" s="228"/>
      <c r="J112" s="117"/>
      <c r="K112" s="156"/>
      <c r="L112" s="303" t="str">
        <f>'テンプレート'!L118</f>
        <v>歩き</v>
      </c>
      <c r="M112" s="113" t="s">
        <v>76</v>
      </c>
      <c r="N112" s="113">
        <v>23.0</v>
      </c>
      <c r="O112" s="118"/>
      <c r="P112" s="118"/>
      <c r="Q112" s="118"/>
      <c r="R112" s="118"/>
      <c r="S112" s="118"/>
      <c r="T112" s="118"/>
      <c r="U112" s="118"/>
      <c r="V112" s="118"/>
    </row>
    <row r="113" outlineLevel="1">
      <c r="A113" s="146"/>
      <c r="B113" s="300" t="s">
        <v>241</v>
      </c>
      <c r="C113" s="518" t="str">
        <f t="array" ref="C113">INDEX('崖行動・受け身'!$F$3:$G$115, MATCH($A$1,'崖行動・受け身'!$A$3:$A$115,0), MATCH(C110,'崖行動・受け身'!$F$2:$G$2,0))</f>
        <v>1-27</v>
      </c>
      <c r="D113" s="518">
        <f t="array" ref="D113">INDEX('崖行動・受け身'!$F$3:$G$115, MATCH($A$1,'崖行動・受け身'!$A$3:$A$115,0), MATCH(D110,'崖行動・受け身'!$F$2:$G$2,0))</f>
        <v>45</v>
      </c>
      <c r="E113" s="1162"/>
      <c r="F113" s="1162"/>
      <c r="G113" s="1162"/>
      <c r="H113" s="228"/>
      <c r="I113" s="228"/>
      <c r="J113" s="111"/>
      <c r="K113" s="304" t="str">
        <f>'テンプレート'!K119</f>
        <v>アイテム投擲</v>
      </c>
      <c r="L113" s="109"/>
      <c r="M113" s="298" t="str">
        <f>'テンプレート'!M119</f>
        <v>投擲フレーム</v>
      </c>
      <c r="N113" s="298" t="str">
        <f>'テンプレート'!N119</f>
        <v>全体フレーム</v>
      </c>
      <c r="O113" s="118"/>
      <c r="P113" s="118"/>
      <c r="Q113" s="118"/>
      <c r="R113" s="118"/>
      <c r="S113" s="118"/>
      <c r="T113" s="118"/>
      <c r="U113" s="118"/>
      <c r="V113" s="118"/>
    </row>
    <row r="114" outlineLevel="1">
      <c r="A114" s="146"/>
      <c r="B114" s="300" t="s">
        <v>242</v>
      </c>
      <c r="C114" s="518" t="str">
        <f t="array" ref="C114">INDEX('崖行動・受け身'!$H$3:$I$115, MATCH($A$1,'崖行動・受け身'!$A$3:$A$115,0), MATCH(C110,'崖行動・受け身'!$H$2:$I$2,0))</f>
        <v>1-12</v>
      </c>
      <c r="D114" s="518">
        <f t="array" ref="D114">INDEX('崖行動・受け身'!$H$3:$I$115, MATCH($A$1,'崖行動・受け身'!$A$3:$A$115,0), MATCH(D110,'崖行動・受け身'!$H$2:$I$2,0))</f>
        <v>14</v>
      </c>
      <c r="E114" s="1162"/>
      <c r="F114" s="1162"/>
      <c r="G114" s="1162"/>
      <c r="H114" s="228"/>
      <c r="I114" s="228"/>
      <c r="J114" s="117"/>
      <c r="K114" s="305" t="str">
        <f>'テンプレート'!K120</f>
        <v>地上投擲</v>
      </c>
      <c r="L114" s="303" t="str">
        <f>'テンプレート'!L120</f>
        <v>前投げ</v>
      </c>
      <c r="M114" s="113" t="s">
        <v>80</v>
      </c>
      <c r="N114" s="113">
        <v>24.0</v>
      </c>
      <c r="O114" s="111"/>
      <c r="P114" s="111"/>
      <c r="Q114" s="111"/>
      <c r="R114" s="111"/>
      <c r="S114" s="111"/>
      <c r="T114" s="111"/>
      <c r="U114" s="111"/>
      <c r="V114" s="111"/>
    </row>
    <row r="115" outlineLevel="1">
      <c r="A115" s="156"/>
      <c r="B115" s="300" t="s">
        <v>243</v>
      </c>
      <c r="C115" s="518" t="str">
        <f t="array" ref="C115">INDEX('崖行動・受け身'!$J$3:$M$115, MATCH($A$1,'崖行動・受け身'!$A$3:$A$115,0), MATCH(C110,'崖行動・受け身'!$J$2:$M$2,0))</f>
        <v>1-22</v>
      </c>
      <c r="D115" s="518">
        <f t="array" ref="D115">INDEX('崖行動・受け身'!$J$3:$M$115, MATCH($A$1,'崖行動・受け身'!$A$3:$A$115,0), MATCH(D110,'崖行動・受け身'!$J$2:$M$2,0))</f>
        <v>55</v>
      </c>
      <c r="E115" s="518" t="str">
        <f t="array" ref="E115">INDEX('崖行動・受け身'!$J$3:$M$115, MATCH($A$1,'崖行動・受け身'!$A$3:$A$115,0), MATCH(E110,'崖行動・受け身'!$J$2:$M$2,0))</f>
        <v>20-22</v>
      </c>
      <c r="F115" s="518">
        <f t="array" ref="F115">INDEX('崖行動・受け身'!$J$3:$M$115, MATCH($A$1,'崖行動・受け身'!$A$3:$A$115,0), MATCH(F110,'崖行動・受け身'!$J$2:$M$2,0))</f>
        <v>9</v>
      </c>
      <c r="G115" s="518">
        <f>F115*1.2</f>
        <v>10.8</v>
      </c>
      <c r="H115" s="228"/>
      <c r="I115" s="228"/>
      <c r="J115" s="111"/>
      <c r="K115" s="146"/>
      <c r="L115" s="303" t="str">
        <f>'テンプレート'!L121</f>
        <v>後投げ</v>
      </c>
      <c r="M115" s="113" t="s">
        <v>232</v>
      </c>
      <c r="N115" s="113">
        <v>24.0</v>
      </c>
      <c r="O115" s="111"/>
      <c r="P115" s="111"/>
      <c r="Q115" s="111"/>
      <c r="R115" s="111"/>
      <c r="S115" s="111"/>
      <c r="T115" s="111"/>
      <c r="U115" s="111"/>
      <c r="V115" s="111"/>
    </row>
    <row r="116" outlineLevel="1">
      <c r="A116" s="299" t="s">
        <v>244</v>
      </c>
      <c r="B116" s="300" t="s">
        <v>216</v>
      </c>
      <c r="C116" s="518" t="str">
        <f t="array" ref="C116">INDEX('崖行動・受け身'!$N$3:$O$115, MATCH($A$1,'崖行動・受け身'!$A$3:$A$115,0), MATCH(C110,'崖行動・受け身'!$N$2:$O$2,0))</f>
        <v>1-20</v>
      </c>
      <c r="D116" s="518">
        <f t="array" ref="D116">INDEX('崖行動・受け身'!$N$3:$O$115, MATCH($A$1,'崖行動・受け身'!$A$3:$A$115,0), MATCH(D110,'崖行動・受け身'!$N$2:$O$2,0))</f>
        <v>26</v>
      </c>
      <c r="E116" s="1162"/>
      <c r="F116" s="1162"/>
      <c r="G116" s="1162"/>
      <c r="H116" s="228"/>
      <c r="I116" s="228"/>
      <c r="J116" s="117"/>
      <c r="K116" s="146"/>
      <c r="L116" s="303" t="str">
        <f>'テンプレート'!L122</f>
        <v>上投げ</v>
      </c>
      <c r="M116" s="113" t="s">
        <v>129</v>
      </c>
      <c r="N116" s="113">
        <v>23.0</v>
      </c>
      <c r="O116" s="228"/>
      <c r="P116" s="228"/>
      <c r="Q116" s="228"/>
      <c r="R116" s="228"/>
      <c r="S116" s="228"/>
      <c r="T116" s="228"/>
      <c r="U116" s="228"/>
      <c r="V116" s="228"/>
    </row>
    <row r="117" outlineLevel="1">
      <c r="A117" s="146"/>
      <c r="B117" s="300" t="s">
        <v>245</v>
      </c>
      <c r="C117" s="518" t="str">
        <f t="array" ref="C117">INDEX('崖行動・受け身'!$P$3:$Q$115, MATCH($A$1,'崖行動・受け身'!$A$3:$A$115,0), MATCH(C110,'崖行動・受け身'!$P$2:$Q$2,0))</f>
        <v>1-20</v>
      </c>
      <c r="D117" s="518">
        <f t="array" ref="D117">INDEX('崖行動・受け身'!$P$3:$Q$115, MATCH($A$1,'崖行動・受け身'!$A$3:$A$115,0), MATCH(D110,'崖行動・受け身'!$P$2:$Q$2,0))</f>
        <v>40</v>
      </c>
      <c r="E117" s="1162"/>
      <c r="F117" s="1162"/>
      <c r="G117" s="1162"/>
      <c r="H117" s="228"/>
      <c r="I117" s="228"/>
      <c r="J117" s="111"/>
      <c r="K117" s="146"/>
      <c r="L117" s="303" t="str">
        <f>'テンプレート'!L123</f>
        <v>下投げ</v>
      </c>
      <c r="M117" s="113" t="s">
        <v>93</v>
      </c>
      <c r="N117" s="113">
        <v>19.0</v>
      </c>
      <c r="O117" s="118"/>
      <c r="P117" s="118"/>
      <c r="Q117" s="118"/>
      <c r="R117" s="118"/>
      <c r="S117" s="118"/>
      <c r="T117" s="118"/>
      <c r="U117" s="118"/>
      <c r="V117" s="118"/>
    </row>
    <row r="118" outlineLevel="1">
      <c r="A118" s="156"/>
      <c r="B118" s="300" t="s">
        <v>246</v>
      </c>
      <c r="C118" s="518" t="str">
        <f t="array" ref="C118">INDEX('崖行動・受け身'!$R$3:$S$115, MATCH($A$1,'崖行動・受け身'!$A$3:$A$115,0), MATCH(C110,'崖行動・受け身'!$R$2:$S$2,0))</f>
        <v>1-20</v>
      </c>
      <c r="D118" s="518">
        <f t="array" ref="D118">INDEX('崖行動・受け身'!$R$3:$S$115, MATCH($A$1,'崖行動・受け身'!$A$3:$A$115,0), MATCH(D110,'崖行動・受け身'!$R$2:$S$2,0))</f>
        <v>40</v>
      </c>
      <c r="E118" s="1162"/>
      <c r="F118" s="1162"/>
      <c r="G118" s="1162"/>
      <c r="H118" s="228"/>
      <c r="I118" s="228"/>
      <c r="J118" s="117"/>
      <c r="K118" s="146"/>
      <c r="L118" s="306" t="str">
        <f>'テンプレート'!L124</f>
        <v>ダッシュ</v>
      </c>
      <c r="M118" s="113" t="s">
        <v>150</v>
      </c>
      <c r="N118" s="113">
        <v>37.0</v>
      </c>
      <c r="O118" s="118"/>
      <c r="P118" s="118"/>
      <c r="Q118" s="118"/>
      <c r="R118" s="118"/>
      <c r="S118" s="118"/>
      <c r="T118" s="118"/>
      <c r="U118" s="118"/>
      <c r="V118" s="118"/>
    </row>
    <row r="119" outlineLevel="1">
      <c r="A119" s="299" t="s">
        <v>247</v>
      </c>
      <c r="B119" s="300" t="s">
        <v>248</v>
      </c>
      <c r="C119" s="1162"/>
      <c r="D119" s="518" t="str">
        <f t="array" ref="D119">INDEX('起きあがり'!$C$3:$C114, MATCH($A$1,'起きあがり'!$A$3:$A$115,0), MATCH(D110,'起きあがり'!$C$2:$AD$2,0))</f>
        <v>25</v>
      </c>
      <c r="E119" s="1162"/>
      <c r="F119" s="1162"/>
      <c r="G119" s="1162"/>
      <c r="H119" s="228"/>
      <c r="I119" s="228"/>
      <c r="J119" s="111"/>
      <c r="K119" s="156"/>
      <c r="L119" s="306" t="str">
        <f>'テンプレート'!L125</f>
        <v>その場捨て</v>
      </c>
      <c r="M119" s="113" t="s">
        <v>86</v>
      </c>
      <c r="N119" s="113">
        <v>23.0</v>
      </c>
      <c r="O119" s="118"/>
      <c r="P119" s="118"/>
      <c r="Q119" s="118"/>
      <c r="R119" s="118"/>
      <c r="S119" s="118"/>
      <c r="T119" s="118"/>
      <c r="U119" s="118"/>
      <c r="V119" s="118"/>
    </row>
    <row r="120" outlineLevel="1">
      <c r="A120" s="146"/>
      <c r="B120" s="300" t="s">
        <v>216</v>
      </c>
      <c r="C120" s="2540" t="str">
        <f t="array" ref="C120">INDEX('起きあがり'!$D$3:$E114, MATCH($A$1,'起きあがり'!$A$3:$A$115,0), MATCH(C110,'起きあがり'!$D$2:$AD$2,0))</f>
        <v>1-22</v>
      </c>
      <c r="D120" s="2541">
        <f t="array" ref="D120">INDEX('起きあがり'!$D$3:$E114, MATCH($A$1,'起きあがり'!$A$3:$A$115,0), MATCH(D110,'起きあがり'!$D$2:$AD$2,0))</f>
        <v>29</v>
      </c>
      <c r="E120" s="1162"/>
      <c r="F120" s="1162"/>
      <c r="G120" s="1162"/>
      <c r="H120" s="228"/>
      <c r="I120" s="228"/>
      <c r="J120" s="117"/>
      <c r="K120" s="305" t="str">
        <f>'テンプレート'!K126</f>
        <v>空中投擲</v>
      </c>
      <c r="L120" s="303" t="str">
        <f>'テンプレート'!L126</f>
        <v>前投げ</v>
      </c>
      <c r="M120" s="113" t="s">
        <v>80</v>
      </c>
      <c r="N120" s="113">
        <v>24.0</v>
      </c>
      <c r="O120" s="118"/>
      <c r="P120" s="118"/>
      <c r="Q120" s="118"/>
      <c r="R120" s="118"/>
      <c r="S120" s="118"/>
      <c r="T120" s="118"/>
      <c r="U120" s="118"/>
      <c r="V120" s="118"/>
    </row>
    <row r="121" outlineLevel="1">
      <c r="A121" s="146"/>
      <c r="B121" s="300" t="s">
        <v>245</v>
      </c>
      <c r="C121" s="2540" t="str">
        <f t="array" ref="C121">INDEX('起きあがり'!$F$3:$G$115, MATCH($A$1,'起きあがり'!$A$3:$A$115,0), MATCH(C110,'起きあがり'!$F$2:$AD$2,0))</f>
        <v>1-21</v>
      </c>
      <c r="D121" s="2541">
        <f t="array" ref="D121">INDEX('起きあがり'!$F$3:$G$115, MATCH($A$1,'起きあがり'!$A$3:$A$115,0), MATCH(D110,'起きあがり'!$F$2:$AD$2,0))</f>
        <v>35</v>
      </c>
      <c r="E121" s="1162"/>
      <c r="F121" s="1162"/>
      <c r="G121" s="1162"/>
      <c r="H121" s="228"/>
      <c r="I121" s="228"/>
      <c r="J121" s="111"/>
      <c r="K121" s="146"/>
      <c r="L121" s="303" t="str">
        <f>'テンプレート'!L127</f>
        <v>後投げ</v>
      </c>
      <c r="M121" s="113" t="s">
        <v>232</v>
      </c>
      <c r="N121" s="113">
        <v>24.0</v>
      </c>
      <c r="O121" s="118"/>
      <c r="P121" s="118"/>
      <c r="Q121" s="118"/>
      <c r="R121" s="118"/>
      <c r="S121" s="118"/>
      <c r="T121" s="118"/>
      <c r="U121" s="118"/>
      <c r="V121" s="118"/>
    </row>
    <row r="122" outlineLevel="1">
      <c r="A122" s="146"/>
      <c r="B122" s="300" t="s">
        <v>246</v>
      </c>
      <c r="C122" s="518" t="str">
        <f t="array" ref="C122">INDEX('起きあがり'!$H$3:$I$115, MATCH($A$1,'起きあがり'!$A$3:$A$115,0), MATCH(C110,'起きあがり'!$H$2:$AD$2,0))</f>
        <v>1-22</v>
      </c>
      <c r="D122" s="518">
        <f t="array" ref="D122">INDEX('起きあがり'!$H$3:$I$115, MATCH($A$1,'起きあがり'!$A$3:$A$115,0), MATCH(D110,'起きあがり'!$H$2:$AD$2,0))</f>
        <v>35</v>
      </c>
      <c r="E122" s="1162"/>
      <c r="F122" s="1162"/>
      <c r="G122" s="1162"/>
      <c r="H122" s="228"/>
      <c r="I122" s="228"/>
      <c r="J122" s="117"/>
      <c r="K122" s="146"/>
      <c r="L122" s="303" t="str">
        <f>'テンプレート'!L128</f>
        <v>上投げ</v>
      </c>
      <c r="M122" s="113" t="s">
        <v>129</v>
      </c>
      <c r="N122" s="113">
        <v>23.0</v>
      </c>
      <c r="O122" s="118"/>
      <c r="P122" s="118"/>
      <c r="Q122" s="118"/>
      <c r="R122" s="118"/>
      <c r="S122" s="118"/>
      <c r="T122" s="118"/>
      <c r="U122" s="118"/>
      <c r="V122" s="118"/>
    </row>
    <row r="123" outlineLevel="1">
      <c r="A123" s="146"/>
      <c r="B123" s="300" t="s">
        <v>249</v>
      </c>
      <c r="C123" s="2542" t="str">
        <f t="array" ref="C123">INDEX('起きあがり'!$J$3:$M$115, MATCH($A$1,'起きあがり'!$A$3:$A$115,0), MATCH(C110,'起きあがり'!$J$2:$AD$2,0))</f>
        <v>1-25</v>
      </c>
      <c r="D123" s="2543">
        <f t="array" ref="D123">INDEX('起きあがり'!$J$3:$M$115, MATCH($A$1,'起きあがり'!$A$3:$A$115,0), MATCH(D110,'起きあがり'!$J$2:$AD$2,0))</f>
        <v>45</v>
      </c>
      <c r="E123" s="2540" t="str">
        <f t="array" ref="E123">INDEX('起きあがり'!$J$3:$M$115, MATCH($A$1,'起きあがり'!$A$3:$A$115,0), MATCH(E110,'起きあがり'!$J$2:$AD$2,0))</f>
        <v>18-19</v>
      </c>
      <c r="F123" s="2541">
        <f t="array" ref="F123">INDEX('起きあがり'!$J$3:$M$115, MATCH($A$1,'起きあがり'!$A$3:$A$115,0), MATCH(F110,'起きあがり'!$J$2:$AD$2,0))</f>
        <v>7</v>
      </c>
      <c r="G123" s="518">
        <f t="shared" ref="G123:G124" si="1">F123*1.2</f>
        <v>8.4</v>
      </c>
      <c r="H123" s="228"/>
      <c r="I123" s="228"/>
      <c r="J123" s="111"/>
      <c r="K123" s="156"/>
      <c r="L123" s="303" t="str">
        <f>'テンプレート'!L129</f>
        <v>下投げ</v>
      </c>
      <c r="M123" s="113" t="s">
        <v>93</v>
      </c>
      <c r="N123" s="113">
        <v>19.0</v>
      </c>
      <c r="O123" s="111"/>
      <c r="P123" s="111"/>
      <c r="Q123" s="111"/>
      <c r="R123" s="111"/>
      <c r="S123" s="111"/>
      <c r="T123" s="111"/>
      <c r="U123" s="111"/>
      <c r="V123" s="111"/>
    </row>
    <row r="124" outlineLevel="1">
      <c r="A124" s="156"/>
      <c r="B124" s="311" t="s">
        <v>250</v>
      </c>
      <c r="C124" s="107"/>
      <c r="D124" s="107"/>
      <c r="E124" s="2540" t="str">
        <f t="array" ref="E124">INDEX('起きあがり'!$N$3:$O$115, MATCH($A$1,'起きあがり'!$A$3:$A$115,0), MATCH(E110,'起きあがり'!$N$2:$AD$2,0))</f>
        <v>24-25</v>
      </c>
      <c r="F124" s="2541">
        <f t="array" ref="F124">INDEX('起きあがり'!$N$3:$O$115, MATCH($A$1,'起きあがり'!$A$3:$A$115,0), MATCH(F110,'起きあがり'!$N$2:$AD$2,0))</f>
        <v>7</v>
      </c>
      <c r="G124" s="518">
        <f t="shared" si="1"/>
        <v>8.4</v>
      </c>
      <c r="H124" s="228"/>
      <c r="I124" s="228"/>
      <c r="J124" s="111"/>
      <c r="K124" s="312" t="str">
        <f>'テンプレート'!K130</f>
        <v>踏み台ジャンプ</v>
      </c>
      <c r="L124" s="168"/>
      <c r="M124" s="298" t="str">
        <f>'テンプレート'!M130</f>
        <v>全体フレーム</v>
      </c>
      <c r="N124" s="114"/>
      <c r="O124" s="111"/>
      <c r="P124" s="111"/>
      <c r="Q124" s="111"/>
      <c r="R124" s="111"/>
      <c r="S124" s="111"/>
      <c r="T124" s="111"/>
      <c r="U124" s="111"/>
      <c r="V124" s="111"/>
    </row>
    <row r="125" outlineLevel="1">
      <c r="A125" s="299" t="s">
        <v>251</v>
      </c>
      <c r="B125" s="300" t="s">
        <v>248</v>
      </c>
      <c r="C125" s="1162"/>
      <c r="D125" s="2540" t="str">
        <f t="array" ref="D125">INDEX('起きあがり'!$C$3:$C114, MATCH($A$1,'起きあがり'!$A$3:$A$115,0), MATCH(D110,'起きあがり'!$C$2,0))</f>
        <v>25</v>
      </c>
      <c r="E125" s="1162"/>
      <c r="F125" s="1162"/>
      <c r="G125" s="1162"/>
      <c r="H125" s="228"/>
      <c r="I125" s="228"/>
      <c r="J125" s="117"/>
      <c r="K125" s="313" t="str">
        <f>'テンプレート'!K131</f>
        <v>踏み</v>
      </c>
      <c r="L125" s="314" t="str">
        <f>'テンプレート'!L131</f>
        <v>踏み</v>
      </c>
      <c r="M125" s="113">
        <v>7.0</v>
      </c>
      <c r="N125" s="315"/>
      <c r="O125" s="111"/>
      <c r="P125" s="111"/>
      <c r="Q125" s="111"/>
      <c r="R125" s="111"/>
      <c r="S125" s="111"/>
      <c r="T125" s="111"/>
      <c r="U125" s="111"/>
      <c r="V125" s="111"/>
    </row>
    <row r="126" outlineLevel="1">
      <c r="A126" s="146"/>
      <c r="B126" s="300" t="s">
        <v>216</v>
      </c>
      <c r="C126" s="2540" t="str">
        <f t="array" ref="C126">INDEX('起きあがり'!$P$3:$Q$115, MATCH($A$1,'起きあがり'!$A$3:$A$115,0), MATCH(C110,'起きあがり'!$P$2:$AD$2,0))</f>
        <v>1-22</v>
      </c>
      <c r="D126" s="2541">
        <f t="array" ref="D126">INDEX('起きあがり'!$P$3:$Q$115, MATCH($A$1,'起きあがり'!$A$3:$A$115,0), MATCH(D110,'起きあがり'!$P$2:$AD$2,0))</f>
        <v>29</v>
      </c>
      <c r="E126" s="1162"/>
      <c r="F126" s="1162"/>
      <c r="G126" s="1162"/>
      <c r="H126" s="228"/>
      <c r="I126" s="228"/>
      <c r="J126" s="111"/>
      <c r="K126" s="305" t="str">
        <f>'テンプレート'!K132</f>
        <v>踏まれ</v>
      </c>
      <c r="L126" s="314" t="str">
        <f>'テンプレート'!L132</f>
        <v>地上踏まれ</v>
      </c>
      <c r="M126" s="113" t="s">
        <v>76</v>
      </c>
      <c r="N126" s="315"/>
      <c r="O126" s="228"/>
      <c r="P126" s="228"/>
      <c r="Q126" s="228"/>
      <c r="R126" s="228"/>
      <c r="S126" s="228"/>
      <c r="T126" s="228"/>
      <c r="U126" s="228"/>
      <c r="V126" s="228"/>
    </row>
    <row r="127" outlineLevel="1">
      <c r="A127" s="146"/>
      <c r="B127" s="300" t="s">
        <v>245</v>
      </c>
      <c r="C127" s="2540" t="str">
        <f t="array" ref="C127">INDEX('起きあがり'!$R$3:$S$115, MATCH($A$1,'起きあがり'!$A$3:$A$115,0), MATCH(C110,'起きあがり'!$R$2:$AD$2,0))</f>
        <v>1-19</v>
      </c>
      <c r="D127" s="2541">
        <f t="array" ref="D127">INDEX('起きあがり'!$R$3:$S$115, MATCH($A$1,'起きあがり'!$A$3:$A$115,0), MATCH(D110,'起きあがり'!$R$2:$AD$2,0))</f>
        <v>35</v>
      </c>
      <c r="E127" s="1162"/>
      <c r="F127" s="1162"/>
      <c r="G127" s="1162"/>
      <c r="H127" s="228"/>
      <c r="I127" s="228"/>
      <c r="J127" s="117"/>
      <c r="K127" s="146"/>
      <c r="L127" s="314" t="str">
        <f>'テンプレート'!L133</f>
        <v>地上硬直</v>
      </c>
      <c r="M127" s="113">
        <v>27.0</v>
      </c>
      <c r="N127" s="102"/>
      <c r="O127" s="118"/>
      <c r="P127" s="118"/>
      <c r="Q127" s="118"/>
      <c r="R127" s="118"/>
      <c r="S127" s="118"/>
      <c r="T127" s="118"/>
      <c r="U127" s="118"/>
      <c r="V127" s="118"/>
    </row>
    <row r="128" outlineLevel="1">
      <c r="A128" s="146"/>
      <c r="B128" s="300" t="s">
        <v>246</v>
      </c>
      <c r="C128" s="2540" t="str">
        <f t="array" ref="C128">INDEX('起きあがり'!$T$3:$U$115, MATCH($A$1,'起きあがり'!$A$3:$A$115,0), MATCH(C110,'起きあがり'!$T$2:$AD$2,0))</f>
        <v>1-24</v>
      </c>
      <c r="D128" s="2541">
        <f t="array" ref="D128">INDEX('起きあがり'!$T$3:$U$115, MATCH($A$1,'起きあがり'!$A$3:$A$115,0), MATCH(D110,'起きあがり'!$T$2:$AD$2,0))</f>
        <v>35</v>
      </c>
      <c r="E128" s="1162"/>
      <c r="F128" s="1162"/>
      <c r="G128" s="1162"/>
      <c r="H128" s="228"/>
      <c r="I128" s="228"/>
      <c r="J128" s="111"/>
      <c r="K128" s="146"/>
      <c r="L128" s="314" t="str">
        <f>'テンプレート'!L134</f>
        <v>空中踏まれ</v>
      </c>
      <c r="M128" s="113">
        <v>7.0</v>
      </c>
      <c r="N128" s="102"/>
      <c r="O128" s="118"/>
      <c r="P128" s="118"/>
      <c r="Q128" s="118"/>
      <c r="R128" s="118"/>
      <c r="S128" s="118"/>
      <c r="T128" s="118"/>
      <c r="U128" s="118"/>
      <c r="V128" s="118"/>
    </row>
    <row r="129" outlineLevel="1">
      <c r="A129" s="146"/>
      <c r="B129" s="300" t="s">
        <v>249</v>
      </c>
      <c r="C129" s="2542" t="str">
        <f t="array" ref="C129">INDEX('起きあがり'!$V$3:$Y$115, MATCH($A$1,'起きあがり'!$A$3:$A$115,0), MATCH(C110,'起きあがり'!$V$2:$AD$2,0))</f>
        <v>1-23</v>
      </c>
      <c r="D129" s="2543">
        <f t="array" ref="D129">INDEX('起きあがり'!$V$3:$Y$115, MATCH($A$1,'起きあがり'!$A$3:$A$115,0), MATCH(D110,'起きあがり'!$V$2:$AD$2,0))</f>
        <v>45</v>
      </c>
      <c r="E129" s="2540" t="str">
        <f t="array" ref="E129">INDEX('起きあがり'!$V$3:$Y$115, MATCH($A$1,'起きあがり'!$A$3:$A$115,0), MATCH(E110,'起きあがり'!$V$2:$AD$2,0))</f>
        <v>14-15</v>
      </c>
      <c r="F129" s="2541">
        <f t="array" ref="F129">INDEX('起きあがり'!$V$3:$Y$115, MATCH($A$1,'起きあがり'!$A$3:$A$115,0), MATCH(F110,'起きあがり'!$V$2:$AD$2,0))</f>
        <v>7</v>
      </c>
      <c r="G129" s="518">
        <f t="shared" ref="G129:G130" si="2">F129*1.2</f>
        <v>8.4</v>
      </c>
      <c r="H129" s="228"/>
      <c r="I129" s="228"/>
      <c r="J129" s="117"/>
      <c r="K129" s="146"/>
      <c r="L129" s="314" t="str">
        <f>'テンプレート'!L135</f>
        <v>空中落下</v>
      </c>
      <c r="M129" s="113">
        <v>39.0</v>
      </c>
      <c r="N129" s="102"/>
      <c r="O129" s="118"/>
      <c r="P129" s="118"/>
      <c r="Q129" s="118"/>
      <c r="R129" s="118"/>
      <c r="S129" s="118"/>
      <c r="T129" s="118"/>
      <c r="U129" s="118"/>
      <c r="V129" s="118"/>
    </row>
    <row r="130" outlineLevel="1">
      <c r="A130" s="156"/>
      <c r="B130" s="311" t="s">
        <v>250</v>
      </c>
      <c r="C130" s="107"/>
      <c r="D130" s="107"/>
      <c r="E130" s="2540" t="str">
        <f t="array" ref="E130">INDEX('起きあがり'!$Z$3:$AA$115, MATCH($A$1,'起きあがり'!$A$3:$A$115,0), MATCH(E110,'起きあがり'!$Z$2:$AD$2,0))</f>
        <v>22-23</v>
      </c>
      <c r="F130" s="2541">
        <f t="array" ref="F130">INDEX('起きあがり'!$Z$3:$AA$115, MATCH($A$1,'起きあがり'!$A$3:$A$115,0), MATCH(F110,'起きあがり'!$Z$2:$AD$2,0))</f>
        <v>7</v>
      </c>
      <c r="G130" s="518">
        <f t="shared" si="2"/>
        <v>8.4</v>
      </c>
      <c r="H130" s="228"/>
      <c r="I130" s="228"/>
      <c r="J130" s="117"/>
      <c r="K130" s="304" t="str">
        <f>'テンプレート'!K136</f>
        <v>倒れダメージ</v>
      </c>
      <c r="L130" s="110"/>
      <c r="M130" s="298" t="str">
        <f>'テンプレート'!M136</f>
        <v>全体フレーム</v>
      </c>
      <c r="N130" s="102"/>
      <c r="O130" s="118"/>
      <c r="P130" s="118"/>
      <c r="Q130" s="118"/>
      <c r="R130" s="118"/>
      <c r="S130" s="118"/>
      <c r="T130" s="118"/>
      <c r="U130" s="118"/>
      <c r="V130" s="118"/>
    </row>
    <row r="131" outlineLevel="1">
      <c r="A131" s="299" t="s">
        <v>252</v>
      </c>
      <c r="B131" s="300" t="s">
        <v>253</v>
      </c>
      <c r="C131" s="2540" t="str">
        <f t="array" ref="C131">INDEX('転倒'!$C$3:$D114, MATCH($A$1,'転倒'!$A$3:$A$115,0), MATCH(C110,'転倒'!$C$2:$AC$2,0))</f>
        <v>1-5</v>
      </c>
      <c r="D131" s="2541">
        <f t="array" ref="D131">INDEX('転倒'!$C$3:$D114, MATCH($A$1,'転倒'!$A$3:$A$115,0), MATCH(D110,'転倒'!$C$2:$AC$2,0))</f>
        <v>29</v>
      </c>
      <c r="E131" s="1162"/>
      <c r="F131" s="1162"/>
      <c r="G131" s="1162"/>
      <c r="H131" s="228"/>
      <c r="I131" s="228"/>
      <c r="J131" s="111"/>
      <c r="K131" s="313" t="str">
        <f>'テンプレート'!K137</f>
        <v>あお向け倒れ</v>
      </c>
      <c r="L131" s="306" t="str">
        <f>'テンプレート'!L137</f>
        <v>モーション大</v>
      </c>
      <c r="M131" s="113">
        <v>39.0</v>
      </c>
      <c r="N131" s="315"/>
      <c r="O131" s="118"/>
      <c r="P131" s="118"/>
      <c r="Q131" s="118"/>
      <c r="R131" s="118"/>
      <c r="S131" s="118"/>
      <c r="T131" s="118"/>
      <c r="U131" s="118"/>
      <c r="V131" s="118"/>
    </row>
    <row r="132" outlineLevel="1">
      <c r="A132" s="146"/>
      <c r="B132" s="300" t="s">
        <v>254</v>
      </c>
      <c r="C132" s="2540" t="str">
        <f t="array" ref="C132">INDEX('転倒'!$E$3:$F114, MATCH($A$1,'転倒'!$A$3:$A$115,0), MATCH(C110,'転倒'!$E$2:$AC$2,0))</f>
        <v>1-5</v>
      </c>
      <c r="D132" s="2541">
        <f t="array" ref="D132">INDEX('転倒'!$E$3:$F114, MATCH($A$1,'転倒'!$A$3:$A$115,0), MATCH(D110,'転倒'!$E$2:$AC$2,0))</f>
        <v>39</v>
      </c>
      <c r="E132" s="1162"/>
      <c r="F132" s="1162"/>
      <c r="G132" s="1162"/>
      <c r="H132" s="228"/>
      <c r="I132" s="228"/>
      <c r="J132" s="117"/>
      <c r="K132" s="313" t="str">
        <f>'テンプレート'!K138</f>
        <v>うつ伏せ倒れ</v>
      </c>
      <c r="L132" s="306" t="str">
        <f>'テンプレート'!L138</f>
        <v>モーション大</v>
      </c>
      <c r="M132" s="113" t="s">
        <v>118</v>
      </c>
      <c r="N132" s="315"/>
      <c r="O132" s="118"/>
      <c r="P132" s="118"/>
      <c r="Q132" s="118"/>
      <c r="R132" s="118"/>
      <c r="S132" s="118"/>
      <c r="T132" s="118"/>
      <c r="U132" s="118"/>
      <c r="V132" s="118"/>
    </row>
    <row r="133" outlineLevel="1">
      <c r="A133" s="146"/>
      <c r="B133" s="300" t="s">
        <v>216</v>
      </c>
      <c r="C133" s="2540" t="str">
        <f t="array" ref="C133">INDEX('転倒'!$G$3:$H$115, MATCH($A$1,'転倒'!$A$3:$A$115,0), MATCH(C110,'転倒'!$G$2:$AC$2,0))</f>
        <v>1-16</v>
      </c>
      <c r="D133" s="2541">
        <f t="array" ref="D133">INDEX('転倒'!$G$3:$H$115, MATCH($A$1,'転倒'!$A$3:$A$115,0), MATCH(D110,'転倒'!$G$2:$AC$2,0))</f>
        <v>21</v>
      </c>
      <c r="E133" s="1162"/>
      <c r="F133" s="1162"/>
      <c r="G133" s="1162"/>
      <c r="H133" s="228"/>
      <c r="I133" s="228"/>
      <c r="J133" s="111"/>
      <c r="K133" s="304" t="str">
        <f>'テンプレート'!K139</f>
        <v/>
      </c>
      <c r="L133" s="110"/>
      <c r="M133" s="298" t="str">
        <f>'テンプレート'!M139</f>
        <v/>
      </c>
      <c r="N133" s="102"/>
      <c r="O133" s="118"/>
      <c r="P133" s="118"/>
      <c r="Q133" s="118"/>
      <c r="R133" s="118"/>
      <c r="S133" s="118"/>
      <c r="T133" s="118"/>
      <c r="U133" s="118"/>
      <c r="V133" s="118"/>
    </row>
    <row r="134" outlineLevel="1">
      <c r="A134" s="146"/>
      <c r="B134" s="300" t="s">
        <v>245</v>
      </c>
      <c r="C134" s="2540" t="str">
        <f t="array" ref="C134">INDEX('転倒'!$I$3:$J$115, MATCH($A$1,'転倒'!$A$3:$A$115,0), MATCH(C110,'転倒'!$I$2:$AC$2,0))</f>
        <v>1-9</v>
      </c>
      <c r="D134" s="2541">
        <f t="array" ref="D134">INDEX('転倒'!$I$3:$J$115, MATCH($A$1,'転倒'!$A$3:$A$115,0), MATCH(D110,'転倒'!$I$2:$AC$2,0))</f>
        <v>28</v>
      </c>
      <c r="E134" s="1162"/>
      <c r="F134" s="1162"/>
      <c r="G134" s="1162"/>
      <c r="H134" s="228"/>
      <c r="I134" s="228"/>
      <c r="J134" s="228"/>
      <c r="K134" s="316"/>
      <c r="L134" s="317" t="str">
        <f>'テンプレート'!L140</f>
        <v/>
      </c>
      <c r="M134" s="113" t="s">
        <v>76</v>
      </c>
      <c r="N134" s="102"/>
      <c r="O134" s="118"/>
      <c r="P134" s="118"/>
      <c r="Q134" s="118"/>
      <c r="R134" s="118"/>
      <c r="S134" s="118"/>
      <c r="T134" s="118"/>
      <c r="U134" s="118"/>
      <c r="V134" s="118"/>
    </row>
    <row r="135" outlineLevel="1">
      <c r="A135" s="146"/>
      <c r="B135" s="300" t="s">
        <v>246</v>
      </c>
      <c r="C135" s="2540" t="str">
        <f t="array" ref="C135">INDEX('転倒'!$K$3:$L$115, MATCH($A$1,'転倒'!$A$3:$A$115,0), MATCH(C110,'転倒'!$K$2:$AC$2,0))</f>
        <v>1-9</v>
      </c>
      <c r="D135" s="2541">
        <f t="array" ref="D135">INDEX('転倒'!$K$3:$L$115, MATCH($A$1,'転倒'!$A$3:$A$115,0), MATCH(D110,'転倒'!$K$2:$AC$2,0))</f>
        <v>28</v>
      </c>
      <c r="E135" s="1162"/>
      <c r="F135" s="1162"/>
      <c r="G135" s="1162"/>
      <c r="H135" s="228"/>
      <c r="I135" s="228"/>
      <c r="J135" s="228"/>
      <c r="K135" s="318"/>
      <c r="L135" s="118"/>
      <c r="M135" s="118"/>
      <c r="N135" s="102"/>
      <c r="O135" s="118"/>
      <c r="P135" s="118"/>
      <c r="Q135" s="118"/>
      <c r="R135" s="118"/>
      <c r="S135" s="118"/>
      <c r="T135" s="118"/>
      <c r="U135" s="118"/>
      <c r="V135" s="118"/>
    </row>
    <row r="136" outlineLevel="1">
      <c r="A136" s="146"/>
      <c r="B136" s="300" t="s">
        <v>249</v>
      </c>
      <c r="C136" s="2542" t="str">
        <f t="array" ref="C136">INDEX('転倒'!$M$3:$P$115, MATCH($A$1,'転倒'!$A$3:$A$115,0), MATCH(C110,'転倒'!$M$2:$AC$2,0))</f>
        <v>1-7</v>
      </c>
      <c r="D136" s="2543">
        <f t="array" ref="D136">INDEX('転倒'!$M$3:$P$115, MATCH($A$1,'転倒'!$A$3:$A$115,0), MATCH(D110,'転倒'!$M$2:$AC$2,0))</f>
        <v>49</v>
      </c>
      <c r="E136" s="2540" t="str">
        <f t="array" ref="E136">INDEX('転倒'!$M$3:$P$115, MATCH($A$1,'転倒'!$A$3:$A$115,0), MATCH(E110,'転倒'!$M$2:$AC$2,0))</f>
        <v>18-19</v>
      </c>
      <c r="F136" s="2541">
        <f t="array" ref="F136">INDEX('転倒'!$M$3:$P$115, MATCH($A$1,'転倒'!$A$3:$A$115,0), MATCH(F110,'転倒'!$M$2:$AC$2,0))</f>
        <v>5</v>
      </c>
      <c r="G136" s="518">
        <f t="shared" ref="G136:G137" si="3">F136*1.2</f>
        <v>6</v>
      </c>
      <c r="H136" s="228"/>
      <c r="I136" s="228"/>
      <c r="J136" s="228"/>
      <c r="K136" s="118"/>
      <c r="L136" s="118"/>
      <c r="M136" s="118"/>
      <c r="N136" s="102"/>
      <c r="O136" s="102"/>
      <c r="P136" s="102"/>
      <c r="Q136" s="102"/>
      <c r="R136" s="118"/>
      <c r="S136" s="118"/>
      <c r="T136" s="118"/>
      <c r="U136" s="118"/>
      <c r="V136" s="118"/>
    </row>
    <row r="137" outlineLevel="1">
      <c r="A137" s="156"/>
      <c r="B137" s="311" t="s">
        <v>250</v>
      </c>
      <c r="C137" s="107"/>
      <c r="D137" s="107"/>
      <c r="E137" s="2540" t="str">
        <f t="array" ref="E137">INDEX('転倒'!$Q$3:$R$115, MATCH($A$1,'転倒'!$A$3:$A$115,0), MATCH(E110,'転倒'!$Q$2:$AC$2,0))</f>
        <v>30-31</v>
      </c>
      <c r="F137" s="2541">
        <f t="array" ref="F137">INDEX('転倒'!$Q$3:$R$115, MATCH($A$1,'転倒'!$A$3:$A$115,0), MATCH(F110,'転倒'!$Q$2:$AC$2,0))</f>
        <v>5</v>
      </c>
      <c r="G137" s="518">
        <f t="shared" si="3"/>
        <v>6</v>
      </c>
      <c r="H137" s="228"/>
      <c r="I137" s="228"/>
      <c r="J137" s="228"/>
      <c r="K137" s="118"/>
      <c r="L137" s="118"/>
      <c r="M137" s="118"/>
      <c r="N137" s="102"/>
      <c r="O137" s="102"/>
      <c r="P137" s="102"/>
      <c r="Q137" s="102"/>
      <c r="R137" s="118"/>
      <c r="S137" s="118"/>
      <c r="T137" s="118"/>
      <c r="U137" s="118"/>
      <c r="V137" s="118"/>
    </row>
    <row r="138" outlineLevel="1">
      <c r="A138" s="319"/>
      <c r="B138" s="320"/>
      <c r="C138" s="321"/>
      <c r="D138" s="321"/>
      <c r="E138" s="2544"/>
      <c r="F138" s="2545"/>
      <c r="G138" s="2546"/>
      <c r="H138" s="228"/>
      <c r="I138" s="228"/>
      <c r="J138" s="228"/>
      <c r="K138" s="118"/>
      <c r="L138" s="118"/>
      <c r="M138" s="118"/>
      <c r="N138" s="102"/>
      <c r="O138" s="102"/>
      <c r="P138" s="102"/>
      <c r="Q138" s="102"/>
      <c r="R138" s="118"/>
      <c r="S138" s="118"/>
      <c r="T138" s="118"/>
      <c r="U138" s="118"/>
      <c r="V138" s="118"/>
    </row>
    <row r="139" outlineLevel="1">
      <c r="A139" s="323" t="s">
        <v>255</v>
      </c>
      <c r="B139" s="109"/>
      <c r="C139" s="321"/>
      <c r="D139" s="321"/>
      <c r="E139" s="2544"/>
      <c r="F139" s="2545"/>
      <c r="G139" s="2546"/>
      <c r="H139" s="228"/>
      <c r="I139" s="228"/>
      <c r="J139" s="228"/>
      <c r="K139" s="118"/>
      <c r="L139" s="118"/>
      <c r="M139" s="118"/>
      <c r="N139" s="102"/>
      <c r="O139" s="102"/>
      <c r="P139" s="102"/>
      <c r="Q139" s="102"/>
      <c r="R139" s="118"/>
      <c r="S139" s="118"/>
      <c r="T139" s="118"/>
      <c r="U139" s="118"/>
      <c r="V139" s="118"/>
    </row>
    <row r="140" outlineLevel="1">
      <c r="A140" s="324" t="s">
        <v>256</v>
      </c>
      <c r="B140" s="109"/>
      <c r="C140" s="325" t="s">
        <v>257</v>
      </c>
      <c r="D140" s="325" t="s">
        <v>49</v>
      </c>
      <c r="E140" s="2544"/>
      <c r="F140" s="2545"/>
      <c r="G140" s="2546"/>
      <c r="H140" s="228"/>
      <c r="I140" s="228"/>
      <c r="J140" s="228"/>
      <c r="K140" s="118"/>
      <c r="L140" s="118"/>
      <c r="M140" s="118"/>
      <c r="N140" s="102"/>
      <c r="O140" s="102"/>
      <c r="P140" s="102"/>
      <c r="Q140" s="102"/>
      <c r="R140" s="118"/>
      <c r="S140" s="118"/>
      <c r="T140" s="118"/>
      <c r="U140" s="118"/>
      <c r="V140" s="118"/>
    </row>
    <row r="141" outlineLevel="1">
      <c r="A141" s="326" t="s">
        <v>258</v>
      </c>
      <c r="B141" s="327" t="s">
        <v>216</v>
      </c>
      <c r="C141" s="328" t="str">
        <f t="array" ref="C141">INDEX('アイテム'!$C$3:$D$114, MATCH($A$1,'アイテム'!$A$3:$A$114,0), MATCH(C140,'アイテム'!$C$2:$AQ$2,0))</f>
        <v>2</v>
      </c>
      <c r="D141" s="328">
        <f t="array" ref="D141">INDEX('アイテム'!$C$3:$D$114, MATCH($A$1,'アイテム'!$A$3:$A$114,0), MATCH(D140,'アイテム'!$C$2:$AQ$2,0))</f>
        <v>7</v>
      </c>
      <c r="E141" s="2544"/>
      <c r="F141" s="2545"/>
      <c r="G141" s="2546"/>
      <c r="H141" s="228"/>
      <c r="I141" s="228"/>
      <c r="J141" s="228"/>
      <c r="K141" s="118"/>
      <c r="L141" s="118"/>
      <c r="M141" s="118"/>
      <c r="N141" s="102"/>
      <c r="O141" s="102"/>
      <c r="P141" s="102"/>
      <c r="Q141" s="102"/>
      <c r="R141" s="118"/>
      <c r="S141" s="118"/>
      <c r="T141" s="118"/>
      <c r="U141" s="118"/>
      <c r="V141" s="118"/>
    </row>
    <row r="142" outlineLevel="1">
      <c r="A142" s="156"/>
      <c r="B142" s="327" t="s">
        <v>219</v>
      </c>
      <c r="C142" s="328" t="str">
        <f t="array" ref="C142">INDEX('アイテム'!$E$3:$F$114, MATCH($A$1,'アイテム'!$A$3:$A$114,0), MATCH(C140,'アイテム'!$C$2:$AQ$2,0))</f>
        <v>2</v>
      </c>
      <c r="D142" s="328">
        <f t="array" ref="D142">INDEX('アイテム'!$E$3:$F$114, MATCH($A$1,'アイテム'!$A$3:$A$114,0), MATCH(D140,'アイテム'!$C$2:$AQ$2,0))</f>
        <v>19</v>
      </c>
      <c r="E142" s="2544"/>
      <c r="F142" s="2545"/>
      <c r="G142" s="2546"/>
      <c r="H142" s="228"/>
      <c r="I142" s="228"/>
      <c r="J142" s="228"/>
      <c r="K142" s="118"/>
      <c r="L142" s="118"/>
      <c r="M142" s="118"/>
      <c r="N142" s="102"/>
      <c r="O142" s="102"/>
      <c r="P142" s="102"/>
      <c r="Q142" s="102"/>
      <c r="R142" s="118"/>
      <c r="S142" s="118"/>
      <c r="T142" s="118"/>
      <c r="U142" s="118"/>
      <c r="V142" s="118"/>
    </row>
    <row r="143" outlineLevel="1">
      <c r="A143" s="329" t="s">
        <v>259</v>
      </c>
      <c r="B143" s="327" t="s">
        <v>216</v>
      </c>
      <c r="C143" s="328">
        <f t="array" ref="C143">INDEX('アイテム'!$AA$3:$AB$114, MATCH($A$1,'アイテム'!$A$3:$A$114,0), MATCH(C140,'アイテム'!$C$2:$AQ$2,0))</f>
        <v>3</v>
      </c>
      <c r="D143" s="328" t="str">
        <f t="array" ref="D143">INDEX('アイテム'!$AA$3:$AB$114, MATCH($A$1,'アイテム'!$A$3:$A$114,0), MATCH(D140,'アイテム'!$C$2:$AQ$2,0))</f>
        <v>12</v>
      </c>
      <c r="E143" s="2544"/>
      <c r="F143" s="2545"/>
      <c r="G143" s="2546"/>
      <c r="H143" s="228"/>
      <c r="I143" s="228"/>
      <c r="J143" s="228"/>
      <c r="K143" s="118"/>
      <c r="L143" s="118"/>
      <c r="M143" s="118"/>
      <c r="N143" s="102"/>
      <c r="O143" s="102"/>
      <c r="P143" s="102"/>
      <c r="Q143" s="102"/>
      <c r="R143" s="118"/>
      <c r="S143" s="118"/>
      <c r="T143" s="118"/>
      <c r="U143" s="118"/>
      <c r="V143" s="118"/>
    </row>
    <row r="144" outlineLevel="1">
      <c r="A144" s="324" t="s">
        <v>260</v>
      </c>
      <c r="B144" s="109"/>
      <c r="C144" s="325" t="s">
        <v>261</v>
      </c>
      <c r="D144" s="325" t="s">
        <v>49</v>
      </c>
      <c r="E144" s="2544"/>
      <c r="F144" s="2545"/>
      <c r="G144" s="2546"/>
      <c r="H144" s="228"/>
      <c r="I144" s="228"/>
      <c r="J144" s="228"/>
      <c r="K144" s="118"/>
      <c r="L144" s="118"/>
      <c r="M144" s="118"/>
      <c r="N144" s="102"/>
      <c r="O144" s="102"/>
      <c r="P144" s="102"/>
      <c r="Q144" s="102"/>
      <c r="R144" s="118"/>
      <c r="S144" s="118"/>
      <c r="T144" s="118"/>
      <c r="U144" s="118"/>
      <c r="V144" s="118"/>
    </row>
    <row r="145" outlineLevel="1">
      <c r="A145" s="326" t="s">
        <v>262</v>
      </c>
      <c r="B145" s="327" t="s">
        <v>226</v>
      </c>
      <c r="C145" s="328" t="str">
        <f t="array" ref="C145">INDEX('アイテム'!$G$3:$H$114, MATCH($A$1,'アイテム'!$A$3:$A$114,0), MATCH(C140,'アイテム'!$C$2:$AQ$2,0))</f>
        <v>8</v>
      </c>
      <c r="D145" s="328">
        <f t="array" ref="D145">INDEX('アイテム'!$G$3:$H$114, MATCH($A$1,'アイテム'!$A$3:$A$114,0), MATCH(D140,'アイテム'!$C$2:$AQ$2,0))</f>
        <v>24</v>
      </c>
      <c r="E145" s="2544"/>
      <c r="F145" s="2545"/>
      <c r="G145" s="2546"/>
      <c r="H145" s="228"/>
      <c r="I145" s="228"/>
      <c r="J145" s="228"/>
      <c r="K145" s="118"/>
      <c r="L145" s="118"/>
      <c r="M145" s="118"/>
      <c r="N145" s="102"/>
      <c r="O145" s="102"/>
      <c r="P145" s="102"/>
      <c r="Q145" s="102"/>
      <c r="R145" s="118"/>
      <c r="S145" s="118"/>
      <c r="T145" s="118"/>
      <c r="U145" s="118"/>
      <c r="V145" s="118"/>
    </row>
    <row r="146" outlineLevel="1">
      <c r="A146" s="146"/>
      <c r="B146" s="327" t="s">
        <v>229</v>
      </c>
      <c r="C146" s="328" t="str">
        <f t="array" ref="C146">INDEX('アイテム'!$I$3:$J$114, MATCH($A$1,'アイテム'!$A$3:$A$114,0), MATCH(C140,'アイテム'!$C$2:$AQ$2,0))</f>
        <v>11</v>
      </c>
      <c r="D146" s="328">
        <f t="array" ref="D146">INDEX('アイテム'!$I$3:$J$114, MATCH($A$1,'アイテム'!$A$3:$A$114,0), MATCH(D140,'アイテム'!$C$2:$AQ$2,0))</f>
        <v>24</v>
      </c>
      <c r="E146" s="2544"/>
      <c r="F146" s="2545"/>
      <c r="G146" s="2546"/>
      <c r="H146" s="228"/>
      <c r="I146" s="228"/>
      <c r="J146" s="228"/>
      <c r="K146" s="118"/>
      <c r="L146" s="118"/>
      <c r="M146" s="118"/>
      <c r="N146" s="102"/>
      <c r="O146" s="102"/>
      <c r="P146" s="102"/>
      <c r="Q146" s="102"/>
      <c r="R146" s="118"/>
      <c r="S146" s="118"/>
      <c r="T146" s="118"/>
      <c r="U146" s="118"/>
      <c r="V146" s="118"/>
    </row>
    <row r="147" outlineLevel="1">
      <c r="A147" s="146"/>
      <c r="B147" s="327" t="s">
        <v>233</v>
      </c>
      <c r="C147" s="328" t="str">
        <f t="array" ref="C147">INDEX('アイテム'!$K$3:$L$114, MATCH($A$1,'アイテム'!$A$3:$A$114,0), MATCH(C140,'アイテム'!$C$2:$AQ$2,0))</f>
        <v>12</v>
      </c>
      <c r="D147" s="328">
        <f t="array" ref="D147">INDEX('アイテム'!$K$3:$L$114, MATCH($A$1,'アイテム'!$A$3:$A$114,0), MATCH(D140,'アイテム'!$C$2:$AQ$2,0))</f>
        <v>23</v>
      </c>
      <c r="E147" s="2544"/>
      <c r="F147" s="2545"/>
      <c r="G147" s="2546"/>
      <c r="H147" s="228"/>
      <c r="I147" s="228"/>
      <c r="J147" s="228"/>
      <c r="K147" s="118"/>
      <c r="L147" s="118"/>
      <c r="M147" s="118"/>
      <c r="N147" s="102"/>
      <c r="O147" s="102"/>
      <c r="P147" s="102"/>
      <c r="Q147" s="102"/>
      <c r="R147" s="118"/>
      <c r="S147" s="118"/>
      <c r="T147" s="118"/>
      <c r="U147" s="118"/>
      <c r="V147" s="118"/>
    </row>
    <row r="148" outlineLevel="1">
      <c r="A148" s="146"/>
      <c r="B148" s="327" t="s">
        <v>234</v>
      </c>
      <c r="C148" s="328" t="str">
        <f t="array" ref="C148">INDEX('アイテム'!$M$3:$N$114, MATCH($A$1,'アイテム'!$A$3:$A$114,0), MATCH(C140,'アイテム'!$C$2:$AQ$2,0))</f>
        <v>7</v>
      </c>
      <c r="D148" s="328">
        <f t="array" ref="D148">INDEX('アイテム'!$M$3:$N$114, MATCH($A$1,'アイテム'!$A$3:$A$114,0), MATCH(D140,'アイテム'!$C$2:$AQ$2,0))</f>
        <v>19</v>
      </c>
      <c r="E148" s="2544"/>
      <c r="F148" s="2545"/>
      <c r="G148" s="2546"/>
      <c r="H148" s="228"/>
      <c r="I148" s="228"/>
      <c r="J148" s="228"/>
      <c r="K148" s="118"/>
      <c r="L148" s="118"/>
      <c r="M148" s="118"/>
      <c r="N148" s="102"/>
      <c r="O148" s="102"/>
      <c r="P148" s="102"/>
      <c r="Q148" s="102"/>
      <c r="R148" s="118"/>
      <c r="S148" s="118"/>
      <c r="T148" s="118"/>
      <c r="U148" s="118"/>
      <c r="V148" s="118"/>
    </row>
    <row r="149" outlineLevel="1">
      <c r="A149" s="146"/>
      <c r="B149" s="327" t="s">
        <v>219</v>
      </c>
      <c r="C149" s="328" t="str">
        <f t="array" ref="C149">INDEX('アイテム'!$O$3:$P$114, MATCH($A$1,'アイテム'!$A$3:$A$114,0), MATCH(C140,'アイテム'!$C$2:$AQ$2,0))</f>
        <v>5</v>
      </c>
      <c r="D149" s="328">
        <f t="array" ref="D149">INDEX('アイテム'!$O$3:$P$114, MATCH($A$1,'アイテム'!$A$3:$A$114,0), MATCH(D140,'アイテム'!$C$2:$AQ$2,0))</f>
        <v>29</v>
      </c>
      <c r="E149" s="2544"/>
      <c r="F149" s="2545"/>
      <c r="G149" s="2546"/>
      <c r="H149" s="228"/>
      <c r="I149" s="228"/>
      <c r="J149" s="228"/>
      <c r="K149" s="118"/>
      <c r="L149" s="118"/>
      <c r="M149" s="118"/>
      <c r="N149" s="102"/>
      <c r="O149" s="102"/>
      <c r="P149" s="102"/>
      <c r="Q149" s="102"/>
      <c r="R149" s="118"/>
      <c r="S149" s="118"/>
      <c r="T149" s="118"/>
      <c r="U149" s="118"/>
      <c r="V149" s="118"/>
    </row>
    <row r="150" outlineLevel="1">
      <c r="A150" s="156"/>
      <c r="B150" s="327" t="s">
        <v>263</v>
      </c>
      <c r="C150" s="328" t="str">
        <f t="array" ref="C150">INDEX('アイテム'!$Q$3:$R$114, MATCH($A$1,'アイテム'!$A$3:$A$114,0), MATCH(C140,'アイテム'!$C$2:$AQ$2,0))</f>
        <v>6</v>
      </c>
      <c r="D150" s="328">
        <f t="array" ref="D150">INDEX('アイテム'!$Q$3:$R$114, MATCH($A$1,'アイテム'!$A$3:$A$114,0), MATCH(D140,'アイテム'!$C$2:$AQ$2,0))</f>
        <v>23</v>
      </c>
      <c r="E150" s="2544"/>
      <c r="F150" s="2545"/>
      <c r="G150" s="2546"/>
      <c r="H150" s="228"/>
      <c r="I150" s="228"/>
      <c r="J150" s="228"/>
      <c r="K150" s="118"/>
      <c r="L150" s="118"/>
      <c r="M150" s="118"/>
      <c r="N150" s="102"/>
      <c r="O150" s="102"/>
      <c r="P150" s="102"/>
      <c r="Q150" s="102"/>
      <c r="R150" s="118"/>
      <c r="S150" s="118"/>
      <c r="T150" s="118"/>
      <c r="U150" s="118"/>
      <c r="V150" s="118"/>
    </row>
    <row r="151" outlineLevel="1">
      <c r="A151" s="326" t="s">
        <v>264</v>
      </c>
      <c r="B151" s="327" t="s">
        <v>226</v>
      </c>
      <c r="C151" s="328" t="str">
        <f t="array" ref="C151">INDEX('アイテム'!$S$3:$T$114, MATCH($A$1,'アイテム'!$A$3:$A$114,0), MATCH(C140,'アイテム'!$C$2:$AQ$2,0))</f>
        <v>8</v>
      </c>
      <c r="D151" s="328">
        <f t="array" ref="D151">INDEX('アイテム'!$S$3:$T$114, MATCH($A$1,'アイテム'!$A$3:$A$114,0), MATCH(D140,'アイテム'!$C$2:$AQ$2,0))</f>
        <v>24</v>
      </c>
      <c r="E151" s="2544"/>
      <c r="F151" s="2545"/>
      <c r="G151" s="2546"/>
      <c r="H151" s="228"/>
      <c r="I151" s="228"/>
      <c r="J151" s="228"/>
      <c r="K151" s="118"/>
      <c r="L151" s="118"/>
      <c r="M151" s="118"/>
      <c r="N151" s="102"/>
      <c r="O151" s="102"/>
      <c r="P151" s="102"/>
      <c r="Q151" s="102"/>
      <c r="R151" s="118"/>
      <c r="S151" s="118"/>
      <c r="T151" s="118"/>
      <c r="U151" s="118"/>
      <c r="V151" s="118"/>
    </row>
    <row r="152" outlineLevel="1">
      <c r="A152" s="146"/>
      <c r="B152" s="327" t="s">
        <v>229</v>
      </c>
      <c r="C152" s="328" t="str">
        <f t="array" ref="C152">INDEX('アイテム'!$U$3:$V$114, MATCH($A$1,'アイテム'!$A$3:$A$114,0), MATCH(C140,'アイテム'!$C$2:$AQ$2,0))</f>
        <v>11</v>
      </c>
      <c r="D152" s="328">
        <f t="array" ref="D152">INDEX('アイテム'!$U$3:$V$114, MATCH($A$1,'アイテム'!$A$3:$A$114,0), MATCH(D140,'アイテム'!$C$2:$AQ$2,0))</f>
        <v>24</v>
      </c>
      <c r="E152" s="2544"/>
      <c r="F152" s="2545"/>
      <c r="G152" s="2546"/>
      <c r="H152" s="228"/>
      <c r="I152" s="228"/>
      <c r="J152" s="228"/>
      <c r="K152" s="118"/>
      <c r="L152" s="118"/>
      <c r="M152" s="118"/>
      <c r="N152" s="102"/>
      <c r="O152" s="102"/>
      <c r="P152" s="102"/>
      <c r="Q152" s="102"/>
      <c r="R152" s="118"/>
      <c r="S152" s="118"/>
      <c r="T152" s="118"/>
      <c r="U152" s="118"/>
      <c r="V152" s="118"/>
    </row>
    <row r="153" outlineLevel="1">
      <c r="A153" s="146"/>
      <c r="B153" s="327" t="s">
        <v>233</v>
      </c>
      <c r="C153" s="328" t="str">
        <f t="array" ref="C153">INDEX('アイテム'!$W$3:$X$114, MATCH($A$1,'アイテム'!$A$3:$A$114,0), MATCH(C140,'アイテム'!$C$2:$AQ$2,0))</f>
        <v>12</v>
      </c>
      <c r="D153" s="328">
        <f t="array" ref="D153">INDEX('アイテム'!$W$3:$X$114, MATCH($A$1,'アイテム'!$A$3:$A$114,0), MATCH(D140,'アイテム'!$C$2:$AQ$2,0))</f>
        <v>23</v>
      </c>
      <c r="E153" s="2544"/>
      <c r="F153" s="2545"/>
      <c r="G153" s="2546"/>
      <c r="H153" s="228"/>
      <c r="I153" s="228"/>
      <c r="J153" s="228"/>
      <c r="K153" s="118"/>
      <c r="L153" s="118"/>
      <c r="M153" s="118"/>
      <c r="N153" s="102"/>
      <c r="O153" s="102"/>
      <c r="P153" s="102"/>
      <c r="Q153" s="102"/>
      <c r="R153" s="118"/>
      <c r="S153" s="118"/>
      <c r="T153" s="118"/>
      <c r="U153" s="118"/>
      <c r="V153" s="118"/>
    </row>
    <row r="154" outlineLevel="1">
      <c r="A154" s="156"/>
      <c r="B154" s="327" t="s">
        <v>234</v>
      </c>
      <c r="C154" s="328" t="str">
        <f t="array" ref="C154">INDEX('アイテム'!$Y$3:$Z$114, MATCH($A$1,'アイテム'!$A$3:$A$114,0), MATCH(C140,'アイテム'!$C$2:$AQ$2,0))</f>
        <v>7</v>
      </c>
      <c r="D154" s="328">
        <f t="array" ref="D154">INDEX('アイテム'!$Y$3:$Z$114, MATCH($A$1,'アイテム'!$A$3:$A$114,0), MATCH(D140,'アイテム'!$C$2:$AQ$2,0))</f>
        <v>19</v>
      </c>
      <c r="E154" s="2544"/>
      <c r="F154" s="2545"/>
      <c r="G154" s="2546"/>
      <c r="H154" s="228"/>
      <c r="I154" s="228"/>
      <c r="J154" s="228"/>
      <c r="K154" s="118"/>
      <c r="L154" s="118"/>
      <c r="M154" s="118"/>
      <c r="N154" s="102"/>
      <c r="O154" s="102"/>
      <c r="P154" s="102"/>
      <c r="Q154" s="102"/>
      <c r="R154" s="118"/>
      <c r="S154" s="118"/>
      <c r="T154" s="118"/>
      <c r="U154" s="118"/>
      <c r="V154" s="118"/>
    </row>
    <row r="155" outlineLevel="1">
      <c r="A155" s="326" t="s">
        <v>265</v>
      </c>
      <c r="B155" s="327" t="s">
        <v>226</v>
      </c>
      <c r="C155" s="328">
        <f t="array" ref="C155">INDEX('アイテム'!$AC$3:$AD$114, MATCH($A$1,'アイテム'!$A$3:$A$114,0), MATCH(C140,'アイテム'!$C$2:$AQ$2,0))</f>
        <v>14</v>
      </c>
      <c r="D155" s="328" t="str">
        <f t="array" ref="D155">INDEX('アイテム'!$AC$3:$AD$114, MATCH($A$1,'アイテム'!$A$3:$A$114,0), MATCH(D140,'アイテム'!$C$2:$AQ$2,0))</f>
        <v>30</v>
      </c>
      <c r="E155" s="2544"/>
      <c r="F155" s="2545"/>
      <c r="G155" s="2546"/>
      <c r="H155" s="228"/>
      <c r="I155" s="228"/>
      <c r="J155" s="228"/>
      <c r="K155" s="118"/>
      <c r="L155" s="118"/>
      <c r="M155" s="118"/>
      <c r="N155" s="102"/>
      <c r="O155" s="102"/>
      <c r="P155" s="102"/>
      <c r="Q155" s="102"/>
      <c r="R155" s="118"/>
      <c r="S155" s="118"/>
      <c r="T155" s="118"/>
      <c r="U155" s="118"/>
      <c r="V155" s="118"/>
    </row>
    <row r="156" outlineLevel="1">
      <c r="A156" s="146"/>
      <c r="B156" s="327" t="s">
        <v>229</v>
      </c>
      <c r="C156" s="328">
        <f t="array" ref="C156">INDEX('アイテム'!$AE$3:$AF$114, MATCH($A$1,'アイテム'!$A$3:$A$114,0), MATCH(C140,'アイテム'!$C$2:$AQ$2,0))</f>
        <v>15</v>
      </c>
      <c r="D156" s="328" t="str">
        <f t="array" ref="D156">INDEX('アイテム'!$AE$3:$AF$114, MATCH($A$1,'アイテム'!$A$3:$A$114,0), MATCH(D140,'アイテム'!$C$2:$AQ$2,0))</f>
        <v>30</v>
      </c>
      <c r="E156" s="2544"/>
      <c r="F156" s="2545"/>
      <c r="G156" s="2546"/>
      <c r="H156" s="228"/>
      <c r="I156" s="228"/>
      <c r="J156" s="228"/>
      <c r="K156" s="118"/>
      <c r="L156" s="118"/>
      <c r="M156" s="118"/>
      <c r="N156" s="102"/>
      <c r="O156" s="102"/>
      <c r="P156" s="102"/>
      <c r="Q156" s="102"/>
      <c r="R156" s="118"/>
      <c r="S156" s="118"/>
      <c r="T156" s="118"/>
      <c r="U156" s="118"/>
      <c r="V156" s="118"/>
    </row>
    <row r="157" outlineLevel="1">
      <c r="A157" s="146"/>
      <c r="B157" s="327" t="s">
        <v>233</v>
      </c>
      <c r="C157" s="328">
        <f t="array" ref="C157">INDEX('アイテム'!$AG$3:$AH$114, MATCH($A$1,'アイテム'!$A$3:$A$114,0), MATCH(C140,'アイテム'!$C$2:$AQ$2,0))</f>
        <v>11</v>
      </c>
      <c r="D157" s="328" t="str">
        <f t="array" ref="D157">INDEX('アイテム'!$AG$3:$AH$114, MATCH($A$1,'アイテム'!$A$3:$A$114,0), MATCH(D140,'アイテム'!$C$2:$AQ$2,0))</f>
        <v>22</v>
      </c>
      <c r="E157" s="2544"/>
      <c r="F157" s="2545"/>
      <c r="G157" s="2546"/>
      <c r="H157" s="228"/>
      <c r="I157" s="228"/>
      <c r="J157" s="228"/>
      <c r="K157" s="118"/>
      <c r="L157" s="118"/>
      <c r="M157" s="118"/>
      <c r="N157" s="102"/>
      <c r="O157" s="102"/>
      <c r="P157" s="102"/>
      <c r="Q157" s="102"/>
      <c r="R157" s="118"/>
      <c r="S157" s="118"/>
      <c r="T157" s="118"/>
      <c r="U157" s="118"/>
      <c r="V157" s="118"/>
    </row>
    <row r="158" outlineLevel="1">
      <c r="A158" s="156"/>
      <c r="B158" s="327" t="s">
        <v>234</v>
      </c>
      <c r="C158" s="328">
        <f t="array" ref="C158">INDEX('アイテム'!$AI$3:$AJ$114, MATCH($A$1,'アイテム'!$A$3:$A$114,0), MATCH(C140,'アイテム'!$C$2:$AQ$2,0))</f>
        <v>9</v>
      </c>
      <c r="D158" s="328" t="str">
        <f t="array" ref="D158">INDEX('アイテム'!$AI$3:$AJ$114, MATCH($A$1,'アイテム'!$A$3:$A$114,0), MATCH(D140,'アイテム'!$C$2:$AQ$2,0))</f>
        <v>22</v>
      </c>
      <c r="E158" s="2544"/>
      <c r="F158" s="2545"/>
      <c r="G158" s="2546"/>
      <c r="H158" s="228"/>
      <c r="I158" s="228"/>
      <c r="J158" s="228"/>
      <c r="K158" s="118"/>
      <c r="L158" s="118"/>
      <c r="M158" s="118"/>
      <c r="N158" s="102"/>
      <c r="O158" s="102"/>
      <c r="P158" s="102"/>
      <c r="Q158" s="102"/>
      <c r="R158" s="118"/>
      <c r="S158" s="118"/>
      <c r="T158" s="118"/>
      <c r="U158" s="118"/>
      <c r="V158" s="118"/>
    </row>
  </sheetData>
  <mergeCells count="136">
    <mergeCell ref="H26:J26"/>
    <mergeCell ref="H27:J27"/>
    <mergeCell ref="H28:J28"/>
    <mergeCell ref="H29:J31"/>
    <mergeCell ref="U29:U31"/>
    <mergeCell ref="H32:J32"/>
    <mergeCell ref="H33:J33"/>
    <mergeCell ref="H34:J34"/>
    <mergeCell ref="H35:J36"/>
    <mergeCell ref="U35:U36"/>
    <mergeCell ref="H37:J39"/>
    <mergeCell ref="U37:U39"/>
    <mergeCell ref="U40:U41"/>
    <mergeCell ref="R44:V44"/>
    <mergeCell ref="U67:U71"/>
    <mergeCell ref="V67:V71"/>
    <mergeCell ref="U73:U75"/>
    <mergeCell ref="V73:V75"/>
    <mergeCell ref="U77:U83"/>
    <mergeCell ref="V77:V83"/>
    <mergeCell ref="R45:V47"/>
    <mergeCell ref="R48:V48"/>
    <mergeCell ref="R49:V50"/>
    <mergeCell ref="R51:V51"/>
    <mergeCell ref="R52:V53"/>
    <mergeCell ref="U57:U65"/>
    <mergeCell ref="V57:V65"/>
    <mergeCell ref="K111:K112"/>
    <mergeCell ref="K113:L113"/>
    <mergeCell ref="K114:K119"/>
    <mergeCell ref="K120:K123"/>
    <mergeCell ref="K124:L124"/>
    <mergeCell ref="K126:K129"/>
    <mergeCell ref="K130:L130"/>
    <mergeCell ref="K133:L133"/>
    <mergeCell ref="H77:J83"/>
    <mergeCell ref="G91:J91"/>
    <mergeCell ref="G92:J93"/>
    <mergeCell ref="G94:J95"/>
    <mergeCell ref="G96:J97"/>
    <mergeCell ref="G98:J99"/>
    <mergeCell ref="K110:L110"/>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D49:D50"/>
    <mergeCell ref="D52:D53"/>
    <mergeCell ref="A55:B55"/>
    <mergeCell ref="A56:B56"/>
    <mergeCell ref="A80:A83"/>
    <mergeCell ref="H40:J41"/>
    <mergeCell ref="I45:I47"/>
    <mergeCell ref="J45:J47"/>
    <mergeCell ref="I49:I50"/>
    <mergeCell ref="J49:J50"/>
    <mergeCell ref="I52:I53"/>
    <mergeCell ref="J52:J53"/>
    <mergeCell ref="H56:J56"/>
    <mergeCell ref="H57:J65"/>
    <mergeCell ref="H66:J66"/>
    <mergeCell ref="H67:J71"/>
    <mergeCell ref="H72:J72"/>
    <mergeCell ref="H73:J75"/>
    <mergeCell ref="H76:J76"/>
    <mergeCell ref="A131:A137"/>
    <mergeCell ref="A139:B139"/>
    <mergeCell ref="A140:B140"/>
    <mergeCell ref="A141:A142"/>
    <mergeCell ref="A144:B144"/>
    <mergeCell ref="A145:A150"/>
    <mergeCell ref="A151:A154"/>
    <mergeCell ref="A155:A158"/>
    <mergeCell ref="A116:A118"/>
    <mergeCell ref="A119:A124"/>
    <mergeCell ref="C123:C124"/>
    <mergeCell ref="D123:D124"/>
    <mergeCell ref="A125:A130"/>
    <mergeCell ref="D129:D130"/>
    <mergeCell ref="D136:D137"/>
    <mergeCell ref="A24:B25"/>
    <mergeCell ref="A26:A28"/>
    <mergeCell ref="A29:A31"/>
    <mergeCell ref="D29:D31"/>
    <mergeCell ref="A35:A36"/>
    <mergeCell ref="D35:D36"/>
    <mergeCell ref="D37:D39"/>
    <mergeCell ref="D40:D41"/>
    <mergeCell ref="D45:D47"/>
    <mergeCell ref="D58:D65"/>
    <mergeCell ref="D67:D69"/>
    <mergeCell ref="D73:D75"/>
    <mergeCell ref="D92:D93"/>
    <mergeCell ref="D94:D95"/>
    <mergeCell ref="D96:D97"/>
    <mergeCell ref="D98:D99"/>
    <mergeCell ref="A57:A65"/>
    <mergeCell ref="A67:A71"/>
    <mergeCell ref="A73:A75"/>
    <mergeCell ref="A77:A78"/>
    <mergeCell ref="A37:A39"/>
    <mergeCell ref="A40:A41"/>
    <mergeCell ref="A43:B44"/>
    <mergeCell ref="A45:A47"/>
    <mergeCell ref="A49:A50"/>
    <mergeCell ref="A52:A53"/>
    <mergeCell ref="A66:B66"/>
    <mergeCell ref="A72:B72"/>
    <mergeCell ref="A76:B76"/>
    <mergeCell ref="A85:B86"/>
    <mergeCell ref="A88:A90"/>
    <mergeCell ref="A91:B91"/>
    <mergeCell ref="A92:A93"/>
    <mergeCell ref="A94:A95"/>
    <mergeCell ref="A96:A97"/>
    <mergeCell ref="A98:A99"/>
    <mergeCell ref="A101:B102"/>
    <mergeCell ref="A103:A105"/>
    <mergeCell ref="A106:A107"/>
    <mergeCell ref="A109:B110"/>
    <mergeCell ref="A111:A115"/>
    <mergeCell ref="C129:C130"/>
    <mergeCell ref="C136:C137"/>
  </mergeCells>
  <conditionalFormatting sqref="K1:K15 K17:K134 G29 C57:C58 E57:E58 F57 G57:G65 L57:T58 C70:C71 E70:G71 L71:T71 E77:G78 L77:T78 C78 D79:D83 G82:G83 C92 E92:F92 C94 E94:F94 C96 E96:F96 P99">
    <cfRule type="containsText" dxfId="0" priority="1" operator="containsText" text="361">
      <formula>NOT(ISERROR(SEARCH(("361"),(K1))))</formula>
    </cfRule>
  </conditionalFormatting>
  <conditionalFormatting sqref="K1:K15 K17:K134 G29 C57:C58 E57:E58 F57 G57:G65 L57:T58 C70:C71 E70:G71 L71:T71 E77:G78 L77:T78 C78 D79:D83 G82:G83 C92 E92:F92 C94 E94:F94 C96 E96:F96 P99">
    <cfRule type="containsText" dxfId="1" priority="2" operator="containsText" text="363">
      <formula>NOT(ISERROR(SEARCH(("363"),(K1))))</formula>
    </cfRule>
  </conditionalFormatting>
  <conditionalFormatting sqref="K1:K15 K17:K134 G29 C57:C58 E57:E58 F57 G57:G65 L57:T58 C70:C71 E70:G71 L71:T71 E77:G78 L77:T78 C78 D79:D83 G82:G83 C92 E92:F92 C94 E94:F94 C96 E96:F96 P99">
    <cfRule type="containsText" dxfId="1" priority="3" operator="containsText" text="365">
      <formula>NOT(ISERROR(SEARCH(("365"),(K1))))</formula>
    </cfRule>
  </conditionalFormatting>
  <conditionalFormatting sqref="K1:K15 K17:K134 G29 C57:C58 E57:E58 F57 G57:G65 L57:T58 C70:C71 E70:G71 L71:T71 E77:G78 L77:T78 C78 D79:D83 G82:G83 C92 E92:F92 C94 E94:F94 C96 E96:F96 P99">
    <cfRule type="containsText" dxfId="1" priority="4" operator="containsText" text="366">
      <formula>NOT(ISERROR(SEARCH(("366"),(K1))))</formula>
    </cfRule>
  </conditionalFormatting>
  <conditionalFormatting sqref="K1:K15 K17:K134 G29 C57:C58 E57:E58 F57 G57:G65 L57:T58 C70:C71 E70:G71 L71:T71 E77:G78 L77:T78 C78 D79:D83 G82:G83 C92 E92:F92 C94 E94:F94 C96 E96:F96 P99">
    <cfRule type="containsText" dxfId="1" priority="5" operator="containsText" text="367">
      <formula>NOT(ISERROR(SEARCH(("367"),(K1))))</formula>
    </cfRule>
  </conditionalFormatting>
  <conditionalFormatting sqref="P92:P99">
    <cfRule type="cellIs" dxfId="2" priority="6" operator="equal">
      <formula>"敵のみ"</formula>
    </cfRule>
  </conditionalFormatting>
  <conditionalFormatting sqref="C92:C99">
    <cfRule type="cellIs" dxfId="3" priority="7" operator="equal">
      <formula>"-"</formula>
    </cfRule>
  </conditionalFormatting>
  <conditionalFormatting sqref="O1:O158 G29 C57:C58 E57:E58 F57 G57:G65 K57:N58 P57:T58 C70:C71 E70:G71 K71:N71 P71:T71 E77:G78 K77:N78 P77:T78 C78 D79:D83 G82:G83 C92 E92:F92 K92:N92 P92:Q92 C94 E94:F94 K94:N94 P94:Q94 C96 E96:F96 K96:N96 P96:Q96 P99">
    <cfRule type="cellIs" dxfId="4" priority="8" operator="greaterThan">
      <formula>0</formula>
    </cfRule>
  </conditionalFormatting>
  <conditionalFormatting sqref="P1:Q158">
    <cfRule type="cellIs" dxfId="5" priority="9" operator="lessThan">
      <formula>1</formula>
    </cfRule>
  </conditionalFormatting>
  <conditionalFormatting sqref="P1:Q158">
    <cfRule type="cellIs" dxfId="4" priority="10" operator="greaterThan">
      <formula>1</formula>
    </cfRule>
  </conditionalFormatting>
  <conditionalFormatting sqref="N25:N99 G29 C57:C58 E57:E58 F57 G57:G65 K57:M58 O57:T58 C70:C71 E70:G71 K71:M71 O71:T71">
    <cfRule type="cellIs" dxfId="6" priority="11" operator="greaterThan">
      <formula>0</formula>
    </cfRule>
  </conditionalFormatting>
  <conditionalFormatting sqref="N1:N15 N17:N158 G29 C57:C58 E57:E58 F57 G57:G65 K57:M58 O57:T58 C70:C71 E70:G71 K71:M71 O71:T71">
    <cfRule type="containsText" dxfId="6" priority="12" operator="containsText" text="/">
      <formula>NOT(ISERROR(SEARCH(("/"),(N1))))</formula>
    </cfRule>
  </conditionalFormatting>
  <drawing r:id="rId2"/>
  <legacyDrawing r:id="rId3"/>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12227"/>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547">
        <v>56.0</v>
      </c>
      <c r="B1" s="2548"/>
      <c r="C1" s="2549" t="str">
        <f>IMAGE(VLOOKUP($A$1,Fighters!A2:AI114,12,FALSE),1)</f>
        <v>#REF!</v>
      </c>
      <c r="D1" s="2550"/>
      <c r="E1" s="2550"/>
      <c r="F1" s="2550"/>
      <c r="G1" s="2551"/>
      <c r="H1" s="2552"/>
      <c r="I1" s="2550"/>
      <c r="J1" s="2551"/>
      <c r="K1" s="2553"/>
      <c r="L1" s="2550"/>
      <c r="M1" s="2551"/>
      <c r="N1" s="2554"/>
      <c r="O1" s="2554"/>
      <c r="P1" s="2554"/>
      <c r="Q1" s="2554"/>
      <c r="R1" s="2555"/>
      <c r="S1" s="2555"/>
      <c r="T1" s="2555"/>
      <c r="U1" s="2555"/>
      <c r="V1" s="2555"/>
    </row>
    <row r="2">
      <c r="A2" s="2556" t="str">
        <f>VLOOKUP($A$1,Fighters!$A$2:$AI$81,6,FALSE)</f>
        <v>#212227</v>
      </c>
      <c r="B2" s="2548"/>
      <c r="C2" s="2557"/>
      <c r="G2" s="2558"/>
      <c r="H2" s="2559"/>
      <c r="I2" s="2560"/>
      <c r="J2" s="2561"/>
      <c r="K2" s="2559"/>
      <c r="L2" s="2560"/>
      <c r="M2" s="2561"/>
      <c r="N2" s="2554"/>
      <c r="O2" s="2554"/>
      <c r="P2" s="2554"/>
      <c r="Q2" s="2554"/>
      <c r="R2" s="2555"/>
      <c r="S2" s="2555"/>
      <c r="T2" s="2555"/>
      <c r="U2" s="2555"/>
      <c r="V2" s="2555"/>
    </row>
    <row r="3">
      <c r="A3" s="2556" t="str">
        <f>VLOOKUP($A$1,Fighters!$A$2:$AI$81,14,FALSE)</f>
        <v>56. ルフレ</v>
      </c>
      <c r="B3" s="2548"/>
      <c r="C3" s="2557"/>
      <c r="G3" s="2558"/>
      <c r="H3" s="2562"/>
      <c r="I3" s="2562"/>
      <c r="J3" s="2562"/>
      <c r="K3" s="2563"/>
      <c r="L3" s="2563"/>
      <c r="M3" s="2563"/>
      <c r="N3" s="2554"/>
      <c r="O3" s="2554"/>
      <c r="P3" s="2554"/>
      <c r="Q3" s="2554"/>
      <c r="R3" s="2564"/>
      <c r="S3" s="2555"/>
      <c r="T3" s="2555"/>
      <c r="U3" s="2555"/>
      <c r="V3" s="2555"/>
    </row>
    <row r="4">
      <c r="A4" s="2556" t="str">
        <f>VLOOKUP($A$1,Fighters!$A$2:$AI$81,13,FALSE)</f>
        <v>1</v>
      </c>
      <c r="B4" s="2548"/>
      <c r="C4" s="2557"/>
      <c r="G4" s="2558"/>
      <c r="H4" s="2565"/>
      <c r="I4" s="2565"/>
      <c r="J4" s="2562"/>
      <c r="K4" s="2563"/>
      <c r="L4" s="2563"/>
      <c r="M4" s="2563"/>
      <c r="N4" s="2554"/>
      <c r="O4" s="2554"/>
      <c r="P4" s="2554"/>
      <c r="Q4" s="2554"/>
      <c r="R4" s="2564"/>
      <c r="S4" s="2555"/>
      <c r="T4" s="2555"/>
      <c r="U4" s="2555"/>
      <c r="V4" s="2555"/>
    </row>
    <row r="5" ht="16.5" customHeight="1">
      <c r="A5" s="2547"/>
      <c r="B5" s="2548"/>
      <c r="C5" s="2557"/>
      <c r="G5" s="2558"/>
      <c r="H5" s="2566"/>
      <c r="I5" s="2566"/>
      <c r="J5" s="2567"/>
      <c r="K5" s="2568"/>
      <c r="L5" s="2569"/>
      <c r="M5" s="2569"/>
      <c r="N5" s="2554"/>
      <c r="O5" s="2554"/>
      <c r="P5" s="2554"/>
      <c r="Q5" s="2554"/>
      <c r="R5" s="2564"/>
      <c r="S5" s="2555"/>
      <c r="T5" s="2555"/>
      <c r="U5" s="2555"/>
      <c r="V5" s="2555"/>
    </row>
    <row r="6">
      <c r="A6" s="2548"/>
      <c r="B6" s="2548"/>
      <c r="C6" s="2557"/>
      <c r="G6" s="2558"/>
      <c r="H6" s="2565"/>
      <c r="I6" s="2570" t="s">
        <v>39</v>
      </c>
      <c r="J6" s="2568"/>
      <c r="K6" s="2571"/>
      <c r="L6" s="2569"/>
      <c r="M6" s="2569"/>
      <c r="N6" s="2554"/>
      <c r="O6" s="2554"/>
      <c r="P6" s="2554"/>
      <c r="Q6" s="2554"/>
      <c r="R6" s="2564"/>
      <c r="S6" s="2555"/>
      <c r="T6" s="2555"/>
      <c r="U6" s="2555"/>
      <c r="V6" s="2555"/>
    </row>
    <row r="7">
      <c r="A7" s="2548"/>
      <c r="B7" s="2548"/>
      <c r="C7" s="2557"/>
      <c r="G7" s="2558"/>
      <c r="H7" s="2566"/>
      <c r="I7" s="2566"/>
      <c r="J7" s="2568"/>
      <c r="K7" s="2571"/>
      <c r="L7" s="2569"/>
      <c r="M7" s="2569"/>
      <c r="N7" s="2554"/>
      <c r="O7" s="2554"/>
      <c r="P7" s="2554"/>
      <c r="Q7" s="2554"/>
      <c r="R7" s="2564"/>
      <c r="S7" s="2555"/>
      <c r="T7" s="2555"/>
      <c r="U7" s="2555"/>
      <c r="V7" s="2555"/>
    </row>
    <row r="8">
      <c r="A8" s="2548"/>
      <c r="B8" s="2548"/>
      <c r="C8" s="2557"/>
      <c r="G8" s="2558"/>
      <c r="H8" s="2572">
        <v>44533.42072849537</v>
      </c>
      <c r="I8" s="2550"/>
      <c r="J8" s="2551"/>
      <c r="K8" s="2568"/>
      <c r="L8" s="2569"/>
      <c r="M8" s="2569"/>
      <c r="N8" s="2554"/>
      <c r="O8" s="2554"/>
      <c r="P8" s="2554"/>
      <c r="Q8" s="2554"/>
      <c r="R8" s="2564"/>
      <c r="S8" s="2555"/>
      <c r="T8" s="2555"/>
      <c r="U8" s="2555"/>
      <c r="V8" s="2555"/>
    </row>
    <row r="9">
      <c r="A9" s="2548"/>
      <c r="B9" s="2548"/>
      <c r="C9" s="2557"/>
      <c r="G9" s="2558"/>
      <c r="H9" s="2559"/>
      <c r="I9" s="2560"/>
      <c r="J9" s="2561"/>
      <c r="K9" s="2555"/>
      <c r="L9" s="2554"/>
      <c r="M9" s="2554"/>
      <c r="N9" s="2554"/>
      <c r="O9" s="2554"/>
      <c r="P9" s="2554"/>
      <c r="Q9" s="2554"/>
      <c r="R9" s="2564"/>
      <c r="S9" s="2555"/>
      <c r="T9" s="2555"/>
      <c r="U9" s="2555"/>
      <c r="V9" s="2555"/>
    </row>
    <row r="10">
      <c r="A10" s="2548"/>
      <c r="B10" s="2548"/>
      <c r="C10" s="2557"/>
      <c r="G10" s="2558"/>
      <c r="H10" s="2573"/>
      <c r="I10" s="2573"/>
      <c r="J10" s="2555"/>
      <c r="K10" s="2555"/>
      <c r="L10" s="2554"/>
      <c r="M10" s="2554"/>
      <c r="N10" s="2554"/>
      <c r="O10" s="2554"/>
      <c r="P10" s="2554"/>
      <c r="Q10" s="2554"/>
      <c r="R10" s="2564"/>
      <c r="S10" s="2555"/>
      <c r="T10" s="2555"/>
      <c r="U10" s="2555"/>
      <c r="V10" s="2555"/>
    </row>
    <row r="11">
      <c r="A11" s="2574" t="s">
        <v>40</v>
      </c>
      <c r="B11" s="2551"/>
      <c r="C11" s="2557"/>
      <c r="G11" s="2558"/>
      <c r="H11" s="2566"/>
      <c r="I11" s="2566"/>
      <c r="J11" s="2555"/>
      <c r="K11" s="2555"/>
      <c r="L11" s="2554"/>
      <c r="M11" s="2554"/>
      <c r="N11" s="2554"/>
      <c r="O11" s="2554"/>
      <c r="P11" s="2554"/>
      <c r="Q11" s="2554"/>
      <c r="R11" s="2564"/>
      <c r="S11" s="2555"/>
      <c r="T11" s="2555"/>
      <c r="U11" s="2555"/>
      <c r="V11" s="2555"/>
    </row>
    <row r="12">
      <c r="A12" s="2559"/>
      <c r="B12" s="2561"/>
      <c r="C12" s="2559"/>
      <c r="D12" s="2560"/>
      <c r="E12" s="2560"/>
      <c r="F12" s="2560"/>
      <c r="G12" s="2561"/>
      <c r="H12" s="2575"/>
      <c r="I12" s="2575"/>
      <c r="J12" s="2548"/>
      <c r="K12" s="2548"/>
      <c r="L12" s="2554"/>
      <c r="M12" s="2554"/>
      <c r="N12" s="2554"/>
      <c r="O12" s="2554"/>
      <c r="P12" s="2554"/>
      <c r="Q12" s="2554"/>
      <c r="R12" s="2564"/>
      <c r="S12" s="2555"/>
      <c r="T12" s="2555"/>
      <c r="U12" s="2555"/>
      <c r="V12" s="2555"/>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95 [44th]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1.815 [62nd]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0.936 [62nd]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0.1012 [85th]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33.21 [38th]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1.265 [88th]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0.105 [55th]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16.02 [43rd]</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16F [89th]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1.05 [43rd]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33.21 [44th]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17F [5th]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 [59th]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 [76th]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 [57th]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0.089 [52nd]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717</v>
      </c>
      <c r="D26" s="139" t="s">
        <v>271</v>
      </c>
      <c r="E26" s="139" t="s">
        <v>176</v>
      </c>
      <c r="F26" s="138">
        <v>2.4</v>
      </c>
      <c r="G26" s="139" t="s">
        <v>60</v>
      </c>
      <c r="H26" s="173" t="s">
        <v>3996</v>
      </c>
      <c r="I26" s="110"/>
      <c r="J26" s="109"/>
      <c r="K26" s="138"/>
      <c r="L26" s="282"/>
      <c r="M26" s="363"/>
      <c r="N26" s="363"/>
      <c r="O26" s="145">
        <v>0.0</v>
      </c>
      <c r="P26" s="145">
        <v>1.0</v>
      </c>
      <c r="Q26" s="145">
        <v>1.0</v>
      </c>
      <c r="R26" s="100"/>
      <c r="S26" s="100"/>
      <c r="T26" s="100"/>
      <c r="U26" s="145" t="s">
        <v>69</v>
      </c>
      <c r="V26" s="100"/>
    </row>
    <row r="27" outlineLevel="1">
      <c r="A27" s="146"/>
      <c r="B27" s="147" t="s">
        <v>63</v>
      </c>
      <c r="C27" s="216" t="s">
        <v>267</v>
      </c>
      <c r="D27" s="216" t="s">
        <v>218</v>
      </c>
      <c r="E27" s="216" t="s">
        <v>1024</v>
      </c>
      <c r="F27" s="138">
        <v>1.7999999999999998</v>
      </c>
      <c r="G27" s="139" t="s">
        <v>60</v>
      </c>
      <c r="H27" s="173" t="s">
        <v>3997</v>
      </c>
      <c r="I27" s="110"/>
      <c r="J27" s="109"/>
      <c r="K27" s="282"/>
      <c r="L27" s="282"/>
      <c r="M27" s="363"/>
      <c r="N27" s="363"/>
      <c r="O27" s="145">
        <v>0.0</v>
      </c>
      <c r="P27" s="145">
        <v>1.0</v>
      </c>
      <c r="Q27" s="145">
        <v>1.0</v>
      </c>
      <c r="R27" s="100"/>
      <c r="S27" s="100"/>
      <c r="T27" s="100"/>
      <c r="U27" s="145" t="s">
        <v>76</v>
      </c>
      <c r="V27" s="100"/>
    </row>
    <row r="28" outlineLevel="1">
      <c r="A28" s="146"/>
      <c r="B28" s="147" t="s">
        <v>70</v>
      </c>
      <c r="C28" s="216" t="s">
        <v>217</v>
      </c>
      <c r="D28" s="216" t="s">
        <v>193</v>
      </c>
      <c r="E28" s="216" t="s">
        <v>150</v>
      </c>
      <c r="F28" s="138">
        <v>6.0</v>
      </c>
      <c r="G28" s="139" t="s">
        <v>102</v>
      </c>
      <c r="H28" s="159"/>
      <c r="I28" s="110"/>
      <c r="J28" s="109"/>
      <c r="K28" s="282"/>
      <c r="L28" s="282"/>
      <c r="M28" s="363"/>
      <c r="N28" s="363"/>
      <c r="O28" s="145">
        <v>0.0</v>
      </c>
      <c r="P28" s="145">
        <v>1.0</v>
      </c>
      <c r="Q28" s="145">
        <v>1.0</v>
      </c>
      <c r="R28" s="100"/>
      <c r="S28" s="100"/>
      <c r="T28" s="100"/>
      <c r="U28" s="145" t="s">
        <v>76</v>
      </c>
      <c r="V28" s="100"/>
    </row>
    <row r="29" outlineLevel="1">
      <c r="A29" s="146"/>
      <c r="B29" s="147" t="s">
        <v>703</v>
      </c>
      <c r="C29" s="657"/>
      <c r="D29" s="467" t="s">
        <v>213</v>
      </c>
      <c r="E29" s="659"/>
      <c r="F29" s="658"/>
      <c r="G29" s="659"/>
      <c r="H29" s="159"/>
      <c r="I29" s="110"/>
      <c r="J29" s="109"/>
      <c r="K29" s="261"/>
      <c r="L29" s="261"/>
      <c r="M29" s="261"/>
      <c r="N29" s="261"/>
      <c r="O29" s="261"/>
      <c r="P29" s="261"/>
      <c r="Q29" s="261"/>
      <c r="R29" s="100"/>
      <c r="S29" s="100"/>
      <c r="T29" s="100"/>
      <c r="U29" s="145" t="s">
        <v>76</v>
      </c>
      <c r="V29" s="100"/>
    </row>
    <row r="30" outlineLevel="1">
      <c r="A30" s="146"/>
      <c r="B30" s="147" t="s">
        <v>704</v>
      </c>
      <c r="C30" s="214" t="s">
        <v>3998</v>
      </c>
      <c r="D30" s="214" t="s">
        <v>164</v>
      </c>
      <c r="E30" s="780" t="s">
        <v>3396</v>
      </c>
      <c r="F30" s="246">
        <v>1.08</v>
      </c>
      <c r="G30" s="450" t="s">
        <v>60</v>
      </c>
      <c r="H30" s="173" t="s">
        <v>3999</v>
      </c>
      <c r="I30" s="110"/>
      <c r="J30" s="109"/>
      <c r="K30" s="282"/>
      <c r="L30" s="282"/>
      <c r="M30" s="363"/>
      <c r="N30" s="363"/>
      <c r="O30" s="145">
        <v>0.0</v>
      </c>
      <c r="P30" s="145">
        <v>1.0</v>
      </c>
      <c r="Q30" s="145">
        <v>1.0</v>
      </c>
      <c r="R30" s="100"/>
      <c r="S30" s="100"/>
      <c r="T30" s="100"/>
      <c r="U30" s="145" t="s">
        <v>76</v>
      </c>
      <c r="V30" s="100"/>
    </row>
    <row r="31" outlineLevel="1">
      <c r="A31" s="156"/>
      <c r="B31" s="147" t="s">
        <v>708</v>
      </c>
      <c r="C31" s="216" t="s">
        <v>267</v>
      </c>
      <c r="D31" s="216" t="s">
        <v>111</v>
      </c>
      <c r="E31" s="216" t="s">
        <v>176</v>
      </c>
      <c r="F31" s="138">
        <v>2.4</v>
      </c>
      <c r="G31" s="467" t="s">
        <v>60</v>
      </c>
      <c r="H31" s="159"/>
      <c r="I31" s="110"/>
      <c r="J31" s="109"/>
      <c r="K31" s="282"/>
      <c r="L31" s="282"/>
      <c r="M31" s="363"/>
      <c r="N31" s="363"/>
      <c r="O31" s="145">
        <v>0.0</v>
      </c>
      <c r="P31" s="145">
        <v>1.0</v>
      </c>
      <c r="Q31" s="145">
        <v>1.0</v>
      </c>
      <c r="R31" s="100"/>
      <c r="S31" s="100"/>
      <c r="T31" s="100"/>
      <c r="U31" s="145" t="s">
        <v>76</v>
      </c>
      <c r="V31" s="100"/>
    </row>
    <row r="32" outlineLevel="1">
      <c r="A32" s="133" t="s">
        <v>77</v>
      </c>
      <c r="B32" s="160"/>
      <c r="C32" s="216" t="s">
        <v>161</v>
      </c>
      <c r="D32" s="195" t="s">
        <v>384</v>
      </c>
      <c r="E32" s="216" t="s">
        <v>128</v>
      </c>
      <c r="F32" s="138">
        <v>12.0</v>
      </c>
      <c r="G32" s="139" t="s">
        <v>121</v>
      </c>
      <c r="H32" s="456"/>
      <c r="I32" s="164"/>
      <c r="J32" s="104"/>
      <c r="K32" s="138"/>
      <c r="L32" s="282"/>
      <c r="M32" s="363"/>
      <c r="N32" s="363"/>
      <c r="O32" s="145">
        <v>0.0</v>
      </c>
      <c r="P32" s="145">
        <v>1.0</v>
      </c>
      <c r="Q32" s="145">
        <v>1.0</v>
      </c>
      <c r="R32" s="100"/>
      <c r="S32" s="100"/>
      <c r="T32" s="100"/>
      <c r="U32" s="166" t="s">
        <v>69</v>
      </c>
      <c r="V32" s="100"/>
    </row>
    <row r="33" outlineLevel="1">
      <c r="A33" s="156"/>
      <c r="B33" s="147" t="s">
        <v>84</v>
      </c>
      <c r="C33" s="216" t="s">
        <v>4000</v>
      </c>
      <c r="D33" s="107"/>
      <c r="E33" s="216" t="s">
        <v>86</v>
      </c>
      <c r="F33" s="138">
        <v>7.199999999999999</v>
      </c>
      <c r="G33" s="139" t="s">
        <v>102</v>
      </c>
      <c r="H33" s="106"/>
      <c r="I33" s="168"/>
      <c r="J33" s="107"/>
      <c r="K33" s="282"/>
      <c r="L33" s="282"/>
      <c r="M33" s="363"/>
      <c r="N33" s="363"/>
      <c r="O33" s="145">
        <v>0.0</v>
      </c>
      <c r="P33" s="145">
        <v>1.0</v>
      </c>
      <c r="Q33" s="145">
        <v>1.0</v>
      </c>
      <c r="R33" s="100"/>
      <c r="S33" s="100"/>
      <c r="T33" s="100"/>
      <c r="U33" s="156"/>
      <c r="V33" s="100"/>
    </row>
    <row r="34" outlineLevel="1">
      <c r="A34" s="170" t="s">
        <v>89</v>
      </c>
      <c r="B34" s="147"/>
      <c r="C34" s="216" t="s">
        <v>220</v>
      </c>
      <c r="D34" s="216" t="s">
        <v>964</v>
      </c>
      <c r="E34" s="216" t="s">
        <v>1665</v>
      </c>
      <c r="F34" s="138">
        <v>9.0</v>
      </c>
      <c r="G34" s="139" t="s">
        <v>123</v>
      </c>
      <c r="H34" s="159"/>
      <c r="I34" s="110"/>
      <c r="J34" s="109"/>
      <c r="K34" s="138"/>
      <c r="L34" s="282"/>
      <c r="M34" s="363"/>
      <c r="N34" s="363"/>
      <c r="O34" s="145">
        <v>0.0</v>
      </c>
      <c r="P34" s="145">
        <v>1.0</v>
      </c>
      <c r="Q34" s="145">
        <v>1.0</v>
      </c>
      <c r="R34" s="100"/>
      <c r="S34" s="100"/>
      <c r="T34" s="100"/>
      <c r="U34" s="145" t="s">
        <v>96</v>
      </c>
      <c r="V34" s="100"/>
    </row>
    <row r="35" outlineLevel="1">
      <c r="A35" s="170" t="s">
        <v>97</v>
      </c>
      <c r="B35" s="160"/>
      <c r="C35" s="216" t="s">
        <v>4001</v>
      </c>
      <c r="D35" s="216" t="s">
        <v>964</v>
      </c>
      <c r="E35" s="216" t="s">
        <v>86</v>
      </c>
      <c r="F35" s="138">
        <v>7.199999999999999</v>
      </c>
      <c r="G35" s="139" t="s">
        <v>102</v>
      </c>
      <c r="H35" s="159"/>
      <c r="I35" s="110"/>
      <c r="J35" s="109"/>
      <c r="K35" s="282"/>
      <c r="L35" s="282"/>
      <c r="M35" s="363"/>
      <c r="N35" s="363"/>
      <c r="O35" s="145">
        <v>0.0</v>
      </c>
      <c r="P35" s="145">
        <v>1.0</v>
      </c>
      <c r="Q35" s="145">
        <v>1.0</v>
      </c>
      <c r="R35" s="100"/>
      <c r="S35" s="100"/>
      <c r="T35" s="100"/>
      <c r="U35" s="145" t="s">
        <v>69</v>
      </c>
      <c r="V35" s="100"/>
    </row>
    <row r="36" outlineLevel="1">
      <c r="A36" s="170" t="s">
        <v>103</v>
      </c>
      <c r="B36" s="160"/>
      <c r="C36" s="216" t="s">
        <v>319</v>
      </c>
      <c r="D36" s="216" t="s">
        <v>65</v>
      </c>
      <c r="E36" s="216" t="s">
        <v>86</v>
      </c>
      <c r="F36" s="138">
        <v>7.199999999999999</v>
      </c>
      <c r="G36" s="139" t="s">
        <v>102</v>
      </c>
      <c r="H36" s="159"/>
      <c r="I36" s="110"/>
      <c r="J36" s="109"/>
      <c r="K36" s="145"/>
      <c r="L36" s="363"/>
      <c r="M36" s="363"/>
      <c r="N36" s="363"/>
      <c r="O36" s="145">
        <v>0.0</v>
      </c>
      <c r="P36" s="145">
        <v>1.0</v>
      </c>
      <c r="Q36" s="145">
        <v>1.0</v>
      </c>
      <c r="R36" s="100"/>
      <c r="S36" s="100"/>
      <c r="T36" s="100"/>
      <c r="U36" s="145" t="s">
        <v>69</v>
      </c>
      <c r="V36" s="100"/>
    </row>
    <row r="37" outlineLevel="1">
      <c r="A37" s="133" t="s">
        <v>109</v>
      </c>
      <c r="B37" s="147" t="s">
        <v>4002</v>
      </c>
      <c r="C37" s="216" t="s">
        <v>1137</v>
      </c>
      <c r="D37" s="195" t="s">
        <v>600</v>
      </c>
      <c r="E37" s="216" t="s">
        <v>153</v>
      </c>
      <c r="F37" s="138">
        <v>19.2</v>
      </c>
      <c r="G37" s="139" t="s">
        <v>88</v>
      </c>
      <c r="H37" s="163" t="s">
        <v>4003</v>
      </c>
      <c r="I37" s="164"/>
      <c r="J37" s="104"/>
      <c r="K37" s="282"/>
      <c r="L37" s="282"/>
      <c r="M37" s="363"/>
      <c r="N37" s="363"/>
      <c r="O37" s="145">
        <v>0.0</v>
      </c>
      <c r="P37" s="145">
        <v>1.0</v>
      </c>
      <c r="Q37" s="145">
        <v>1.0</v>
      </c>
      <c r="R37" s="100"/>
      <c r="S37" s="100"/>
      <c r="T37" s="100"/>
      <c r="U37" s="166" t="s">
        <v>123</v>
      </c>
      <c r="V37" s="100"/>
    </row>
    <row r="38" outlineLevel="1">
      <c r="A38" s="146"/>
      <c r="B38" s="147" t="s">
        <v>4004</v>
      </c>
      <c r="C38" s="216" t="s">
        <v>4005</v>
      </c>
      <c r="D38" s="210"/>
      <c r="E38" s="216" t="s">
        <v>128</v>
      </c>
      <c r="F38" s="138">
        <v>12.0</v>
      </c>
      <c r="G38" s="139" t="s">
        <v>95</v>
      </c>
      <c r="H38" s="212"/>
      <c r="J38" s="210"/>
      <c r="K38" s="282"/>
      <c r="L38" s="282"/>
      <c r="M38" s="363"/>
      <c r="N38" s="363"/>
      <c r="O38" s="145">
        <v>0.0</v>
      </c>
      <c r="P38" s="145">
        <v>1.0</v>
      </c>
      <c r="Q38" s="145">
        <v>1.0</v>
      </c>
      <c r="R38" s="100"/>
      <c r="S38" s="100"/>
      <c r="T38" s="100"/>
      <c r="U38" s="146"/>
      <c r="V38" s="100"/>
    </row>
    <row r="39" outlineLevel="1">
      <c r="A39" s="156"/>
      <c r="B39" s="147" t="s">
        <v>4006</v>
      </c>
      <c r="C39" s="2208" t="s">
        <v>1137</v>
      </c>
      <c r="D39" s="107"/>
      <c r="E39" s="2208" t="s">
        <v>81</v>
      </c>
      <c r="F39" s="1940">
        <v>11.52</v>
      </c>
      <c r="G39" s="2576" t="s">
        <v>95</v>
      </c>
      <c r="H39" s="106"/>
      <c r="I39" s="168"/>
      <c r="J39" s="107"/>
      <c r="K39" s="282"/>
      <c r="L39" s="282"/>
      <c r="M39" s="363"/>
      <c r="N39" s="363"/>
      <c r="O39" s="145">
        <v>0.0</v>
      </c>
      <c r="P39" s="145">
        <v>1.0</v>
      </c>
      <c r="Q39" s="145">
        <v>1.0</v>
      </c>
      <c r="R39" s="100"/>
      <c r="S39" s="100"/>
      <c r="T39" s="100"/>
      <c r="U39" s="156"/>
      <c r="V39" s="100"/>
    </row>
    <row r="40" outlineLevel="1">
      <c r="A40" s="133" t="s">
        <v>116</v>
      </c>
      <c r="B40" s="147" t="s">
        <v>4007</v>
      </c>
      <c r="C40" s="216" t="s">
        <v>129</v>
      </c>
      <c r="D40" s="195" t="s">
        <v>634</v>
      </c>
      <c r="E40" s="216" t="s">
        <v>4008</v>
      </c>
      <c r="F40" s="138" t="s">
        <v>4009</v>
      </c>
      <c r="G40" s="139" t="s">
        <v>1550</v>
      </c>
      <c r="H40" s="163" t="s">
        <v>4010</v>
      </c>
      <c r="I40" s="164"/>
      <c r="J40" s="104"/>
      <c r="K40" s="363"/>
      <c r="L40" s="363"/>
      <c r="M40" s="363"/>
      <c r="N40" s="363"/>
      <c r="O40" s="145">
        <v>0.0</v>
      </c>
      <c r="P40" s="145">
        <v>1.0</v>
      </c>
      <c r="Q40" s="145">
        <v>1.0</v>
      </c>
      <c r="R40" s="100"/>
      <c r="S40" s="100"/>
      <c r="T40" s="100"/>
      <c r="U40" s="166" t="s">
        <v>62</v>
      </c>
      <c r="V40" s="100"/>
    </row>
    <row r="41" outlineLevel="1">
      <c r="A41" s="146"/>
      <c r="B41" s="147" t="s">
        <v>4002</v>
      </c>
      <c r="C41" s="216" t="s">
        <v>1159</v>
      </c>
      <c r="D41" s="210"/>
      <c r="E41" s="216" t="s">
        <v>386</v>
      </c>
      <c r="F41" s="138">
        <v>18.0</v>
      </c>
      <c r="G41" s="139" t="s">
        <v>121</v>
      </c>
      <c r="H41" s="212"/>
      <c r="J41" s="210"/>
      <c r="K41" s="363"/>
      <c r="L41" s="363"/>
      <c r="M41" s="363"/>
      <c r="N41" s="363"/>
      <c r="O41" s="145"/>
      <c r="P41" s="145"/>
      <c r="Q41" s="145"/>
      <c r="R41" s="100"/>
      <c r="S41" s="100"/>
      <c r="T41" s="100"/>
      <c r="U41" s="146"/>
      <c r="V41" s="100"/>
    </row>
    <row r="42" outlineLevel="1">
      <c r="A42" s="146"/>
      <c r="B42" s="147" t="s">
        <v>4004</v>
      </c>
      <c r="C42" s="216" t="s">
        <v>4011</v>
      </c>
      <c r="D42" s="210"/>
      <c r="E42" s="216" t="s">
        <v>128</v>
      </c>
      <c r="F42" s="138">
        <v>12.0</v>
      </c>
      <c r="G42" s="139" t="s">
        <v>95</v>
      </c>
      <c r="H42" s="212"/>
      <c r="J42" s="210"/>
      <c r="K42" s="363"/>
      <c r="L42" s="363"/>
      <c r="M42" s="363"/>
      <c r="N42" s="363"/>
      <c r="O42" s="145"/>
      <c r="P42" s="145"/>
      <c r="Q42" s="145"/>
      <c r="R42" s="100"/>
      <c r="S42" s="100"/>
      <c r="T42" s="100"/>
      <c r="U42" s="146"/>
      <c r="V42" s="100"/>
    </row>
    <row r="43" outlineLevel="1">
      <c r="A43" s="156"/>
      <c r="B43" s="147" t="s">
        <v>4006</v>
      </c>
      <c r="C43" s="2208" t="s">
        <v>1670</v>
      </c>
      <c r="D43" s="107"/>
      <c r="E43" s="2208" t="s">
        <v>274</v>
      </c>
      <c r="F43" s="1940">
        <v>10.799999999999999</v>
      </c>
      <c r="G43" s="2576" t="s">
        <v>95</v>
      </c>
      <c r="H43" s="106"/>
      <c r="I43" s="168"/>
      <c r="J43" s="107"/>
      <c r="K43" s="363"/>
      <c r="L43" s="363"/>
      <c r="M43" s="363"/>
      <c r="N43" s="363"/>
      <c r="O43" s="145"/>
      <c r="P43" s="145"/>
      <c r="Q43" s="145"/>
      <c r="R43" s="100"/>
      <c r="S43" s="100"/>
      <c r="T43" s="100"/>
      <c r="U43" s="156"/>
      <c r="V43" s="100"/>
    </row>
    <row r="44" outlineLevel="1">
      <c r="A44" s="133" t="s">
        <v>124</v>
      </c>
      <c r="B44" s="147" t="s">
        <v>4002</v>
      </c>
      <c r="C44" s="216" t="s">
        <v>454</v>
      </c>
      <c r="D44" s="195" t="s">
        <v>402</v>
      </c>
      <c r="E44" s="216" t="s">
        <v>386</v>
      </c>
      <c r="F44" s="138">
        <v>18.0</v>
      </c>
      <c r="G44" s="139" t="s">
        <v>121</v>
      </c>
      <c r="H44" s="163" t="s">
        <v>4012</v>
      </c>
      <c r="I44" s="164"/>
      <c r="J44" s="104"/>
      <c r="K44" s="282"/>
      <c r="L44" s="282"/>
      <c r="M44" s="363"/>
      <c r="N44" s="363"/>
      <c r="O44" s="145">
        <v>0.0</v>
      </c>
      <c r="P44" s="145">
        <v>1.0</v>
      </c>
      <c r="Q44" s="145">
        <v>1.0</v>
      </c>
      <c r="R44" s="100"/>
      <c r="S44" s="100"/>
      <c r="T44" s="100"/>
      <c r="U44" s="166" t="s">
        <v>69</v>
      </c>
      <c r="V44" s="100"/>
    </row>
    <row r="45" outlineLevel="1">
      <c r="A45" s="146"/>
      <c r="B45" s="147" t="s">
        <v>4004</v>
      </c>
      <c r="C45" s="216" t="s">
        <v>667</v>
      </c>
      <c r="D45" s="210"/>
      <c r="E45" s="216" t="s">
        <v>129</v>
      </c>
      <c r="F45" s="138">
        <v>14.399999999999999</v>
      </c>
      <c r="G45" s="139" t="s">
        <v>123</v>
      </c>
      <c r="H45" s="212"/>
      <c r="J45" s="210"/>
      <c r="K45" s="282"/>
      <c r="L45" s="282"/>
      <c r="M45" s="363"/>
      <c r="N45" s="363"/>
      <c r="O45" s="145"/>
      <c r="P45" s="145"/>
      <c r="Q45" s="145"/>
      <c r="R45" s="100"/>
      <c r="S45" s="100"/>
      <c r="T45" s="100"/>
      <c r="U45" s="146"/>
      <c r="V45" s="100"/>
    </row>
    <row r="46" outlineLevel="1">
      <c r="A46" s="146"/>
      <c r="B46" s="147" t="s">
        <v>4013</v>
      </c>
      <c r="C46" s="216" t="s">
        <v>4014</v>
      </c>
      <c r="D46" s="210"/>
      <c r="E46" s="216" t="s">
        <v>128</v>
      </c>
      <c r="F46" s="138">
        <v>12.0</v>
      </c>
      <c r="G46" s="139" t="s">
        <v>95</v>
      </c>
      <c r="H46" s="212"/>
      <c r="J46" s="210"/>
      <c r="K46" s="282"/>
      <c r="L46" s="282"/>
      <c r="M46" s="363"/>
      <c r="N46" s="363"/>
      <c r="O46" s="145"/>
      <c r="P46" s="145"/>
      <c r="Q46" s="145"/>
      <c r="R46" s="100"/>
      <c r="S46" s="100"/>
      <c r="T46" s="100"/>
      <c r="U46" s="146"/>
      <c r="V46" s="100"/>
    </row>
    <row r="47" outlineLevel="1">
      <c r="A47" s="156"/>
      <c r="B47" s="147" t="s">
        <v>4006</v>
      </c>
      <c r="C47" s="2208" t="s">
        <v>454</v>
      </c>
      <c r="D47" s="107"/>
      <c r="E47" s="2208" t="s">
        <v>80</v>
      </c>
      <c r="F47" s="1940">
        <v>9.6</v>
      </c>
      <c r="G47" s="2576" t="s">
        <v>102</v>
      </c>
      <c r="H47" s="106"/>
      <c r="I47" s="168"/>
      <c r="J47" s="107"/>
      <c r="K47" s="282"/>
      <c r="L47" s="282"/>
      <c r="M47" s="363"/>
      <c r="N47" s="363"/>
      <c r="O47" s="145">
        <v>0.0</v>
      </c>
      <c r="P47" s="145">
        <v>1.0</v>
      </c>
      <c r="Q47" s="145">
        <v>1.0</v>
      </c>
      <c r="R47" s="100"/>
      <c r="S47" s="100"/>
      <c r="T47" s="100"/>
      <c r="U47" s="156"/>
      <c r="V47" s="100"/>
    </row>
    <row r="48">
      <c r="A48" s="118"/>
      <c r="B48" s="176"/>
      <c r="C48" s="118"/>
      <c r="D48" s="118"/>
      <c r="E48" s="118"/>
      <c r="F48" s="177"/>
      <c r="G48" s="177"/>
      <c r="H48" s="118"/>
      <c r="I48" s="118"/>
      <c r="J48" s="118"/>
      <c r="K48" s="118"/>
      <c r="L48" s="118"/>
      <c r="M48" s="118"/>
      <c r="N48" s="118"/>
      <c r="O48" s="118"/>
      <c r="P48" s="118"/>
      <c r="Q48" s="118"/>
      <c r="R48" s="118"/>
      <c r="S48" s="118"/>
      <c r="T48" s="118"/>
      <c r="U48" s="118"/>
      <c r="V48" s="118"/>
    </row>
    <row r="49">
      <c r="A49" s="178" t="s">
        <v>133</v>
      </c>
      <c r="B49" s="104"/>
      <c r="C49" s="179"/>
      <c r="D49" s="179"/>
      <c r="E49" s="179"/>
      <c r="F49" s="180"/>
      <c r="G49" s="179"/>
      <c r="H49" s="180"/>
      <c r="I49" s="180"/>
      <c r="J49" s="181"/>
      <c r="K49" s="180"/>
      <c r="L49" s="180"/>
      <c r="M49" s="180"/>
      <c r="N49" s="180"/>
      <c r="O49" s="180"/>
      <c r="P49" s="180"/>
      <c r="Q49" s="180"/>
      <c r="R49" s="180"/>
      <c r="S49" s="180"/>
      <c r="T49" s="180"/>
      <c r="U49" s="180"/>
      <c r="V49" s="180"/>
    </row>
    <row r="50" outlineLevel="1">
      <c r="A50" s="106"/>
      <c r="B50" s="107"/>
      <c r="C50" s="182" t="s">
        <v>48</v>
      </c>
      <c r="D50" s="183" t="s">
        <v>49</v>
      </c>
      <c r="E50" s="182" t="s">
        <v>50</v>
      </c>
      <c r="F50" s="184" t="s">
        <v>51</v>
      </c>
      <c r="G50" s="184" t="s">
        <v>134</v>
      </c>
      <c r="H50" s="185" t="str">
        <f>'テンプレート'!H56</f>
        <v>ガード硬直</v>
      </c>
      <c r="I50" s="184" t="str">
        <f>'テンプレート'!I56</f>
        <v>着地隙</v>
      </c>
      <c r="J50" s="184" t="s">
        <v>136</v>
      </c>
      <c r="K50" s="184" t="str">
        <f>'テンプレート'!K56</f>
        <v>ベクトル</v>
      </c>
      <c r="L50" s="184" t="str">
        <f>'テンプレート'!L56</f>
        <v>KBG (R.E.)</v>
      </c>
      <c r="M50" s="184" t="str">
        <f>'テンプレート'!M56</f>
        <v>BKB (R.A.)</v>
      </c>
      <c r="N50" s="184" t="str">
        <f>'テンプレート'!N56</f>
        <v>FKB (R.F.)</v>
      </c>
      <c r="O50" s="186" t="str">
        <f>'テンプレート'!O56</f>
        <v>盾削り値</v>
      </c>
      <c r="P50" s="184" t="str">
        <f>'テンプレート'!P56</f>
        <v>ﾋｯﾄｽﾄｯﾌﾟ</v>
      </c>
      <c r="Q50" s="186" t="str">
        <f>'テンプレート'!Q56</f>
        <v>ずらし</v>
      </c>
      <c r="R50" s="187" t="str">
        <f>'テンプレート'!R56</f>
        <v>備考</v>
      </c>
      <c r="S50" s="110"/>
      <c r="T50" s="110"/>
      <c r="U50" s="110"/>
      <c r="V50" s="110"/>
    </row>
    <row r="51" outlineLevel="1">
      <c r="A51" s="188" t="s">
        <v>144</v>
      </c>
      <c r="B51" s="373" t="s">
        <v>4015</v>
      </c>
      <c r="C51" s="365" t="s">
        <v>975</v>
      </c>
      <c r="D51" s="379" t="s">
        <v>111</v>
      </c>
      <c r="E51" s="401" t="s">
        <v>3348</v>
      </c>
      <c r="F51" s="193">
        <v>13.799999999999999</v>
      </c>
      <c r="G51" s="193">
        <v>11.73</v>
      </c>
      <c r="H51" s="138" t="s">
        <v>75</v>
      </c>
      <c r="I51" s="454" t="str">
        <f t="array" ref="I51">INDEX('空中攻撃'!$O$3:$AA$109, MATCH($A$1,'空中攻撃'!$A$3:$A$109,0), MATCH(A51,'空中攻撃'!$O$2:$S$2,0))</f>
        <v>11</v>
      </c>
      <c r="J51" s="901" t="s">
        <v>649</v>
      </c>
      <c r="K51" s="376"/>
      <c r="L51" s="377"/>
      <c r="M51" s="825"/>
      <c r="N51" s="825"/>
      <c r="O51" s="199">
        <v>0.0</v>
      </c>
      <c r="P51" s="199">
        <v>1.0</v>
      </c>
      <c r="Q51" s="199">
        <v>1.0</v>
      </c>
      <c r="R51" s="283" t="s">
        <v>4016</v>
      </c>
      <c r="S51" s="164"/>
      <c r="T51" s="164"/>
      <c r="U51" s="164"/>
      <c r="V51" s="104"/>
    </row>
    <row r="52" outlineLevel="1">
      <c r="A52" s="146"/>
      <c r="B52" s="373" t="s">
        <v>4017</v>
      </c>
      <c r="C52" s="365" t="s">
        <v>401</v>
      </c>
      <c r="D52" s="210"/>
      <c r="E52" s="401" t="s">
        <v>3348</v>
      </c>
      <c r="F52" s="193">
        <v>13.799999999999999</v>
      </c>
      <c r="G52" s="193">
        <v>11.73</v>
      </c>
      <c r="H52" s="138" t="s">
        <v>75</v>
      </c>
      <c r="I52" s="146"/>
      <c r="J52" s="146"/>
      <c r="K52" s="376"/>
      <c r="L52" s="377"/>
      <c r="M52" s="825"/>
      <c r="N52" s="825"/>
      <c r="O52" s="199"/>
      <c r="P52" s="199"/>
      <c r="Q52" s="199"/>
      <c r="R52" s="212"/>
      <c r="V52" s="210"/>
    </row>
    <row r="53" outlineLevel="1">
      <c r="A53" s="146"/>
      <c r="B53" s="373" t="s">
        <v>4004</v>
      </c>
      <c r="C53" s="365" t="s">
        <v>4018</v>
      </c>
      <c r="D53" s="210"/>
      <c r="E53" s="401" t="s">
        <v>150</v>
      </c>
      <c r="F53" s="193">
        <v>6.0</v>
      </c>
      <c r="G53" s="193">
        <v>5.1</v>
      </c>
      <c r="H53" s="138" t="s">
        <v>60</v>
      </c>
      <c r="I53" s="146"/>
      <c r="J53" s="156"/>
      <c r="K53" s="376"/>
      <c r="L53" s="377"/>
      <c r="M53" s="825"/>
      <c r="N53" s="825"/>
      <c r="O53" s="199"/>
      <c r="P53" s="199"/>
      <c r="Q53" s="199"/>
      <c r="R53" s="212"/>
      <c r="V53" s="210"/>
    </row>
    <row r="54" outlineLevel="1">
      <c r="A54" s="146"/>
      <c r="B54" s="373" t="s">
        <v>4019</v>
      </c>
      <c r="C54" s="2214" t="s">
        <v>975</v>
      </c>
      <c r="D54" s="210"/>
      <c r="E54" s="2215" t="s">
        <v>3069</v>
      </c>
      <c r="F54" s="2216">
        <v>8.28</v>
      </c>
      <c r="G54" s="2216">
        <v>7.038</v>
      </c>
      <c r="H54" s="1940" t="s">
        <v>60</v>
      </c>
      <c r="I54" s="146"/>
      <c r="J54" s="901" t="s">
        <v>830</v>
      </c>
      <c r="K54" s="376"/>
      <c r="L54" s="377"/>
      <c r="M54" s="825"/>
      <c r="N54" s="825"/>
      <c r="O54" s="199"/>
      <c r="P54" s="199"/>
      <c r="Q54" s="199"/>
      <c r="R54" s="212"/>
      <c r="V54" s="210"/>
    </row>
    <row r="55" outlineLevel="1">
      <c r="A55" s="156"/>
      <c r="B55" s="373" t="s">
        <v>4020</v>
      </c>
      <c r="C55" s="2214" t="s">
        <v>401</v>
      </c>
      <c r="D55" s="107"/>
      <c r="E55" s="1938" t="s">
        <v>3069</v>
      </c>
      <c r="F55" s="2216">
        <v>8.28</v>
      </c>
      <c r="G55" s="2216">
        <v>7.038</v>
      </c>
      <c r="H55" s="1940" t="s">
        <v>60</v>
      </c>
      <c r="I55" s="156"/>
      <c r="J55" s="156"/>
      <c r="K55" s="376"/>
      <c r="L55" s="377"/>
      <c r="M55" s="825"/>
      <c r="N55" s="825"/>
      <c r="O55" s="199">
        <v>0.0</v>
      </c>
      <c r="P55" s="199">
        <v>1.0</v>
      </c>
      <c r="Q55" s="199">
        <v>1.0</v>
      </c>
      <c r="R55" s="106"/>
      <c r="S55" s="168"/>
      <c r="T55" s="168"/>
      <c r="U55" s="168"/>
      <c r="V55" s="107"/>
    </row>
    <row r="56" ht="18.0" customHeight="1" outlineLevel="1">
      <c r="A56" s="188" t="s">
        <v>151</v>
      </c>
      <c r="B56" s="373" t="s">
        <v>4002</v>
      </c>
      <c r="C56" s="239" t="s">
        <v>1128</v>
      </c>
      <c r="D56" s="452">
        <v>33.0</v>
      </c>
      <c r="E56" s="239" t="s">
        <v>2764</v>
      </c>
      <c r="F56" s="193">
        <v>15.0</v>
      </c>
      <c r="G56" s="193">
        <v>12.75</v>
      </c>
      <c r="H56" s="138" t="s">
        <v>75</v>
      </c>
      <c r="I56" s="454" t="str">
        <f t="array" ref="I56">INDEX('空中攻撃'!$O$3:$AA$109, MATCH($A$1,'空中攻撃'!$A$3:$A$109,0), MATCH(A56,'空中攻撃'!$O$2:$S$2,0))</f>
        <v>11</v>
      </c>
      <c r="J56" s="279" t="s">
        <v>1173</v>
      </c>
      <c r="K56" s="376"/>
      <c r="L56" s="377"/>
      <c r="M56" s="825"/>
      <c r="N56" s="825"/>
      <c r="O56" s="199">
        <v>0.0</v>
      </c>
      <c r="P56" s="199">
        <v>1.0</v>
      </c>
      <c r="Q56" s="199">
        <v>1.0</v>
      </c>
      <c r="R56" s="163" t="s">
        <v>4021</v>
      </c>
      <c r="S56" s="164"/>
      <c r="T56" s="164"/>
      <c r="U56" s="164"/>
      <c r="V56" s="104"/>
    </row>
    <row r="57" ht="18.0" customHeight="1" outlineLevel="1">
      <c r="A57" s="146"/>
      <c r="B57" s="373" t="s">
        <v>4004</v>
      </c>
      <c r="C57" s="239" t="s">
        <v>409</v>
      </c>
      <c r="D57" s="210"/>
      <c r="E57" s="239" t="s">
        <v>150</v>
      </c>
      <c r="F57" s="193">
        <v>6.0</v>
      </c>
      <c r="G57" s="193">
        <v>5.1</v>
      </c>
      <c r="H57" s="138" t="s">
        <v>60</v>
      </c>
      <c r="I57" s="146"/>
      <c r="J57" s="156"/>
      <c r="K57" s="376"/>
      <c r="L57" s="377"/>
      <c r="M57" s="825"/>
      <c r="N57" s="825"/>
      <c r="O57" s="199">
        <v>0.0</v>
      </c>
      <c r="P57" s="199">
        <v>1.0</v>
      </c>
      <c r="Q57" s="199">
        <v>1.0</v>
      </c>
      <c r="R57" s="212"/>
      <c r="V57" s="210"/>
    </row>
    <row r="58" ht="18.0" customHeight="1" outlineLevel="1">
      <c r="A58" s="156"/>
      <c r="B58" s="373" t="s">
        <v>4006</v>
      </c>
      <c r="C58" s="1938" t="s">
        <v>1128</v>
      </c>
      <c r="D58" s="107"/>
      <c r="E58" s="1938" t="s">
        <v>1665</v>
      </c>
      <c r="F58" s="2216">
        <v>9.0</v>
      </c>
      <c r="G58" s="2216">
        <v>7.65</v>
      </c>
      <c r="H58" s="1940" t="s">
        <v>60</v>
      </c>
      <c r="I58" s="156"/>
      <c r="J58" s="1938" t="s">
        <v>2696</v>
      </c>
      <c r="K58" s="376"/>
      <c r="L58" s="377"/>
      <c r="M58" s="825"/>
      <c r="N58" s="825"/>
      <c r="O58" s="199">
        <v>0.0</v>
      </c>
      <c r="P58" s="199">
        <v>1.0</v>
      </c>
      <c r="Q58" s="199">
        <v>1.0</v>
      </c>
      <c r="R58" s="106"/>
      <c r="S58" s="168"/>
      <c r="T58" s="168"/>
      <c r="U58" s="168"/>
      <c r="V58" s="107"/>
    </row>
    <row r="59" ht="18.0" customHeight="1" outlineLevel="1">
      <c r="A59" s="188" t="s">
        <v>157</v>
      </c>
      <c r="B59" s="373" t="s">
        <v>4002</v>
      </c>
      <c r="C59" s="239" t="s">
        <v>220</v>
      </c>
      <c r="D59" s="452">
        <v>39.0</v>
      </c>
      <c r="E59" s="239" t="s">
        <v>386</v>
      </c>
      <c r="F59" s="193">
        <v>18.0</v>
      </c>
      <c r="G59" s="193">
        <v>15.3</v>
      </c>
      <c r="H59" s="138" t="s">
        <v>75</v>
      </c>
      <c r="I59" s="454">
        <f t="array" ref="I59">INDEX('空中攻撃'!$O$3:$AA$109, MATCH($A$1,'空中攻撃'!$A$3:$A$109,0), MATCH(A59,'空中攻撃'!$O$2:$S$2,0))</f>
        <v>11</v>
      </c>
      <c r="J59" s="279" t="s">
        <v>1634</v>
      </c>
      <c r="K59" s="376"/>
      <c r="L59" s="377"/>
      <c r="M59" s="825"/>
      <c r="N59" s="825"/>
      <c r="O59" s="199">
        <v>0.0</v>
      </c>
      <c r="P59" s="199">
        <v>1.0</v>
      </c>
      <c r="Q59" s="199">
        <v>1.0</v>
      </c>
      <c r="R59" s="163" t="s">
        <v>4022</v>
      </c>
      <c r="S59" s="164"/>
      <c r="T59" s="164"/>
      <c r="U59" s="164"/>
      <c r="V59" s="104"/>
    </row>
    <row r="60" ht="18.0" customHeight="1" outlineLevel="1">
      <c r="A60" s="146"/>
      <c r="B60" s="373" t="s">
        <v>4004</v>
      </c>
      <c r="C60" s="239" t="s">
        <v>1292</v>
      </c>
      <c r="D60" s="210"/>
      <c r="E60" s="239" t="s">
        <v>150</v>
      </c>
      <c r="F60" s="193">
        <v>6.0</v>
      </c>
      <c r="G60" s="193">
        <v>5.1</v>
      </c>
      <c r="H60" s="138" t="s">
        <v>60</v>
      </c>
      <c r="I60" s="146"/>
      <c r="J60" s="156"/>
      <c r="K60" s="376"/>
      <c r="L60" s="377"/>
      <c r="M60" s="825"/>
      <c r="N60" s="825"/>
      <c r="O60" s="199">
        <v>0.0</v>
      </c>
      <c r="P60" s="199">
        <v>1.0</v>
      </c>
      <c r="Q60" s="199">
        <v>1.0</v>
      </c>
      <c r="R60" s="212"/>
      <c r="V60" s="210"/>
    </row>
    <row r="61" ht="18.0" customHeight="1" outlineLevel="1">
      <c r="A61" s="156"/>
      <c r="B61" s="373" t="s">
        <v>4006</v>
      </c>
      <c r="C61" s="1938" t="s">
        <v>220</v>
      </c>
      <c r="D61" s="107"/>
      <c r="E61" s="1938" t="s">
        <v>274</v>
      </c>
      <c r="F61" s="2216">
        <v>10.799999999999999</v>
      </c>
      <c r="G61" s="2216">
        <v>9.18</v>
      </c>
      <c r="H61" s="1940" t="s">
        <v>147</v>
      </c>
      <c r="I61" s="156"/>
      <c r="J61" s="1939" t="s">
        <v>1634</v>
      </c>
      <c r="K61" s="376"/>
      <c r="L61" s="377"/>
      <c r="M61" s="825"/>
      <c r="N61" s="825"/>
      <c r="O61" s="199">
        <v>0.0</v>
      </c>
      <c r="P61" s="199">
        <v>1.0</v>
      </c>
      <c r="Q61" s="199">
        <v>1.0</v>
      </c>
      <c r="R61" s="106"/>
      <c r="S61" s="168"/>
      <c r="T61" s="168"/>
      <c r="U61" s="168"/>
      <c r="V61" s="107"/>
    </row>
    <row r="62" ht="18.0" customHeight="1" outlineLevel="1">
      <c r="A62" s="188" t="s">
        <v>162</v>
      </c>
      <c r="B62" s="373" t="s">
        <v>4002</v>
      </c>
      <c r="C62" s="239" t="s">
        <v>309</v>
      </c>
      <c r="D62" s="452" t="s">
        <v>146</v>
      </c>
      <c r="E62" s="239" t="s">
        <v>228</v>
      </c>
      <c r="F62" s="193">
        <v>15.6</v>
      </c>
      <c r="G62" s="193">
        <v>13.26</v>
      </c>
      <c r="H62" s="138" t="s">
        <v>75</v>
      </c>
      <c r="I62" s="454" t="str">
        <f t="array" ref="I62">INDEX('空中攻撃'!$O$3:$AA$109, MATCH($A$1,'空中攻撃'!$A$3:$A$109,0), MATCH(A62,'空中攻撃'!$O$2:$S$2,0))</f>
        <v>11</v>
      </c>
      <c r="J62" s="279" t="s">
        <v>839</v>
      </c>
      <c r="K62" s="377"/>
      <c r="L62" s="377"/>
      <c r="M62" s="825"/>
      <c r="N62" s="825"/>
      <c r="O62" s="199">
        <v>0.0</v>
      </c>
      <c r="P62" s="199">
        <v>1.0</v>
      </c>
      <c r="Q62" s="199">
        <v>1.0</v>
      </c>
      <c r="R62" s="163" t="s">
        <v>4023</v>
      </c>
      <c r="S62" s="164"/>
      <c r="T62" s="164"/>
      <c r="U62" s="164"/>
      <c r="V62" s="104"/>
    </row>
    <row r="63" ht="18.0" customHeight="1" outlineLevel="1">
      <c r="A63" s="146"/>
      <c r="B63" s="373" t="s">
        <v>4004</v>
      </c>
      <c r="C63" s="239" t="s">
        <v>509</v>
      </c>
      <c r="D63" s="210"/>
      <c r="E63" s="239" t="s">
        <v>150</v>
      </c>
      <c r="F63" s="193">
        <v>6.0</v>
      </c>
      <c r="G63" s="193">
        <v>5.1</v>
      </c>
      <c r="H63" s="138" t="s">
        <v>60</v>
      </c>
      <c r="I63" s="146"/>
      <c r="J63" s="156"/>
      <c r="K63" s="377"/>
      <c r="L63" s="377"/>
      <c r="M63" s="825"/>
      <c r="N63" s="825"/>
      <c r="O63" s="199">
        <v>0.0</v>
      </c>
      <c r="P63" s="199">
        <v>1.0</v>
      </c>
      <c r="Q63" s="199">
        <v>1.0</v>
      </c>
      <c r="R63" s="212"/>
      <c r="V63" s="210"/>
    </row>
    <row r="64" ht="18.0" customHeight="1" outlineLevel="1">
      <c r="A64" s="156"/>
      <c r="B64" s="373" t="s">
        <v>4006</v>
      </c>
      <c r="C64" s="1938" t="s">
        <v>309</v>
      </c>
      <c r="D64" s="107"/>
      <c r="E64" s="1938" t="s">
        <v>4024</v>
      </c>
      <c r="F64" s="2216">
        <v>9.36</v>
      </c>
      <c r="G64" s="2216">
        <v>7.9559999999999995</v>
      </c>
      <c r="H64" s="1940" t="s">
        <v>147</v>
      </c>
      <c r="I64" s="156"/>
      <c r="J64" s="1939" t="s">
        <v>2384</v>
      </c>
      <c r="K64" s="377"/>
      <c r="L64" s="377"/>
      <c r="M64" s="825"/>
      <c r="N64" s="825"/>
      <c r="O64" s="199">
        <v>0.0</v>
      </c>
      <c r="P64" s="199">
        <v>1.0</v>
      </c>
      <c r="Q64" s="199">
        <v>1.0</v>
      </c>
      <c r="R64" s="106"/>
      <c r="S64" s="168"/>
      <c r="T64" s="168"/>
      <c r="U64" s="168"/>
      <c r="V64" s="107"/>
    </row>
    <row r="65" outlineLevel="1">
      <c r="A65" s="188" t="s">
        <v>166</v>
      </c>
      <c r="B65" s="373" t="s">
        <v>4007</v>
      </c>
      <c r="C65" s="239" t="s">
        <v>721</v>
      </c>
      <c r="D65" s="452">
        <v>59.0</v>
      </c>
      <c r="E65" s="239" t="s">
        <v>232</v>
      </c>
      <c r="F65" s="193">
        <v>13.2</v>
      </c>
      <c r="G65" s="193">
        <v>11.22</v>
      </c>
      <c r="H65" s="138" t="s">
        <v>147</v>
      </c>
      <c r="I65" s="454">
        <f t="array" ref="I65">INDEX('空中攻撃'!$O$3:$AA$109, MATCH($A$1,'空中攻撃'!$A$3:$A$109,0), MATCH(A65,'空中攻撃'!$O$2:$S$2,0))</f>
        <v>16</v>
      </c>
      <c r="J65" s="279" t="s">
        <v>4025</v>
      </c>
      <c r="K65" s="377"/>
      <c r="L65" s="377"/>
      <c r="M65" s="825"/>
      <c r="N65" s="825"/>
      <c r="O65" s="199">
        <v>0.0</v>
      </c>
      <c r="P65" s="199">
        <v>1.0</v>
      </c>
      <c r="Q65" s="199">
        <v>1.0</v>
      </c>
      <c r="R65" s="163" t="s">
        <v>4026</v>
      </c>
      <c r="S65" s="164"/>
      <c r="T65" s="164"/>
      <c r="U65" s="164"/>
      <c r="V65" s="104"/>
    </row>
    <row r="66" outlineLevel="1">
      <c r="A66" s="146"/>
      <c r="B66" s="373" t="s">
        <v>4002</v>
      </c>
      <c r="C66" s="239" t="s">
        <v>454</v>
      </c>
      <c r="D66" s="210"/>
      <c r="E66" s="239" t="s">
        <v>129</v>
      </c>
      <c r="F66" s="193">
        <v>14.399999999999999</v>
      </c>
      <c r="G66" s="193">
        <v>12.24</v>
      </c>
      <c r="H66" s="138" t="s">
        <v>75</v>
      </c>
      <c r="I66" s="146"/>
      <c r="J66" s="146"/>
      <c r="K66" s="377"/>
      <c r="L66" s="377"/>
      <c r="M66" s="825"/>
      <c r="N66" s="825"/>
      <c r="O66" s="199">
        <v>0.0</v>
      </c>
      <c r="P66" s="199">
        <v>1.0</v>
      </c>
      <c r="Q66" s="199">
        <v>1.0</v>
      </c>
      <c r="R66" s="212"/>
      <c r="V66" s="210"/>
    </row>
    <row r="67" outlineLevel="1">
      <c r="A67" s="146"/>
      <c r="B67" s="373" t="s">
        <v>4004</v>
      </c>
      <c r="C67" s="239" t="s">
        <v>1497</v>
      </c>
      <c r="D67" s="210"/>
      <c r="E67" s="239" t="s">
        <v>80</v>
      </c>
      <c r="F67" s="193">
        <v>9.6</v>
      </c>
      <c r="G67" s="193">
        <v>8.16</v>
      </c>
      <c r="H67" s="138" t="s">
        <v>147</v>
      </c>
      <c r="I67" s="146"/>
      <c r="J67" s="156"/>
      <c r="K67" s="377"/>
      <c r="L67" s="377"/>
      <c r="M67" s="825"/>
      <c r="N67" s="825"/>
      <c r="O67" s="199">
        <v>0.0</v>
      </c>
      <c r="P67" s="199">
        <v>1.0</v>
      </c>
      <c r="Q67" s="199">
        <v>1.0</v>
      </c>
      <c r="R67" s="212"/>
      <c r="V67" s="210"/>
    </row>
    <row r="68" outlineLevel="1">
      <c r="A68" s="146"/>
      <c r="B68" s="373" t="s">
        <v>4006</v>
      </c>
      <c r="C68" s="1938" t="s">
        <v>721</v>
      </c>
      <c r="D68" s="210"/>
      <c r="E68" s="1938" t="s">
        <v>87</v>
      </c>
      <c r="F68" s="2216">
        <v>8.64</v>
      </c>
      <c r="G68" s="2216">
        <v>7.344</v>
      </c>
      <c r="H68" s="1940" t="s">
        <v>60</v>
      </c>
      <c r="I68" s="146"/>
      <c r="J68" s="1939" t="s">
        <v>4025</v>
      </c>
      <c r="K68" s="377"/>
      <c r="L68" s="377"/>
      <c r="M68" s="825"/>
      <c r="N68" s="825"/>
      <c r="O68" s="199">
        <v>0.0</v>
      </c>
      <c r="P68" s="199">
        <v>1.0</v>
      </c>
      <c r="Q68" s="199">
        <v>1.0</v>
      </c>
      <c r="R68" s="212"/>
      <c r="V68" s="210"/>
    </row>
    <row r="69" outlineLevel="1">
      <c r="A69" s="156"/>
      <c r="B69" s="373" t="s">
        <v>4027</v>
      </c>
      <c r="C69" s="1938" t="s">
        <v>4028</v>
      </c>
      <c r="D69" s="107"/>
      <c r="E69" s="1938" t="s">
        <v>86</v>
      </c>
      <c r="F69" s="2216">
        <v>7.199999999999999</v>
      </c>
      <c r="G69" s="2216">
        <v>6.12</v>
      </c>
      <c r="H69" s="1940" t="s">
        <v>60</v>
      </c>
      <c r="I69" s="156"/>
      <c r="J69" s="156"/>
      <c r="K69" s="377"/>
      <c r="L69" s="377"/>
      <c r="M69" s="825"/>
      <c r="N69" s="825"/>
      <c r="O69" s="199">
        <v>0.0</v>
      </c>
      <c r="P69" s="199">
        <v>1.0</v>
      </c>
      <c r="Q69" s="199">
        <v>1.0</v>
      </c>
      <c r="R69" s="106"/>
      <c r="S69" s="168"/>
      <c r="T69" s="168"/>
      <c r="U69" s="168"/>
      <c r="V69" s="107"/>
    </row>
    <row r="70">
      <c r="A70" s="223"/>
      <c r="B70" s="224"/>
      <c r="C70" s="225"/>
      <c r="D70" s="225"/>
      <c r="E70" s="226"/>
      <c r="F70" s="226"/>
      <c r="G70" s="226"/>
      <c r="H70" s="227"/>
      <c r="I70" s="227"/>
      <c r="J70" s="228"/>
      <c r="K70" s="228"/>
      <c r="L70" s="228"/>
      <c r="M70" s="228"/>
      <c r="N70" s="228"/>
      <c r="O70" s="228"/>
      <c r="P70" s="228"/>
      <c r="Q70" s="118"/>
      <c r="R70" s="118"/>
      <c r="S70" s="118"/>
      <c r="T70" s="118"/>
      <c r="U70" s="118"/>
      <c r="V70" s="118"/>
    </row>
    <row r="71">
      <c r="A71" s="229" t="s">
        <v>177</v>
      </c>
      <c r="B71" s="109"/>
      <c r="C71" s="225"/>
      <c r="D71" s="225"/>
      <c r="E71" s="226"/>
      <c r="F71" s="226"/>
      <c r="G71" s="226"/>
      <c r="H71" s="227"/>
      <c r="I71" s="227"/>
      <c r="J71" s="228"/>
      <c r="K71" s="228"/>
      <c r="L71" s="228"/>
      <c r="M71" s="228"/>
      <c r="N71" s="228"/>
      <c r="O71" s="228"/>
      <c r="P71" s="228"/>
      <c r="Q71" s="118"/>
      <c r="R71" s="118"/>
      <c r="S71" s="118"/>
      <c r="T71" s="118"/>
      <c r="U71" s="118"/>
      <c r="V71" s="118"/>
    </row>
    <row r="72" outlineLevel="1">
      <c r="A72" s="230" t="s">
        <v>4029</v>
      </c>
      <c r="B72" s="109"/>
      <c r="C72" s="231" t="s">
        <v>48</v>
      </c>
      <c r="D72" s="231" t="s">
        <v>49</v>
      </c>
      <c r="E72" s="232" t="s">
        <v>50</v>
      </c>
      <c r="F72" s="233" t="s">
        <v>51</v>
      </c>
      <c r="G72" s="232" t="s">
        <v>52</v>
      </c>
      <c r="H72" s="382" t="str">
        <f>'テンプレート'!H72</f>
        <v>備考</v>
      </c>
      <c r="I72" s="110"/>
      <c r="J72" s="109"/>
      <c r="K72" s="235" t="str">
        <f>'テンプレート'!K72</f>
        <v>ベクトル</v>
      </c>
      <c r="L72" s="235" t="str">
        <f>'テンプレート'!L72</f>
        <v>KBG (R.E.)</v>
      </c>
      <c r="M72" s="235" t="str">
        <f>'テンプレート'!M72</f>
        <v>BKB (R.A.)</v>
      </c>
      <c r="N72" s="235" t="str">
        <f>'テンプレート'!N72</f>
        <v>FKB (R.F.)</v>
      </c>
      <c r="O72" s="236" t="str">
        <f>'テンプレート'!O72</f>
        <v>盾削り値</v>
      </c>
      <c r="P72" s="235" t="str">
        <f>'テンプレート'!P72</f>
        <v>ﾋｯﾄｽﾄｯﾌﾟ</v>
      </c>
      <c r="Q72" s="236" t="str">
        <f>'テンプレート'!Q72</f>
        <v>ずらし</v>
      </c>
      <c r="R72" s="235" t="str">
        <f>'テンプレート'!R72</f>
        <v>相殺</v>
      </c>
      <c r="S72" s="236" t="str">
        <f>'テンプレート'!S72</f>
        <v>相殺ﾓｰｼｮﾝ</v>
      </c>
      <c r="T72" s="236" t="str">
        <f>'テンプレート'!T72</f>
        <v>飛び道具</v>
      </c>
      <c r="U72" s="236" t="str">
        <f>'テンプレート'!U72</f>
        <v>慣性反転</v>
      </c>
      <c r="V72" s="236" t="str">
        <f>'テンプレート'!V72</f>
        <v>向き反転</v>
      </c>
    </row>
    <row r="73" outlineLevel="1">
      <c r="A73" s="259" t="s">
        <v>4002</v>
      </c>
      <c r="B73" s="243"/>
      <c r="C73" s="239" t="s">
        <v>4030</v>
      </c>
      <c r="D73" s="239" t="s">
        <v>118</v>
      </c>
      <c r="E73" s="239" t="s">
        <v>100</v>
      </c>
      <c r="F73" s="138">
        <v>6.6</v>
      </c>
      <c r="G73" s="139" t="s">
        <v>60</v>
      </c>
      <c r="H73" s="386" t="s">
        <v>4031</v>
      </c>
      <c r="I73" s="164"/>
      <c r="J73" s="104"/>
      <c r="K73" s="282"/>
      <c r="L73" s="282"/>
      <c r="M73" s="363"/>
      <c r="N73" s="363"/>
      <c r="O73" s="1900">
        <v>0.0</v>
      </c>
      <c r="P73" s="779">
        <v>1.0</v>
      </c>
      <c r="Q73" s="779">
        <v>1.0</v>
      </c>
      <c r="R73" s="2577" t="b">
        <v>1</v>
      </c>
      <c r="S73" s="1490" t="b">
        <v>0</v>
      </c>
      <c r="T73" s="1490" t="b">
        <v>1</v>
      </c>
      <c r="U73" s="166" t="s">
        <v>186</v>
      </c>
      <c r="V73" s="166" t="b">
        <v>1</v>
      </c>
    </row>
    <row r="74" outlineLevel="1">
      <c r="A74" s="259" t="s">
        <v>4032</v>
      </c>
      <c r="B74" s="663"/>
      <c r="C74" s="239" t="s">
        <v>4033</v>
      </c>
      <c r="D74" s="239" t="s">
        <v>146</v>
      </c>
      <c r="E74" s="239" t="s">
        <v>232</v>
      </c>
      <c r="F74" s="138">
        <v>13.2</v>
      </c>
      <c r="G74" s="139" t="s">
        <v>147</v>
      </c>
      <c r="H74" s="212"/>
      <c r="J74" s="210"/>
      <c r="K74" s="282"/>
      <c r="L74" s="282"/>
      <c r="M74" s="363"/>
      <c r="N74" s="363"/>
      <c r="O74" s="1900">
        <v>0.0</v>
      </c>
      <c r="P74" s="779">
        <v>1.0</v>
      </c>
      <c r="Q74" s="779">
        <v>1.0</v>
      </c>
      <c r="R74" s="2577" t="b">
        <v>1</v>
      </c>
      <c r="S74" s="1490" t="b">
        <v>0</v>
      </c>
      <c r="T74" s="1490" t="b">
        <v>1</v>
      </c>
      <c r="U74" s="146"/>
      <c r="V74" s="146"/>
    </row>
    <row r="75" ht="20.25" customHeight="1" outlineLevel="1">
      <c r="A75" s="237" t="s">
        <v>4034</v>
      </c>
      <c r="B75" s="663" t="s">
        <v>919</v>
      </c>
      <c r="C75" s="239" t="s">
        <v>4035</v>
      </c>
      <c r="D75" s="367" t="s">
        <v>146</v>
      </c>
      <c r="E75" s="239" t="s">
        <v>86</v>
      </c>
      <c r="F75" s="138">
        <v>7.199999999999999</v>
      </c>
      <c r="G75" s="139" t="s">
        <v>60</v>
      </c>
      <c r="H75" s="212"/>
      <c r="J75" s="210"/>
      <c r="K75" s="281"/>
      <c r="L75" s="281"/>
      <c r="M75" s="281"/>
      <c r="N75" s="281"/>
      <c r="O75" s="281"/>
      <c r="P75" s="281"/>
      <c r="Q75" s="281"/>
      <c r="R75" s="281"/>
      <c r="S75" s="281"/>
      <c r="T75" s="281"/>
      <c r="U75" s="146"/>
      <c r="V75" s="146"/>
    </row>
    <row r="76" outlineLevel="1">
      <c r="A76" s="146"/>
      <c r="B76" s="663" t="s">
        <v>199</v>
      </c>
      <c r="C76" s="138" t="s">
        <v>4036</v>
      </c>
      <c r="D76" s="146"/>
      <c r="E76" s="239" t="s">
        <v>1823</v>
      </c>
      <c r="F76" s="138">
        <v>2.88</v>
      </c>
      <c r="G76" s="139" t="s">
        <v>170</v>
      </c>
      <c r="H76" s="212"/>
      <c r="J76" s="210"/>
      <c r="K76" s="282"/>
      <c r="L76" s="282"/>
      <c r="M76" s="363"/>
      <c r="N76" s="363"/>
      <c r="O76" s="1900">
        <v>0.0</v>
      </c>
      <c r="P76" s="779">
        <v>1.0</v>
      </c>
      <c r="Q76" s="779">
        <v>1.0</v>
      </c>
      <c r="R76" s="2577" t="b">
        <v>1</v>
      </c>
      <c r="S76" s="1490" t="b">
        <v>0</v>
      </c>
      <c r="T76" s="1490" t="b">
        <v>1</v>
      </c>
      <c r="U76" s="146"/>
      <c r="V76" s="146"/>
    </row>
    <row r="77" outlineLevel="1">
      <c r="A77" s="156"/>
      <c r="B77" s="663" t="s">
        <v>202</v>
      </c>
      <c r="C77" s="239" t="s">
        <v>394</v>
      </c>
      <c r="D77" s="156"/>
      <c r="E77" s="239" t="s">
        <v>80</v>
      </c>
      <c r="F77" s="138">
        <v>9.6</v>
      </c>
      <c r="G77" s="139" t="s">
        <v>60</v>
      </c>
      <c r="H77" s="212"/>
      <c r="J77" s="210"/>
      <c r="K77" s="282"/>
      <c r="L77" s="282"/>
      <c r="M77" s="363"/>
      <c r="N77" s="363"/>
      <c r="O77" s="1900">
        <v>0.0</v>
      </c>
      <c r="P77" s="779">
        <v>1.0</v>
      </c>
      <c r="Q77" s="779">
        <v>1.0</v>
      </c>
      <c r="R77" s="2577" t="b">
        <v>1</v>
      </c>
      <c r="S77" s="1490" t="b">
        <v>0</v>
      </c>
      <c r="T77" s="1490" t="b">
        <v>1</v>
      </c>
      <c r="U77" s="146"/>
      <c r="V77" s="146"/>
    </row>
    <row r="78" outlineLevel="1">
      <c r="A78" s="259" t="s">
        <v>4037</v>
      </c>
      <c r="B78" s="663"/>
      <c r="C78" s="239" t="s">
        <v>4038</v>
      </c>
      <c r="D78" s="239" t="s">
        <v>936</v>
      </c>
      <c r="E78" s="239" t="s">
        <v>4039</v>
      </c>
      <c r="F78" s="138">
        <v>3.12</v>
      </c>
      <c r="G78" s="139" t="s">
        <v>170</v>
      </c>
      <c r="H78" s="106"/>
      <c r="I78" s="168"/>
      <c r="J78" s="107"/>
      <c r="K78" s="282"/>
      <c r="L78" s="282"/>
      <c r="M78" s="363"/>
      <c r="N78" s="363"/>
      <c r="O78" s="1900">
        <v>0.0</v>
      </c>
      <c r="P78" s="779">
        <v>1.0</v>
      </c>
      <c r="Q78" s="779">
        <v>1.0</v>
      </c>
      <c r="R78" s="2577" t="b">
        <v>1</v>
      </c>
      <c r="S78" s="1490" t="b">
        <v>0</v>
      </c>
      <c r="T78" s="1490" t="b">
        <v>1</v>
      </c>
      <c r="U78" s="156"/>
      <c r="V78" s="156"/>
    </row>
    <row r="79" outlineLevel="1">
      <c r="A79" s="230" t="s">
        <v>4040</v>
      </c>
      <c r="B79" s="109"/>
      <c r="C79" s="231" t="s">
        <v>48</v>
      </c>
      <c r="D79" s="231" t="s">
        <v>49</v>
      </c>
      <c r="E79" s="232" t="s">
        <v>50</v>
      </c>
      <c r="F79" s="233" t="s">
        <v>51</v>
      </c>
      <c r="G79" s="232" t="s">
        <v>52</v>
      </c>
      <c r="H79" s="382" t="str">
        <f>'テンプレート'!H75</f>
        <v>備考</v>
      </c>
      <c r="I79" s="110"/>
      <c r="J79" s="109"/>
      <c r="K79" s="235" t="str">
        <f>'テンプレート'!K75</f>
        <v>ベクトル</v>
      </c>
      <c r="L79" s="235" t="str">
        <f>'テンプレート'!L75</f>
        <v>KBG (R.E.)</v>
      </c>
      <c r="M79" s="235" t="str">
        <f>'テンプレート'!M75</f>
        <v>BKB (R.A.)</v>
      </c>
      <c r="N79" s="235" t="str">
        <f>'テンプレート'!N75</f>
        <v>FKB (R.F.)</v>
      </c>
      <c r="O79" s="236" t="str">
        <f>'テンプレート'!O75</f>
        <v>盾削り値</v>
      </c>
      <c r="P79" s="235" t="str">
        <f>'テンプレート'!P75</f>
        <v>ﾋｯﾄｽﾄｯﾌﾟ</v>
      </c>
      <c r="Q79" s="236" t="str">
        <f>'テンプレート'!Q75</f>
        <v>ずらし</v>
      </c>
      <c r="R79" s="235" t="str">
        <f>'テンプレート'!R75</f>
        <v>相殺</v>
      </c>
      <c r="S79" s="236" t="str">
        <f>'テンプレート'!S75</f>
        <v>相殺ﾓｰｼｮﾝ</v>
      </c>
      <c r="T79" s="236" t="str">
        <f>'テンプレート'!T75</f>
        <v>飛び道具</v>
      </c>
      <c r="U79" s="236" t="str">
        <f>'テンプレート'!U75</f>
        <v>慣性反転</v>
      </c>
      <c r="V79" s="236" t="str">
        <f>'テンプレート'!V75</f>
        <v>向き反転</v>
      </c>
    </row>
    <row r="80" outlineLevel="1">
      <c r="A80" s="237" t="s">
        <v>184</v>
      </c>
      <c r="B80" s="243" t="s">
        <v>1072</v>
      </c>
      <c r="C80" s="364" t="s">
        <v>3068</v>
      </c>
      <c r="D80" s="195" t="s">
        <v>748</v>
      </c>
      <c r="E80" s="239" t="s">
        <v>176</v>
      </c>
      <c r="F80" s="409"/>
      <c r="G80" s="409"/>
      <c r="H80" s="163" t="s">
        <v>4041</v>
      </c>
      <c r="I80" s="164"/>
      <c r="J80" s="104"/>
      <c r="K80" s="281"/>
      <c r="L80" s="281"/>
      <c r="M80" s="281"/>
      <c r="N80" s="281"/>
      <c r="O80" s="281"/>
      <c r="P80" s="281"/>
      <c r="Q80" s="281"/>
      <c r="R80" s="281"/>
      <c r="S80" s="281"/>
      <c r="T80" s="281"/>
      <c r="U80" s="166" t="s">
        <v>186</v>
      </c>
      <c r="V80" s="166" t="b">
        <v>1</v>
      </c>
    </row>
    <row r="81" outlineLevel="1">
      <c r="A81" s="146"/>
      <c r="B81" s="663" t="s">
        <v>604</v>
      </c>
      <c r="C81" s="244" t="s">
        <v>4042</v>
      </c>
      <c r="D81" s="210"/>
      <c r="E81" s="239" t="s">
        <v>214</v>
      </c>
      <c r="F81" s="138">
        <v>1.56</v>
      </c>
      <c r="G81" s="139" t="s">
        <v>170</v>
      </c>
      <c r="H81" s="212"/>
      <c r="J81" s="210"/>
      <c r="K81" s="138"/>
      <c r="L81" s="138"/>
      <c r="M81" s="145"/>
      <c r="N81" s="145"/>
      <c r="O81" s="138">
        <v>0.0</v>
      </c>
      <c r="P81" s="138">
        <v>1.0</v>
      </c>
      <c r="Q81" s="138">
        <v>1.0</v>
      </c>
      <c r="R81" s="2577" t="b">
        <v>1</v>
      </c>
      <c r="S81" s="145" t="b">
        <v>0</v>
      </c>
      <c r="T81" s="145" t="b">
        <v>1</v>
      </c>
      <c r="U81" s="146"/>
      <c r="V81" s="146"/>
    </row>
    <row r="82" outlineLevel="1">
      <c r="A82" s="146"/>
      <c r="B82" s="663" t="s">
        <v>606</v>
      </c>
      <c r="C82" s="244" t="s">
        <v>4043</v>
      </c>
      <c r="D82" s="210"/>
      <c r="E82" s="239" t="s">
        <v>214</v>
      </c>
      <c r="F82" s="138">
        <v>1.56</v>
      </c>
      <c r="G82" s="139" t="s">
        <v>170</v>
      </c>
      <c r="H82" s="212"/>
      <c r="J82" s="210"/>
      <c r="K82" s="138"/>
      <c r="L82" s="138"/>
      <c r="M82" s="145"/>
      <c r="N82" s="145"/>
      <c r="O82" s="138">
        <v>0.0</v>
      </c>
      <c r="P82" s="138">
        <v>1.0</v>
      </c>
      <c r="Q82" s="138">
        <v>1.0</v>
      </c>
      <c r="R82" s="2577" t="b">
        <v>1</v>
      </c>
      <c r="S82" s="145" t="b">
        <v>0</v>
      </c>
      <c r="T82" s="145" t="b">
        <v>1</v>
      </c>
      <c r="U82" s="146"/>
      <c r="V82" s="146"/>
    </row>
    <row r="83" outlineLevel="1">
      <c r="A83" s="146"/>
      <c r="B83" s="663" t="s">
        <v>202</v>
      </c>
      <c r="C83" s="244" t="s">
        <v>3658</v>
      </c>
      <c r="D83" s="107"/>
      <c r="E83" s="239" t="s">
        <v>73</v>
      </c>
      <c r="F83" s="138">
        <v>4.8</v>
      </c>
      <c r="G83" s="139" t="s">
        <v>170</v>
      </c>
      <c r="H83" s="106"/>
      <c r="I83" s="168"/>
      <c r="J83" s="107"/>
      <c r="K83" s="138"/>
      <c r="L83" s="138"/>
      <c r="M83" s="145"/>
      <c r="N83" s="145"/>
      <c r="O83" s="138">
        <v>0.0</v>
      </c>
      <c r="P83" s="138">
        <v>1.0</v>
      </c>
      <c r="Q83" s="138">
        <v>1.0</v>
      </c>
      <c r="R83" s="2577" t="b">
        <v>1</v>
      </c>
      <c r="S83" s="145" t="b">
        <v>0</v>
      </c>
      <c r="T83" s="145" t="b">
        <v>1</v>
      </c>
      <c r="U83" s="156"/>
      <c r="V83" s="156"/>
    </row>
    <row r="84" outlineLevel="1">
      <c r="A84" s="230" t="s">
        <v>4044</v>
      </c>
      <c r="B84" s="109"/>
      <c r="C84" s="231" t="s">
        <v>48</v>
      </c>
      <c r="D84" s="231" t="s">
        <v>49</v>
      </c>
      <c r="E84" s="232" t="s">
        <v>50</v>
      </c>
      <c r="F84" s="233" t="s">
        <v>51</v>
      </c>
      <c r="G84" s="232" t="s">
        <v>52</v>
      </c>
      <c r="H84" s="382" t="str">
        <f>'テンプレート'!H80</f>
        <v>備考</v>
      </c>
      <c r="I84" s="110"/>
      <c r="J84" s="109"/>
      <c r="K84" s="235" t="str">
        <f>'テンプレート'!K80</f>
        <v>ベクトル</v>
      </c>
      <c r="L84" s="235" t="str">
        <f>'テンプレート'!L80</f>
        <v>KBG (R.E.)</v>
      </c>
      <c r="M84" s="235" t="str">
        <f>'テンプレート'!M80</f>
        <v>BKB (R.A.)</v>
      </c>
      <c r="N84" s="235" t="str">
        <f>'テンプレート'!N80</f>
        <v>FKB (R.F.)</v>
      </c>
      <c r="O84" s="236" t="str">
        <f>'テンプレート'!O80</f>
        <v>盾削り値</v>
      </c>
      <c r="P84" s="235" t="str">
        <f>'テンプレート'!P80</f>
        <v>ﾋｯﾄｽﾄｯﾌﾟ</v>
      </c>
      <c r="Q84" s="236" t="str">
        <f>'テンプレート'!Q80</f>
        <v>ずらし</v>
      </c>
      <c r="R84" s="235" t="str">
        <f>'テンプレート'!R80</f>
        <v>相殺</v>
      </c>
      <c r="S84" s="236" t="str">
        <f>'テンプレート'!S80</f>
        <v>相殺ﾓｰｼｮﾝ</v>
      </c>
      <c r="T84" s="236" t="str">
        <f>'テンプレート'!T80</f>
        <v>飛び道具</v>
      </c>
      <c r="U84" s="236" t="str">
        <f>'テンプレート'!U80</f>
        <v>慣性反転</v>
      </c>
      <c r="V84" s="236" t="str">
        <f>'テンプレート'!V80</f>
        <v>向き反転</v>
      </c>
    </row>
    <row r="85" outlineLevel="1">
      <c r="A85" s="237" t="s">
        <v>184</v>
      </c>
      <c r="B85" s="402" t="s">
        <v>125</v>
      </c>
      <c r="C85" s="239" t="s">
        <v>80</v>
      </c>
      <c r="D85" s="400"/>
      <c r="E85" s="239" t="s">
        <v>106</v>
      </c>
      <c r="F85" s="138" t="s">
        <v>107</v>
      </c>
      <c r="G85" s="139" t="s">
        <v>923</v>
      </c>
      <c r="H85" s="395" t="s">
        <v>4045</v>
      </c>
      <c r="I85" s="164"/>
      <c r="J85" s="104"/>
      <c r="K85" s="138"/>
      <c r="L85" s="138"/>
      <c r="M85" s="145"/>
      <c r="N85" s="145"/>
      <c r="O85" s="138">
        <v>0.0</v>
      </c>
      <c r="P85" s="138">
        <v>1.0</v>
      </c>
      <c r="Q85" s="138">
        <v>1.0</v>
      </c>
      <c r="R85" s="2577" t="b">
        <v>1</v>
      </c>
      <c r="S85" s="145" t="b">
        <v>0</v>
      </c>
      <c r="T85" s="145" t="b">
        <v>1</v>
      </c>
      <c r="U85" s="166" t="s">
        <v>186</v>
      </c>
      <c r="V85" s="166" t="b">
        <v>1</v>
      </c>
    </row>
    <row r="86" outlineLevel="1">
      <c r="A86" s="146"/>
      <c r="B86" s="402" t="s">
        <v>1233</v>
      </c>
      <c r="C86" s="239" t="s">
        <v>272</v>
      </c>
      <c r="D86" s="146"/>
      <c r="E86" s="239" t="s">
        <v>93</v>
      </c>
      <c r="F86" s="138">
        <v>8.4</v>
      </c>
      <c r="G86" s="139" t="s">
        <v>60</v>
      </c>
      <c r="H86" s="212"/>
      <c r="J86" s="210"/>
      <c r="K86" s="138"/>
      <c r="L86" s="138"/>
      <c r="M86" s="145"/>
      <c r="N86" s="145"/>
      <c r="O86" s="138"/>
      <c r="P86" s="138"/>
      <c r="Q86" s="138"/>
      <c r="R86" s="2577" t="b">
        <v>0</v>
      </c>
      <c r="S86" s="145" t="b">
        <v>0</v>
      </c>
      <c r="T86" s="145" t="b">
        <v>0</v>
      </c>
      <c r="U86" s="146"/>
      <c r="V86" s="146"/>
    </row>
    <row r="87" outlineLevel="1">
      <c r="A87" s="146"/>
      <c r="B87" s="402" t="s">
        <v>2254</v>
      </c>
      <c r="C87" s="239" t="s">
        <v>4046</v>
      </c>
      <c r="D87" s="146"/>
      <c r="E87" s="239" t="s">
        <v>150</v>
      </c>
      <c r="F87" s="138">
        <v>6.0</v>
      </c>
      <c r="G87" s="139" t="s">
        <v>60</v>
      </c>
      <c r="H87" s="212"/>
      <c r="J87" s="210"/>
      <c r="K87" s="138"/>
      <c r="L87" s="138"/>
      <c r="M87" s="145"/>
      <c r="N87" s="145"/>
      <c r="O87" s="138">
        <v>0.0</v>
      </c>
      <c r="P87" s="138">
        <v>1.0</v>
      </c>
      <c r="Q87" s="138">
        <v>1.0</v>
      </c>
      <c r="R87" s="2577" t="b">
        <v>1</v>
      </c>
      <c r="S87" s="145" t="b">
        <v>0</v>
      </c>
      <c r="T87" s="145" t="b">
        <v>1</v>
      </c>
      <c r="U87" s="146"/>
      <c r="V87" s="146"/>
    </row>
    <row r="88" outlineLevel="1">
      <c r="A88" s="146"/>
      <c r="B88" s="402" t="s">
        <v>131</v>
      </c>
      <c r="C88" s="239" t="s">
        <v>1558</v>
      </c>
      <c r="D88" s="146"/>
      <c r="E88" s="239" t="s">
        <v>93</v>
      </c>
      <c r="F88" s="138">
        <v>8.4</v>
      </c>
      <c r="G88" s="139" t="s">
        <v>60</v>
      </c>
      <c r="H88" s="212"/>
      <c r="J88" s="210"/>
      <c r="K88" s="138"/>
      <c r="L88" s="138"/>
      <c r="M88" s="145"/>
      <c r="N88" s="145"/>
      <c r="O88" s="138">
        <v>0.0</v>
      </c>
      <c r="P88" s="138">
        <v>1.0</v>
      </c>
      <c r="Q88" s="138">
        <v>1.0</v>
      </c>
      <c r="R88" s="2577" t="b">
        <v>1</v>
      </c>
      <c r="S88" s="145" t="b">
        <v>0</v>
      </c>
      <c r="T88" s="145" t="b">
        <v>1</v>
      </c>
      <c r="U88" s="146"/>
      <c r="V88" s="146"/>
    </row>
    <row r="89" outlineLevel="1">
      <c r="A89" s="146"/>
      <c r="B89" s="402" t="s">
        <v>432</v>
      </c>
      <c r="C89" s="239" t="s">
        <v>4047</v>
      </c>
      <c r="D89" s="146"/>
      <c r="E89" s="239" t="s">
        <v>150</v>
      </c>
      <c r="F89" s="138">
        <v>6.0</v>
      </c>
      <c r="G89" s="139" t="s">
        <v>60</v>
      </c>
      <c r="H89" s="212"/>
      <c r="J89" s="210"/>
      <c r="K89" s="138"/>
      <c r="L89" s="138"/>
      <c r="M89" s="145"/>
      <c r="N89" s="145"/>
      <c r="O89" s="138">
        <v>0.0</v>
      </c>
      <c r="P89" s="138">
        <v>1.0</v>
      </c>
      <c r="Q89" s="138">
        <v>1.0</v>
      </c>
      <c r="R89" s="2577" t="b">
        <v>1</v>
      </c>
      <c r="S89" s="145" t="b">
        <v>0</v>
      </c>
      <c r="T89" s="145" t="b">
        <v>1</v>
      </c>
      <c r="U89" s="146"/>
      <c r="V89" s="146"/>
    </row>
    <row r="90" outlineLevel="1">
      <c r="A90" s="146"/>
      <c r="B90" s="402" t="s">
        <v>4048</v>
      </c>
      <c r="C90" s="239" t="s">
        <v>2411</v>
      </c>
      <c r="D90" s="156"/>
      <c r="E90" s="239" t="s">
        <v>209</v>
      </c>
      <c r="F90" s="239" t="s">
        <v>209</v>
      </c>
      <c r="G90" s="409"/>
      <c r="H90" s="212"/>
      <c r="J90" s="210"/>
      <c r="K90" s="409"/>
      <c r="L90" s="409"/>
      <c r="M90" s="409"/>
      <c r="N90" s="409"/>
      <c r="O90" s="409"/>
      <c r="P90" s="409"/>
      <c r="Q90" s="409"/>
      <c r="R90" s="665"/>
      <c r="S90" s="409"/>
      <c r="T90" s="409"/>
      <c r="U90" s="146"/>
      <c r="V90" s="146"/>
    </row>
    <row r="91" outlineLevel="1">
      <c r="A91" s="146"/>
      <c r="B91" s="402" t="s">
        <v>4049</v>
      </c>
      <c r="C91" s="409"/>
      <c r="D91" s="239" t="s">
        <v>455</v>
      </c>
      <c r="E91" s="409"/>
      <c r="F91" s="409"/>
      <c r="G91" s="409"/>
      <c r="H91" s="106"/>
      <c r="I91" s="168"/>
      <c r="J91" s="107"/>
      <c r="K91" s="409"/>
      <c r="L91" s="409"/>
      <c r="M91" s="409"/>
      <c r="N91" s="409"/>
      <c r="O91" s="409"/>
      <c r="P91" s="409"/>
      <c r="Q91" s="409"/>
      <c r="R91" s="409"/>
      <c r="S91" s="409"/>
      <c r="T91" s="409"/>
      <c r="U91" s="156"/>
      <c r="V91" s="156"/>
    </row>
    <row r="92" outlineLevel="1">
      <c r="A92" s="230" t="s">
        <v>4050</v>
      </c>
      <c r="B92" s="109"/>
      <c r="C92" s="231" t="s">
        <v>48</v>
      </c>
      <c r="D92" s="231" t="s">
        <v>49</v>
      </c>
      <c r="E92" s="232" t="s">
        <v>50</v>
      </c>
      <c r="F92" s="233" t="s">
        <v>51</v>
      </c>
      <c r="G92" s="232" t="s">
        <v>52</v>
      </c>
      <c r="H92" s="382" t="str">
        <f>'テンプレート'!H85</f>
        <v>備考</v>
      </c>
      <c r="I92" s="110"/>
      <c r="J92" s="109"/>
      <c r="K92" s="235" t="str">
        <f>'テンプレート'!K85</f>
        <v>ベクトル</v>
      </c>
      <c r="L92" s="235" t="str">
        <f>'テンプレート'!L85</f>
        <v>KBG (R.E.)</v>
      </c>
      <c r="M92" s="235" t="str">
        <f>'テンプレート'!M85</f>
        <v>BKB (R.A.)</v>
      </c>
      <c r="N92" s="235" t="str">
        <f>'テンプレート'!N85</f>
        <v>FKB (R.F.)</v>
      </c>
      <c r="O92" s="236" t="str">
        <f>'テンプレート'!O85</f>
        <v>盾削り値</v>
      </c>
      <c r="P92" s="235" t="str">
        <f>'テンプレート'!P85</f>
        <v>ﾋｯﾄｽﾄｯﾌﾟ</v>
      </c>
      <c r="Q92" s="236" t="str">
        <f>'テンプレート'!Q85</f>
        <v>ずらし</v>
      </c>
      <c r="R92" s="235" t="str">
        <f>'テンプレート'!R85</f>
        <v>相殺</v>
      </c>
      <c r="S92" s="236" t="str">
        <f>'テンプレート'!S85</f>
        <v>相殺ﾓｰｼｮﾝ</v>
      </c>
      <c r="T92" s="236" t="str">
        <f>'テンプレート'!T85</f>
        <v>飛び道具</v>
      </c>
      <c r="U92" s="236" t="str">
        <f>'テンプレート'!U85</f>
        <v>慣性反転</v>
      </c>
      <c r="V92" s="236" t="str">
        <f>'テンプレート'!V85</f>
        <v>向き反転</v>
      </c>
    </row>
    <row r="93" outlineLevel="1">
      <c r="A93" s="546" t="s">
        <v>184</v>
      </c>
      <c r="B93" s="402" t="s">
        <v>1152</v>
      </c>
      <c r="C93" s="239" t="s">
        <v>548</v>
      </c>
      <c r="D93" s="239" t="s">
        <v>185</v>
      </c>
      <c r="E93" s="409"/>
      <c r="F93" s="409"/>
      <c r="G93" s="409"/>
      <c r="H93" s="163" t="s">
        <v>4051</v>
      </c>
      <c r="I93" s="164"/>
      <c r="J93" s="104"/>
      <c r="K93" s="281"/>
      <c r="L93" s="281"/>
      <c r="M93" s="281"/>
      <c r="N93" s="281"/>
      <c r="O93" s="281"/>
      <c r="P93" s="281"/>
      <c r="Q93" s="281"/>
      <c r="R93" s="281"/>
      <c r="S93" s="281"/>
      <c r="T93" s="281"/>
      <c r="U93" s="166" t="s">
        <v>186</v>
      </c>
      <c r="V93" s="166" t="b">
        <v>1</v>
      </c>
    </row>
    <row r="94" outlineLevel="1">
      <c r="A94" s="146"/>
      <c r="B94" s="402" t="s">
        <v>2717</v>
      </c>
      <c r="C94" s="244" t="s">
        <v>4052</v>
      </c>
      <c r="D94" s="409"/>
      <c r="E94" s="239" t="s">
        <v>176</v>
      </c>
      <c r="F94" s="138">
        <v>2.4</v>
      </c>
      <c r="G94" s="409"/>
      <c r="H94" s="212"/>
      <c r="J94" s="210"/>
      <c r="K94" s="138"/>
      <c r="L94" s="138"/>
      <c r="M94" s="145"/>
      <c r="N94" s="145"/>
      <c r="O94" s="281"/>
      <c r="P94" s="281"/>
      <c r="Q94" s="281"/>
      <c r="R94" s="281"/>
      <c r="S94" s="281"/>
      <c r="T94" s="281"/>
      <c r="U94" s="146"/>
      <c r="V94" s="146"/>
    </row>
    <row r="95" outlineLevel="1">
      <c r="A95" s="156"/>
      <c r="B95" s="402" t="s">
        <v>1157</v>
      </c>
      <c r="C95" s="409"/>
      <c r="D95" s="239" t="s">
        <v>271</v>
      </c>
      <c r="E95" s="281"/>
      <c r="F95" s="281"/>
      <c r="G95" s="409"/>
      <c r="H95" s="106"/>
      <c r="I95" s="168"/>
      <c r="J95" s="107"/>
      <c r="K95" s="281"/>
      <c r="L95" s="281"/>
      <c r="M95" s="281"/>
      <c r="N95" s="281"/>
      <c r="O95" s="281"/>
      <c r="P95" s="281"/>
      <c r="Q95" s="281"/>
      <c r="R95" s="281"/>
      <c r="S95" s="281"/>
      <c r="T95" s="281"/>
      <c r="U95" s="156"/>
      <c r="V95" s="156"/>
    </row>
    <row r="96" outlineLevel="1">
      <c r="A96" s="230" t="s">
        <v>483</v>
      </c>
      <c r="B96" s="109"/>
      <c r="C96" s="231" t="s">
        <v>48</v>
      </c>
      <c r="D96" s="231" t="s">
        <v>49</v>
      </c>
      <c r="E96" s="232" t="s">
        <v>50</v>
      </c>
      <c r="F96" s="233" t="s">
        <v>51</v>
      </c>
      <c r="G96" s="232" t="s">
        <v>52</v>
      </c>
      <c r="H96" s="382" t="str">
        <f>'テンプレート'!H89</f>
        <v/>
      </c>
      <c r="I96" s="110"/>
      <c r="J96" s="109"/>
      <c r="K96" s="235" t="str">
        <f>'テンプレート'!K89</f>
        <v/>
      </c>
      <c r="L96" s="235" t="str">
        <f>'テンプレート'!L89</f>
        <v/>
      </c>
      <c r="M96" s="235" t="str">
        <f>'テンプレート'!M89</f>
        <v/>
      </c>
      <c r="N96" s="235" t="str">
        <f>'テンプレート'!N89</f>
        <v/>
      </c>
      <c r="O96" s="236">
        <f>'テンプレート'!O89</f>
        <v>0</v>
      </c>
      <c r="P96" s="235">
        <f>'テンプレート'!P89</f>
        <v>1</v>
      </c>
      <c r="Q96" s="236">
        <f>'テンプレート'!Q89</f>
        <v>1</v>
      </c>
      <c r="R96" s="235" t="b">
        <f>'テンプレート'!R89</f>
        <v>1</v>
      </c>
      <c r="S96" s="236" t="b">
        <f>'テンプレート'!S89</f>
        <v>1</v>
      </c>
      <c r="T96" s="236" t="str">
        <f>'テンプレート'!T89</f>
        <v/>
      </c>
      <c r="U96" s="236" t="str">
        <f>'テンプレート'!U89</f>
        <v/>
      </c>
      <c r="V96" s="236" t="str">
        <f>'テンプレート'!V89</f>
        <v/>
      </c>
    </row>
    <row r="97" outlineLevel="1">
      <c r="A97" s="2578" t="s">
        <v>4053</v>
      </c>
      <c r="B97" s="2579" t="s">
        <v>484</v>
      </c>
      <c r="C97" s="783"/>
      <c r="D97" s="783"/>
      <c r="E97" s="534" t="s">
        <v>2704</v>
      </c>
      <c r="F97" s="534" t="s">
        <v>2705</v>
      </c>
      <c r="G97" s="783"/>
      <c r="H97" s="2580"/>
      <c r="I97" s="164"/>
      <c r="J97" s="104"/>
      <c r="K97" s="783"/>
      <c r="L97" s="783"/>
      <c r="M97" s="783"/>
      <c r="N97" s="783"/>
      <c r="O97" s="783"/>
      <c r="P97" s="783"/>
      <c r="Q97" s="783"/>
      <c r="R97" s="783"/>
      <c r="S97" s="783"/>
      <c r="T97" s="783"/>
      <c r="U97" s="2581"/>
      <c r="V97" s="2581"/>
    </row>
    <row r="98" outlineLevel="1">
      <c r="A98" s="2582" t="s">
        <v>4054</v>
      </c>
      <c r="B98" s="2579" t="s">
        <v>484</v>
      </c>
      <c r="C98" s="783"/>
      <c r="D98" s="783"/>
      <c r="E98" s="534" t="s">
        <v>1264</v>
      </c>
      <c r="F98" s="534" t="s">
        <v>1265</v>
      </c>
      <c r="G98" s="2583"/>
      <c r="H98" s="168"/>
      <c r="I98" s="168"/>
      <c r="J98" s="107"/>
      <c r="K98" s="2584"/>
      <c r="L98" s="2584"/>
      <c r="M98" s="2585"/>
      <c r="N98" s="2585"/>
      <c r="O98" s="2583"/>
      <c r="P98" s="2583"/>
      <c r="Q98" s="2583"/>
      <c r="R98" s="2583"/>
      <c r="S98" s="2583"/>
      <c r="T98" s="2583"/>
      <c r="U98" s="107"/>
      <c r="V98" s="107"/>
    </row>
    <row r="99">
      <c r="A99" s="223"/>
      <c r="B99" s="224"/>
      <c r="C99" s="225"/>
      <c r="D99" s="225"/>
      <c r="E99" s="226"/>
      <c r="F99" s="226"/>
      <c r="G99" s="226"/>
      <c r="H99" s="227"/>
      <c r="I99" s="227"/>
      <c r="J99" s="228"/>
      <c r="K99" s="228"/>
      <c r="L99" s="228"/>
      <c r="M99" s="228"/>
      <c r="N99" s="228"/>
      <c r="O99" s="228"/>
      <c r="P99" s="228"/>
      <c r="Q99" s="118"/>
      <c r="R99" s="118"/>
      <c r="S99" s="118"/>
      <c r="T99" s="118"/>
      <c r="U99" s="118"/>
      <c r="V99" s="118"/>
    </row>
    <row r="100">
      <c r="A100" s="264" t="s">
        <v>211</v>
      </c>
      <c r="B100" s="104"/>
      <c r="C100" s="227"/>
      <c r="D100" s="227"/>
      <c r="E100" s="228"/>
      <c r="F100" s="265"/>
      <c r="G100" s="265"/>
      <c r="H100" s="228"/>
      <c r="I100" s="228"/>
      <c r="J100" s="228"/>
      <c r="K100" s="228"/>
      <c r="L100" s="228"/>
      <c r="M100" s="228"/>
      <c r="N100" s="118"/>
      <c r="O100" s="118"/>
      <c r="P100" s="118"/>
      <c r="Q100" s="228"/>
      <c r="R100" s="228"/>
      <c r="S100" s="228"/>
      <c r="T100" s="228"/>
      <c r="U100" s="228"/>
      <c r="V100" s="228"/>
    </row>
    <row r="101" outlineLevel="1">
      <c r="A101" s="106"/>
      <c r="B101" s="107"/>
      <c r="C101" s="266" t="s">
        <v>48</v>
      </c>
      <c r="D101" s="266" t="s">
        <v>49</v>
      </c>
      <c r="E101" s="266" t="s">
        <v>50</v>
      </c>
      <c r="F101" s="267" t="s">
        <v>51</v>
      </c>
      <c r="G101" s="227"/>
      <c r="H101" s="227"/>
      <c r="I101" s="227"/>
      <c r="J101" s="228"/>
      <c r="K101" s="228"/>
      <c r="L101" s="228"/>
      <c r="M101" s="228"/>
      <c r="N101" s="228"/>
      <c r="O101" s="228"/>
      <c r="P101" s="228"/>
      <c r="Q101" s="228"/>
      <c r="R101" s="228"/>
      <c r="S101" s="228"/>
      <c r="T101" s="228"/>
      <c r="U101" s="228"/>
      <c r="V101" s="228"/>
    </row>
    <row r="102" outlineLevel="1">
      <c r="A102" s="268" t="s">
        <v>212</v>
      </c>
      <c r="B102" s="269" t="s">
        <v>212</v>
      </c>
      <c r="C102" s="239" t="s">
        <v>213</v>
      </c>
      <c r="D102" s="239" t="s">
        <v>86</v>
      </c>
      <c r="E102" s="239" t="s">
        <v>1024</v>
      </c>
      <c r="F102" s="138">
        <v>1.7999999999999998</v>
      </c>
      <c r="G102" s="227"/>
      <c r="H102" s="227"/>
      <c r="I102" s="227"/>
      <c r="J102" s="228"/>
      <c r="K102" s="228"/>
      <c r="L102" s="228"/>
      <c r="M102" s="228"/>
      <c r="N102" s="228"/>
      <c r="O102" s="228"/>
      <c r="P102" s="228"/>
      <c r="Q102" s="228"/>
      <c r="R102" s="228"/>
      <c r="S102" s="228"/>
      <c r="T102" s="228"/>
      <c r="U102" s="228"/>
      <c r="V102" s="228"/>
    </row>
    <row r="103" outlineLevel="1">
      <c r="A103" s="270" t="s">
        <v>215</v>
      </c>
      <c r="B103" s="269" t="s">
        <v>216</v>
      </c>
      <c r="C103" s="239" t="s">
        <v>319</v>
      </c>
      <c r="D103" s="239">
        <v>39.0</v>
      </c>
      <c r="E103" s="271"/>
      <c r="F103" s="272"/>
      <c r="G103" s="272"/>
      <c r="H103" s="227"/>
      <c r="I103" s="227"/>
      <c r="J103" s="228"/>
      <c r="K103" s="228"/>
      <c r="L103" s="228"/>
      <c r="M103" s="228"/>
      <c r="N103" s="228"/>
      <c r="O103" s="228"/>
      <c r="P103" s="228"/>
      <c r="Q103" s="228"/>
      <c r="R103" s="228"/>
      <c r="S103" s="228"/>
      <c r="T103" s="228"/>
      <c r="U103" s="228"/>
      <c r="V103" s="228"/>
    </row>
    <row r="104" outlineLevel="1">
      <c r="A104" s="212"/>
      <c r="B104" s="269" t="s">
        <v>219</v>
      </c>
      <c r="C104" s="239" t="s">
        <v>223</v>
      </c>
      <c r="D104" s="239" t="s">
        <v>111</v>
      </c>
      <c r="E104" s="271"/>
      <c r="F104" s="272"/>
      <c r="G104" s="272"/>
      <c r="H104" s="227"/>
      <c r="I104" s="227"/>
      <c r="J104" s="228"/>
      <c r="K104" s="228"/>
      <c r="L104" s="228"/>
      <c r="M104" s="228"/>
      <c r="N104" s="228"/>
      <c r="O104" s="228"/>
      <c r="P104" s="228"/>
      <c r="Q104" s="228"/>
      <c r="R104" s="228"/>
      <c r="S104" s="228"/>
      <c r="T104" s="228"/>
      <c r="U104" s="228"/>
      <c r="V104" s="228"/>
    </row>
    <row r="105" outlineLevel="1">
      <c r="A105" s="106"/>
      <c r="B105" s="269" t="s">
        <v>222</v>
      </c>
      <c r="C105" s="239" t="s">
        <v>299</v>
      </c>
      <c r="D105" s="239" t="s">
        <v>221</v>
      </c>
      <c r="E105" s="227"/>
      <c r="F105" s="272"/>
      <c r="G105" s="272"/>
      <c r="H105" s="227"/>
      <c r="I105" s="227"/>
      <c r="J105" s="228"/>
      <c r="K105" s="228"/>
      <c r="L105" s="228"/>
      <c r="M105" s="228"/>
      <c r="N105" s="228"/>
      <c r="O105" s="228"/>
      <c r="P105" s="228"/>
      <c r="Q105" s="228"/>
      <c r="R105" s="228"/>
      <c r="S105" s="228"/>
      <c r="T105" s="228"/>
      <c r="U105" s="228"/>
      <c r="V105" s="228"/>
    </row>
    <row r="106" outlineLevel="1">
      <c r="A106" s="273" t="s">
        <v>225</v>
      </c>
      <c r="B106" s="109"/>
      <c r="C106" s="266" t="s">
        <v>48</v>
      </c>
      <c r="D106" s="266" t="s">
        <v>49</v>
      </c>
      <c r="E106" s="266" t="s">
        <v>50</v>
      </c>
      <c r="F106" s="267" t="s">
        <v>51</v>
      </c>
      <c r="G106" s="1168" t="s">
        <v>53</v>
      </c>
      <c r="H106" s="110"/>
      <c r="I106" s="110"/>
      <c r="J106" s="109"/>
      <c r="K106" s="275" t="str">
        <f>'テンプレート'!K97</f>
        <v>ベクトル</v>
      </c>
      <c r="L106" s="275" t="str">
        <f>'テンプレート'!L97</f>
        <v>KBG (R.E.)</v>
      </c>
      <c r="M106" s="275" t="str">
        <f>'テンプレート'!M97</f>
        <v>BKB (R.A.)</v>
      </c>
      <c r="N106" s="275" t="str">
        <f>'テンプレート'!N97</f>
        <v>FKB (R.F.)</v>
      </c>
      <c r="O106" s="276" t="str">
        <f>'テンプレート'!O97</f>
        <v>盾削り値</v>
      </c>
      <c r="P106" s="275" t="str">
        <f>'テンプレート'!P97</f>
        <v>ﾋｯﾄｽﾄｯﾌﾟ</v>
      </c>
      <c r="Q106" s="276" t="str">
        <f>'テンプレート'!Q97</f>
        <v>ずらし</v>
      </c>
      <c r="R106" s="277"/>
      <c r="S106" s="277"/>
      <c r="T106" s="277"/>
      <c r="U106" s="277"/>
      <c r="V106" s="277"/>
    </row>
    <row r="107" outlineLevel="1">
      <c r="A107" s="278" t="s">
        <v>226</v>
      </c>
      <c r="B107" s="269" t="s">
        <v>227</v>
      </c>
      <c r="C107" s="281"/>
      <c r="D107" s="279">
        <v>31.0</v>
      </c>
      <c r="E107" s="281"/>
      <c r="F107" s="281"/>
      <c r="G107" s="1170"/>
      <c r="H107" s="164"/>
      <c r="I107" s="164"/>
      <c r="J107" s="104"/>
      <c r="K107" s="281"/>
      <c r="L107" s="281"/>
      <c r="M107" s="281"/>
      <c r="N107" s="281"/>
      <c r="O107" s="281"/>
      <c r="P107" s="281"/>
      <c r="Q107" s="281"/>
      <c r="R107" s="277"/>
      <c r="S107" s="228"/>
      <c r="T107" s="228"/>
      <c r="U107" s="228"/>
      <c r="V107" s="228"/>
    </row>
    <row r="108" outlineLevel="1">
      <c r="A108" s="156"/>
      <c r="B108" s="269" t="s">
        <v>225</v>
      </c>
      <c r="C108" s="113">
        <v>16.0</v>
      </c>
      <c r="D108" s="156"/>
      <c r="E108" s="239" t="s">
        <v>80</v>
      </c>
      <c r="F108" s="138">
        <v>9.6</v>
      </c>
      <c r="G108" s="106"/>
      <c r="H108" s="168"/>
      <c r="I108" s="168"/>
      <c r="J108" s="107"/>
      <c r="K108" s="282"/>
      <c r="L108" s="282"/>
      <c r="M108" s="363"/>
      <c r="N108" s="363"/>
      <c r="O108" s="261"/>
      <c r="P108" s="261"/>
      <c r="Q108" s="261"/>
      <c r="R108" s="277"/>
      <c r="S108" s="228"/>
      <c r="T108" s="228"/>
      <c r="U108" s="228"/>
      <c r="V108" s="228"/>
    </row>
    <row r="109" outlineLevel="1">
      <c r="A109" s="278" t="s">
        <v>229</v>
      </c>
      <c r="B109" s="269" t="s">
        <v>227</v>
      </c>
      <c r="C109" s="281"/>
      <c r="D109" s="279">
        <v>44.0</v>
      </c>
      <c r="E109" s="281"/>
      <c r="F109" s="281"/>
      <c r="G109" s="1170"/>
      <c r="H109" s="164"/>
      <c r="I109" s="164"/>
      <c r="J109" s="104"/>
      <c r="K109" s="281"/>
      <c r="L109" s="281"/>
      <c r="M109" s="281"/>
      <c r="N109" s="281"/>
      <c r="O109" s="281"/>
      <c r="P109" s="281"/>
      <c r="Q109" s="281"/>
      <c r="R109" s="277"/>
      <c r="S109" s="228"/>
      <c r="T109" s="228"/>
      <c r="U109" s="228"/>
      <c r="V109" s="228"/>
    </row>
    <row r="110" outlineLevel="1">
      <c r="A110" s="156"/>
      <c r="B110" s="269" t="s">
        <v>225</v>
      </c>
      <c r="C110" s="113">
        <v>25.0</v>
      </c>
      <c r="D110" s="156"/>
      <c r="E110" s="239" t="s">
        <v>232</v>
      </c>
      <c r="F110" s="138">
        <v>13.2</v>
      </c>
      <c r="G110" s="106"/>
      <c r="H110" s="168"/>
      <c r="I110" s="168"/>
      <c r="J110" s="107"/>
      <c r="K110" s="282"/>
      <c r="L110" s="282"/>
      <c r="M110" s="363"/>
      <c r="N110" s="363"/>
      <c r="O110" s="261"/>
      <c r="P110" s="261"/>
      <c r="Q110" s="261"/>
      <c r="R110" s="277"/>
      <c r="S110" s="228"/>
      <c r="T110" s="228"/>
      <c r="U110" s="228"/>
      <c r="V110" s="228"/>
    </row>
    <row r="111" outlineLevel="1">
      <c r="A111" s="278" t="s">
        <v>233</v>
      </c>
      <c r="B111" s="269" t="s">
        <v>227</v>
      </c>
      <c r="C111" s="281"/>
      <c r="D111" s="279">
        <v>47.0</v>
      </c>
      <c r="E111" s="281"/>
      <c r="F111" s="281"/>
      <c r="G111" s="1170"/>
      <c r="H111" s="164"/>
      <c r="I111" s="164"/>
      <c r="J111" s="104"/>
      <c r="K111" s="281"/>
      <c r="L111" s="281"/>
      <c r="M111" s="281"/>
      <c r="N111" s="281"/>
      <c r="O111" s="281"/>
      <c r="P111" s="281"/>
      <c r="Q111" s="281"/>
      <c r="R111" s="277"/>
      <c r="S111" s="228"/>
      <c r="T111" s="228"/>
      <c r="U111" s="228"/>
      <c r="V111" s="228"/>
    </row>
    <row r="112" outlineLevel="1">
      <c r="A112" s="156"/>
      <c r="B112" s="269" t="s">
        <v>225</v>
      </c>
      <c r="C112" s="113">
        <v>15.0</v>
      </c>
      <c r="D112" s="156"/>
      <c r="E112" s="239" t="s">
        <v>274</v>
      </c>
      <c r="F112" s="138">
        <v>10.799999999999999</v>
      </c>
      <c r="G112" s="106"/>
      <c r="H112" s="168"/>
      <c r="I112" s="168"/>
      <c r="J112" s="107"/>
      <c r="K112" s="282"/>
      <c r="L112" s="282"/>
      <c r="M112" s="363"/>
      <c r="N112" s="363"/>
      <c r="O112" s="261"/>
      <c r="P112" s="261"/>
      <c r="Q112" s="261"/>
      <c r="R112" s="277"/>
      <c r="S112" s="117"/>
      <c r="T112" s="117"/>
      <c r="U112" s="117"/>
      <c r="V112" s="117"/>
    </row>
    <row r="113" outlineLevel="1">
      <c r="A113" s="278" t="s">
        <v>234</v>
      </c>
      <c r="B113" s="269" t="s">
        <v>227</v>
      </c>
      <c r="C113" s="281"/>
      <c r="D113" s="279">
        <v>37.0</v>
      </c>
      <c r="E113" s="281"/>
      <c r="F113" s="281"/>
      <c r="G113" s="1170"/>
      <c r="H113" s="164"/>
      <c r="I113" s="164"/>
      <c r="J113" s="104"/>
      <c r="K113" s="281"/>
      <c r="L113" s="281"/>
      <c r="M113" s="281"/>
      <c r="N113" s="281"/>
      <c r="O113" s="281"/>
      <c r="P113" s="281"/>
      <c r="Q113" s="281"/>
      <c r="R113" s="277"/>
      <c r="S113" s="117"/>
      <c r="T113" s="117"/>
      <c r="U113" s="117"/>
      <c r="V113" s="117"/>
    </row>
    <row r="114" outlineLevel="1">
      <c r="A114" s="156"/>
      <c r="B114" s="269" t="s">
        <v>225</v>
      </c>
      <c r="C114" s="113">
        <v>16.0</v>
      </c>
      <c r="D114" s="156"/>
      <c r="E114" s="239" t="s">
        <v>86</v>
      </c>
      <c r="F114" s="138">
        <v>7.199999999999999</v>
      </c>
      <c r="G114" s="106"/>
      <c r="H114" s="168"/>
      <c r="I114" s="168"/>
      <c r="J114" s="107"/>
      <c r="K114" s="282"/>
      <c r="L114" s="282"/>
      <c r="M114" s="363"/>
      <c r="N114" s="363"/>
      <c r="O114" s="261"/>
      <c r="P114" s="281"/>
      <c r="Q114" s="261"/>
      <c r="R114" s="277"/>
      <c r="S114" s="117"/>
      <c r="T114" s="117"/>
      <c r="U114" s="117"/>
      <c r="V114" s="117"/>
    </row>
    <row r="115">
      <c r="A115" s="223"/>
      <c r="B115" s="224"/>
      <c r="C115" s="225"/>
      <c r="D115" s="225"/>
      <c r="E115" s="227"/>
      <c r="F115" s="177"/>
      <c r="G115" s="177"/>
      <c r="H115" s="227"/>
      <c r="I115" s="227"/>
      <c r="J115" s="228"/>
      <c r="K115" s="228"/>
      <c r="L115" s="111"/>
      <c r="M115" s="111"/>
      <c r="N115" s="111"/>
      <c r="O115" s="117"/>
      <c r="P115" s="117"/>
      <c r="Q115" s="111"/>
      <c r="R115" s="111"/>
      <c r="S115" s="111"/>
      <c r="T115" s="111"/>
      <c r="U115" s="111"/>
      <c r="V115" s="111"/>
    </row>
    <row r="116">
      <c r="A116" s="284" t="s">
        <v>241</v>
      </c>
      <c r="B116" s="104"/>
      <c r="C116" s="265"/>
      <c r="D116" s="111"/>
      <c r="E116" s="111"/>
      <c r="F116" s="111"/>
      <c r="G116" s="111"/>
      <c r="H116" s="111"/>
      <c r="I116" s="111"/>
      <c r="J116" s="118"/>
      <c r="K116" s="111"/>
      <c r="L116" s="111"/>
      <c r="M116" s="111"/>
      <c r="N116" s="111"/>
      <c r="O116" s="111"/>
      <c r="P116" s="111"/>
      <c r="Q116" s="118"/>
      <c r="R116" s="111"/>
      <c r="S116" s="111"/>
      <c r="T116" s="111"/>
      <c r="U116" s="111"/>
      <c r="V116" s="111"/>
    </row>
    <row r="117" outlineLevel="1">
      <c r="A117" s="106"/>
      <c r="B117" s="107"/>
      <c r="C117" s="285" t="s">
        <v>235</v>
      </c>
      <c r="D117" s="285" t="s">
        <v>236</v>
      </c>
      <c r="E117" s="285" t="s">
        <v>49</v>
      </c>
      <c r="F117" s="285" t="s">
        <v>237</v>
      </c>
      <c r="G117" s="286"/>
      <c r="H117" s="227"/>
      <c r="I117" s="227"/>
      <c r="J117" s="228"/>
      <c r="K117" s="228"/>
      <c r="L117" s="111"/>
      <c r="M117" s="111"/>
      <c r="N117" s="111"/>
      <c r="O117" s="111"/>
      <c r="P117" s="111"/>
      <c r="Q117" s="111"/>
      <c r="R117" s="111"/>
      <c r="S117" s="111"/>
      <c r="T117" s="111"/>
      <c r="U117" s="111"/>
      <c r="V117" s="111"/>
    </row>
    <row r="118" outlineLevel="1">
      <c r="A118" s="287" t="s">
        <v>395</v>
      </c>
      <c r="B118" s="288" t="s">
        <v>216</v>
      </c>
      <c r="C118" s="113" t="str">
        <f t="array" ref="C118">INDEX('回避'!$C$3:$U$84, MATCH($A$1,'回避'!$A$3:$A$91,0), MATCH(C117,'回避'!$C$2:$F$2,0))</f>
        <v>3-17</v>
      </c>
      <c r="D118" s="113" t="str">
        <f t="array" ref="D118">INDEX('回避'!$C$3:$U$84, MATCH($A$1,'回避'!$A$3:$A$91,0), MATCH(D117,'回避'!$C$2:$F$2,0))</f>
        <v>6-17</v>
      </c>
      <c r="E118" s="113" t="str">
        <f t="array" ref="E118">INDEX('回避'!$C$3:$U$84, MATCH($A$1,'回避'!$A$3:$A$91,0), MATCH(E117,'回避'!$C$2:$F$2,0))</f>
        <v>26 (21)</v>
      </c>
      <c r="F118" s="113" t="str">
        <f t="array" ref="F118">INDEX('回避'!$C$3:$U$84, MATCH($A$1,'回避'!$A$3:$A$91,0), MATCH(F117,'回避'!$C$2:$F$2,0))</f>
        <v>35 (28)</v>
      </c>
      <c r="G118" s="272"/>
      <c r="H118" s="227"/>
      <c r="I118" s="227"/>
      <c r="J118" s="228"/>
      <c r="K118" s="228"/>
      <c r="L118" s="228"/>
      <c r="M118" s="111"/>
      <c r="N118" s="111"/>
      <c r="O118" s="111"/>
      <c r="P118" s="111"/>
      <c r="Q118" s="111"/>
      <c r="R118" s="111"/>
      <c r="S118" s="111"/>
      <c r="T118" s="111"/>
      <c r="U118" s="111"/>
      <c r="V118" s="111"/>
    </row>
    <row r="119" outlineLevel="1">
      <c r="A119" s="212"/>
      <c r="B119" s="288" t="s">
        <v>245</v>
      </c>
      <c r="C119" s="113" t="str">
        <f t="array" ref="C119">INDEX('回避'!$G$3:$U$84, MATCH($A$1,'回避'!$A$3:$A$91,0), MATCH(C117,'回避'!$G$2:$J$2,0))</f>
        <v>4-15</v>
      </c>
      <c r="D119" s="113" t="str">
        <f t="array" ref="D119">INDEX('回避'!$G$3:$U$84, MATCH($A$1,'回避'!$A$3:$A$91,0), MATCH(D117,'回避'!$G$2:$J$2,0))</f>
        <v>8-14</v>
      </c>
      <c r="E119" s="113" t="str">
        <f t="array" ref="E119">INDEX('回避'!$G$3:$U$84, MATCH($A$1,'回避'!$A$3:$A$91,0), MATCH(E117,'回避'!$G$2:$J$2,0))</f>
        <v>30</v>
      </c>
      <c r="F119" s="113">
        <f t="array" ref="F119">INDEX('回避'!$G$3:$U$84, MATCH($A$1,'回避'!$A$3:$A$91,0), MATCH(F117,'回避'!$G$2:$J$2,0))</f>
        <v>40</v>
      </c>
      <c r="G119" s="289"/>
      <c r="H119" s="227"/>
      <c r="I119" s="227"/>
      <c r="J119" s="228"/>
      <c r="K119" s="228"/>
      <c r="L119" s="228"/>
      <c r="M119" s="228"/>
      <c r="N119" s="228"/>
      <c r="O119" s="111"/>
      <c r="P119" s="111"/>
      <c r="Q119" s="111"/>
      <c r="R119" s="111"/>
      <c r="S119" s="111"/>
      <c r="T119" s="111"/>
      <c r="U119" s="111"/>
      <c r="V119" s="111"/>
    </row>
    <row r="120" outlineLevel="1">
      <c r="A120" s="106"/>
      <c r="B120" s="288" t="s">
        <v>246</v>
      </c>
      <c r="C120" s="113" t="str">
        <f t="array" ref="C120">INDEX('回避'!$K$3:$U$84, MATCH($A$1,'回避'!$A$3:$A$91,0), MATCH(C117,'回避'!$K$2:$N$2,0))</f>
        <v>5-16</v>
      </c>
      <c r="D120" s="113" t="str">
        <f t="array" ref="D120">INDEX('回避'!$K$3:$U$84, MATCH($A$1,'回避'!$A$3:$A$91,0), MATCH(D117,'回避'!$K$2:$N$2,0))</f>
        <v>9-14</v>
      </c>
      <c r="E120" s="113" t="str">
        <f t="array" ref="E120">INDEX('回避'!$K$3:$U$84, MATCH($A$1,'回避'!$A$3:$A$91,0), MATCH(E117,'回避'!$K$2:$N$2,0))</f>
        <v>35</v>
      </c>
      <c r="F120" s="113" t="str">
        <f t="array" ref="F120">INDEX('回避'!$K$3:$U$84, MATCH($A$1,'回避'!$A$3:$A$91,0), MATCH(F117,'回避'!$K$2:$N$2,0))</f>
        <v>53</v>
      </c>
      <c r="G120" s="289"/>
      <c r="H120" s="290"/>
      <c r="I120" s="290"/>
      <c r="J120" s="117"/>
      <c r="K120" s="117"/>
      <c r="L120" s="117"/>
      <c r="M120" s="117"/>
      <c r="N120" s="117"/>
      <c r="O120" s="111"/>
      <c r="P120" s="111"/>
      <c r="Q120" s="111"/>
      <c r="R120" s="111"/>
      <c r="S120" s="111"/>
      <c r="T120" s="111"/>
      <c r="U120" s="111"/>
      <c r="V120" s="111"/>
    </row>
    <row r="121" outlineLevel="1">
      <c r="A121" s="287" t="s">
        <v>396</v>
      </c>
      <c r="B121" s="288" t="s">
        <v>397</v>
      </c>
      <c r="C121" s="113" t="str">
        <f t="array" ref="C121">INDEX('回避'!$O$3:$U$84, MATCH($A$1,'回避'!$A$3:$A$91,0), MATCH(C117,'回避'!$O$2:$R$2,0))</f>
        <v>3-30</v>
      </c>
      <c r="D121" s="113" t="str">
        <f t="array" ref="D121">INDEX('回避'!$O$3:$U$84, MATCH($A$1,'回避'!$A$3:$A$91,0), MATCH(D117,'回避'!$O$2:$R$2,0))</f>
        <v>6-27</v>
      </c>
      <c r="E121" s="113" t="str">
        <f t="array" ref="E121">INDEX('回避'!$O$3:$U$84, MATCH($A$1,'回避'!$A$3:$A$91,0), MATCH(E117,'回避'!$O$2:$R$2,0))</f>
        <v>51</v>
      </c>
      <c r="F121" s="177"/>
      <c r="G121" s="177"/>
      <c r="H121" s="118"/>
      <c r="I121" s="118"/>
      <c r="J121" s="111"/>
      <c r="K121" s="111"/>
      <c r="L121" s="111"/>
      <c r="M121" s="111"/>
      <c r="N121" s="111"/>
      <c r="O121" s="228"/>
      <c r="P121" s="228"/>
      <c r="Q121" s="228"/>
      <c r="R121" s="228"/>
      <c r="S121" s="228"/>
      <c r="T121" s="228"/>
      <c r="U121" s="228"/>
      <c r="V121" s="228"/>
    </row>
    <row r="122" outlineLevel="1">
      <c r="A122" s="106"/>
      <c r="B122" s="288" t="s">
        <v>398</v>
      </c>
      <c r="C122" s="113" t="str">
        <f t="array" ref="C122">INDEX('回避'!$S$3:$U$84, MATCH($A$1,'回避'!$A$3:$A$91,0), MATCH(C117,'回避'!$S$2:$U$2,0))</f>
        <v>3-21</v>
      </c>
      <c r="D122" s="113" t="str">
        <f t="array" ref="D122">INDEX('回避'!$S$3:$U$84, MATCH($A$1,'回避'!$A$3:$A$91,0), MATCH(D117,'回避'!$S$2:$U$2,0))</f>
        <v>6-20</v>
      </c>
      <c r="E122" s="113" t="str">
        <f t="array" ref="E122">INDEX('回避'!$S$3:$U$84, MATCH($A$1,'回避'!$A$3:$A$91,0), MATCH(E117,'回避'!$S$2:$U$2,0))</f>
        <v>真横：86
真上：114
真下：73</v>
      </c>
      <c r="F122" s="289"/>
      <c r="G122" s="289"/>
      <c r="H122" s="118"/>
      <c r="I122" s="118"/>
      <c r="J122" s="117"/>
      <c r="K122" s="117"/>
      <c r="L122" s="117"/>
      <c r="M122" s="117"/>
      <c r="N122" s="111"/>
      <c r="O122" s="118"/>
      <c r="P122" s="118"/>
      <c r="Q122" s="118"/>
      <c r="R122" s="118"/>
      <c r="S122" s="118"/>
      <c r="T122" s="118"/>
      <c r="U122" s="118"/>
      <c r="V122" s="118"/>
    </row>
    <row r="123">
      <c r="A123" s="291"/>
      <c r="B123" s="292"/>
      <c r="C123" s="286"/>
      <c r="D123" s="286"/>
      <c r="E123" s="293"/>
      <c r="F123" s="286"/>
      <c r="G123" s="286"/>
      <c r="H123" s="286"/>
      <c r="I123" s="286"/>
      <c r="J123" s="111"/>
      <c r="K123" s="227"/>
      <c r="L123" s="227"/>
      <c r="M123" s="227"/>
      <c r="N123" s="227"/>
      <c r="O123" s="118"/>
      <c r="P123" s="118"/>
      <c r="Q123" s="118"/>
      <c r="R123" s="118"/>
      <c r="S123" s="118"/>
      <c r="T123" s="118"/>
      <c r="U123" s="118"/>
      <c r="V123" s="118"/>
    </row>
    <row r="124">
      <c r="A124" s="2534" t="s">
        <v>238</v>
      </c>
      <c r="B124" s="104"/>
      <c r="C124" s="2535"/>
      <c r="D124" s="2536"/>
      <c r="E124" s="2535"/>
      <c r="F124" s="2537"/>
      <c r="G124" s="2537"/>
      <c r="H124" s="117"/>
      <c r="I124" s="117"/>
      <c r="J124" s="118"/>
      <c r="K124" s="118"/>
      <c r="L124" s="118"/>
      <c r="M124" s="118"/>
      <c r="N124" s="118"/>
      <c r="O124" s="118"/>
      <c r="P124" s="118"/>
      <c r="Q124" s="118"/>
      <c r="R124" s="118"/>
      <c r="S124" s="118"/>
      <c r="T124" s="118"/>
      <c r="U124" s="118"/>
      <c r="V124" s="118"/>
    </row>
    <row r="125" outlineLevel="1">
      <c r="A125" s="106"/>
      <c r="B125" s="107"/>
      <c r="C125" s="2538" t="s">
        <v>235</v>
      </c>
      <c r="D125" s="2538" t="s">
        <v>49</v>
      </c>
      <c r="E125" s="2538" t="s">
        <v>48</v>
      </c>
      <c r="F125" s="2538" t="s">
        <v>50</v>
      </c>
      <c r="G125" s="2539" t="s">
        <v>51</v>
      </c>
      <c r="H125" s="228"/>
      <c r="I125" s="228"/>
      <c r="J125" s="117"/>
      <c r="K125" s="297" t="str">
        <f>'テンプレート'!K116</f>
        <v>アイテム取得</v>
      </c>
      <c r="L125" s="109"/>
      <c r="M125" s="298" t="str">
        <f>'テンプレート'!M116</f>
        <v>取得フレーム</v>
      </c>
      <c r="N125" s="298" t="str">
        <f>'テンプレート'!N116</f>
        <v>全体フレーム</v>
      </c>
      <c r="O125" s="118"/>
      <c r="P125" s="118"/>
      <c r="Q125" s="118"/>
      <c r="R125" s="118"/>
      <c r="S125" s="118"/>
      <c r="T125" s="118"/>
      <c r="U125" s="118"/>
      <c r="V125" s="118"/>
    </row>
    <row r="126" outlineLevel="1">
      <c r="A126" s="299" t="s">
        <v>239</v>
      </c>
      <c r="B126" s="300" t="s">
        <v>240</v>
      </c>
      <c r="C126" s="1162"/>
      <c r="D126" s="518">
        <f t="array" ref="D126">INDEX('崖行動・受け身'!$C$3:$C131, MATCH($A$1,'崖行動・受け身'!$A$3:$A$115,0), MATCH(D125,'崖行動・受け身'!$C$2,0))</f>
        <v>19</v>
      </c>
      <c r="E126" s="1162"/>
      <c r="F126" s="1162"/>
      <c r="G126" s="1162"/>
      <c r="H126" s="228"/>
      <c r="I126" s="228"/>
      <c r="J126" s="111"/>
      <c r="K126" s="302" t="str">
        <f>'テンプレート'!K117</f>
        <v>小アイテム</v>
      </c>
      <c r="L126" s="303" t="str">
        <f>'テンプレート'!L117</f>
        <v>その場</v>
      </c>
      <c r="M126" s="967" t="s">
        <v>76</v>
      </c>
      <c r="N126" s="967">
        <v>7.0</v>
      </c>
      <c r="O126" s="118"/>
      <c r="P126" s="118"/>
      <c r="Q126" s="118"/>
      <c r="R126" s="118"/>
      <c r="S126" s="118"/>
      <c r="T126" s="118"/>
      <c r="U126" s="118"/>
      <c r="V126" s="118"/>
    </row>
    <row r="127" outlineLevel="1">
      <c r="A127" s="146"/>
      <c r="B127" s="300" t="s">
        <v>216</v>
      </c>
      <c r="C127" s="518" t="str">
        <f t="array" ref="C127">INDEX('崖行動・受け身'!$D$3:$E131, MATCH($A$1,'崖行動・受け身'!$A$3:$A$115,0), MATCH(C125,'崖行動・受け身'!$D$2:$E$2,0))</f>
        <v>1-33</v>
      </c>
      <c r="D127" s="518">
        <f t="array" ref="D127">INDEX('崖行動・受け身'!$D$3:$E131, MATCH($A$1,'崖行動・受け身'!$A$3:$A$115,0), MATCH(D125,'崖行動・受け身'!$D$2:$E$2,0))</f>
        <v>34</v>
      </c>
      <c r="E127" s="1162"/>
      <c r="F127" s="1162"/>
      <c r="G127" s="1162"/>
      <c r="H127" s="228"/>
      <c r="I127" s="228"/>
      <c r="J127" s="117"/>
      <c r="K127" s="156"/>
      <c r="L127" s="303" t="str">
        <f>'テンプレート'!L118</f>
        <v>歩き</v>
      </c>
      <c r="M127" s="967" t="s">
        <v>76</v>
      </c>
      <c r="N127" s="967">
        <v>19.0</v>
      </c>
      <c r="O127" s="118"/>
      <c r="P127" s="118"/>
      <c r="Q127" s="118"/>
      <c r="R127" s="118"/>
      <c r="S127" s="118"/>
      <c r="T127" s="118"/>
      <c r="U127" s="118"/>
      <c r="V127" s="118"/>
    </row>
    <row r="128" outlineLevel="1">
      <c r="A128" s="146"/>
      <c r="B128" s="300" t="s">
        <v>241</v>
      </c>
      <c r="C128" s="518" t="str">
        <f t="array" ref="C128">INDEX('崖行動・受け身'!$F$3:$G$115, MATCH($A$1,'崖行動・受け身'!$A$3:$A$115,0), MATCH(C125,'崖行動・受け身'!$F$2:$G$2,0))</f>
        <v>1-25</v>
      </c>
      <c r="D128" s="518">
        <f t="array" ref="D128">INDEX('崖行動・受け身'!$F$3:$G$115, MATCH($A$1,'崖行動・受け身'!$A$3:$A$115,0), MATCH(D125,'崖行動・受け身'!$F$2:$G$2,0))</f>
        <v>45</v>
      </c>
      <c r="E128" s="1162"/>
      <c r="F128" s="1162"/>
      <c r="G128" s="1162"/>
      <c r="H128" s="228"/>
      <c r="I128" s="228"/>
      <c r="J128" s="111"/>
      <c r="K128" s="304" t="str">
        <f>'テンプレート'!K119</f>
        <v>アイテム投擲</v>
      </c>
      <c r="L128" s="109"/>
      <c r="M128" s="298" t="str">
        <f>'テンプレート'!M119</f>
        <v>投擲フレーム</v>
      </c>
      <c r="N128" s="298" t="str">
        <f>'テンプレート'!N119</f>
        <v>全体フレーム</v>
      </c>
      <c r="O128" s="118"/>
      <c r="P128" s="118"/>
      <c r="Q128" s="118"/>
      <c r="R128" s="118"/>
      <c r="S128" s="118"/>
      <c r="T128" s="118"/>
      <c r="U128" s="118"/>
      <c r="V128" s="118"/>
    </row>
    <row r="129" outlineLevel="1">
      <c r="A129" s="146"/>
      <c r="B129" s="300" t="s">
        <v>242</v>
      </c>
      <c r="C129" s="518" t="str">
        <f t="array" ref="C129">INDEX('崖行動・受け身'!$H$3:$I$115, MATCH($A$1,'崖行動・受け身'!$A$3:$A$115,0), MATCH(C125,'崖行動・受け身'!$H$2:$I$2,0))</f>
        <v>1-12</v>
      </c>
      <c r="D129" s="518">
        <f t="array" ref="D129">INDEX('崖行動・受け身'!$H$3:$I$115, MATCH($A$1,'崖行動・受け身'!$A$3:$A$115,0), MATCH(D125,'崖行動・受け身'!$H$2:$I$2,0))</f>
        <v>14</v>
      </c>
      <c r="E129" s="1162"/>
      <c r="F129" s="1162"/>
      <c r="G129" s="1162"/>
      <c r="H129" s="228"/>
      <c r="I129" s="228"/>
      <c r="J129" s="117"/>
      <c r="K129" s="305" t="str">
        <f>'テンプレート'!K120</f>
        <v>地上投擲</v>
      </c>
      <c r="L129" s="303" t="str">
        <f>'テンプレート'!L120</f>
        <v>前投げ</v>
      </c>
      <c r="M129" s="113" t="s">
        <v>128</v>
      </c>
      <c r="N129" s="365" t="s">
        <v>268</v>
      </c>
      <c r="O129" s="111"/>
      <c r="P129" s="111"/>
      <c r="Q129" s="111"/>
      <c r="R129" s="111"/>
      <c r="S129" s="111"/>
      <c r="T129" s="111"/>
      <c r="U129" s="111"/>
      <c r="V129" s="111"/>
    </row>
    <row r="130" outlineLevel="1">
      <c r="A130" s="156"/>
      <c r="B130" s="300" t="s">
        <v>243</v>
      </c>
      <c r="C130" s="518" t="str">
        <f t="array" ref="C130">INDEX('崖行動・受け身'!$J$3:$M$115, MATCH($A$1,'崖行動・受け身'!$A$3:$A$115,0), MATCH(C125,'崖行動・受け身'!$J$2:$M$2,0))</f>
        <v>1-27</v>
      </c>
      <c r="D130" s="518">
        <f t="array" ref="D130">INDEX('崖行動・受け身'!$J$3:$M$115, MATCH($A$1,'崖行動・受け身'!$A$3:$A$115,0), MATCH(D125,'崖行動・受け身'!$J$2:$M$2,0))</f>
        <v>55</v>
      </c>
      <c r="E130" s="518" t="str">
        <f t="array" ref="E130">INDEX('崖行動・受け身'!$J$3:$M$115, MATCH($A$1,'崖行動・受け身'!$A$3:$A$115,0), MATCH(E125,'崖行動・受け身'!$J$2:$M$2,0))</f>
        <v>25-27</v>
      </c>
      <c r="F130" s="518">
        <f t="array" ref="F130">INDEX('崖行動・受け身'!$J$3:$M$115, MATCH($A$1,'崖行動・受け身'!$A$3:$A$115,0), MATCH(F125,'崖行動・受け身'!$J$2:$M$2,0))</f>
        <v>9</v>
      </c>
      <c r="G130" s="518">
        <f>F130*1.2</f>
        <v>10.8</v>
      </c>
      <c r="H130" s="228"/>
      <c r="I130" s="228"/>
      <c r="J130" s="111"/>
      <c r="K130" s="146"/>
      <c r="L130" s="303" t="str">
        <f>'テンプレート'!L121</f>
        <v>後投げ</v>
      </c>
      <c r="M130" s="113" t="s">
        <v>119</v>
      </c>
      <c r="N130" s="365" t="s">
        <v>268</v>
      </c>
      <c r="O130" s="111"/>
      <c r="P130" s="111"/>
      <c r="Q130" s="111"/>
      <c r="R130" s="111"/>
      <c r="S130" s="111"/>
      <c r="T130" s="111"/>
      <c r="U130" s="111"/>
      <c r="V130" s="111"/>
    </row>
    <row r="131" outlineLevel="1">
      <c r="A131" s="299" t="s">
        <v>244</v>
      </c>
      <c r="B131" s="300" t="s">
        <v>216</v>
      </c>
      <c r="C131" s="518" t="str">
        <f t="array" ref="C131">INDEX('崖行動・受け身'!$N$3:$O$115, MATCH($A$1,'崖行動・受け身'!$A$3:$A$115,0), MATCH(C125,'崖行動・受け身'!$N$2:$O$2,0))</f>
        <v>1-20</v>
      </c>
      <c r="D131" s="518">
        <f t="array" ref="D131">INDEX('崖行動・受け身'!$N$3:$O$115, MATCH($A$1,'崖行動・受け身'!$A$3:$A$115,0), MATCH(D125,'崖行動・受け身'!$N$2:$O$2,0))</f>
        <v>26</v>
      </c>
      <c r="E131" s="1162"/>
      <c r="F131" s="1162"/>
      <c r="G131" s="1162"/>
      <c r="H131" s="228"/>
      <c r="I131" s="228"/>
      <c r="J131" s="117"/>
      <c r="K131" s="146"/>
      <c r="L131" s="303" t="str">
        <f>'テンプレート'!L122</f>
        <v>上投げ</v>
      </c>
      <c r="M131" s="113" t="s">
        <v>386</v>
      </c>
      <c r="N131" s="365" t="s">
        <v>173</v>
      </c>
      <c r="O131" s="228"/>
      <c r="P131" s="228"/>
      <c r="Q131" s="228"/>
      <c r="R131" s="228"/>
      <c r="S131" s="228"/>
      <c r="T131" s="228"/>
      <c r="U131" s="228"/>
      <c r="V131" s="228"/>
    </row>
    <row r="132" outlineLevel="1">
      <c r="A132" s="146"/>
      <c r="B132" s="300" t="s">
        <v>245</v>
      </c>
      <c r="C132" s="518" t="str">
        <f t="array" ref="C132">INDEX('崖行動・受け身'!$P$3:$Q$115, MATCH($A$1,'崖行動・受け身'!$A$3:$A$115,0), MATCH(C125,'崖行動・受け身'!$P$2:$Q$2,0))</f>
        <v>1-20</v>
      </c>
      <c r="D132" s="518">
        <f t="array" ref="D132">INDEX('崖行動・受け身'!$P$3:$Q$115, MATCH($A$1,'崖行動・受け身'!$A$3:$A$115,0), MATCH(D125,'崖行動・受け身'!$P$2:$Q$2,0))</f>
        <v>40</v>
      </c>
      <c r="E132" s="1162"/>
      <c r="F132" s="1162"/>
      <c r="G132" s="1162"/>
      <c r="H132" s="228"/>
      <c r="I132" s="228"/>
      <c r="J132" s="111"/>
      <c r="K132" s="146"/>
      <c r="L132" s="303" t="str">
        <f>'テンプレート'!L123</f>
        <v>下投げ</v>
      </c>
      <c r="M132" s="113" t="s">
        <v>80</v>
      </c>
      <c r="N132" s="365" t="s">
        <v>296</v>
      </c>
      <c r="O132" s="118"/>
      <c r="P132" s="118"/>
      <c r="Q132" s="118"/>
      <c r="R132" s="118"/>
      <c r="S132" s="118"/>
      <c r="T132" s="118"/>
      <c r="U132" s="118"/>
      <c r="V132" s="118"/>
    </row>
    <row r="133" outlineLevel="1">
      <c r="A133" s="156"/>
      <c r="B133" s="300" t="s">
        <v>246</v>
      </c>
      <c r="C133" s="518" t="str">
        <f t="array" ref="C133">INDEX('崖行動・受け身'!$R$3:$S$115, MATCH($A$1,'崖行動・受け身'!$A$3:$A$115,0), MATCH(C125,'崖行動・受け身'!$R$2:$S$2,0))</f>
        <v>1-20</v>
      </c>
      <c r="D133" s="518">
        <f t="array" ref="D133">INDEX('崖行動・受け身'!$R$3:$S$115, MATCH($A$1,'崖行動・受け身'!$A$3:$A$115,0), MATCH(D125,'崖行動・受け身'!$R$2:$S$2,0))</f>
        <v>40</v>
      </c>
      <c r="E133" s="1162"/>
      <c r="F133" s="1162"/>
      <c r="G133" s="1162"/>
      <c r="H133" s="228"/>
      <c r="I133" s="228"/>
      <c r="J133" s="117"/>
      <c r="K133" s="146"/>
      <c r="L133" s="306" t="str">
        <f>'テンプレート'!L124</f>
        <v>ダッシュ</v>
      </c>
      <c r="M133" s="967" t="s">
        <v>86</v>
      </c>
      <c r="N133" s="967">
        <v>39.0</v>
      </c>
      <c r="O133" s="118"/>
      <c r="P133" s="118"/>
      <c r="Q133" s="118"/>
      <c r="R133" s="118"/>
      <c r="S133" s="118"/>
      <c r="T133" s="118"/>
      <c r="U133" s="118"/>
      <c r="V133" s="118"/>
    </row>
    <row r="134" outlineLevel="1">
      <c r="A134" s="299" t="s">
        <v>247</v>
      </c>
      <c r="B134" s="300" t="s">
        <v>248</v>
      </c>
      <c r="C134" s="1162"/>
      <c r="D134" s="518" t="str">
        <f t="array" ref="D134">INDEX('起きあがり'!$C$3:$C131, MATCH($A$1,'起きあがり'!$A$3:$A$115,0), MATCH(D125,'起きあがり'!$C$2:$AD$2,0))</f>
        <v>25</v>
      </c>
      <c r="E134" s="1162"/>
      <c r="F134" s="1162"/>
      <c r="G134" s="1162"/>
      <c r="H134" s="228"/>
      <c r="I134" s="228"/>
      <c r="J134" s="111"/>
      <c r="K134" s="156"/>
      <c r="L134" s="306" t="str">
        <f>'テンプレート'!L125</f>
        <v>その場捨て</v>
      </c>
      <c r="M134" s="967" t="s">
        <v>93</v>
      </c>
      <c r="N134" s="967">
        <v>23.0</v>
      </c>
      <c r="O134" s="118"/>
      <c r="P134" s="118"/>
      <c r="Q134" s="118"/>
      <c r="R134" s="118"/>
      <c r="S134" s="118"/>
      <c r="T134" s="118"/>
      <c r="U134" s="118"/>
      <c r="V134" s="118"/>
    </row>
    <row r="135" outlineLevel="1">
      <c r="A135" s="146"/>
      <c r="B135" s="300" t="s">
        <v>216</v>
      </c>
      <c r="C135" s="2540" t="str">
        <f t="array" ref="C135">INDEX('起きあがり'!$D$3:$E131, MATCH($A$1,'起きあがり'!$A$3:$A$115,0), MATCH(C125,'起きあがり'!$D$2:$AD$2,0))</f>
        <v>1-22</v>
      </c>
      <c r="D135" s="2541">
        <f t="array" ref="D135">INDEX('起きあがり'!$D$3:$E131, MATCH($A$1,'起きあがり'!$A$3:$A$115,0), MATCH(D125,'起きあがり'!$D$2:$AD$2,0))</f>
        <v>29</v>
      </c>
      <c r="E135" s="1162"/>
      <c r="F135" s="1162"/>
      <c r="G135" s="1162"/>
      <c r="H135" s="228"/>
      <c r="I135" s="228"/>
      <c r="J135" s="117"/>
      <c r="K135" s="305" t="str">
        <f>'テンプレート'!K126</f>
        <v>空中投擲</v>
      </c>
      <c r="L135" s="303" t="str">
        <f>'テンプレート'!L126</f>
        <v>前投げ</v>
      </c>
      <c r="M135" s="113" t="s">
        <v>128</v>
      </c>
      <c r="N135" s="365" t="s">
        <v>268</v>
      </c>
      <c r="O135" s="118"/>
      <c r="P135" s="118"/>
      <c r="Q135" s="118"/>
      <c r="R135" s="118"/>
      <c r="S135" s="118"/>
      <c r="T135" s="118"/>
      <c r="U135" s="118"/>
      <c r="V135" s="118"/>
    </row>
    <row r="136" outlineLevel="1">
      <c r="A136" s="146"/>
      <c r="B136" s="300" t="s">
        <v>245</v>
      </c>
      <c r="C136" s="2540" t="str">
        <f t="array" ref="C136">INDEX('起きあがり'!$F$3:$G$115, MATCH($A$1,'起きあがり'!$A$3:$A$115,0), MATCH(C125,'起きあがり'!$F$2:$AD$2,0))</f>
        <v>1-19</v>
      </c>
      <c r="D136" s="2541">
        <f t="array" ref="D136">INDEX('起きあがり'!$F$3:$G$115, MATCH($A$1,'起きあがり'!$A$3:$A$115,0), MATCH(D125,'起きあがり'!$F$2:$AD$2,0))</f>
        <v>35</v>
      </c>
      <c r="E136" s="1162"/>
      <c r="F136" s="1162"/>
      <c r="G136" s="1162"/>
      <c r="H136" s="228"/>
      <c r="I136" s="228"/>
      <c r="J136" s="111"/>
      <c r="K136" s="146"/>
      <c r="L136" s="303" t="str">
        <f>'テンプレート'!L127</f>
        <v>後投げ</v>
      </c>
      <c r="M136" s="113" t="s">
        <v>119</v>
      </c>
      <c r="N136" s="365" t="s">
        <v>268</v>
      </c>
      <c r="O136" s="118"/>
      <c r="P136" s="118"/>
      <c r="Q136" s="118"/>
      <c r="R136" s="118"/>
      <c r="S136" s="118"/>
      <c r="T136" s="118"/>
      <c r="U136" s="118"/>
      <c r="V136" s="118"/>
    </row>
    <row r="137" outlineLevel="1">
      <c r="A137" s="146"/>
      <c r="B137" s="300" t="s">
        <v>246</v>
      </c>
      <c r="C137" s="518" t="str">
        <f t="array" ref="C137">INDEX('起きあがり'!$H$3:$I$115, MATCH($A$1,'起きあがり'!$A$3:$A$115,0), MATCH(C125,'起きあがり'!$H$2:$AD$2,0))</f>
        <v>1-19</v>
      </c>
      <c r="D137" s="518">
        <f t="array" ref="D137">INDEX('起きあがり'!$H$3:$I$115, MATCH($A$1,'起きあがり'!$A$3:$A$115,0), MATCH(D125,'起きあがり'!$H$2:$AD$2,0))</f>
        <v>35</v>
      </c>
      <c r="E137" s="1162"/>
      <c r="F137" s="1162"/>
      <c r="G137" s="1162"/>
      <c r="H137" s="228"/>
      <c r="I137" s="228"/>
      <c r="J137" s="117"/>
      <c r="K137" s="146"/>
      <c r="L137" s="303" t="str">
        <f>'テンプレート'!L128</f>
        <v>上投げ</v>
      </c>
      <c r="M137" s="113" t="s">
        <v>386</v>
      </c>
      <c r="N137" s="365" t="s">
        <v>173</v>
      </c>
      <c r="O137" s="118"/>
      <c r="P137" s="118"/>
      <c r="Q137" s="118"/>
      <c r="R137" s="118"/>
      <c r="S137" s="118"/>
      <c r="T137" s="118"/>
      <c r="U137" s="118"/>
      <c r="V137" s="118"/>
    </row>
    <row r="138" outlineLevel="1">
      <c r="A138" s="146"/>
      <c r="B138" s="300" t="s">
        <v>249</v>
      </c>
      <c r="C138" s="2542" t="str">
        <f t="array" ref="C138">INDEX('起きあがり'!$J$3:$M$115, MATCH($A$1,'起きあがり'!$A$3:$A$115,0), MATCH(C125,'起きあがり'!$J$2:$AD$2,0))</f>
        <v>1-25</v>
      </c>
      <c r="D138" s="2543">
        <f t="array" ref="D138">INDEX('起きあがり'!$J$3:$M$115, MATCH($A$1,'起きあがり'!$A$3:$A$115,0), MATCH(D125,'起きあがり'!$J$2:$AD$2,0))</f>
        <v>45</v>
      </c>
      <c r="E138" s="2540" t="str">
        <f t="array" ref="E138">INDEX('起きあがり'!$J$3:$M$115, MATCH($A$1,'起きあがり'!$A$3:$A$115,0), MATCH(E125,'起きあがり'!$J$2:$AD$2,0))</f>
        <v>14-15</v>
      </c>
      <c r="F138" s="2541">
        <f t="array" ref="F138">INDEX('起きあがり'!$J$3:$M$115, MATCH($A$1,'起きあがり'!$A$3:$A$115,0), MATCH(F125,'起きあがり'!$J$2:$AD$2,0))</f>
        <v>7</v>
      </c>
      <c r="G138" s="518">
        <f t="shared" ref="G138:G139" si="1">F138*1.2</f>
        <v>8.4</v>
      </c>
      <c r="H138" s="228"/>
      <c r="I138" s="228"/>
      <c r="J138" s="111"/>
      <c r="K138" s="156"/>
      <c r="L138" s="303" t="str">
        <f>'テンプレート'!L129</f>
        <v>下投げ</v>
      </c>
      <c r="M138" s="113" t="s">
        <v>80</v>
      </c>
      <c r="N138" s="365" t="s">
        <v>296</v>
      </c>
      <c r="O138" s="111"/>
      <c r="P138" s="111"/>
      <c r="Q138" s="111"/>
      <c r="R138" s="111"/>
      <c r="S138" s="111"/>
      <c r="T138" s="111"/>
      <c r="U138" s="111"/>
      <c r="V138" s="111"/>
    </row>
    <row r="139" outlineLevel="1">
      <c r="A139" s="156"/>
      <c r="B139" s="311" t="s">
        <v>250</v>
      </c>
      <c r="C139" s="107"/>
      <c r="D139" s="107"/>
      <c r="E139" s="2540" t="str">
        <f t="array" ref="E139">INDEX('起きあがり'!$N$3:$O$115, MATCH($A$1,'起きあがり'!$A$3:$A$115,0), MATCH(E125,'起きあがり'!$N$2:$AD$2,0))</f>
        <v>24-25</v>
      </c>
      <c r="F139" s="2541">
        <f t="array" ref="F139">INDEX('起きあがり'!$N$3:$O$115, MATCH($A$1,'起きあがり'!$A$3:$A$115,0), MATCH(F125,'起きあがり'!$N$2:$AD$2,0))</f>
        <v>7</v>
      </c>
      <c r="G139" s="518">
        <f t="shared" si="1"/>
        <v>8.4</v>
      </c>
      <c r="H139" s="228"/>
      <c r="I139" s="228"/>
      <c r="J139" s="111"/>
      <c r="K139" s="312" t="str">
        <f>'テンプレート'!K130</f>
        <v>踏み台ジャンプ</v>
      </c>
      <c r="L139" s="168"/>
      <c r="M139" s="298" t="str">
        <f>'テンプレート'!M130</f>
        <v>全体フレーム</v>
      </c>
      <c r="N139" s="114"/>
      <c r="O139" s="111"/>
      <c r="P139" s="111"/>
      <c r="Q139" s="111"/>
      <c r="R139" s="111"/>
      <c r="S139" s="111"/>
      <c r="T139" s="111"/>
      <c r="U139" s="111"/>
      <c r="V139" s="111"/>
    </row>
    <row r="140" outlineLevel="1">
      <c r="A140" s="299" t="s">
        <v>251</v>
      </c>
      <c r="B140" s="300" t="s">
        <v>248</v>
      </c>
      <c r="C140" s="1162"/>
      <c r="D140" s="2540" t="str">
        <f t="array" ref="D140">INDEX('起きあがり'!$C$3:$C131, MATCH($A$1,'起きあがり'!$A$3:$A$115,0), MATCH(D125,'起きあがり'!$C$2,0))</f>
        <v>25</v>
      </c>
      <c r="E140" s="1162"/>
      <c r="F140" s="1162"/>
      <c r="G140" s="1162"/>
      <c r="H140" s="228"/>
      <c r="I140" s="228"/>
      <c r="J140" s="117"/>
      <c r="K140" s="313" t="str">
        <f>'テンプレート'!K131</f>
        <v>踏み</v>
      </c>
      <c r="L140" s="314" t="str">
        <f>'テンプレート'!L131</f>
        <v>踏み</v>
      </c>
      <c r="M140" s="967">
        <v>8.0</v>
      </c>
      <c r="N140" s="315"/>
      <c r="O140" s="111"/>
      <c r="P140" s="111"/>
      <c r="Q140" s="111"/>
      <c r="R140" s="111"/>
      <c r="S140" s="111"/>
      <c r="T140" s="111"/>
      <c r="U140" s="111"/>
      <c r="V140" s="111"/>
    </row>
    <row r="141" outlineLevel="1">
      <c r="A141" s="146"/>
      <c r="B141" s="300" t="s">
        <v>216</v>
      </c>
      <c r="C141" s="2540" t="str">
        <f t="array" ref="C141">INDEX('起きあがり'!$P$3:$Q$115, MATCH($A$1,'起きあがり'!$A$3:$A$115,0), MATCH(C125,'起きあがり'!$P$2:$AD$2,0))</f>
        <v>1-22</v>
      </c>
      <c r="D141" s="2541">
        <f t="array" ref="D141">INDEX('起きあがり'!$P$3:$Q$115, MATCH($A$1,'起きあがり'!$A$3:$A$115,0), MATCH(D125,'起きあがり'!$P$2:$AD$2,0))</f>
        <v>29</v>
      </c>
      <c r="E141" s="1162"/>
      <c r="F141" s="1162"/>
      <c r="G141" s="1162"/>
      <c r="H141" s="228"/>
      <c r="I141" s="228"/>
      <c r="J141" s="111"/>
      <c r="K141" s="305" t="str">
        <f>'テンプレート'!K132</f>
        <v>踏まれ</v>
      </c>
      <c r="L141" s="314" t="str">
        <f>'テンプレート'!L132</f>
        <v>地上踏まれ</v>
      </c>
      <c r="M141" s="967" t="s">
        <v>76</v>
      </c>
      <c r="N141" s="315"/>
      <c r="O141" s="228"/>
      <c r="P141" s="228"/>
      <c r="Q141" s="228"/>
      <c r="R141" s="228"/>
      <c r="S141" s="228"/>
      <c r="T141" s="228"/>
      <c r="U141" s="228"/>
      <c r="V141" s="228"/>
    </row>
    <row r="142" outlineLevel="1">
      <c r="A142" s="146"/>
      <c r="B142" s="300" t="s">
        <v>245</v>
      </c>
      <c r="C142" s="2540" t="str">
        <f t="array" ref="C142">INDEX('起きあがり'!$R$3:$S$115, MATCH($A$1,'起きあがり'!$A$3:$A$115,0), MATCH(C125,'起きあがり'!$R$2:$AD$2,0))</f>
        <v>1-19</v>
      </c>
      <c r="D142" s="2541">
        <f t="array" ref="D142">INDEX('起きあがり'!$R$3:$S$115, MATCH($A$1,'起きあがり'!$A$3:$A$115,0), MATCH(D125,'起きあがり'!$R$2:$AD$2,0))</f>
        <v>35</v>
      </c>
      <c r="E142" s="1162"/>
      <c r="F142" s="1162"/>
      <c r="G142" s="1162"/>
      <c r="H142" s="228"/>
      <c r="I142" s="228"/>
      <c r="J142" s="117"/>
      <c r="K142" s="146"/>
      <c r="L142" s="314" t="str">
        <f>'テンプレート'!L133</f>
        <v>地上硬直</v>
      </c>
      <c r="M142" s="967">
        <v>28.0</v>
      </c>
      <c r="N142" s="102"/>
      <c r="O142" s="118"/>
      <c r="P142" s="118"/>
      <c r="Q142" s="118"/>
      <c r="R142" s="118"/>
      <c r="S142" s="118"/>
      <c r="T142" s="118"/>
      <c r="U142" s="118"/>
      <c r="V142" s="118"/>
    </row>
    <row r="143" outlineLevel="1">
      <c r="A143" s="146"/>
      <c r="B143" s="300" t="s">
        <v>246</v>
      </c>
      <c r="C143" s="2540" t="str">
        <f t="array" ref="C143">INDEX('起きあがり'!$T$3:$U$115, MATCH($A$1,'起きあがり'!$A$3:$A$115,0), MATCH(C125,'起きあがり'!$T$2:$AD$2,0))</f>
        <v>1-19</v>
      </c>
      <c r="D143" s="2541">
        <f t="array" ref="D143">INDEX('起きあがり'!$T$3:$U$115, MATCH($A$1,'起きあがり'!$A$3:$A$115,0), MATCH(D125,'起きあがり'!$T$2:$AD$2,0))</f>
        <v>35</v>
      </c>
      <c r="E143" s="1162"/>
      <c r="F143" s="1162"/>
      <c r="G143" s="1162"/>
      <c r="H143" s="228"/>
      <c r="I143" s="228"/>
      <c r="J143" s="111"/>
      <c r="K143" s="146"/>
      <c r="L143" s="314" t="str">
        <f>'テンプレート'!L134</f>
        <v>空中踏まれ</v>
      </c>
      <c r="M143" s="967">
        <v>8.0</v>
      </c>
      <c r="N143" s="102"/>
      <c r="O143" s="118"/>
      <c r="P143" s="118"/>
      <c r="Q143" s="118"/>
      <c r="R143" s="118"/>
      <c r="S143" s="118"/>
      <c r="T143" s="118"/>
      <c r="U143" s="118"/>
      <c r="V143" s="118"/>
    </row>
    <row r="144" outlineLevel="1">
      <c r="A144" s="146"/>
      <c r="B144" s="300" t="s">
        <v>249</v>
      </c>
      <c r="C144" s="2542" t="str">
        <f t="array" ref="C144">INDEX('起きあがり'!$V$3:$Y$115, MATCH($A$1,'起きあがり'!$A$3:$A$115,0), MATCH(C125,'起きあがり'!$V$2:$AD$2,0))</f>
        <v>1-25</v>
      </c>
      <c r="D144" s="2543">
        <f t="array" ref="D144">INDEX('起きあがり'!$V$3:$Y$115, MATCH($A$1,'起きあがり'!$A$3:$A$115,0), MATCH(D125,'起きあがり'!$V$2:$AD$2,0))</f>
        <v>45</v>
      </c>
      <c r="E144" s="2540" t="str">
        <f t="array" ref="E144">INDEX('起きあがり'!$V$3:$Y$115, MATCH($A$1,'起きあがり'!$A$3:$A$115,0), MATCH(E125,'起きあがり'!$V$2:$AD$2,0))</f>
        <v>14-15</v>
      </c>
      <c r="F144" s="2541">
        <f t="array" ref="F144">INDEX('起きあがり'!$V$3:$Y$115, MATCH($A$1,'起きあがり'!$A$3:$A$115,0), MATCH(F125,'起きあがり'!$V$2:$AD$2,0))</f>
        <v>7</v>
      </c>
      <c r="G144" s="518">
        <f t="shared" ref="G144:G145" si="2">F144*1.2</f>
        <v>8.4</v>
      </c>
      <c r="H144" s="228"/>
      <c r="I144" s="228"/>
      <c r="J144" s="117"/>
      <c r="K144" s="146"/>
      <c r="L144" s="314" t="str">
        <f>'テンプレート'!L135</f>
        <v>空中落下</v>
      </c>
      <c r="M144" s="967">
        <v>37.0</v>
      </c>
      <c r="N144" s="102"/>
      <c r="O144" s="118"/>
      <c r="P144" s="118"/>
      <c r="Q144" s="118"/>
      <c r="R144" s="118"/>
      <c r="S144" s="118"/>
      <c r="T144" s="118"/>
      <c r="U144" s="118"/>
      <c r="V144" s="118"/>
    </row>
    <row r="145" outlineLevel="1">
      <c r="A145" s="156"/>
      <c r="B145" s="311" t="s">
        <v>250</v>
      </c>
      <c r="C145" s="107"/>
      <c r="D145" s="107"/>
      <c r="E145" s="2540" t="str">
        <f t="array" ref="E145">INDEX('起きあがり'!$Z$3:$AA$115, MATCH($A$1,'起きあがり'!$A$3:$A$115,0), MATCH(E125,'起きあがり'!$Z$2:$AD$2,0))</f>
        <v>24-25</v>
      </c>
      <c r="F145" s="2541">
        <f t="array" ref="F145">INDEX('起きあがり'!$Z$3:$AA$115, MATCH($A$1,'起きあがり'!$A$3:$A$115,0), MATCH(F125,'起きあがり'!$Z$2:$AD$2,0))</f>
        <v>7</v>
      </c>
      <c r="G145" s="518">
        <f t="shared" si="2"/>
        <v>8.4</v>
      </c>
      <c r="H145" s="228"/>
      <c r="I145" s="228"/>
      <c r="J145" s="117"/>
      <c r="K145" s="304" t="str">
        <f>'テンプレート'!K136</f>
        <v>倒れダメージ</v>
      </c>
      <c r="L145" s="110"/>
      <c r="M145" s="298" t="str">
        <f>'テンプレート'!M136</f>
        <v>全体フレーム</v>
      </c>
      <c r="N145" s="102"/>
      <c r="O145" s="118"/>
      <c r="P145" s="118"/>
      <c r="Q145" s="118"/>
      <c r="R145" s="118"/>
      <c r="S145" s="118"/>
      <c r="T145" s="118"/>
      <c r="U145" s="118"/>
      <c r="V145" s="118"/>
    </row>
    <row r="146" outlineLevel="1">
      <c r="A146" s="299" t="s">
        <v>252</v>
      </c>
      <c r="B146" s="300" t="s">
        <v>253</v>
      </c>
      <c r="C146" s="2540" t="str">
        <f t="array" ref="C146">INDEX('転倒'!$C$3:$D131, MATCH($A$1,'転倒'!$A$3:$A$115,0), MATCH(C125,'転倒'!$C$2:$AC$2,0))</f>
        <v>1-5</v>
      </c>
      <c r="D146" s="2541">
        <f t="array" ref="D146">INDEX('転倒'!$C$3:$D131, MATCH($A$1,'転倒'!$A$3:$A$115,0), MATCH(D125,'転倒'!$C$2:$AC$2,0))</f>
        <v>29</v>
      </c>
      <c r="E146" s="1162"/>
      <c r="F146" s="1162"/>
      <c r="G146" s="1162"/>
      <c r="H146" s="228"/>
      <c r="I146" s="228"/>
      <c r="J146" s="111"/>
      <c r="K146" s="313" t="str">
        <f>'テンプレート'!K137</f>
        <v>あお向け倒れ</v>
      </c>
      <c r="L146" s="306" t="str">
        <f>'テンプレート'!L137</f>
        <v>モーション大</v>
      </c>
      <c r="M146" s="967">
        <v>39.0</v>
      </c>
      <c r="N146" s="315"/>
      <c r="O146" s="118"/>
      <c r="P146" s="118"/>
      <c r="Q146" s="118"/>
      <c r="R146" s="118"/>
      <c r="S146" s="118"/>
      <c r="T146" s="118"/>
      <c r="U146" s="118"/>
      <c r="V146" s="118"/>
    </row>
    <row r="147" outlineLevel="1">
      <c r="A147" s="146"/>
      <c r="B147" s="300" t="s">
        <v>254</v>
      </c>
      <c r="C147" s="2540" t="str">
        <f t="array" ref="C147">INDEX('転倒'!$E$3:$F131, MATCH($A$1,'転倒'!$A$3:$A$115,0), MATCH(C125,'転倒'!$E$2:$AC$2,0))</f>
        <v>1-5</v>
      </c>
      <c r="D147" s="2541">
        <f t="array" ref="D147">INDEX('転倒'!$E$3:$F131, MATCH($A$1,'転倒'!$A$3:$A$115,0), MATCH(D125,'転倒'!$E$2:$AC$2,0))</f>
        <v>39</v>
      </c>
      <c r="E147" s="1162"/>
      <c r="F147" s="1162"/>
      <c r="G147" s="1162"/>
      <c r="H147" s="228"/>
      <c r="I147" s="228"/>
      <c r="J147" s="117"/>
      <c r="K147" s="313" t="str">
        <f>'テンプレート'!K138</f>
        <v>うつ伏せ倒れ</v>
      </c>
      <c r="L147" s="306" t="str">
        <f>'テンプレート'!L138</f>
        <v>モーション大</v>
      </c>
      <c r="M147" s="967" t="s">
        <v>118</v>
      </c>
      <c r="N147" s="315"/>
      <c r="O147" s="118"/>
      <c r="P147" s="118"/>
      <c r="Q147" s="118"/>
      <c r="R147" s="118"/>
      <c r="S147" s="118"/>
      <c r="T147" s="118"/>
      <c r="U147" s="118"/>
      <c r="V147" s="118"/>
    </row>
    <row r="148" outlineLevel="1">
      <c r="A148" s="146"/>
      <c r="B148" s="300" t="s">
        <v>216</v>
      </c>
      <c r="C148" s="2540" t="str">
        <f t="array" ref="C148">INDEX('転倒'!$G$3:$H$115, MATCH($A$1,'転倒'!$A$3:$A$115,0), MATCH(C125,'転倒'!$G$2:$AC$2,0))</f>
        <v>1-16</v>
      </c>
      <c r="D148" s="2541">
        <f t="array" ref="D148">INDEX('転倒'!$G$3:$H$115, MATCH($A$1,'転倒'!$A$3:$A$115,0), MATCH(D125,'転倒'!$G$2:$AC$2,0))</f>
        <v>21</v>
      </c>
      <c r="E148" s="1162"/>
      <c r="F148" s="1162"/>
      <c r="G148" s="1162"/>
      <c r="H148" s="228"/>
      <c r="I148" s="228"/>
      <c r="J148" s="111"/>
      <c r="K148" s="304" t="str">
        <f>'テンプレート'!K139</f>
        <v/>
      </c>
      <c r="L148" s="110"/>
      <c r="M148" s="298" t="str">
        <f>'テンプレート'!M139</f>
        <v/>
      </c>
      <c r="N148" s="102"/>
      <c r="O148" s="118"/>
      <c r="P148" s="118"/>
      <c r="Q148" s="118"/>
      <c r="R148" s="118"/>
      <c r="S148" s="118"/>
      <c r="T148" s="118"/>
      <c r="U148" s="118"/>
      <c r="V148" s="118"/>
    </row>
    <row r="149" outlineLevel="1">
      <c r="A149" s="146"/>
      <c r="B149" s="300" t="s">
        <v>245</v>
      </c>
      <c r="C149" s="2540" t="str">
        <f t="array" ref="C149">INDEX('転倒'!$I$3:$J$115, MATCH($A$1,'転倒'!$A$3:$A$115,0), MATCH(C125,'転倒'!$I$2:$AC$2,0))</f>
        <v>1-9</v>
      </c>
      <c r="D149" s="2541">
        <f t="array" ref="D149">INDEX('転倒'!$I$3:$J$115, MATCH($A$1,'転倒'!$A$3:$A$115,0), MATCH(D125,'転倒'!$I$2:$AC$2,0))</f>
        <v>28</v>
      </c>
      <c r="E149" s="1162"/>
      <c r="F149" s="1162"/>
      <c r="G149" s="1162"/>
      <c r="H149" s="228"/>
      <c r="I149" s="228"/>
      <c r="J149" s="228"/>
      <c r="K149" s="316"/>
      <c r="L149" s="317" t="str">
        <f>'テンプレート'!L140</f>
        <v/>
      </c>
      <c r="M149" s="967" t="s">
        <v>76</v>
      </c>
      <c r="N149" s="102"/>
      <c r="O149" s="118"/>
      <c r="P149" s="118"/>
      <c r="Q149" s="118"/>
      <c r="R149" s="118"/>
      <c r="S149" s="118"/>
      <c r="T149" s="118"/>
      <c r="U149" s="118"/>
      <c r="V149" s="118"/>
    </row>
    <row r="150" outlineLevel="1">
      <c r="A150" s="146"/>
      <c r="B150" s="300" t="s">
        <v>246</v>
      </c>
      <c r="C150" s="2540" t="str">
        <f t="array" ref="C150">INDEX('転倒'!$K$3:$L$115, MATCH($A$1,'転倒'!$A$3:$A$115,0), MATCH(C125,'転倒'!$K$2:$AC$2,0))</f>
        <v>1-9</v>
      </c>
      <c r="D150" s="2541">
        <f t="array" ref="D150">INDEX('転倒'!$K$3:$L$115, MATCH($A$1,'転倒'!$A$3:$A$115,0), MATCH(D125,'転倒'!$K$2:$AC$2,0))</f>
        <v>28</v>
      </c>
      <c r="E150" s="1162"/>
      <c r="F150" s="1162"/>
      <c r="G150" s="1162"/>
      <c r="H150" s="228"/>
      <c r="I150" s="228"/>
      <c r="J150" s="228"/>
      <c r="K150" s="318"/>
      <c r="L150" s="118"/>
      <c r="M150" s="118"/>
      <c r="N150" s="102"/>
      <c r="O150" s="118"/>
      <c r="P150" s="118"/>
      <c r="Q150" s="118"/>
      <c r="R150" s="118"/>
      <c r="S150" s="118"/>
      <c r="T150" s="118"/>
      <c r="U150" s="118"/>
      <c r="V150" s="118"/>
    </row>
    <row r="151" outlineLevel="1">
      <c r="A151" s="146"/>
      <c r="B151" s="300" t="s">
        <v>249</v>
      </c>
      <c r="C151" s="2542" t="str">
        <f t="array" ref="C151">INDEX('転倒'!$M$3:$P$115, MATCH($A$1,'転倒'!$A$3:$A$115,0), MATCH(C125,'転倒'!$M$2:$AC$2,0))</f>
        <v>1-7</v>
      </c>
      <c r="D151" s="2543">
        <f t="array" ref="D151">INDEX('転倒'!$M$3:$P$115, MATCH($A$1,'転倒'!$A$3:$A$115,0), MATCH(D125,'転倒'!$M$2:$AC$2,0))</f>
        <v>49</v>
      </c>
      <c r="E151" s="2540" t="str">
        <f t="array" ref="E151">INDEX('転倒'!$M$3:$P$115, MATCH($A$1,'転倒'!$A$3:$A$115,0), MATCH(E125,'転倒'!$M$2:$AC$2,0))</f>
        <v>20-21</v>
      </c>
      <c r="F151" s="2541">
        <f t="array" ref="F151">INDEX('転倒'!$M$3:$P$115, MATCH($A$1,'転倒'!$A$3:$A$115,0), MATCH(F125,'転倒'!$M$2:$AC$2,0))</f>
        <v>5</v>
      </c>
      <c r="G151" s="518">
        <f t="shared" ref="G151:G152" si="3">F151*1.2</f>
        <v>6</v>
      </c>
      <c r="H151" s="228"/>
      <c r="I151" s="228"/>
      <c r="J151" s="228"/>
      <c r="K151" s="118"/>
      <c r="L151" s="118"/>
      <c r="M151" s="118"/>
      <c r="N151" s="102"/>
      <c r="O151" s="102"/>
      <c r="P151" s="102"/>
      <c r="Q151" s="102"/>
      <c r="R151" s="118"/>
      <c r="S151" s="118"/>
      <c r="T151" s="118"/>
      <c r="U151" s="118"/>
      <c r="V151" s="118"/>
    </row>
    <row r="152" outlineLevel="1">
      <c r="A152" s="156"/>
      <c r="B152" s="311" t="s">
        <v>250</v>
      </c>
      <c r="C152" s="107"/>
      <c r="D152" s="107"/>
      <c r="E152" s="2540" t="str">
        <f t="array" ref="E152">INDEX('転倒'!$Q$3:$R$115, MATCH($A$1,'転倒'!$A$3:$A$115,0), MATCH(E125,'転倒'!$Q$2:$AC$2,0))</f>
        <v>29-30</v>
      </c>
      <c r="F152" s="2541">
        <f t="array" ref="F152">INDEX('転倒'!$Q$3:$R$115, MATCH($A$1,'転倒'!$A$3:$A$115,0), MATCH(F125,'転倒'!$Q$2:$AC$2,0))</f>
        <v>5</v>
      </c>
      <c r="G152" s="518">
        <f t="shared" si="3"/>
        <v>6</v>
      </c>
      <c r="H152" s="228"/>
      <c r="I152" s="228"/>
      <c r="J152" s="228"/>
      <c r="K152" s="118"/>
      <c r="L152" s="118"/>
      <c r="M152" s="118"/>
      <c r="N152" s="102"/>
      <c r="O152" s="102"/>
      <c r="P152" s="102"/>
      <c r="Q152" s="102"/>
      <c r="R152" s="118"/>
      <c r="S152" s="118"/>
      <c r="T152" s="118"/>
      <c r="U152" s="118"/>
      <c r="V152" s="118"/>
    </row>
    <row r="153" outlineLevel="1">
      <c r="A153" s="319"/>
      <c r="B153" s="320"/>
      <c r="C153" s="321"/>
      <c r="D153" s="321"/>
      <c r="E153" s="2544"/>
      <c r="F153" s="2545"/>
      <c r="G153" s="2546"/>
      <c r="H153" s="228"/>
      <c r="I153" s="228"/>
      <c r="J153" s="228"/>
      <c r="K153" s="118"/>
      <c r="L153" s="118"/>
      <c r="M153" s="118"/>
      <c r="N153" s="102"/>
      <c r="O153" s="102"/>
      <c r="P153" s="102"/>
      <c r="Q153" s="102"/>
      <c r="R153" s="118"/>
      <c r="S153" s="118"/>
      <c r="T153" s="118"/>
      <c r="U153" s="118"/>
      <c r="V153" s="118"/>
    </row>
    <row r="154" outlineLevel="1">
      <c r="A154" s="323" t="s">
        <v>255</v>
      </c>
      <c r="B154" s="109"/>
      <c r="C154" s="321"/>
      <c r="D154" s="321"/>
      <c r="E154" s="2544"/>
      <c r="F154" s="2545"/>
      <c r="G154" s="2546"/>
      <c r="H154" s="228"/>
      <c r="I154" s="228"/>
      <c r="J154" s="228"/>
      <c r="K154" s="118"/>
      <c r="L154" s="118"/>
      <c r="M154" s="118"/>
      <c r="N154" s="102"/>
      <c r="O154" s="102"/>
      <c r="P154" s="102"/>
      <c r="Q154" s="102"/>
      <c r="R154" s="118"/>
      <c r="S154" s="118"/>
      <c r="T154" s="118"/>
      <c r="U154" s="118"/>
      <c r="V154" s="118"/>
    </row>
    <row r="155" outlineLevel="1">
      <c r="A155" s="324" t="s">
        <v>256</v>
      </c>
      <c r="B155" s="109"/>
      <c r="C155" s="325" t="s">
        <v>257</v>
      </c>
      <c r="D155" s="325" t="s">
        <v>49</v>
      </c>
      <c r="E155" s="2544"/>
      <c r="F155" s="2545"/>
      <c r="G155" s="2546"/>
      <c r="H155" s="228"/>
      <c r="I155" s="228"/>
      <c r="J155" s="228"/>
      <c r="K155" s="118"/>
      <c r="L155" s="118"/>
      <c r="M155" s="118"/>
      <c r="N155" s="102"/>
      <c r="O155" s="102"/>
      <c r="P155" s="102"/>
      <c r="Q155" s="102"/>
      <c r="R155" s="118"/>
      <c r="S155" s="118"/>
      <c r="T155" s="118"/>
      <c r="U155" s="118"/>
      <c r="V155" s="118"/>
    </row>
    <row r="156" outlineLevel="1">
      <c r="A156" s="326" t="s">
        <v>258</v>
      </c>
      <c r="B156" s="327" t="s">
        <v>216</v>
      </c>
      <c r="C156" s="328" t="str">
        <f t="array" ref="C156">INDEX('アイテム'!$C$3:$D$114, MATCH($A$1,'アイテム'!$A$3:$A$114,0), MATCH(C155,'アイテム'!$C$2:$AQ$2,0))</f>
        <v>3</v>
      </c>
      <c r="D156" s="328">
        <f t="array" ref="D156">INDEX('アイテム'!$C$3:$D$114, MATCH($A$1,'アイテム'!$A$3:$A$114,0), MATCH(D155,'アイテム'!$C$2:$AQ$2,0))</f>
        <v>7</v>
      </c>
      <c r="E156" s="2544"/>
      <c r="F156" s="2545"/>
      <c r="G156" s="2546"/>
      <c r="H156" s="228"/>
      <c r="I156" s="228"/>
      <c r="J156" s="228"/>
      <c r="K156" s="118"/>
      <c r="L156" s="118"/>
      <c r="M156" s="118"/>
      <c r="N156" s="102"/>
      <c r="O156" s="102"/>
      <c r="P156" s="102"/>
      <c r="Q156" s="102"/>
      <c r="R156" s="118"/>
      <c r="S156" s="118"/>
      <c r="T156" s="118"/>
      <c r="U156" s="118"/>
      <c r="V156" s="118"/>
    </row>
    <row r="157" outlineLevel="1">
      <c r="A157" s="156"/>
      <c r="B157" s="327" t="s">
        <v>219</v>
      </c>
      <c r="C157" s="328" t="str">
        <f t="array" ref="C157">INDEX('アイテム'!$E$3:$F$114, MATCH($A$1,'アイテム'!$A$3:$A$114,0), MATCH(C155,'アイテム'!$C$2:$AQ$2,0))</f>
        <v>2</v>
      </c>
      <c r="D157" s="328">
        <f t="array" ref="D157">INDEX('アイテム'!$E$3:$F$114, MATCH($A$1,'アイテム'!$A$3:$A$114,0), MATCH(D155,'アイテム'!$C$2:$AQ$2,0))</f>
        <v>19</v>
      </c>
      <c r="E157" s="2544"/>
      <c r="F157" s="2545"/>
      <c r="G157" s="2546"/>
      <c r="H157" s="228"/>
      <c r="I157" s="228"/>
      <c r="J157" s="228"/>
      <c r="K157" s="118"/>
      <c r="L157" s="118"/>
      <c r="M157" s="118"/>
      <c r="N157" s="102"/>
      <c r="O157" s="102"/>
      <c r="P157" s="102"/>
      <c r="Q157" s="102"/>
      <c r="R157" s="118"/>
      <c r="S157" s="118"/>
      <c r="T157" s="118"/>
      <c r="U157" s="118"/>
      <c r="V157" s="118"/>
    </row>
    <row r="158" outlineLevel="1">
      <c r="A158" s="329" t="s">
        <v>259</v>
      </c>
      <c r="B158" s="327" t="s">
        <v>216</v>
      </c>
      <c r="C158" s="328">
        <f t="array" ref="C158">INDEX('アイテム'!$AA$3:$AB$114, MATCH($A$1,'アイテム'!$A$3:$A$114,0), MATCH(C155,'アイテム'!$C$2:$AQ$2,0))</f>
        <v>5</v>
      </c>
      <c r="D158" s="328" t="str">
        <f t="array" ref="D158">INDEX('アイテム'!$AA$3:$AB$114, MATCH($A$1,'アイテム'!$A$3:$A$114,0), MATCH(D155,'アイテム'!$C$2:$AQ$2,0))</f>
        <v>12</v>
      </c>
      <c r="E158" s="2544"/>
      <c r="F158" s="2545"/>
      <c r="G158" s="2546"/>
      <c r="H158" s="228"/>
      <c r="I158" s="228"/>
      <c r="J158" s="228"/>
      <c r="K158" s="118"/>
      <c r="L158" s="118"/>
      <c r="M158" s="118"/>
      <c r="N158" s="102"/>
      <c r="O158" s="102"/>
      <c r="P158" s="102"/>
      <c r="Q158" s="102"/>
      <c r="R158" s="118"/>
      <c r="S158" s="118"/>
      <c r="T158" s="118"/>
      <c r="U158" s="118"/>
      <c r="V158" s="118"/>
    </row>
    <row r="159" outlineLevel="1">
      <c r="A159" s="324" t="s">
        <v>260</v>
      </c>
      <c r="B159" s="109"/>
      <c r="C159" s="325" t="s">
        <v>261</v>
      </c>
      <c r="D159" s="325" t="s">
        <v>49</v>
      </c>
      <c r="E159" s="2544"/>
      <c r="F159" s="2545"/>
      <c r="G159" s="2546"/>
      <c r="H159" s="228"/>
      <c r="I159" s="228"/>
      <c r="J159" s="228"/>
      <c r="K159" s="118"/>
      <c r="L159" s="118"/>
      <c r="M159" s="118"/>
      <c r="N159" s="102"/>
      <c r="O159" s="102"/>
      <c r="P159" s="102"/>
      <c r="Q159" s="102"/>
      <c r="R159" s="118"/>
      <c r="S159" s="118"/>
      <c r="T159" s="118"/>
      <c r="U159" s="118"/>
      <c r="V159" s="118"/>
    </row>
    <row r="160" outlineLevel="1">
      <c r="A160" s="326" t="s">
        <v>262</v>
      </c>
      <c r="B160" s="327" t="s">
        <v>226</v>
      </c>
      <c r="C160" s="328" t="str">
        <f t="array" ref="C160">INDEX('アイテム'!$G$3:$H$114, MATCH($A$1,'アイテム'!$A$3:$A$114,0), MATCH(C155,'アイテム'!$C$2:$AQ$2,0))</f>
        <v>10</v>
      </c>
      <c r="D160" s="328">
        <f t="array" ref="D160">INDEX('アイテム'!$G$3:$H$114, MATCH($A$1,'アイテム'!$A$3:$A$114,0), MATCH(D155,'アイテム'!$C$2:$AQ$2,0))</f>
        <v>24</v>
      </c>
      <c r="E160" s="2544"/>
      <c r="F160" s="2545"/>
      <c r="G160" s="2546"/>
      <c r="H160" s="228"/>
      <c r="I160" s="228"/>
      <c r="J160" s="228"/>
      <c r="K160" s="118"/>
      <c r="L160" s="118"/>
      <c r="M160" s="118"/>
      <c r="N160" s="102"/>
      <c r="O160" s="102"/>
      <c r="P160" s="102"/>
      <c r="Q160" s="102"/>
      <c r="R160" s="118"/>
      <c r="S160" s="118"/>
      <c r="T160" s="118"/>
      <c r="U160" s="118"/>
      <c r="V160" s="118"/>
    </row>
    <row r="161" outlineLevel="1">
      <c r="A161" s="146"/>
      <c r="B161" s="327" t="s">
        <v>229</v>
      </c>
      <c r="C161" s="328" t="str">
        <f t="array" ref="C161">INDEX('アイテム'!$I$3:$J$114, MATCH($A$1,'アイテム'!$A$3:$A$114,0), MATCH(C155,'アイテム'!$C$2:$AQ$2,0))</f>
        <v>14</v>
      </c>
      <c r="D161" s="328">
        <f t="array" ref="D161">INDEX('アイテム'!$I$3:$J$114, MATCH($A$1,'アイテム'!$A$3:$A$114,0), MATCH(D155,'アイテム'!$C$2:$AQ$2,0))</f>
        <v>24</v>
      </c>
      <c r="E161" s="2544"/>
      <c r="F161" s="2545"/>
      <c r="G161" s="2546"/>
      <c r="H161" s="228"/>
      <c r="I161" s="228"/>
      <c r="J161" s="228"/>
      <c r="K161" s="118"/>
      <c r="L161" s="118"/>
      <c r="M161" s="118"/>
      <c r="N161" s="102"/>
      <c r="O161" s="102"/>
      <c r="P161" s="102"/>
      <c r="Q161" s="102"/>
      <c r="R161" s="118"/>
      <c r="S161" s="118"/>
      <c r="T161" s="118"/>
      <c r="U161" s="118"/>
      <c r="V161" s="118"/>
    </row>
    <row r="162" outlineLevel="1">
      <c r="A162" s="146"/>
      <c r="B162" s="327" t="s">
        <v>233</v>
      </c>
      <c r="C162" s="328" t="str">
        <f t="array" ref="C162">INDEX('アイテム'!$K$3:$L$114, MATCH($A$1,'アイテム'!$A$3:$A$114,0), MATCH(C155,'アイテム'!$C$2:$AQ$2,0))</f>
        <v>15</v>
      </c>
      <c r="D162" s="328">
        <f t="array" ref="D162">INDEX('アイテム'!$K$3:$L$114, MATCH($A$1,'アイテム'!$A$3:$A$114,0), MATCH(D155,'アイテム'!$C$2:$AQ$2,0))</f>
        <v>23</v>
      </c>
      <c r="E162" s="2544"/>
      <c r="F162" s="2545"/>
      <c r="G162" s="2546"/>
      <c r="H162" s="228"/>
      <c r="I162" s="228"/>
      <c r="J162" s="228"/>
      <c r="K162" s="118"/>
      <c r="L162" s="118"/>
      <c r="M162" s="118"/>
      <c r="N162" s="102"/>
      <c r="O162" s="102"/>
      <c r="P162" s="102"/>
      <c r="Q162" s="102"/>
      <c r="R162" s="118"/>
      <c r="S162" s="118"/>
      <c r="T162" s="118"/>
      <c r="U162" s="118"/>
      <c r="V162" s="118"/>
    </row>
    <row r="163" outlineLevel="1">
      <c r="A163" s="146"/>
      <c r="B163" s="327" t="s">
        <v>234</v>
      </c>
      <c r="C163" s="328" t="str">
        <f t="array" ref="C163">INDEX('アイテム'!$M$3:$N$114, MATCH($A$1,'アイテム'!$A$3:$A$114,0), MATCH(C155,'アイテム'!$C$2:$AQ$2,0))</f>
        <v>8</v>
      </c>
      <c r="D163" s="328">
        <f t="array" ref="D163">INDEX('アイテム'!$M$3:$N$114, MATCH($A$1,'アイテム'!$A$3:$A$114,0), MATCH(D155,'アイテム'!$C$2:$AQ$2,0))</f>
        <v>19</v>
      </c>
      <c r="E163" s="2544"/>
      <c r="F163" s="2545"/>
      <c r="G163" s="2546"/>
      <c r="H163" s="228"/>
      <c r="I163" s="228"/>
      <c r="J163" s="228"/>
      <c r="K163" s="118"/>
      <c r="L163" s="118"/>
      <c r="M163" s="118"/>
      <c r="N163" s="102"/>
      <c r="O163" s="102"/>
      <c r="P163" s="102"/>
      <c r="Q163" s="102"/>
      <c r="R163" s="118"/>
      <c r="S163" s="118"/>
      <c r="T163" s="118"/>
      <c r="U163" s="118"/>
      <c r="V163" s="118"/>
    </row>
    <row r="164" outlineLevel="1">
      <c r="A164" s="146"/>
      <c r="B164" s="327" t="s">
        <v>219</v>
      </c>
      <c r="C164" s="328" t="str">
        <f t="array" ref="C164">INDEX('アイテム'!$O$3:$P$114, MATCH($A$1,'アイテム'!$A$3:$A$114,0), MATCH(C155,'アイテム'!$C$2:$AQ$2,0))</f>
        <v>6</v>
      </c>
      <c r="D164" s="328">
        <f t="array" ref="D164">INDEX('アイテム'!$O$3:$P$114, MATCH($A$1,'アイテム'!$A$3:$A$114,0), MATCH(D155,'アイテム'!$C$2:$AQ$2,0))</f>
        <v>29</v>
      </c>
      <c r="E164" s="2544"/>
      <c r="F164" s="2545"/>
      <c r="G164" s="2546"/>
      <c r="H164" s="228"/>
      <c r="I164" s="228"/>
      <c r="J164" s="228"/>
      <c r="K164" s="118"/>
      <c r="L164" s="118"/>
      <c r="M164" s="118"/>
      <c r="N164" s="102"/>
      <c r="O164" s="102"/>
      <c r="P164" s="102"/>
      <c r="Q164" s="102"/>
      <c r="R164" s="118"/>
      <c r="S164" s="118"/>
      <c r="T164" s="118"/>
      <c r="U164" s="118"/>
      <c r="V164" s="118"/>
    </row>
    <row r="165" outlineLevel="1">
      <c r="A165" s="156"/>
      <c r="B165" s="327" t="s">
        <v>263</v>
      </c>
      <c r="C165" s="328" t="str">
        <f t="array" ref="C165">INDEX('アイテム'!$Q$3:$R$114, MATCH($A$1,'アイテム'!$A$3:$A$114,0), MATCH(C155,'アイテム'!$C$2:$AQ$2,0))</f>
        <v>7</v>
      </c>
      <c r="D165" s="328">
        <f t="array" ref="D165">INDEX('アイテム'!$Q$3:$R$114, MATCH($A$1,'アイテム'!$A$3:$A$114,0), MATCH(D155,'アイテム'!$C$2:$AQ$2,0))</f>
        <v>23</v>
      </c>
      <c r="E165" s="2544"/>
      <c r="F165" s="2545"/>
      <c r="G165" s="2546"/>
      <c r="H165" s="228"/>
      <c r="I165" s="228"/>
      <c r="J165" s="228"/>
      <c r="K165" s="118"/>
      <c r="L165" s="118"/>
      <c r="M165" s="118"/>
      <c r="N165" s="102"/>
      <c r="O165" s="102"/>
      <c r="P165" s="102"/>
      <c r="Q165" s="102"/>
      <c r="R165" s="118"/>
      <c r="S165" s="118"/>
      <c r="T165" s="118"/>
      <c r="U165" s="118"/>
      <c r="V165" s="118"/>
    </row>
    <row r="166" outlineLevel="1">
      <c r="A166" s="326" t="s">
        <v>264</v>
      </c>
      <c r="B166" s="327" t="s">
        <v>226</v>
      </c>
      <c r="C166" s="328" t="str">
        <f t="array" ref="C166">INDEX('アイテム'!$S$3:$T$114, MATCH($A$1,'アイテム'!$A$3:$A$114,0), MATCH(C155,'アイテム'!$C$2:$AQ$2,0))</f>
        <v>10</v>
      </c>
      <c r="D166" s="328">
        <f t="array" ref="D166">INDEX('アイテム'!$S$3:$T$114, MATCH($A$1,'アイテム'!$A$3:$A$114,0), MATCH(D155,'アイテム'!$C$2:$AQ$2,0))</f>
        <v>24</v>
      </c>
      <c r="E166" s="2544"/>
      <c r="F166" s="2545"/>
      <c r="G166" s="2546"/>
      <c r="H166" s="228"/>
      <c r="I166" s="228"/>
      <c r="J166" s="228"/>
      <c r="K166" s="118"/>
      <c r="L166" s="118"/>
      <c r="M166" s="118"/>
      <c r="N166" s="102"/>
      <c r="O166" s="102"/>
      <c r="P166" s="102"/>
      <c r="Q166" s="102"/>
      <c r="R166" s="118"/>
      <c r="S166" s="118"/>
      <c r="T166" s="118"/>
      <c r="U166" s="118"/>
      <c r="V166" s="118"/>
    </row>
    <row r="167" outlineLevel="1">
      <c r="A167" s="146"/>
      <c r="B167" s="327" t="s">
        <v>229</v>
      </c>
      <c r="C167" s="328" t="str">
        <f t="array" ref="C167">INDEX('アイテム'!$U$3:$V$114, MATCH($A$1,'アイテム'!$A$3:$A$114,0), MATCH(C155,'アイテム'!$C$2:$AQ$2,0))</f>
        <v>14</v>
      </c>
      <c r="D167" s="328">
        <f t="array" ref="D167">INDEX('アイテム'!$U$3:$V$114, MATCH($A$1,'アイテム'!$A$3:$A$114,0), MATCH(D155,'アイテム'!$C$2:$AQ$2,0))</f>
        <v>24</v>
      </c>
      <c r="E167" s="2544"/>
      <c r="F167" s="2545"/>
      <c r="G167" s="2546"/>
      <c r="H167" s="228"/>
      <c r="I167" s="228"/>
      <c r="J167" s="228"/>
      <c r="K167" s="118"/>
      <c r="L167" s="118"/>
      <c r="M167" s="118"/>
      <c r="N167" s="102"/>
      <c r="O167" s="102"/>
      <c r="P167" s="102"/>
      <c r="Q167" s="102"/>
      <c r="R167" s="118"/>
      <c r="S167" s="118"/>
      <c r="T167" s="118"/>
      <c r="U167" s="118"/>
      <c r="V167" s="118"/>
    </row>
    <row r="168" outlineLevel="1">
      <c r="A168" s="146"/>
      <c r="B168" s="327" t="s">
        <v>233</v>
      </c>
      <c r="C168" s="328" t="str">
        <f t="array" ref="C168">INDEX('アイテム'!$W$3:$X$114, MATCH($A$1,'アイテム'!$A$3:$A$114,0), MATCH(C155,'アイテム'!$C$2:$AQ$2,0))</f>
        <v>15</v>
      </c>
      <c r="D168" s="328">
        <f t="array" ref="D168">INDEX('アイテム'!$W$3:$X$114, MATCH($A$1,'アイテム'!$A$3:$A$114,0), MATCH(D155,'アイテム'!$C$2:$AQ$2,0))</f>
        <v>23</v>
      </c>
      <c r="E168" s="2544"/>
      <c r="F168" s="2545"/>
      <c r="G168" s="2546"/>
      <c r="H168" s="228"/>
      <c r="I168" s="228"/>
      <c r="J168" s="228"/>
      <c r="K168" s="118"/>
      <c r="L168" s="118"/>
      <c r="M168" s="118"/>
      <c r="N168" s="102"/>
      <c r="O168" s="102"/>
      <c r="P168" s="102"/>
      <c r="Q168" s="102"/>
      <c r="R168" s="118"/>
      <c r="S168" s="118"/>
      <c r="T168" s="118"/>
      <c r="U168" s="118"/>
      <c r="V168" s="118"/>
    </row>
    <row r="169" outlineLevel="1">
      <c r="A169" s="156"/>
      <c r="B169" s="327" t="s">
        <v>234</v>
      </c>
      <c r="C169" s="328" t="str">
        <f t="array" ref="C169">INDEX('アイテム'!$Y$3:$Z$114, MATCH($A$1,'アイテム'!$A$3:$A$114,0), MATCH(C155,'アイテム'!$C$2:$AQ$2,0))</f>
        <v>8</v>
      </c>
      <c r="D169" s="328">
        <f t="array" ref="D169">INDEX('アイテム'!$Y$3:$Z$114, MATCH($A$1,'アイテム'!$A$3:$A$114,0), MATCH(D155,'アイテム'!$C$2:$AQ$2,0))</f>
        <v>19</v>
      </c>
      <c r="E169" s="2544"/>
      <c r="F169" s="2545"/>
      <c r="G169" s="2546"/>
      <c r="H169" s="228"/>
      <c r="I169" s="228"/>
      <c r="J169" s="228"/>
      <c r="K169" s="118"/>
      <c r="L169" s="118"/>
      <c r="M169" s="118"/>
      <c r="N169" s="102"/>
      <c r="O169" s="102"/>
      <c r="P169" s="102"/>
      <c r="Q169" s="102"/>
      <c r="R169" s="118"/>
      <c r="S169" s="118"/>
      <c r="T169" s="118"/>
      <c r="U169" s="118"/>
      <c r="V169" s="118"/>
    </row>
    <row r="170" outlineLevel="1">
      <c r="A170" s="326" t="s">
        <v>265</v>
      </c>
      <c r="B170" s="327" t="s">
        <v>226</v>
      </c>
      <c r="C170" s="328">
        <f t="array" ref="C170">INDEX('アイテム'!$AC$3:$AD$114, MATCH($A$1,'アイテム'!$A$3:$A$114,0), MATCH(C155,'アイテム'!$C$2:$AQ$2,0))</f>
        <v>18</v>
      </c>
      <c r="D170" s="328" t="str">
        <f t="array" ref="D170">INDEX('アイテム'!$AC$3:$AD$114, MATCH($A$1,'アイテム'!$A$3:$A$114,0), MATCH(D155,'アイテム'!$C$2:$AQ$2,0))</f>
        <v>30</v>
      </c>
      <c r="E170" s="2544"/>
      <c r="F170" s="2545"/>
      <c r="G170" s="2546"/>
      <c r="H170" s="228"/>
      <c r="I170" s="228"/>
      <c r="J170" s="228"/>
      <c r="K170" s="118"/>
      <c r="L170" s="118"/>
      <c r="M170" s="118"/>
      <c r="N170" s="102"/>
      <c r="O170" s="102"/>
      <c r="P170" s="102"/>
      <c r="Q170" s="102"/>
      <c r="R170" s="118"/>
      <c r="S170" s="118"/>
      <c r="T170" s="118"/>
      <c r="U170" s="118"/>
      <c r="V170" s="118"/>
    </row>
    <row r="171" outlineLevel="1">
      <c r="A171" s="146"/>
      <c r="B171" s="327" t="s">
        <v>229</v>
      </c>
      <c r="C171" s="328">
        <f t="array" ref="C171">INDEX('アイテム'!$AE$3:$AF$114, MATCH($A$1,'アイテム'!$A$3:$A$114,0), MATCH(C155,'アイテム'!$C$2:$AQ$2,0))</f>
        <v>16</v>
      </c>
      <c r="D171" s="328" t="str">
        <f t="array" ref="D171">INDEX('アイテム'!$AE$3:$AF$114, MATCH($A$1,'アイテム'!$A$3:$A$114,0), MATCH(D155,'アイテム'!$C$2:$AQ$2,0))</f>
        <v>30</v>
      </c>
      <c r="E171" s="2544"/>
      <c r="F171" s="2545"/>
      <c r="G171" s="2546"/>
      <c r="H171" s="228"/>
      <c r="I171" s="228"/>
      <c r="J171" s="228"/>
      <c r="K171" s="118"/>
      <c r="L171" s="118"/>
      <c r="M171" s="118"/>
      <c r="N171" s="102"/>
      <c r="O171" s="102"/>
      <c r="P171" s="102"/>
      <c r="Q171" s="102"/>
      <c r="R171" s="118"/>
      <c r="S171" s="118"/>
      <c r="T171" s="118"/>
      <c r="U171" s="118"/>
      <c r="V171" s="118"/>
    </row>
    <row r="172" outlineLevel="1">
      <c r="A172" s="146"/>
      <c r="B172" s="327" t="s">
        <v>233</v>
      </c>
      <c r="C172" s="328">
        <f t="array" ref="C172">INDEX('アイテム'!$AG$3:$AH$114, MATCH($A$1,'アイテム'!$A$3:$A$114,0), MATCH(C155,'アイテム'!$C$2:$AQ$2,0))</f>
        <v>12</v>
      </c>
      <c r="D172" s="328" t="str">
        <f t="array" ref="D172">INDEX('アイテム'!$AG$3:$AH$114, MATCH($A$1,'アイテム'!$A$3:$A$114,0), MATCH(D155,'アイテム'!$C$2:$AQ$2,0))</f>
        <v>22</v>
      </c>
      <c r="E172" s="2544"/>
      <c r="F172" s="2545"/>
      <c r="G172" s="2546"/>
      <c r="H172" s="228"/>
      <c r="I172" s="228"/>
      <c r="J172" s="228"/>
      <c r="K172" s="118"/>
      <c r="L172" s="118"/>
      <c r="M172" s="118"/>
      <c r="N172" s="102"/>
      <c r="O172" s="102"/>
      <c r="P172" s="102"/>
      <c r="Q172" s="102"/>
      <c r="R172" s="118"/>
      <c r="S172" s="118"/>
      <c r="T172" s="118"/>
      <c r="U172" s="118"/>
      <c r="V172" s="118"/>
    </row>
    <row r="173" outlineLevel="1">
      <c r="A173" s="156"/>
      <c r="B173" s="327" t="s">
        <v>234</v>
      </c>
      <c r="C173" s="328">
        <f t="array" ref="C173">INDEX('アイテム'!$AI$3:$AJ$114, MATCH($A$1,'アイテム'!$A$3:$A$114,0), MATCH(C155,'アイテム'!$C$2:$AQ$2,0))</f>
        <v>11</v>
      </c>
      <c r="D173" s="328" t="str">
        <f t="array" ref="D173">INDEX('アイテム'!$AI$3:$AJ$114, MATCH($A$1,'アイテム'!$A$3:$A$114,0), MATCH(D155,'アイテム'!$C$2:$AQ$2,0))</f>
        <v>22</v>
      </c>
      <c r="E173" s="2544"/>
      <c r="F173" s="2545"/>
      <c r="G173" s="2546"/>
      <c r="H173" s="228"/>
      <c r="I173" s="228"/>
      <c r="J173" s="228"/>
      <c r="K173" s="118"/>
      <c r="L173" s="118"/>
      <c r="M173" s="118"/>
      <c r="N173" s="102"/>
      <c r="O173" s="102"/>
      <c r="P173" s="102"/>
      <c r="Q173" s="102"/>
      <c r="R173" s="118"/>
      <c r="S173" s="118"/>
      <c r="T173" s="118"/>
      <c r="U173" s="118"/>
      <c r="V173" s="118"/>
    </row>
  </sheetData>
  <mergeCells count="153">
    <mergeCell ref="I51:I55"/>
    <mergeCell ref="J51:J53"/>
    <mergeCell ref="J54:J55"/>
    <mergeCell ref="I56:I58"/>
    <mergeCell ref="J56:J57"/>
    <mergeCell ref="I59:I61"/>
    <mergeCell ref="J59:J60"/>
    <mergeCell ref="I62:I64"/>
    <mergeCell ref="J62:J63"/>
    <mergeCell ref="I65:I69"/>
    <mergeCell ref="J65:J67"/>
    <mergeCell ref="J68:J69"/>
    <mergeCell ref="H72:J72"/>
    <mergeCell ref="H73:J78"/>
    <mergeCell ref="H80:J83"/>
    <mergeCell ref="H84:J84"/>
    <mergeCell ref="H85:J91"/>
    <mergeCell ref="H92:J92"/>
    <mergeCell ref="H93:J95"/>
    <mergeCell ref="H96:J96"/>
    <mergeCell ref="H97:J98"/>
    <mergeCell ref="K126:K127"/>
    <mergeCell ref="K129:K134"/>
    <mergeCell ref="K135:K138"/>
    <mergeCell ref="K139:L139"/>
    <mergeCell ref="K141:K144"/>
    <mergeCell ref="K145:L145"/>
    <mergeCell ref="K148:L148"/>
    <mergeCell ref="G106:J106"/>
    <mergeCell ref="G107:J108"/>
    <mergeCell ref="G109:J110"/>
    <mergeCell ref="G111:J112"/>
    <mergeCell ref="G113:J114"/>
    <mergeCell ref="K125:L125"/>
    <mergeCell ref="K128:L128"/>
    <mergeCell ref="U37:U39"/>
    <mergeCell ref="U40:U43"/>
    <mergeCell ref="U44:U47"/>
    <mergeCell ref="R50:V50"/>
    <mergeCell ref="R51:V55"/>
    <mergeCell ref="R56:V58"/>
    <mergeCell ref="R59:V61"/>
    <mergeCell ref="V93:V95"/>
    <mergeCell ref="U97:U98"/>
    <mergeCell ref="V97:V98"/>
    <mergeCell ref="R62:V64"/>
    <mergeCell ref="R65:V69"/>
    <mergeCell ref="U73:U78"/>
    <mergeCell ref="V73:V78"/>
    <mergeCell ref="U80:U83"/>
    <mergeCell ref="V80:V83"/>
    <mergeCell ref="V85:V91"/>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1"/>
    <mergeCell ref="U32:U33"/>
    <mergeCell ref="A40:A43"/>
    <mergeCell ref="A44:A47"/>
    <mergeCell ref="A75:A77"/>
    <mergeCell ref="D75:D77"/>
    <mergeCell ref="A79:B79"/>
    <mergeCell ref="H32:J33"/>
    <mergeCell ref="H34:J34"/>
    <mergeCell ref="H35:J35"/>
    <mergeCell ref="H36:J36"/>
    <mergeCell ref="H37:J39"/>
    <mergeCell ref="H40:J43"/>
    <mergeCell ref="H44:J47"/>
    <mergeCell ref="H79:J79"/>
    <mergeCell ref="U85:U91"/>
    <mergeCell ref="U93:U95"/>
    <mergeCell ref="C138:C139"/>
    <mergeCell ref="C151:C152"/>
    <mergeCell ref="A146:A152"/>
    <mergeCell ref="A154:B154"/>
    <mergeCell ref="A155:B155"/>
    <mergeCell ref="A156:A157"/>
    <mergeCell ref="A159:B159"/>
    <mergeCell ref="A160:A165"/>
    <mergeCell ref="A166:A169"/>
    <mergeCell ref="A170:A173"/>
    <mergeCell ref="A121:A122"/>
    <mergeCell ref="A126:A130"/>
    <mergeCell ref="A131:A133"/>
    <mergeCell ref="A134:A139"/>
    <mergeCell ref="D138:D139"/>
    <mergeCell ref="A140:A145"/>
    <mergeCell ref="D151:D152"/>
    <mergeCell ref="A24:B25"/>
    <mergeCell ref="A26:A31"/>
    <mergeCell ref="A32:A33"/>
    <mergeCell ref="D32:D33"/>
    <mergeCell ref="A37:A39"/>
    <mergeCell ref="D37:D39"/>
    <mergeCell ref="D40:D43"/>
    <mergeCell ref="D62:D64"/>
    <mergeCell ref="D65:D69"/>
    <mergeCell ref="D80:D83"/>
    <mergeCell ref="D85:D90"/>
    <mergeCell ref="D107:D108"/>
    <mergeCell ref="D109:D110"/>
    <mergeCell ref="D111:D112"/>
    <mergeCell ref="D113:D114"/>
    <mergeCell ref="D44:D47"/>
    <mergeCell ref="A49:B50"/>
    <mergeCell ref="A51:A55"/>
    <mergeCell ref="D51:D55"/>
    <mergeCell ref="A56:A58"/>
    <mergeCell ref="D56:D58"/>
    <mergeCell ref="D59:D61"/>
    <mergeCell ref="A59:A61"/>
    <mergeCell ref="A62:A64"/>
    <mergeCell ref="A65:A69"/>
    <mergeCell ref="A71:B71"/>
    <mergeCell ref="A72:B72"/>
    <mergeCell ref="A80:A83"/>
    <mergeCell ref="A84:B84"/>
    <mergeCell ref="A85:A91"/>
    <mergeCell ref="A92:B92"/>
    <mergeCell ref="A93:A95"/>
    <mergeCell ref="A96:B96"/>
    <mergeCell ref="A100:B101"/>
    <mergeCell ref="A103:A105"/>
    <mergeCell ref="A106:B106"/>
    <mergeCell ref="A107:A108"/>
    <mergeCell ref="A109:A110"/>
    <mergeCell ref="A111:A112"/>
    <mergeCell ref="A113:A114"/>
    <mergeCell ref="A116:B117"/>
    <mergeCell ref="A118:A120"/>
    <mergeCell ref="A124:B125"/>
    <mergeCell ref="C144:C145"/>
    <mergeCell ref="D144:D145"/>
  </mergeCells>
  <conditionalFormatting sqref="K1:K15 K17:K74 K76:K79 K81:K89 K92 K94 K96 K99:K106 K108 K110 K112 K114:K149">
    <cfRule type="containsText" dxfId="0" priority="1" operator="containsText" text="361">
      <formula>NOT(ISERROR(SEARCH(("361"),(K1))))</formula>
    </cfRule>
  </conditionalFormatting>
  <conditionalFormatting sqref="K1:K15 K17:K74 K76:K79 K81:K89 K92 K94 K96 K99:K106 K108 K110 K112 K114:K149">
    <cfRule type="containsText" dxfId="1" priority="2" operator="containsText" text="363">
      <formula>NOT(ISERROR(SEARCH(("363"),(K1))))</formula>
    </cfRule>
  </conditionalFormatting>
  <conditionalFormatting sqref="K1:K15 K17:K74 K76:K79 K81:K89 K92 K94 K96 K99:K106 K108 K110 K112 K114:K149">
    <cfRule type="containsText" dxfId="1" priority="3" operator="containsText" text="365">
      <formula>NOT(ISERROR(SEARCH(("365"),(K1))))</formula>
    </cfRule>
  </conditionalFormatting>
  <conditionalFormatting sqref="K1:K15 K17:K74 K76:K79 K81:K89 K92 K94 K96 K99:K106 K108 K110 K112 K114:K149">
    <cfRule type="containsText" dxfId="1" priority="4" operator="containsText" text="366">
      <formula>NOT(ISERROR(SEARCH(("366"),(K1))))</formula>
    </cfRule>
  </conditionalFormatting>
  <conditionalFormatting sqref="K1:K15 K17:K74 K76:K79 K81:K89 K92 K94 K96 K99:K106 K108 K110 K112 K114:K149">
    <cfRule type="containsText" dxfId="1" priority="5" operator="containsText" text="367">
      <formula>NOT(ISERROR(SEARCH(("367"),(K1))))</formula>
    </cfRule>
  </conditionalFormatting>
  <conditionalFormatting sqref="P108 P110 P112">
    <cfRule type="cellIs" dxfId="2" priority="6" operator="equal">
      <formula>"敵のみ"</formula>
    </cfRule>
  </conditionalFormatting>
  <conditionalFormatting sqref="C108 C110 C112 C114">
    <cfRule type="cellIs" dxfId="3" priority="7" operator="equal">
      <formula>"-"</formula>
    </cfRule>
  </conditionalFormatting>
  <conditionalFormatting sqref="O1:O74 O76:O79 O81:O89 O92 O96 O99:O106 O108 O110 O112 O114:O173">
    <cfRule type="cellIs" dxfId="4" priority="8" operator="greaterThan">
      <formula>0</formula>
    </cfRule>
  </conditionalFormatting>
  <conditionalFormatting sqref="P1:Q74 P76:Q79 P81:Q89 P92:Q92 P96:Q96 P99:Q106 P108:Q108 P110:Q110 P112:Q112 Q114:Q173 P115:P173">
    <cfRule type="cellIs" dxfId="5" priority="9" operator="lessThan">
      <formula>1</formula>
    </cfRule>
  </conditionalFormatting>
  <conditionalFormatting sqref="P1:Q74 P76:Q79 P81:Q89 P92:Q92 P96:Q96 P99:Q106 P108:Q108 P110:Q110 P112:Q112 Q114:Q173 P115:P173">
    <cfRule type="cellIs" dxfId="4" priority="10" operator="greaterThan">
      <formula>1</formula>
    </cfRule>
  </conditionalFormatting>
  <conditionalFormatting sqref="N25:N74 N76:N79 N81:N89 N92 N94 N96 N99:N106 N108 N110 N112 N114">
    <cfRule type="cellIs" dxfId="6" priority="11" operator="greaterThan">
      <formula>0</formula>
    </cfRule>
  </conditionalFormatting>
  <conditionalFormatting sqref="N1:N15 N17:N74 N76:N79 N81:N89 N92 N94 N96 N99:N106 N108 N110 N112 N114:N173">
    <cfRule type="containsText" dxfId="6" priority="12" operator="containsText" text="/">
      <formula>NOT(ISERROR(SEARCH(("/"),(N1))))</formula>
    </cfRule>
  </conditionalFormatting>
  <drawing r:id="rId2"/>
  <legacyDrawing r:id="rId3"/>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02F3A"/>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586">
        <v>57.0</v>
      </c>
      <c r="B1" s="2587"/>
      <c r="C1" s="2588" t="str">
        <f>IMAGE(VLOOKUP($A$1,Fighters!A2:AI114,12,FALSE),1)</f>
        <v>#REF!</v>
      </c>
      <c r="D1" s="2589"/>
      <c r="E1" s="2589"/>
      <c r="F1" s="2589"/>
      <c r="G1" s="2590"/>
      <c r="H1" s="2591"/>
      <c r="I1" s="2589"/>
      <c r="J1" s="2590"/>
      <c r="K1" s="2592"/>
      <c r="L1" s="2589"/>
      <c r="M1" s="2590"/>
      <c r="N1" s="2593"/>
      <c r="O1" s="2593"/>
      <c r="P1" s="2593"/>
      <c r="Q1" s="2593"/>
      <c r="R1" s="2594"/>
      <c r="S1" s="2594"/>
      <c r="T1" s="2594"/>
      <c r="U1" s="2594"/>
      <c r="V1" s="2594"/>
    </row>
    <row r="2">
      <c r="A2" s="2595" t="str">
        <f>VLOOKUP($A$1,Fighters!$A$2:$AI$81,6,FALSE)</f>
        <v>#a02f3a</v>
      </c>
      <c r="B2" s="2587"/>
      <c r="C2" s="2596"/>
      <c r="G2" s="2597"/>
      <c r="H2" s="2598"/>
      <c r="I2" s="2599"/>
      <c r="J2" s="2600"/>
      <c r="K2" s="2598"/>
      <c r="L2" s="2599"/>
      <c r="M2" s="2600"/>
      <c r="N2" s="2593"/>
      <c r="O2" s="2593"/>
      <c r="P2" s="2593"/>
      <c r="Q2" s="2593"/>
      <c r="R2" s="2594"/>
      <c r="S2" s="2594"/>
      <c r="T2" s="2594"/>
      <c r="U2" s="2594"/>
      <c r="V2" s="2594"/>
    </row>
    <row r="3">
      <c r="A3" s="2595" t="str">
        <f>VLOOKUP($A$1,Fighters!$A$2:$AI$81,14,FALSE)</f>
        <v>57. シュルク</v>
      </c>
      <c r="B3" s="2587"/>
      <c r="C3" s="2596"/>
      <c r="G3" s="2597"/>
      <c r="H3" s="2601"/>
      <c r="I3" s="2601"/>
      <c r="J3" s="2601"/>
      <c r="K3" s="2602"/>
      <c r="L3" s="2602"/>
      <c r="M3" s="2602"/>
      <c r="N3" s="2593"/>
      <c r="O3" s="2593"/>
      <c r="P3" s="2593"/>
      <c r="Q3" s="2593"/>
      <c r="R3" s="2603"/>
      <c r="S3" s="2594"/>
      <c r="T3" s="2594"/>
      <c r="U3" s="2594"/>
      <c r="V3" s="2594"/>
    </row>
    <row r="4">
      <c r="A4" s="2595" t="str">
        <f>VLOOKUP($A$1,Fighters!$A$2:$AI$81,13,FALSE)</f>
        <v>1</v>
      </c>
      <c r="B4" s="2587"/>
      <c r="C4" s="2596"/>
      <c r="G4" s="2597"/>
      <c r="H4" s="2604"/>
      <c r="I4" s="2604"/>
      <c r="J4" s="2601"/>
      <c r="K4" s="2602"/>
      <c r="L4" s="2602"/>
      <c r="M4" s="2602"/>
      <c r="N4" s="2593"/>
      <c r="O4" s="2593"/>
      <c r="P4" s="2593"/>
      <c r="Q4" s="2593"/>
      <c r="R4" s="2603"/>
      <c r="S4" s="2594"/>
      <c r="T4" s="2594"/>
      <c r="U4" s="2594"/>
      <c r="V4" s="2594"/>
    </row>
    <row r="5" ht="16.5" customHeight="1">
      <c r="A5" s="2586"/>
      <c r="B5" s="2587"/>
      <c r="C5" s="2596"/>
      <c r="G5" s="2597"/>
      <c r="H5" s="2605"/>
      <c r="I5" s="2605"/>
      <c r="J5" s="2606"/>
      <c r="K5" s="2607"/>
      <c r="L5" s="2608"/>
      <c r="M5" s="2608"/>
      <c r="N5" s="2593"/>
      <c r="O5" s="2593"/>
      <c r="P5" s="2593"/>
      <c r="Q5" s="2593"/>
      <c r="R5" s="2603"/>
      <c r="S5" s="2594"/>
      <c r="T5" s="2594"/>
      <c r="U5" s="2594"/>
      <c r="V5" s="2594"/>
    </row>
    <row r="6">
      <c r="A6" s="2587"/>
      <c r="B6" s="2587"/>
      <c r="C6" s="2596"/>
      <c r="G6" s="2597"/>
      <c r="H6" s="2604"/>
      <c r="I6" s="2609" t="s">
        <v>39</v>
      </c>
      <c r="J6" s="2607"/>
      <c r="K6" s="2610"/>
      <c r="L6" s="2608"/>
      <c r="M6" s="2608"/>
      <c r="N6" s="2593"/>
      <c r="O6" s="2593"/>
      <c r="P6" s="2593"/>
      <c r="Q6" s="2593"/>
      <c r="R6" s="2603"/>
      <c r="S6" s="2594"/>
      <c r="T6" s="2594"/>
      <c r="U6" s="2594"/>
      <c r="V6" s="2594"/>
    </row>
    <row r="7">
      <c r="A7" s="2587"/>
      <c r="B7" s="2587"/>
      <c r="C7" s="2596"/>
      <c r="G7" s="2597"/>
      <c r="H7" s="2605"/>
      <c r="I7" s="2605"/>
      <c r="J7" s="2607"/>
      <c r="K7" s="2610"/>
      <c r="L7" s="2608"/>
      <c r="M7" s="2608"/>
      <c r="N7" s="2593"/>
      <c r="O7" s="2593"/>
      <c r="P7" s="2593"/>
      <c r="Q7" s="2593"/>
      <c r="R7" s="2603"/>
      <c r="S7" s="2594"/>
      <c r="T7" s="2594"/>
      <c r="U7" s="2594"/>
      <c r="V7" s="2594"/>
    </row>
    <row r="8">
      <c r="A8" s="2587"/>
      <c r="B8" s="2587"/>
      <c r="C8" s="2596"/>
      <c r="G8" s="2597"/>
      <c r="H8" s="2611">
        <v>44489.759646342594</v>
      </c>
      <c r="I8" s="2589"/>
      <c r="J8" s="2590"/>
      <c r="K8" s="2607"/>
      <c r="L8" s="2608"/>
      <c r="M8" s="2608"/>
      <c r="N8" s="2593"/>
      <c r="O8" s="2593"/>
      <c r="P8" s="2593"/>
      <c r="Q8" s="2593"/>
      <c r="R8" s="2603"/>
      <c r="S8" s="2594"/>
      <c r="T8" s="2594"/>
      <c r="U8" s="2594"/>
      <c r="V8" s="2594"/>
    </row>
    <row r="9">
      <c r="A9" s="2587"/>
      <c r="B9" s="2587"/>
      <c r="C9" s="2596"/>
      <c r="G9" s="2597"/>
      <c r="H9" s="2598"/>
      <c r="I9" s="2599"/>
      <c r="J9" s="2600"/>
      <c r="K9" s="2594"/>
      <c r="L9" s="2593"/>
      <c r="M9" s="2593"/>
      <c r="N9" s="2593"/>
      <c r="O9" s="2593"/>
      <c r="P9" s="2593"/>
      <c r="Q9" s="2593"/>
      <c r="R9" s="2603"/>
      <c r="S9" s="2594"/>
      <c r="T9" s="2594"/>
      <c r="U9" s="2594"/>
      <c r="V9" s="2594"/>
    </row>
    <row r="10">
      <c r="A10" s="2587"/>
      <c r="B10" s="2587"/>
      <c r="C10" s="2596"/>
      <c r="G10" s="2597"/>
      <c r="H10" s="2612"/>
      <c r="I10" s="2612"/>
      <c r="J10" s="2594"/>
      <c r="K10" s="2594"/>
      <c r="L10" s="2593"/>
      <c r="M10" s="2593"/>
      <c r="N10" s="2593"/>
      <c r="O10" s="2593"/>
      <c r="P10" s="2593"/>
      <c r="Q10" s="2593"/>
      <c r="R10" s="2603"/>
      <c r="S10" s="2594"/>
      <c r="T10" s="2594"/>
      <c r="U10" s="2594"/>
      <c r="V10" s="2594"/>
    </row>
    <row r="11">
      <c r="A11" s="2613" t="s">
        <v>40</v>
      </c>
      <c r="B11" s="2590"/>
      <c r="C11" s="2596"/>
      <c r="G11" s="2597"/>
      <c r="H11" s="2605"/>
      <c r="I11" s="2605"/>
      <c r="J11" s="2594"/>
      <c r="K11" s="2594"/>
      <c r="L11" s="2593"/>
      <c r="M11" s="2593"/>
      <c r="N11" s="2593"/>
      <c r="O11" s="2593"/>
      <c r="P11" s="2593"/>
      <c r="Q11" s="2593"/>
      <c r="R11" s="2603"/>
      <c r="S11" s="2594"/>
      <c r="T11" s="2594"/>
      <c r="U11" s="2594"/>
      <c r="V11" s="2594"/>
    </row>
    <row r="12">
      <c r="A12" s="2598"/>
      <c r="B12" s="2600"/>
      <c r="C12" s="2598"/>
      <c r="D12" s="2599"/>
      <c r="E12" s="2599"/>
      <c r="F12" s="2599"/>
      <c r="G12" s="2600"/>
      <c r="H12" s="2614"/>
      <c r="I12" s="2614"/>
      <c r="J12" s="2587"/>
      <c r="K12" s="2587"/>
      <c r="L12" s="2593"/>
      <c r="M12" s="2593"/>
      <c r="N12" s="2593"/>
      <c r="O12" s="2593"/>
      <c r="P12" s="2593"/>
      <c r="Q12" s="2593"/>
      <c r="R12" s="2603"/>
      <c r="S12" s="2594"/>
      <c r="T12" s="2594"/>
      <c r="U12" s="2594"/>
      <c r="V12" s="259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outlineLevel="1">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97 [37th]</v>
      </c>
      <c r="G17" s="112" t="str">
        <f>'テンプレート'!G17</f>
        <v>小J滞空</v>
      </c>
      <c r="H17" s="113" t="s">
        <v>4055</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1.87 [51st]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1.155 [35th]</v>
      </c>
      <c r="G18" s="112" t="str">
        <f>'テンプレート'!G18</f>
        <v>大J滞空</v>
      </c>
      <c r="H18" s="113" t="s">
        <v>4056</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0.09064 [88th]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33.5 [36th]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1.672 [48th]</v>
      </c>
      <c r="G19" s="112" t="str">
        <f>'テンプレート'!G19</f>
        <v>小J急降下滞空</v>
      </c>
      <c r="H19" s="113" t="s">
        <v>697</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0.094 [68th]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16.8 [31st]</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1.113 [32nd]</v>
      </c>
      <c r="G20" s="112" t="str">
        <f>'テンプレート'!G20</f>
        <v>大J急降下滞空</v>
      </c>
      <c r="H20" s="113" t="s">
        <v>698</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33.5 [42nd]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15F [1st]</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1.58 [48th]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0.009 [52nd]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2.528 [45th]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0.098 [34th]</v>
      </c>
      <c r="M22" s="100"/>
      <c r="N22" s="117"/>
      <c r="O22" s="99"/>
      <c r="P22" s="99"/>
      <c r="Q22" s="99"/>
      <c r="R22" s="99"/>
      <c r="S22" s="100"/>
      <c r="T22" s="100"/>
      <c r="U22" s="100"/>
      <c r="V22" s="100"/>
    </row>
    <row r="23" outlineLevel="1">
      <c r="A23" s="101"/>
      <c r="B23" s="101"/>
      <c r="C23" s="101"/>
      <c r="D23" s="101"/>
      <c r="E23" s="101"/>
      <c r="F23" s="101"/>
      <c r="G23" s="98"/>
      <c r="H23" s="98"/>
      <c r="I23" s="114"/>
      <c r="J23" s="101"/>
      <c r="K23" s="118"/>
      <c r="L23" s="114"/>
      <c r="M23" s="100"/>
      <c r="N23" s="117"/>
      <c r="O23" s="99"/>
      <c r="P23" s="99"/>
      <c r="Q23" s="99"/>
      <c r="R23" s="99"/>
      <c r="S23" s="100"/>
      <c r="T23" s="100"/>
      <c r="U23" s="100"/>
      <c r="V23" s="100"/>
    </row>
    <row r="24" outlineLevel="1">
      <c r="A24" s="120"/>
      <c r="B24" s="120"/>
      <c r="C24" s="108" t="s">
        <v>4057</v>
      </c>
      <c r="D24" s="110"/>
      <c r="E24" s="110"/>
      <c r="F24" s="110"/>
      <c r="G24" s="110"/>
      <c r="H24" s="109"/>
      <c r="I24" s="121"/>
      <c r="J24" s="121"/>
      <c r="K24" s="121"/>
      <c r="L24" s="124"/>
      <c r="M24" s="124"/>
      <c r="N24" s="125"/>
      <c r="O24" s="125"/>
      <c r="P24" s="125"/>
      <c r="Q24" s="126"/>
      <c r="R24" s="124"/>
      <c r="S24" s="124"/>
      <c r="T24" s="124"/>
      <c r="U24" s="124"/>
      <c r="V24" s="124"/>
    </row>
    <row r="25" outlineLevel="1">
      <c r="A25" s="120"/>
      <c r="B25" s="120"/>
      <c r="C25" s="2615" t="s">
        <v>3391</v>
      </c>
      <c r="D25" s="2616" t="s">
        <v>4058</v>
      </c>
      <c r="E25" s="2617" t="s">
        <v>4059</v>
      </c>
      <c r="F25" s="2618" t="s">
        <v>4060</v>
      </c>
      <c r="G25" s="2619" t="s">
        <v>4061</v>
      </c>
      <c r="H25" s="2620" t="s">
        <v>4062</v>
      </c>
      <c r="I25" s="121"/>
      <c r="J25" s="121"/>
      <c r="K25" s="121"/>
      <c r="L25" s="124"/>
      <c r="M25" s="124"/>
      <c r="N25" s="125"/>
      <c r="O25" s="125"/>
      <c r="P25" s="125"/>
      <c r="Q25" s="126"/>
      <c r="R25" s="124"/>
      <c r="S25" s="124"/>
      <c r="T25" s="124"/>
      <c r="U25" s="124"/>
      <c r="V25" s="124"/>
    </row>
    <row r="26" outlineLevel="1">
      <c r="A26" s="120"/>
      <c r="B26" s="120"/>
      <c r="C26" s="112" t="s">
        <v>4063</v>
      </c>
      <c r="D26" s="239" t="s">
        <v>4064</v>
      </c>
      <c r="E26" s="239" t="s">
        <v>4065</v>
      </c>
      <c r="F26" s="239" t="s">
        <v>4064</v>
      </c>
      <c r="G26" s="239" t="s">
        <v>4066</v>
      </c>
      <c r="H26" s="239" t="s">
        <v>4065</v>
      </c>
      <c r="I26" s="121"/>
      <c r="J26" s="121"/>
      <c r="K26" s="121"/>
      <c r="L26" s="124"/>
      <c r="M26" s="124"/>
      <c r="N26" s="125"/>
      <c r="O26" s="125"/>
      <c r="P26" s="125"/>
      <c r="Q26" s="126"/>
      <c r="R26" s="124"/>
      <c r="S26" s="124"/>
      <c r="T26" s="124"/>
      <c r="U26" s="124"/>
      <c r="V26" s="124"/>
    </row>
    <row r="27" outlineLevel="1">
      <c r="A27" s="120"/>
      <c r="B27" s="120"/>
      <c r="C27" s="112" t="s">
        <v>4067</v>
      </c>
      <c r="D27" s="239" t="s">
        <v>4068</v>
      </c>
      <c r="E27" s="239" t="s">
        <v>4069</v>
      </c>
      <c r="F27" s="239" t="s">
        <v>4068</v>
      </c>
      <c r="G27" s="239" t="s">
        <v>4070</v>
      </c>
      <c r="H27" s="239" t="s">
        <v>4069</v>
      </c>
      <c r="I27" s="121"/>
      <c r="J27" s="121"/>
      <c r="K27" s="121"/>
      <c r="L27" s="124"/>
      <c r="M27" s="124"/>
      <c r="N27" s="125"/>
      <c r="O27" s="125"/>
      <c r="P27" s="125"/>
      <c r="Q27" s="126"/>
      <c r="R27" s="124"/>
      <c r="S27" s="124"/>
      <c r="T27" s="124"/>
      <c r="U27" s="124"/>
      <c r="V27" s="124"/>
    </row>
    <row r="28" outlineLevel="1">
      <c r="A28" s="120"/>
      <c r="B28" s="120"/>
      <c r="C28" s="112" t="s">
        <v>1582</v>
      </c>
      <c r="D28" s="409"/>
      <c r="E28" s="239" t="s">
        <v>2278</v>
      </c>
      <c r="F28" s="239" t="s">
        <v>1098</v>
      </c>
      <c r="G28" s="239" t="s">
        <v>169</v>
      </c>
      <c r="H28" s="239" t="s">
        <v>1431</v>
      </c>
      <c r="I28" s="121"/>
      <c r="J28" s="121"/>
      <c r="K28" s="121"/>
      <c r="L28" s="124"/>
      <c r="M28" s="124"/>
      <c r="N28" s="125"/>
      <c r="O28" s="125"/>
      <c r="P28" s="125"/>
      <c r="Q28" s="126"/>
      <c r="R28" s="124"/>
      <c r="S28" s="124"/>
      <c r="T28" s="124"/>
      <c r="U28" s="124"/>
      <c r="V28" s="124"/>
    </row>
    <row r="29" outlineLevel="1">
      <c r="A29" s="120"/>
      <c r="B29" s="120"/>
      <c r="C29" s="112" t="s">
        <v>3395</v>
      </c>
      <c r="D29" s="239" t="s">
        <v>214</v>
      </c>
      <c r="E29" s="409"/>
      <c r="F29" s="239" t="s">
        <v>1098</v>
      </c>
      <c r="G29" s="239" t="s">
        <v>214</v>
      </c>
      <c r="H29" s="409"/>
      <c r="I29" s="121"/>
      <c r="J29" s="121"/>
      <c r="K29" s="121"/>
      <c r="L29" s="124"/>
      <c r="M29" s="124"/>
      <c r="N29" s="125"/>
      <c r="O29" s="125"/>
      <c r="P29" s="125"/>
      <c r="Q29" s="126"/>
      <c r="R29" s="124"/>
      <c r="S29" s="124"/>
      <c r="T29" s="124"/>
      <c r="U29" s="124"/>
      <c r="V29" s="124"/>
    </row>
    <row r="30" outlineLevel="1">
      <c r="A30" s="120"/>
      <c r="B30" s="120"/>
      <c r="C30" s="112" t="s">
        <v>4071</v>
      </c>
      <c r="D30" s="409"/>
      <c r="E30" s="409"/>
      <c r="F30" s="239" t="s">
        <v>1375</v>
      </c>
      <c r="G30" s="239" t="s">
        <v>4072</v>
      </c>
      <c r="H30" s="239" t="s">
        <v>3394</v>
      </c>
      <c r="I30" s="121"/>
      <c r="J30" s="121"/>
      <c r="K30" s="121"/>
      <c r="L30" s="124"/>
      <c r="M30" s="124"/>
      <c r="N30" s="125"/>
      <c r="O30" s="125"/>
      <c r="P30" s="125"/>
      <c r="Q30" s="126"/>
      <c r="R30" s="124"/>
      <c r="S30" s="124"/>
      <c r="T30" s="124"/>
      <c r="U30" s="124"/>
      <c r="V30" s="124"/>
    </row>
    <row r="31" outlineLevel="1">
      <c r="A31" s="120"/>
      <c r="B31" s="120"/>
      <c r="C31" s="112" t="s">
        <v>3988</v>
      </c>
      <c r="D31" s="409"/>
      <c r="E31" s="409"/>
      <c r="F31" s="365" t="s">
        <v>201</v>
      </c>
      <c r="G31" s="409"/>
      <c r="H31" s="239" t="s">
        <v>1614</v>
      </c>
      <c r="I31" s="121"/>
      <c r="J31" s="121"/>
      <c r="K31" s="121"/>
      <c r="L31" s="124"/>
      <c r="M31" s="124"/>
      <c r="N31" s="125"/>
      <c r="O31" s="125"/>
      <c r="P31" s="125"/>
      <c r="Q31" s="126"/>
      <c r="R31" s="124"/>
      <c r="S31" s="124"/>
      <c r="T31" s="124"/>
      <c r="U31" s="124"/>
      <c r="V31" s="124"/>
    </row>
    <row r="32" outlineLevel="1">
      <c r="A32" s="120"/>
      <c r="B32" s="120"/>
      <c r="C32" s="112" t="s">
        <v>3399</v>
      </c>
      <c r="D32" s="409"/>
      <c r="E32" s="239" t="s">
        <v>4073</v>
      </c>
      <c r="F32" s="239" t="s">
        <v>4074</v>
      </c>
      <c r="G32" s="409"/>
      <c r="H32" s="409"/>
      <c r="I32" s="121"/>
      <c r="J32" s="101"/>
      <c r="K32" s="121"/>
      <c r="L32" s="124"/>
      <c r="M32" s="124"/>
      <c r="N32" s="125"/>
      <c r="O32" s="125"/>
      <c r="P32" s="125"/>
      <c r="Q32" s="126"/>
      <c r="R32" s="124"/>
      <c r="S32" s="124"/>
      <c r="T32" s="124"/>
      <c r="U32" s="124"/>
      <c r="V32" s="124"/>
    </row>
    <row r="33" outlineLevel="1">
      <c r="A33" s="120"/>
      <c r="B33" s="120"/>
      <c r="C33" s="112" t="s">
        <v>3403</v>
      </c>
      <c r="D33" s="409"/>
      <c r="E33" s="239" t="s">
        <v>4075</v>
      </c>
      <c r="F33" s="239" t="s">
        <v>4076</v>
      </c>
      <c r="G33" s="409"/>
      <c r="H33" s="409"/>
      <c r="I33" s="121"/>
      <c r="J33" s="101"/>
      <c r="K33" s="121"/>
      <c r="L33" s="124"/>
      <c r="M33" s="124"/>
      <c r="N33" s="125"/>
      <c r="O33" s="125"/>
      <c r="P33" s="125"/>
      <c r="Q33" s="126"/>
      <c r="R33" s="124"/>
      <c r="S33" s="124"/>
      <c r="T33" s="124"/>
      <c r="U33" s="124"/>
      <c r="V33" s="124"/>
    </row>
    <row r="34" outlineLevel="1">
      <c r="A34" s="120"/>
      <c r="B34" s="120"/>
      <c r="C34" s="112" t="s">
        <v>3400</v>
      </c>
      <c r="D34" s="409"/>
      <c r="E34" s="239" t="s">
        <v>4077</v>
      </c>
      <c r="F34" s="239" t="s">
        <v>4078</v>
      </c>
      <c r="G34" s="409"/>
      <c r="H34" s="409"/>
      <c r="I34" s="121"/>
      <c r="J34" s="101"/>
      <c r="K34" s="121"/>
      <c r="L34" s="124"/>
      <c r="M34" s="124"/>
      <c r="N34" s="125"/>
      <c r="O34" s="125"/>
      <c r="P34" s="125"/>
      <c r="Q34" s="126"/>
      <c r="R34" s="124"/>
      <c r="S34" s="124"/>
      <c r="T34" s="124"/>
      <c r="U34" s="124"/>
      <c r="V34" s="124"/>
    </row>
    <row r="35" outlineLevel="1">
      <c r="A35" s="120"/>
      <c r="B35" s="120"/>
      <c r="C35" s="112" t="s">
        <v>1584</v>
      </c>
      <c r="D35" s="239" t="s">
        <v>4079</v>
      </c>
      <c r="E35" s="239" t="s">
        <v>4080</v>
      </c>
      <c r="F35" s="239" t="s">
        <v>4081</v>
      </c>
      <c r="G35" s="409"/>
      <c r="H35" s="409"/>
      <c r="I35" s="121"/>
      <c r="J35" s="101"/>
      <c r="K35" s="121"/>
      <c r="L35" s="124"/>
      <c r="M35" s="124"/>
      <c r="N35" s="125"/>
      <c r="O35" s="125"/>
      <c r="P35" s="125"/>
      <c r="Q35" s="126"/>
      <c r="R35" s="124"/>
      <c r="S35" s="124"/>
      <c r="T35" s="124"/>
      <c r="U35" s="124"/>
      <c r="V35" s="124"/>
    </row>
    <row r="36" outlineLevel="1">
      <c r="A36" s="120"/>
      <c r="B36" s="120"/>
      <c r="C36" s="112" t="s">
        <v>3407</v>
      </c>
      <c r="D36" s="239" t="s">
        <v>4082</v>
      </c>
      <c r="E36" s="409"/>
      <c r="F36" s="409"/>
      <c r="G36" s="409"/>
      <c r="H36" s="409"/>
      <c r="I36" s="121"/>
      <c r="J36" s="101"/>
      <c r="K36" s="121"/>
      <c r="L36" s="124"/>
      <c r="M36" s="124"/>
      <c r="N36" s="125"/>
      <c r="O36" s="125"/>
      <c r="P36" s="125"/>
      <c r="Q36" s="126"/>
      <c r="R36" s="124"/>
      <c r="S36" s="124"/>
      <c r="T36" s="124"/>
      <c r="U36" s="124"/>
      <c r="V36" s="124"/>
    </row>
    <row r="37" outlineLevel="1">
      <c r="A37" s="120"/>
      <c r="B37" s="120"/>
      <c r="C37" s="112" t="s">
        <v>4083</v>
      </c>
      <c r="D37" s="239" t="s">
        <v>176</v>
      </c>
      <c r="E37" s="239" t="s">
        <v>2278</v>
      </c>
      <c r="F37" s="239" t="s">
        <v>1375</v>
      </c>
      <c r="G37" s="409"/>
      <c r="H37" s="409"/>
      <c r="I37" s="121"/>
      <c r="J37" s="101"/>
      <c r="K37" s="121"/>
      <c r="L37" s="124"/>
      <c r="M37" s="124"/>
      <c r="N37" s="125"/>
      <c r="O37" s="125"/>
      <c r="P37" s="125"/>
      <c r="Q37" s="126"/>
      <c r="R37" s="124"/>
      <c r="S37" s="124"/>
      <c r="T37" s="124"/>
      <c r="U37" s="124"/>
      <c r="V37" s="124"/>
    </row>
    <row r="38" outlineLevel="1">
      <c r="A38" s="120"/>
      <c r="B38" s="120"/>
      <c r="C38" s="112" t="s">
        <v>16</v>
      </c>
      <c r="D38" s="2621" t="s">
        <v>4084</v>
      </c>
      <c r="E38" s="2621" t="s">
        <v>4085</v>
      </c>
      <c r="F38" s="2621" t="s">
        <v>4086</v>
      </c>
      <c r="G38" s="409"/>
      <c r="H38" s="409"/>
      <c r="I38" s="121"/>
      <c r="J38" s="101"/>
      <c r="K38" s="121"/>
      <c r="L38" s="124"/>
      <c r="M38" s="124"/>
      <c r="N38" s="125"/>
      <c r="O38" s="125"/>
      <c r="P38" s="125"/>
      <c r="Q38" s="126"/>
      <c r="R38" s="124"/>
      <c r="S38" s="124"/>
      <c r="T38" s="124"/>
      <c r="U38" s="124"/>
      <c r="V38" s="124"/>
    </row>
    <row r="39">
      <c r="A39" s="120"/>
      <c r="B39" s="120"/>
      <c r="C39" s="120"/>
      <c r="D39" s="121"/>
      <c r="E39" s="121">
        <v>6.0</v>
      </c>
      <c r="F39" s="122"/>
      <c r="G39" s="123"/>
      <c r="H39" s="121"/>
      <c r="I39" s="121"/>
      <c r="J39" s="121"/>
      <c r="K39" s="121"/>
      <c r="L39" s="124"/>
      <c r="M39" s="124"/>
      <c r="N39" s="125"/>
      <c r="O39" s="125"/>
      <c r="P39" s="125"/>
      <c r="Q39" s="126"/>
      <c r="R39" s="124"/>
      <c r="S39" s="124"/>
      <c r="T39" s="124"/>
      <c r="U39" s="124"/>
      <c r="V39" s="124"/>
    </row>
    <row r="40">
      <c r="A40" s="119" t="s">
        <v>47</v>
      </c>
      <c r="B40" s="104"/>
      <c r="C40" s="120"/>
      <c r="D40" s="121"/>
      <c r="E40" s="121"/>
      <c r="F40" s="122"/>
      <c r="G40" s="123"/>
      <c r="H40" s="121"/>
      <c r="I40" s="121"/>
      <c r="J40" s="121"/>
      <c r="K40" s="121"/>
      <c r="L40" s="124"/>
      <c r="M40" s="124"/>
      <c r="N40" s="125"/>
      <c r="O40" s="125"/>
      <c r="P40" s="125"/>
      <c r="Q40" s="126"/>
      <c r="R40" s="124"/>
      <c r="S40" s="124"/>
      <c r="T40" s="124"/>
      <c r="U40" s="124"/>
      <c r="V40" s="124"/>
    </row>
    <row r="41" outlineLevel="1">
      <c r="A41" s="106"/>
      <c r="B41" s="107"/>
      <c r="C41" s="127" t="s">
        <v>48</v>
      </c>
      <c r="D41" s="128" t="s">
        <v>49</v>
      </c>
      <c r="E41" s="128" t="s">
        <v>50</v>
      </c>
      <c r="F41" s="129" t="s">
        <v>51</v>
      </c>
      <c r="G41" s="128" t="s">
        <v>52</v>
      </c>
      <c r="H41" s="130" t="str">
        <f>'テンプレート'!H25</f>
        <v>備考</v>
      </c>
      <c r="I41" s="110"/>
      <c r="J41" s="109"/>
      <c r="K41" s="131" t="str">
        <f>'テンプレート'!K25</f>
        <v>ベクトル</v>
      </c>
      <c r="L41" s="131" t="str">
        <f>'テンプレート'!L25</f>
        <v>KBG (R.E.)</v>
      </c>
      <c r="M41" s="131" t="str">
        <f>'テンプレート'!M25</f>
        <v>BKB (R.A.)</v>
      </c>
      <c r="N41" s="131" t="str">
        <f>'テンプレート'!N25</f>
        <v>FKB (R.F.)</v>
      </c>
      <c r="O41" s="132" t="str">
        <f>'テンプレート'!O25</f>
        <v>盾削り値</v>
      </c>
      <c r="P41" s="131" t="str">
        <f>'テンプレート'!P25</f>
        <v>ﾋｯﾄｽﾄｯﾌﾟ</v>
      </c>
      <c r="Q41" s="132" t="str">
        <f>'テンプレート'!Q25</f>
        <v>ずらし</v>
      </c>
      <c r="R41" s="100"/>
      <c r="S41" s="100"/>
      <c r="T41" s="100"/>
      <c r="U41" s="127" t="s">
        <v>54</v>
      </c>
      <c r="V41" s="100"/>
    </row>
    <row r="42" outlineLevel="1">
      <c r="A42" s="133" t="s">
        <v>266</v>
      </c>
      <c r="B42" s="134" t="s">
        <v>55</v>
      </c>
      <c r="C42" s="616" t="s">
        <v>150</v>
      </c>
      <c r="D42" s="616" t="s">
        <v>4087</v>
      </c>
      <c r="E42" s="616" t="s">
        <v>176</v>
      </c>
      <c r="F42" s="246">
        <v>2.4</v>
      </c>
      <c r="G42" s="616" t="s">
        <v>60</v>
      </c>
      <c r="H42" s="173" t="s">
        <v>3086</v>
      </c>
      <c r="I42" s="110"/>
      <c r="J42" s="109"/>
      <c r="K42" s="138"/>
      <c r="L42" s="282"/>
      <c r="M42" s="363"/>
      <c r="N42" s="363"/>
      <c r="O42" s="145">
        <v>0.0</v>
      </c>
      <c r="P42" s="145">
        <v>1.0</v>
      </c>
      <c r="Q42" s="145">
        <v>1.0</v>
      </c>
      <c r="R42" s="100"/>
      <c r="S42" s="100"/>
      <c r="T42" s="100"/>
      <c r="U42" s="145" t="s">
        <v>69</v>
      </c>
      <c r="V42" s="100"/>
    </row>
    <row r="43" outlineLevel="1">
      <c r="A43" s="146"/>
      <c r="B43" s="147" t="s">
        <v>63</v>
      </c>
      <c r="C43" s="214" t="s">
        <v>150</v>
      </c>
      <c r="D43" s="214" t="s">
        <v>72</v>
      </c>
      <c r="E43" s="214" t="s">
        <v>1024</v>
      </c>
      <c r="F43" s="246">
        <v>1.7999999999999998</v>
      </c>
      <c r="G43" s="616" t="s">
        <v>60</v>
      </c>
      <c r="H43" s="173" t="s">
        <v>4088</v>
      </c>
      <c r="I43" s="110"/>
      <c r="J43" s="109"/>
      <c r="K43" s="282"/>
      <c r="L43" s="282"/>
      <c r="M43" s="363"/>
      <c r="N43" s="363"/>
      <c r="O43" s="145">
        <v>0.0</v>
      </c>
      <c r="P43" s="145">
        <v>1.0</v>
      </c>
      <c r="Q43" s="145">
        <v>1.0</v>
      </c>
      <c r="R43" s="100"/>
      <c r="S43" s="100"/>
      <c r="T43" s="100"/>
      <c r="U43" s="145" t="s">
        <v>76</v>
      </c>
      <c r="V43" s="100"/>
    </row>
    <row r="44" outlineLevel="1">
      <c r="A44" s="146"/>
      <c r="B44" s="147" t="s">
        <v>70</v>
      </c>
      <c r="C44" s="214" t="s">
        <v>217</v>
      </c>
      <c r="D44" s="191" t="s">
        <v>393</v>
      </c>
      <c r="E44" s="214" t="s">
        <v>150</v>
      </c>
      <c r="F44" s="246">
        <v>6.0</v>
      </c>
      <c r="G44" s="616" t="s">
        <v>102</v>
      </c>
      <c r="H44" s="175"/>
      <c r="I44" s="164"/>
      <c r="J44" s="104"/>
      <c r="K44" s="282"/>
      <c r="L44" s="282"/>
      <c r="M44" s="363"/>
      <c r="N44" s="363"/>
      <c r="O44" s="145">
        <v>0.0</v>
      </c>
      <c r="P44" s="145">
        <v>1.0</v>
      </c>
      <c r="Q44" s="145">
        <v>1.0</v>
      </c>
      <c r="R44" s="100"/>
      <c r="S44" s="100"/>
      <c r="T44" s="100"/>
      <c r="U44" s="145" t="s">
        <v>76</v>
      </c>
      <c r="V44" s="100"/>
    </row>
    <row r="45" outlineLevel="1">
      <c r="A45" s="156"/>
      <c r="B45" s="147" t="s">
        <v>4089</v>
      </c>
      <c r="C45" s="214" t="s">
        <v>80</v>
      </c>
      <c r="D45" s="107"/>
      <c r="E45" s="214" t="s">
        <v>4090</v>
      </c>
      <c r="F45" s="246">
        <v>5.04</v>
      </c>
      <c r="G45" s="616" t="s">
        <v>75</v>
      </c>
      <c r="H45" s="106"/>
      <c r="I45" s="168"/>
      <c r="J45" s="107"/>
      <c r="K45" s="282"/>
      <c r="L45" s="282"/>
      <c r="M45" s="363"/>
      <c r="N45" s="363"/>
      <c r="O45" s="145">
        <v>0.0</v>
      </c>
      <c r="P45" s="145">
        <v>1.0</v>
      </c>
      <c r="Q45" s="145">
        <v>1.0</v>
      </c>
      <c r="R45" s="100"/>
      <c r="S45" s="100"/>
      <c r="T45" s="100"/>
      <c r="U45" s="145" t="s">
        <v>76</v>
      </c>
      <c r="V45" s="100"/>
    </row>
    <row r="46" outlineLevel="1">
      <c r="A46" s="170" t="s">
        <v>77</v>
      </c>
      <c r="B46" s="160"/>
      <c r="C46" s="214" t="s">
        <v>373</v>
      </c>
      <c r="D46" s="214" t="s">
        <v>628</v>
      </c>
      <c r="E46" s="214" t="s">
        <v>4091</v>
      </c>
      <c r="F46" s="246" t="s">
        <v>4092</v>
      </c>
      <c r="G46" s="616" t="s">
        <v>2373</v>
      </c>
      <c r="H46" s="173"/>
      <c r="I46" s="110"/>
      <c r="J46" s="109"/>
      <c r="K46" s="138"/>
      <c r="L46" s="282"/>
      <c r="M46" s="363"/>
      <c r="N46" s="363"/>
      <c r="O46" s="145">
        <v>0.0</v>
      </c>
      <c r="P46" s="145">
        <v>1.0</v>
      </c>
      <c r="Q46" s="145">
        <v>1.0</v>
      </c>
      <c r="R46" s="100"/>
      <c r="S46" s="100"/>
      <c r="T46" s="100"/>
      <c r="U46" s="145" t="s">
        <v>69</v>
      </c>
      <c r="V46" s="100"/>
    </row>
    <row r="47" outlineLevel="1">
      <c r="A47" s="170" t="s">
        <v>89</v>
      </c>
      <c r="B47" s="147"/>
      <c r="C47" s="214" t="s">
        <v>373</v>
      </c>
      <c r="D47" s="214" t="s">
        <v>127</v>
      </c>
      <c r="E47" s="214" t="s">
        <v>4093</v>
      </c>
      <c r="F47" s="246" t="s">
        <v>4094</v>
      </c>
      <c r="G47" s="616" t="s">
        <v>4095</v>
      </c>
      <c r="H47" s="173"/>
      <c r="I47" s="110"/>
      <c r="J47" s="109"/>
      <c r="K47" s="138"/>
      <c r="L47" s="282"/>
      <c r="M47" s="363"/>
      <c r="N47" s="363"/>
      <c r="O47" s="145">
        <v>0.0</v>
      </c>
      <c r="P47" s="145">
        <v>1.0</v>
      </c>
      <c r="Q47" s="145">
        <v>1.0</v>
      </c>
      <c r="R47" s="100"/>
      <c r="S47" s="100"/>
      <c r="T47" s="100"/>
      <c r="U47" s="145" t="s">
        <v>96</v>
      </c>
      <c r="V47" s="100"/>
    </row>
    <row r="48" outlineLevel="1">
      <c r="A48" s="133" t="s">
        <v>97</v>
      </c>
      <c r="B48" s="160"/>
      <c r="C48" s="214" t="s">
        <v>299</v>
      </c>
      <c r="D48" s="191" t="s">
        <v>118</v>
      </c>
      <c r="E48" s="214" t="s">
        <v>128</v>
      </c>
      <c r="F48" s="246">
        <v>12.0</v>
      </c>
      <c r="G48" s="616" t="s">
        <v>121</v>
      </c>
      <c r="H48" s="456"/>
      <c r="I48" s="164"/>
      <c r="J48" s="104"/>
      <c r="K48" s="282"/>
      <c r="L48" s="282"/>
      <c r="M48" s="363"/>
      <c r="N48" s="363"/>
      <c r="O48" s="145">
        <v>0.0</v>
      </c>
      <c r="P48" s="145">
        <v>1.0</v>
      </c>
      <c r="Q48" s="145">
        <v>1.0</v>
      </c>
      <c r="R48" s="100"/>
      <c r="S48" s="100"/>
      <c r="T48" s="100"/>
      <c r="U48" s="166" t="s">
        <v>62</v>
      </c>
      <c r="V48" s="100"/>
    </row>
    <row r="49" outlineLevel="1">
      <c r="A49" s="156"/>
      <c r="B49" s="147" t="s">
        <v>84</v>
      </c>
      <c r="C49" s="216" t="s">
        <v>2472</v>
      </c>
      <c r="D49" s="107"/>
      <c r="E49" s="214" t="s">
        <v>4096</v>
      </c>
      <c r="F49" s="246" t="s">
        <v>4097</v>
      </c>
      <c r="G49" s="616" t="s">
        <v>4098</v>
      </c>
      <c r="H49" s="106"/>
      <c r="I49" s="168"/>
      <c r="J49" s="107"/>
      <c r="K49" s="282"/>
      <c r="L49" s="282"/>
      <c r="M49" s="363"/>
      <c r="N49" s="363"/>
      <c r="O49" s="145">
        <v>0.0</v>
      </c>
      <c r="P49" s="145">
        <v>1.0</v>
      </c>
      <c r="Q49" s="145">
        <v>1.0</v>
      </c>
      <c r="R49" s="100"/>
      <c r="S49" s="100"/>
      <c r="T49" s="100"/>
      <c r="U49" s="156"/>
      <c r="V49" s="100"/>
    </row>
    <row r="50" outlineLevel="1">
      <c r="A50" s="170" t="s">
        <v>103</v>
      </c>
      <c r="B50" s="160"/>
      <c r="C50" s="245" t="s">
        <v>223</v>
      </c>
      <c r="D50" s="245" t="s">
        <v>271</v>
      </c>
      <c r="E50" s="245" t="s">
        <v>4099</v>
      </c>
      <c r="F50" s="246" t="s">
        <v>4100</v>
      </c>
      <c r="G50" s="616" t="s">
        <v>4101</v>
      </c>
      <c r="H50" s="159"/>
      <c r="I50" s="110"/>
      <c r="J50" s="109"/>
      <c r="K50" s="145"/>
      <c r="L50" s="363"/>
      <c r="M50" s="363"/>
      <c r="N50" s="363"/>
      <c r="O50" s="145">
        <v>0.0</v>
      </c>
      <c r="P50" s="145">
        <v>1.0</v>
      </c>
      <c r="Q50" s="145">
        <v>1.0</v>
      </c>
      <c r="R50" s="100"/>
      <c r="S50" s="100"/>
      <c r="T50" s="100"/>
      <c r="U50" s="145" t="s">
        <v>69</v>
      </c>
      <c r="V50" s="100"/>
    </row>
    <row r="51" outlineLevel="1">
      <c r="A51" s="133" t="s">
        <v>109</v>
      </c>
      <c r="B51" s="147" t="s">
        <v>4102</v>
      </c>
      <c r="C51" s="245" t="s">
        <v>4103</v>
      </c>
      <c r="D51" s="823" t="s">
        <v>208</v>
      </c>
      <c r="E51" s="245" t="s">
        <v>100</v>
      </c>
      <c r="F51" s="246">
        <v>6.6</v>
      </c>
      <c r="G51" s="616" t="s">
        <v>75</v>
      </c>
      <c r="H51" s="175" t="s">
        <v>4104</v>
      </c>
      <c r="I51" s="164"/>
      <c r="J51" s="104"/>
      <c r="K51" s="282"/>
      <c r="L51" s="282"/>
      <c r="M51" s="363"/>
      <c r="N51" s="363"/>
      <c r="O51" s="145">
        <v>0.0</v>
      </c>
      <c r="P51" s="145">
        <v>1.0</v>
      </c>
      <c r="Q51" s="145">
        <v>1.0</v>
      </c>
      <c r="R51" s="100"/>
      <c r="S51" s="100"/>
      <c r="T51" s="100"/>
      <c r="U51" s="166" t="s">
        <v>62</v>
      </c>
      <c r="V51" s="100"/>
    </row>
    <row r="52" outlineLevel="1">
      <c r="A52" s="156"/>
      <c r="B52" s="147" t="s">
        <v>131</v>
      </c>
      <c r="C52" s="245" t="s">
        <v>173</v>
      </c>
      <c r="D52" s="107"/>
      <c r="E52" s="245" t="s">
        <v>4105</v>
      </c>
      <c r="F52" s="246" t="s">
        <v>4106</v>
      </c>
      <c r="G52" s="616" t="s">
        <v>4107</v>
      </c>
      <c r="H52" s="106"/>
      <c r="I52" s="168"/>
      <c r="J52" s="107"/>
      <c r="K52" s="282"/>
      <c r="L52" s="282"/>
      <c r="M52" s="363"/>
      <c r="N52" s="363"/>
      <c r="O52" s="145">
        <v>0.0</v>
      </c>
      <c r="P52" s="145">
        <v>1.0</v>
      </c>
      <c r="Q52" s="145">
        <v>1.0</v>
      </c>
      <c r="R52" s="100"/>
      <c r="S52" s="100"/>
      <c r="T52" s="100"/>
      <c r="U52" s="156"/>
      <c r="V52" s="100"/>
    </row>
    <row r="53" outlineLevel="1">
      <c r="A53" s="133" t="s">
        <v>116</v>
      </c>
      <c r="B53" s="147" t="s">
        <v>125</v>
      </c>
      <c r="C53" s="467" t="s">
        <v>2670</v>
      </c>
      <c r="D53" s="823" t="s">
        <v>208</v>
      </c>
      <c r="E53" s="245" t="s">
        <v>1438</v>
      </c>
      <c r="F53" s="246">
        <v>5.3999999999999995</v>
      </c>
      <c r="G53" s="616" t="s">
        <v>147</v>
      </c>
      <c r="H53" s="175" t="s">
        <v>4108</v>
      </c>
      <c r="I53" s="164"/>
      <c r="J53" s="104"/>
      <c r="K53" s="363"/>
      <c r="L53" s="363"/>
      <c r="M53" s="363"/>
      <c r="N53" s="363"/>
      <c r="O53" s="145">
        <v>0.0</v>
      </c>
      <c r="P53" s="145">
        <v>1.0</v>
      </c>
      <c r="Q53" s="145">
        <v>1.0</v>
      </c>
      <c r="R53" s="100"/>
      <c r="S53" s="100"/>
      <c r="T53" s="100"/>
      <c r="U53" s="166" t="s">
        <v>62</v>
      </c>
      <c r="V53" s="100"/>
    </row>
    <row r="54" outlineLevel="1">
      <c r="A54" s="146"/>
      <c r="B54" s="147" t="s">
        <v>430</v>
      </c>
      <c r="C54" s="216" t="s">
        <v>2443</v>
      </c>
      <c r="D54" s="210"/>
      <c r="E54" s="245" t="s">
        <v>1438</v>
      </c>
      <c r="F54" s="246">
        <v>5.3999999999999995</v>
      </c>
      <c r="G54" s="616" t="s">
        <v>147</v>
      </c>
      <c r="H54" s="212"/>
      <c r="J54" s="210"/>
      <c r="K54" s="363"/>
      <c r="L54" s="363"/>
      <c r="M54" s="363"/>
      <c r="N54" s="363"/>
      <c r="O54" s="145">
        <v>0.0</v>
      </c>
      <c r="P54" s="145">
        <v>1.0</v>
      </c>
      <c r="Q54" s="145">
        <v>1.0</v>
      </c>
      <c r="R54" s="100"/>
      <c r="S54" s="100"/>
      <c r="T54" s="100"/>
      <c r="U54" s="146"/>
      <c r="V54" s="100"/>
    </row>
    <row r="55" outlineLevel="1">
      <c r="A55" s="156"/>
      <c r="B55" s="147" t="s">
        <v>131</v>
      </c>
      <c r="C55" s="216" t="s">
        <v>4109</v>
      </c>
      <c r="D55" s="107"/>
      <c r="E55" s="245" t="s">
        <v>1217</v>
      </c>
      <c r="F55" s="246">
        <v>16.2</v>
      </c>
      <c r="G55" s="616" t="s">
        <v>275</v>
      </c>
      <c r="H55" s="106"/>
      <c r="I55" s="168"/>
      <c r="J55" s="107"/>
      <c r="K55" s="363"/>
      <c r="L55" s="363"/>
      <c r="M55" s="363"/>
      <c r="N55" s="363"/>
      <c r="O55" s="145">
        <v>0.0</v>
      </c>
      <c r="P55" s="145">
        <v>1.0</v>
      </c>
      <c r="Q55" s="145">
        <v>1.0</v>
      </c>
      <c r="R55" s="100"/>
      <c r="S55" s="100"/>
      <c r="T55" s="100"/>
      <c r="U55" s="156"/>
      <c r="V55" s="100"/>
    </row>
    <row r="56" outlineLevel="1">
      <c r="A56" s="133" t="s">
        <v>124</v>
      </c>
      <c r="B56" s="147" t="s">
        <v>125</v>
      </c>
      <c r="C56" s="214" t="s">
        <v>653</v>
      </c>
      <c r="D56" s="823" t="s">
        <v>4110</v>
      </c>
      <c r="E56" s="245" t="s">
        <v>4111</v>
      </c>
      <c r="F56" s="246" t="s">
        <v>4112</v>
      </c>
      <c r="G56" s="616" t="s">
        <v>4113</v>
      </c>
      <c r="H56" s="175" t="s">
        <v>442</v>
      </c>
      <c r="I56" s="164"/>
      <c r="J56" s="104"/>
      <c r="K56" s="282"/>
      <c r="L56" s="282"/>
      <c r="M56" s="363"/>
      <c r="N56" s="363"/>
      <c r="O56" s="145">
        <v>0.0</v>
      </c>
      <c r="P56" s="145">
        <v>1.0</v>
      </c>
      <c r="Q56" s="145">
        <v>1.0</v>
      </c>
      <c r="R56" s="100"/>
      <c r="S56" s="100"/>
      <c r="T56" s="100"/>
      <c r="U56" s="166" t="s">
        <v>62</v>
      </c>
      <c r="V56" s="100"/>
    </row>
    <row r="57" outlineLevel="1">
      <c r="A57" s="146"/>
      <c r="B57" s="147" t="s">
        <v>131</v>
      </c>
      <c r="C57" s="214" t="s">
        <v>377</v>
      </c>
      <c r="D57" s="210"/>
      <c r="E57" s="245" t="s">
        <v>4114</v>
      </c>
      <c r="F57" s="246" t="s">
        <v>4115</v>
      </c>
      <c r="G57" s="616" t="s">
        <v>446</v>
      </c>
      <c r="H57" s="212"/>
      <c r="J57" s="210"/>
      <c r="K57" s="282"/>
      <c r="L57" s="282"/>
      <c r="M57" s="363"/>
      <c r="N57" s="363"/>
      <c r="O57" s="145">
        <v>0.0</v>
      </c>
      <c r="P57" s="145">
        <v>1.0</v>
      </c>
      <c r="Q57" s="145">
        <v>1.0</v>
      </c>
      <c r="R57" s="100"/>
      <c r="S57" s="100"/>
      <c r="T57" s="100"/>
      <c r="U57" s="146"/>
      <c r="V57" s="100"/>
    </row>
    <row r="58" outlineLevel="1">
      <c r="A58" s="146"/>
      <c r="B58" s="147" t="s">
        <v>434</v>
      </c>
      <c r="C58" s="214" t="s">
        <v>784</v>
      </c>
      <c r="D58" s="210"/>
      <c r="E58" s="245" t="s">
        <v>4116</v>
      </c>
      <c r="F58" s="246" t="s">
        <v>4117</v>
      </c>
      <c r="G58" s="616" t="s">
        <v>4118</v>
      </c>
      <c r="H58" s="212"/>
      <c r="J58" s="210"/>
      <c r="K58" s="282"/>
      <c r="L58" s="282"/>
      <c r="M58" s="363"/>
      <c r="N58" s="363"/>
      <c r="O58" s="145">
        <v>0.0</v>
      </c>
      <c r="P58" s="145">
        <v>1.0</v>
      </c>
      <c r="Q58" s="145">
        <v>1.0</v>
      </c>
      <c r="R58" s="100"/>
      <c r="S58" s="100"/>
      <c r="T58" s="100"/>
      <c r="U58" s="146"/>
      <c r="V58" s="100"/>
    </row>
    <row r="59" outlineLevel="1">
      <c r="A59" s="146"/>
      <c r="B59" s="147" t="s">
        <v>520</v>
      </c>
      <c r="C59" s="214" t="s">
        <v>1547</v>
      </c>
      <c r="D59" s="210"/>
      <c r="E59" s="245" t="s">
        <v>4119</v>
      </c>
      <c r="F59" s="246" t="s">
        <v>4120</v>
      </c>
      <c r="G59" s="616" t="s">
        <v>4121</v>
      </c>
      <c r="H59" s="212"/>
      <c r="J59" s="210"/>
      <c r="K59" s="282"/>
      <c r="L59" s="282"/>
      <c r="M59" s="363"/>
      <c r="N59" s="363"/>
      <c r="O59" s="145">
        <v>0.0</v>
      </c>
      <c r="P59" s="145">
        <v>1.0</v>
      </c>
      <c r="Q59" s="145">
        <v>1.0</v>
      </c>
      <c r="R59" s="100"/>
      <c r="S59" s="100"/>
      <c r="T59" s="100"/>
      <c r="U59" s="146"/>
      <c r="V59" s="100"/>
    </row>
    <row r="60" outlineLevel="1">
      <c r="A60" s="156"/>
      <c r="B60" s="147" t="s">
        <v>521</v>
      </c>
      <c r="C60" s="214" t="s">
        <v>4122</v>
      </c>
      <c r="D60" s="107"/>
      <c r="E60" s="245" t="s">
        <v>4123</v>
      </c>
      <c r="F60" s="246" t="s">
        <v>4124</v>
      </c>
      <c r="G60" s="616" t="s">
        <v>4125</v>
      </c>
      <c r="H60" s="106"/>
      <c r="I60" s="168"/>
      <c r="J60" s="107"/>
      <c r="K60" s="282"/>
      <c r="L60" s="282"/>
      <c r="M60" s="363"/>
      <c r="N60" s="363"/>
      <c r="O60" s="145">
        <v>0.0</v>
      </c>
      <c r="P60" s="145">
        <v>1.0</v>
      </c>
      <c r="Q60" s="145">
        <v>1.0</v>
      </c>
      <c r="R60" s="100"/>
      <c r="S60" s="100"/>
      <c r="T60" s="100"/>
      <c r="U60" s="156"/>
      <c r="V60" s="100"/>
    </row>
    <row r="61">
      <c r="A61" s="118"/>
      <c r="B61" s="176"/>
      <c r="C61" s="118"/>
      <c r="D61" s="118"/>
      <c r="E61" s="118"/>
      <c r="F61" s="177"/>
      <c r="G61" s="177"/>
      <c r="H61" s="118"/>
      <c r="I61" s="118"/>
      <c r="J61" s="118"/>
      <c r="K61" s="118"/>
      <c r="L61" s="118"/>
      <c r="M61" s="118"/>
      <c r="N61" s="118"/>
      <c r="O61" s="118"/>
      <c r="P61" s="118"/>
      <c r="Q61" s="118"/>
      <c r="R61" s="118"/>
      <c r="S61" s="118"/>
      <c r="T61" s="118"/>
      <c r="U61" s="118"/>
      <c r="V61" s="118"/>
    </row>
    <row r="62">
      <c r="A62" s="178" t="s">
        <v>133</v>
      </c>
      <c r="B62" s="104"/>
      <c r="C62" s="179"/>
      <c r="D62" s="179"/>
      <c r="E62" s="179"/>
      <c r="F62" s="180"/>
      <c r="G62" s="179"/>
      <c r="H62" s="180"/>
      <c r="I62" s="180"/>
      <c r="J62" s="181"/>
      <c r="K62" s="180"/>
      <c r="L62" s="180"/>
      <c r="M62" s="180"/>
      <c r="N62" s="180"/>
      <c r="O62" s="180"/>
      <c r="P62" s="180"/>
      <c r="Q62" s="180"/>
      <c r="R62" s="180"/>
      <c r="S62" s="180"/>
      <c r="T62" s="180"/>
      <c r="U62" s="180"/>
      <c r="V62" s="180"/>
    </row>
    <row r="63" outlineLevel="1">
      <c r="A63" s="106"/>
      <c r="B63" s="107"/>
      <c r="C63" s="182" t="s">
        <v>48</v>
      </c>
      <c r="D63" s="183" t="s">
        <v>49</v>
      </c>
      <c r="E63" s="182" t="s">
        <v>50</v>
      </c>
      <c r="F63" s="184" t="s">
        <v>51</v>
      </c>
      <c r="G63" s="184" t="s">
        <v>134</v>
      </c>
      <c r="H63" s="185" t="s">
        <v>52</v>
      </c>
      <c r="I63" s="184" t="str">
        <f>'テンプレート'!I56</f>
        <v>着地隙</v>
      </c>
      <c r="J63" s="184" t="s">
        <v>136</v>
      </c>
      <c r="K63" s="184" t="str">
        <f>'テンプレート'!K56</f>
        <v>ベクトル</v>
      </c>
      <c r="L63" s="184" t="str">
        <f>'テンプレート'!L56</f>
        <v>KBG (R.E.)</v>
      </c>
      <c r="M63" s="184" t="str">
        <f>'テンプレート'!M56</f>
        <v>BKB (R.A.)</v>
      </c>
      <c r="N63" s="184" t="str">
        <f>'テンプレート'!N56</f>
        <v>FKB (R.F.)</v>
      </c>
      <c r="O63" s="186" t="str">
        <f>'テンプレート'!O56</f>
        <v>盾削り値</v>
      </c>
      <c r="P63" s="184" t="str">
        <f>'テンプレート'!P56</f>
        <v>ﾋｯﾄｽﾄｯﾌﾟ</v>
      </c>
      <c r="Q63" s="186" t="str">
        <f>'テンプレート'!Q56</f>
        <v>ずらし</v>
      </c>
      <c r="R63" s="187" t="str">
        <f>'テンプレート'!R56</f>
        <v>備考</v>
      </c>
      <c r="S63" s="110"/>
      <c r="T63" s="110"/>
      <c r="U63" s="110"/>
      <c r="V63" s="110"/>
    </row>
    <row r="64" outlineLevel="1">
      <c r="A64" s="213" t="s">
        <v>144</v>
      </c>
      <c r="B64" s="373"/>
      <c r="C64" s="244" t="s">
        <v>1412</v>
      </c>
      <c r="D64" s="214" t="s">
        <v>462</v>
      </c>
      <c r="E64" s="617" t="s">
        <v>4126</v>
      </c>
      <c r="F64" s="618" t="s">
        <v>4127</v>
      </c>
      <c r="G64" s="618" t="s">
        <v>4128</v>
      </c>
      <c r="H64" s="138" t="s">
        <v>1904</v>
      </c>
      <c r="I64" s="621" t="str">
        <f t="array" ref="I64">INDEX('空中攻撃'!$O$3:$AA$109, MATCH($A$1,'空中攻撃'!$A$3:$A$109,0), MATCH(A64,'空中攻撃'!$O$2:$S$2,0))</f>
        <v>6</v>
      </c>
      <c r="J64" s="216" t="s">
        <v>4129</v>
      </c>
      <c r="K64" s="376"/>
      <c r="L64" s="377"/>
      <c r="M64" s="825"/>
      <c r="N64" s="825"/>
      <c r="O64" s="199">
        <v>0.0</v>
      </c>
      <c r="P64" s="199">
        <v>1.0</v>
      </c>
      <c r="Q64" s="199">
        <v>1.0</v>
      </c>
      <c r="R64" s="159"/>
      <c r="S64" s="110"/>
      <c r="T64" s="110"/>
      <c r="U64" s="110"/>
      <c r="V64" s="109"/>
    </row>
    <row r="65" outlineLevel="1">
      <c r="A65" s="213" t="s">
        <v>151</v>
      </c>
      <c r="B65" s="373"/>
      <c r="C65" s="244" t="s">
        <v>544</v>
      </c>
      <c r="D65" s="620">
        <v>41.0</v>
      </c>
      <c r="E65" s="244" t="s">
        <v>2317</v>
      </c>
      <c r="F65" s="246" t="s">
        <v>2318</v>
      </c>
      <c r="G65" s="246" t="s">
        <v>4130</v>
      </c>
      <c r="H65" s="138" t="s">
        <v>1969</v>
      </c>
      <c r="I65" s="621" t="str">
        <f t="array" ref="I65">INDEX('空中攻撃'!$O$3:$AA$109, MATCH($A$1,'空中攻撃'!$A$3:$A$109,0), MATCH(A65,'空中攻撃'!$O$2:$S$2,0))</f>
        <v>10</v>
      </c>
      <c r="J65" s="450" t="s">
        <v>1124</v>
      </c>
      <c r="K65" s="376"/>
      <c r="L65" s="377"/>
      <c r="M65" s="825"/>
      <c r="N65" s="825"/>
      <c r="O65" s="199">
        <v>0.0</v>
      </c>
      <c r="P65" s="199">
        <v>1.0</v>
      </c>
      <c r="Q65" s="199">
        <v>1.0</v>
      </c>
      <c r="R65" s="159"/>
      <c r="S65" s="110"/>
      <c r="T65" s="110"/>
      <c r="U65" s="110"/>
      <c r="V65" s="109"/>
    </row>
    <row r="66" outlineLevel="1">
      <c r="A66" s="188" t="s">
        <v>157</v>
      </c>
      <c r="B66" s="373"/>
      <c r="C66" s="244" t="s">
        <v>378</v>
      </c>
      <c r="D66" s="207">
        <v>54.0</v>
      </c>
      <c r="E66" s="244" t="s">
        <v>2764</v>
      </c>
      <c r="F66" s="246">
        <v>15.0</v>
      </c>
      <c r="G66" s="246">
        <v>12.75</v>
      </c>
      <c r="H66" s="138" t="s">
        <v>75</v>
      </c>
      <c r="I66" s="454">
        <f t="array" ref="I66">INDEX('空中攻撃'!$O$3:$AA$109, MATCH($A$1,'空中攻撃'!$A$3:$A$109,0), MATCH(A66,'空中攻撃'!$O$2:$S$2,0))</f>
        <v>11</v>
      </c>
      <c r="J66" s="195" t="s">
        <v>154</v>
      </c>
      <c r="K66" s="376"/>
      <c r="L66" s="377"/>
      <c r="M66" s="825"/>
      <c r="N66" s="825"/>
      <c r="O66" s="199">
        <v>0.0</v>
      </c>
      <c r="P66" s="199">
        <v>1.0</v>
      </c>
      <c r="Q66" s="199">
        <v>1.0</v>
      </c>
      <c r="R66" s="456"/>
      <c r="S66" s="164"/>
      <c r="T66" s="164"/>
      <c r="U66" s="164"/>
      <c r="V66" s="104"/>
    </row>
    <row r="67" outlineLevel="1">
      <c r="A67" s="156"/>
      <c r="B67" s="373" t="s">
        <v>84</v>
      </c>
      <c r="C67" s="244" t="s">
        <v>288</v>
      </c>
      <c r="D67" s="107"/>
      <c r="E67" s="244" t="s">
        <v>4131</v>
      </c>
      <c r="F67" s="246" t="s">
        <v>4132</v>
      </c>
      <c r="G67" s="246" t="s">
        <v>4133</v>
      </c>
      <c r="H67" s="138" t="s">
        <v>980</v>
      </c>
      <c r="I67" s="156"/>
      <c r="J67" s="107"/>
      <c r="K67" s="376"/>
      <c r="L67" s="377"/>
      <c r="M67" s="825"/>
      <c r="N67" s="825"/>
      <c r="O67" s="199">
        <v>0.0</v>
      </c>
      <c r="P67" s="199">
        <v>1.0</v>
      </c>
      <c r="Q67" s="199">
        <v>1.0</v>
      </c>
      <c r="R67" s="106"/>
      <c r="S67" s="168"/>
      <c r="T67" s="168"/>
      <c r="U67" s="168"/>
      <c r="V67" s="107"/>
    </row>
    <row r="68" outlineLevel="1">
      <c r="A68" s="188" t="s">
        <v>162</v>
      </c>
      <c r="B68" s="373" t="s">
        <v>125</v>
      </c>
      <c r="C68" s="239" t="s">
        <v>325</v>
      </c>
      <c r="D68" s="191" t="s">
        <v>289</v>
      </c>
      <c r="E68" s="244" t="s">
        <v>100</v>
      </c>
      <c r="F68" s="246">
        <v>6.6</v>
      </c>
      <c r="G68" s="246">
        <v>5.61</v>
      </c>
      <c r="H68" s="138" t="s">
        <v>60</v>
      </c>
      <c r="I68" s="1393" t="str">
        <f t="array" ref="I68">INDEX('空中攻撃'!$O$3:$AA$109, MATCH($A$1,'空中攻撃'!$A$3:$A$109,0), MATCH(A68,'空中攻撃'!$O$2:$S$2,0))</f>
        <v>9</v>
      </c>
      <c r="J68" s="195" t="s">
        <v>4134</v>
      </c>
      <c r="K68" s="377"/>
      <c r="L68" s="377"/>
      <c r="M68" s="825"/>
      <c r="N68" s="825"/>
      <c r="O68" s="2622">
        <v>0.0</v>
      </c>
      <c r="P68" s="2623">
        <v>1.0</v>
      </c>
      <c r="Q68" s="2623">
        <v>1.0</v>
      </c>
      <c r="R68" s="456"/>
      <c r="S68" s="164"/>
      <c r="T68" s="164"/>
      <c r="U68" s="164"/>
      <c r="V68" s="104"/>
    </row>
    <row r="69" outlineLevel="1">
      <c r="A69" s="156"/>
      <c r="B69" s="373" t="s">
        <v>131</v>
      </c>
      <c r="C69" s="239" t="s">
        <v>4135</v>
      </c>
      <c r="D69" s="107"/>
      <c r="E69" s="244" t="s">
        <v>4136</v>
      </c>
      <c r="F69" s="246" t="s">
        <v>4137</v>
      </c>
      <c r="G69" s="246" t="s">
        <v>4138</v>
      </c>
      <c r="H69" s="138" t="s">
        <v>1132</v>
      </c>
      <c r="I69" s="156"/>
      <c r="J69" s="107"/>
      <c r="K69" s="377"/>
      <c r="L69" s="377"/>
      <c r="M69" s="825"/>
      <c r="N69" s="825"/>
      <c r="O69" s="2622">
        <v>0.0</v>
      </c>
      <c r="P69" s="2623">
        <v>1.0</v>
      </c>
      <c r="Q69" s="2623">
        <v>1.0</v>
      </c>
      <c r="R69" s="106"/>
      <c r="S69" s="168"/>
      <c r="T69" s="168"/>
      <c r="U69" s="168"/>
      <c r="V69" s="107"/>
    </row>
    <row r="70" outlineLevel="1">
      <c r="A70" s="188" t="s">
        <v>166</v>
      </c>
      <c r="B70" s="373" t="s">
        <v>1026</v>
      </c>
      <c r="C70" s="369" t="s">
        <v>325</v>
      </c>
      <c r="D70" s="207">
        <v>60.0</v>
      </c>
      <c r="E70" s="244" t="s">
        <v>1665</v>
      </c>
      <c r="F70" s="246">
        <v>9.0</v>
      </c>
      <c r="G70" s="246">
        <v>7.65</v>
      </c>
      <c r="H70" s="138" t="s">
        <v>60</v>
      </c>
      <c r="I70" s="454">
        <f t="array" ref="I70">INDEX('空中攻撃'!$O$3:$AA$109, MATCH($A$1,'空中攻撃'!$A$3:$A$109,0), MATCH(A70,'空中攻撃'!$O$2:$S$2,0))</f>
        <v>14</v>
      </c>
      <c r="J70" s="195" t="s">
        <v>2097</v>
      </c>
      <c r="K70" s="377"/>
      <c r="L70" s="377"/>
      <c r="M70" s="825"/>
      <c r="N70" s="825"/>
      <c r="O70" s="2622">
        <v>0.0</v>
      </c>
      <c r="P70" s="2623">
        <v>1.0</v>
      </c>
      <c r="Q70" s="2623">
        <v>1.0</v>
      </c>
      <c r="R70" s="456"/>
      <c r="S70" s="164"/>
      <c r="T70" s="164"/>
      <c r="U70" s="164"/>
      <c r="V70" s="104"/>
    </row>
    <row r="71" outlineLevel="1">
      <c r="A71" s="146"/>
      <c r="B71" s="373" t="s">
        <v>1028</v>
      </c>
      <c r="C71" s="156"/>
      <c r="D71" s="210"/>
      <c r="E71" s="244" t="s">
        <v>86</v>
      </c>
      <c r="F71" s="246">
        <v>7.199999999999999</v>
      </c>
      <c r="G71" s="246">
        <v>6.12</v>
      </c>
      <c r="H71" s="138" t="s">
        <v>60</v>
      </c>
      <c r="I71" s="146"/>
      <c r="J71" s="210"/>
      <c r="K71" s="377"/>
      <c r="L71" s="377"/>
      <c r="M71" s="825"/>
      <c r="N71" s="825"/>
      <c r="O71" s="2622"/>
      <c r="P71" s="2623"/>
      <c r="Q71" s="2623"/>
      <c r="R71" s="212"/>
      <c r="V71" s="210"/>
    </row>
    <row r="72" outlineLevel="1">
      <c r="A72" s="146"/>
      <c r="B72" s="373" t="s">
        <v>3216</v>
      </c>
      <c r="C72" s="367" t="s">
        <v>1053</v>
      </c>
      <c r="D72" s="210"/>
      <c r="E72" s="244" t="s">
        <v>4139</v>
      </c>
      <c r="F72" s="246" t="s">
        <v>4140</v>
      </c>
      <c r="G72" s="246" t="s">
        <v>4141</v>
      </c>
      <c r="H72" s="138" t="s">
        <v>980</v>
      </c>
      <c r="I72" s="146"/>
      <c r="J72" s="210"/>
      <c r="K72" s="377"/>
      <c r="L72" s="377"/>
      <c r="M72" s="825"/>
      <c r="N72" s="825"/>
      <c r="O72" s="2622">
        <v>0.0</v>
      </c>
      <c r="P72" s="2623">
        <v>1.0</v>
      </c>
      <c r="Q72" s="2623">
        <v>1.0</v>
      </c>
      <c r="R72" s="212"/>
      <c r="V72" s="210"/>
    </row>
    <row r="73" outlineLevel="1">
      <c r="A73" s="156"/>
      <c r="B73" s="373" t="s">
        <v>3217</v>
      </c>
      <c r="C73" s="156"/>
      <c r="D73" s="107"/>
      <c r="E73" s="244" t="s">
        <v>4142</v>
      </c>
      <c r="F73" s="246" t="s">
        <v>4143</v>
      </c>
      <c r="G73" s="246" t="s">
        <v>4144</v>
      </c>
      <c r="H73" s="138" t="s">
        <v>1321</v>
      </c>
      <c r="I73" s="156"/>
      <c r="J73" s="107"/>
      <c r="K73" s="377"/>
      <c r="L73" s="377"/>
      <c r="M73" s="825"/>
      <c r="N73" s="825"/>
      <c r="O73" s="2622">
        <v>0.0</v>
      </c>
      <c r="P73" s="2623">
        <v>1.0</v>
      </c>
      <c r="Q73" s="2623">
        <v>1.0</v>
      </c>
      <c r="R73" s="106"/>
      <c r="S73" s="168"/>
      <c r="T73" s="168"/>
      <c r="U73" s="168"/>
      <c r="V73" s="107"/>
    </row>
    <row r="74">
      <c r="A74" s="223"/>
      <c r="B74" s="224"/>
      <c r="C74" s="225"/>
      <c r="D74" s="225"/>
      <c r="E74" s="226"/>
      <c r="F74" s="226"/>
      <c r="G74" s="226"/>
      <c r="H74" s="227"/>
      <c r="I74" s="227"/>
      <c r="J74" s="228"/>
      <c r="K74" s="228"/>
      <c r="L74" s="228"/>
      <c r="M74" s="228"/>
      <c r="N74" s="228"/>
      <c r="O74" s="228"/>
      <c r="P74" s="228"/>
      <c r="Q74" s="118"/>
      <c r="R74" s="118"/>
      <c r="S74" s="118"/>
      <c r="T74" s="118"/>
      <c r="U74" s="118"/>
      <c r="V74" s="118"/>
    </row>
    <row r="75">
      <c r="A75" s="229" t="s">
        <v>177</v>
      </c>
      <c r="B75" s="109"/>
      <c r="C75" s="225"/>
      <c r="D75" s="225"/>
      <c r="E75" s="226"/>
      <c r="F75" s="226"/>
      <c r="G75" s="226"/>
      <c r="H75" s="227"/>
      <c r="I75" s="227"/>
      <c r="J75" s="228"/>
      <c r="K75" s="228"/>
      <c r="L75" s="228"/>
      <c r="M75" s="228"/>
      <c r="N75" s="228"/>
      <c r="O75" s="228"/>
      <c r="P75" s="228"/>
      <c r="Q75" s="118"/>
      <c r="R75" s="118"/>
      <c r="S75" s="118"/>
      <c r="T75" s="118"/>
      <c r="U75" s="118"/>
      <c r="V75" s="118"/>
    </row>
    <row r="76" outlineLevel="1">
      <c r="A76" s="230" t="s">
        <v>4145</v>
      </c>
      <c r="B76" s="109"/>
      <c r="C76" s="231" t="s">
        <v>48</v>
      </c>
      <c r="D76" s="231" t="s">
        <v>49</v>
      </c>
      <c r="E76" s="232" t="s">
        <v>50</v>
      </c>
      <c r="F76" s="233" t="s">
        <v>51</v>
      </c>
      <c r="G76" s="232" t="s">
        <v>52</v>
      </c>
      <c r="H76" s="382" t="str">
        <f>'テンプレート'!H72</f>
        <v>備考</v>
      </c>
      <c r="I76" s="110"/>
      <c r="J76" s="109"/>
      <c r="K76" s="235" t="str">
        <f>'テンプレート'!K72</f>
        <v>ベクトル</v>
      </c>
      <c r="L76" s="235" t="str">
        <f>'テンプレート'!L72</f>
        <v>KBG (R.E.)</v>
      </c>
      <c r="M76" s="235" t="str">
        <f>'テンプレート'!M72</f>
        <v>BKB (R.A.)</v>
      </c>
      <c r="N76" s="235" t="str">
        <f>'テンプレート'!N72</f>
        <v>FKB (R.F.)</v>
      </c>
      <c r="O76" s="236" t="str">
        <f>'テンプレート'!O72</f>
        <v>盾削り値</v>
      </c>
      <c r="P76" s="235" t="str">
        <f>'テンプレート'!P72</f>
        <v>ﾋｯﾄｽﾄｯﾌﾟ</v>
      </c>
      <c r="Q76" s="236" t="str">
        <f>'テンプレート'!Q72</f>
        <v>ずらし</v>
      </c>
      <c r="R76" s="235" t="str">
        <f>'テンプレート'!R72</f>
        <v>相殺</v>
      </c>
      <c r="S76" s="236" t="str">
        <f>'テンプレート'!S72</f>
        <v>相殺ﾓｰｼｮﾝ</v>
      </c>
      <c r="T76" s="236" t="str">
        <f>'テンプレート'!T72</f>
        <v>飛び道具</v>
      </c>
      <c r="U76" s="236" t="str">
        <f>'テンプレート'!U72</f>
        <v>慣性反転</v>
      </c>
      <c r="V76" s="236" t="str">
        <f>'テンプレート'!V72</f>
        <v>向き反転</v>
      </c>
    </row>
    <row r="77" outlineLevel="1">
      <c r="A77" s="237" t="s">
        <v>184</v>
      </c>
      <c r="B77" s="243" t="s">
        <v>4146</v>
      </c>
      <c r="C77" s="409"/>
      <c r="D77" s="214" t="s">
        <v>274</v>
      </c>
      <c r="E77" s="409"/>
      <c r="F77" s="409"/>
      <c r="G77" s="409"/>
      <c r="H77" s="151" t="s">
        <v>4147</v>
      </c>
      <c r="I77" s="110"/>
      <c r="J77" s="109"/>
      <c r="K77" s="281"/>
      <c r="L77" s="281"/>
      <c r="M77" s="281"/>
      <c r="N77" s="281"/>
      <c r="O77" s="281"/>
      <c r="P77" s="281"/>
      <c r="Q77" s="281"/>
      <c r="R77" s="281"/>
      <c r="S77" s="281"/>
      <c r="T77" s="281"/>
      <c r="U77" s="145" t="b">
        <v>0</v>
      </c>
      <c r="V77" s="145" t="b">
        <v>0</v>
      </c>
    </row>
    <row r="78" outlineLevel="1">
      <c r="A78" s="230" t="s">
        <v>4148</v>
      </c>
      <c r="B78" s="109"/>
      <c r="C78" s="231" t="s">
        <v>48</v>
      </c>
      <c r="D78" s="231" t="s">
        <v>49</v>
      </c>
      <c r="E78" s="232" t="s">
        <v>50</v>
      </c>
      <c r="F78" s="233" t="s">
        <v>51</v>
      </c>
      <c r="G78" s="232" t="s">
        <v>52</v>
      </c>
      <c r="H78" s="382" t="str">
        <f>'テンプレート'!H75</f>
        <v>備考</v>
      </c>
      <c r="I78" s="110"/>
      <c r="J78" s="109"/>
      <c r="K78" s="235" t="str">
        <f>'テンプレート'!K75</f>
        <v>ベクトル</v>
      </c>
      <c r="L78" s="235" t="str">
        <f>'テンプレート'!L75</f>
        <v>KBG (R.E.)</v>
      </c>
      <c r="M78" s="235" t="str">
        <f>'テンプレート'!M75</f>
        <v>BKB (R.A.)</v>
      </c>
      <c r="N78" s="235" t="str">
        <f>'テンプレート'!N75</f>
        <v>FKB (R.F.)</v>
      </c>
      <c r="O78" s="236" t="str">
        <f>'テンプレート'!O75</f>
        <v>盾削り値</v>
      </c>
      <c r="P78" s="235" t="str">
        <f>'テンプレート'!P75</f>
        <v>ﾋｯﾄｽﾄｯﾌﾟ</v>
      </c>
      <c r="Q78" s="236" t="str">
        <f>'テンプレート'!Q75</f>
        <v>ずらし</v>
      </c>
      <c r="R78" s="235" t="str">
        <f>'テンプレート'!R75</f>
        <v>相殺</v>
      </c>
      <c r="S78" s="236" t="str">
        <f>'テンプレート'!S75</f>
        <v>相殺ﾓｰｼｮﾝ</v>
      </c>
      <c r="T78" s="236" t="str">
        <f>'テンプレート'!T75</f>
        <v>飛び道具</v>
      </c>
      <c r="U78" s="236" t="str">
        <f>'テンプレート'!U75</f>
        <v>慣性反転</v>
      </c>
      <c r="V78" s="236" t="str">
        <f>'テンプレート'!V75</f>
        <v>向き反転</v>
      </c>
    </row>
    <row r="79" outlineLevel="1">
      <c r="A79" s="237" t="s">
        <v>184</v>
      </c>
      <c r="B79" s="243" t="s">
        <v>152</v>
      </c>
      <c r="C79" s="369" t="s">
        <v>288</v>
      </c>
      <c r="D79" s="2624"/>
      <c r="E79" s="239" t="s">
        <v>1129</v>
      </c>
      <c r="F79" s="246" t="s">
        <v>1130</v>
      </c>
      <c r="G79" s="616" t="s">
        <v>2449</v>
      </c>
      <c r="H79" s="283" t="s">
        <v>4149</v>
      </c>
      <c r="I79" s="164"/>
      <c r="J79" s="104"/>
      <c r="K79" s="282"/>
      <c r="L79" s="282"/>
      <c r="M79" s="363"/>
      <c r="N79" s="363"/>
      <c r="O79" s="138">
        <v>7.0</v>
      </c>
      <c r="P79" s="138">
        <v>1.0</v>
      </c>
      <c r="Q79" s="138">
        <v>1.0</v>
      </c>
      <c r="R79" s="145" t="b">
        <v>1</v>
      </c>
      <c r="S79" s="145" t="b">
        <v>0</v>
      </c>
      <c r="T79" s="145"/>
      <c r="U79" s="166" t="s">
        <v>186</v>
      </c>
      <c r="V79" s="166" t="b">
        <v>1</v>
      </c>
    </row>
    <row r="80" outlineLevel="1">
      <c r="A80" s="146"/>
      <c r="B80" s="243" t="s">
        <v>4150</v>
      </c>
      <c r="C80" s="156"/>
      <c r="D80" s="210"/>
      <c r="E80" s="239" t="s">
        <v>4151</v>
      </c>
      <c r="F80" s="246" t="s">
        <v>4152</v>
      </c>
      <c r="G80" s="616" t="s">
        <v>4153</v>
      </c>
      <c r="H80" s="212"/>
      <c r="J80" s="210"/>
      <c r="K80" s="138"/>
      <c r="L80" s="138"/>
      <c r="M80" s="145"/>
      <c r="N80" s="145"/>
      <c r="O80" s="138"/>
      <c r="P80" s="138"/>
      <c r="Q80" s="138"/>
      <c r="R80" s="145" t="b">
        <v>0</v>
      </c>
      <c r="S80" s="145" t="b">
        <v>0</v>
      </c>
      <c r="T80" s="145" t="b">
        <v>0</v>
      </c>
      <c r="U80" s="146"/>
      <c r="V80" s="146"/>
    </row>
    <row r="81" outlineLevel="1">
      <c r="A81" s="146"/>
      <c r="B81" s="243" t="s">
        <v>2912</v>
      </c>
      <c r="C81" s="367" t="s">
        <v>767</v>
      </c>
      <c r="D81" s="210"/>
      <c r="E81" s="239" t="s">
        <v>4154</v>
      </c>
      <c r="F81" s="246" t="s">
        <v>4155</v>
      </c>
      <c r="G81" s="616" t="s">
        <v>4156</v>
      </c>
      <c r="H81" s="212"/>
      <c r="J81" s="210"/>
      <c r="K81" s="138"/>
      <c r="L81" s="138"/>
      <c r="M81" s="145"/>
      <c r="N81" s="145"/>
      <c r="O81" s="138">
        <v>7.0</v>
      </c>
      <c r="P81" s="138">
        <v>1.0</v>
      </c>
      <c r="Q81" s="138">
        <v>1.0</v>
      </c>
      <c r="R81" s="145" t="b">
        <v>1</v>
      </c>
      <c r="S81" s="145" t="b">
        <v>0</v>
      </c>
      <c r="T81" s="145"/>
      <c r="U81" s="146"/>
      <c r="V81" s="146"/>
    </row>
    <row r="82" outlineLevel="1">
      <c r="A82" s="146"/>
      <c r="B82" s="243" t="s">
        <v>4157</v>
      </c>
      <c r="C82" s="156"/>
      <c r="D82" s="107"/>
      <c r="E82" s="239" t="s">
        <v>4158</v>
      </c>
      <c r="F82" s="246" t="s">
        <v>4159</v>
      </c>
      <c r="G82" s="616" t="s">
        <v>4160</v>
      </c>
      <c r="H82" s="212"/>
      <c r="J82" s="210"/>
      <c r="K82" s="138"/>
      <c r="L82" s="138"/>
      <c r="M82" s="145"/>
      <c r="N82" s="145"/>
      <c r="O82" s="138"/>
      <c r="P82" s="138"/>
      <c r="Q82" s="138"/>
      <c r="R82" s="145" t="b">
        <v>0</v>
      </c>
      <c r="S82" s="145" t="b">
        <v>0</v>
      </c>
      <c r="T82" s="145" t="b">
        <v>0</v>
      </c>
      <c r="U82" s="146"/>
      <c r="V82" s="146"/>
    </row>
    <row r="83" outlineLevel="1">
      <c r="A83" s="146"/>
      <c r="B83" s="243" t="s">
        <v>174</v>
      </c>
      <c r="C83" s="367" t="s">
        <v>213</v>
      </c>
      <c r="D83" s="367" t="s">
        <v>628</v>
      </c>
      <c r="E83" s="239" t="s">
        <v>1129</v>
      </c>
      <c r="F83" s="246" t="s">
        <v>1130</v>
      </c>
      <c r="G83" s="616" t="s">
        <v>2449</v>
      </c>
      <c r="H83" s="212"/>
      <c r="J83" s="210"/>
      <c r="K83" s="138"/>
      <c r="L83" s="138"/>
      <c r="M83" s="145"/>
      <c r="N83" s="145"/>
      <c r="O83" s="138"/>
      <c r="P83" s="138"/>
      <c r="Q83" s="138"/>
      <c r="R83" s="145" t="b">
        <v>0</v>
      </c>
      <c r="S83" s="145" t="b">
        <v>0</v>
      </c>
      <c r="T83" s="145" t="b">
        <v>0</v>
      </c>
      <c r="U83" s="146"/>
      <c r="V83" s="146"/>
    </row>
    <row r="84" outlineLevel="1">
      <c r="A84" s="146"/>
      <c r="B84" s="243" t="s">
        <v>4161</v>
      </c>
      <c r="C84" s="156"/>
      <c r="D84" s="156"/>
      <c r="E84" s="239" t="s">
        <v>315</v>
      </c>
      <c r="F84" s="246" t="s">
        <v>316</v>
      </c>
      <c r="G84" s="616" t="s">
        <v>4162</v>
      </c>
      <c r="H84" s="106"/>
      <c r="I84" s="168"/>
      <c r="J84" s="107"/>
      <c r="K84" s="138"/>
      <c r="L84" s="138"/>
      <c r="M84" s="145"/>
      <c r="N84" s="145"/>
      <c r="O84" s="138">
        <v>10.0</v>
      </c>
      <c r="P84" s="138">
        <v>1.0</v>
      </c>
      <c r="Q84" s="138">
        <v>1.0</v>
      </c>
      <c r="R84" s="145" t="b">
        <v>1</v>
      </c>
      <c r="S84" s="145" t="b">
        <v>1</v>
      </c>
      <c r="T84" s="145"/>
      <c r="U84" s="156"/>
      <c r="V84" s="156"/>
    </row>
    <row r="85" outlineLevel="1">
      <c r="A85" s="230" t="s">
        <v>4163</v>
      </c>
      <c r="B85" s="109"/>
      <c r="C85" s="231" t="s">
        <v>48</v>
      </c>
      <c r="D85" s="231" t="s">
        <v>49</v>
      </c>
      <c r="E85" s="232" t="s">
        <v>50</v>
      </c>
      <c r="F85" s="233" t="s">
        <v>51</v>
      </c>
      <c r="G85" s="232" t="s">
        <v>52</v>
      </c>
      <c r="H85" s="382" t="str">
        <f>'テンプレート'!H80</f>
        <v>備考</v>
      </c>
      <c r="I85" s="110"/>
      <c r="J85" s="109"/>
      <c r="K85" s="235" t="str">
        <f>'テンプレート'!K80</f>
        <v>ベクトル</v>
      </c>
      <c r="L85" s="235" t="str">
        <f>'テンプレート'!L80</f>
        <v>KBG (R.E.)</v>
      </c>
      <c r="M85" s="235" t="str">
        <f>'テンプレート'!M80</f>
        <v>BKB (R.A.)</v>
      </c>
      <c r="N85" s="235" t="str">
        <f>'テンプレート'!N80</f>
        <v>FKB (R.F.)</v>
      </c>
      <c r="O85" s="236" t="str">
        <f>'テンプレート'!O80</f>
        <v>盾削り値</v>
      </c>
      <c r="P85" s="235" t="str">
        <f>'テンプレート'!P80</f>
        <v>ﾋｯﾄｽﾄｯﾌﾟ</v>
      </c>
      <c r="Q85" s="236" t="str">
        <f>'テンプレート'!Q80</f>
        <v>ずらし</v>
      </c>
      <c r="R85" s="235" t="str">
        <f>'テンプレート'!R80</f>
        <v>相殺</v>
      </c>
      <c r="S85" s="236" t="str">
        <f>'テンプレート'!S80</f>
        <v>相殺ﾓｰｼｮﾝ</v>
      </c>
      <c r="T85" s="236" t="str">
        <f>'テンプレート'!T80</f>
        <v>飛び道具</v>
      </c>
      <c r="U85" s="236" t="str">
        <f>'テンプレート'!U80</f>
        <v>慣性反転</v>
      </c>
      <c r="V85" s="236" t="str">
        <f>'テンプレート'!V80</f>
        <v>向き反転</v>
      </c>
    </row>
    <row r="86" ht="24.0" customHeight="1" outlineLevel="1">
      <c r="A86" s="396" t="s">
        <v>332</v>
      </c>
      <c r="B86" s="402"/>
      <c r="C86" s="244" t="s">
        <v>223</v>
      </c>
      <c r="D86" s="827"/>
      <c r="E86" s="244" t="s">
        <v>86</v>
      </c>
      <c r="F86" s="246">
        <v>7.199999999999999</v>
      </c>
      <c r="G86" s="616" t="s">
        <v>95</v>
      </c>
      <c r="H86" s="163" t="s">
        <v>4164</v>
      </c>
      <c r="I86" s="164"/>
      <c r="J86" s="104"/>
      <c r="K86" s="138"/>
      <c r="L86" s="138"/>
      <c r="M86" s="145"/>
      <c r="N86" s="145"/>
      <c r="O86" s="138">
        <v>0.0</v>
      </c>
      <c r="P86" s="138">
        <v>1.0</v>
      </c>
      <c r="Q86" s="138">
        <v>1.0</v>
      </c>
      <c r="R86" s="145" t="b">
        <v>1</v>
      </c>
      <c r="S86" s="145" t="b">
        <v>0</v>
      </c>
      <c r="T86" s="145"/>
      <c r="U86" s="166" t="s">
        <v>4165</v>
      </c>
      <c r="V86" s="166" t="b">
        <v>0</v>
      </c>
    </row>
    <row r="87" ht="24.0" customHeight="1" outlineLevel="1">
      <c r="A87" s="146"/>
      <c r="B87" s="402" t="s">
        <v>187</v>
      </c>
      <c r="C87" s="244" t="s">
        <v>383</v>
      </c>
      <c r="D87" s="146"/>
      <c r="E87" s="244" t="s">
        <v>150</v>
      </c>
      <c r="F87" s="246">
        <v>6.0</v>
      </c>
      <c r="G87" s="616" t="s">
        <v>102</v>
      </c>
      <c r="H87" s="212"/>
      <c r="J87" s="210"/>
      <c r="K87" s="138"/>
      <c r="L87" s="138"/>
      <c r="M87" s="145"/>
      <c r="N87" s="145"/>
      <c r="O87" s="138">
        <v>0.0</v>
      </c>
      <c r="P87" s="138">
        <v>1.0</v>
      </c>
      <c r="Q87" s="138">
        <v>1.0</v>
      </c>
      <c r="R87" s="145" t="b">
        <v>1</v>
      </c>
      <c r="S87" s="145" t="b">
        <v>0</v>
      </c>
      <c r="T87" s="145"/>
      <c r="U87" s="146"/>
      <c r="V87" s="146"/>
    </row>
    <row r="88" ht="24.0" customHeight="1" outlineLevel="1">
      <c r="A88" s="146"/>
      <c r="B88" s="402" t="s">
        <v>189</v>
      </c>
      <c r="C88" s="244" t="s">
        <v>460</v>
      </c>
      <c r="D88" s="146"/>
      <c r="E88" s="244" t="s">
        <v>150</v>
      </c>
      <c r="F88" s="246">
        <v>6.0</v>
      </c>
      <c r="G88" s="616" t="s">
        <v>102</v>
      </c>
      <c r="H88" s="212"/>
      <c r="J88" s="210"/>
      <c r="K88" s="138"/>
      <c r="L88" s="138"/>
      <c r="M88" s="145"/>
      <c r="N88" s="145"/>
      <c r="O88" s="138">
        <v>0.0</v>
      </c>
      <c r="P88" s="138">
        <v>1.0</v>
      </c>
      <c r="Q88" s="138">
        <v>1.0</v>
      </c>
      <c r="R88" s="145" t="b">
        <v>1</v>
      </c>
      <c r="S88" s="145" t="b">
        <v>0</v>
      </c>
      <c r="T88" s="145"/>
      <c r="U88" s="146"/>
      <c r="V88" s="146"/>
    </row>
    <row r="89" outlineLevel="1">
      <c r="A89" s="156"/>
      <c r="B89" s="402" t="s">
        <v>4166</v>
      </c>
      <c r="C89" s="244" t="s">
        <v>4167</v>
      </c>
      <c r="D89" s="156"/>
      <c r="E89" s="244" t="s">
        <v>100</v>
      </c>
      <c r="F89" s="246">
        <v>6.6</v>
      </c>
      <c r="G89" s="616" t="s">
        <v>102</v>
      </c>
      <c r="H89" s="106"/>
      <c r="I89" s="168"/>
      <c r="J89" s="107"/>
      <c r="K89" s="138"/>
      <c r="L89" s="138"/>
      <c r="M89" s="145"/>
      <c r="N89" s="145"/>
      <c r="O89" s="138">
        <v>0.0</v>
      </c>
      <c r="P89" s="138">
        <v>1.0</v>
      </c>
      <c r="Q89" s="138">
        <v>1.0</v>
      </c>
      <c r="R89" s="145" t="b">
        <v>1</v>
      </c>
      <c r="S89" s="145" t="b">
        <v>0</v>
      </c>
      <c r="T89" s="145"/>
      <c r="U89" s="156"/>
      <c r="V89" s="156"/>
    </row>
    <row r="90" outlineLevel="1">
      <c r="A90" s="230" t="s">
        <v>4168</v>
      </c>
      <c r="B90" s="109"/>
      <c r="C90" s="231" t="s">
        <v>48</v>
      </c>
      <c r="D90" s="231" t="s">
        <v>49</v>
      </c>
      <c r="E90" s="232" t="s">
        <v>50</v>
      </c>
      <c r="F90" s="233" t="s">
        <v>51</v>
      </c>
      <c r="G90" s="232" t="s">
        <v>52</v>
      </c>
      <c r="H90" s="382" t="str">
        <f>'テンプレート'!H85</f>
        <v>備考</v>
      </c>
      <c r="I90" s="110"/>
      <c r="J90" s="109"/>
      <c r="K90" s="235" t="str">
        <f>'テンプレート'!K85</f>
        <v>ベクトル</v>
      </c>
      <c r="L90" s="235" t="str">
        <f>'テンプレート'!L85</f>
        <v>KBG (R.E.)</v>
      </c>
      <c r="M90" s="235" t="str">
        <f>'テンプレート'!M85</f>
        <v>BKB (R.A.)</v>
      </c>
      <c r="N90" s="235" t="str">
        <f>'テンプレート'!N85</f>
        <v>FKB (R.F.)</v>
      </c>
      <c r="O90" s="236" t="str">
        <f>'テンプレート'!O85</f>
        <v>盾削り値</v>
      </c>
      <c r="P90" s="235" t="str">
        <f>'テンプレート'!P85</f>
        <v>ﾋｯﾄｽﾄｯﾌﾟ</v>
      </c>
      <c r="Q90" s="236" t="str">
        <f>'テンプレート'!Q85</f>
        <v>ずらし</v>
      </c>
      <c r="R90" s="235" t="str">
        <f>'テンプレート'!R85</f>
        <v>相殺</v>
      </c>
      <c r="S90" s="236" t="str">
        <f>'テンプレート'!S85</f>
        <v>相殺ﾓｰｼｮﾝ</v>
      </c>
      <c r="T90" s="236" t="str">
        <f>'テンプレート'!T85</f>
        <v>飛び道具</v>
      </c>
      <c r="U90" s="236" t="str">
        <f>'テンプレート'!U85</f>
        <v>慣性反転</v>
      </c>
      <c r="V90" s="236" t="str">
        <f>'テンプレート'!V85</f>
        <v>向き反転</v>
      </c>
    </row>
    <row r="91" outlineLevel="1">
      <c r="A91" s="237" t="s">
        <v>332</v>
      </c>
      <c r="B91" s="624" t="s">
        <v>1837</v>
      </c>
      <c r="C91" s="244" t="s">
        <v>4169</v>
      </c>
      <c r="D91" s="244" t="s">
        <v>777</v>
      </c>
      <c r="E91" s="409"/>
      <c r="F91" s="409"/>
      <c r="G91" s="409"/>
      <c r="H91" s="173" t="s">
        <v>4170</v>
      </c>
      <c r="I91" s="110"/>
      <c r="J91" s="110"/>
      <c r="K91" s="281"/>
      <c r="L91" s="281"/>
      <c r="M91" s="281"/>
      <c r="N91" s="281"/>
      <c r="O91" s="281"/>
      <c r="P91" s="281"/>
      <c r="Q91" s="281"/>
      <c r="R91" s="281"/>
      <c r="S91" s="281"/>
      <c r="T91" s="281"/>
      <c r="U91" s="166" t="b">
        <v>0</v>
      </c>
      <c r="V91" s="166" t="b">
        <v>0</v>
      </c>
    </row>
    <row r="92" outlineLevel="1">
      <c r="A92" s="146"/>
      <c r="B92" s="624" t="s">
        <v>243</v>
      </c>
      <c r="C92" s="244" t="s">
        <v>4171</v>
      </c>
      <c r="D92" s="244" t="s">
        <v>4172</v>
      </c>
      <c r="E92" s="244" t="s">
        <v>4173</v>
      </c>
      <c r="F92" s="246" t="s">
        <v>4174</v>
      </c>
      <c r="G92" s="244" t="s">
        <v>4175</v>
      </c>
      <c r="H92" s="173" t="s">
        <v>4176</v>
      </c>
      <c r="I92" s="110"/>
      <c r="J92" s="110"/>
      <c r="K92" s="138"/>
      <c r="L92" s="138"/>
      <c r="M92" s="145"/>
      <c r="N92" s="145"/>
      <c r="O92" s="138">
        <v>0.0</v>
      </c>
      <c r="P92" s="138">
        <v>1.0</v>
      </c>
      <c r="Q92" s="138">
        <v>1.0</v>
      </c>
      <c r="R92" s="145"/>
      <c r="S92" s="145"/>
      <c r="T92" s="145"/>
      <c r="U92" s="146"/>
      <c r="V92" s="146"/>
    </row>
    <row r="93" outlineLevel="1">
      <c r="A93" s="156"/>
      <c r="B93" s="624" t="s">
        <v>2261</v>
      </c>
      <c r="C93" s="244" t="s">
        <v>433</v>
      </c>
      <c r="D93" s="244" t="s">
        <v>1839</v>
      </c>
      <c r="E93" s="244" t="s">
        <v>4177</v>
      </c>
      <c r="F93" s="246" t="s">
        <v>4178</v>
      </c>
      <c r="G93" s="244" t="s">
        <v>4179</v>
      </c>
      <c r="H93" s="173" t="s">
        <v>4180</v>
      </c>
      <c r="I93" s="110"/>
      <c r="J93" s="110"/>
      <c r="K93" s="138"/>
      <c r="L93" s="138"/>
      <c r="M93" s="145"/>
      <c r="N93" s="145"/>
      <c r="O93" s="138">
        <v>0.0</v>
      </c>
      <c r="P93" s="138">
        <v>1.0</v>
      </c>
      <c r="Q93" s="138">
        <v>1.0</v>
      </c>
      <c r="R93" s="145"/>
      <c r="S93" s="145"/>
      <c r="T93" s="145"/>
      <c r="U93" s="146"/>
      <c r="V93" s="146"/>
    </row>
    <row r="94" outlineLevel="1">
      <c r="A94" s="474" t="s">
        <v>344</v>
      </c>
      <c r="B94" s="624" t="s">
        <v>1837</v>
      </c>
      <c r="C94" s="244" t="s">
        <v>4169</v>
      </c>
      <c r="D94" s="244" t="s">
        <v>993</v>
      </c>
      <c r="E94" s="409"/>
      <c r="F94" s="409"/>
      <c r="G94" s="409"/>
      <c r="H94" s="173" t="s">
        <v>4170</v>
      </c>
      <c r="I94" s="110"/>
      <c r="J94" s="110"/>
      <c r="K94" s="281"/>
      <c r="L94" s="281"/>
      <c r="M94" s="281"/>
      <c r="N94" s="281"/>
      <c r="O94" s="281"/>
      <c r="P94" s="281"/>
      <c r="Q94" s="281"/>
      <c r="R94" s="281"/>
      <c r="S94" s="281"/>
      <c r="T94" s="281"/>
      <c r="U94" s="146"/>
      <c r="V94" s="146"/>
    </row>
    <row r="95" outlineLevel="1">
      <c r="A95" s="156"/>
      <c r="B95" s="624" t="s">
        <v>243</v>
      </c>
      <c r="C95" s="244" t="s">
        <v>4171</v>
      </c>
      <c r="D95" s="244" t="s">
        <v>4110</v>
      </c>
      <c r="E95" s="244" t="s">
        <v>4173</v>
      </c>
      <c r="F95" s="246" t="s">
        <v>4174</v>
      </c>
      <c r="G95" s="244" t="s">
        <v>4175</v>
      </c>
      <c r="H95" s="173" t="s">
        <v>4181</v>
      </c>
      <c r="I95" s="110"/>
      <c r="J95" s="110"/>
      <c r="K95" s="281"/>
      <c r="L95" s="281"/>
      <c r="M95" s="281"/>
      <c r="N95" s="281"/>
      <c r="O95" s="281"/>
      <c r="P95" s="281"/>
      <c r="Q95" s="281"/>
      <c r="R95" s="281"/>
      <c r="S95" s="281"/>
      <c r="T95" s="281"/>
      <c r="U95" s="156"/>
      <c r="V95" s="156"/>
    </row>
    <row r="96">
      <c r="A96" s="223"/>
      <c r="B96" s="224"/>
      <c r="C96" s="225"/>
      <c r="D96" s="225"/>
      <c r="E96" s="226"/>
      <c r="F96" s="226"/>
      <c r="G96" s="226"/>
      <c r="H96" s="227"/>
      <c r="I96" s="227"/>
      <c r="J96" s="228"/>
      <c r="K96" s="228"/>
      <c r="L96" s="228"/>
      <c r="M96" s="228"/>
      <c r="N96" s="228"/>
      <c r="O96" s="228"/>
      <c r="P96" s="228"/>
      <c r="Q96" s="118"/>
      <c r="R96" s="118"/>
      <c r="S96" s="118"/>
      <c r="T96" s="118"/>
      <c r="U96" s="118"/>
      <c r="V96" s="118"/>
    </row>
    <row r="97">
      <c r="A97" s="264" t="s">
        <v>211</v>
      </c>
      <c r="B97" s="104"/>
      <c r="C97" s="227"/>
      <c r="D97" s="227"/>
      <c r="E97" s="228"/>
      <c r="F97" s="265"/>
      <c r="G97" s="265"/>
      <c r="H97" s="228"/>
      <c r="I97" s="228"/>
      <c r="J97" s="228"/>
      <c r="K97" s="228"/>
      <c r="L97" s="228"/>
      <c r="M97" s="228"/>
      <c r="N97" s="118"/>
      <c r="O97" s="118"/>
      <c r="P97" s="118"/>
      <c r="Q97" s="228"/>
      <c r="R97" s="228"/>
      <c r="S97" s="228"/>
      <c r="T97" s="228"/>
      <c r="U97" s="228"/>
      <c r="V97" s="228"/>
    </row>
    <row r="98" outlineLevel="1">
      <c r="A98" s="106"/>
      <c r="B98" s="107"/>
      <c r="C98" s="266" t="s">
        <v>48</v>
      </c>
      <c r="D98" s="266" t="s">
        <v>49</v>
      </c>
      <c r="E98" s="266" t="s">
        <v>50</v>
      </c>
      <c r="F98" s="267" t="s">
        <v>51</v>
      </c>
      <c r="G98" s="227"/>
      <c r="H98" s="227"/>
      <c r="I98" s="227"/>
      <c r="J98" s="228"/>
      <c r="K98" s="228"/>
      <c r="L98" s="228"/>
      <c r="M98" s="228"/>
      <c r="N98" s="228"/>
      <c r="O98" s="228"/>
      <c r="P98" s="228"/>
      <c r="Q98" s="228"/>
      <c r="R98" s="228"/>
      <c r="S98" s="228"/>
      <c r="T98" s="228"/>
      <c r="U98" s="228"/>
      <c r="V98" s="228"/>
    </row>
    <row r="99" outlineLevel="1">
      <c r="A99" s="268" t="s">
        <v>212</v>
      </c>
      <c r="B99" s="269" t="s">
        <v>212</v>
      </c>
      <c r="C99" s="1091" t="s">
        <v>213</v>
      </c>
      <c r="D99" s="113" t="s">
        <v>86</v>
      </c>
      <c r="E99" s="113" t="s">
        <v>214</v>
      </c>
      <c r="F99" s="138">
        <v>1.56</v>
      </c>
      <c r="G99" s="227"/>
      <c r="H99" s="227"/>
      <c r="I99" s="227"/>
      <c r="J99" s="228"/>
      <c r="K99" s="228"/>
      <c r="L99" s="228"/>
      <c r="M99" s="228"/>
      <c r="N99" s="228"/>
      <c r="O99" s="228"/>
      <c r="P99" s="228"/>
      <c r="Q99" s="228"/>
      <c r="R99" s="228"/>
      <c r="S99" s="228"/>
      <c r="T99" s="228"/>
      <c r="U99" s="228"/>
      <c r="V99" s="228"/>
    </row>
    <row r="100" outlineLevel="1">
      <c r="A100" s="270" t="s">
        <v>215</v>
      </c>
      <c r="B100" s="269" t="s">
        <v>216</v>
      </c>
      <c r="C100" s="244" t="s">
        <v>319</v>
      </c>
      <c r="D100" s="244" t="s">
        <v>224</v>
      </c>
      <c r="E100" s="271"/>
      <c r="F100" s="272"/>
      <c r="G100" s="272"/>
      <c r="H100" s="227"/>
      <c r="I100" s="227"/>
      <c r="J100" s="228"/>
      <c r="K100" s="228"/>
      <c r="L100" s="228"/>
      <c r="M100" s="228"/>
      <c r="N100" s="228"/>
      <c r="O100" s="228"/>
      <c r="P100" s="228"/>
      <c r="Q100" s="228"/>
      <c r="R100" s="228"/>
      <c r="S100" s="228"/>
      <c r="T100" s="228"/>
      <c r="U100" s="228"/>
      <c r="V100" s="228"/>
    </row>
    <row r="101" outlineLevel="1">
      <c r="A101" s="212"/>
      <c r="B101" s="269" t="s">
        <v>219</v>
      </c>
      <c r="C101" s="244" t="s">
        <v>223</v>
      </c>
      <c r="D101" s="244" t="s">
        <v>393</v>
      </c>
      <c r="E101" s="271"/>
      <c r="F101" s="272"/>
      <c r="G101" s="272"/>
      <c r="H101" s="227"/>
      <c r="I101" s="227"/>
      <c r="J101" s="228"/>
      <c r="K101" s="228"/>
      <c r="L101" s="228"/>
      <c r="M101" s="228"/>
      <c r="N101" s="228"/>
      <c r="O101" s="228"/>
      <c r="P101" s="228"/>
      <c r="Q101" s="228"/>
      <c r="R101" s="228"/>
      <c r="S101" s="228"/>
      <c r="T101" s="228"/>
      <c r="U101" s="228"/>
      <c r="V101" s="228"/>
    </row>
    <row r="102" outlineLevel="1">
      <c r="A102" s="106"/>
      <c r="B102" s="269" t="s">
        <v>222</v>
      </c>
      <c r="C102" s="244" t="s">
        <v>299</v>
      </c>
      <c r="D102" s="244" t="s">
        <v>118</v>
      </c>
      <c r="E102" s="227"/>
      <c r="F102" s="272"/>
      <c r="G102" s="272"/>
      <c r="H102" s="227"/>
      <c r="I102" s="227"/>
      <c r="J102" s="228"/>
      <c r="K102" s="228"/>
      <c r="L102" s="228"/>
      <c r="M102" s="228"/>
      <c r="N102" s="228"/>
      <c r="O102" s="228"/>
      <c r="P102" s="228"/>
      <c r="Q102" s="228"/>
      <c r="R102" s="228"/>
      <c r="S102" s="228"/>
      <c r="T102" s="228"/>
      <c r="U102" s="228"/>
      <c r="V102" s="228"/>
    </row>
    <row r="103" outlineLevel="1">
      <c r="A103" s="273" t="s">
        <v>225</v>
      </c>
      <c r="B103" s="109"/>
      <c r="C103" s="266" t="s">
        <v>48</v>
      </c>
      <c r="D103" s="266" t="s">
        <v>49</v>
      </c>
      <c r="E103" s="266" t="s">
        <v>50</v>
      </c>
      <c r="F103" s="267" t="s">
        <v>51</v>
      </c>
      <c r="G103" s="1168" t="s">
        <v>53</v>
      </c>
      <c r="H103" s="110"/>
      <c r="I103" s="110"/>
      <c r="J103" s="109"/>
      <c r="K103" s="275" t="str">
        <f>'テンプレート'!K97</f>
        <v>ベクトル</v>
      </c>
      <c r="L103" s="275" t="str">
        <f>'テンプレート'!L97</f>
        <v>KBG (R.E.)</v>
      </c>
      <c r="M103" s="275" t="str">
        <f>'テンプレート'!M97</f>
        <v>BKB (R.A.)</v>
      </c>
      <c r="N103" s="275" t="str">
        <f>'テンプレート'!N97</f>
        <v>FKB (R.F.)</v>
      </c>
      <c r="O103" s="276" t="str">
        <f>'テンプレート'!O97</f>
        <v>盾削り値</v>
      </c>
      <c r="P103" s="275" t="str">
        <f>'テンプレート'!P97</f>
        <v>ﾋｯﾄｽﾄｯﾌﾟ</v>
      </c>
      <c r="Q103" s="276" t="str">
        <f>'テンプレート'!Q97</f>
        <v>ずらし</v>
      </c>
      <c r="R103" s="277"/>
      <c r="S103" s="277"/>
      <c r="T103" s="277"/>
      <c r="U103" s="277"/>
      <c r="V103" s="277"/>
    </row>
    <row r="104" outlineLevel="1">
      <c r="A104" s="278" t="s">
        <v>226</v>
      </c>
      <c r="B104" s="269" t="s">
        <v>227</v>
      </c>
      <c r="C104" s="113" t="s">
        <v>561</v>
      </c>
      <c r="D104" s="1397">
        <v>37.0</v>
      </c>
      <c r="E104" s="244" t="s">
        <v>204</v>
      </c>
      <c r="F104" s="138">
        <v>3.5999999999999996</v>
      </c>
      <c r="G104" s="1170"/>
      <c r="H104" s="164"/>
      <c r="I104" s="164"/>
      <c r="J104" s="104"/>
      <c r="K104" s="282"/>
      <c r="L104" s="282"/>
      <c r="M104" s="363"/>
      <c r="N104" s="363"/>
      <c r="O104" s="145">
        <v>0.0</v>
      </c>
      <c r="P104" s="145">
        <v>1.0</v>
      </c>
      <c r="Q104" s="145">
        <v>1.0</v>
      </c>
      <c r="R104" s="277"/>
      <c r="S104" s="228"/>
      <c r="T104" s="228"/>
      <c r="U104" s="228"/>
      <c r="V104" s="228"/>
    </row>
    <row r="105" outlineLevel="1">
      <c r="A105" s="156"/>
      <c r="B105" s="269" t="s">
        <v>225</v>
      </c>
      <c r="C105" s="113">
        <v>16.0</v>
      </c>
      <c r="D105" s="156"/>
      <c r="E105" s="244" t="s">
        <v>150</v>
      </c>
      <c r="F105" s="138">
        <v>6.0</v>
      </c>
      <c r="G105" s="106"/>
      <c r="H105" s="168"/>
      <c r="I105" s="168"/>
      <c r="J105" s="107"/>
      <c r="K105" s="282"/>
      <c r="L105" s="282"/>
      <c r="M105" s="363"/>
      <c r="N105" s="363"/>
      <c r="O105" s="261"/>
      <c r="P105" s="261"/>
      <c r="Q105" s="261"/>
      <c r="R105" s="277"/>
      <c r="S105" s="228"/>
      <c r="T105" s="228"/>
      <c r="U105" s="228"/>
      <c r="V105" s="228"/>
    </row>
    <row r="106" outlineLevel="1">
      <c r="A106" s="278" t="s">
        <v>229</v>
      </c>
      <c r="B106" s="269" t="s">
        <v>227</v>
      </c>
      <c r="C106" s="113" t="s">
        <v>653</v>
      </c>
      <c r="D106" s="1397">
        <v>44.0</v>
      </c>
      <c r="E106" s="244" t="s">
        <v>204</v>
      </c>
      <c r="F106" s="138">
        <v>3.5999999999999996</v>
      </c>
      <c r="G106" s="1170"/>
      <c r="H106" s="164"/>
      <c r="I106" s="164"/>
      <c r="J106" s="104"/>
      <c r="K106" s="282"/>
      <c r="L106" s="282"/>
      <c r="M106" s="363"/>
      <c r="N106" s="363"/>
      <c r="O106" s="145">
        <v>0.0</v>
      </c>
      <c r="P106" s="145">
        <v>1.0</v>
      </c>
      <c r="Q106" s="145">
        <v>1.0</v>
      </c>
      <c r="R106" s="277"/>
      <c r="S106" s="228"/>
      <c r="T106" s="228"/>
      <c r="U106" s="228"/>
      <c r="V106" s="228"/>
    </row>
    <row r="107" outlineLevel="1">
      <c r="A107" s="156"/>
      <c r="B107" s="269" t="s">
        <v>225</v>
      </c>
      <c r="C107" s="113">
        <v>20.0</v>
      </c>
      <c r="D107" s="156"/>
      <c r="E107" s="244" t="s">
        <v>86</v>
      </c>
      <c r="F107" s="138">
        <v>7.199999999999999</v>
      </c>
      <c r="G107" s="106"/>
      <c r="H107" s="168"/>
      <c r="I107" s="168"/>
      <c r="J107" s="107"/>
      <c r="K107" s="282"/>
      <c r="L107" s="282"/>
      <c r="M107" s="363"/>
      <c r="N107" s="363"/>
      <c r="O107" s="261"/>
      <c r="P107" s="261"/>
      <c r="Q107" s="261"/>
      <c r="R107" s="277"/>
      <c r="S107" s="228"/>
      <c r="T107" s="228"/>
      <c r="U107" s="228"/>
      <c r="V107" s="228"/>
    </row>
    <row r="108" outlineLevel="1">
      <c r="A108" s="278" t="s">
        <v>233</v>
      </c>
      <c r="B108" s="269" t="s">
        <v>227</v>
      </c>
      <c r="C108" s="113" t="s">
        <v>351</v>
      </c>
      <c r="D108" s="1397">
        <v>47.0</v>
      </c>
      <c r="E108" s="244" t="s">
        <v>204</v>
      </c>
      <c r="F108" s="138">
        <v>3.5999999999999996</v>
      </c>
      <c r="G108" s="1170"/>
      <c r="H108" s="164"/>
      <c r="I108" s="164"/>
      <c r="J108" s="104"/>
      <c r="K108" s="282"/>
      <c r="L108" s="282"/>
      <c r="M108" s="363"/>
      <c r="N108" s="363"/>
      <c r="O108" s="145">
        <v>0.0</v>
      </c>
      <c r="P108" s="145">
        <v>1.0</v>
      </c>
      <c r="Q108" s="145">
        <v>1.0</v>
      </c>
      <c r="R108" s="277"/>
      <c r="S108" s="228"/>
      <c r="T108" s="228"/>
      <c r="U108" s="228"/>
      <c r="V108" s="228"/>
    </row>
    <row r="109" outlineLevel="1">
      <c r="A109" s="156"/>
      <c r="B109" s="269" t="s">
        <v>225</v>
      </c>
      <c r="C109" s="113">
        <v>22.0</v>
      </c>
      <c r="D109" s="156"/>
      <c r="E109" s="244" t="s">
        <v>73</v>
      </c>
      <c r="F109" s="138">
        <v>4.8</v>
      </c>
      <c r="G109" s="106"/>
      <c r="H109" s="168"/>
      <c r="I109" s="168"/>
      <c r="J109" s="107"/>
      <c r="K109" s="282"/>
      <c r="L109" s="282"/>
      <c r="M109" s="363"/>
      <c r="N109" s="363"/>
      <c r="O109" s="261"/>
      <c r="P109" s="261"/>
      <c r="Q109" s="261"/>
      <c r="R109" s="277"/>
      <c r="S109" s="117"/>
      <c r="T109" s="117"/>
      <c r="U109" s="117"/>
      <c r="V109" s="117"/>
    </row>
    <row r="110" outlineLevel="1">
      <c r="A110" s="278" t="s">
        <v>234</v>
      </c>
      <c r="B110" s="269" t="s">
        <v>227</v>
      </c>
      <c r="C110" s="113" t="s">
        <v>377</v>
      </c>
      <c r="D110" s="1397">
        <v>43.0</v>
      </c>
      <c r="E110" s="244" t="s">
        <v>204</v>
      </c>
      <c r="F110" s="138">
        <v>3.5999999999999996</v>
      </c>
      <c r="G110" s="1170"/>
      <c r="H110" s="164"/>
      <c r="I110" s="164"/>
      <c r="J110" s="104"/>
      <c r="K110" s="282"/>
      <c r="L110" s="282"/>
      <c r="M110" s="363"/>
      <c r="N110" s="363"/>
      <c r="O110" s="145">
        <v>0.0</v>
      </c>
      <c r="P110" s="145">
        <v>1.0</v>
      </c>
      <c r="Q110" s="145">
        <v>1.0</v>
      </c>
      <c r="R110" s="277"/>
      <c r="S110" s="117"/>
      <c r="T110" s="117"/>
      <c r="U110" s="117"/>
      <c r="V110" s="117"/>
    </row>
    <row r="111" outlineLevel="1">
      <c r="A111" s="156"/>
      <c r="B111" s="269" t="s">
        <v>225</v>
      </c>
      <c r="C111" s="113">
        <v>25.0</v>
      </c>
      <c r="D111" s="156"/>
      <c r="E111" s="244" t="s">
        <v>535</v>
      </c>
      <c r="F111" s="138">
        <v>3.0</v>
      </c>
      <c r="G111" s="106"/>
      <c r="H111" s="168"/>
      <c r="I111" s="168"/>
      <c r="J111" s="107"/>
      <c r="K111" s="282"/>
      <c r="L111" s="282"/>
      <c r="M111" s="363"/>
      <c r="N111" s="363"/>
      <c r="O111" s="261"/>
      <c r="P111" s="1584" t="s">
        <v>2366</v>
      </c>
      <c r="Q111" s="261"/>
      <c r="R111" s="277"/>
      <c r="S111" s="117"/>
      <c r="T111" s="117"/>
      <c r="U111" s="117"/>
      <c r="V111" s="117"/>
    </row>
    <row r="112">
      <c r="A112" s="223"/>
      <c r="B112" s="224"/>
      <c r="C112" s="225"/>
      <c r="D112" s="225"/>
      <c r="E112" s="227"/>
      <c r="F112" s="177"/>
      <c r="G112" s="177"/>
      <c r="H112" s="227"/>
      <c r="I112" s="227"/>
      <c r="J112" s="228"/>
      <c r="K112" s="228"/>
      <c r="L112" s="111"/>
      <c r="M112" s="111"/>
      <c r="N112" s="111"/>
      <c r="O112" s="117"/>
      <c r="P112" s="117"/>
      <c r="Q112" s="111"/>
      <c r="R112" s="111"/>
      <c r="S112" s="111"/>
      <c r="T112" s="111"/>
      <c r="U112" s="111"/>
      <c r="V112" s="111"/>
    </row>
    <row r="113">
      <c r="A113" s="284" t="s">
        <v>241</v>
      </c>
      <c r="B113" s="104"/>
      <c r="C113" s="265"/>
      <c r="D113" s="111"/>
      <c r="E113" s="111"/>
      <c r="F113" s="111"/>
      <c r="G113" s="111"/>
      <c r="H113" s="111"/>
      <c r="I113" s="111"/>
      <c r="J113" s="118"/>
      <c r="K113" s="111"/>
      <c r="L113" s="111"/>
      <c r="M113" s="111"/>
      <c r="N113" s="111"/>
      <c r="O113" s="111"/>
      <c r="P113" s="111"/>
      <c r="Q113" s="118"/>
      <c r="R113" s="111"/>
      <c r="S113" s="111"/>
      <c r="T113" s="111"/>
      <c r="U113" s="111"/>
      <c r="V113" s="111"/>
    </row>
    <row r="114" outlineLevel="1">
      <c r="A114" s="106"/>
      <c r="B114" s="107"/>
      <c r="C114" s="285" t="s">
        <v>235</v>
      </c>
      <c r="D114" s="285" t="s">
        <v>236</v>
      </c>
      <c r="E114" s="285" t="s">
        <v>49</v>
      </c>
      <c r="F114" s="285" t="s">
        <v>237</v>
      </c>
      <c r="G114" s="286"/>
      <c r="H114" s="227"/>
      <c r="I114" s="227"/>
      <c r="J114" s="228"/>
      <c r="K114" s="228"/>
      <c r="L114" s="111"/>
      <c r="M114" s="111"/>
      <c r="N114" s="111"/>
      <c r="O114" s="111"/>
      <c r="P114" s="111"/>
      <c r="Q114" s="111"/>
      <c r="R114" s="111"/>
      <c r="S114" s="111"/>
      <c r="T114" s="111"/>
      <c r="U114" s="111"/>
      <c r="V114" s="111"/>
    </row>
    <row r="115" outlineLevel="1">
      <c r="A115" s="287" t="s">
        <v>395</v>
      </c>
      <c r="B115" s="288" t="s">
        <v>216</v>
      </c>
      <c r="C115" s="113" t="str">
        <f t="array" ref="C115">INDEX('回避'!$C$3:$U$84, MATCH($A$1,'回避'!$A$3:$A$91,0), MATCH(C114,'回避'!$C$2:$F$2,0))</f>
        <v>3-17</v>
      </c>
      <c r="D115" s="113" t="str">
        <f t="array" ref="D115">INDEX('回避'!$C$3:$U$84, MATCH($A$1,'回避'!$A$3:$A$91,0), MATCH(D114,'回避'!$C$2:$F$2,0))</f>
        <v>6-17</v>
      </c>
      <c r="E115" s="113" t="str">
        <f t="array" ref="E115">INDEX('回避'!$C$3:$U$84, MATCH($A$1,'回避'!$A$3:$A$91,0), MATCH(E114,'回避'!$C$2:$F$2,0))</f>
        <v>25 (20)</v>
      </c>
      <c r="F115" s="113" t="str">
        <f t="array" ref="F115">INDEX('回避'!$C$3:$U$84, MATCH($A$1,'回避'!$A$3:$A$91,0), MATCH(F114,'回避'!$C$2:$F$2,0))</f>
        <v>33 (27)</v>
      </c>
      <c r="G115" s="272"/>
      <c r="H115" s="227"/>
      <c r="I115" s="227"/>
      <c r="J115" s="228"/>
      <c r="K115" s="228"/>
      <c r="L115" s="228"/>
      <c r="M115" s="111"/>
      <c r="N115" s="111"/>
      <c r="O115" s="111"/>
      <c r="P115" s="111"/>
      <c r="Q115" s="111"/>
      <c r="R115" s="111"/>
      <c r="S115" s="111"/>
      <c r="T115" s="111"/>
      <c r="U115" s="111"/>
      <c r="V115" s="111"/>
    </row>
    <row r="116" outlineLevel="1">
      <c r="A116" s="212"/>
      <c r="B116" s="288" t="s">
        <v>245</v>
      </c>
      <c r="C116" s="113" t="str">
        <f t="array" ref="C116">INDEX('回避'!$G$3:$U$84, MATCH($A$1,'回避'!$A$3:$A$91,0), MATCH(C114,'回避'!$G$2:$J$2,0))</f>
        <v>4-15</v>
      </c>
      <c r="D116" s="113" t="str">
        <f t="array" ref="D116">INDEX('回避'!$G$3:$U$84, MATCH($A$1,'回避'!$A$3:$A$91,0), MATCH(D114,'回避'!$G$2:$J$2,0))</f>
        <v>8-14</v>
      </c>
      <c r="E116" s="113" t="str">
        <f t="array" ref="E116">INDEX('回避'!$G$3:$U$84, MATCH($A$1,'回避'!$A$3:$A$91,0), MATCH(E114,'回避'!$G$2:$J$2,0))</f>
        <v>29</v>
      </c>
      <c r="F116" s="113">
        <f t="array" ref="F116">INDEX('回避'!$G$3:$U$84, MATCH($A$1,'回避'!$A$3:$A$91,0), MATCH(F114,'回避'!$G$2:$J$2,0))</f>
        <v>38</v>
      </c>
      <c r="G116" s="289"/>
      <c r="H116" s="227"/>
      <c r="I116" s="227"/>
      <c r="J116" s="228"/>
      <c r="K116" s="228"/>
      <c r="L116" s="228"/>
      <c r="M116" s="228"/>
      <c r="N116" s="228"/>
      <c r="O116" s="111"/>
      <c r="P116" s="111"/>
      <c r="Q116" s="111"/>
      <c r="R116" s="111"/>
      <c r="S116" s="111"/>
      <c r="T116" s="111"/>
      <c r="U116" s="111"/>
      <c r="V116" s="111"/>
    </row>
    <row r="117" outlineLevel="1">
      <c r="A117" s="106"/>
      <c r="B117" s="288" t="s">
        <v>246</v>
      </c>
      <c r="C117" s="113" t="str">
        <f t="array" ref="C117">INDEX('回避'!$K$3:$U$84, MATCH($A$1,'回避'!$A$3:$A$91,0), MATCH(C114,'回避'!$K$2:$N$2,0))</f>
        <v>5-16</v>
      </c>
      <c r="D117" s="113" t="str">
        <f t="array" ref="D117">INDEX('回避'!$K$3:$U$84, MATCH($A$1,'回避'!$A$3:$A$91,0), MATCH(D114,'回避'!$K$2:$N$2,0))</f>
        <v>9-14</v>
      </c>
      <c r="E117" s="113" t="str">
        <f t="array" ref="E117">INDEX('回避'!$K$3:$U$84, MATCH($A$1,'回避'!$A$3:$A$91,0), MATCH(E114,'回避'!$K$2:$N$2,0))</f>
        <v>34</v>
      </c>
      <c r="F117" s="113" t="str">
        <f t="array" ref="F117">INDEX('回避'!$K$3:$U$84, MATCH($A$1,'回避'!$A$3:$A$91,0), MATCH(F114,'回避'!$K$2:$N$2,0))</f>
        <v>51</v>
      </c>
      <c r="G117" s="289"/>
      <c r="H117" s="290"/>
      <c r="I117" s="290"/>
      <c r="J117" s="117"/>
      <c r="K117" s="117"/>
      <c r="L117" s="117"/>
      <c r="M117" s="117"/>
      <c r="N117" s="117"/>
      <c r="O117" s="111"/>
      <c r="P117" s="111"/>
      <c r="Q117" s="111"/>
      <c r="R117" s="111"/>
      <c r="S117" s="111"/>
      <c r="T117" s="111"/>
      <c r="U117" s="111"/>
      <c r="V117" s="111"/>
    </row>
    <row r="118" outlineLevel="1">
      <c r="A118" s="287" t="s">
        <v>396</v>
      </c>
      <c r="B118" s="288" t="s">
        <v>397</v>
      </c>
      <c r="C118" s="113" t="str">
        <f t="array" ref="C118">INDEX('回避'!$O$3:$U$84, MATCH($A$1,'回避'!$A$3:$A$91,0), MATCH(C114,'回避'!$O$2:$R$2,0))</f>
        <v>3-30</v>
      </c>
      <c r="D118" s="113" t="str">
        <f t="array" ref="D118">INDEX('回避'!$O$3:$U$84, MATCH($A$1,'回避'!$A$3:$A$91,0), MATCH(D114,'回避'!$O$2:$R$2,0))</f>
        <v>6-27</v>
      </c>
      <c r="E118" s="113" t="str">
        <f t="array" ref="E118">INDEX('回避'!$O$3:$U$84, MATCH($A$1,'回避'!$A$3:$A$91,0), MATCH(E114,'回避'!$O$2:$R$2,0))</f>
        <v>49</v>
      </c>
      <c r="F118" s="177"/>
      <c r="G118" s="177"/>
      <c r="H118" s="118"/>
      <c r="I118" s="118"/>
      <c r="J118" s="111"/>
      <c r="K118" s="111"/>
      <c r="L118" s="111"/>
      <c r="M118" s="111"/>
      <c r="N118" s="111"/>
      <c r="O118" s="228"/>
      <c r="P118" s="228"/>
      <c r="Q118" s="228"/>
      <c r="R118" s="228"/>
      <c r="S118" s="228"/>
      <c r="T118" s="228"/>
      <c r="U118" s="228"/>
      <c r="V118" s="228"/>
    </row>
    <row r="119" outlineLevel="1">
      <c r="A119" s="106"/>
      <c r="B119" s="288" t="s">
        <v>398</v>
      </c>
      <c r="C119" s="113" t="str">
        <f t="array" ref="C119">INDEX('回避'!$S$3:$U$84, MATCH($A$1,'回避'!$A$3:$A$91,0), MATCH(C114,'回避'!$S$2:$U$2,0))</f>
        <v>3-21</v>
      </c>
      <c r="D119" s="113" t="str">
        <f t="array" ref="D119">INDEX('回避'!$S$3:$U$84, MATCH($A$1,'回避'!$A$3:$A$91,0), MATCH(D114,'回避'!$S$2:$U$2,0))</f>
        <v>6-20</v>
      </c>
      <c r="E119" s="113" t="str">
        <f t="array" ref="E119">INDEX('回避'!$S$3:$U$84, MATCH($A$1,'回避'!$A$3:$A$91,0), MATCH(E114,'回避'!$S$2:$U$2,0))</f>
        <v>真横：83
真上：107
真下：68</v>
      </c>
      <c r="F119" s="289"/>
      <c r="G119" s="289"/>
      <c r="H119" s="118"/>
      <c r="I119" s="118"/>
      <c r="J119" s="117"/>
      <c r="K119" s="117"/>
      <c r="L119" s="117"/>
      <c r="M119" s="117"/>
      <c r="N119" s="111"/>
      <c r="O119" s="118"/>
      <c r="P119" s="118"/>
      <c r="Q119" s="118"/>
      <c r="R119" s="118"/>
      <c r="S119" s="118"/>
      <c r="T119" s="118"/>
      <c r="U119" s="118"/>
      <c r="V119" s="118"/>
    </row>
    <row r="120">
      <c r="A120" s="291"/>
      <c r="B120" s="292"/>
      <c r="C120" s="286"/>
      <c r="D120" s="286"/>
      <c r="E120" s="293"/>
      <c r="F120" s="286"/>
      <c r="G120" s="286"/>
      <c r="H120" s="286"/>
      <c r="I120" s="286"/>
      <c r="J120" s="111"/>
      <c r="K120" s="227"/>
      <c r="L120" s="227"/>
      <c r="M120" s="227"/>
      <c r="N120" s="227"/>
      <c r="O120" s="118"/>
      <c r="P120" s="118"/>
      <c r="Q120" s="118"/>
      <c r="R120" s="118"/>
      <c r="S120" s="118"/>
      <c r="T120" s="118"/>
      <c r="U120" s="118"/>
      <c r="V120" s="118"/>
    </row>
    <row r="121">
      <c r="A121" s="2534" t="s">
        <v>238</v>
      </c>
      <c r="B121" s="104"/>
      <c r="C121" s="2535"/>
      <c r="D121" s="2536"/>
      <c r="E121" s="2535"/>
      <c r="F121" s="2537"/>
      <c r="G121" s="2537"/>
      <c r="H121" s="117"/>
      <c r="I121" s="117"/>
      <c r="J121" s="118"/>
      <c r="K121" s="118"/>
      <c r="L121" s="118"/>
      <c r="M121" s="118"/>
      <c r="N121" s="118"/>
      <c r="O121" s="118"/>
      <c r="P121" s="118"/>
      <c r="Q121" s="118"/>
      <c r="R121" s="118"/>
      <c r="S121" s="118"/>
      <c r="T121" s="118"/>
      <c r="U121" s="118"/>
      <c r="V121" s="118"/>
    </row>
    <row r="122" outlineLevel="1">
      <c r="A122" s="106"/>
      <c r="B122" s="107"/>
      <c r="C122" s="2538" t="s">
        <v>235</v>
      </c>
      <c r="D122" s="2538" t="s">
        <v>49</v>
      </c>
      <c r="E122" s="2538" t="s">
        <v>48</v>
      </c>
      <c r="F122" s="2538" t="s">
        <v>50</v>
      </c>
      <c r="G122" s="2539" t="s">
        <v>51</v>
      </c>
      <c r="H122" s="228"/>
      <c r="I122" s="228"/>
      <c r="J122" s="117"/>
      <c r="K122" s="297" t="str">
        <f>'テンプレート'!K116</f>
        <v>アイテム取得</v>
      </c>
      <c r="L122" s="109"/>
      <c r="M122" s="298" t="str">
        <f>'テンプレート'!M116</f>
        <v>取得フレーム</v>
      </c>
      <c r="N122" s="298" t="str">
        <f>'テンプレート'!N116</f>
        <v>全体フレーム</v>
      </c>
      <c r="O122" s="118"/>
      <c r="P122" s="118"/>
      <c r="Q122" s="118"/>
      <c r="R122" s="118"/>
      <c r="S122" s="118"/>
      <c r="T122" s="118"/>
      <c r="U122" s="118"/>
      <c r="V122" s="118"/>
    </row>
    <row r="123" outlineLevel="1">
      <c r="A123" s="299" t="s">
        <v>239</v>
      </c>
      <c r="B123" s="300" t="s">
        <v>240</v>
      </c>
      <c r="C123" s="1162"/>
      <c r="D123" s="518">
        <f t="array" ref="D123">INDEX('崖行動・受け身'!$C$3:$C128, MATCH($A$1,'崖行動・受け身'!$A$3:$A$115,0), MATCH(D122,'崖行動・受け身'!$C$2,0))</f>
        <v>19</v>
      </c>
      <c r="E123" s="1162"/>
      <c r="F123" s="1162"/>
      <c r="G123" s="1162"/>
      <c r="H123" s="228"/>
      <c r="I123" s="228"/>
      <c r="J123" s="111"/>
      <c r="K123" s="302" t="str">
        <f>'テンプレート'!K117</f>
        <v>小アイテム</v>
      </c>
      <c r="L123" s="303" t="str">
        <f>'テンプレート'!L117</f>
        <v>その場</v>
      </c>
      <c r="M123" s="113" t="s">
        <v>76</v>
      </c>
      <c r="N123" s="113">
        <v>7.0</v>
      </c>
      <c r="O123" s="118"/>
      <c r="P123" s="118"/>
      <c r="Q123" s="118"/>
      <c r="R123" s="118"/>
      <c r="S123" s="118"/>
      <c r="T123" s="118"/>
      <c r="U123" s="118"/>
      <c r="V123" s="118"/>
    </row>
    <row r="124" outlineLevel="1">
      <c r="A124" s="146"/>
      <c r="B124" s="300" t="s">
        <v>216</v>
      </c>
      <c r="C124" s="518" t="str">
        <f t="array" ref="C124">INDEX('崖行動・受け身'!$D$3:$E128, MATCH($A$1,'崖行動・受け身'!$A$3:$A$115,0), MATCH(C122,'崖行動・受け身'!$D$2:$E$2,0))</f>
        <v>1-33</v>
      </c>
      <c r="D124" s="518">
        <f t="array" ref="D124">INDEX('崖行動・受け身'!$D$3:$E128, MATCH($A$1,'崖行動・受け身'!$A$3:$A$115,0), MATCH(D122,'崖行動・受け身'!$D$2:$E$2,0))</f>
        <v>34</v>
      </c>
      <c r="E124" s="1162"/>
      <c r="F124" s="1162"/>
      <c r="G124" s="1162"/>
      <c r="H124" s="228"/>
      <c r="I124" s="228"/>
      <c r="J124" s="117"/>
      <c r="K124" s="156"/>
      <c r="L124" s="303" t="str">
        <f>'テンプレート'!L118</f>
        <v>歩き</v>
      </c>
      <c r="M124" s="113" t="s">
        <v>76</v>
      </c>
      <c r="N124" s="113">
        <v>19.0</v>
      </c>
      <c r="O124" s="118"/>
      <c r="P124" s="118"/>
      <c r="Q124" s="118"/>
      <c r="R124" s="118"/>
      <c r="S124" s="118"/>
      <c r="T124" s="118"/>
      <c r="U124" s="118"/>
      <c r="V124" s="118"/>
    </row>
    <row r="125" outlineLevel="1">
      <c r="A125" s="146"/>
      <c r="B125" s="300" t="s">
        <v>241</v>
      </c>
      <c r="C125" s="518" t="str">
        <f t="array" ref="C125">INDEX('崖行動・受け身'!$F$3:$G$115, MATCH($A$1,'崖行動・受け身'!$A$3:$A$115,0), MATCH(C122,'崖行動・受け身'!$F$2:$G$2,0))</f>
        <v>1-28</v>
      </c>
      <c r="D125" s="518">
        <f t="array" ref="D125">INDEX('崖行動・受け身'!$F$3:$G$115, MATCH($A$1,'崖行動・受け身'!$A$3:$A$115,0), MATCH(D122,'崖行動・受け身'!$F$2:$G$2,0))</f>
        <v>45</v>
      </c>
      <c r="E125" s="1162"/>
      <c r="F125" s="1162"/>
      <c r="G125" s="1162"/>
      <c r="H125" s="228"/>
      <c r="I125" s="228"/>
      <c r="J125" s="111"/>
      <c r="K125" s="304" t="str">
        <f>'テンプレート'!K119</f>
        <v>アイテム投擲</v>
      </c>
      <c r="L125" s="109"/>
      <c r="M125" s="298" t="str">
        <f>'テンプレート'!M119</f>
        <v>投擲フレーム</v>
      </c>
      <c r="N125" s="298" t="str">
        <f>'テンプレート'!N119</f>
        <v>全体フレーム</v>
      </c>
      <c r="O125" s="118"/>
      <c r="P125" s="118"/>
      <c r="Q125" s="118"/>
      <c r="R125" s="118"/>
      <c r="S125" s="118"/>
      <c r="T125" s="118"/>
      <c r="U125" s="118"/>
      <c r="V125" s="118"/>
    </row>
    <row r="126" outlineLevel="1">
      <c r="A126" s="146"/>
      <c r="B126" s="300" t="s">
        <v>242</v>
      </c>
      <c r="C126" s="518" t="str">
        <f t="array" ref="C126">INDEX('崖行動・受け身'!$H$3:$I$115, MATCH($A$1,'崖行動・受け身'!$A$3:$A$115,0), MATCH(C122,'崖行動・受け身'!$H$2:$I$2,0))</f>
        <v>1-12</v>
      </c>
      <c r="D126" s="518">
        <f t="array" ref="D126">INDEX('崖行動・受け身'!$H$3:$I$115, MATCH($A$1,'崖行動・受け身'!$A$3:$A$115,0), MATCH(D122,'崖行動・受け身'!$H$2:$I$2,0))</f>
        <v>14</v>
      </c>
      <c r="E126" s="1162"/>
      <c r="F126" s="1162"/>
      <c r="G126" s="1162"/>
      <c r="H126" s="228"/>
      <c r="I126" s="228"/>
      <c r="J126" s="117"/>
      <c r="K126" s="305" t="str">
        <f>'テンプレート'!K120</f>
        <v>地上投擲</v>
      </c>
      <c r="L126" s="303" t="str">
        <f>'テンプレート'!L120</f>
        <v>前投げ</v>
      </c>
      <c r="M126" s="113" t="s">
        <v>128</v>
      </c>
      <c r="N126" s="113">
        <v>24.0</v>
      </c>
      <c r="O126" s="111"/>
      <c r="P126" s="111"/>
      <c r="Q126" s="111"/>
      <c r="R126" s="111"/>
      <c r="S126" s="111"/>
      <c r="T126" s="111"/>
      <c r="U126" s="111"/>
      <c r="V126" s="111"/>
    </row>
    <row r="127" outlineLevel="1">
      <c r="A127" s="156"/>
      <c r="B127" s="300" t="s">
        <v>243</v>
      </c>
      <c r="C127" s="518" t="str">
        <f t="array" ref="C127">INDEX('崖行動・受け身'!$J$3:$M$115, MATCH($A$1,'崖行動・受け身'!$A$3:$A$115,0), MATCH(C122,'崖行動・受け身'!$J$2:$M$2,0))</f>
        <v>1-26</v>
      </c>
      <c r="D127" s="518">
        <f t="array" ref="D127">INDEX('崖行動・受け身'!$J$3:$M$115, MATCH($A$1,'崖行動・受け身'!$A$3:$A$115,0), MATCH(D122,'崖行動・受け身'!$J$2:$M$2,0))</f>
        <v>55</v>
      </c>
      <c r="E127" s="518" t="str">
        <f t="array" ref="E127">INDEX('崖行動・受け身'!$J$3:$M$115, MATCH($A$1,'崖行動・受け身'!$A$3:$A$115,0), MATCH(E122,'崖行動・受け身'!$J$2:$M$2,0))</f>
        <v>24-26</v>
      </c>
      <c r="F127" s="518">
        <f t="array" ref="F127">INDEX('崖行動・受け身'!$J$3:$M$115, MATCH($A$1,'崖行動・受け身'!$A$3:$A$115,0), MATCH(F122,'崖行動・受け身'!$J$2:$M$2,0))</f>
        <v>9</v>
      </c>
      <c r="G127" s="518">
        <f>F127*1.2</f>
        <v>10.8</v>
      </c>
      <c r="H127" s="228"/>
      <c r="I127" s="228"/>
      <c r="J127" s="111"/>
      <c r="K127" s="146"/>
      <c r="L127" s="303" t="str">
        <f>'テンプレート'!L121</f>
        <v>後投げ</v>
      </c>
      <c r="M127" s="113" t="s">
        <v>228</v>
      </c>
      <c r="N127" s="113">
        <v>24.0</v>
      </c>
      <c r="O127" s="111"/>
      <c r="P127" s="111"/>
      <c r="Q127" s="111"/>
      <c r="R127" s="111"/>
      <c r="S127" s="111"/>
      <c r="T127" s="111"/>
      <c r="U127" s="111"/>
      <c r="V127" s="111"/>
    </row>
    <row r="128" outlineLevel="1">
      <c r="A128" s="299" t="s">
        <v>244</v>
      </c>
      <c r="B128" s="300" t="s">
        <v>216</v>
      </c>
      <c r="C128" s="518" t="str">
        <f t="array" ref="C128">INDEX('崖行動・受け身'!$N$3:$O$115, MATCH($A$1,'崖行動・受け身'!$A$3:$A$115,0), MATCH(C122,'崖行動・受け身'!$N$2:$O$2,0))</f>
        <v>1-20</v>
      </c>
      <c r="D128" s="518">
        <f t="array" ref="D128">INDEX('崖行動・受け身'!$N$3:$O$115, MATCH($A$1,'崖行動・受け身'!$A$3:$A$115,0), MATCH(D122,'崖行動・受け身'!$N$2:$O$2,0))</f>
        <v>26</v>
      </c>
      <c r="E128" s="1162"/>
      <c r="F128" s="1162"/>
      <c r="G128" s="1162"/>
      <c r="H128" s="228"/>
      <c r="I128" s="228"/>
      <c r="J128" s="117"/>
      <c r="K128" s="146"/>
      <c r="L128" s="303" t="str">
        <f>'テンプレート'!L122</f>
        <v>上投げ</v>
      </c>
      <c r="M128" s="113" t="s">
        <v>386</v>
      </c>
      <c r="N128" s="113">
        <v>23.0</v>
      </c>
      <c r="O128" s="228"/>
      <c r="P128" s="228"/>
      <c r="Q128" s="228"/>
      <c r="R128" s="228"/>
      <c r="S128" s="228"/>
      <c r="T128" s="228"/>
      <c r="U128" s="228"/>
      <c r="V128" s="228"/>
    </row>
    <row r="129" outlineLevel="1">
      <c r="A129" s="146"/>
      <c r="B129" s="300" t="s">
        <v>245</v>
      </c>
      <c r="C129" s="518" t="str">
        <f t="array" ref="C129">INDEX('崖行動・受け身'!$P$3:$Q$115, MATCH($A$1,'崖行動・受け身'!$A$3:$A$115,0), MATCH(C122,'崖行動・受け身'!$P$2:$Q$2,0))</f>
        <v>1-20</v>
      </c>
      <c r="D129" s="518">
        <f t="array" ref="D129">INDEX('崖行動・受け身'!$P$3:$Q$115, MATCH($A$1,'崖行動・受け身'!$A$3:$A$115,0), MATCH(D122,'崖行動・受け身'!$P$2:$Q$2,0))</f>
        <v>40</v>
      </c>
      <c r="E129" s="1162"/>
      <c r="F129" s="1162"/>
      <c r="G129" s="1162"/>
      <c r="H129" s="228"/>
      <c r="I129" s="228"/>
      <c r="J129" s="111"/>
      <c r="K129" s="146"/>
      <c r="L129" s="303" t="str">
        <f>'テンプレート'!L123</f>
        <v>下投げ</v>
      </c>
      <c r="M129" s="113" t="s">
        <v>80</v>
      </c>
      <c r="N129" s="113">
        <v>19.0</v>
      </c>
      <c r="O129" s="118"/>
      <c r="P129" s="118"/>
      <c r="Q129" s="118"/>
      <c r="R129" s="118"/>
      <c r="S129" s="118"/>
      <c r="T129" s="118"/>
      <c r="U129" s="118"/>
      <c r="V129" s="118"/>
    </row>
    <row r="130" outlineLevel="1">
      <c r="A130" s="156"/>
      <c r="B130" s="300" t="s">
        <v>246</v>
      </c>
      <c r="C130" s="518" t="str">
        <f t="array" ref="C130">INDEX('崖行動・受け身'!$R$3:$S$115, MATCH($A$1,'崖行動・受け身'!$A$3:$A$115,0), MATCH(C122,'崖行動・受け身'!$R$2:$S$2,0))</f>
        <v>1-20</v>
      </c>
      <c r="D130" s="518">
        <f t="array" ref="D130">INDEX('崖行動・受け身'!$R$3:$S$115, MATCH($A$1,'崖行動・受け身'!$A$3:$A$115,0), MATCH(D122,'崖行動・受け身'!$R$2:$S$2,0))</f>
        <v>40</v>
      </c>
      <c r="E130" s="1162"/>
      <c r="F130" s="1162"/>
      <c r="G130" s="1162"/>
      <c r="H130" s="228"/>
      <c r="I130" s="228"/>
      <c r="J130" s="117"/>
      <c r="K130" s="146"/>
      <c r="L130" s="306" t="str">
        <f>'テンプレート'!L124</f>
        <v>ダッシュ</v>
      </c>
      <c r="M130" s="113" t="s">
        <v>86</v>
      </c>
      <c r="N130" s="113">
        <v>37.0</v>
      </c>
      <c r="O130" s="118"/>
      <c r="P130" s="118"/>
      <c r="Q130" s="118"/>
      <c r="R130" s="118"/>
      <c r="S130" s="118"/>
      <c r="T130" s="118"/>
      <c r="U130" s="118"/>
      <c r="V130" s="118"/>
    </row>
    <row r="131" outlineLevel="1">
      <c r="A131" s="299" t="s">
        <v>247</v>
      </c>
      <c r="B131" s="300" t="s">
        <v>248</v>
      </c>
      <c r="C131" s="1162"/>
      <c r="D131" s="518" t="str">
        <f t="array" ref="D131">INDEX('起きあがり'!$C$3:$C128, MATCH($A$1,'起きあがり'!$A$3:$A$115,0), MATCH(D122,'起きあがり'!$C$2:$AD$2,0))</f>
        <v>25</v>
      </c>
      <c r="E131" s="1162"/>
      <c r="F131" s="1162"/>
      <c r="G131" s="1162"/>
      <c r="H131" s="228"/>
      <c r="I131" s="228"/>
      <c r="J131" s="111"/>
      <c r="K131" s="156"/>
      <c r="L131" s="306" t="str">
        <f>'テンプレート'!L125</f>
        <v>その場捨て</v>
      </c>
      <c r="M131" s="113" t="s">
        <v>86</v>
      </c>
      <c r="N131" s="113">
        <v>27.0</v>
      </c>
      <c r="O131" s="118"/>
      <c r="P131" s="118"/>
      <c r="Q131" s="118"/>
      <c r="R131" s="118"/>
      <c r="S131" s="118"/>
      <c r="T131" s="118"/>
      <c r="U131" s="118"/>
      <c r="V131" s="118"/>
    </row>
    <row r="132" outlineLevel="1">
      <c r="A132" s="146"/>
      <c r="B132" s="300" t="s">
        <v>216</v>
      </c>
      <c r="C132" s="2540" t="str">
        <f t="array" ref="C132">INDEX('起きあがり'!$D$3:$E128, MATCH($A$1,'起きあがり'!$A$3:$A$115,0), MATCH(C122,'起きあがり'!$D$2:$AD$2,0))</f>
        <v>1-22</v>
      </c>
      <c r="D132" s="2541">
        <f t="array" ref="D132">INDEX('起きあがり'!$D$3:$E128, MATCH($A$1,'起きあがり'!$A$3:$A$115,0), MATCH(D122,'起きあがり'!$D$2:$AD$2,0))</f>
        <v>29</v>
      </c>
      <c r="E132" s="1162"/>
      <c r="F132" s="1162"/>
      <c r="G132" s="1162"/>
      <c r="H132" s="228"/>
      <c r="I132" s="228"/>
      <c r="J132" s="117"/>
      <c r="K132" s="305" t="str">
        <f>'テンプレート'!K126</f>
        <v>空中投擲</v>
      </c>
      <c r="L132" s="303" t="str">
        <f>'テンプレート'!L126</f>
        <v>前投げ</v>
      </c>
      <c r="M132" s="113" t="s">
        <v>128</v>
      </c>
      <c r="N132" s="113">
        <v>24.0</v>
      </c>
      <c r="O132" s="118"/>
      <c r="P132" s="118"/>
      <c r="Q132" s="118"/>
      <c r="R132" s="118"/>
      <c r="S132" s="118"/>
      <c r="T132" s="118"/>
      <c r="U132" s="118"/>
      <c r="V132" s="118"/>
    </row>
    <row r="133" outlineLevel="1">
      <c r="A133" s="146"/>
      <c r="B133" s="300" t="s">
        <v>245</v>
      </c>
      <c r="C133" s="2540" t="str">
        <f t="array" ref="C133">INDEX('起きあがり'!$F$3:$G$115, MATCH($A$1,'起きあがり'!$A$3:$A$115,0), MATCH(C122,'起きあがり'!$F$2:$AD$2,0))</f>
        <v>1-21</v>
      </c>
      <c r="D133" s="2541">
        <f t="array" ref="D133">INDEX('起きあがり'!$F$3:$G$115, MATCH($A$1,'起きあがり'!$A$3:$A$115,0), MATCH(D122,'起きあがり'!$F$2:$AD$2,0))</f>
        <v>35</v>
      </c>
      <c r="E133" s="1162"/>
      <c r="F133" s="1162"/>
      <c r="G133" s="1162"/>
      <c r="H133" s="228"/>
      <c r="I133" s="228"/>
      <c r="J133" s="111"/>
      <c r="K133" s="146"/>
      <c r="L133" s="303" t="str">
        <f>'テンプレート'!L127</f>
        <v>後投げ</v>
      </c>
      <c r="M133" s="113" t="s">
        <v>119</v>
      </c>
      <c r="N133" s="113">
        <v>24.0</v>
      </c>
      <c r="O133" s="118"/>
      <c r="P133" s="118"/>
      <c r="Q133" s="118"/>
      <c r="R133" s="118"/>
      <c r="S133" s="118"/>
      <c r="T133" s="118"/>
      <c r="U133" s="118"/>
      <c r="V133" s="118"/>
    </row>
    <row r="134" outlineLevel="1">
      <c r="A134" s="146"/>
      <c r="B134" s="300" t="s">
        <v>246</v>
      </c>
      <c r="C134" s="518" t="str">
        <f t="array" ref="C134">INDEX('起きあがり'!$H$3:$I$115, MATCH($A$1,'起きあがり'!$A$3:$A$115,0), MATCH(C122,'起きあがり'!$H$2:$AD$2,0))</f>
        <v>1-22</v>
      </c>
      <c r="D134" s="518">
        <f t="array" ref="D134">INDEX('起きあがり'!$H$3:$I$115, MATCH($A$1,'起きあがり'!$A$3:$A$115,0), MATCH(D122,'起きあがり'!$H$2:$AD$2,0))</f>
        <v>35</v>
      </c>
      <c r="E134" s="1162"/>
      <c r="F134" s="1162"/>
      <c r="G134" s="1162"/>
      <c r="H134" s="228"/>
      <c r="I134" s="228"/>
      <c r="J134" s="117"/>
      <c r="K134" s="146"/>
      <c r="L134" s="303" t="str">
        <f>'テンプレート'!L128</f>
        <v>上投げ</v>
      </c>
      <c r="M134" s="113" t="s">
        <v>119</v>
      </c>
      <c r="N134" s="113">
        <v>23.0</v>
      </c>
      <c r="O134" s="118"/>
      <c r="P134" s="118"/>
      <c r="Q134" s="118"/>
      <c r="R134" s="118"/>
      <c r="S134" s="118"/>
      <c r="T134" s="118"/>
      <c r="U134" s="118"/>
      <c r="V134" s="118"/>
    </row>
    <row r="135" outlineLevel="1">
      <c r="A135" s="146"/>
      <c r="B135" s="300" t="s">
        <v>249</v>
      </c>
      <c r="C135" s="2542" t="str">
        <f t="array" ref="C135">INDEX('起きあがり'!$J$3:$M$115, MATCH($A$1,'起きあがり'!$A$3:$A$115,0), MATCH(C122,'起きあがり'!$J$2:$AD$2,0))</f>
        <v>1-22</v>
      </c>
      <c r="D135" s="2543">
        <f t="array" ref="D135">INDEX('起きあがり'!$J$3:$M$115, MATCH($A$1,'起きあがり'!$A$3:$A$115,0), MATCH(D122,'起きあがり'!$J$2:$AD$2,0))</f>
        <v>45</v>
      </c>
      <c r="E135" s="2540" t="str">
        <f t="array" ref="E135">INDEX('起きあがり'!$J$3:$M$115, MATCH($A$1,'起きあがり'!$A$3:$A$115,0), MATCH(E122,'起きあがり'!$J$2:$AD$2,0))</f>
        <v>17-18</v>
      </c>
      <c r="F135" s="2541">
        <f t="array" ref="F135">INDEX('起きあがり'!$J$3:$M$115, MATCH($A$1,'起きあがり'!$A$3:$A$115,0), MATCH(F122,'起きあがり'!$J$2:$AD$2,0))</f>
        <v>7</v>
      </c>
      <c r="G135" s="518">
        <f t="shared" ref="G135:G136" si="1">F135*1.2</f>
        <v>8.4</v>
      </c>
      <c r="H135" s="228"/>
      <c r="I135" s="228"/>
      <c r="J135" s="111"/>
      <c r="K135" s="156"/>
      <c r="L135" s="303" t="str">
        <f>'テンプレート'!L129</f>
        <v>下投げ</v>
      </c>
      <c r="M135" s="113" t="s">
        <v>80</v>
      </c>
      <c r="N135" s="113">
        <v>19.0</v>
      </c>
      <c r="O135" s="111"/>
      <c r="P135" s="111"/>
      <c r="Q135" s="111"/>
      <c r="R135" s="111"/>
      <c r="S135" s="111"/>
      <c r="T135" s="111"/>
      <c r="U135" s="111"/>
      <c r="V135" s="111"/>
    </row>
    <row r="136" outlineLevel="1">
      <c r="A136" s="156"/>
      <c r="B136" s="311" t="s">
        <v>250</v>
      </c>
      <c r="C136" s="107"/>
      <c r="D136" s="107"/>
      <c r="E136" s="2540" t="str">
        <f t="array" ref="E136">INDEX('起きあがり'!$N$3:$O$115, MATCH($A$1,'起きあがり'!$A$3:$A$115,0), MATCH(E122,'起きあがり'!$N$2:$AD$2,0))</f>
        <v>21-22</v>
      </c>
      <c r="F136" s="2541">
        <f t="array" ref="F136">INDEX('起きあがり'!$N$3:$O$115, MATCH($A$1,'起きあがり'!$A$3:$A$115,0), MATCH(F122,'起きあがり'!$N$2:$AD$2,0))</f>
        <v>7</v>
      </c>
      <c r="G136" s="518">
        <f t="shared" si="1"/>
        <v>8.4</v>
      </c>
      <c r="H136" s="228"/>
      <c r="I136" s="228"/>
      <c r="J136" s="111"/>
      <c r="K136" s="312" t="str">
        <f>'テンプレート'!K130</f>
        <v>踏み台ジャンプ</v>
      </c>
      <c r="L136" s="168"/>
      <c r="M136" s="298" t="str">
        <f>'テンプレート'!M130</f>
        <v>全体フレーム</v>
      </c>
      <c r="N136" s="114"/>
      <c r="O136" s="111"/>
      <c r="P136" s="111"/>
      <c r="Q136" s="111"/>
      <c r="R136" s="111"/>
      <c r="S136" s="111"/>
      <c r="T136" s="111"/>
      <c r="U136" s="111"/>
      <c r="V136" s="111"/>
    </row>
    <row r="137" outlineLevel="1">
      <c r="A137" s="299" t="s">
        <v>251</v>
      </c>
      <c r="B137" s="300" t="s">
        <v>248</v>
      </c>
      <c r="C137" s="1162"/>
      <c r="D137" s="2540" t="str">
        <f t="array" ref="D137">INDEX('起きあがり'!$C$3:$C128, MATCH($A$1,'起きあがり'!$A$3:$A$115,0), MATCH(D122,'起きあがり'!$C$2,0))</f>
        <v>25</v>
      </c>
      <c r="E137" s="1162"/>
      <c r="F137" s="1162"/>
      <c r="G137" s="1162"/>
      <c r="H137" s="228"/>
      <c r="I137" s="228"/>
      <c r="J137" s="117"/>
      <c r="K137" s="313" t="str">
        <f>'テンプレート'!K131</f>
        <v>踏み</v>
      </c>
      <c r="L137" s="314" t="str">
        <f>'テンプレート'!L131</f>
        <v>踏み</v>
      </c>
      <c r="M137" s="113">
        <v>7.0</v>
      </c>
      <c r="N137" s="315"/>
      <c r="O137" s="111"/>
      <c r="P137" s="111"/>
      <c r="Q137" s="111"/>
      <c r="R137" s="111"/>
      <c r="S137" s="111"/>
      <c r="T137" s="111"/>
      <c r="U137" s="111"/>
      <c r="V137" s="111"/>
    </row>
    <row r="138" outlineLevel="1">
      <c r="A138" s="146"/>
      <c r="B138" s="300" t="s">
        <v>216</v>
      </c>
      <c r="C138" s="2540" t="str">
        <f t="array" ref="C138">INDEX('起きあがり'!$P$3:$Q$115, MATCH($A$1,'起きあがり'!$A$3:$A$115,0), MATCH(C122,'起きあがり'!$P$2:$AD$2,0))</f>
        <v>1-22</v>
      </c>
      <c r="D138" s="2541">
        <f t="array" ref="D138">INDEX('起きあがり'!$P$3:$Q$115, MATCH($A$1,'起きあがり'!$A$3:$A$115,0), MATCH(D122,'起きあがり'!$P$2:$AD$2,0))</f>
        <v>29</v>
      </c>
      <c r="E138" s="1162"/>
      <c r="F138" s="1162"/>
      <c r="G138" s="1162"/>
      <c r="H138" s="228"/>
      <c r="I138" s="228"/>
      <c r="J138" s="111"/>
      <c r="K138" s="305" t="str">
        <f>'テンプレート'!K132</f>
        <v>踏まれ</v>
      </c>
      <c r="L138" s="314" t="str">
        <f>'テンプレート'!L132</f>
        <v>地上踏まれ</v>
      </c>
      <c r="M138" s="113" t="s">
        <v>76</v>
      </c>
      <c r="N138" s="315"/>
      <c r="O138" s="228"/>
      <c r="P138" s="228"/>
      <c r="Q138" s="228"/>
      <c r="R138" s="228"/>
      <c r="S138" s="228"/>
      <c r="T138" s="228"/>
      <c r="U138" s="228"/>
      <c r="V138" s="228"/>
    </row>
    <row r="139" outlineLevel="1">
      <c r="A139" s="146"/>
      <c r="B139" s="300" t="s">
        <v>245</v>
      </c>
      <c r="C139" s="2540" t="str">
        <f t="array" ref="C139">INDEX('起きあがり'!$R$3:$S$115, MATCH($A$1,'起きあがり'!$A$3:$A$115,0), MATCH(C122,'起きあがり'!$R$2:$AD$2,0))</f>
        <v>1-19</v>
      </c>
      <c r="D139" s="2541">
        <f t="array" ref="D139">INDEX('起きあがり'!$R$3:$S$115, MATCH($A$1,'起きあがり'!$A$3:$A$115,0), MATCH(D122,'起きあがり'!$R$2:$AD$2,0))</f>
        <v>35</v>
      </c>
      <c r="E139" s="1162"/>
      <c r="F139" s="1162"/>
      <c r="G139" s="1162"/>
      <c r="H139" s="228"/>
      <c r="I139" s="228"/>
      <c r="J139" s="117"/>
      <c r="K139" s="146"/>
      <c r="L139" s="314" t="str">
        <f>'テンプレート'!L133</f>
        <v>地上硬直</v>
      </c>
      <c r="M139" s="113">
        <v>27.0</v>
      </c>
      <c r="N139" s="102"/>
      <c r="O139" s="118"/>
      <c r="P139" s="118"/>
      <c r="Q139" s="118"/>
      <c r="R139" s="118"/>
      <c r="S139" s="118"/>
      <c r="T139" s="118"/>
      <c r="U139" s="118"/>
      <c r="V139" s="118"/>
    </row>
    <row r="140" outlineLevel="1">
      <c r="A140" s="146"/>
      <c r="B140" s="300" t="s">
        <v>246</v>
      </c>
      <c r="C140" s="2540" t="str">
        <f t="array" ref="C140">INDEX('起きあがり'!$T$3:$U$115, MATCH($A$1,'起きあがり'!$A$3:$A$115,0), MATCH(C122,'起きあがり'!$T$2:$AD$2,0))</f>
        <v>1-24</v>
      </c>
      <c r="D140" s="2541">
        <f t="array" ref="D140">INDEX('起きあがり'!$T$3:$U$115, MATCH($A$1,'起きあがり'!$A$3:$A$115,0), MATCH(D122,'起きあがり'!$T$2:$AD$2,0))</f>
        <v>35</v>
      </c>
      <c r="E140" s="1162"/>
      <c r="F140" s="1162"/>
      <c r="G140" s="1162"/>
      <c r="H140" s="228"/>
      <c r="I140" s="228"/>
      <c r="J140" s="111"/>
      <c r="K140" s="146"/>
      <c r="L140" s="314" t="str">
        <f>'テンプレート'!L134</f>
        <v>空中踏まれ</v>
      </c>
      <c r="M140" s="113">
        <v>7.0</v>
      </c>
      <c r="N140" s="102"/>
      <c r="O140" s="118"/>
      <c r="P140" s="118"/>
      <c r="Q140" s="118"/>
      <c r="R140" s="118"/>
      <c r="S140" s="118"/>
      <c r="T140" s="118"/>
      <c r="U140" s="118"/>
      <c r="V140" s="118"/>
    </row>
    <row r="141" outlineLevel="1">
      <c r="A141" s="146"/>
      <c r="B141" s="300" t="s">
        <v>249</v>
      </c>
      <c r="C141" s="2542" t="str">
        <f t="array" ref="C141">INDEX('起きあがり'!$V$3:$Y$115, MATCH($A$1,'起きあがり'!$A$3:$A$115,0), MATCH(C122,'起きあがり'!$V$2:$AD$2,0))</f>
        <v>1-22</v>
      </c>
      <c r="D141" s="2543">
        <f t="array" ref="D141">INDEX('起きあがり'!$V$3:$Y$115, MATCH($A$1,'起きあがり'!$A$3:$A$115,0), MATCH(D122,'起きあがり'!$V$2:$AD$2,0))</f>
        <v>45</v>
      </c>
      <c r="E141" s="2540" t="str">
        <f t="array" ref="E141">INDEX('起きあがり'!$V$3:$Y$115, MATCH($A$1,'起きあがり'!$A$3:$A$115,0), MATCH(E122,'起きあがり'!$V$2:$AD$2,0))</f>
        <v>17-18</v>
      </c>
      <c r="F141" s="2541">
        <f t="array" ref="F141">INDEX('起きあがり'!$V$3:$Y$115, MATCH($A$1,'起きあがり'!$A$3:$A$115,0), MATCH(F122,'起きあがり'!$V$2:$AD$2,0))</f>
        <v>7</v>
      </c>
      <c r="G141" s="518">
        <f t="shared" ref="G141:G142" si="2">F141*1.2</f>
        <v>8.4</v>
      </c>
      <c r="H141" s="228"/>
      <c r="I141" s="228"/>
      <c r="J141" s="117"/>
      <c r="K141" s="146"/>
      <c r="L141" s="314" t="str">
        <f>'テンプレート'!L135</f>
        <v>空中落下</v>
      </c>
      <c r="M141" s="113">
        <v>37.0</v>
      </c>
      <c r="N141" s="102"/>
      <c r="O141" s="118"/>
      <c r="P141" s="118"/>
      <c r="Q141" s="118"/>
      <c r="R141" s="118"/>
      <c r="S141" s="118"/>
      <c r="T141" s="118"/>
      <c r="U141" s="118"/>
      <c r="V141" s="118"/>
    </row>
    <row r="142" outlineLevel="1">
      <c r="A142" s="156"/>
      <c r="B142" s="311" t="s">
        <v>250</v>
      </c>
      <c r="C142" s="107"/>
      <c r="D142" s="107"/>
      <c r="E142" s="2540" t="str">
        <f t="array" ref="E142">INDEX('起きあがり'!$Z$3:$AA$115, MATCH($A$1,'起きあがり'!$A$3:$A$115,0), MATCH(E122,'起きあがり'!$Z$2:$AD$2,0))</f>
        <v>21-22</v>
      </c>
      <c r="F142" s="2541">
        <f t="array" ref="F142">INDEX('起きあがり'!$Z$3:$AA$115, MATCH($A$1,'起きあがり'!$A$3:$A$115,0), MATCH(F122,'起きあがり'!$Z$2:$AD$2,0))</f>
        <v>7</v>
      </c>
      <c r="G142" s="518">
        <f t="shared" si="2"/>
        <v>8.4</v>
      </c>
      <c r="H142" s="228"/>
      <c r="I142" s="228"/>
      <c r="J142" s="117"/>
      <c r="K142" s="304" t="str">
        <f>'テンプレート'!K136</f>
        <v>倒れダメージ</v>
      </c>
      <c r="L142" s="110"/>
      <c r="M142" s="298" t="str">
        <f>'テンプレート'!M136</f>
        <v>全体フレーム</v>
      </c>
      <c r="N142" s="102"/>
      <c r="O142" s="118"/>
      <c r="P142" s="118"/>
      <c r="Q142" s="118"/>
      <c r="R142" s="118"/>
      <c r="S142" s="118"/>
      <c r="T142" s="118"/>
      <c r="U142" s="118"/>
      <c r="V142" s="118"/>
    </row>
    <row r="143" outlineLevel="1">
      <c r="A143" s="299" t="s">
        <v>252</v>
      </c>
      <c r="B143" s="300" t="s">
        <v>253</v>
      </c>
      <c r="C143" s="2540" t="str">
        <f t="array" ref="C143">INDEX('転倒'!$C$3:$D128, MATCH($A$1,'転倒'!$A$3:$A$115,0), MATCH(C122,'転倒'!$C$2:$AC$2,0))</f>
        <v>1-5</v>
      </c>
      <c r="D143" s="2541">
        <f t="array" ref="D143">INDEX('転倒'!$C$3:$D128, MATCH($A$1,'転倒'!$A$3:$A$115,0), MATCH(D122,'転倒'!$C$2:$AC$2,0))</f>
        <v>29</v>
      </c>
      <c r="E143" s="1162"/>
      <c r="F143" s="1162"/>
      <c r="G143" s="1162"/>
      <c r="H143" s="228"/>
      <c r="I143" s="228"/>
      <c r="J143" s="111"/>
      <c r="K143" s="313" t="str">
        <f>'テンプレート'!K137</f>
        <v>あお向け倒れ</v>
      </c>
      <c r="L143" s="306" t="str">
        <f>'テンプレート'!L137</f>
        <v>モーション大</v>
      </c>
      <c r="M143" s="113">
        <v>39.0</v>
      </c>
      <c r="N143" s="315"/>
      <c r="O143" s="118"/>
      <c r="P143" s="118"/>
      <c r="Q143" s="118"/>
      <c r="R143" s="118"/>
      <c r="S143" s="118"/>
      <c r="T143" s="118"/>
      <c r="U143" s="118"/>
      <c r="V143" s="118"/>
    </row>
    <row r="144" outlineLevel="1">
      <c r="A144" s="146"/>
      <c r="B144" s="300" t="s">
        <v>254</v>
      </c>
      <c r="C144" s="2540" t="str">
        <f t="array" ref="C144">INDEX('転倒'!$E$3:$F128, MATCH($A$1,'転倒'!$A$3:$A$115,0), MATCH(C122,'転倒'!$E$2:$AC$2,0))</f>
        <v>1-5</v>
      </c>
      <c r="D144" s="2541">
        <f t="array" ref="D144">INDEX('転倒'!$E$3:$F128, MATCH($A$1,'転倒'!$A$3:$A$115,0), MATCH(D122,'転倒'!$E$2:$AC$2,0))</f>
        <v>39</v>
      </c>
      <c r="E144" s="1162"/>
      <c r="F144" s="1162"/>
      <c r="G144" s="1162"/>
      <c r="H144" s="228"/>
      <c r="I144" s="228"/>
      <c r="J144" s="117"/>
      <c r="K144" s="313" t="str">
        <f>'テンプレート'!K138</f>
        <v>うつ伏せ倒れ</v>
      </c>
      <c r="L144" s="306" t="str">
        <f>'テンプレート'!L138</f>
        <v>モーション大</v>
      </c>
      <c r="M144" s="113" t="s">
        <v>118</v>
      </c>
      <c r="N144" s="315"/>
      <c r="O144" s="118"/>
      <c r="P144" s="118"/>
      <c r="Q144" s="118"/>
      <c r="R144" s="118"/>
      <c r="S144" s="118"/>
      <c r="T144" s="118"/>
      <c r="U144" s="118"/>
      <c r="V144" s="118"/>
    </row>
    <row r="145" outlineLevel="1">
      <c r="A145" s="146"/>
      <c r="B145" s="300" t="s">
        <v>216</v>
      </c>
      <c r="C145" s="2540" t="str">
        <f t="array" ref="C145">INDEX('転倒'!$G$3:$H$115, MATCH($A$1,'転倒'!$A$3:$A$115,0), MATCH(C122,'転倒'!$G$2:$AC$2,0))</f>
        <v>1-16</v>
      </c>
      <c r="D145" s="2541">
        <f t="array" ref="D145">INDEX('転倒'!$G$3:$H$115, MATCH($A$1,'転倒'!$A$3:$A$115,0), MATCH(D122,'転倒'!$G$2:$AC$2,0))</f>
        <v>21</v>
      </c>
      <c r="E145" s="1162"/>
      <c r="F145" s="1162"/>
      <c r="G145" s="1162"/>
      <c r="H145" s="228"/>
      <c r="I145" s="228"/>
      <c r="J145" s="111"/>
      <c r="K145" s="304" t="str">
        <f>'テンプレート'!K139</f>
        <v/>
      </c>
      <c r="L145" s="110"/>
      <c r="M145" s="298" t="str">
        <f>'テンプレート'!M139</f>
        <v/>
      </c>
      <c r="N145" s="102"/>
      <c r="O145" s="118"/>
      <c r="P145" s="118"/>
      <c r="Q145" s="118"/>
      <c r="R145" s="118"/>
      <c r="S145" s="118"/>
      <c r="T145" s="118"/>
      <c r="U145" s="118"/>
      <c r="V145" s="118"/>
    </row>
    <row r="146" outlineLevel="1">
      <c r="A146" s="146"/>
      <c r="B146" s="300" t="s">
        <v>245</v>
      </c>
      <c r="C146" s="2540" t="str">
        <f t="array" ref="C146">INDEX('転倒'!$I$3:$J$115, MATCH($A$1,'転倒'!$A$3:$A$115,0), MATCH(C122,'転倒'!$I$2:$AC$2,0))</f>
        <v>1-9</v>
      </c>
      <c r="D146" s="2541">
        <f t="array" ref="D146">INDEX('転倒'!$I$3:$J$115, MATCH($A$1,'転倒'!$A$3:$A$115,0), MATCH(D122,'転倒'!$I$2:$AC$2,0))</f>
        <v>28</v>
      </c>
      <c r="E146" s="1162"/>
      <c r="F146" s="1162"/>
      <c r="G146" s="1162"/>
      <c r="H146" s="228"/>
      <c r="I146" s="228"/>
      <c r="J146" s="228"/>
      <c r="K146" s="316"/>
      <c r="L146" s="317" t="str">
        <f>'テンプレート'!L140</f>
        <v/>
      </c>
      <c r="M146" s="113" t="s">
        <v>76</v>
      </c>
      <c r="N146" s="102"/>
      <c r="O146" s="118"/>
      <c r="P146" s="118"/>
      <c r="Q146" s="118"/>
      <c r="R146" s="118"/>
      <c r="S146" s="118"/>
      <c r="T146" s="118"/>
      <c r="U146" s="118"/>
      <c r="V146" s="118"/>
    </row>
    <row r="147" outlineLevel="1">
      <c r="A147" s="146"/>
      <c r="B147" s="300" t="s">
        <v>246</v>
      </c>
      <c r="C147" s="2540" t="str">
        <f t="array" ref="C147">INDEX('転倒'!$K$3:$L$115, MATCH($A$1,'転倒'!$A$3:$A$115,0), MATCH(C122,'転倒'!$K$2:$AC$2,0))</f>
        <v>1-9</v>
      </c>
      <c r="D147" s="2541">
        <f t="array" ref="D147">INDEX('転倒'!$K$3:$L$115, MATCH($A$1,'転倒'!$A$3:$A$115,0), MATCH(D122,'転倒'!$K$2:$AC$2,0))</f>
        <v>28</v>
      </c>
      <c r="E147" s="1162"/>
      <c r="F147" s="1162"/>
      <c r="G147" s="1162"/>
      <c r="H147" s="228"/>
      <c r="I147" s="228"/>
      <c r="J147" s="228"/>
      <c r="K147" s="318"/>
      <c r="L147" s="118"/>
      <c r="M147" s="118"/>
      <c r="N147" s="102"/>
      <c r="O147" s="118"/>
      <c r="P147" s="118"/>
      <c r="Q147" s="118"/>
      <c r="R147" s="118"/>
      <c r="S147" s="118"/>
      <c r="T147" s="118"/>
      <c r="U147" s="118"/>
      <c r="V147" s="118"/>
    </row>
    <row r="148" outlineLevel="1">
      <c r="A148" s="146"/>
      <c r="B148" s="300" t="s">
        <v>249</v>
      </c>
      <c r="C148" s="2542" t="str">
        <f t="array" ref="C148">INDEX('転倒'!$M$3:$P$115, MATCH($A$1,'転倒'!$A$3:$A$115,0), MATCH(C122,'転倒'!$M$2:$AC$2,0))</f>
        <v>1-7</v>
      </c>
      <c r="D148" s="2543">
        <f t="array" ref="D148">INDEX('転倒'!$M$3:$P$115, MATCH($A$1,'転倒'!$A$3:$A$115,0), MATCH(D122,'転倒'!$M$2:$AC$2,0))</f>
        <v>49</v>
      </c>
      <c r="E148" s="2540" t="str">
        <f t="array" ref="E148">INDEX('転倒'!$M$3:$P$115, MATCH($A$1,'転倒'!$A$3:$A$115,0), MATCH(E122,'転倒'!$M$2:$AC$2,0))</f>
        <v>19-20</v>
      </c>
      <c r="F148" s="2541">
        <f t="array" ref="F148">INDEX('転倒'!$M$3:$P$115, MATCH($A$1,'転倒'!$A$3:$A$115,0), MATCH(F122,'転倒'!$M$2:$AC$2,0))</f>
        <v>5</v>
      </c>
      <c r="G148" s="518">
        <f t="shared" ref="G148:G149" si="3">F148*1.2</f>
        <v>6</v>
      </c>
      <c r="H148" s="228"/>
      <c r="I148" s="228"/>
      <c r="J148" s="228"/>
      <c r="K148" s="118"/>
      <c r="L148" s="118"/>
      <c r="M148" s="118"/>
      <c r="N148" s="102"/>
      <c r="O148" s="102"/>
      <c r="P148" s="102"/>
      <c r="Q148" s="102"/>
      <c r="R148" s="118"/>
      <c r="S148" s="118"/>
      <c r="T148" s="118"/>
      <c r="U148" s="118"/>
      <c r="V148" s="118"/>
    </row>
    <row r="149" outlineLevel="1">
      <c r="A149" s="156"/>
      <c r="B149" s="311" t="s">
        <v>250</v>
      </c>
      <c r="C149" s="107"/>
      <c r="D149" s="107"/>
      <c r="E149" s="2540" t="str">
        <f t="array" ref="E149">INDEX('転倒'!$Q$3:$R$115, MATCH($A$1,'転倒'!$A$3:$A$115,0), MATCH(E122,'転倒'!$Q$2:$AC$2,0))</f>
        <v>23-24</v>
      </c>
      <c r="F149" s="2541">
        <f t="array" ref="F149">INDEX('転倒'!$Q$3:$R$115, MATCH($A$1,'転倒'!$A$3:$A$115,0), MATCH(F122,'転倒'!$Q$2:$AC$2,0))</f>
        <v>5</v>
      </c>
      <c r="G149" s="518">
        <f t="shared" si="3"/>
        <v>6</v>
      </c>
      <c r="H149" s="228"/>
      <c r="I149" s="228"/>
      <c r="J149" s="228"/>
      <c r="K149" s="118"/>
      <c r="L149" s="118"/>
      <c r="M149" s="118"/>
      <c r="N149" s="102"/>
      <c r="O149" s="102"/>
      <c r="P149" s="102"/>
      <c r="Q149" s="102"/>
      <c r="R149" s="118"/>
      <c r="S149" s="118"/>
      <c r="T149" s="118"/>
      <c r="U149" s="118"/>
      <c r="V149" s="118"/>
    </row>
    <row r="150" outlineLevel="1">
      <c r="A150" s="319"/>
      <c r="B150" s="320"/>
      <c r="C150" s="321"/>
      <c r="D150" s="321"/>
      <c r="E150" s="2544"/>
      <c r="F150" s="2545"/>
      <c r="G150" s="2546"/>
      <c r="H150" s="228"/>
      <c r="I150" s="228"/>
      <c r="J150" s="228"/>
      <c r="K150" s="118"/>
      <c r="L150" s="118"/>
      <c r="M150" s="118"/>
      <c r="N150" s="102"/>
      <c r="O150" s="102"/>
      <c r="P150" s="102"/>
      <c r="Q150" s="102"/>
      <c r="R150" s="118"/>
      <c r="S150" s="118"/>
      <c r="T150" s="118"/>
      <c r="U150" s="118"/>
      <c r="V150" s="118"/>
    </row>
    <row r="151" outlineLevel="1">
      <c r="A151" s="323" t="s">
        <v>255</v>
      </c>
      <c r="B151" s="109"/>
      <c r="C151" s="321"/>
      <c r="D151" s="321"/>
      <c r="E151" s="2544"/>
      <c r="F151" s="2545"/>
      <c r="G151" s="2546"/>
      <c r="H151" s="228"/>
      <c r="I151" s="228"/>
      <c r="J151" s="228"/>
      <c r="K151" s="118"/>
      <c r="L151" s="118"/>
      <c r="M151" s="118"/>
      <c r="N151" s="102"/>
      <c r="O151" s="102"/>
      <c r="P151" s="102"/>
      <c r="Q151" s="102"/>
      <c r="R151" s="118"/>
      <c r="S151" s="118"/>
      <c r="T151" s="118"/>
      <c r="U151" s="118"/>
      <c r="V151" s="118"/>
    </row>
    <row r="152" outlineLevel="1">
      <c r="A152" s="324" t="s">
        <v>256</v>
      </c>
      <c r="B152" s="109"/>
      <c r="C152" s="325" t="s">
        <v>257</v>
      </c>
      <c r="D152" s="325" t="s">
        <v>49</v>
      </c>
      <c r="E152" s="2544"/>
      <c r="F152" s="2545"/>
      <c r="G152" s="2546"/>
      <c r="H152" s="228"/>
      <c r="I152" s="228"/>
      <c r="J152" s="228"/>
      <c r="K152" s="118"/>
      <c r="L152" s="118"/>
      <c r="M152" s="118"/>
      <c r="N152" s="102"/>
      <c r="O152" s="102"/>
      <c r="P152" s="102"/>
      <c r="Q152" s="102"/>
      <c r="R152" s="118"/>
      <c r="S152" s="118"/>
      <c r="T152" s="118"/>
      <c r="U152" s="118"/>
      <c r="V152" s="118"/>
    </row>
    <row r="153" outlineLevel="1">
      <c r="A153" s="326" t="s">
        <v>258</v>
      </c>
      <c r="B153" s="327" t="s">
        <v>216</v>
      </c>
      <c r="C153" s="328" t="str">
        <f t="array" ref="C153">INDEX('アイテム'!$C$3:$D$114, MATCH($A$1,'アイテム'!$A$3:$A$114,0), MATCH(C152,'アイテム'!$C$2:$AQ$2,0))</f>
        <v>2</v>
      </c>
      <c r="D153" s="328">
        <f t="array" ref="D153">INDEX('アイテム'!$C$3:$D$114, MATCH($A$1,'アイテム'!$A$3:$A$114,0), MATCH(D152,'アイテム'!$C$2:$AQ$2,0))</f>
        <v>7</v>
      </c>
      <c r="E153" s="2544"/>
      <c r="F153" s="2545"/>
      <c r="G153" s="2546"/>
      <c r="H153" s="228"/>
      <c r="I153" s="228"/>
      <c r="J153" s="228"/>
      <c r="K153" s="118"/>
      <c r="L153" s="118"/>
      <c r="M153" s="118"/>
      <c r="N153" s="102"/>
      <c r="O153" s="102"/>
      <c r="P153" s="102"/>
      <c r="Q153" s="102"/>
      <c r="R153" s="118"/>
      <c r="S153" s="118"/>
      <c r="T153" s="118"/>
      <c r="U153" s="118"/>
      <c r="V153" s="118"/>
    </row>
    <row r="154" outlineLevel="1">
      <c r="A154" s="156"/>
      <c r="B154" s="327" t="s">
        <v>219</v>
      </c>
      <c r="C154" s="328" t="str">
        <f t="array" ref="C154">INDEX('アイテム'!$E$3:$F$114, MATCH($A$1,'アイテム'!$A$3:$A$114,0), MATCH(C152,'アイテム'!$C$2:$AQ$2,0))</f>
        <v>2</v>
      </c>
      <c r="D154" s="328">
        <f t="array" ref="D154">INDEX('アイテム'!$E$3:$F$114, MATCH($A$1,'アイテム'!$A$3:$A$114,0), MATCH(D152,'アイテム'!$C$2:$AQ$2,0))</f>
        <v>19</v>
      </c>
      <c r="E154" s="2544"/>
      <c r="F154" s="2545"/>
      <c r="G154" s="2546"/>
      <c r="H154" s="228"/>
      <c r="I154" s="228"/>
      <c r="J154" s="228"/>
      <c r="K154" s="118"/>
      <c r="L154" s="118"/>
      <c r="M154" s="118"/>
      <c r="N154" s="102"/>
      <c r="O154" s="102"/>
      <c r="P154" s="102"/>
      <c r="Q154" s="102"/>
      <c r="R154" s="118"/>
      <c r="S154" s="118"/>
      <c r="T154" s="118"/>
      <c r="U154" s="118"/>
      <c r="V154" s="118"/>
    </row>
    <row r="155" outlineLevel="1">
      <c r="A155" s="329" t="s">
        <v>259</v>
      </c>
      <c r="B155" s="327" t="s">
        <v>216</v>
      </c>
      <c r="C155" s="328">
        <f t="array" ref="C155">INDEX('アイテム'!$AA$3:$AB$114, MATCH($A$1,'アイテム'!$A$3:$A$114,0), MATCH(C152,'アイテム'!$C$2:$AQ$2,0))</f>
        <v>3</v>
      </c>
      <c r="D155" s="328" t="str">
        <f t="array" ref="D155">INDEX('アイテム'!$AA$3:$AB$114, MATCH($A$1,'アイテム'!$A$3:$A$114,0), MATCH(D152,'アイテム'!$C$2:$AQ$2,0))</f>
        <v>12</v>
      </c>
      <c r="E155" s="2544"/>
      <c r="F155" s="2545"/>
      <c r="G155" s="2546"/>
      <c r="H155" s="228"/>
      <c r="I155" s="228"/>
      <c r="J155" s="228"/>
      <c r="K155" s="118"/>
      <c r="L155" s="118"/>
      <c r="M155" s="118"/>
      <c r="N155" s="102"/>
      <c r="O155" s="102"/>
      <c r="P155" s="102"/>
      <c r="Q155" s="102"/>
      <c r="R155" s="118"/>
      <c r="S155" s="118"/>
      <c r="T155" s="118"/>
      <c r="U155" s="118"/>
      <c r="V155" s="118"/>
    </row>
    <row r="156" outlineLevel="1">
      <c r="A156" s="324" t="s">
        <v>260</v>
      </c>
      <c r="B156" s="109"/>
      <c r="C156" s="325" t="s">
        <v>261</v>
      </c>
      <c r="D156" s="325" t="s">
        <v>49</v>
      </c>
      <c r="E156" s="2544"/>
      <c r="F156" s="2545"/>
      <c r="G156" s="2546"/>
      <c r="H156" s="228"/>
      <c r="I156" s="228"/>
      <c r="J156" s="228"/>
      <c r="K156" s="118"/>
      <c r="L156" s="118"/>
      <c r="M156" s="118"/>
      <c r="N156" s="102"/>
      <c r="O156" s="102"/>
      <c r="P156" s="102"/>
      <c r="Q156" s="102"/>
      <c r="R156" s="118"/>
      <c r="S156" s="118"/>
      <c r="T156" s="118"/>
      <c r="U156" s="118"/>
      <c r="V156" s="118"/>
    </row>
    <row r="157" outlineLevel="1">
      <c r="A157" s="326" t="s">
        <v>262</v>
      </c>
      <c r="B157" s="327" t="s">
        <v>226</v>
      </c>
      <c r="C157" s="328" t="str">
        <f t="array" ref="C157">INDEX('アイテム'!$G$3:$H$114, MATCH($A$1,'アイテム'!$A$3:$A$114,0), MATCH(C152,'アイテム'!$C$2:$AQ$2,0))</f>
        <v>10</v>
      </c>
      <c r="D157" s="328">
        <f t="array" ref="D157">INDEX('アイテム'!$G$3:$H$114, MATCH($A$1,'アイテム'!$A$3:$A$114,0), MATCH(D152,'アイテム'!$C$2:$AQ$2,0))</f>
        <v>24</v>
      </c>
      <c r="E157" s="2544"/>
      <c r="F157" s="2545"/>
      <c r="G157" s="2546"/>
      <c r="H157" s="228"/>
      <c r="I157" s="228"/>
      <c r="J157" s="228"/>
      <c r="K157" s="118"/>
      <c r="L157" s="118"/>
      <c r="M157" s="118"/>
      <c r="N157" s="102"/>
      <c r="O157" s="102"/>
      <c r="P157" s="102"/>
      <c r="Q157" s="102"/>
      <c r="R157" s="118"/>
      <c r="S157" s="118"/>
      <c r="T157" s="118"/>
      <c r="U157" s="118"/>
      <c r="V157" s="118"/>
    </row>
    <row r="158" outlineLevel="1">
      <c r="A158" s="146"/>
      <c r="B158" s="327" t="s">
        <v>229</v>
      </c>
      <c r="C158" s="328" t="str">
        <f t="array" ref="C158">INDEX('アイテム'!$I$3:$J$114, MATCH($A$1,'アイテム'!$A$3:$A$114,0), MATCH(C152,'アイテム'!$C$2:$AQ$2,0))</f>
        <v>13</v>
      </c>
      <c r="D158" s="328">
        <f t="array" ref="D158">INDEX('アイテム'!$I$3:$J$114, MATCH($A$1,'アイテム'!$A$3:$A$114,0), MATCH(D152,'アイテム'!$C$2:$AQ$2,0))</f>
        <v>24</v>
      </c>
      <c r="E158" s="2544"/>
      <c r="F158" s="2545"/>
      <c r="G158" s="2546"/>
      <c r="H158" s="228"/>
      <c r="I158" s="228"/>
      <c r="J158" s="228"/>
      <c r="K158" s="118"/>
      <c r="L158" s="118"/>
      <c r="M158" s="118"/>
      <c r="N158" s="102"/>
      <c r="O158" s="102"/>
      <c r="P158" s="102"/>
      <c r="Q158" s="102"/>
      <c r="R158" s="118"/>
      <c r="S158" s="118"/>
      <c r="T158" s="118"/>
      <c r="U158" s="118"/>
      <c r="V158" s="118"/>
    </row>
    <row r="159" outlineLevel="1">
      <c r="A159" s="146"/>
      <c r="B159" s="327" t="s">
        <v>233</v>
      </c>
      <c r="C159" s="328" t="str">
        <f t="array" ref="C159">INDEX('アイテム'!$K$3:$L$114, MATCH($A$1,'アイテム'!$A$3:$A$114,0), MATCH(C152,'アイテム'!$C$2:$AQ$2,0))</f>
        <v>15</v>
      </c>
      <c r="D159" s="328">
        <f t="array" ref="D159">INDEX('アイテム'!$K$3:$L$114, MATCH($A$1,'アイテム'!$A$3:$A$114,0), MATCH(D152,'アイテム'!$C$2:$AQ$2,0))</f>
        <v>23</v>
      </c>
      <c r="E159" s="2544"/>
      <c r="F159" s="2545"/>
      <c r="G159" s="2546"/>
      <c r="H159" s="228"/>
      <c r="I159" s="228"/>
      <c r="J159" s="228"/>
      <c r="K159" s="118"/>
      <c r="L159" s="118"/>
      <c r="M159" s="118"/>
      <c r="N159" s="102"/>
      <c r="O159" s="102"/>
      <c r="P159" s="102"/>
      <c r="Q159" s="102"/>
      <c r="R159" s="118"/>
      <c r="S159" s="118"/>
      <c r="T159" s="118"/>
      <c r="U159" s="118"/>
      <c r="V159" s="118"/>
    </row>
    <row r="160" outlineLevel="1">
      <c r="A160" s="146"/>
      <c r="B160" s="327" t="s">
        <v>234</v>
      </c>
      <c r="C160" s="328" t="str">
        <f t="array" ref="C160">INDEX('アイテム'!$M$3:$N$114, MATCH($A$1,'アイテム'!$A$3:$A$114,0), MATCH(C152,'アイテム'!$C$2:$AQ$2,0))</f>
        <v>8</v>
      </c>
      <c r="D160" s="328">
        <f t="array" ref="D160">INDEX('アイテム'!$M$3:$N$114, MATCH($A$1,'アイテム'!$A$3:$A$114,0), MATCH(D152,'アイテム'!$C$2:$AQ$2,0))</f>
        <v>19</v>
      </c>
      <c r="E160" s="2544"/>
      <c r="F160" s="2545"/>
      <c r="G160" s="2546"/>
      <c r="H160" s="228"/>
      <c r="I160" s="228"/>
      <c r="J160" s="228"/>
      <c r="K160" s="118"/>
      <c r="L160" s="118"/>
      <c r="M160" s="118"/>
      <c r="N160" s="102"/>
      <c r="O160" s="102"/>
      <c r="P160" s="102"/>
      <c r="Q160" s="102"/>
      <c r="R160" s="118"/>
      <c r="S160" s="118"/>
      <c r="T160" s="118"/>
      <c r="U160" s="118"/>
      <c r="V160" s="118"/>
    </row>
    <row r="161" outlineLevel="1">
      <c r="A161" s="146"/>
      <c r="B161" s="327" t="s">
        <v>219</v>
      </c>
      <c r="C161" s="328" t="str">
        <f t="array" ref="C161">INDEX('アイテム'!$O$3:$P$114, MATCH($A$1,'アイテム'!$A$3:$A$114,0), MATCH(C152,'アイテム'!$C$2:$AQ$2,0))</f>
        <v>6</v>
      </c>
      <c r="D161" s="328">
        <f t="array" ref="D161">INDEX('アイテム'!$O$3:$P$114, MATCH($A$1,'アイテム'!$A$3:$A$114,0), MATCH(D152,'アイテム'!$C$2:$AQ$2,0))</f>
        <v>29</v>
      </c>
      <c r="E161" s="2544"/>
      <c r="F161" s="2545"/>
      <c r="G161" s="2546"/>
      <c r="H161" s="228"/>
      <c r="I161" s="228"/>
      <c r="J161" s="228"/>
      <c r="K161" s="118"/>
      <c r="L161" s="118"/>
      <c r="M161" s="118"/>
      <c r="N161" s="102"/>
      <c r="O161" s="102"/>
      <c r="P161" s="102"/>
      <c r="Q161" s="102"/>
      <c r="R161" s="118"/>
      <c r="S161" s="118"/>
      <c r="T161" s="118"/>
      <c r="U161" s="118"/>
      <c r="V161" s="118"/>
    </row>
    <row r="162" outlineLevel="1">
      <c r="A162" s="156"/>
      <c r="B162" s="327" t="s">
        <v>263</v>
      </c>
      <c r="C162" s="328" t="str">
        <f t="array" ref="C162">INDEX('アイテム'!$Q$3:$R$114, MATCH($A$1,'アイテム'!$A$3:$A$114,0), MATCH(C152,'アイテム'!$C$2:$AQ$2,0))</f>
        <v>6</v>
      </c>
      <c r="D162" s="328">
        <f t="array" ref="D162">INDEX('アイテム'!$Q$3:$R$114, MATCH($A$1,'アイテム'!$A$3:$A$114,0), MATCH(D152,'アイテム'!$C$2:$AQ$2,0))</f>
        <v>23</v>
      </c>
      <c r="E162" s="2544"/>
      <c r="F162" s="2545"/>
      <c r="G162" s="2546"/>
      <c r="H162" s="228"/>
      <c r="I162" s="228"/>
      <c r="J162" s="228"/>
      <c r="K162" s="118"/>
      <c r="L162" s="118"/>
      <c r="M162" s="118"/>
      <c r="N162" s="102"/>
      <c r="O162" s="102"/>
      <c r="P162" s="102"/>
      <c r="Q162" s="102"/>
      <c r="R162" s="118"/>
      <c r="S162" s="118"/>
      <c r="T162" s="118"/>
      <c r="U162" s="118"/>
      <c r="V162" s="118"/>
    </row>
    <row r="163" outlineLevel="1">
      <c r="A163" s="326" t="s">
        <v>264</v>
      </c>
      <c r="B163" s="327" t="s">
        <v>226</v>
      </c>
      <c r="C163" s="328" t="str">
        <f t="array" ref="C163">INDEX('アイテム'!$S$3:$T$114, MATCH($A$1,'アイテム'!$A$3:$A$114,0), MATCH(C152,'アイテム'!$C$2:$AQ$2,0))</f>
        <v>10</v>
      </c>
      <c r="D163" s="328">
        <f t="array" ref="D163">INDEX('アイテム'!$S$3:$T$114, MATCH($A$1,'アイテム'!$A$3:$A$114,0), MATCH(D152,'アイテム'!$C$2:$AQ$2,0))</f>
        <v>24</v>
      </c>
      <c r="E163" s="2544"/>
      <c r="F163" s="2545"/>
      <c r="G163" s="2546"/>
      <c r="H163" s="228"/>
      <c r="I163" s="228"/>
      <c r="J163" s="228"/>
      <c r="K163" s="118"/>
      <c r="L163" s="118"/>
      <c r="M163" s="118"/>
      <c r="N163" s="102"/>
      <c r="O163" s="102"/>
      <c r="P163" s="102"/>
      <c r="Q163" s="102"/>
      <c r="R163" s="118"/>
      <c r="S163" s="118"/>
      <c r="T163" s="118"/>
      <c r="U163" s="118"/>
      <c r="V163" s="118"/>
    </row>
    <row r="164" outlineLevel="1">
      <c r="A164" s="146"/>
      <c r="B164" s="327" t="s">
        <v>229</v>
      </c>
      <c r="C164" s="328" t="str">
        <f t="array" ref="C164">INDEX('アイテム'!$U$3:$V$114, MATCH($A$1,'アイテム'!$A$3:$A$114,0), MATCH(C152,'アイテム'!$C$2:$AQ$2,0))</f>
        <v>13</v>
      </c>
      <c r="D164" s="328">
        <f t="array" ref="D164">INDEX('アイテム'!$U$3:$V$114, MATCH($A$1,'アイテム'!$A$3:$A$114,0), MATCH(D152,'アイテム'!$C$2:$AQ$2,0))</f>
        <v>24</v>
      </c>
      <c r="E164" s="2544"/>
      <c r="F164" s="2545"/>
      <c r="G164" s="2546"/>
      <c r="H164" s="228"/>
      <c r="I164" s="228"/>
      <c r="J164" s="228"/>
      <c r="K164" s="118"/>
      <c r="L164" s="118"/>
      <c r="M164" s="118"/>
      <c r="N164" s="102"/>
      <c r="O164" s="102"/>
      <c r="P164" s="102"/>
      <c r="Q164" s="102"/>
      <c r="R164" s="118"/>
      <c r="S164" s="118"/>
      <c r="T164" s="118"/>
      <c r="U164" s="118"/>
      <c r="V164" s="118"/>
    </row>
    <row r="165" outlineLevel="1">
      <c r="A165" s="146"/>
      <c r="B165" s="327" t="s">
        <v>233</v>
      </c>
      <c r="C165" s="328" t="str">
        <f t="array" ref="C165">INDEX('アイテム'!$W$3:$X$114, MATCH($A$1,'アイテム'!$A$3:$A$114,0), MATCH(C152,'アイテム'!$C$2:$AQ$2,0))</f>
        <v>15</v>
      </c>
      <c r="D165" s="328">
        <f t="array" ref="D165">INDEX('アイテム'!$W$3:$X$114, MATCH($A$1,'アイテム'!$A$3:$A$114,0), MATCH(D152,'アイテム'!$C$2:$AQ$2,0))</f>
        <v>23</v>
      </c>
      <c r="E165" s="2544"/>
      <c r="F165" s="2545"/>
      <c r="G165" s="2546"/>
      <c r="H165" s="228"/>
      <c r="I165" s="228"/>
      <c r="J165" s="228"/>
      <c r="K165" s="118"/>
      <c r="L165" s="118"/>
      <c r="M165" s="118"/>
      <c r="N165" s="102"/>
      <c r="O165" s="102"/>
      <c r="P165" s="102"/>
      <c r="Q165" s="102"/>
      <c r="R165" s="118"/>
      <c r="S165" s="118"/>
      <c r="T165" s="118"/>
      <c r="U165" s="118"/>
      <c r="V165" s="118"/>
    </row>
    <row r="166" outlineLevel="1">
      <c r="A166" s="156"/>
      <c r="B166" s="327" t="s">
        <v>234</v>
      </c>
      <c r="C166" s="328" t="str">
        <f t="array" ref="C166">INDEX('アイテム'!$Y$3:$Z$114, MATCH($A$1,'アイテム'!$A$3:$A$114,0), MATCH(C152,'アイテム'!$C$2:$AQ$2,0))</f>
        <v>8</v>
      </c>
      <c r="D166" s="328">
        <f t="array" ref="D166">INDEX('アイテム'!$Y$3:$Z$114, MATCH($A$1,'アイテム'!$A$3:$A$114,0), MATCH(D152,'アイテム'!$C$2:$AQ$2,0))</f>
        <v>19</v>
      </c>
      <c r="E166" s="2544"/>
      <c r="F166" s="2545"/>
      <c r="G166" s="2546"/>
      <c r="H166" s="228"/>
      <c r="I166" s="228"/>
      <c r="J166" s="228"/>
      <c r="K166" s="118"/>
      <c r="L166" s="118"/>
      <c r="M166" s="118"/>
      <c r="N166" s="102"/>
      <c r="O166" s="102"/>
      <c r="P166" s="102"/>
      <c r="Q166" s="102"/>
      <c r="R166" s="118"/>
      <c r="S166" s="118"/>
      <c r="T166" s="118"/>
      <c r="U166" s="118"/>
      <c r="V166" s="118"/>
    </row>
    <row r="167" outlineLevel="1">
      <c r="A167" s="326" t="s">
        <v>265</v>
      </c>
      <c r="B167" s="327" t="s">
        <v>226</v>
      </c>
      <c r="C167" s="328">
        <f t="array" ref="C167">INDEX('アイテム'!$AC$3:$AD$114, MATCH($A$1,'アイテム'!$A$3:$A$114,0), MATCH(C152,'アイテム'!$C$2:$AQ$2,0))</f>
        <v>17</v>
      </c>
      <c r="D167" s="328" t="str">
        <f t="array" ref="D167">INDEX('アイテム'!$AC$3:$AD$114, MATCH($A$1,'アイテム'!$A$3:$A$114,0), MATCH(D152,'アイテム'!$C$2:$AQ$2,0))</f>
        <v>30</v>
      </c>
      <c r="E167" s="2544"/>
      <c r="F167" s="2545"/>
      <c r="G167" s="2546"/>
      <c r="H167" s="228"/>
      <c r="I167" s="228"/>
      <c r="J167" s="228"/>
      <c r="K167" s="118"/>
      <c r="L167" s="118"/>
      <c r="M167" s="118"/>
      <c r="N167" s="102"/>
      <c r="O167" s="102"/>
      <c r="P167" s="102"/>
      <c r="Q167" s="102"/>
      <c r="R167" s="118"/>
      <c r="S167" s="118"/>
      <c r="T167" s="118"/>
      <c r="U167" s="118"/>
      <c r="V167" s="118"/>
    </row>
    <row r="168" outlineLevel="1">
      <c r="A168" s="146"/>
      <c r="B168" s="327" t="s">
        <v>229</v>
      </c>
      <c r="C168" s="328">
        <f t="array" ref="C168">INDEX('アイテム'!$AE$3:$AF$114, MATCH($A$1,'アイテム'!$A$3:$A$114,0), MATCH(C152,'アイテム'!$C$2:$AQ$2,0))</f>
        <v>17</v>
      </c>
      <c r="D168" s="328" t="str">
        <f t="array" ref="D168">INDEX('アイテム'!$AE$3:$AF$114, MATCH($A$1,'アイテム'!$A$3:$A$114,0), MATCH(D152,'アイテム'!$C$2:$AQ$2,0))</f>
        <v>30</v>
      </c>
      <c r="E168" s="2544"/>
      <c r="F168" s="2545"/>
      <c r="G168" s="2546"/>
      <c r="H168" s="228"/>
      <c r="I168" s="228"/>
      <c r="J168" s="228"/>
      <c r="K168" s="118"/>
      <c r="L168" s="118"/>
      <c r="M168" s="118"/>
      <c r="N168" s="102"/>
      <c r="O168" s="102"/>
      <c r="P168" s="102"/>
      <c r="Q168" s="102"/>
      <c r="R168" s="118"/>
      <c r="S168" s="118"/>
      <c r="T168" s="118"/>
      <c r="U168" s="118"/>
      <c r="V168" s="118"/>
    </row>
    <row r="169" outlineLevel="1">
      <c r="A169" s="146"/>
      <c r="B169" s="327" t="s">
        <v>233</v>
      </c>
      <c r="C169" s="328">
        <f t="array" ref="C169">INDEX('アイテム'!$AG$3:$AH$114, MATCH($A$1,'アイテム'!$A$3:$A$114,0), MATCH(C152,'アイテム'!$C$2:$AQ$2,0))</f>
        <v>11</v>
      </c>
      <c r="D169" s="328" t="str">
        <f t="array" ref="D169">INDEX('アイテム'!$AG$3:$AH$114, MATCH($A$1,'アイテム'!$A$3:$A$114,0), MATCH(D152,'アイテム'!$C$2:$AQ$2,0))</f>
        <v>22</v>
      </c>
      <c r="E169" s="2544"/>
      <c r="F169" s="2545"/>
      <c r="G169" s="2546"/>
      <c r="H169" s="228"/>
      <c r="I169" s="228"/>
      <c r="J169" s="228"/>
      <c r="K169" s="118"/>
      <c r="L169" s="118"/>
      <c r="M169" s="118"/>
      <c r="N169" s="102"/>
      <c r="O169" s="102"/>
      <c r="P169" s="102"/>
      <c r="Q169" s="102"/>
      <c r="R169" s="118"/>
      <c r="S169" s="118"/>
      <c r="T169" s="118"/>
      <c r="U169" s="118"/>
      <c r="V169" s="118"/>
    </row>
    <row r="170" outlineLevel="1">
      <c r="A170" s="156"/>
      <c r="B170" s="327" t="s">
        <v>234</v>
      </c>
      <c r="C170" s="328">
        <f t="array" ref="C170">INDEX('アイテム'!$AI$3:$AJ$114, MATCH($A$1,'アイテム'!$A$3:$A$114,0), MATCH(C152,'アイテム'!$C$2:$AQ$2,0))</f>
        <v>11</v>
      </c>
      <c r="D170" s="328" t="str">
        <f t="array" ref="D170">INDEX('アイテム'!$AI$3:$AJ$114, MATCH($A$1,'アイテム'!$A$3:$A$114,0), MATCH(D152,'アイテム'!$C$2:$AQ$2,0))</f>
        <v>22</v>
      </c>
      <c r="E170" s="2544"/>
      <c r="F170" s="2545"/>
      <c r="G170" s="2546"/>
      <c r="H170" s="228"/>
      <c r="I170" s="228"/>
      <c r="J170" s="228"/>
      <c r="K170" s="118"/>
      <c r="L170" s="118"/>
      <c r="M170" s="118"/>
      <c r="N170" s="102"/>
      <c r="O170" s="102"/>
      <c r="P170" s="102"/>
      <c r="Q170" s="102"/>
      <c r="R170" s="118"/>
      <c r="S170" s="118"/>
      <c r="T170" s="118"/>
      <c r="U170" s="118"/>
      <c r="V170" s="118"/>
    </row>
  </sheetData>
  <mergeCells count="144">
    <mergeCell ref="H53:J55"/>
    <mergeCell ref="H56:J60"/>
    <mergeCell ref="I66:I67"/>
    <mergeCell ref="J66:J67"/>
    <mergeCell ref="I68:I69"/>
    <mergeCell ref="J68:J69"/>
    <mergeCell ref="I70:I73"/>
    <mergeCell ref="J70:J73"/>
    <mergeCell ref="H76:J76"/>
    <mergeCell ref="H77:J77"/>
    <mergeCell ref="H78:J78"/>
    <mergeCell ref="H79:J84"/>
    <mergeCell ref="H85:J85"/>
    <mergeCell ref="H86:J89"/>
    <mergeCell ref="H90:J90"/>
    <mergeCell ref="H91:J91"/>
    <mergeCell ref="G103:J103"/>
    <mergeCell ref="G104:J105"/>
    <mergeCell ref="G106:J107"/>
    <mergeCell ref="G108:J109"/>
    <mergeCell ref="G110:J111"/>
    <mergeCell ref="K142:L142"/>
    <mergeCell ref="K145:L145"/>
    <mergeCell ref="K122:L122"/>
    <mergeCell ref="K123:K124"/>
    <mergeCell ref="K125:L125"/>
    <mergeCell ref="K126:K131"/>
    <mergeCell ref="K132:K135"/>
    <mergeCell ref="K136:L136"/>
    <mergeCell ref="K138:K141"/>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C24:H24"/>
    <mergeCell ref="A40:B41"/>
    <mergeCell ref="H41:J41"/>
    <mergeCell ref="A42:A45"/>
    <mergeCell ref="H42:J42"/>
    <mergeCell ref="H43:J43"/>
    <mergeCell ref="D44:D45"/>
    <mergeCell ref="H44:J45"/>
    <mergeCell ref="H46:J46"/>
    <mergeCell ref="H47:J47"/>
    <mergeCell ref="A48:A49"/>
    <mergeCell ref="H48:J49"/>
    <mergeCell ref="H50:J50"/>
    <mergeCell ref="A51:A52"/>
    <mergeCell ref="H51:J52"/>
    <mergeCell ref="U48:U49"/>
    <mergeCell ref="U51:U52"/>
    <mergeCell ref="U53:U55"/>
    <mergeCell ref="U56:U60"/>
    <mergeCell ref="R63:V63"/>
    <mergeCell ref="R64:V64"/>
    <mergeCell ref="R65:V65"/>
    <mergeCell ref="U91:U95"/>
    <mergeCell ref="V91:V95"/>
    <mergeCell ref="H92:J92"/>
    <mergeCell ref="H93:J93"/>
    <mergeCell ref="A94:A95"/>
    <mergeCell ref="H94:J94"/>
    <mergeCell ref="H95:J95"/>
    <mergeCell ref="R66:V67"/>
    <mergeCell ref="R68:V69"/>
    <mergeCell ref="R70:V73"/>
    <mergeCell ref="U79:U84"/>
    <mergeCell ref="V79:V84"/>
    <mergeCell ref="U86:U89"/>
    <mergeCell ref="V86:V89"/>
    <mergeCell ref="A123:A127"/>
    <mergeCell ref="A128:A130"/>
    <mergeCell ref="A131:A136"/>
    <mergeCell ref="C135:C136"/>
    <mergeCell ref="D135:D136"/>
    <mergeCell ref="C141:C142"/>
    <mergeCell ref="D141:D142"/>
    <mergeCell ref="A153:A154"/>
    <mergeCell ref="A157:A162"/>
    <mergeCell ref="A163:A166"/>
    <mergeCell ref="A167:A170"/>
    <mergeCell ref="A137:A142"/>
    <mergeCell ref="A143:A149"/>
    <mergeCell ref="C148:C149"/>
    <mergeCell ref="D148:D149"/>
    <mergeCell ref="A151:B151"/>
    <mergeCell ref="A152:B152"/>
    <mergeCell ref="A156:B156"/>
    <mergeCell ref="D48:D49"/>
    <mergeCell ref="D51:D52"/>
    <mergeCell ref="A53:A55"/>
    <mergeCell ref="D53:D55"/>
    <mergeCell ref="A56:A60"/>
    <mergeCell ref="D56:D60"/>
    <mergeCell ref="A62:B63"/>
    <mergeCell ref="A66:A67"/>
    <mergeCell ref="D66:D67"/>
    <mergeCell ref="A68:A69"/>
    <mergeCell ref="D68:D69"/>
    <mergeCell ref="C70:C71"/>
    <mergeCell ref="D70:D73"/>
    <mergeCell ref="C72:C73"/>
    <mergeCell ref="C81:C82"/>
    <mergeCell ref="C83:C84"/>
    <mergeCell ref="D86:D89"/>
    <mergeCell ref="A70:A73"/>
    <mergeCell ref="A75:B75"/>
    <mergeCell ref="A76:B76"/>
    <mergeCell ref="A78:B78"/>
    <mergeCell ref="C79:C80"/>
    <mergeCell ref="D79:D82"/>
    <mergeCell ref="D83:D84"/>
    <mergeCell ref="A100:A102"/>
    <mergeCell ref="A104:A105"/>
    <mergeCell ref="D104:D105"/>
    <mergeCell ref="D106:D107"/>
    <mergeCell ref="D108:D109"/>
    <mergeCell ref="D110:D111"/>
    <mergeCell ref="A79:A84"/>
    <mergeCell ref="A85:B85"/>
    <mergeCell ref="A86:A89"/>
    <mergeCell ref="A90:B90"/>
    <mergeCell ref="A91:A93"/>
    <mergeCell ref="A97:B98"/>
    <mergeCell ref="A103:B103"/>
    <mergeCell ref="A106:A107"/>
    <mergeCell ref="A108:A109"/>
    <mergeCell ref="A110:A111"/>
    <mergeCell ref="A113:B114"/>
    <mergeCell ref="A115:A117"/>
    <mergeCell ref="A118:A119"/>
    <mergeCell ref="A121:B122"/>
  </mergeCells>
  <conditionalFormatting sqref="K1:K15 K17:K76 K78:K90 K92:K93 K96:K146">
    <cfRule type="containsText" dxfId="0" priority="1" operator="containsText" text="361">
      <formula>NOT(ISERROR(SEARCH(("361"),(K1))))</formula>
    </cfRule>
  </conditionalFormatting>
  <conditionalFormatting sqref="K1:K15 K17:K76 K78:K90 K92:K93 K96:K146">
    <cfRule type="containsText" dxfId="1" priority="2" operator="containsText" text="363">
      <formula>NOT(ISERROR(SEARCH(("363"),(K1))))</formula>
    </cfRule>
  </conditionalFormatting>
  <conditionalFormatting sqref="K1:K15 K17:K76 K78:K90 K92:K93 K96:K146">
    <cfRule type="containsText" dxfId="1" priority="3" operator="containsText" text="365">
      <formula>NOT(ISERROR(SEARCH(("365"),(K1))))</formula>
    </cfRule>
  </conditionalFormatting>
  <conditionalFormatting sqref="K1:K15 K17:K76 K78:K90 K92:K93 K96:K146">
    <cfRule type="containsText" dxfId="1" priority="4" operator="containsText" text="366">
      <formula>NOT(ISERROR(SEARCH(("366"),(K1))))</formula>
    </cfRule>
  </conditionalFormatting>
  <conditionalFormatting sqref="K1:K15 K17:K76 K78:K90 K92:K93 K96:K146">
    <cfRule type="containsText" dxfId="1" priority="5" operator="containsText" text="367">
      <formula>NOT(ISERROR(SEARCH(("367"),(K1))))</formula>
    </cfRule>
  </conditionalFormatting>
  <conditionalFormatting sqref="P104:P111">
    <cfRule type="cellIs" dxfId="2" priority="6" operator="equal">
      <formula>"敵のみ"</formula>
    </cfRule>
  </conditionalFormatting>
  <conditionalFormatting sqref="C104:C111">
    <cfRule type="cellIs" dxfId="3" priority="7" operator="equal">
      <formula>"-"</formula>
    </cfRule>
  </conditionalFormatting>
  <conditionalFormatting sqref="O1:O76 O78:O90 O92:O93 O96:O170">
    <cfRule type="cellIs" dxfId="4" priority="8" operator="greaterThan">
      <formula>0</formula>
    </cfRule>
  </conditionalFormatting>
  <conditionalFormatting sqref="P1:Q76 P78:Q90 P92:Q93 P96:Q170">
    <cfRule type="cellIs" dxfId="5" priority="9" operator="lessThan">
      <formula>1</formula>
    </cfRule>
  </conditionalFormatting>
  <conditionalFormatting sqref="P1:Q76 P78:Q90 P92:Q93 P96:Q170">
    <cfRule type="cellIs" dxfId="4" priority="10" operator="greaterThan">
      <formula>1</formula>
    </cfRule>
  </conditionalFormatting>
  <conditionalFormatting sqref="N41:N76 N78:N90 N92:N93 N96:N111">
    <cfRule type="cellIs" dxfId="6" priority="11" operator="greaterThan">
      <formula>0</formula>
    </cfRule>
  </conditionalFormatting>
  <conditionalFormatting sqref="N1:N15 N17:N76 N78:N90 N92:N93 N96:N170">
    <cfRule type="containsText" dxfId="6" priority="12" operator="containsText" text="/">
      <formula>NOT(ISERROR(SEARCH(("/"),(N1))))</formula>
    </cfRule>
  </conditionalFormatting>
  <drawing r:id="rId2"/>
  <legacyDrawing r:id="rId3"/>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9BF3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625">
        <v>58.0</v>
      </c>
      <c r="B1" s="2626"/>
      <c r="C1" s="2627" t="str">
        <f>IMAGE(VLOOKUP($A$1,Fighters!A2:AI114,12,FALSE),1)</f>
        <v>#REF!</v>
      </c>
      <c r="D1" s="2628"/>
      <c r="E1" s="2628"/>
      <c r="F1" s="2628"/>
      <c r="G1" s="2629"/>
      <c r="H1" s="2630"/>
      <c r="I1" s="2628"/>
      <c r="J1" s="2629"/>
      <c r="K1" s="2631"/>
      <c r="L1" s="2628"/>
      <c r="M1" s="2629"/>
      <c r="N1" s="2632"/>
      <c r="O1" s="2632"/>
      <c r="P1" s="2632"/>
      <c r="Q1" s="2632"/>
      <c r="R1" s="2633"/>
      <c r="S1" s="2633"/>
      <c r="T1" s="2633"/>
      <c r="U1" s="2633"/>
      <c r="V1" s="2633"/>
    </row>
    <row r="2">
      <c r="A2" s="2634" t="str">
        <f>VLOOKUP($A$1,Fighters!$A$2:$AI$81,6,FALSE)</f>
        <v>#59bf38</v>
      </c>
      <c r="B2" s="2626"/>
      <c r="C2" s="2635"/>
      <c r="G2" s="2636"/>
      <c r="H2" s="2637"/>
      <c r="I2" s="2638"/>
      <c r="J2" s="2639"/>
      <c r="K2" s="2637"/>
      <c r="L2" s="2638"/>
      <c r="M2" s="2639"/>
      <c r="N2" s="2632"/>
      <c r="O2" s="2632"/>
      <c r="P2" s="2632"/>
      <c r="Q2" s="2632"/>
      <c r="R2" s="2633"/>
      <c r="S2" s="2633"/>
      <c r="T2" s="2633"/>
      <c r="U2" s="2633"/>
      <c r="V2" s="2633"/>
    </row>
    <row r="3">
      <c r="A3" s="2634" t="str">
        <f>VLOOKUP($A$1,Fighters!$A$2:$AI$81,14,FALSE)</f>
        <v>58. クッパ Jr.</v>
      </c>
      <c r="B3" s="2626"/>
      <c r="C3" s="2635"/>
      <c r="G3" s="2636"/>
      <c r="H3" s="2640"/>
      <c r="I3" s="2640"/>
      <c r="J3" s="2640"/>
      <c r="K3" s="2641"/>
      <c r="L3" s="2641"/>
      <c r="M3" s="2641"/>
      <c r="N3" s="2632"/>
      <c r="O3" s="2632"/>
      <c r="P3" s="2632"/>
      <c r="Q3" s="2632"/>
      <c r="R3" s="2642"/>
      <c r="S3" s="2633"/>
      <c r="T3" s="2633"/>
      <c r="U3" s="2633"/>
      <c r="V3" s="2633"/>
    </row>
    <row r="4">
      <c r="A4" s="2634" t="str">
        <f>VLOOKUP($A$1,Fighters!$A$2:$AI$81,13,FALSE)</f>
        <v>0</v>
      </c>
      <c r="B4" s="2626"/>
      <c r="C4" s="2635"/>
      <c r="G4" s="2636"/>
      <c r="H4" s="2643"/>
      <c r="I4" s="2643"/>
      <c r="J4" s="2640"/>
      <c r="K4" s="2641"/>
      <c r="L4" s="2641"/>
      <c r="M4" s="2641"/>
      <c r="N4" s="2632"/>
      <c r="O4" s="2632"/>
      <c r="P4" s="2632"/>
      <c r="Q4" s="2632"/>
      <c r="R4" s="2642"/>
      <c r="S4" s="2633"/>
      <c r="T4" s="2633"/>
      <c r="U4" s="2633"/>
      <c r="V4" s="2633"/>
    </row>
    <row r="5" ht="16.5" customHeight="1">
      <c r="A5" s="2625"/>
      <c r="B5" s="2626"/>
      <c r="C5" s="2635"/>
      <c r="G5" s="2636"/>
      <c r="H5" s="2644"/>
      <c r="I5" s="2644"/>
      <c r="J5" s="2645"/>
      <c r="K5" s="2646"/>
      <c r="L5" s="2647"/>
      <c r="M5" s="2647"/>
      <c r="N5" s="2632"/>
      <c r="O5" s="2632"/>
      <c r="P5" s="2632"/>
      <c r="Q5" s="2632"/>
      <c r="R5" s="2642"/>
      <c r="S5" s="2633"/>
      <c r="T5" s="2633"/>
      <c r="U5" s="2633"/>
      <c r="V5" s="2633"/>
    </row>
    <row r="6">
      <c r="A6" s="2626"/>
      <c r="B6" s="2626"/>
      <c r="C6" s="2635"/>
      <c r="G6" s="2636"/>
      <c r="H6" s="2643"/>
      <c r="I6" s="2648" t="s">
        <v>39</v>
      </c>
      <c r="J6" s="2646"/>
      <c r="K6" s="2649"/>
      <c r="L6" s="2647"/>
      <c r="M6" s="2647"/>
      <c r="N6" s="2632"/>
      <c r="O6" s="2632"/>
      <c r="P6" s="2632"/>
      <c r="Q6" s="2632"/>
      <c r="R6" s="2642"/>
      <c r="S6" s="2633"/>
      <c r="T6" s="2633"/>
      <c r="U6" s="2633"/>
      <c r="V6" s="2633"/>
    </row>
    <row r="7">
      <c r="A7" s="2626"/>
      <c r="B7" s="2626"/>
      <c r="C7" s="2635"/>
      <c r="G7" s="2636"/>
      <c r="H7" s="2644"/>
      <c r="I7" s="2644"/>
      <c r="J7" s="2646"/>
      <c r="K7" s="2649"/>
      <c r="L7" s="2647"/>
      <c r="M7" s="2647"/>
      <c r="N7" s="2632"/>
      <c r="O7" s="2632"/>
      <c r="P7" s="2632"/>
      <c r="Q7" s="2632"/>
      <c r="R7" s="2642"/>
      <c r="S7" s="2633"/>
      <c r="T7" s="2633"/>
      <c r="U7" s="2633"/>
      <c r="V7" s="2633"/>
    </row>
    <row r="8">
      <c r="A8" s="2626"/>
      <c r="B8" s="2626"/>
      <c r="C8" s="2635"/>
      <c r="G8" s="2636"/>
      <c r="H8" s="2650">
        <v>44533.42263476852</v>
      </c>
      <c r="I8" s="2628"/>
      <c r="J8" s="2629"/>
      <c r="K8" s="2646"/>
      <c r="L8" s="2647"/>
      <c r="M8" s="2647"/>
      <c r="N8" s="2632"/>
      <c r="O8" s="2632"/>
      <c r="P8" s="2632"/>
      <c r="Q8" s="2632"/>
      <c r="R8" s="2642"/>
      <c r="S8" s="2633"/>
      <c r="T8" s="2633"/>
      <c r="U8" s="2633"/>
      <c r="V8" s="2633"/>
    </row>
    <row r="9">
      <c r="A9" s="2626"/>
      <c r="B9" s="2626"/>
      <c r="C9" s="2635"/>
      <c r="G9" s="2636"/>
      <c r="H9" s="2637"/>
      <c r="I9" s="2638"/>
      <c r="J9" s="2639"/>
      <c r="K9" s="2633"/>
      <c r="L9" s="2632"/>
      <c r="M9" s="2632"/>
      <c r="N9" s="2632"/>
      <c r="O9" s="2632"/>
      <c r="P9" s="2632"/>
      <c r="Q9" s="2632"/>
      <c r="R9" s="2642"/>
      <c r="S9" s="2633"/>
      <c r="T9" s="2633"/>
      <c r="U9" s="2633"/>
      <c r="V9" s="2633"/>
    </row>
    <row r="10">
      <c r="A10" s="2626"/>
      <c r="B10" s="2626"/>
      <c r="C10" s="2635"/>
      <c r="G10" s="2636"/>
      <c r="H10" s="2651"/>
      <c r="I10" s="2651"/>
      <c r="J10" s="2633"/>
      <c r="K10" s="2633"/>
      <c r="L10" s="2632"/>
      <c r="M10" s="2632"/>
      <c r="N10" s="2632"/>
      <c r="O10" s="2632"/>
      <c r="P10" s="2632"/>
      <c r="Q10" s="2632"/>
      <c r="R10" s="2642"/>
      <c r="S10" s="2633"/>
      <c r="T10" s="2633"/>
      <c r="U10" s="2633"/>
      <c r="V10" s="2633"/>
    </row>
    <row r="11">
      <c r="A11" s="2652" t="s">
        <v>40</v>
      </c>
      <c r="B11" s="2629"/>
      <c r="C11" s="2635"/>
      <c r="G11" s="2636"/>
      <c r="H11" s="2644"/>
      <c r="I11" s="2644"/>
      <c r="J11" s="2633"/>
      <c r="K11" s="2633"/>
      <c r="L11" s="2632"/>
      <c r="M11" s="2632"/>
      <c r="N11" s="2632"/>
      <c r="O11" s="2632"/>
      <c r="P11" s="2632"/>
      <c r="Q11" s="2632"/>
      <c r="R11" s="2642"/>
      <c r="S11" s="2633"/>
      <c r="T11" s="2633"/>
      <c r="U11" s="2633"/>
      <c r="V11" s="2633"/>
    </row>
    <row r="12">
      <c r="A12" s="2637"/>
      <c r="B12" s="2639"/>
      <c r="C12" s="2637"/>
      <c r="D12" s="2638"/>
      <c r="E12" s="2638"/>
      <c r="F12" s="2638"/>
      <c r="G12" s="2639"/>
      <c r="H12" s="2653"/>
      <c r="I12" s="2653"/>
      <c r="J12" s="2626"/>
      <c r="K12" s="2626"/>
      <c r="L12" s="2632"/>
      <c r="M12" s="2632"/>
      <c r="N12" s="2632"/>
      <c r="O12" s="2632"/>
      <c r="P12" s="2632"/>
      <c r="Q12" s="2632"/>
      <c r="R12" s="2642"/>
      <c r="S12" s="2633"/>
      <c r="T12" s="2633"/>
      <c r="U12" s="2633"/>
      <c r="V12" s="263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108 [10th]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1.76 [72nd]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0.924 [63rd]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34.4 [27th]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1.566 [67th]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0.085 [79th]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16.59 [34th]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1.134 [27th]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34.4 [33rd]</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1.65 [33rd]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2.64 [34th]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0.092 [42nd]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tr">
        <f>'テンプレート'!A24</f>
        <v>地上攻撃</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tr">
        <f>'テンプレート'!C25</f>
        <v>判定持続</v>
      </c>
      <c r="D25" s="128" t="str">
        <f>'テンプレート'!D25</f>
        <v>全体フレーム</v>
      </c>
      <c r="E25" s="128" t="str">
        <f>'テンプレート'!E25</f>
        <v>基礎ダメージ</v>
      </c>
      <c r="F25" s="129" t="str">
        <f>'テンプレート'!F25</f>
        <v>ダメージ (1v1)</v>
      </c>
      <c r="G25" s="128" t="str">
        <f>'テンプレート'!G25</f>
        <v>ガード硬直</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tr">
        <f>'テンプレート'!A26</f>
        <v>弱攻撃</v>
      </c>
      <c r="B26" s="134" t="s">
        <v>55</v>
      </c>
      <c r="C26" s="139" t="s">
        <v>717</v>
      </c>
      <c r="D26" s="139" t="s">
        <v>4182</v>
      </c>
      <c r="E26" s="139" t="s">
        <v>176</v>
      </c>
      <c r="F26" s="138">
        <v>2.4</v>
      </c>
      <c r="G26" s="139" t="s">
        <v>60</v>
      </c>
      <c r="H26" s="140" t="s">
        <v>4183</v>
      </c>
      <c r="I26" s="110"/>
      <c r="J26" s="109"/>
      <c r="K26" s="138"/>
      <c r="L26" s="282"/>
      <c r="M26" s="363"/>
      <c r="N26" s="363"/>
      <c r="O26" s="145">
        <v>0.0</v>
      </c>
      <c r="P26" s="145">
        <v>1.0</v>
      </c>
      <c r="Q26" s="145">
        <v>1.0</v>
      </c>
      <c r="R26" s="100"/>
      <c r="S26" s="100"/>
      <c r="T26" s="100"/>
      <c r="U26" s="145" t="s">
        <v>62</v>
      </c>
      <c r="V26" s="100"/>
    </row>
    <row r="27" outlineLevel="1">
      <c r="A27" s="146"/>
      <c r="B27" s="147" t="s">
        <v>63</v>
      </c>
      <c r="C27" s="216" t="s">
        <v>717</v>
      </c>
      <c r="D27" s="216" t="s">
        <v>99</v>
      </c>
      <c r="E27" s="216" t="s">
        <v>176</v>
      </c>
      <c r="F27" s="138">
        <v>2.4</v>
      </c>
      <c r="G27" s="139" t="s">
        <v>60</v>
      </c>
      <c r="H27" s="140" t="s">
        <v>1662</v>
      </c>
      <c r="I27" s="110"/>
      <c r="J27" s="109"/>
      <c r="K27" s="282"/>
      <c r="L27" s="282"/>
      <c r="M27" s="363"/>
      <c r="N27" s="363"/>
      <c r="O27" s="145">
        <v>0.0</v>
      </c>
      <c r="P27" s="145">
        <v>1.0</v>
      </c>
      <c r="Q27" s="145">
        <v>1.0</v>
      </c>
      <c r="R27" s="100"/>
      <c r="S27" s="100"/>
      <c r="T27" s="100"/>
      <c r="U27" s="145" t="s">
        <v>69</v>
      </c>
      <c r="V27" s="100"/>
    </row>
    <row r="28" outlineLevel="1">
      <c r="A28" s="146"/>
      <c r="B28" s="147" t="s">
        <v>703</v>
      </c>
      <c r="C28" s="657"/>
      <c r="D28" s="216" t="s">
        <v>176</v>
      </c>
      <c r="E28" s="659"/>
      <c r="F28" s="658"/>
      <c r="G28" s="659"/>
      <c r="H28" s="366"/>
      <c r="I28" s="110"/>
      <c r="J28" s="109"/>
      <c r="K28" s="261"/>
      <c r="L28" s="261"/>
      <c r="M28" s="261"/>
      <c r="N28" s="261"/>
      <c r="O28" s="261"/>
      <c r="P28" s="261"/>
      <c r="Q28" s="261"/>
      <c r="R28" s="100"/>
      <c r="S28" s="100"/>
      <c r="T28" s="100"/>
      <c r="U28" s="145" t="s">
        <v>76</v>
      </c>
      <c r="V28" s="100"/>
    </row>
    <row r="29" outlineLevel="1">
      <c r="A29" s="146"/>
      <c r="B29" s="147" t="s">
        <v>4184</v>
      </c>
      <c r="C29" s="216" t="s">
        <v>4185</v>
      </c>
      <c r="D29" s="195" t="s">
        <v>271</v>
      </c>
      <c r="E29" s="216" t="s">
        <v>1098</v>
      </c>
      <c r="F29" s="138">
        <v>0.6</v>
      </c>
      <c r="G29" s="450" t="s">
        <v>75</v>
      </c>
      <c r="H29" s="283" t="s">
        <v>4186</v>
      </c>
      <c r="I29" s="164"/>
      <c r="J29" s="104"/>
      <c r="K29" s="282"/>
      <c r="L29" s="282"/>
      <c r="M29" s="363"/>
      <c r="N29" s="363"/>
      <c r="O29" s="145">
        <v>0.0</v>
      </c>
      <c r="P29" s="145">
        <v>1.0</v>
      </c>
      <c r="Q29" s="145">
        <v>1.0</v>
      </c>
      <c r="R29" s="100"/>
      <c r="S29" s="100"/>
      <c r="T29" s="100"/>
      <c r="U29" s="145" t="s">
        <v>76</v>
      </c>
      <c r="V29" s="100"/>
    </row>
    <row r="30" outlineLevel="1">
      <c r="A30" s="146"/>
      <c r="B30" s="147" t="s">
        <v>4187</v>
      </c>
      <c r="C30" s="216" t="s">
        <v>4188</v>
      </c>
      <c r="D30" s="107"/>
      <c r="E30" s="216" t="s">
        <v>1098</v>
      </c>
      <c r="F30" s="138">
        <v>0.6</v>
      </c>
      <c r="G30" s="450" t="s">
        <v>75</v>
      </c>
      <c r="H30" s="106"/>
      <c r="I30" s="168"/>
      <c r="J30" s="107"/>
      <c r="K30" s="282"/>
      <c r="L30" s="282"/>
      <c r="M30" s="363"/>
      <c r="N30" s="363"/>
      <c r="O30" s="145">
        <v>0.0</v>
      </c>
      <c r="P30" s="145">
        <v>1.0</v>
      </c>
      <c r="Q30" s="145">
        <v>1.0</v>
      </c>
      <c r="R30" s="100"/>
      <c r="S30" s="100"/>
      <c r="T30" s="100"/>
      <c r="U30" s="145" t="s">
        <v>76</v>
      </c>
      <c r="V30" s="100"/>
    </row>
    <row r="31" outlineLevel="1">
      <c r="A31" s="156"/>
      <c r="B31" s="147" t="s">
        <v>708</v>
      </c>
      <c r="C31" s="216" t="s">
        <v>217</v>
      </c>
      <c r="D31" s="216" t="s">
        <v>221</v>
      </c>
      <c r="E31" s="216" t="s">
        <v>204</v>
      </c>
      <c r="F31" s="138">
        <v>3.5999999999999996</v>
      </c>
      <c r="G31" s="467" t="s">
        <v>147</v>
      </c>
      <c r="H31" s="140" t="s">
        <v>411</v>
      </c>
      <c r="I31" s="110"/>
      <c r="J31" s="109"/>
      <c r="K31" s="282"/>
      <c r="L31" s="282"/>
      <c r="M31" s="363"/>
      <c r="N31" s="363"/>
      <c r="O31" s="145">
        <v>0.0</v>
      </c>
      <c r="P31" s="145">
        <v>1.0</v>
      </c>
      <c r="Q31" s="145">
        <v>1.0</v>
      </c>
      <c r="R31" s="100"/>
      <c r="S31" s="100"/>
      <c r="T31" s="100"/>
      <c r="U31" s="145" t="s">
        <v>76</v>
      </c>
      <c r="V31" s="100"/>
    </row>
    <row r="32" outlineLevel="1">
      <c r="A32" s="133" t="s">
        <v>77</v>
      </c>
      <c r="B32" s="147" t="s">
        <v>604</v>
      </c>
      <c r="C32" s="214" t="s">
        <v>4189</v>
      </c>
      <c r="D32" s="195" t="s">
        <v>111</v>
      </c>
      <c r="E32" s="450" t="s">
        <v>176</v>
      </c>
      <c r="F32" s="138">
        <v>2.4</v>
      </c>
      <c r="G32" s="139" t="s">
        <v>60</v>
      </c>
      <c r="H32" s="456"/>
      <c r="I32" s="164"/>
      <c r="J32" s="104"/>
      <c r="K32" s="138"/>
      <c r="L32" s="282"/>
      <c r="M32" s="363"/>
      <c r="N32" s="363"/>
      <c r="O32" s="145">
        <v>0.0</v>
      </c>
      <c r="P32" s="145">
        <v>1.0</v>
      </c>
      <c r="Q32" s="145">
        <v>1.0</v>
      </c>
      <c r="R32" s="100"/>
      <c r="S32" s="100"/>
      <c r="T32" s="100"/>
      <c r="U32" s="166" t="s">
        <v>69</v>
      </c>
      <c r="V32" s="100"/>
    </row>
    <row r="33" outlineLevel="1">
      <c r="A33" s="146"/>
      <c r="B33" s="147" t="s">
        <v>606</v>
      </c>
      <c r="C33" s="214" t="s">
        <v>4190</v>
      </c>
      <c r="D33" s="210"/>
      <c r="E33" s="450" t="s">
        <v>176</v>
      </c>
      <c r="F33" s="138">
        <v>2.4</v>
      </c>
      <c r="G33" s="139" t="s">
        <v>60</v>
      </c>
      <c r="H33" s="212"/>
      <c r="J33" s="210"/>
      <c r="K33" s="282"/>
      <c r="L33" s="282"/>
      <c r="M33" s="363"/>
      <c r="N33" s="363"/>
      <c r="O33" s="145"/>
      <c r="P33" s="145"/>
      <c r="Q33" s="145"/>
      <c r="R33" s="100"/>
      <c r="S33" s="100"/>
      <c r="T33" s="100"/>
      <c r="U33" s="146"/>
      <c r="V33" s="100"/>
    </row>
    <row r="34" outlineLevel="1">
      <c r="A34" s="156"/>
      <c r="B34" s="147" t="s">
        <v>202</v>
      </c>
      <c r="C34" s="216" t="s">
        <v>610</v>
      </c>
      <c r="D34" s="107"/>
      <c r="E34" s="216" t="s">
        <v>73</v>
      </c>
      <c r="F34" s="138">
        <v>4.8</v>
      </c>
      <c r="G34" s="139" t="s">
        <v>75</v>
      </c>
      <c r="H34" s="106"/>
      <c r="I34" s="168"/>
      <c r="J34" s="107"/>
      <c r="K34" s="282"/>
      <c r="L34" s="282"/>
      <c r="M34" s="363"/>
      <c r="N34" s="363"/>
      <c r="O34" s="145">
        <v>0.0</v>
      </c>
      <c r="P34" s="145">
        <v>1.0</v>
      </c>
      <c r="Q34" s="145">
        <v>1.0</v>
      </c>
      <c r="R34" s="100"/>
      <c r="S34" s="100"/>
      <c r="T34" s="100"/>
      <c r="U34" s="156"/>
      <c r="V34" s="100"/>
    </row>
    <row r="35" outlineLevel="1">
      <c r="A35" s="170" t="s">
        <v>89</v>
      </c>
      <c r="B35" s="147" t="s">
        <v>90</v>
      </c>
      <c r="C35" s="216" t="s">
        <v>277</v>
      </c>
      <c r="D35" s="216" t="s">
        <v>271</v>
      </c>
      <c r="E35" s="216" t="s">
        <v>4191</v>
      </c>
      <c r="F35" s="138" t="s">
        <v>4192</v>
      </c>
      <c r="G35" s="139" t="s">
        <v>1117</v>
      </c>
      <c r="H35" s="159"/>
      <c r="I35" s="110"/>
      <c r="J35" s="109"/>
      <c r="K35" s="138"/>
      <c r="L35" s="282"/>
      <c r="M35" s="363"/>
      <c r="N35" s="363"/>
      <c r="O35" s="145">
        <v>0.0</v>
      </c>
      <c r="P35" s="145">
        <v>1.0</v>
      </c>
      <c r="Q35" s="145">
        <v>1.0</v>
      </c>
      <c r="R35" s="100"/>
      <c r="S35" s="100"/>
      <c r="T35" s="100"/>
      <c r="U35" s="145" t="s">
        <v>62</v>
      </c>
      <c r="V35" s="100"/>
    </row>
    <row r="36" outlineLevel="1">
      <c r="A36" s="170" t="s">
        <v>97</v>
      </c>
      <c r="B36" s="160"/>
      <c r="C36" s="216" t="s">
        <v>1457</v>
      </c>
      <c r="D36" s="450" t="s">
        <v>164</v>
      </c>
      <c r="E36" s="216" t="s">
        <v>86</v>
      </c>
      <c r="F36" s="138">
        <v>7.199999999999999</v>
      </c>
      <c r="G36" s="139" t="s">
        <v>102</v>
      </c>
      <c r="H36" s="159"/>
      <c r="I36" s="110"/>
      <c r="J36" s="109"/>
      <c r="K36" s="282"/>
      <c r="L36" s="282"/>
      <c r="M36" s="363"/>
      <c r="N36" s="363"/>
      <c r="O36" s="145">
        <v>0.0</v>
      </c>
      <c r="P36" s="145">
        <v>1.0</v>
      </c>
      <c r="Q36" s="145">
        <v>1.0</v>
      </c>
      <c r="R36" s="100"/>
      <c r="S36" s="100"/>
      <c r="T36" s="100"/>
      <c r="U36" s="145" t="s">
        <v>62</v>
      </c>
      <c r="V36" s="100"/>
    </row>
    <row r="37" outlineLevel="1">
      <c r="A37" s="133" t="s">
        <v>103</v>
      </c>
      <c r="B37" s="147" t="s">
        <v>125</v>
      </c>
      <c r="C37" s="216" t="s">
        <v>270</v>
      </c>
      <c r="D37" s="195" t="s">
        <v>628</v>
      </c>
      <c r="E37" s="216" t="s">
        <v>176</v>
      </c>
      <c r="F37" s="138">
        <v>2.4</v>
      </c>
      <c r="G37" s="162" t="s">
        <v>60</v>
      </c>
      <c r="H37" s="163" t="s">
        <v>4193</v>
      </c>
      <c r="I37" s="164"/>
      <c r="J37" s="104"/>
      <c r="K37" s="145"/>
      <c r="L37" s="363"/>
      <c r="M37" s="363"/>
      <c r="N37" s="363"/>
      <c r="O37" s="145">
        <v>0.0</v>
      </c>
      <c r="P37" s="145">
        <v>1.0</v>
      </c>
      <c r="Q37" s="145">
        <v>1.0</v>
      </c>
      <c r="R37" s="100"/>
      <c r="S37" s="100"/>
      <c r="T37" s="100"/>
      <c r="U37" s="166" t="s">
        <v>62</v>
      </c>
      <c r="V37" s="100"/>
    </row>
    <row r="38" outlineLevel="1">
      <c r="A38" s="146"/>
      <c r="B38" s="147" t="s">
        <v>131</v>
      </c>
      <c r="C38" s="216" t="s">
        <v>383</v>
      </c>
      <c r="D38" s="210"/>
      <c r="E38" s="216" t="s">
        <v>176</v>
      </c>
      <c r="F38" s="138">
        <v>2.4</v>
      </c>
      <c r="G38" s="162" t="s">
        <v>60</v>
      </c>
      <c r="H38" s="212"/>
      <c r="J38" s="210"/>
      <c r="K38" s="363"/>
      <c r="L38" s="363"/>
      <c r="M38" s="363"/>
      <c r="N38" s="363"/>
      <c r="O38" s="145">
        <v>0.0</v>
      </c>
      <c r="P38" s="145">
        <v>1.0</v>
      </c>
      <c r="Q38" s="145">
        <v>1.0</v>
      </c>
      <c r="R38" s="100"/>
      <c r="S38" s="100"/>
      <c r="T38" s="100"/>
      <c r="U38" s="146"/>
      <c r="V38" s="100"/>
    </row>
    <row r="39" outlineLevel="1">
      <c r="A39" s="156"/>
      <c r="B39" s="147" t="s">
        <v>434</v>
      </c>
      <c r="C39" s="216" t="s">
        <v>1053</v>
      </c>
      <c r="D39" s="107"/>
      <c r="E39" s="216" t="s">
        <v>86</v>
      </c>
      <c r="F39" s="138">
        <v>7.199999999999999</v>
      </c>
      <c r="G39" s="139" t="s">
        <v>102</v>
      </c>
      <c r="H39" s="106"/>
      <c r="I39" s="168"/>
      <c r="J39" s="107"/>
      <c r="K39" s="363"/>
      <c r="L39" s="363"/>
      <c r="M39" s="363"/>
      <c r="N39" s="363"/>
      <c r="O39" s="145">
        <v>0.0</v>
      </c>
      <c r="P39" s="145">
        <v>1.0</v>
      </c>
      <c r="Q39" s="145">
        <v>1.0</v>
      </c>
      <c r="R39" s="100"/>
      <c r="S39" s="100"/>
      <c r="T39" s="100"/>
      <c r="U39" s="156"/>
      <c r="V39" s="100"/>
    </row>
    <row r="40" outlineLevel="1">
      <c r="A40" s="133" t="s">
        <v>109</v>
      </c>
      <c r="B40" s="147" t="s">
        <v>4194</v>
      </c>
      <c r="C40" s="216" t="s">
        <v>3825</v>
      </c>
      <c r="D40" s="195" t="s">
        <v>300</v>
      </c>
      <c r="E40" s="216" t="s">
        <v>213</v>
      </c>
      <c r="F40" s="138">
        <v>1.2</v>
      </c>
      <c r="G40" s="139" t="s">
        <v>170</v>
      </c>
      <c r="H40" s="163" t="s">
        <v>1214</v>
      </c>
      <c r="I40" s="164"/>
      <c r="J40" s="104"/>
      <c r="K40" s="282"/>
      <c r="L40" s="282"/>
      <c r="M40" s="363"/>
      <c r="N40" s="363"/>
      <c r="O40" s="145">
        <v>0.0</v>
      </c>
      <c r="P40" s="145">
        <v>1.0</v>
      </c>
      <c r="Q40" s="145">
        <v>1.0</v>
      </c>
      <c r="R40" s="100"/>
      <c r="S40" s="100"/>
      <c r="T40" s="100"/>
      <c r="U40" s="166" t="s">
        <v>62</v>
      </c>
      <c r="V40" s="100"/>
    </row>
    <row r="41" outlineLevel="1">
      <c r="A41" s="156"/>
      <c r="B41" s="147" t="s">
        <v>4195</v>
      </c>
      <c r="C41" s="216" t="s">
        <v>4196</v>
      </c>
      <c r="D41" s="107"/>
      <c r="E41" s="216" t="s">
        <v>232</v>
      </c>
      <c r="F41" s="138">
        <v>13.2</v>
      </c>
      <c r="G41" s="139" t="s">
        <v>123</v>
      </c>
      <c r="H41" s="106"/>
      <c r="I41" s="168"/>
      <c r="J41" s="107"/>
      <c r="K41" s="282"/>
      <c r="L41" s="282"/>
      <c r="M41" s="363"/>
      <c r="N41" s="363"/>
      <c r="O41" s="145">
        <v>0.0</v>
      </c>
      <c r="P41" s="145">
        <v>1.0</v>
      </c>
      <c r="Q41" s="145">
        <v>1.0</v>
      </c>
      <c r="R41" s="100"/>
      <c r="S41" s="100"/>
      <c r="T41" s="100"/>
      <c r="U41" s="156"/>
      <c r="V41" s="100"/>
    </row>
    <row r="42" outlineLevel="1">
      <c r="A42" s="133" t="s">
        <v>116</v>
      </c>
      <c r="B42" s="147" t="s">
        <v>4197</v>
      </c>
      <c r="C42" s="216" t="s">
        <v>319</v>
      </c>
      <c r="D42" s="195" t="s">
        <v>289</v>
      </c>
      <c r="E42" s="216" t="s">
        <v>213</v>
      </c>
      <c r="F42" s="138">
        <v>1.2</v>
      </c>
      <c r="G42" s="139" t="s">
        <v>170</v>
      </c>
      <c r="H42" s="163" t="s">
        <v>4198</v>
      </c>
      <c r="I42" s="164"/>
      <c r="J42" s="104"/>
      <c r="K42" s="363"/>
      <c r="L42" s="363"/>
      <c r="M42" s="363"/>
      <c r="N42" s="363"/>
      <c r="O42" s="145">
        <v>0.0</v>
      </c>
      <c r="P42" s="145">
        <v>1.0</v>
      </c>
      <c r="Q42" s="145">
        <v>1.0</v>
      </c>
      <c r="R42" s="100"/>
      <c r="S42" s="100"/>
      <c r="T42" s="100"/>
      <c r="U42" s="166" t="s">
        <v>62</v>
      </c>
      <c r="V42" s="100"/>
    </row>
    <row r="43" outlineLevel="1">
      <c r="A43" s="146"/>
      <c r="B43" s="147" t="s">
        <v>199</v>
      </c>
      <c r="C43" s="214" t="s">
        <v>4199</v>
      </c>
      <c r="D43" s="210"/>
      <c r="E43" s="450" t="s">
        <v>66</v>
      </c>
      <c r="F43" s="138">
        <v>2.04</v>
      </c>
      <c r="G43" s="139" t="s">
        <v>60</v>
      </c>
      <c r="H43" s="212"/>
      <c r="J43" s="210"/>
      <c r="K43" s="363"/>
      <c r="L43" s="363"/>
      <c r="M43" s="363"/>
      <c r="N43" s="363"/>
      <c r="O43" s="145"/>
      <c r="P43" s="145"/>
      <c r="Q43" s="145"/>
      <c r="R43" s="100"/>
      <c r="S43" s="100"/>
      <c r="T43" s="100"/>
      <c r="U43" s="146"/>
      <c r="V43" s="100"/>
    </row>
    <row r="44" outlineLevel="1">
      <c r="A44" s="146"/>
      <c r="B44" s="147" t="s">
        <v>4200</v>
      </c>
      <c r="C44" s="216" t="s">
        <v>466</v>
      </c>
      <c r="D44" s="210"/>
      <c r="E44" s="450" t="s">
        <v>169</v>
      </c>
      <c r="F44" s="138">
        <v>1.68</v>
      </c>
      <c r="G44" s="139" t="s">
        <v>60</v>
      </c>
      <c r="H44" s="212"/>
      <c r="J44" s="210"/>
      <c r="K44" s="363"/>
      <c r="L44" s="363"/>
      <c r="M44" s="363"/>
      <c r="N44" s="363"/>
      <c r="O44" s="145"/>
      <c r="P44" s="145"/>
      <c r="Q44" s="145"/>
      <c r="R44" s="100"/>
      <c r="S44" s="100"/>
      <c r="T44" s="100"/>
      <c r="U44" s="146"/>
      <c r="V44" s="100"/>
    </row>
    <row r="45" outlineLevel="1">
      <c r="A45" s="156"/>
      <c r="B45" s="147" t="s">
        <v>202</v>
      </c>
      <c r="C45" s="216" t="s">
        <v>288</v>
      </c>
      <c r="D45" s="107"/>
      <c r="E45" s="216" t="s">
        <v>86</v>
      </c>
      <c r="F45" s="138">
        <v>7.199999999999999</v>
      </c>
      <c r="G45" s="139" t="s">
        <v>75</v>
      </c>
      <c r="H45" s="106"/>
      <c r="I45" s="168"/>
      <c r="J45" s="107"/>
      <c r="K45" s="363"/>
      <c r="L45" s="363"/>
      <c r="M45" s="363"/>
      <c r="N45" s="363"/>
      <c r="O45" s="145"/>
      <c r="P45" s="145"/>
      <c r="Q45" s="145"/>
      <c r="R45" s="100"/>
      <c r="S45" s="100"/>
      <c r="T45" s="100"/>
      <c r="U45" s="156"/>
      <c r="V45" s="100"/>
    </row>
    <row r="46" outlineLevel="1">
      <c r="A46" s="170" t="s">
        <v>124</v>
      </c>
      <c r="B46" s="147"/>
      <c r="C46" s="450" t="s">
        <v>383</v>
      </c>
      <c r="D46" s="450" t="s">
        <v>402</v>
      </c>
      <c r="E46" s="216" t="s">
        <v>466</v>
      </c>
      <c r="F46" s="138">
        <v>21.599999999999998</v>
      </c>
      <c r="G46" s="139" t="s">
        <v>407</v>
      </c>
      <c r="H46" s="140" t="s">
        <v>4201</v>
      </c>
      <c r="I46" s="110"/>
      <c r="J46" s="109"/>
      <c r="K46" s="282"/>
      <c r="L46" s="282"/>
      <c r="M46" s="363"/>
      <c r="N46" s="363"/>
      <c r="O46" s="145">
        <v>0.0</v>
      </c>
      <c r="P46" s="145">
        <v>1.0</v>
      </c>
      <c r="Q46" s="145">
        <v>1.0</v>
      </c>
      <c r="R46" s="100"/>
      <c r="S46" s="100"/>
      <c r="T46" s="100"/>
      <c r="U46" s="145" t="s">
        <v>62</v>
      </c>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tr">
        <f>'テンプレート'!A55</f>
        <v>空中攻撃</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tr">
        <f>'テンプレート'!C56</f>
        <v>判定持続</v>
      </c>
      <c r="D49" s="183" t="str">
        <f>'テンプレート'!D56</f>
        <v>全体フレーム</v>
      </c>
      <c r="E49" s="182" t="str">
        <f>'テンプレート'!E56</f>
        <v>基礎ダメージ</v>
      </c>
      <c r="F49" s="184" t="str">
        <f>'テンプレート'!F56</f>
        <v>ダメージ (1v1)</v>
      </c>
      <c r="G49" s="184" t="str">
        <f>'テンプレート'!G56</f>
        <v>ダメ (1v1+小J)</v>
      </c>
      <c r="H49" s="185" t="str">
        <f>'テンプレート'!H56</f>
        <v>ガード硬直</v>
      </c>
      <c r="I49" s="184" t="str">
        <f>'テンプレート'!I56</f>
        <v>着地隙</v>
      </c>
      <c r="J49" s="184" t="s">
        <v>136</v>
      </c>
      <c r="K49" s="184" t="str">
        <f>'テンプレート'!K56</f>
        <v>ベクトル</v>
      </c>
      <c r="L49" s="184" t="str">
        <f>'テンプレート'!L56</f>
        <v>KBG (R.E.)</v>
      </c>
      <c r="M49" s="184" t="str">
        <f>'テンプレート'!M56</f>
        <v>BKB (R.A.)</v>
      </c>
      <c r="N49" s="184" t="str">
        <f>'テンプレート'!N56</f>
        <v>FKB (R.F.)</v>
      </c>
      <c r="O49" s="186" t="str">
        <f>'テンプレート'!O56</f>
        <v>盾削り値</v>
      </c>
      <c r="P49" s="184" t="str">
        <f>'テンプレート'!P56</f>
        <v>ﾋｯﾄｽﾄｯﾌﾟ</v>
      </c>
      <c r="Q49" s="186" t="str">
        <f>'テンプレート'!Q56</f>
        <v>ずらし</v>
      </c>
      <c r="R49" s="187" t="str">
        <f>'テンプレート'!R56</f>
        <v>備考</v>
      </c>
      <c r="S49" s="110"/>
      <c r="T49" s="110"/>
      <c r="U49" s="110"/>
      <c r="V49" s="110"/>
    </row>
    <row r="50" outlineLevel="1">
      <c r="A50" s="188" t="s">
        <v>144</v>
      </c>
      <c r="B50" s="373"/>
      <c r="C50" s="239" t="s">
        <v>319</v>
      </c>
      <c r="D50" s="452" t="s">
        <v>127</v>
      </c>
      <c r="E50" s="401" t="s">
        <v>4202</v>
      </c>
      <c r="F50" s="193" t="s">
        <v>4203</v>
      </c>
      <c r="G50" s="193" t="s">
        <v>4204</v>
      </c>
      <c r="H50" s="138" t="s">
        <v>3104</v>
      </c>
      <c r="I50" s="454" t="str">
        <f t="array" ref="I50">INDEX('空中攻撃'!$O$3:$AA$109, MATCH($A$1,'空中攻撃'!$A$3:$A$109,0), MATCH(A50,'空中攻撃'!$O$2:$S$2,0))</f>
        <v>9</v>
      </c>
      <c r="J50" s="455" t="s">
        <v>4205</v>
      </c>
      <c r="K50" s="376"/>
      <c r="L50" s="377"/>
      <c r="M50" s="825"/>
      <c r="N50" s="825"/>
      <c r="O50" s="199">
        <v>0.0</v>
      </c>
      <c r="P50" s="199">
        <v>1.0</v>
      </c>
      <c r="Q50" s="199">
        <v>1.0</v>
      </c>
      <c r="R50" s="1124"/>
      <c r="S50" s="164"/>
      <c r="T50" s="164"/>
      <c r="U50" s="164"/>
      <c r="V50" s="104"/>
    </row>
    <row r="51" outlineLevel="1">
      <c r="A51" s="146"/>
      <c r="B51" s="373" t="s">
        <v>187</v>
      </c>
      <c r="C51" s="239" t="s">
        <v>505</v>
      </c>
      <c r="D51" s="210"/>
      <c r="E51" s="401" t="s">
        <v>4206</v>
      </c>
      <c r="F51" s="193" t="s">
        <v>4207</v>
      </c>
      <c r="G51" s="193" t="s">
        <v>4208</v>
      </c>
      <c r="H51" s="138" t="s">
        <v>923</v>
      </c>
      <c r="I51" s="146"/>
      <c r="J51" s="210"/>
      <c r="K51" s="376"/>
      <c r="L51" s="377"/>
      <c r="M51" s="825"/>
      <c r="N51" s="825"/>
      <c r="O51" s="199">
        <v>0.0</v>
      </c>
      <c r="P51" s="199">
        <v>1.0</v>
      </c>
      <c r="Q51" s="199">
        <v>1.0</v>
      </c>
      <c r="R51" s="212"/>
      <c r="V51" s="210"/>
    </row>
    <row r="52" outlineLevel="1">
      <c r="A52" s="156"/>
      <c r="B52" s="373" t="s">
        <v>189</v>
      </c>
      <c r="C52" s="239" t="s">
        <v>465</v>
      </c>
      <c r="D52" s="107"/>
      <c r="E52" s="239" t="s">
        <v>4209</v>
      </c>
      <c r="F52" s="193" t="s">
        <v>4210</v>
      </c>
      <c r="G52" s="193" t="s">
        <v>4211</v>
      </c>
      <c r="H52" s="138" t="s">
        <v>2334</v>
      </c>
      <c r="I52" s="156"/>
      <c r="J52" s="107"/>
      <c r="K52" s="376"/>
      <c r="L52" s="377"/>
      <c r="M52" s="825"/>
      <c r="N52" s="825"/>
      <c r="O52" s="199">
        <v>0.0</v>
      </c>
      <c r="P52" s="199">
        <v>1.0</v>
      </c>
      <c r="Q52" s="199">
        <v>1.0</v>
      </c>
      <c r="R52" s="106"/>
      <c r="S52" s="168"/>
      <c r="T52" s="168"/>
      <c r="U52" s="168"/>
      <c r="V52" s="107"/>
    </row>
    <row r="53" outlineLevel="1">
      <c r="A53" s="188" t="s">
        <v>151</v>
      </c>
      <c r="B53" s="373"/>
      <c r="C53" s="239" t="s">
        <v>309</v>
      </c>
      <c r="D53" s="452">
        <v>43.0</v>
      </c>
      <c r="E53" s="239" t="s">
        <v>2447</v>
      </c>
      <c r="F53" s="193" t="s">
        <v>2448</v>
      </c>
      <c r="G53" s="193" t="s">
        <v>4212</v>
      </c>
      <c r="H53" s="138" t="s">
        <v>1132</v>
      </c>
      <c r="I53" s="454" t="str">
        <f t="array" ref="I53">INDEX('空中攻撃'!$O$3:$AA$109, MATCH($A$1,'空中攻撃'!$A$3:$A$109,0), MATCH(A53,'空中攻撃'!$O$2:$S$2,0))</f>
        <v>16</v>
      </c>
      <c r="J53" s="455" t="s">
        <v>581</v>
      </c>
      <c r="K53" s="376"/>
      <c r="L53" s="377"/>
      <c r="M53" s="825"/>
      <c r="N53" s="825"/>
      <c r="O53" s="199">
        <v>0.0</v>
      </c>
      <c r="P53" s="199">
        <v>1.0</v>
      </c>
      <c r="Q53" s="199">
        <v>1.0</v>
      </c>
      <c r="R53" s="163" t="s">
        <v>4213</v>
      </c>
      <c r="S53" s="164"/>
      <c r="T53" s="164"/>
      <c r="U53" s="164"/>
      <c r="V53" s="104"/>
    </row>
    <row r="54" outlineLevel="1">
      <c r="A54" s="146"/>
      <c r="B54" s="373" t="s">
        <v>187</v>
      </c>
      <c r="C54" s="239" t="s">
        <v>1111</v>
      </c>
      <c r="D54" s="210"/>
      <c r="E54" s="239" t="s">
        <v>1031</v>
      </c>
      <c r="F54" s="193" t="s">
        <v>1032</v>
      </c>
      <c r="G54" s="193" t="s">
        <v>2770</v>
      </c>
      <c r="H54" s="138" t="s">
        <v>1969</v>
      </c>
      <c r="I54" s="146"/>
      <c r="J54" s="210"/>
      <c r="K54" s="376"/>
      <c r="L54" s="377"/>
      <c r="M54" s="825"/>
      <c r="N54" s="825"/>
      <c r="O54" s="199">
        <v>0.0</v>
      </c>
      <c r="P54" s="199">
        <v>1.0</v>
      </c>
      <c r="Q54" s="199">
        <v>1.0</v>
      </c>
      <c r="R54" s="212"/>
      <c r="V54" s="210"/>
    </row>
    <row r="55" outlineLevel="1">
      <c r="A55" s="146"/>
      <c r="B55" s="373" t="s">
        <v>189</v>
      </c>
      <c r="C55" s="239" t="s">
        <v>4214</v>
      </c>
      <c r="D55" s="210"/>
      <c r="E55" s="239" t="s">
        <v>106</v>
      </c>
      <c r="F55" s="193" t="s">
        <v>107</v>
      </c>
      <c r="G55" s="193" t="s">
        <v>2825</v>
      </c>
      <c r="H55" s="138" t="s">
        <v>923</v>
      </c>
      <c r="I55" s="146"/>
      <c r="J55" s="210"/>
      <c r="K55" s="376"/>
      <c r="L55" s="377"/>
      <c r="M55" s="825"/>
      <c r="N55" s="825"/>
      <c r="O55" s="199">
        <v>0.0</v>
      </c>
      <c r="P55" s="199">
        <v>1.0</v>
      </c>
      <c r="Q55" s="199">
        <v>1.0</v>
      </c>
      <c r="R55" s="212"/>
      <c r="V55" s="210"/>
    </row>
    <row r="56" outlineLevel="1">
      <c r="A56" s="156"/>
      <c r="B56" s="373" t="s">
        <v>174</v>
      </c>
      <c r="C56" s="239" t="s">
        <v>176</v>
      </c>
      <c r="D56" s="107"/>
      <c r="E56" s="239" t="s">
        <v>176</v>
      </c>
      <c r="F56" s="193">
        <v>2.4</v>
      </c>
      <c r="G56" s="193">
        <v>2.4</v>
      </c>
      <c r="H56" s="138" t="s">
        <v>60</v>
      </c>
      <c r="I56" s="156"/>
      <c r="J56" s="107"/>
      <c r="K56" s="376"/>
      <c r="L56" s="377"/>
      <c r="M56" s="825"/>
      <c r="N56" s="825"/>
      <c r="O56" s="199">
        <v>0.0</v>
      </c>
      <c r="P56" s="199">
        <v>1.0</v>
      </c>
      <c r="Q56" s="199">
        <v>1.0</v>
      </c>
      <c r="R56" s="106"/>
      <c r="S56" s="168"/>
      <c r="T56" s="168"/>
      <c r="U56" s="168"/>
      <c r="V56" s="107"/>
    </row>
    <row r="57" outlineLevel="1">
      <c r="A57" s="188" t="s">
        <v>157</v>
      </c>
      <c r="B57" s="373"/>
      <c r="C57" s="239" t="s">
        <v>373</v>
      </c>
      <c r="D57" s="452">
        <v>45.0</v>
      </c>
      <c r="E57" s="239" t="s">
        <v>977</v>
      </c>
      <c r="F57" s="193" t="s">
        <v>978</v>
      </c>
      <c r="G57" s="193" t="s">
        <v>979</v>
      </c>
      <c r="H57" s="138" t="s">
        <v>980</v>
      </c>
      <c r="I57" s="454">
        <f t="array" ref="I57">INDEX('空中攻撃'!$O$3:$AA$109, MATCH($A$1,'空中攻撃'!$A$3:$A$109,0), MATCH(A57,'空中攻撃'!$O$2:$S$2,0))</f>
        <v>14</v>
      </c>
      <c r="J57" s="455" t="s">
        <v>4215</v>
      </c>
      <c r="K57" s="376"/>
      <c r="L57" s="377"/>
      <c r="M57" s="825"/>
      <c r="N57" s="825"/>
      <c r="O57" s="199">
        <v>0.0</v>
      </c>
      <c r="P57" s="199">
        <v>1.0</v>
      </c>
      <c r="Q57" s="199">
        <v>1.0</v>
      </c>
      <c r="R57" s="1124"/>
      <c r="S57" s="164"/>
      <c r="T57" s="164"/>
      <c r="U57" s="164"/>
      <c r="V57" s="104"/>
    </row>
    <row r="58" outlineLevel="1">
      <c r="A58" s="156"/>
      <c r="B58" s="373" t="s">
        <v>84</v>
      </c>
      <c r="C58" s="239" t="s">
        <v>544</v>
      </c>
      <c r="D58" s="107"/>
      <c r="E58" s="239" t="s">
        <v>352</v>
      </c>
      <c r="F58" s="193" t="s">
        <v>353</v>
      </c>
      <c r="G58" s="193" t="s">
        <v>4216</v>
      </c>
      <c r="H58" s="138" t="s">
        <v>1132</v>
      </c>
      <c r="I58" s="156"/>
      <c r="J58" s="107"/>
      <c r="K58" s="376"/>
      <c r="L58" s="377"/>
      <c r="M58" s="825"/>
      <c r="N58" s="825"/>
      <c r="O58" s="199">
        <v>0.0</v>
      </c>
      <c r="P58" s="199">
        <v>1.0</v>
      </c>
      <c r="Q58" s="199">
        <v>1.0</v>
      </c>
      <c r="R58" s="106"/>
      <c r="S58" s="168"/>
      <c r="T58" s="168"/>
      <c r="U58" s="168"/>
      <c r="V58" s="107"/>
    </row>
    <row r="59" outlineLevel="1">
      <c r="A59" s="188" t="s">
        <v>162</v>
      </c>
      <c r="B59" s="373"/>
      <c r="C59" s="239" t="s">
        <v>543</v>
      </c>
      <c r="D59" s="452" t="s">
        <v>92</v>
      </c>
      <c r="E59" s="239" t="s">
        <v>128</v>
      </c>
      <c r="F59" s="193">
        <v>12.0</v>
      </c>
      <c r="G59" s="193">
        <v>10.2</v>
      </c>
      <c r="H59" s="138" t="s">
        <v>147</v>
      </c>
      <c r="I59" s="454" t="str">
        <f t="array" ref="I59">INDEX('空中攻撃'!$O$3:$AA$109, MATCH($A$1,'空中攻撃'!$A$3:$A$109,0), MATCH(A59,'空中攻撃'!$O$2:$S$2,0))</f>
        <v>9</v>
      </c>
      <c r="J59" s="455" t="s">
        <v>4217</v>
      </c>
      <c r="K59" s="377"/>
      <c r="L59" s="377"/>
      <c r="M59" s="825"/>
      <c r="N59" s="825"/>
      <c r="O59" s="199">
        <v>0.0</v>
      </c>
      <c r="P59" s="199">
        <v>1.0</v>
      </c>
      <c r="Q59" s="199">
        <v>1.0</v>
      </c>
      <c r="R59" s="1124"/>
      <c r="S59" s="164"/>
      <c r="T59" s="164"/>
      <c r="U59" s="164"/>
      <c r="V59" s="104"/>
    </row>
    <row r="60" outlineLevel="1">
      <c r="A60" s="156"/>
      <c r="B60" s="373" t="s">
        <v>84</v>
      </c>
      <c r="C60" s="239" t="s">
        <v>309</v>
      </c>
      <c r="D60" s="107"/>
      <c r="E60" s="239" t="s">
        <v>2134</v>
      </c>
      <c r="F60" s="193">
        <v>7.8</v>
      </c>
      <c r="G60" s="193">
        <v>6.63</v>
      </c>
      <c r="H60" s="138" t="s">
        <v>60</v>
      </c>
      <c r="I60" s="156"/>
      <c r="J60" s="107"/>
      <c r="K60" s="377"/>
      <c r="L60" s="377"/>
      <c r="M60" s="825"/>
      <c r="N60" s="825"/>
      <c r="O60" s="199">
        <v>0.0</v>
      </c>
      <c r="P60" s="199">
        <v>1.0</v>
      </c>
      <c r="Q60" s="199">
        <v>1.0</v>
      </c>
      <c r="R60" s="106"/>
      <c r="S60" s="168"/>
      <c r="T60" s="168"/>
      <c r="U60" s="168"/>
      <c r="V60" s="107"/>
    </row>
    <row r="61" outlineLevel="1">
      <c r="A61" s="188" t="s">
        <v>166</v>
      </c>
      <c r="B61" s="373" t="s">
        <v>199</v>
      </c>
      <c r="C61" s="239" t="s">
        <v>4218</v>
      </c>
      <c r="D61" s="195" t="s">
        <v>402</v>
      </c>
      <c r="E61" s="239" t="s">
        <v>1024</v>
      </c>
      <c r="F61" s="193">
        <v>1.7999999999999998</v>
      </c>
      <c r="G61" s="193">
        <v>1.53</v>
      </c>
      <c r="H61" s="138" t="s">
        <v>170</v>
      </c>
      <c r="I61" s="194">
        <f t="array" ref="I61">INDEX('空中攻撃'!$O$3:$AA$109, MATCH($A$1,'空中攻撃'!$A$3:$A$109,0), MATCH(A61,'空中攻撃'!$O$2:$S$2,0))</f>
        <v>15</v>
      </c>
      <c r="J61" s="195" t="s">
        <v>4219</v>
      </c>
      <c r="K61" s="377"/>
      <c r="L61" s="377"/>
      <c r="M61" s="825"/>
      <c r="N61" s="825"/>
      <c r="O61" s="199">
        <v>0.0</v>
      </c>
      <c r="P61" s="199">
        <v>1.0</v>
      </c>
      <c r="Q61" s="2654" t="s">
        <v>4220</v>
      </c>
      <c r="R61" s="163" t="s">
        <v>4221</v>
      </c>
      <c r="S61" s="164"/>
      <c r="T61" s="164"/>
      <c r="U61" s="164"/>
      <c r="V61" s="104"/>
    </row>
    <row r="62" outlineLevel="1">
      <c r="A62" s="146"/>
      <c r="B62" s="373" t="s">
        <v>202</v>
      </c>
      <c r="C62" s="239" t="s">
        <v>118</v>
      </c>
      <c r="D62" s="210"/>
      <c r="E62" s="239" t="s">
        <v>535</v>
      </c>
      <c r="F62" s="193">
        <v>3.0</v>
      </c>
      <c r="G62" s="193">
        <v>2.55</v>
      </c>
      <c r="H62" s="138" t="s">
        <v>170</v>
      </c>
      <c r="I62" s="146"/>
      <c r="J62" s="210"/>
      <c r="K62" s="377"/>
      <c r="L62" s="377"/>
      <c r="M62" s="825"/>
      <c r="N62" s="825"/>
      <c r="O62" s="199">
        <v>0.0</v>
      </c>
      <c r="P62" s="199">
        <v>1.0</v>
      </c>
      <c r="Q62" s="2654" t="s">
        <v>4220</v>
      </c>
      <c r="R62" s="212"/>
      <c r="V62" s="210"/>
    </row>
    <row r="63" outlineLevel="1">
      <c r="A63" s="156"/>
      <c r="B63" s="373" t="s">
        <v>174</v>
      </c>
      <c r="C63" s="239" t="s">
        <v>175</v>
      </c>
      <c r="D63" s="107"/>
      <c r="E63" s="239" t="s">
        <v>176</v>
      </c>
      <c r="F63" s="193">
        <v>2.4</v>
      </c>
      <c r="G63" s="193">
        <v>2.4</v>
      </c>
      <c r="H63" s="138" t="s">
        <v>60</v>
      </c>
      <c r="I63" s="156"/>
      <c r="J63" s="107"/>
      <c r="K63" s="377"/>
      <c r="L63" s="377"/>
      <c r="M63" s="825"/>
      <c r="N63" s="825"/>
      <c r="O63" s="199">
        <v>0.0</v>
      </c>
      <c r="P63" s="199">
        <v>1.0</v>
      </c>
      <c r="Q63" s="199">
        <v>1.0</v>
      </c>
      <c r="R63" s="106"/>
      <c r="S63" s="168"/>
      <c r="T63" s="168"/>
      <c r="U63" s="168"/>
      <c r="V63" s="107"/>
    </row>
    <row r="64">
      <c r="A64" s="223"/>
      <c r="B64" s="224"/>
      <c r="C64" s="225"/>
      <c r="D64" s="225"/>
      <c r="E64" s="226"/>
      <c r="F64" s="226"/>
      <c r="G64" s="226"/>
      <c r="H64" s="227"/>
      <c r="I64" s="227"/>
      <c r="J64" s="228"/>
      <c r="K64" s="228"/>
      <c r="L64" s="228"/>
      <c r="M64" s="228"/>
      <c r="N64" s="228"/>
      <c r="O64" s="228"/>
      <c r="P64" s="228"/>
      <c r="Q64" s="118"/>
      <c r="R64" s="118"/>
      <c r="S64" s="118"/>
      <c r="T64" s="118"/>
      <c r="U64" s="118"/>
      <c r="V64" s="118"/>
    </row>
    <row r="65">
      <c r="A65" s="229" t="str">
        <f>'テンプレート'!A71</f>
        <v>必殺ワザ</v>
      </c>
      <c r="B65" s="109"/>
      <c r="C65" s="225"/>
      <c r="D65" s="225"/>
      <c r="E65" s="226"/>
      <c r="F65" s="226"/>
      <c r="G65" s="226"/>
      <c r="H65" s="227"/>
      <c r="I65" s="227"/>
      <c r="J65" s="228"/>
      <c r="K65" s="228"/>
      <c r="L65" s="228"/>
      <c r="M65" s="228"/>
      <c r="N65" s="228"/>
      <c r="O65" s="228"/>
      <c r="P65" s="228"/>
      <c r="Q65" s="118"/>
      <c r="R65" s="118"/>
      <c r="S65" s="118"/>
      <c r="T65" s="118"/>
      <c r="U65" s="118"/>
      <c r="V65" s="118"/>
    </row>
    <row r="66" outlineLevel="1">
      <c r="A66" s="230" t="str">
        <f>"NB ("&amp;VLOOKUP($A$1,Fighters!$A$2:$AI$81,15,FALSE)&amp;")"</f>
        <v>NB (クラウンキャノン)</v>
      </c>
      <c r="B66" s="109"/>
      <c r="C66" s="231" t="s">
        <v>48</v>
      </c>
      <c r="D66" s="231" t="s">
        <v>49</v>
      </c>
      <c r="E66" s="232" t="s">
        <v>50</v>
      </c>
      <c r="F66" s="233" t="s">
        <v>51</v>
      </c>
      <c r="G66" s="232" t="s">
        <v>52</v>
      </c>
      <c r="H66" s="382" t="str">
        <f>'テンプレート'!H72</f>
        <v>備考</v>
      </c>
      <c r="I66" s="110"/>
      <c r="J66" s="109"/>
      <c r="K66" s="235" t="str">
        <f>'テンプレート'!K72</f>
        <v>ベクトル</v>
      </c>
      <c r="L66" s="235" t="str">
        <f>'テンプレート'!L72</f>
        <v>KBG (R.E.)</v>
      </c>
      <c r="M66" s="235" t="str">
        <f>'テンプレート'!M72</f>
        <v>BKB (R.A.)</v>
      </c>
      <c r="N66" s="235" t="str">
        <f>'テンプレート'!N72</f>
        <v>FKB (R.F.)</v>
      </c>
      <c r="O66" s="236" t="str">
        <f>'テンプレート'!O72</f>
        <v>盾削り値</v>
      </c>
      <c r="P66" s="235" t="str">
        <f>'テンプレート'!P72</f>
        <v>ﾋｯﾄｽﾄｯﾌﾟ</v>
      </c>
      <c r="Q66" s="236" t="str">
        <f>'テンプレート'!Q72</f>
        <v>ずらし</v>
      </c>
      <c r="R66" s="235" t="str">
        <f>'テンプレート'!R72</f>
        <v>相殺</v>
      </c>
      <c r="S66" s="236" t="str">
        <f>'テンプレート'!S72</f>
        <v>相殺ﾓｰｼｮﾝ</v>
      </c>
      <c r="T66" s="236" t="str">
        <f>'テンプレート'!T72</f>
        <v>飛び道具</v>
      </c>
      <c r="U66" s="236" t="str">
        <f>'テンプレート'!U72</f>
        <v>慣性反転</v>
      </c>
      <c r="V66" s="236" t="str">
        <f>'テンプレート'!V72</f>
        <v>向き反転</v>
      </c>
    </row>
    <row r="67" outlineLevel="1">
      <c r="A67" s="237" t="s">
        <v>184</v>
      </c>
      <c r="B67" s="243" t="s">
        <v>473</v>
      </c>
      <c r="C67" s="365" t="s">
        <v>4222</v>
      </c>
      <c r="D67" s="901" t="s">
        <v>2892</v>
      </c>
      <c r="E67" s="239" t="s">
        <v>128</v>
      </c>
      <c r="F67" s="138">
        <v>12.0</v>
      </c>
      <c r="G67" s="239" t="s">
        <v>147</v>
      </c>
      <c r="H67" s="283" t="s">
        <v>4223</v>
      </c>
      <c r="I67" s="164"/>
      <c r="J67" s="104"/>
      <c r="K67" s="282"/>
      <c r="L67" s="282"/>
      <c r="M67" s="363"/>
      <c r="N67" s="363"/>
      <c r="O67" s="138">
        <v>0.0</v>
      </c>
      <c r="P67" s="138">
        <v>1.0</v>
      </c>
      <c r="Q67" s="138">
        <v>1.0</v>
      </c>
      <c r="R67" s="145" t="b">
        <v>1</v>
      </c>
      <c r="S67" s="145" t="b">
        <v>0</v>
      </c>
      <c r="T67" s="145" t="b">
        <v>1</v>
      </c>
      <c r="U67" s="166" t="s">
        <v>186</v>
      </c>
      <c r="V67" s="166" t="b">
        <v>1</v>
      </c>
    </row>
    <row r="68" outlineLevel="1">
      <c r="A68" s="146"/>
      <c r="B68" s="243" t="s">
        <v>4224</v>
      </c>
      <c r="C68" s="365" t="s">
        <v>4225</v>
      </c>
      <c r="D68" s="156"/>
      <c r="E68" s="239" t="s">
        <v>93</v>
      </c>
      <c r="F68" s="138">
        <v>8.4</v>
      </c>
      <c r="G68" s="239" t="s">
        <v>60</v>
      </c>
      <c r="H68" s="212"/>
      <c r="J68" s="210"/>
      <c r="K68" s="282"/>
      <c r="L68" s="282"/>
      <c r="M68" s="363"/>
      <c r="N68" s="363"/>
      <c r="O68" s="138">
        <v>0.0</v>
      </c>
      <c r="P68" s="138">
        <v>1.0</v>
      </c>
      <c r="Q68" s="138">
        <v>1.0</v>
      </c>
      <c r="R68" s="145" t="b">
        <v>1</v>
      </c>
      <c r="S68" s="145" t="b">
        <v>0</v>
      </c>
      <c r="T68" s="145" t="b">
        <v>1</v>
      </c>
      <c r="U68" s="146"/>
      <c r="V68" s="146"/>
    </row>
    <row r="69" outlineLevel="1">
      <c r="A69" s="146"/>
      <c r="B69" s="663" t="s">
        <v>340</v>
      </c>
      <c r="C69" s="365" t="s">
        <v>4226</v>
      </c>
      <c r="D69" s="901" t="s">
        <v>4227</v>
      </c>
      <c r="E69" s="239" t="s">
        <v>718</v>
      </c>
      <c r="F69" s="138">
        <v>24.0</v>
      </c>
      <c r="G69" s="239" t="s">
        <v>102</v>
      </c>
      <c r="H69" s="212"/>
      <c r="J69" s="210"/>
      <c r="K69" s="282"/>
      <c r="L69" s="282"/>
      <c r="M69" s="363"/>
      <c r="N69" s="363"/>
      <c r="O69" s="138">
        <v>0.0</v>
      </c>
      <c r="P69" s="138">
        <v>1.0</v>
      </c>
      <c r="Q69" s="138">
        <v>1.0</v>
      </c>
      <c r="R69" s="145" t="b">
        <v>1</v>
      </c>
      <c r="S69" s="145" t="b">
        <v>0</v>
      </c>
      <c r="T69" s="145" t="b">
        <v>1</v>
      </c>
      <c r="U69" s="146"/>
      <c r="V69" s="146"/>
    </row>
    <row r="70" outlineLevel="1">
      <c r="A70" s="146"/>
      <c r="B70" s="663" t="s">
        <v>4228</v>
      </c>
      <c r="C70" s="365" t="s">
        <v>4229</v>
      </c>
      <c r="D70" s="156"/>
      <c r="E70" s="239" t="s">
        <v>119</v>
      </c>
      <c r="F70" s="138">
        <v>16.8</v>
      </c>
      <c r="G70" s="239" t="s">
        <v>75</v>
      </c>
      <c r="H70" s="106"/>
      <c r="I70" s="168"/>
      <c r="J70" s="107"/>
      <c r="K70" s="282"/>
      <c r="L70" s="282"/>
      <c r="M70" s="363"/>
      <c r="N70" s="363"/>
      <c r="O70" s="138">
        <v>0.0</v>
      </c>
      <c r="P70" s="138">
        <v>1.0</v>
      </c>
      <c r="Q70" s="138">
        <v>1.0</v>
      </c>
      <c r="R70" s="145" t="b">
        <v>1</v>
      </c>
      <c r="S70" s="145" t="b">
        <v>0</v>
      </c>
      <c r="T70" s="145" t="b">
        <v>1</v>
      </c>
      <c r="U70" s="156"/>
      <c r="V70" s="156"/>
    </row>
    <row r="71" outlineLevel="1">
      <c r="A71" s="230" t="str">
        <f>"横B ("&amp;VLOOKUP($A$1,Fighters!$A$2:$AI$81,16,FALSE)&amp;")"</f>
        <v>横B (カートダッシュ)</v>
      </c>
      <c r="B71" s="109"/>
      <c r="C71" s="231" t="s">
        <v>48</v>
      </c>
      <c r="D71" s="231" t="s">
        <v>49</v>
      </c>
      <c r="E71" s="232" t="s">
        <v>50</v>
      </c>
      <c r="F71" s="233" t="s">
        <v>51</v>
      </c>
      <c r="G71" s="232" t="s">
        <v>52</v>
      </c>
      <c r="H71" s="382" t="str">
        <f>'テンプレート'!H75</f>
        <v>備考</v>
      </c>
      <c r="I71" s="110"/>
      <c r="J71" s="109"/>
      <c r="K71" s="235" t="str">
        <f>'テンプレート'!K75</f>
        <v>ベクトル</v>
      </c>
      <c r="L71" s="235" t="str">
        <f>'テンプレート'!L75</f>
        <v>KBG (R.E.)</v>
      </c>
      <c r="M71" s="235" t="str">
        <f>'テンプレート'!M75</f>
        <v>BKB (R.A.)</v>
      </c>
      <c r="N71" s="235" t="str">
        <f>'テンプレート'!N75</f>
        <v>FKB (R.F.)</v>
      </c>
      <c r="O71" s="236" t="str">
        <f>'テンプレート'!O75</f>
        <v>盾削り値</v>
      </c>
      <c r="P71" s="235" t="str">
        <f>'テンプレート'!P75</f>
        <v>ﾋｯﾄｽﾄｯﾌﾟ</v>
      </c>
      <c r="Q71" s="236" t="str">
        <f>'テンプレート'!Q75</f>
        <v>ずらし</v>
      </c>
      <c r="R71" s="235" t="str">
        <f>'テンプレート'!R75</f>
        <v>相殺</v>
      </c>
      <c r="S71" s="236" t="str">
        <f>'テンプレート'!S75</f>
        <v>相殺ﾓｰｼｮﾝ</v>
      </c>
      <c r="T71" s="236" t="str">
        <f>'テンプレート'!T75</f>
        <v>飛び道具</v>
      </c>
      <c r="U71" s="236" t="str">
        <f>'テンプレート'!U75</f>
        <v>慣性反転</v>
      </c>
      <c r="V71" s="236" t="str">
        <f>'テンプレート'!V75</f>
        <v>向き反転</v>
      </c>
    </row>
    <row r="72" outlineLevel="1">
      <c r="A72" s="237" t="s">
        <v>332</v>
      </c>
      <c r="B72" s="243" t="s">
        <v>219</v>
      </c>
      <c r="C72" s="239" t="s">
        <v>2403</v>
      </c>
      <c r="D72" s="553"/>
      <c r="E72" s="239" t="s">
        <v>3142</v>
      </c>
      <c r="F72" s="138" t="s">
        <v>3143</v>
      </c>
      <c r="G72" s="139" t="s">
        <v>1273</v>
      </c>
      <c r="H72" s="163" t="s">
        <v>4230</v>
      </c>
      <c r="I72" s="164"/>
      <c r="J72" s="104"/>
      <c r="K72" s="282"/>
      <c r="L72" s="282"/>
      <c r="M72" s="363"/>
      <c r="N72" s="363"/>
      <c r="O72" s="1900"/>
      <c r="P72" s="779"/>
      <c r="Q72" s="779"/>
      <c r="R72" s="145" t="b">
        <v>0</v>
      </c>
      <c r="S72" s="145" t="b">
        <v>0</v>
      </c>
      <c r="T72" s="145" t="b">
        <v>0</v>
      </c>
      <c r="U72" s="166" t="s">
        <v>186</v>
      </c>
      <c r="V72" s="166" t="b">
        <v>1</v>
      </c>
    </row>
    <row r="73" outlineLevel="1">
      <c r="A73" s="146"/>
      <c r="B73" s="243" t="s">
        <v>4231</v>
      </c>
      <c r="C73" s="239" t="s">
        <v>4232</v>
      </c>
      <c r="D73" s="239" t="s">
        <v>810</v>
      </c>
      <c r="E73" s="239" t="s">
        <v>673</v>
      </c>
      <c r="F73" s="138" t="s">
        <v>674</v>
      </c>
      <c r="G73" s="139" t="s">
        <v>675</v>
      </c>
      <c r="H73" s="212"/>
      <c r="J73" s="210"/>
      <c r="K73" s="282"/>
      <c r="L73" s="282"/>
      <c r="M73" s="363"/>
      <c r="N73" s="363"/>
      <c r="O73" s="1900"/>
      <c r="P73" s="779"/>
      <c r="Q73" s="779"/>
      <c r="R73" s="145" t="b">
        <v>0</v>
      </c>
      <c r="S73" s="145" t="b">
        <v>0</v>
      </c>
      <c r="T73" s="145" t="b">
        <v>0</v>
      </c>
      <c r="U73" s="146"/>
      <c r="V73" s="146"/>
    </row>
    <row r="74" outlineLevel="1">
      <c r="A74" s="237" t="s">
        <v>344</v>
      </c>
      <c r="B74" s="243" t="s">
        <v>219</v>
      </c>
      <c r="C74" s="239" t="s">
        <v>4233</v>
      </c>
      <c r="D74" s="553"/>
      <c r="E74" s="239" t="s">
        <v>1925</v>
      </c>
      <c r="F74" s="138" t="s">
        <v>1926</v>
      </c>
      <c r="G74" s="139" t="s">
        <v>1266</v>
      </c>
      <c r="H74" s="212"/>
      <c r="J74" s="210"/>
      <c r="K74" s="282"/>
      <c r="L74" s="282"/>
      <c r="M74" s="363"/>
      <c r="N74" s="363"/>
      <c r="O74" s="1900"/>
      <c r="P74" s="779"/>
      <c r="Q74" s="779"/>
      <c r="R74" s="145" t="b">
        <v>0</v>
      </c>
      <c r="S74" s="145" t="b">
        <v>0</v>
      </c>
      <c r="T74" s="145" t="b">
        <v>0</v>
      </c>
      <c r="U74" s="146"/>
      <c r="V74" s="146"/>
    </row>
    <row r="75" outlineLevel="1">
      <c r="A75" s="146"/>
      <c r="B75" s="243" t="s">
        <v>4231</v>
      </c>
      <c r="C75" s="239" t="s">
        <v>4234</v>
      </c>
      <c r="D75" s="239" t="s">
        <v>810</v>
      </c>
      <c r="E75" s="239" t="s">
        <v>1841</v>
      </c>
      <c r="F75" s="138" t="s">
        <v>1842</v>
      </c>
      <c r="G75" s="139" t="s">
        <v>1843</v>
      </c>
      <c r="H75" s="212"/>
      <c r="J75" s="210"/>
      <c r="K75" s="282"/>
      <c r="L75" s="282"/>
      <c r="M75" s="363"/>
      <c r="N75" s="363"/>
      <c r="O75" s="1900"/>
      <c r="P75" s="779"/>
      <c r="Q75" s="779"/>
      <c r="R75" s="145" t="b">
        <v>0</v>
      </c>
      <c r="S75" s="145" t="b">
        <v>0</v>
      </c>
      <c r="T75" s="145" t="b">
        <v>0</v>
      </c>
      <c r="U75" s="146"/>
      <c r="V75" s="146"/>
    </row>
    <row r="76" outlineLevel="1">
      <c r="A76" s="237" t="s">
        <v>184</v>
      </c>
      <c r="B76" s="243" t="s">
        <v>4235</v>
      </c>
      <c r="C76" s="553"/>
      <c r="D76" s="239" t="s">
        <v>129</v>
      </c>
      <c r="E76" s="553"/>
      <c r="F76" s="261"/>
      <c r="G76" s="261"/>
      <c r="H76" s="212"/>
      <c r="J76" s="210"/>
      <c r="K76" s="261"/>
      <c r="L76" s="261"/>
      <c r="M76" s="261"/>
      <c r="N76" s="261"/>
      <c r="O76" s="261"/>
      <c r="P76" s="261"/>
      <c r="Q76" s="261"/>
      <c r="R76" s="261"/>
      <c r="S76" s="261"/>
      <c r="T76" s="261"/>
      <c r="U76" s="146"/>
      <c r="V76" s="146"/>
    </row>
    <row r="77" outlineLevel="1">
      <c r="A77" s="146"/>
      <c r="B77" s="243" t="s">
        <v>2420</v>
      </c>
      <c r="C77" s="553"/>
      <c r="D77" s="239" t="s">
        <v>146</v>
      </c>
      <c r="E77" s="553"/>
      <c r="F77" s="553"/>
      <c r="G77" s="553"/>
      <c r="H77" s="106"/>
      <c r="I77" s="168"/>
      <c r="J77" s="107"/>
      <c r="K77" s="261"/>
      <c r="L77" s="261"/>
      <c r="M77" s="261"/>
      <c r="N77" s="261"/>
      <c r="O77" s="261"/>
      <c r="P77" s="261"/>
      <c r="Q77" s="261"/>
      <c r="R77" s="261"/>
      <c r="S77" s="261"/>
      <c r="T77" s="261"/>
      <c r="U77" s="156"/>
      <c r="V77" s="156"/>
    </row>
    <row r="78" outlineLevel="1">
      <c r="A78" s="230" t="str">
        <f>"上B ("&amp;VLOOKUP($A$1,Fighters!$A$2:$AI$81,17,FALSE)&amp;")"</f>
        <v>上B (自爆ジャンプ)</v>
      </c>
      <c r="B78" s="109"/>
      <c r="C78" s="231" t="s">
        <v>48</v>
      </c>
      <c r="D78" s="231" t="s">
        <v>49</v>
      </c>
      <c r="E78" s="232" t="s">
        <v>50</v>
      </c>
      <c r="F78" s="233" t="s">
        <v>51</v>
      </c>
      <c r="G78" s="232" t="s">
        <v>52</v>
      </c>
      <c r="H78" s="382" t="str">
        <f>'テンプレート'!H80</f>
        <v>備考</v>
      </c>
      <c r="I78" s="110"/>
      <c r="J78" s="109"/>
      <c r="K78" s="235" t="str">
        <f>'テンプレート'!K80</f>
        <v>ベクトル</v>
      </c>
      <c r="L78" s="235" t="str">
        <f>'テンプレート'!L80</f>
        <v>KBG (R.E.)</v>
      </c>
      <c r="M78" s="235" t="str">
        <f>'テンプレート'!M80</f>
        <v>BKB (R.A.)</v>
      </c>
      <c r="N78" s="235" t="str">
        <f>'テンプレート'!N80</f>
        <v>FKB (R.F.)</v>
      </c>
      <c r="O78" s="236" t="str">
        <f>'テンプレート'!O80</f>
        <v>盾削り値</v>
      </c>
      <c r="P78" s="235" t="str">
        <f>'テンプレート'!P80</f>
        <v>ﾋｯﾄｽﾄｯﾌﾟ</v>
      </c>
      <c r="Q78" s="236" t="str">
        <f>'テンプレート'!Q80</f>
        <v>ずらし</v>
      </c>
      <c r="R78" s="235" t="str">
        <f>'テンプレート'!R80</f>
        <v>相殺</v>
      </c>
      <c r="S78" s="236" t="str">
        <f>'テンプレート'!S80</f>
        <v>相殺ﾓｰｼｮﾝ</v>
      </c>
      <c r="T78" s="236" t="str">
        <f>'テンプレート'!T80</f>
        <v>飛び道具</v>
      </c>
      <c r="U78" s="236" t="str">
        <f>'テンプレート'!U80</f>
        <v>慣性反転</v>
      </c>
      <c r="V78" s="236" t="str">
        <f>'テンプレート'!V80</f>
        <v>向き反転</v>
      </c>
    </row>
    <row r="79" ht="19.5" customHeight="1" outlineLevel="1">
      <c r="A79" s="237" t="s">
        <v>184</v>
      </c>
      <c r="B79" s="402" t="s">
        <v>4236</v>
      </c>
      <c r="C79" s="365" t="s">
        <v>4237</v>
      </c>
      <c r="D79" s="553"/>
      <c r="E79" s="239" t="s">
        <v>150</v>
      </c>
      <c r="F79" s="138">
        <v>6.0</v>
      </c>
      <c r="G79" s="239" t="s">
        <v>60</v>
      </c>
      <c r="H79" s="283" t="s">
        <v>4238</v>
      </c>
      <c r="I79" s="164"/>
      <c r="J79" s="104"/>
      <c r="K79" s="138"/>
      <c r="L79" s="138"/>
      <c r="M79" s="145"/>
      <c r="N79" s="145"/>
      <c r="O79" s="138">
        <v>0.0</v>
      </c>
      <c r="P79" s="138">
        <v>1.0</v>
      </c>
      <c r="Q79" s="138">
        <v>1.0</v>
      </c>
      <c r="R79" s="145" t="b">
        <v>1</v>
      </c>
      <c r="S79" s="145" t="b">
        <v>0</v>
      </c>
      <c r="T79" s="145"/>
      <c r="U79" s="166" t="b">
        <v>0</v>
      </c>
      <c r="V79" s="166" t="b">
        <v>0</v>
      </c>
    </row>
    <row r="80" ht="19.5" customHeight="1" outlineLevel="1">
      <c r="A80" s="146"/>
      <c r="B80" s="402" t="s">
        <v>1485</v>
      </c>
      <c r="C80" s="365" t="s">
        <v>3798</v>
      </c>
      <c r="D80" s="553"/>
      <c r="E80" s="239" t="s">
        <v>228</v>
      </c>
      <c r="F80" s="138">
        <v>15.6</v>
      </c>
      <c r="G80" s="239" t="s">
        <v>75</v>
      </c>
      <c r="H80" s="212"/>
      <c r="J80" s="210"/>
      <c r="K80" s="138"/>
      <c r="L80" s="138"/>
      <c r="M80" s="145"/>
      <c r="N80" s="145"/>
      <c r="O80" s="138">
        <v>0.0</v>
      </c>
      <c r="P80" s="138">
        <v>1.0</v>
      </c>
      <c r="Q80" s="138">
        <v>1.0</v>
      </c>
      <c r="R80" s="145" t="b">
        <v>0</v>
      </c>
      <c r="S80" s="145" t="b">
        <v>0</v>
      </c>
      <c r="T80" s="145"/>
      <c r="U80" s="146"/>
      <c r="V80" s="146"/>
    </row>
    <row r="81" ht="19.5" customHeight="1" outlineLevel="1">
      <c r="A81" s="146"/>
      <c r="B81" s="402" t="s">
        <v>4239</v>
      </c>
      <c r="C81" s="365" t="s">
        <v>518</v>
      </c>
      <c r="D81" s="367" t="s">
        <v>118</v>
      </c>
      <c r="E81" s="239" t="s">
        <v>4008</v>
      </c>
      <c r="F81" s="138" t="s">
        <v>4009</v>
      </c>
      <c r="G81" s="239" t="s">
        <v>4240</v>
      </c>
      <c r="H81" s="212"/>
      <c r="J81" s="210"/>
      <c r="K81" s="138"/>
      <c r="L81" s="138"/>
      <c r="M81" s="145"/>
      <c r="N81" s="145"/>
      <c r="O81" s="138">
        <v>0.0</v>
      </c>
      <c r="P81" s="138">
        <v>1.0</v>
      </c>
      <c r="Q81" s="138">
        <v>1.0</v>
      </c>
      <c r="R81" s="145" t="b">
        <v>1</v>
      </c>
      <c r="S81" s="145" t="b">
        <v>1</v>
      </c>
      <c r="T81" s="145"/>
      <c r="U81" s="146"/>
      <c r="V81" s="146"/>
    </row>
    <row r="82" ht="19.5" customHeight="1" outlineLevel="1">
      <c r="A82" s="146"/>
      <c r="B82" s="402" t="s">
        <v>4241</v>
      </c>
      <c r="C82" s="365" t="s">
        <v>305</v>
      </c>
      <c r="D82" s="156"/>
      <c r="E82" s="239" t="s">
        <v>4008</v>
      </c>
      <c r="F82" s="138" t="s">
        <v>4009</v>
      </c>
      <c r="G82" s="239" t="s">
        <v>4240</v>
      </c>
      <c r="H82" s="212"/>
      <c r="J82" s="210"/>
      <c r="K82" s="261"/>
      <c r="L82" s="261"/>
      <c r="M82" s="261"/>
      <c r="N82" s="261"/>
      <c r="O82" s="261"/>
      <c r="P82" s="261"/>
      <c r="Q82" s="261"/>
      <c r="R82" s="261"/>
      <c r="S82" s="261"/>
      <c r="T82" s="261"/>
      <c r="U82" s="146"/>
      <c r="V82" s="146"/>
    </row>
    <row r="83" ht="19.5" customHeight="1" outlineLevel="1">
      <c r="A83" s="146"/>
      <c r="B83" s="402" t="s">
        <v>241</v>
      </c>
      <c r="C83" s="553"/>
      <c r="D83" s="239" t="s">
        <v>72</v>
      </c>
      <c r="E83" s="553"/>
      <c r="F83" s="553"/>
      <c r="G83" s="553"/>
      <c r="H83" s="212"/>
      <c r="J83" s="210"/>
      <c r="K83" s="261"/>
      <c r="L83" s="261"/>
      <c r="M83" s="261"/>
      <c r="N83" s="261"/>
      <c r="O83" s="261"/>
      <c r="P83" s="261"/>
      <c r="Q83" s="261"/>
      <c r="R83" s="261"/>
      <c r="S83" s="261"/>
      <c r="T83" s="261"/>
      <c r="U83" s="146"/>
      <c r="V83" s="146"/>
    </row>
    <row r="84" ht="19.5" customHeight="1" outlineLevel="1">
      <c r="A84" s="146"/>
      <c r="B84" s="402" t="s">
        <v>4242</v>
      </c>
      <c r="C84" s="553"/>
      <c r="D84" s="239" t="s">
        <v>386</v>
      </c>
      <c r="E84" s="553"/>
      <c r="F84" s="553"/>
      <c r="G84" s="553"/>
      <c r="H84" s="106"/>
      <c r="I84" s="168"/>
      <c r="J84" s="107"/>
      <c r="K84" s="261"/>
      <c r="L84" s="261"/>
      <c r="M84" s="261"/>
      <c r="N84" s="261"/>
      <c r="O84" s="261"/>
      <c r="P84" s="261"/>
      <c r="Q84" s="261"/>
      <c r="R84" s="261"/>
      <c r="S84" s="261"/>
      <c r="T84" s="261"/>
      <c r="U84" s="156"/>
      <c r="V84" s="156"/>
    </row>
    <row r="85" outlineLevel="1">
      <c r="A85" s="230" t="str">
        <f>"下B ("&amp;VLOOKUP($A$1,Fighters!$A$2:$AI$81,18,FALSE)&amp;")"</f>
        <v>下B (メカクッパ)</v>
      </c>
      <c r="B85" s="109"/>
      <c r="C85" s="231" t="s">
        <v>48</v>
      </c>
      <c r="D85" s="231" t="s">
        <v>49</v>
      </c>
      <c r="E85" s="232" t="s">
        <v>50</v>
      </c>
      <c r="F85" s="233" t="s">
        <v>51</v>
      </c>
      <c r="G85" s="232" t="s">
        <v>52</v>
      </c>
      <c r="H85" s="382" t="str">
        <f>'テンプレート'!H85</f>
        <v>備考</v>
      </c>
      <c r="I85" s="110"/>
      <c r="J85" s="109"/>
      <c r="K85" s="235" t="str">
        <f>'テンプレート'!K85</f>
        <v>ベクトル</v>
      </c>
      <c r="L85" s="235" t="str">
        <f>'テンプレート'!L85</f>
        <v>KBG (R.E.)</v>
      </c>
      <c r="M85" s="235" t="str">
        <f>'テンプレート'!M85</f>
        <v>BKB (R.A.)</v>
      </c>
      <c r="N85" s="235" t="str">
        <f>'テンプレート'!N85</f>
        <v>FKB (R.F.)</v>
      </c>
      <c r="O85" s="236" t="str">
        <f>'テンプレート'!O85</f>
        <v>盾削り値</v>
      </c>
      <c r="P85" s="235" t="str">
        <f>'テンプレート'!P85</f>
        <v>ﾋｯﾄｽﾄｯﾌﾟ</v>
      </c>
      <c r="Q85" s="236" t="str">
        <f>'テンプレート'!Q85</f>
        <v>ずらし</v>
      </c>
      <c r="R85" s="235" t="str">
        <f>'テンプレート'!R85</f>
        <v>相殺</v>
      </c>
      <c r="S85" s="236" t="str">
        <f>'テンプレート'!S85</f>
        <v>相殺ﾓｰｼｮﾝ</v>
      </c>
      <c r="T85" s="236" t="str">
        <f>'テンプレート'!T85</f>
        <v>飛び道具</v>
      </c>
      <c r="U85" s="236" t="str">
        <f>'テンプレート'!U85</f>
        <v>慣性反転</v>
      </c>
      <c r="V85" s="236" t="str">
        <f>'テンプレート'!V85</f>
        <v>向き反転</v>
      </c>
    </row>
    <row r="86" outlineLevel="1">
      <c r="A86" s="237" t="s">
        <v>184</v>
      </c>
      <c r="B86" s="624" t="s">
        <v>2475</v>
      </c>
      <c r="C86" s="239" t="s">
        <v>4243</v>
      </c>
      <c r="D86" s="467" t="s">
        <v>208</v>
      </c>
      <c r="E86" s="553"/>
      <c r="F86" s="261"/>
      <c r="G86" s="261"/>
      <c r="H86" s="163" t="s">
        <v>4244</v>
      </c>
      <c r="I86" s="164"/>
      <c r="J86" s="104"/>
      <c r="K86" s="553"/>
      <c r="L86" s="553"/>
      <c r="M86" s="553"/>
      <c r="N86" s="553"/>
      <c r="O86" s="553"/>
      <c r="P86" s="553"/>
      <c r="Q86" s="553"/>
      <c r="R86" s="553"/>
      <c r="S86" s="553"/>
      <c r="T86" s="553"/>
      <c r="U86" s="166" t="s">
        <v>186</v>
      </c>
      <c r="V86" s="166" t="b">
        <v>1</v>
      </c>
    </row>
    <row r="87" outlineLevel="1">
      <c r="A87" s="146"/>
      <c r="B87" s="624" t="s">
        <v>484</v>
      </c>
      <c r="C87" s="239" t="s">
        <v>4245</v>
      </c>
      <c r="D87" s="553"/>
      <c r="E87" s="139" t="s">
        <v>176</v>
      </c>
      <c r="F87" s="138">
        <v>2.4</v>
      </c>
      <c r="G87" s="239" t="s">
        <v>170</v>
      </c>
      <c r="H87" s="212"/>
      <c r="J87" s="210"/>
      <c r="K87" s="138"/>
      <c r="L87" s="138"/>
      <c r="M87" s="145"/>
      <c r="N87" s="145"/>
      <c r="O87" s="138">
        <v>0.0</v>
      </c>
      <c r="P87" s="138">
        <v>1.0</v>
      </c>
      <c r="Q87" s="138">
        <v>1.0</v>
      </c>
      <c r="R87" s="145" t="b">
        <v>0</v>
      </c>
      <c r="S87" s="145" t="b">
        <v>0</v>
      </c>
      <c r="T87" s="145" t="b">
        <v>1</v>
      </c>
      <c r="U87" s="146"/>
      <c r="V87" s="146"/>
    </row>
    <row r="88" outlineLevel="1">
      <c r="A88" s="156"/>
      <c r="B88" s="624" t="s">
        <v>1485</v>
      </c>
      <c r="C88" s="239" t="s">
        <v>175</v>
      </c>
      <c r="D88" s="553"/>
      <c r="E88" s="239" t="s">
        <v>93</v>
      </c>
      <c r="F88" s="138">
        <v>8.4</v>
      </c>
      <c r="G88" s="239" t="s">
        <v>60</v>
      </c>
      <c r="H88" s="106"/>
      <c r="I88" s="168"/>
      <c r="J88" s="107"/>
      <c r="K88" s="138"/>
      <c r="L88" s="138"/>
      <c r="M88" s="145"/>
      <c r="N88" s="145"/>
      <c r="O88" s="138">
        <v>0.0</v>
      </c>
      <c r="P88" s="138">
        <v>1.0</v>
      </c>
      <c r="Q88" s="138">
        <v>1.0</v>
      </c>
      <c r="R88" s="145" t="b">
        <v>0</v>
      </c>
      <c r="S88" s="145" t="b">
        <v>0</v>
      </c>
      <c r="T88" s="145" t="b">
        <v>1</v>
      </c>
      <c r="U88" s="156"/>
      <c r="V88" s="156"/>
    </row>
    <row r="89">
      <c r="A89" s="223"/>
      <c r="B89" s="224"/>
      <c r="C89" s="225"/>
      <c r="D89" s="225"/>
      <c r="E89" s="226"/>
      <c r="F89" s="226"/>
      <c r="G89" s="226"/>
      <c r="H89" s="227"/>
      <c r="I89" s="227"/>
      <c r="J89" s="228"/>
      <c r="K89" s="228"/>
      <c r="L89" s="228"/>
      <c r="M89" s="228"/>
      <c r="N89" s="228"/>
      <c r="O89" s="228"/>
      <c r="P89" s="228"/>
      <c r="Q89" s="118"/>
      <c r="R89" s="118"/>
      <c r="S89" s="118"/>
      <c r="T89" s="118"/>
      <c r="U89" s="118"/>
      <c r="V89" s="118"/>
    </row>
    <row r="90">
      <c r="A90" s="264" t="str">
        <f>'テンプレート'!A91</f>
        <v>つかみ・投げ</v>
      </c>
      <c r="B90" s="104"/>
      <c r="C90" s="227"/>
      <c r="D90" s="227"/>
      <c r="E90" s="228"/>
      <c r="F90" s="265"/>
      <c r="G90" s="265"/>
      <c r="H90" s="228"/>
      <c r="I90" s="228"/>
      <c r="J90" s="228"/>
      <c r="K90" s="228"/>
      <c r="L90" s="228"/>
      <c r="M90" s="228"/>
      <c r="N90" s="118"/>
      <c r="O90" s="118"/>
      <c r="P90" s="118"/>
      <c r="Q90" s="228"/>
      <c r="R90" s="228"/>
      <c r="S90" s="228"/>
      <c r="T90" s="228"/>
      <c r="U90" s="228"/>
      <c r="V90" s="228"/>
    </row>
    <row r="91" outlineLevel="1">
      <c r="A91" s="106"/>
      <c r="B91" s="107"/>
      <c r="C91" s="266" t="str">
        <f>'テンプレート'!C92</f>
        <v>判定持続</v>
      </c>
      <c r="D91" s="266" t="str">
        <f>'テンプレート'!D92</f>
        <v>全体フレーム</v>
      </c>
      <c r="E91" s="266" t="str">
        <f>'テンプレート'!E92</f>
        <v>基礎ダメージ</v>
      </c>
      <c r="F91" s="267" t="str">
        <f>'テンプレート'!F92</f>
        <v>ダメージ (1v1)</v>
      </c>
      <c r="G91" s="227"/>
      <c r="H91" s="227"/>
      <c r="I91" s="227"/>
      <c r="J91" s="228"/>
      <c r="K91" s="228"/>
      <c r="L91" s="228"/>
      <c r="M91" s="228"/>
      <c r="N91" s="228"/>
      <c r="O91" s="228"/>
      <c r="P91" s="228"/>
      <c r="Q91" s="228"/>
      <c r="R91" s="228"/>
      <c r="S91" s="228"/>
      <c r="T91" s="228"/>
      <c r="U91" s="228"/>
      <c r="V91" s="228"/>
    </row>
    <row r="92" outlineLevel="1">
      <c r="A92" s="268" t="str">
        <f>'テンプレート'!A93</f>
        <v>つかみ攻撃</v>
      </c>
      <c r="B92" s="269" t="str">
        <f>'テンプレート'!B93</f>
        <v>つかみ攻撃</v>
      </c>
      <c r="C92" s="239" t="s">
        <v>213</v>
      </c>
      <c r="D92" s="239" t="s">
        <v>86</v>
      </c>
      <c r="E92" s="239" t="s">
        <v>214</v>
      </c>
      <c r="F92" s="138">
        <f>E92*1.2</f>
        <v>1.56</v>
      </c>
      <c r="G92" s="227"/>
      <c r="H92" s="227"/>
      <c r="I92" s="227"/>
      <c r="J92" s="228"/>
      <c r="K92" s="228"/>
      <c r="L92" s="228"/>
      <c r="M92" s="228"/>
      <c r="N92" s="228"/>
      <c r="O92" s="228"/>
      <c r="P92" s="228"/>
      <c r="Q92" s="228"/>
      <c r="R92" s="228"/>
      <c r="S92" s="228"/>
      <c r="T92" s="228"/>
      <c r="U92" s="228"/>
      <c r="V92" s="228"/>
    </row>
    <row r="93" outlineLevel="1">
      <c r="A93" s="270" t="str">
        <f>'テンプレート'!A94</f>
        <v>つかみ</v>
      </c>
      <c r="B93" s="269" t="str">
        <f>'テンプレート'!B94</f>
        <v>その場</v>
      </c>
      <c r="C93" s="239" t="s">
        <v>382</v>
      </c>
      <c r="D93" s="239" t="s">
        <v>628</v>
      </c>
      <c r="E93" s="271"/>
      <c r="F93" s="272"/>
      <c r="G93" s="272"/>
      <c r="H93" s="227"/>
      <c r="I93" s="227"/>
      <c r="J93" s="228"/>
      <c r="K93" s="228"/>
      <c r="L93" s="228"/>
      <c r="M93" s="228"/>
      <c r="N93" s="228"/>
      <c r="O93" s="228"/>
      <c r="P93" s="228"/>
      <c r="Q93" s="228"/>
      <c r="R93" s="228"/>
      <c r="S93" s="228"/>
      <c r="T93" s="228"/>
      <c r="U93" s="228"/>
      <c r="V93" s="228"/>
    </row>
    <row r="94" outlineLevel="1">
      <c r="A94" s="212"/>
      <c r="B94" s="269" t="str">
        <f>'テンプレート'!B95</f>
        <v>ダッシュ</v>
      </c>
      <c r="C94" s="239" t="s">
        <v>325</v>
      </c>
      <c r="D94" s="239" t="s">
        <v>541</v>
      </c>
      <c r="E94" s="271"/>
      <c r="F94" s="272"/>
      <c r="G94" s="272"/>
      <c r="H94" s="227"/>
      <c r="I94" s="227"/>
      <c r="J94" s="228"/>
      <c r="K94" s="228"/>
      <c r="L94" s="228"/>
      <c r="M94" s="228"/>
      <c r="N94" s="228"/>
      <c r="O94" s="228"/>
      <c r="P94" s="228"/>
      <c r="Q94" s="228"/>
      <c r="R94" s="228"/>
      <c r="S94" s="228"/>
      <c r="T94" s="228"/>
      <c r="U94" s="228"/>
      <c r="V94" s="228"/>
    </row>
    <row r="95" outlineLevel="1">
      <c r="A95" s="106"/>
      <c r="B95" s="269" t="str">
        <f>'テンプレート'!B96</f>
        <v>ふりむき</v>
      </c>
      <c r="C95" s="239" t="s">
        <v>460</v>
      </c>
      <c r="D95" s="239" t="s">
        <v>127</v>
      </c>
      <c r="E95" s="227"/>
      <c r="F95" s="272"/>
      <c r="G95" s="272"/>
      <c r="H95" s="227"/>
      <c r="I95" s="227"/>
      <c r="J95" s="228"/>
      <c r="K95" s="228"/>
      <c r="L95" s="228"/>
      <c r="M95" s="228"/>
      <c r="N95" s="228"/>
      <c r="O95" s="228"/>
      <c r="P95" s="228"/>
      <c r="Q95" s="228"/>
      <c r="R95" s="228"/>
      <c r="S95" s="228"/>
      <c r="T95" s="228"/>
      <c r="U95" s="228"/>
      <c r="V95" s="228"/>
    </row>
    <row r="96" outlineLevel="1">
      <c r="A96" s="273" t="str">
        <f>'テンプレート'!A97</f>
        <v>投げ</v>
      </c>
      <c r="B96" s="109"/>
      <c r="C96" s="266" t="str">
        <f>'テンプレート'!C97</f>
        <v>判定持続</v>
      </c>
      <c r="D96" s="266" t="str">
        <f>'テンプレート'!D97</f>
        <v>全体フレーム</v>
      </c>
      <c r="E96" s="266" t="str">
        <f>'テンプレート'!E97</f>
        <v>基礎ダメージ</v>
      </c>
      <c r="F96" s="266" t="str">
        <f>'テンプレート'!F97</f>
        <v>ダメージ (1v1)</v>
      </c>
      <c r="G96" s="669" t="str">
        <f>'テンプレート'!G97</f>
        <v>備考</v>
      </c>
      <c r="H96" s="110"/>
      <c r="I96" s="110"/>
      <c r="J96" s="109"/>
      <c r="K96" s="275" t="str">
        <f>'テンプレート'!K97</f>
        <v>ベクトル</v>
      </c>
      <c r="L96" s="275" t="str">
        <f>'テンプレート'!L97</f>
        <v>KBG (R.E.)</v>
      </c>
      <c r="M96" s="275" t="str">
        <f>'テンプレート'!M97</f>
        <v>BKB (R.A.)</v>
      </c>
      <c r="N96" s="275" t="str">
        <f>'テンプレート'!N97</f>
        <v>FKB (R.F.)</v>
      </c>
      <c r="O96" s="276" t="str">
        <f>'テンプレート'!O97</f>
        <v>盾削り値</v>
      </c>
      <c r="P96" s="275" t="str">
        <f>'テンプレート'!P97</f>
        <v>ﾋｯﾄｽﾄｯﾌﾟ</v>
      </c>
      <c r="Q96" s="276" t="str">
        <f>'テンプレート'!Q97</f>
        <v>ずらし</v>
      </c>
      <c r="R96" s="277"/>
      <c r="S96" s="277"/>
      <c r="T96" s="277"/>
      <c r="U96" s="277"/>
      <c r="V96" s="277"/>
    </row>
    <row r="97" outlineLevel="1">
      <c r="A97" s="278" t="str">
        <f>'テンプレート'!A98</f>
        <v>前投げ</v>
      </c>
      <c r="B97" s="269" t="str">
        <f>'テンプレート'!B98</f>
        <v>打撃</v>
      </c>
      <c r="C97" s="113" t="s">
        <v>4246</v>
      </c>
      <c r="D97" s="367" t="s">
        <v>218</v>
      </c>
      <c r="E97" s="239" t="s">
        <v>204</v>
      </c>
      <c r="F97" s="138">
        <f t="shared" ref="F97:F98" si="1">IFERROR(E97*1.2, "-")</f>
        <v>3.6</v>
      </c>
      <c r="G97" s="1170"/>
      <c r="H97" s="164"/>
      <c r="I97" s="164"/>
      <c r="J97" s="104"/>
      <c r="K97" s="282"/>
      <c r="L97" s="363"/>
      <c r="M97" s="363"/>
      <c r="N97" s="145">
        <v>0.0</v>
      </c>
      <c r="O97" s="145">
        <v>1.0</v>
      </c>
      <c r="P97" s="145">
        <v>1.0</v>
      </c>
      <c r="Q97" s="277"/>
      <c r="R97" s="228"/>
      <c r="S97" s="228"/>
      <c r="T97" s="228"/>
      <c r="U97" s="228"/>
    </row>
    <row r="98" outlineLevel="1">
      <c r="A98" s="156"/>
      <c r="B98" s="269" t="str">
        <f>'テンプレート'!B99</f>
        <v>投げ</v>
      </c>
      <c r="C98" s="113">
        <v>16.0</v>
      </c>
      <c r="D98" s="156"/>
      <c r="E98" s="239" t="s">
        <v>93</v>
      </c>
      <c r="F98" s="138">
        <f t="shared" si="1"/>
        <v>8.4</v>
      </c>
      <c r="G98" s="106"/>
      <c r="H98" s="168"/>
      <c r="I98" s="168"/>
      <c r="J98" s="107"/>
      <c r="K98" s="282"/>
      <c r="L98" s="363"/>
      <c r="M98" s="363"/>
      <c r="N98" s="261"/>
      <c r="O98" s="261"/>
      <c r="P98" s="261"/>
      <c r="Q98" s="277"/>
      <c r="R98" s="228"/>
      <c r="S98" s="228"/>
      <c r="T98" s="228"/>
      <c r="U98" s="228"/>
    </row>
    <row r="99" outlineLevel="1">
      <c r="A99" s="278" t="str">
        <f>'テンプレート'!A100</f>
        <v>後投げ</v>
      </c>
      <c r="B99" s="269" t="str">
        <f>'テンプレート'!B100</f>
        <v>打撃</v>
      </c>
      <c r="C99" s="261"/>
      <c r="D99" s="279">
        <v>61.0</v>
      </c>
      <c r="E99" s="553"/>
      <c r="F99" s="261"/>
      <c r="G99" s="1170"/>
      <c r="H99" s="164"/>
      <c r="I99" s="164"/>
      <c r="J99" s="104"/>
      <c r="K99" s="261"/>
      <c r="L99" s="261"/>
      <c r="M99" s="261"/>
      <c r="N99" s="261"/>
      <c r="O99" s="261"/>
      <c r="P99" s="261"/>
      <c r="Q99" s="277"/>
      <c r="R99" s="228"/>
      <c r="S99" s="228"/>
      <c r="T99" s="228"/>
      <c r="U99" s="228"/>
    </row>
    <row r="100" outlineLevel="1">
      <c r="A100" s="156"/>
      <c r="B100" s="269" t="str">
        <f>'テンプレート'!B101</f>
        <v>投げ</v>
      </c>
      <c r="C100" s="113">
        <v>24.0</v>
      </c>
      <c r="D100" s="156"/>
      <c r="E100" s="239" t="s">
        <v>232</v>
      </c>
      <c r="F100" s="138">
        <f>IFERROR(E100*1.2, "-")</f>
        <v>13.2</v>
      </c>
      <c r="G100" s="106"/>
      <c r="H100" s="168"/>
      <c r="I100" s="168"/>
      <c r="J100" s="107"/>
      <c r="K100" s="282"/>
      <c r="L100" s="363"/>
      <c r="M100" s="363"/>
      <c r="N100" s="261"/>
      <c r="O100" s="261"/>
      <c r="P100" s="261"/>
      <c r="Q100" s="277"/>
      <c r="R100" s="228"/>
      <c r="S100" s="228"/>
      <c r="T100" s="228"/>
      <c r="U100" s="228"/>
    </row>
    <row r="101" outlineLevel="1">
      <c r="A101" s="278" t="str">
        <f>'テンプレート'!A102</f>
        <v>上投げ</v>
      </c>
      <c r="B101" s="269" t="str">
        <f>'テンプレート'!B102</f>
        <v>打撃</v>
      </c>
      <c r="C101" s="261"/>
      <c r="D101" s="367" t="s">
        <v>79</v>
      </c>
      <c r="E101" s="261"/>
      <c r="F101" s="261"/>
      <c r="G101" s="1170"/>
      <c r="H101" s="164"/>
      <c r="I101" s="164"/>
      <c r="J101" s="104"/>
      <c r="K101" s="261"/>
      <c r="L101" s="261"/>
      <c r="M101" s="261"/>
      <c r="N101" s="261"/>
      <c r="O101" s="261"/>
      <c r="P101" s="261"/>
      <c r="Q101" s="277"/>
      <c r="R101" s="228"/>
      <c r="S101" s="228"/>
      <c r="T101" s="228"/>
      <c r="U101" s="228"/>
    </row>
    <row r="102" outlineLevel="1">
      <c r="A102" s="156"/>
      <c r="B102" s="269" t="str">
        <f>'テンプレート'!B103</f>
        <v>投げ</v>
      </c>
      <c r="C102" s="113">
        <v>18.0</v>
      </c>
      <c r="D102" s="156"/>
      <c r="E102" s="239" t="s">
        <v>93</v>
      </c>
      <c r="F102" s="138">
        <f t="shared" ref="F102:F104" si="2">IFERROR(E102*1.2, "-")</f>
        <v>8.4</v>
      </c>
      <c r="G102" s="106"/>
      <c r="H102" s="168"/>
      <c r="I102" s="168"/>
      <c r="J102" s="107"/>
      <c r="K102" s="282"/>
      <c r="L102" s="363"/>
      <c r="M102" s="363"/>
      <c r="N102" s="261"/>
      <c r="O102" s="261"/>
      <c r="P102" s="261"/>
      <c r="Q102" s="277"/>
      <c r="R102" s="117"/>
      <c r="S102" s="117"/>
      <c r="T102" s="117"/>
      <c r="U102" s="117"/>
    </row>
    <row r="103" outlineLevel="1">
      <c r="A103" s="278" t="str">
        <f>'テンプレート'!A104</f>
        <v>下投げ</v>
      </c>
      <c r="B103" s="269" t="str">
        <f>'テンプレート'!B104</f>
        <v>打撃</v>
      </c>
      <c r="C103" s="113" t="s">
        <v>4247</v>
      </c>
      <c r="D103" s="367" t="s">
        <v>428</v>
      </c>
      <c r="E103" s="239" t="s">
        <v>1614</v>
      </c>
      <c r="F103" s="138">
        <f t="shared" si="2"/>
        <v>1.44</v>
      </c>
      <c r="G103" s="1170"/>
      <c r="H103" s="164"/>
      <c r="I103" s="164"/>
      <c r="J103" s="104"/>
      <c r="K103" s="282"/>
      <c r="L103" s="363"/>
      <c r="M103" s="363"/>
      <c r="N103" s="145">
        <v>0.0</v>
      </c>
      <c r="O103" s="145">
        <v>1.0</v>
      </c>
      <c r="P103" s="145">
        <v>1.0</v>
      </c>
      <c r="Q103" s="277"/>
      <c r="R103" s="117"/>
      <c r="S103" s="117"/>
      <c r="T103" s="117"/>
      <c r="U103" s="117"/>
    </row>
    <row r="104" outlineLevel="1">
      <c r="A104" s="156"/>
      <c r="B104" s="269" t="str">
        <f>'テンプレート'!B105</f>
        <v>投げ</v>
      </c>
      <c r="C104" s="113">
        <v>50.0</v>
      </c>
      <c r="D104" s="156"/>
      <c r="E104" s="239" t="s">
        <v>73</v>
      </c>
      <c r="F104" s="138">
        <f t="shared" si="2"/>
        <v>4.8</v>
      </c>
      <c r="G104" s="106"/>
      <c r="H104" s="168"/>
      <c r="I104" s="168"/>
      <c r="J104" s="107"/>
      <c r="K104" s="282"/>
      <c r="L104" s="363"/>
      <c r="M104" s="363"/>
      <c r="N104" s="261"/>
      <c r="O104" s="261"/>
      <c r="P104" s="261"/>
      <c r="Q104" s="277"/>
      <c r="R104" s="117"/>
      <c r="S104" s="117"/>
      <c r="T104" s="117"/>
      <c r="U104" s="117"/>
    </row>
    <row r="105">
      <c r="A105" s="223"/>
      <c r="B105" s="224"/>
      <c r="C105" s="225"/>
      <c r="D105" s="225"/>
      <c r="E105" s="227"/>
      <c r="F105" s="177"/>
      <c r="G105" s="177"/>
      <c r="H105" s="227"/>
      <c r="I105" s="227"/>
      <c r="J105" s="228"/>
      <c r="K105" s="228"/>
      <c r="L105" s="111"/>
      <c r="M105" s="111"/>
      <c r="N105" s="111"/>
      <c r="O105" s="117"/>
      <c r="P105" s="117"/>
      <c r="Q105" s="111"/>
      <c r="R105" s="111"/>
      <c r="S105" s="111"/>
      <c r="T105" s="111"/>
      <c r="U105" s="111"/>
      <c r="V105" s="111"/>
    </row>
    <row r="106">
      <c r="A106" s="284" t="s">
        <v>241</v>
      </c>
      <c r="B106" s="104"/>
      <c r="C106" s="265"/>
      <c r="D106" s="111"/>
      <c r="E106" s="111"/>
      <c r="F106" s="111"/>
      <c r="G106" s="111"/>
      <c r="H106" s="111"/>
      <c r="I106" s="111"/>
      <c r="J106" s="118"/>
      <c r="K106" s="111"/>
      <c r="L106" s="111"/>
      <c r="M106" s="111"/>
      <c r="N106" s="111"/>
      <c r="O106" s="111"/>
      <c r="P106" s="111"/>
      <c r="Q106" s="118"/>
      <c r="R106" s="111"/>
      <c r="S106" s="111"/>
      <c r="T106" s="111"/>
      <c r="U106" s="111"/>
      <c r="V106" s="111"/>
    </row>
    <row r="107" outlineLevel="1">
      <c r="A107" s="106"/>
      <c r="B107" s="107"/>
      <c r="C107" s="285" t="s">
        <v>235</v>
      </c>
      <c r="D107" s="285" t="s">
        <v>236</v>
      </c>
      <c r="E107" s="285" t="s">
        <v>49</v>
      </c>
      <c r="F107" s="285" t="s">
        <v>237</v>
      </c>
      <c r="G107" s="286"/>
      <c r="H107" s="227"/>
      <c r="I107" s="227"/>
      <c r="J107" s="228"/>
      <c r="K107" s="228"/>
      <c r="L107" s="111"/>
      <c r="M107" s="111"/>
      <c r="N107" s="111"/>
      <c r="O107" s="111"/>
      <c r="P107" s="111"/>
      <c r="Q107" s="111"/>
      <c r="R107" s="111"/>
      <c r="S107" s="111"/>
      <c r="T107" s="111"/>
      <c r="U107" s="111"/>
      <c r="V107" s="111"/>
    </row>
    <row r="108" outlineLevel="1">
      <c r="A108" s="287" t="s">
        <v>395</v>
      </c>
      <c r="B108" s="288" t="s">
        <v>216</v>
      </c>
      <c r="C108" s="113" t="str">
        <f t="array" ref="C108">INDEX('回避'!$C$3:$U$84, MATCH($A$1,'回避'!$A$3:$A$91,0), MATCH(C107,'回避'!$C$2:$F$2,0))</f>
        <v>3-17</v>
      </c>
      <c r="D108" s="113" t="str">
        <f t="array" ref="D108">INDEX('回避'!$C$3:$U$84, MATCH($A$1,'回避'!$A$3:$A$91,0), MATCH(D107,'回避'!$C$2:$F$2,0))</f>
        <v>6-17</v>
      </c>
      <c r="E108" s="113" t="str">
        <f t="array" ref="E108">INDEX('回避'!$C$3:$U$84, MATCH($A$1,'回避'!$A$3:$A$91,0), MATCH(E107,'回避'!$C$2:$F$2,0))</f>
        <v>25 (20)</v>
      </c>
      <c r="F108" s="113" t="str">
        <f t="array" ref="F108">INDEX('回避'!$C$3:$U$84, MATCH($A$1,'回避'!$A$3:$A$91,0), MATCH(F107,'回避'!$C$2:$F$2,0))</f>
        <v>33 (27)</v>
      </c>
      <c r="G108" s="272"/>
      <c r="H108" s="227"/>
      <c r="I108" s="227"/>
      <c r="J108" s="228"/>
      <c r="K108" s="228"/>
      <c r="L108" s="228"/>
      <c r="M108" s="111"/>
      <c r="N108" s="111"/>
      <c r="O108" s="111"/>
      <c r="P108" s="111"/>
      <c r="Q108" s="111"/>
      <c r="R108" s="111"/>
      <c r="S108" s="111"/>
      <c r="T108" s="111"/>
      <c r="U108" s="111"/>
      <c r="V108" s="111"/>
    </row>
    <row r="109" outlineLevel="1">
      <c r="A109" s="212"/>
      <c r="B109" s="288" t="s">
        <v>245</v>
      </c>
      <c r="C109" s="113" t="str">
        <f t="array" ref="C109">INDEX('回避'!$G$3:$U$84, MATCH($A$1,'回避'!$A$3:$A$91,0), MATCH(C107,'回避'!$G$2:$J$2,0))</f>
        <v>4-15</v>
      </c>
      <c r="D109" s="113" t="str">
        <f t="array" ref="D109">INDEX('回避'!$G$3:$U$84, MATCH($A$1,'回避'!$A$3:$A$91,0), MATCH(D107,'回避'!$G$2:$J$2,0))</f>
        <v>8-14</v>
      </c>
      <c r="E109" s="113" t="str">
        <f t="array" ref="E109">INDEX('回避'!$G$3:$U$84, MATCH($A$1,'回避'!$A$3:$A$91,0), MATCH(E107,'回避'!$G$2:$J$2,0))</f>
        <v>29</v>
      </c>
      <c r="F109" s="113">
        <f t="array" ref="F109">INDEX('回避'!$G$3:$U$84, MATCH($A$1,'回避'!$A$3:$A$91,0), MATCH(F107,'回避'!$G$2:$J$2,0))</f>
        <v>38</v>
      </c>
      <c r="G109" s="289"/>
      <c r="H109" s="227"/>
      <c r="I109" s="227"/>
      <c r="J109" s="228"/>
      <c r="K109" s="228"/>
      <c r="L109" s="228"/>
      <c r="M109" s="228"/>
      <c r="N109" s="228"/>
      <c r="O109" s="111"/>
      <c r="P109" s="111"/>
      <c r="Q109" s="111"/>
      <c r="R109" s="111"/>
      <c r="S109" s="111"/>
      <c r="T109" s="111"/>
      <c r="U109" s="111"/>
      <c r="V109" s="111"/>
    </row>
    <row r="110" outlineLevel="1">
      <c r="A110" s="106"/>
      <c r="B110" s="288" t="s">
        <v>246</v>
      </c>
      <c r="C110" s="113" t="str">
        <f t="array" ref="C110">INDEX('回避'!$K$3:$U$84, MATCH($A$1,'回避'!$A$3:$A$91,0), MATCH(C107,'回避'!$K$2:$N$2,0))</f>
        <v>5-16</v>
      </c>
      <c r="D110" s="113" t="str">
        <f t="array" ref="D110">INDEX('回避'!$K$3:$U$84, MATCH($A$1,'回避'!$A$3:$A$91,0), MATCH(D107,'回避'!$K$2:$N$2,0))</f>
        <v>9-14</v>
      </c>
      <c r="E110" s="113" t="str">
        <f t="array" ref="E110">INDEX('回避'!$K$3:$U$84, MATCH($A$1,'回避'!$A$3:$A$91,0), MATCH(E107,'回避'!$K$2:$N$2,0))</f>
        <v>34</v>
      </c>
      <c r="F110" s="113" t="str">
        <f t="array" ref="F110">INDEX('回避'!$K$3:$U$84, MATCH($A$1,'回避'!$A$3:$A$91,0), MATCH(F107,'回避'!$K$2:$N$2,0))</f>
        <v>51</v>
      </c>
      <c r="G110" s="289"/>
      <c r="H110" s="290"/>
      <c r="I110" s="290"/>
      <c r="J110" s="117"/>
      <c r="K110" s="117"/>
      <c r="L110" s="117"/>
      <c r="M110" s="117"/>
      <c r="N110" s="117"/>
      <c r="O110" s="111"/>
      <c r="P110" s="111"/>
      <c r="Q110" s="111"/>
      <c r="R110" s="111"/>
      <c r="S110" s="111"/>
      <c r="T110" s="111"/>
      <c r="U110" s="111"/>
      <c r="V110" s="111"/>
    </row>
    <row r="111" outlineLevel="1">
      <c r="A111" s="287" t="s">
        <v>396</v>
      </c>
      <c r="B111" s="288" t="s">
        <v>397</v>
      </c>
      <c r="C111" s="113" t="str">
        <f t="array" ref="C111">INDEX('回避'!$O$3:$U$84, MATCH($A$1,'回避'!$A$3:$A$91,0), MATCH(C107,'回避'!$O$2:$R$2,0))</f>
        <v>3-30</v>
      </c>
      <c r="D111" s="113" t="str">
        <f t="array" ref="D111">INDEX('回避'!$O$3:$U$84, MATCH($A$1,'回避'!$A$3:$A$91,0), MATCH(D107,'回避'!$O$2:$R$2,0))</f>
        <v>6-27</v>
      </c>
      <c r="E111" s="113" t="str">
        <f t="array" ref="E111">INDEX('回避'!$O$3:$U$84, MATCH($A$1,'回避'!$A$3:$A$91,0), MATCH(E107,'回避'!$O$2:$R$2,0))</f>
        <v>48</v>
      </c>
      <c r="F111" s="177"/>
      <c r="G111" s="177"/>
      <c r="H111" s="118"/>
      <c r="I111" s="118"/>
      <c r="J111" s="111"/>
      <c r="K111" s="111"/>
      <c r="L111" s="111"/>
      <c r="M111" s="111"/>
      <c r="N111" s="111"/>
      <c r="O111" s="228"/>
      <c r="P111" s="228"/>
      <c r="Q111" s="228"/>
      <c r="R111" s="228"/>
      <c r="S111" s="228"/>
      <c r="T111" s="228"/>
      <c r="U111" s="228"/>
      <c r="V111" s="228"/>
    </row>
    <row r="112" outlineLevel="1">
      <c r="A112" s="106"/>
      <c r="B112" s="288" t="s">
        <v>398</v>
      </c>
      <c r="C112" s="113" t="str">
        <f t="array" ref="C112">INDEX('回避'!$S$3:$U$84, MATCH($A$1,'回避'!$A$3:$A$91,0), MATCH(C107,'回避'!$S$2:$U$2,0))</f>
        <v>3-21</v>
      </c>
      <c r="D112" s="113" t="str">
        <f t="array" ref="D112">INDEX('回避'!$S$3:$U$84, MATCH($A$1,'回避'!$A$3:$A$91,0), MATCH(D107,'回避'!$S$2:$U$2,0))</f>
        <v>6-20</v>
      </c>
      <c r="E112" s="113" t="str">
        <f t="array" ref="E112">INDEX('回避'!$S$3:$U$84, MATCH($A$1,'回避'!$A$3:$A$91,0), MATCH(E107,'回避'!$S$2:$U$2,0))</f>
        <v>真横：82
真上：108
真下：67</v>
      </c>
      <c r="F112" s="289"/>
      <c r="G112" s="289"/>
      <c r="H112" s="118"/>
      <c r="I112" s="118"/>
      <c r="J112" s="117"/>
      <c r="K112" s="117"/>
      <c r="L112" s="117"/>
      <c r="M112" s="117"/>
      <c r="N112" s="111"/>
      <c r="O112" s="118"/>
      <c r="P112" s="118"/>
      <c r="Q112" s="118"/>
      <c r="R112" s="118"/>
      <c r="S112" s="118"/>
      <c r="T112" s="118"/>
      <c r="U112" s="118"/>
      <c r="V112" s="118"/>
    </row>
    <row r="113">
      <c r="A113" s="291"/>
      <c r="B113" s="292"/>
      <c r="C113" s="286"/>
      <c r="D113" s="286"/>
      <c r="E113" s="293"/>
      <c r="F113" s="286"/>
      <c r="G113" s="286"/>
      <c r="H113" s="286"/>
      <c r="I113" s="286"/>
      <c r="J113" s="111"/>
      <c r="K113" s="227"/>
      <c r="L113" s="227"/>
      <c r="M113" s="227"/>
      <c r="N113" s="227"/>
      <c r="O113" s="118"/>
      <c r="P113" s="118"/>
      <c r="Q113" s="118"/>
      <c r="R113" s="118"/>
      <c r="S113" s="118"/>
      <c r="T113" s="118"/>
      <c r="U113" s="118"/>
      <c r="V113" s="118"/>
    </row>
    <row r="114">
      <c r="A114" s="294" t="s">
        <v>238</v>
      </c>
      <c r="B114" s="104"/>
      <c r="C114" s="228"/>
      <c r="D114" s="117"/>
      <c r="E114" s="228"/>
      <c r="F114" s="114"/>
      <c r="G114" s="114"/>
      <c r="H114" s="117"/>
      <c r="I114" s="117"/>
      <c r="J114" s="118"/>
      <c r="K114" s="118"/>
      <c r="L114" s="118"/>
      <c r="M114" s="118"/>
      <c r="N114" s="118"/>
      <c r="O114" s="118"/>
      <c r="P114" s="118"/>
      <c r="Q114" s="118"/>
      <c r="R114" s="118"/>
      <c r="S114" s="118"/>
      <c r="T114" s="118"/>
      <c r="U114" s="118"/>
      <c r="V114" s="118"/>
    </row>
    <row r="115" outlineLevel="1">
      <c r="A115" s="106"/>
      <c r="B115" s="107"/>
      <c r="C115" s="295" t="s">
        <v>235</v>
      </c>
      <c r="D115" s="295" t="s">
        <v>49</v>
      </c>
      <c r="E115" s="295" t="s">
        <v>48</v>
      </c>
      <c r="F115" s="295" t="s">
        <v>50</v>
      </c>
      <c r="G115" s="296" t="s">
        <v>51</v>
      </c>
      <c r="H115" s="228"/>
      <c r="I115" s="228"/>
      <c r="J115" s="117"/>
      <c r="K115" s="297" t="str">
        <f>'テンプレート'!K116</f>
        <v>アイテム取得</v>
      </c>
      <c r="L115" s="109"/>
      <c r="M115" s="298" t="str">
        <f>'テンプレート'!M116</f>
        <v>取得フレーム</v>
      </c>
      <c r="N115" s="298" t="str">
        <f>'テンプレート'!N116</f>
        <v>全体フレーム</v>
      </c>
      <c r="O115" s="118"/>
      <c r="P115" s="118"/>
      <c r="Q115" s="118"/>
      <c r="R115" s="118"/>
      <c r="S115" s="118"/>
      <c r="T115" s="118"/>
      <c r="U115" s="118"/>
      <c r="V115" s="118"/>
    </row>
    <row r="116" outlineLevel="1">
      <c r="A116" s="299" t="s">
        <v>239</v>
      </c>
      <c r="B116" s="300" t="s">
        <v>240</v>
      </c>
      <c r="C116" s="301"/>
      <c r="D116" s="113">
        <f t="array" ref="D116">INDEX('崖行動・受け身'!$C$3:$C125, MATCH($A$1,'崖行動・受け身'!$A$3:$A$115,0), MATCH(D115,'崖行動・受け身'!$C$2,0))</f>
        <v>19</v>
      </c>
      <c r="E116" s="301"/>
      <c r="F116" s="301"/>
      <c r="G116" s="301"/>
      <c r="H116" s="228"/>
      <c r="I116" s="228"/>
      <c r="J116" s="111"/>
      <c r="K116" s="302" t="str">
        <f>'テンプレート'!K117</f>
        <v>小アイテム</v>
      </c>
      <c r="L116" s="303" t="str">
        <f>'テンプレート'!L117</f>
        <v>その場</v>
      </c>
      <c r="M116" s="113" t="s">
        <v>76</v>
      </c>
      <c r="N116" s="113">
        <v>7.0</v>
      </c>
      <c r="O116" s="118"/>
      <c r="P116" s="118"/>
      <c r="Q116" s="118"/>
      <c r="R116" s="118"/>
      <c r="S116" s="118"/>
      <c r="T116" s="118"/>
      <c r="U116" s="118"/>
      <c r="V116" s="118"/>
    </row>
    <row r="117" outlineLevel="1">
      <c r="A117" s="146"/>
      <c r="B117" s="300" t="s">
        <v>216</v>
      </c>
      <c r="C117" s="113" t="str">
        <f t="array" ref="C117">INDEX('崖行動・受け身'!$D$3:$E125, MATCH($A$1,'崖行動・受け身'!$A$3:$A$115,0), MATCH(C115,'崖行動・受け身'!$D$2:$E$2,0))</f>
        <v>1-33</v>
      </c>
      <c r="D117" s="113">
        <f t="array" ref="D117">INDEX('崖行動・受け身'!$D$3:$E125, MATCH($A$1,'崖行動・受け身'!$A$3:$A$115,0), MATCH(D115,'崖行動・受け身'!$D$2:$E$2,0))</f>
        <v>34</v>
      </c>
      <c r="E117" s="301"/>
      <c r="F117" s="301"/>
      <c r="G117" s="301"/>
      <c r="H117" s="228"/>
      <c r="I117" s="228"/>
      <c r="J117" s="117"/>
      <c r="K117" s="156"/>
      <c r="L117" s="303" t="str">
        <f>'テンプレート'!L118</f>
        <v>歩き</v>
      </c>
      <c r="M117" s="113" t="s">
        <v>76</v>
      </c>
      <c r="N117" s="113">
        <v>23.0</v>
      </c>
      <c r="O117" s="118"/>
      <c r="P117" s="118"/>
      <c r="Q117" s="118"/>
      <c r="R117" s="118"/>
      <c r="S117" s="118"/>
      <c r="T117" s="118"/>
      <c r="U117" s="118"/>
      <c r="V117" s="118"/>
    </row>
    <row r="118" outlineLevel="1">
      <c r="A118" s="146"/>
      <c r="B118" s="300" t="s">
        <v>241</v>
      </c>
      <c r="C118" s="113" t="str">
        <f t="array" ref="C118">INDEX('崖行動・受け身'!$F$3:$G$115, MATCH($A$1,'崖行動・受け身'!$A$3:$A$115,0), MATCH(C115,'崖行動・受け身'!$F$2:$G$2,0))</f>
        <v>1-27</v>
      </c>
      <c r="D118" s="113">
        <f t="array" ref="D118">INDEX('崖行動・受け身'!$F$3:$G$115, MATCH($A$1,'崖行動・受け身'!$A$3:$A$115,0), MATCH(D115,'崖行動・受け身'!$F$2:$G$2,0))</f>
        <v>45</v>
      </c>
      <c r="E118" s="301"/>
      <c r="F118" s="301"/>
      <c r="G118" s="301"/>
      <c r="H118" s="228"/>
      <c r="I118" s="228"/>
      <c r="J118" s="111"/>
      <c r="K118" s="304" t="str">
        <f>'テンプレート'!K119</f>
        <v>アイテム投擲</v>
      </c>
      <c r="L118" s="109"/>
      <c r="M118" s="298" t="str">
        <f>'テンプレート'!M119</f>
        <v>投擲フレーム</v>
      </c>
      <c r="N118" s="298" t="str">
        <f>'テンプレート'!N119</f>
        <v>全体フレーム</v>
      </c>
      <c r="O118" s="118"/>
      <c r="P118" s="118"/>
      <c r="Q118" s="118"/>
      <c r="R118" s="118"/>
      <c r="S118" s="118"/>
      <c r="T118" s="118"/>
      <c r="U118" s="118"/>
      <c r="V118" s="118"/>
    </row>
    <row r="119" outlineLevel="1">
      <c r="A119" s="146"/>
      <c r="B119" s="300" t="s">
        <v>242</v>
      </c>
      <c r="C119" s="113" t="str">
        <f t="array" ref="C119">INDEX('崖行動・受け身'!$H$3:$I$115, MATCH($A$1,'崖行動・受け身'!$A$3:$A$115,0), MATCH(C115,'崖行動・受け身'!$H$2:$I$2,0))</f>
        <v>1-12</v>
      </c>
      <c r="D119" s="113">
        <f t="array" ref="D119">INDEX('崖行動・受け身'!$H$3:$I$115, MATCH($A$1,'崖行動・受け身'!$A$3:$A$115,0), MATCH(D115,'崖行動・受け身'!$H$2:$I$2,0))</f>
        <v>14</v>
      </c>
      <c r="E119" s="301"/>
      <c r="F119" s="301"/>
      <c r="G119" s="301"/>
      <c r="H119" s="228"/>
      <c r="I119" s="228"/>
      <c r="J119" s="117"/>
      <c r="K119" s="305" t="str">
        <f>'テンプレート'!K120</f>
        <v>地上投擲</v>
      </c>
      <c r="L119" s="303" t="str">
        <f>'テンプレート'!L120</f>
        <v>前投げ</v>
      </c>
      <c r="M119" s="113" t="s">
        <v>80</v>
      </c>
      <c r="N119" s="113">
        <v>24.0</v>
      </c>
      <c r="O119" s="111"/>
      <c r="P119" s="111"/>
      <c r="Q119" s="111"/>
      <c r="R119" s="111"/>
      <c r="S119" s="111"/>
      <c r="T119" s="111"/>
      <c r="U119" s="111"/>
      <c r="V119" s="111"/>
    </row>
    <row r="120" outlineLevel="1">
      <c r="A120" s="156"/>
      <c r="B120" s="300" t="s">
        <v>243</v>
      </c>
      <c r="C120" s="113" t="str">
        <f t="array" ref="C120">INDEX('崖行動・受け身'!$J$3:$M$115, MATCH($A$1,'崖行動・受け身'!$A$3:$A$115,0), MATCH(C115,'崖行動・受け身'!$J$2:$M$2,0))</f>
        <v>1-26</v>
      </c>
      <c r="D120" s="113">
        <f t="array" ref="D120">INDEX('崖行動・受け身'!$J$3:$M$115, MATCH($A$1,'崖行動・受け身'!$A$3:$A$115,0), MATCH(D115,'崖行動・受け身'!$J$2:$M$2,0))</f>
        <v>55</v>
      </c>
      <c r="E120" s="113" t="str">
        <f t="array" ref="E120">INDEX('崖行動・受け身'!$J$3:$M$115, MATCH($A$1,'崖行動・受け身'!$A$3:$A$115,0), MATCH(E115,'崖行動・受け身'!$J$2:$M$2,0))</f>
        <v>24-26</v>
      </c>
      <c r="F120" s="113">
        <f t="array" ref="F120">INDEX('崖行動・受け身'!$J$3:$M$115, MATCH($A$1,'崖行動・受け身'!$A$3:$A$115,0), MATCH(F115,'崖行動・受け身'!$J$2:$M$2,0))</f>
        <v>10</v>
      </c>
      <c r="G120" s="113">
        <f>F120*1.2</f>
        <v>12</v>
      </c>
      <c r="H120" s="228"/>
      <c r="I120" s="228"/>
      <c r="J120" s="111"/>
      <c r="K120" s="146"/>
      <c r="L120" s="303" t="str">
        <f>'テンプレート'!L121</f>
        <v>後投げ</v>
      </c>
      <c r="M120" s="113" t="s">
        <v>232</v>
      </c>
      <c r="N120" s="113">
        <v>24.0</v>
      </c>
      <c r="O120" s="111"/>
      <c r="P120" s="111"/>
      <c r="Q120" s="111"/>
      <c r="R120" s="111"/>
      <c r="S120" s="111"/>
      <c r="T120" s="111"/>
      <c r="U120" s="111"/>
      <c r="V120" s="111"/>
    </row>
    <row r="121" outlineLevel="1">
      <c r="A121" s="299" t="s">
        <v>244</v>
      </c>
      <c r="B121" s="300" t="s">
        <v>216</v>
      </c>
      <c r="C121" s="113" t="str">
        <f t="array" ref="C121">INDEX('崖行動・受け身'!$N$3:$O$115, MATCH($A$1,'崖行動・受け身'!$A$3:$A$115,0), MATCH(C115,'崖行動・受け身'!$N$2:$O$2,0))</f>
        <v>1-20</v>
      </c>
      <c r="D121" s="113">
        <f t="array" ref="D121">INDEX('崖行動・受け身'!$N$3:$O$115, MATCH($A$1,'崖行動・受け身'!$A$3:$A$115,0), MATCH(D115,'崖行動・受け身'!$N$2:$O$2,0))</f>
        <v>26</v>
      </c>
      <c r="E121" s="301"/>
      <c r="F121" s="301"/>
      <c r="G121" s="301"/>
      <c r="H121" s="228"/>
      <c r="I121" s="228"/>
      <c r="J121" s="117"/>
      <c r="K121" s="146"/>
      <c r="L121" s="303" t="str">
        <f>'テンプレート'!L122</f>
        <v>上投げ</v>
      </c>
      <c r="M121" s="113" t="s">
        <v>129</v>
      </c>
      <c r="N121" s="113">
        <v>23.0</v>
      </c>
      <c r="O121" s="228"/>
      <c r="P121" s="228"/>
      <c r="Q121" s="228"/>
      <c r="R121" s="228"/>
      <c r="S121" s="228"/>
      <c r="T121" s="228"/>
      <c r="U121" s="228"/>
      <c r="V121" s="228"/>
    </row>
    <row r="122" outlineLevel="1">
      <c r="A122" s="146"/>
      <c r="B122" s="300" t="s">
        <v>245</v>
      </c>
      <c r="C122" s="113" t="str">
        <f t="array" ref="C122">INDEX('崖行動・受け身'!$P$3:$Q$115, MATCH($A$1,'崖行動・受け身'!$A$3:$A$115,0), MATCH(C115,'崖行動・受け身'!$P$2:$Q$2,0))</f>
        <v>1-20</v>
      </c>
      <c r="D122" s="113">
        <f t="array" ref="D122">INDEX('崖行動・受け身'!$P$3:$Q$115, MATCH($A$1,'崖行動・受け身'!$A$3:$A$115,0), MATCH(D115,'崖行動・受け身'!$P$2:$Q$2,0))</f>
        <v>40</v>
      </c>
      <c r="E122" s="301"/>
      <c r="F122" s="301"/>
      <c r="G122" s="301"/>
      <c r="H122" s="228"/>
      <c r="I122" s="228"/>
      <c r="J122" s="111"/>
      <c r="K122" s="146"/>
      <c r="L122" s="303" t="str">
        <f>'テンプレート'!L123</f>
        <v>下投げ</v>
      </c>
      <c r="M122" s="113" t="s">
        <v>93</v>
      </c>
      <c r="N122" s="113">
        <v>19.0</v>
      </c>
      <c r="O122" s="118"/>
      <c r="P122" s="118"/>
      <c r="Q122" s="118"/>
      <c r="R122" s="118"/>
      <c r="S122" s="118"/>
      <c r="T122" s="118"/>
      <c r="U122" s="118"/>
      <c r="V122" s="118"/>
    </row>
    <row r="123" outlineLevel="1">
      <c r="A123" s="156"/>
      <c r="B123" s="300" t="s">
        <v>246</v>
      </c>
      <c r="C123" s="113" t="str">
        <f t="array" ref="C123">INDEX('崖行動・受け身'!$R$3:$S$115, MATCH($A$1,'崖行動・受け身'!$A$3:$A$115,0), MATCH(C115,'崖行動・受け身'!$R$2:$S$2,0))</f>
        <v>1-20</v>
      </c>
      <c r="D123" s="113">
        <f t="array" ref="D123">INDEX('崖行動・受け身'!$R$3:$S$115, MATCH($A$1,'崖行動・受け身'!$A$3:$A$115,0), MATCH(D115,'崖行動・受け身'!$R$2:$S$2,0))</f>
        <v>40</v>
      </c>
      <c r="E123" s="301"/>
      <c r="F123" s="301"/>
      <c r="G123" s="301"/>
      <c r="H123" s="228"/>
      <c r="I123" s="228"/>
      <c r="J123" s="117"/>
      <c r="K123" s="146"/>
      <c r="L123" s="306" t="str">
        <f>'テンプレート'!L124</f>
        <v>ダッシュ</v>
      </c>
      <c r="M123" s="113" t="s">
        <v>150</v>
      </c>
      <c r="N123" s="113">
        <v>37.0</v>
      </c>
      <c r="O123" s="118"/>
      <c r="P123" s="118"/>
      <c r="Q123" s="118"/>
      <c r="R123" s="118"/>
      <c r="S123" s="118"/>
      <c r="T123" s="118"/>
      <c r="U123" s="118"/>
      <c r="V123" s="118"/>
    </row>
    <row r="124" outlineLevel="1">
      <c r="A124" s="299" t="s">
        <v>247</v>
      </c>
      <c r="B124" s="300" t="s">
        <v>248</v>
      </c>
      <c r="C124" s="301"/>
      <c r="D124" s="113" t="str">
        <f t="array" ref="D124">INDEX('起きあがり'!$C$3:$C125, MATCH($A$1,'起きあがり'!$A$3:$A$115,0), MATCH(D115,'起きあがり'!$C$2:$AD$2,0))</f>
        <v>25</v>
      </c>
      <c r="E124" s="301"/>
      <c r="F124" s="301"/>
      <c r="G124" s="301"/>
      <c r="H124" s="228"/>
      <c r="I124" s="228"/>
      <c r="J124" s="111"/>
      <c r="K124" s="156"/>
      <c r="L124" s="306" t="str">
        <f>'テンプレート'!L125</f>
        <v>その場捨て</v>
      </c>
      <c r="M124" s="113" t="s">
        <v>86</v>
      </c>
      <c r="N124" s="113">
        <v>23.0</v>
      </c>
      <c r="O124" s="118"/>
      <c r="P124" s="118"/>
      <c r="Q124" s="118"/>
      <c r="R124" s="118"/>
      <c r="S124" s="118"/>
      <c r="T124" s="118"/>
      <c r="U124" s="118"/>
      <c r="V124" s="118"/>
    </row>
    <row r="125" outlineLevel="1">
      <c r="A125" s="146"/>
      <c r="B125" s="300" t="s">
        <v>216</v>
      </c>
      <c r="C125" s="307" t="str">
        <f t="array" ref="C125">INDEX('起きあがり'!$D$3:$E125, MATCH($A$1,'起きあがり'!$A$3:$A$115,0), MATCH(C115,'起きあがり'!$D$2:$AD$2,0))</f>
        <v>1-22</v>
      </c>
      <c r="D125" s="308">
        <f t="array" ref="D125">INDEX('起きあがり'!$D$3:$E125, MATCH($A$1,'起きあがり'!$A$3:$A$115,0), MATCH(D115,'起きあがり'!$D$2:$AD$2,0))</f>
        <v>29</v>
      </c>
      <c r="E125" s="301"/>
      <c r="F125" s="301"/>
      <c r="G125" s="301"/>
      <c r="H125" s="228"/>
      <c r="I125" s="228"/>
      <c r="J125" s="117"/>
      <c r="K125" s="305" t="str">
        <f>'テンプレート'!K126</f>
        <v>空中投擲</v>
      </c>
      <c r="L125" s="303" t="str">
        <f>'テンプレート'!L126</f>
        <v>前投げ</v>
      </c>
      <c r="M125" s="113" t="s">
        <v>80</v>
      </c>
      <c r="N125" s="113">
        <v>24.0</v>
      </c>
      <c r="O125" s="118"/>
      <c r="P125" s="118"/>
      <c r="Q125" s="118"/>
      <c r="R125" s="118"/>
      <c r="S125" s="118"/>
      <c r="T125" s="118"/>
      <c r="U125" s="118"/>
      <c r="V125" s="118"/>
    </row>
    <row r="126" outlineLevel="1">
      <c r="A126" s="146"/>
      <c r="B126" s="300" t="s">
        <v>245</v>
      </c>
      <c r="C126" s="307" t="str">
        <f t="array" ref="C126">INDEX('起きあがり'!$F$3:$G$115, MATCH($A$1,'起きあがり'!$A$3:$A$115,0), MATCH(C115,'起きあがり'!$F$2:$AD$2,0))</f>
        <v>1-21</v>
      </c>
      <c r="D126" s="308">
        <f t="array" ref="D126">INDEX('起きあがり'!$F$3:$G$115, MATCH($A$1,'起きあがり'!$A$3:$A$115,0), MATCH(D115,'起きあがり'!$F$2:$AD$2,0))</f>
        <v>35</v>
      </c>
      <c r="E126" s="301"/>
      <c r="F126" s="301"/>
      <c r="G126" s="301"/>
      <c r="H126" s="228"/>
      <c r="I126" s="228"/>
      <c r="J126" s="111"/>
      <c r="K126" s="146"/>
      <c r="L126" s="303" t="str">
        <f>'テンプレート'!L127</f>
        <v>後投げ</v>
      </c>
      <c r="M126" s="113" t="s">
        <v>232</v>
      </c>
      <c r="N126" s="113">
        <v>24.0</v>
      </c>
      <c r="O126" s="118"/>
      <c r="P126" s="118"/>
      <c r="Q126" s="118"/>
      <c r="R126" s="118"/>
      <c r="S126" s="118"/>
      <c r="T126" s="118"/>
      <c r="U126" s="118"/>
      <c r="V126" s="118"/>
    </row>
    <row r="127" outlineLevel="1">
      <c r="A127" s="146"/>
      <c r="B127" s="300" t="s">
        <v>246</v>
      </c>
      <c r="C127" s="113" t="str">
        <f t="array" ref="C127">INDEX('起きあがり'!$H$3:$I$115, MATCH($A$1,'起きあがり'!$A$3:$A$115,0), MATCH(C115,'起きあがり'!$H$2:$AD$2,0))</f>
        <v>1-22</v>
      </c>
      <c r="D127" s="113">
        <f t="array" ref="D127">INDEX('起きあがり'!$H$3:$I$115, MATCH($A$1,'起きあがり'!$A$3:$A$115,0), MATCH(D115,'起きあがり'!$H$2:$AD$2,0))</f>
        <v>35</v>
      </c>
      <c r="E127" s="301"/>
      <c r="F127" s="301"/>
      <c r="G127" s="301"/>
      <c r="H127" s="228"/>
      <c r="I127" s="228"/>
      <c r="J127" s="117"/>
      <c r="K127" s="146"/>
      <c r="L127" s="303" t="str">
        <f>'テンプレート'!L128</f>
        <v>上投げ</v>
      </c>
      <c r="M127" s="113" t="s">
        <v>129</v>
      </c>
      <c r="N127" s="113">
        <v>23.0</v>
      </c>
      <c r="O127" s="118"/>
      <c r="P127" s="118"/>
      <c r="Q127" s="118"/>
      <c r="R127" s="118"/>
      <c r="S127" s="118"/>
      <c r="T127" s="118"/>
      <c r="U127" s="118"/>
      <c r="V127" s="118"/>
    </row>
    <row r="128" outlineLevel="1">
      <c r="A128" s="146"/>
      <c r="B128" s="300" t="s">
        <v>249</v>
      </c>
      <c r="C128" s="309" t="str">
        <f t="array" ref="C128">INDEX('起きあがり'!$J$3:$M$115, MATCH($A$1,'起きあがり'!$A$3:$A$115,0), MATCH(C115,'起きあがり'!$J$2:$AD$2,0))</f>
        <v>1-23</v>
      </c>
      <c r="D128" s="310">
        <f t="array" ref="D128">INDEX('起きあがり'!$J$3:$M$115, MATCH($A$1,'起きあがり'!$A$3:$A$115,0), MATCH(D115,'起きあがり'!$J$2:$AD$2,0))</f>
        <v>45</v>
      </c>
      <c r="E128" s="307" t="str">
        <f t="array" ref="E128">INDEX('起きあがり'!$J$3:$M$115, MATCH($A$1,'起きあがり'!$A$3:$A$115,0), MATCH(E115,'起きあがり'!$J$2:$AD$2,0))</f>
        <v>22-23</v>
      </c>
      <c r="F128" s="308">
        <f t="array" ref="F128">INDEX('起きあがり'!$J$3:$M$115, MATCH($A$1,'起きあがり'!$A$3:$A$115,0), MATCH(F115,'起きあがり'!$J$2:$AD$2,0))</f>
        <v>6</v>
      </c>
      <c r="G128" s="113">
        <f>F128*1.2</f>
        <v>7.2</v>
      </c>
      <c r="H128" s="228"/>
      <c r="I128" s="228"/>
      <c r="J128" s="111"/>
      <c r="K128" s="156"/>
      <c r="L128" s="303" t="str">
        <f>'テンプレート'!L129</f>
        <v>下投げ</v>
      </c>
      <c r="M128" s="113" t="s">
        <v>93</v>
      </c>
      <c r="N128" s="113">
        <v>19.0</v>
      </c>
      <c r="O128" s="111"/>
      <c r="P128" s="111"/>
      <c r="Q128" s="111"/>
      <c r="R128" s="111"/>
      <c r="S128" s="111"/>
      <c r="T128" s="111"/>
      <c r="U128" s="111"/>
      <c r="V128" s="111"/>
    </row>
    <row r="129" outlineLevel="1">
      <c r="A129" s="156"/>
      <c r="B129" s="311" t="s">
        <v>250</v>
      </c>
      <c r="C129" s="156"/>
      <c r="D129" s="156"/>
      <c r="E129" s="2655"/>
      <c r="F129" s="2655"/>
      <c r="G129" s="409"/>
      <c r="H129" s="228"/>
      <c r="I129" s="228"/>
      <c r="J129" s="111"/>
      <c r="K129" s="312" t="str">
        <f>'テンプレート'!K130</f>
        <v>踏み台ジャンプ</v>
      </c>
      <c r="L129" s="168"/>
      <c r="M129" s="298" t="str">
        <f>'テンプレート'!M130</f>
        <v>全体フレーム</v>
      </c>
      <c r="N129" s="114"/>
      <c r="O129" s="111"/>
      <c r="P129" s="111"/>
      <c r="Q129" s="111"/>
      <c r="R129" s="111"/>
      <c r="S129" s="111"/>
      <c r="T129" s="111"/>
      <c r="U129" s="111"/>
      <c r="V129" s="111"/>
    </row>
    <row r="130" outlineLevel="1">
      <c r="A130" s="299" t="s">
        <v>251</v>
      </c>
      <c r="B130" s="300" t="s">
        <v>248</v>
      </c>
      <c r="C130" s="301"/>
      <c r="D130" s="307" t="str">
        <f t="array" ref="D130">INDEX('起きあがり'!$C$3:$C125, MATCH($A$1,'起きあがり'!$A$3:$A$115,0), MATCH(D115,'起きあがり'!$C$2,0))</f>
        <v>25</v>
      </c>
      <c r="E130" s="301"/>
      <c r="F130" s="301"/>
      <c r="G130" s="301"/>
      <c r="H130" s="228"/>
      <c r="I130" s="228"/>
      <c r="J130" s="117"/>
      <c r="K130" s="313" t="str">
        <f>'テンプレート'!K131</f>
        <v>踏み</v>
      </c>
      <c r="L130" s="314" t="str">
        <f>'テンプレート'!L131</f>
        <v>踏み</v>
      </c>
      <c r="M130" s="113">
        <v>7.0</v>
      </c>
      <c r="N130" s="315"/>
      <c r="O130" s="111"/>
      <c r="P130" s="111"/>
      <c r="Q130" s="111"/>
      <c r="R130" s="111"/>
      <c r="S130" s="111"/>
      <c r="T130" s="111"/>
      <c r="U130" s="111"/>
      <c r="V130" s="111"/>
    </row>
    <row r="131" outlineLevel="1">
      <c r="A131" s="146"/>
      <c r="B131" s="300" t="s">
        <v>216</v>
      </c>
      <c r="C131" s="307" t="str">
        <f t="array" ref="C131">INDEX('起きあがり'!$P$3:$Q$115, MATCH($A$1,'起きあがり'!$A$3:$A$115,0), MATCH(C115,'起きあがり'!$P$2:$AD$2,0))</f>
        <v>1-22</v>
      </c>
      <c r="D131" s="308">
        <f t="array" ref="D131">INDEX('起きあがり'!$P$3:$Q$115, MATCH($A$1,'起きあがり'!$A$3:$A$115,0), MATCH(D115,'起きあがり'!$P$2:$AD$2,0))</f>
        <v>29</v>
      </c>
      <c r="E131" s="301"/>
      <c r="F131" s="301"/>
      <c r="G131" s="301"/>
      <c r="H131" s="228"/>
      <c r="I131" s="228"/>
      <c r="J131" s="111"/>
      <c r="K131" s="305" t="str">
        <f>'テンプレート'!K132</f>
        <v>踏まれ</v>
      </c>
      <c r="L131" s="314" t="str">
        <f>'テンプレート'!L132</f>
        <v>地上踏まれ</v>
      </c>
      <c r="M131" s="113" t="s">
        <v>76</v>
      </c>
      <c r="N131" s="315"/>
      <c r="O131" s="228"/>
      <c r="P131" s="228"/>
      <c r="Q131" s="228"/>
      <c r="R131" s="228"/>
      <c r="S131" s="228"/>
      <c r="T131" s="228"/>
      <c r="U131" s="228"/>
      <c r="V131" s="228"/>
    </row>
    <row r="132" outlineLevel="1">
      <c r="A132" s="146"/>
      <c r="B132" s="300" t="s">
        <v>245</v>
      </c>
      <c r="C132" s="307" t="str">
        <f t="array" ref="C132">INDEX('起きあがり'!$R$3:$S$115, MATCH($A$1,'起きあがり'!$A$3:$A$115,0), MATCH(C115,'起きあがり'!$R$2:$AD$2,0))</f>
        <v>1-19</v>
      </c>
      <c r="D132" s="308">
        <f t="array" ref="D132">INDEX('起きあがり'!$R$3:$S$115, MATCH($A$1,'起きあがり'!$A$3:$A$115,0), MATCH(D115,'起きあがり'!$R$2:$AD$2,0))</f>
        <v>35</v>
      </c>
      <c r="E132" s="301"/>
      <c r="F132" s="301"/>
      <c r="G132" s="301"/>
      <c r="H132" s="228"/>
      <c r="I132" s="228"/>
      <c r="J132" s="117"/>
      <c r="K132" s="146"/>
      <c r="L132" s="314" t="str">
        <f>'テンプレート'!L133</f>
        <v>地上硬直</v>
      </c>
      <c r="M132" s="113">
        <v>28.0</v>
      </c>
      <c r="N132" s="102"/>
      <c r="O132" s="118"/>
      <c r="P132" s="118"/>
      <c r="Q132" s="118"/>
      <c r="R132" s="118"/>
      <c r="S132" s="118"/>
      <c r="T132" s="118"/>
      <c r="U132" s="118"/>
      <c r="V132" s="118"/>
    </row>
    <row r="133" outlineLevel="1">
      <c r="A133" s="146"/>
      <c r="B133" s="300" t="s">
        <v>246</v>
      </c>
      <c r="C133" s="307" t="str">
        <f t="array" ref="C133">INDEX('起きあがり'!$T$3:$U$115, MATCH($A$1,'起きあがり'!$A$3:$A$115,0), MATCH(C115,'起きあがり'!$T$2:$AD$2,0))</f>
        <v>1-24</v>
      </c>
      <c r="D133" s="308">
        <f t="array" ref="D133">INDEX('起きあがり'!$T$3:$U$115, MATCH($A$1,'起きあがり'!$A$3:$A$115,0), MATCH(D115,'起きあがり'!$T$2:$AD$2,0))</f>
        <v>35</v>
      </c>
      <c r="E133" s="301"/>
      <c r="F133" s="301"/>
      <c r="G133" s="301"/>
      <c r="H133" s="228"/>
      <c r="I133" s="228"/>
      <c r="J133" s="111"/>
      <c r="K133" s="146"/>
      <c r="L133" s="314" t="str">
        <f>'テンプレート'!L134</f>
        <v>空中踏まれ</v>
      </c>
      <c r="M133" s="113">
        <v>8.0</v>
      </c>
      <c r="N133" s="102"/>
      <c r="O133" s="118"/>
      <c r="P133" s="118"/>
      <c r="Q133" s="118"/>
      <c r="R133" s="118"/>
      <c r="S133" s="118"/>
      <c r="T133" s="118"/>
      <c r="U133" s="118"/>
      <c r="V133" s="118"/>
    </row>
    <row r="134" outlineLevel="1">
      <c r="A134" s="146"/>
      <c r="B134" s="300" t="s">
        <v>249</v>
      </c>
      <c r="C134" s="309" t="str">
        <f t="array" ref="C134">INDEX('起きあがり'!$V$3:$Y$115, MATCH($A$1,'起きあがり'!$A$3:$A$115,0), MATCH(C115,'起きあがり'!$V$2:$AD$2,0))</f>
        <v>1-26</v>
      </c>
      <c r="D134" s="310">
        <f t="array" ref="D134">INDEX('起きあがり'!$V$3:$Y$115, MATCH($A$1,'起きあがり'!$A$3:$A$115,0), MATCH(D115,'起きあがり'!$V$2:$AD$2,0))</f>
        <v>45</v>
      </c>
      <c r="E134" s="307" t="str">
        <f t="array" ref="E134">INDEX('起きあがり'!$V$3:$Y$115, MATCH($A$1,'起きあがり'!$A$3:$A$115,0), MATCH(E115,'起きあがり'!$V$2:$AD$2,0))</f>
        <v>18-19</v>
      </c>
      <c r="F134" s="308">
        <f t="array" ref="F134">INDEX('起きあがり'!$V$3:$Y$115, MATCH($A$1,'起きあがり'!$A$3:$A$115,0), MATCH(F115,'起きあがり'!$V$2:$AD$2,0))</f>
        <v>7</v>
      </c>
      <c r="G134" s="113">
        <f t="shared" ref="G134:G135" si="3">F134*1.2</f>
        <v>8.4</v>
      </c>
      <c r="H134" s="228"/>
      <c r="I134" s="228"/>
      <c r="J134" s="117"/>
      <c r="K134" s="146"/>
      <c r="L134" s="314" t="str">
        <f>'テンプレート'!L135</f>
        <v>空中落下</v>
      </c>
      <c r="M134" s="113">
        <v>35.0</v>
      </c>
      <c r="N134" s="102"/>
      <c r="O134" s="118"/>
      <c r="P134" s="118"/>
      <c r="Q134" s="118"/>
      <c r="R134" s="118"/>
      <c r="S134" s="118"/>
      <c r="T134" s="118"/>
      <c r="U134" s="118"/>
      <c r="V134" s="118"/>
    </row>
    <row r="135" outlineLevel="1">
      <c r="A135" s="156"/>
      <c r="B135" s="311" t="s">
        <v>250</v>
      </c>
      <c r="C135" s="156"/>
      <c r="D135" s="156"/>
      <c r="E135" s="307" t="str">
        <f t="array" ref="E135">INDEX('起きあがり'!$Z$3:$AA$115, MATCH($A$1,'起きあがり'!$A$3:$A$115,0), MATCH(E115,'起きあがり'!$Z$2:$AD$2,0))</f>
        <v>25-26</v>
      </c>
      <c r="F135" s="308">
        <f t="array" ref="F135">INDEX('起きあがり'!$Z$3:$AA$115, MATCH($A$1,'起きあがり'!$A$3:$A$115,0), MATCH(F115,'起きあがり'!$Z$2:$AD$2,0))</f>
        <v>7</v>
      </c>
      <c r="G135" s="113">
        <f t="shared" si="3"/>
        <v>8.4</v>
      </c>
      <c r="H135" s="228"/>
      <c r="I135" s="228"/>
      <c r="J135" s="117"/>
      <c r="K135" s="304" t="str">
        <f>'テンプレート'!K136</f>
        <v>倒れダメージ</v>
      </c>
      <c r="L135" s="110"/>
      <c r="M135" s="298" t="str">
        <f>'テンプレート'!M136</f>
        <v>全体フレーム</v>
      </c>
      <c r="N135" s="102"/>
      <c r="O135" s="118"/>
      <c r="P135" s="118"/>
      <c r="Q135" s="118"/>
      <c r="R135" s="118"/>
      <c r="S135" s="118"/>
      <c r="T135" s="118"/>
      <c r="U135" s="118"/>
      <c r="V135" s="118"/>
    </row>
    <row r="136" outlineLevel="1">
      <c r="A136" s="299" t="s">
        <v>252</v>
      </c>
      <c r="B136" s="300" t="s">
        <v>253</v>
      </c>
      <c r="C136" s="307" t="str">
        <f t="array" ref="C136">INDEX('転倒'!$C$3:$D125, MATCH($A$1,'転倒'!$A$3:$A$115,0), MATCH(C115,'転倒'!$C$2:$AC$2,0))</f>
        <v>1-5</v>
      </c>
      <c r="D136" s="308">
        <f t="array" ref="D136">INDEX('転倒'!$C$3:$D125, MATCH($A$1,'転倒'!$A$3:$A$115,0), MATCH(D115,'転倒'!$C$2:$AC$2,0))</f>
        <v>29</v>
      </c>
      <c r="E136" s="301"/>
      <c r="F136" s="301"/>
      <c r="G136" s="301"/>
      <c r="H136" s="228"/>
      <c r="I136" s="228"/>
      <c r="J136" s="111"/>
      <c r="K136" s="313" t="str">
        <f>'テンプレート'!K137</f>
        <v>あお向け倒れ</v>
      </c>
      <c r="L136" s="306" t="str">
        <f>'テンプレート'!L137</f>
        <v>モーション大</v>
      </c>
      <c r="M136" s="113">
        <v>39.0</v>
      </c>
      <c r="N136" s="315"/>
      <c r="O136" s="118"/>
      <c r="P136" s="118"/>
      <c r="Q136" s="118"/>
      <c r="R136" s="118"/>
      <c r="S136" s="118"/>
      <c r="T136" s="118"/>
      <c r="U136" s="118"/>
      <c r="V136" s="118"/>
    </row>
    <row r="137" outlineLevel="1">
      <c r="A137" s="146"/>
      <c r="B137" s="300" t="s">
        <v>254</v>
      </c>
      <c r="C137" s="307" t="str">
        <f t="array" ref="C137">INDEX('転倒'!$E$3:$F125, MATCH($A$1,'転倒'!$A$3:$A$115,0), MATCH(C115,'転倒'!$E$2:$AC$2,0))</f>
        <v>1-5</v>
      </c>
      <c r="D137" s="308">
        <f t="array" ref="D137">INDEX('転倒'!$E$3:$F125, MATCH($A$1,'転倒'!$A$3:$A$115,0), MATCH(D115,'転倒'!$E$2:$AC$2,0))</f>
        <v>39</v>
      </c>
      <c r="E137" s="301"/>
      <c r="F137" s="301"/>
      <c r="G137" s="301"/>
      <c r="H137" s="228"/>
      <c r="I137" s="228"/>
      <c r="J137" s="117"/>
      <c r="K137" s="313" t="str">
        <f>'テンプレート'!K138</f>
        <v>うつ伏せ倒れ</v>
      </c>
      <c r="L137" s="306" t="str">
        <f>'テンプレート'!L138</f>
        <v>モーション大</v>
      </c>
      <c r="M137" s="113" t="s">
        <v>118</v>
      </c>
      <c r="N137" s="315"/>
      <c r="O137" s="118"/>
      <c r="P137" s="118"/>
      <c r="Q137" s="118"/>
      <c r="R137" s="118"/>
      <c r="S137" s="118"/>
      <c r="T137" s="118"/>
      <c r="U137" s="118"/>
      <c r="V137" s="118"/>
    </row>
    <row r="138" outlineLevel="1">
      <c r="A138" s="146"/>
      <c r="B138" s="300" t="s">
        <v>216</v>
      </c>
      <c r="C138" s="307" t="str">
        <f t="array" ref="C138">INDEX('転倒'!$G$3:$H$115, MATCH($A$1,'転倒'!$A$3:$A$115,0), MATCH(C115,'転倒'!$G$2:$AC$2,0))</f>
        <v>1-16</v>
      </c>
      <c r="D138" s="308">
        <f t="array" ref="D138">INDEX('転倒'!$G$3:$H$115, MATCH($A$1,'転倒'!$A$3:$A$115,0), MATCH(D115,'転倒'!$G$2:$AC$2,0))</f>
        <v>21</v>
      </c>
      <c r="E138" s="301"/>
      <c r="F138" s="301"/>
      <c r="G138" s="301"/>
      <c r="H138" s="228"/>
      <c r="I138" s="228"/>
      <c r="J138" s="111"/>
      <c r="K138" s="304" t="str">
        <f>'テンプレート'!K139</f>
        <v/>
      </c>
      <c r="L138" s="110"/>
      <c r="M138" s="298" t="str">
        <f>'テンプレート'!M139</f>
        <v/>
      </c>
      <c r="N138" s="102"/>
      <c r="O138" s="118"/>
      <c r="P138" s="118"/>
      <c r="Q138" s="118"/>
      <c r="R138" s="118"/>
      <c r="S138" s="118"/>
      <c r="T138" s="118"/>
      <c r="U138" s="118"/>
      <c r="V138" s="118"/>
    </row>
    <row r="139" outlineLevel="1">
      <c r="A139" s="146"/>
      <c r="B139" s="300" t="s">
        <v>245</v>
      </c>
      <c r="C139" s="307" t="str">
        <f t="array" ref="C139">INDEX('転倒'!$I$3:$J$115, MATCH($A$1,'転倒'!$A$3:$A$115,0), MATCH(C115,'転倒'!$I$2:$AC$2,0))</f>
        <v>1-9</v>
      </c>
      <c r="D139" s="308">
        <f t="array" ref="D139">INDEX('転倒'!$I$3:$J$115, MATCH($A$1,'転倒'!$A$3:$A$115,0), MATCH(D115,'転倒'!$I$2:$AC$2,0))</f>
        <v>28</v>
      </c>
      <c r="E139" s="301"/>
      <c r="F139" s="301"/>
      <c r="G139" s="301"/>
      <c r="H139" s="228"/>
      <c r="I139" s="228"/>
      <c r="J139" s="228"/>
      <c r="K139" s="316"/>
      <c r="L139" s="317" t="str">
        <f>'テンプレート'!L140</f>
        <v/>
      </c>
      <c r="M139" s="113" t="s">
        <v>76</v>
      </c>
      <c r="N139" s="102"/>
      <c r="O139" s="118"/>
      <c r="P139" s="118"/>
      <c r="Q139" s="118"/>
      <c r="R139" s="118"/>
      <c r="S139" s="118"/>
      <c r="T139" s="118"/>
      <c r="U139" s="118"/>
      <c r="V139" s="118"/>
    </row>
    <row r="140" outlineLevel="1">
      <c r="A140" s="146"/>
      <c r="B140" s="300" t="s">
        <v>246</v>
      </c>
      <c r="C140" s="307" t="str">
        <f t="array" ref="C140">INDEX('転倒'!$K$3:$L$115, MATCH($A$1,'転倒'!$A$3:$A$115,0), MATCH(C115,'転倒'!$K$2:$AC$2,0))</f>
        <v>1-9</v>
      </c>
      <c r="D140" s="308">
        <f t="array" ref="D140">INDEX('転倒'!$K$3:$L$115, MATCH($A$1,'転倒'!$A$3:$A$115,0), MATCH(D115,'転倒'!$K$2:$AC$2,0))</f>
        <v>28</v>
      </c>
      <c r="E140" s="301"/>
      <c r="F140" s="301"/>
      <c r="G140" s="301"/>
      <c r="H140" s="228"/>
      <c r="I140" s="228"/>
      <c r="J140" s="228"/>
      <c r="K140" s="318"/>
      <c r="L140" s="118"/>
      <c r="M140" s="118"/>
      <c r="N140" s="102"/>
      <c r="O140" s="118"/>
      <c r="P140" s="118"/>
      <c r="Q140" s="118"/>
      <c r="R140" s="118"/>
      <c r="S140" s="118"/>
      <c r="T140" s="118"/>
      <c r="U140" s="118"/>
      <c r="V140" s="118"/>
    </row>
    <row r="141" outlineLevel="1">
      <c r="A141" s="146"/>
      <c r="B141" s="300" t="s">
        <v>249</v>
      </c>
      <c r="C141" s="309" t="str">
        <f t="array" ref="C141">INDEX('転倒'!$M$3:$P$115, MATCH($A$1,'転倒'!$A$3:$A$115,0), MATCH(C115,'転倒'!$M$2:$AC$2,0))</f>
        <v>1-7</v>
      </c>
      <c r="D141" s="310">
        <f t="array" ref="D141">INDEX('転倒'!$M$3:$P$115, MATCH($A$1,'転倒'!$A$3:$A$115,0), MATCH(D115,'転倒'!$M$2:$AC$2,0))</f>
        <v>49</v>
      </c>
      <c r="E141" s="307" t="str">
        <f t="array" ref="E141">INDEX('転倒'!$M$3:$P$115, MATCH($A$1,'転倒'!$A$3:$A$115,0), MATCH(E115,'転倒'!$M$2:$AC$2,0))</f>
        <v>16-17</v>
      </c>
      <c r="F141" s="308">
        <f t="array" ref="F141">INDEX('転倒'!$M$3:$P$115, MATCH($A$1,'転倒'!$A$3:$A$115,0), MATCH(F115,'転倒'!$M$2:$AC$2,0))</f>
        <v>5</v>
      </c>
      <c r="G141" s="113">
        <f t="shared" ref="G141:G142" si="4">F141*1.2</f>
        <v>6</v>
      </c>
      <c r="H141" s="228"/>
      <c r="I141" s="228"/>
      <c r="J141" s="228"/>
      <c r="K141" s="118"/>
      <c r="L141" s="118"/>
      <c r="M141" s="118"/>
      <c r="N141" s="102"/>
      <c r="O141" s="102"/>
      <c r="P141" s="102"/>
      <c r="Q141" s="102"/>
      <c r="R141" s="118"/>
      <c r="S141" s="118"/>
      <c r="T141" s="118"/>
      <c r="U141" s="118"/>
      <c r="V141" s="118"/>
    </row>
    <row r="142" outlineLevel="1">
      <c r="A142" s="156"/>
      <c r="B142" s="311" t="s">
        <v>250</v>
      </c>
      <c r="C142" s="156"/>
      <c r="D142" s="156"/>
      <c r="E142" s="307" t="str">
        <f t="array" ref="E142">INDEX('転倒'!$Q$3:$R$115, MATCH($A$1,'転倒'!$A$3:$A$115,0), MATCH(E115,'転倒'!$Q$2:$AC$2,0))</f>
        <v>24-25</v>
      </c>
      <c r="F142" s="308">
        <f t="array" ref="F142">INDEX('転倒'!$Q$3:$R$115, MATCH($A$1,'転倒'!$A$3:$A$115,0), MATCH(F115,'転倒'!$Q$2:$AC$2,0))</f>
        <v>5</v>
      </c>
      <c r="G142" s="113">
        <f t="shared" si="4"/>
        <v>6</v>
      </c>
      <c r="H142" s="228"/>
      <c r="I142" s="228"/>
      <c r="J142" s="228"/>
      <c r="K142" s="118"/>
      <c r="L142" s="118"/>
      <c r="M142" s="118"/>
      <c r="N142" s="102"/>
      <c r="O142" s="102"/>
      <c r="P142" s="102"/>
      <c r="Q142" s="102"/>
      <c r="R142" s="118"/>
      <c r="S142" s="118"/>
      <c r="T142" s="118"/>
      <c r="U142" s="118"/>
      <c r="V142" s="118"/>
    </row>
    <row r="143" outlineLevel="1">
      <c r="A143" s="319"/>
      <c r="B143" s="320"/>
      <c r="C143" s="321"/>
      <c r="D143" s="321"/>
      <c r="E143" s="322"/>
      <c r="F143" s="322"/>
      <c r="G143" s="114"/>
      <c r="H143" s="228"/>
      <c r="I143" s="228"/>
      <c r="J143" s="228"/>
      <c r="K143" s="118"/>
      <c r="L143" s="118"/>
      <c r="M143" s="118"/>
      <c r="N143" s="102"/>
      <c r="O143" s="102"/>
      <c r="P143" s="102"/>
      <c r="Q143" s="102"/>
      <c r="R143" s="118"/>
      <c r="S143" s="118"/>
      <c r="T143" s="118"/>
      <c r="U143" s="118"/>
      <c r="V143" s="118"/>
    </row>
    <row r="144" outlineLevel="1">
      <c r="A144" s="323" t="s">
        <v>255</v>
      </c>
      <c r="B144" s="109"/>
      <c r="C144" s="321"/>
      <c r="D144" s="321"/>
      <c r="E144" s="322"/>
      <c r="F144" s="322"/>
      <c r="G144" s="114"/>
      <c r="H144" s="228"/>
      <c r="I144" s="228"/>
      <c r="J144" s="228"/>
      <c r="K144" s="118"/>
      <c r="L144" s="118"/>
      <c r="M144" s="118"/>
      <c r="N144" s="102"/>
      <c r="O144" s="102"/>
      <c r="P144" s="102"/>
      <c r="Q144" s="102"/>
      <c r="R144" s="118"/>
      <c r="S144" s="118"/>
      <c r="T144" s="118"/>
      <c r="U144" s="118"/>
      <c r="V144" s="118"/>
    </row>
    <row r="145" outlineLevel="1">
      <c r="A145" s="324" t="s">
        <v>256</v>
      </c>
      <c r="B145" s="109"/>
      <c r="C145" s="325" t="s">
        <v>257</v>
      </c>
      <c r="D145" s="325" t="s">
        <v>49</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258</v>
      </c>
      <c r="B146" s="327" t="s">
        <v>216</v>
      </c>
      <c r="C146" s="328" t="str">
        <f t="array" ref="C146">INDEX('アイテム'!$C$3:$D$114, MATCH($A$1,'アイテム'!$A$3:$A$114,0), MATCH(C145,'アイテム'!$C$2:$AQ$2,0))</f>
        <v>2</v>
      </c>
      <c r="D146" s="328">
        <f t="array" ref="D146">INDEX('アイテム'!$C$3:$D$114, MATCH($A$1,'アイテム'!$A$3:$A$114,0), MATCH(D145,'アイテム'!$C$2:$AQ$2,0))</f>
        <v>7</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219</v>
      </c>
      <c r="C147" s="328" t="str">
        <f t="array" ref="C147">INDEX('アイテム'!$E$3:$F$114, MATCH($A$1,'アイテム'!$A$3:$A$114,0), MATCH(C145,'アイテム'!$C$2:$AQ$2,0))</f>
        <v>2</v>
      </c>
      <c r="D147" s="328">
        <f t="array" ref="D147">INDEX('アイテム'!$E$3:$F$114, MATCH($A$1,'アイテム'!$A$3:$A$114,0), MATCH(D145,'アイテム'!$C$2:$AQ$2,0))</f>
        <v>19</v>
      </c>
      <c r="E147" s="322"/>
      <c r="F147" s="322"/>
      <c r="G147" s="114"/>
      <c r="H147" s="228"/>
      <c r="I147" s="228"/>
      <c r="J147" s="228"/>
      <c r="K147" s="118"/>
      <c r="L147" s="118"/>
      <c r="M147" s="118"/>
      <c r="N147" s="102"/>
      <c r="O147" s="102"/>
      <c r="P147" s="102"/>
      <c r="Q147" s="102"/>
      <c r="R147" s="118"/>
      <c r="S147" s="118"/>
      <c r="T147" s="118"/>
      <c r="U147" s="118"/>
      <c r="V147" s="118"/>
    </row>
    <row r="148" outlineLevel="1">
      <c r="A148" s="329" t="s">
        <v>259</v>
      </c>
      <c r="B148" s="327" t="s">
        <v>216</v>
      </c>
      <c r="C148" s="328">
        <f t="array" ref="C148">INDEX('アイテム'!$AA$3:$AB$114, MATCH($A$1,'アイテム'!$A$3:$A$114,0), MATCH(C145,'アイテム'!$C$2:$AQ$2,0))</f>
        <v>3</v>
      </c>
      <c r="D148" s="328" t="str">
        <f t="array" ref="D148">INDEX('アイテム'!$AA$3:$AB$114, MATCH($A$1,'アイテム'!$A$3:$A$114,0), MATCH(D145,'アイテム'!$C$2:$AQ$2,0))</f>
        <v>12</v>
      </c>
      <c r="E148" s="322"/>
      <c r="F148" s="322"/>
      <c r="G148" s="114"/>
      <c r="H148" s="228"/>
      <c r="I148" s="228"/>
      <c r="J148" s="228"/>
      <c r="K148" s="118"/>
      <c r="L148" s="118"/>
      <c r="M148" s="118"/>
      <c r="N148" s="102"/>
      <c r="O148" s="102"/>
      <c r="P148" s="102"/>
      <c r="Q148" s="102"/>
      <c r="R148" s="118"/>
      <c r="S148" s="118"/>
      <c r="T148" s="118"/>
      <c r="U148" s="118"/>
      <c r="V148" s="118"/>
    </row>
    <row r="149" outlineLevel="1">
      <c r="A149" s="324" t="s">
        <v>260</v>
      </c>
      <c r="B149" s="109"/>
      <c r="C149" s="325" t="s">
        <v>261</v>
      </c>
      <c r="D149" s="325" t="s">
        <v>49</v>
      </c>
      <c r="E149" s="322"/>
      <c r="F149" s="322"/>
      <c r="G149" s="114"/>
      <c r="H149" s="228"/>
      <c r="I149" s="228"/>
      <c r="J149" s="228"/>
      <c r="K149" s="118"/>
      <c r="L149" s="118"/>
      <c r="M149" s="118"/>
      <c r="N149" s="102"/>
      <c r="O149" s="102"/>
      <c r="P149" s="102"/>
      <c r="Q149" s="102"/>
      <c r="R149" s="118"/>
      <c r="S149" s="118"/>
      <c r="T149" s="118"/>
      <c r="U149" s="118"/>
      <c r="V149" s="118"/>
    </row>
    <row r="150" outlineLevel="1">
      <c r="A150" s="326" t="s">
        <v>262</v>
      </c>
      <c r="B150" s="327" t="s">
        <v>226</v>
      </c>
      <c r="C150" s="328" t="str">
        <f t="array" ref="C150">INDEX('アイテム'!$G$3:$H$114, MATCH($A$1,'アイテム'!$A$3:$A$114,0), MATCH(C145,'アイテム'!$C$2:$AQ$2,0))</f>
        <v>8</v>
      </c>
      <c r="D150" s="328">
        <f t="array" ref="D150">INDEX('アイテム'!$G$3:$H$114, MATCH($A$1,'アイテム'!$A$3:$A$114,0), MATCH(D145,'アイテム'!$C$2:$AQ$2,0))</f>
        <v>24</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229</v>
      </c>
      <c r="C151" s="328" t="str">
        <f t="array" ref="C151">INDEX('アイテム'!$I$3:$J$114, MATCH($A$1,'アイテム'!$A$3:$A$114,0), MATCH(C145,'アイテム'!$C$2:$AQ$2,0))</f>
        <v>11</v>
      </c>
      <c r="D151" s="328">
        <f t="array" ref="D151">INDEX('アイテム'!$I$3:$J$114, MATCH($A$1,'アイテム'!$A$3:$A$114,0), MATCH(D145,'アイテム'!$C$2:$AQ$2,0))</f>
        <v>24</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233</v>
      </c>
      <c r="C152" s="328" t="str">
        <f t="array" ref="C152">INDEX('アイテム'!$K$3:$L$114, MATCH($A$1,'アイテム'!$A$3:$A$114,0), MATCH(C145,'アイテム'!$C$2:$AQ$2,0))</f>
        <v>12</v>
      </c>
      <c r="D152" s="328">
        <f t="array" ref="D152">INDEX('アイテム'!$K$3:$L$114, MATCH($A$1,'アイテム'!$A$3:$A$114,0), MATCH(D145,'アイテム'!$C$2:$AQ$2,0))</f>
        <v>23</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234</v>
      </c>
      <c r="C153" s="328" t="str">
        <f t="array" ref="C153">INDEX('アイテム'!$M$3:$N$114, MATCH($A$1,'アイテム'!$A$3:$A$114,0), MATCH(C145,'アイテム'!$C$2:$AQ$2,0))</f>
        <v>7</v>
      </c>
      <c r="D153" s="328">
        <f t="array" ref="D153">INDEX('アイテム'!$M$3:$N$114, MATCH($A$1,'アイテム'!$A$3:$A$114,0), MATCH(D145,'アイテム'!$C$2:$AQ$2,0))</f>
        <v>19</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219</v>
      </c>
      <c r="C154" s="328" t="str">
        <f t="array" ref="C154">INDEX('アイテム'!$O$3:$P$114, MATCH($A$1,'アイテム'!$A$3:$A$114,0), MATCH(C145,'アイテム'!$C$2:$AQ$2,0))</f>
        <v>5</v>
      </c>
      <c r="D154" s="328">
        <f t="array" ref="D154">INDEX('アイテム'!$O$3:$P$114, MATCH($A$1,'アイテム'!$A$3:$A$114,0), MATCH(D145,'アイテム'!$C$2:$AQ$2,0))</f>
        <v>29</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263</v>
      </c>
      <c r="C155" s="328" t="str">
        <f t="array" ref="C155">INDEX('アイテム'!$Q$3:$R$114, MATCH($A$1,'アイテム'!$A$3:$A$114,0), MATCH(C145,'アイテム'!$C$2:$AQ$2,0))</f>
        <v>6</v>
      </c>
      <c r="D155" s="328">
        <f t="array" ref="D155">INDEX('アイテム'!$Q$3:$R$114, MATCH($A$1,'アイテム'!$A$3:$A$114,0), MATCH(D145,'アイテム'!$C$2:$AQ$2,0))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326" t="s">
        <v>264</v>
      </c>
      <c r="B156" s="327" t="s">
        <v>226</v>
      </c>
      <c r="C156" s="328" t="str">
        <f t="array" ref="C156">INDEX('アイテム'!$S$3:$T$114, MATCH($A$1,'アイテム'!$A$3:$A$114,0), MATCH(C145,'アイテム'!$C$2:$AQ$2,0))</f>
        <v>8</v>
      </c>
      <c r="D156" s="328">
        <f t="array" ref="D156">INDEX('アイテム'!$S$3:$T$114, MATCH($A$1,'アイテム'!$A$3:$A$114,0), MATCH(D145,'アイテム'!$C$2:$AQ$2,0))</f>
        <v>24</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229</v>
      </c>
      <c r="C157" s="328" t="str">
        <f t="array" ref="C157">INDEX('アイテム'!$U$3:$V$114, MATCH($A$1,'アイテム'!$A$3:$A$114,0), MATCH(C145,'アイテム'!$C$2:$AQ$2,0))</f>
        <v>11</v>
      </c>
      <c r="D157" s="328">
        <f t="array" ref="D157">INDEX('アイテム'!$U$3:$V$114, MATCH($A$1,'アイテム'!$A$3:$A$114,0), MATCH(D145,'アイテム'!$C$2:$AQ$2,0))</f>
        <v>24</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233</v>
      </c>
      <c r="C158" s="328" t="str">
        <f t="array" ref="C158">INDEX('アイテム'!$W$3:$X$114, MATCH($A$1,'アイテム'!$A$3:$A$114,0), MATCH(C145,'アイテム'!$C$2:$AQ$2,0))</f>
        <v>12</v>
      </c>
      <c r="D158" s="328">
        <f t="array" ref="D158">INDEX('アイテム'!$W$3:$X$114, MATCH($A$1,'アイテム'!$A$3:$A$114,0), MATCH(D145,'アイテム'!$C$2:$AQ$2,0))</f>
        <v>23</v>
      </c>
      <c r="E158" s="322"/>
      <c r="F158" s="322"/>
      <c r="G158" s="114"/>
      <c r="H158" s="228"/>
      <c r="I158" s="228"/>
      <c r="J158" s="228"/>
      <c r="K158" s="118"/>
      <c r="L158" s="118"/>
      <c r="M158" s="118"/>
      <c r="N158" s="102"/>
      <c r="O158" s="102"/>
      <c r="P158" s="102"/>
      <c r="Q158" s="102"/>
      <c r="R158" s="118"/>
      <c r="S158" s="118"/>
      <c r="T158" s="118"/>
      <c r="U158" s="118"/>
      <c r="V158" s="118"/>
    </row>
    <row r="159" outlineLevel="1">
      <c r="A159" s="156"/>
      <c r="B159" s="327" t="s">
        <v>234</v>
      </c>
      <c r="C159" s="328" t="str">
        <f t="array" ref="C159">INDEX('アイテム'!$Y$3:$Z$114, MATCH($A$1,'アイテム'!$A$3:$A$114,0), MATCH(C145,'アイテム'!$C$2:$AQ$2,0))</f>
        <v>7</v>
      </c>
      <c r="D159" s="328">
        <f t="array" ref="D159">INDEX('アイテム'!$Y$3:$Z$114, MATCH($A$1,'アイテム'!$A$3:$A$114,0), MATCH(D145,'アイテム'!$C$2:$AQ$2,0))</f>
        <v>19</v>
      </c>
      <c r="E159" s="322"/>
      <c r="F159" s="322"/>
      <c r="G159" s="114"/>
      <c r="H159" s="228"/>
      <c r="I159" s="228"/>
      <c r="J159" s="228"/>
      <c r="K159" s="118"/>
      <c r="L159" s="118"/>
      <c r="M159" s="118"/>
      <c r="N159" s="102"/>
      <c r="O159" s="102"/>
      <c r="P159" s="102"/>
      <c r="Q159" s="102"/>
      <c r="R159" s="118"/>
      <c r="S159" s="118"/>
      <c r="T159" s="118"/>
      <c r="U159" s="118"/>
      <c r="V159" s="118"/>
    </row>
    <row r="160" outlineLevel="1">
      <c r="A160" s="326" t="s">
        <v>265</v>
      </c>
      <c r="B160" s="327" t="s">
        <v>226</v>
      </c>
      <c r="C160" s="328">
        <f t="array" ref="C160">INDEX('アイテム'!$AC$3:$AD$114, MATCH($A$1,'アイテム'!$A$3:$A$114,0), MATCH(C145,'アイテム'!$C$2:$AQ$2,0))</f>
        <v>14</v>
      </c>
      <c r="D160" s="328" t="str">
        <f t="array" ref="D160">INDEX('アイテム'!$AC$3:$AD$114, MATCH($A$1,'アイテム'!$A$3:$A$114,0), MATCH(D145,'アイテム'!$C$2:$AQ$2,0))</f>
        <v>30</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229</v>
      </c>
      <c r="C161" s="328">
        <f t="array" ref="C161">INDEX('アイテム'!$AE$3:$AF$114, MATCH($A$1,'アイテム'!$A$3:$A$114,0), MATCH(C145,'アイテム'!$C$2:$AQ$2,0))</f>
        <v>15</v>
      </c>
      <c r="D161" s="328" t="str">
        <f t="array" ref="D161">INDEX('アイテム'!$AE$3:$AF$114, MATCH($A$1,'アイテム'!$A$3:$A$114,0), MATCH(D145,'アイテム'!$C$2:$AQ$2,0))</f>
        <v>30</v>
      </c>
      <c r="E161" s="322"/>
      <c r="F161" s="322"/>
      <c r="G161" s="114"/>
      <c r="H161" s="228"/>
      <c r="I161" s="228"/>
      <c r="J161" s="228"/>
      <c r="K161" s="118"/>
      <c r="L161" s="118"/>
      <c r="M161" s="118"/>
      <c r="N161" s="102"/>
      <c r="O161" s="102"/>
      <c r="P161" s="102"/>
      <c r="Q161" s="102"/>
      <c r="R161" s="118"/>
      <c r="S161" s="118"/>
      <c r="T161" s="118"/>
      <c r="U161" s="118"/>
      <c r="V161" s="118"/>
    </row>
    <row r="162" outlineLevel="1">
      <c r="A162" s="146"/>
      <c r="B162" s="327" t="s">
        <v>233</v>
      </c>
      <c r="C162" s="328">
        <f t="array" ref="C162">INDEX('アイテム'!$AG$3:$AH$114, MATCH($A$1,'アイテム'!$A$3:$A$114,0), MATCH(C145,'アイテム'!$C$2:$AQ$2,0))</f>
        <v>11</v>
      </c>
      <c r="D162" s="328" t="str">
        <f t="array" ref="D162">INDEX('アイテム'!$AG$3:$AH$114, MATCH($A$1,'アイテム'!$A$3:$A$114,0), MATCH(D145,'アイテム'!$C$2:$AQ$2,0))</f>
        <v>22</v>
      </c>
      <c r="E162" s="322"/>
      <c r="F162" s="322"/>
      <c r="G162" s="114"/>
      <c r="H162" s="228"/>
      <c r="I162" s="228"/>
      <c r="J162" s="228"/>
      <c r="K162" s="118"/>
      <c r="L162" s="118"/>
      <c r="M162" s="118"/>
      <c r="N162" s="102"/>
      <c r="O162" s="102"/>
      <c r="P162" s="102"/>
      <c r="Q162" s="102"/>
      <c r="R162" s="118"/>
      <c r="S162" s="118"/>
      <c r="T162" s="118"/>
      <c r="U162" s="118"/>
      <c r="V162" s="118"/>
    </row>
    <row r="163" outlineLevel="1">
      <c r="A163" s="156"/>
      <c r="B163" s="327" t="s">
        <v>234</v>
      </c>
      <c r="C163" s="328">
        <f t="array" ref="C163">INDEX('アイテム'!$AI$3:$AJ$114, MATCH($A$1,'アイテム'!$A$3:$A$114,0), MATCH(C145,'アイテム'!$C$2:$AQ$2,0))</f>
        <v>9</v>
      </c>
      <c r="D163" s="328" t="str">
        <f t="array" ref="D163">INDEX('アイテム'!$AI$3:$AJ$114, MATCH($A$1,'アイテム'!$A$3:$A$114,0), MATCH(D145,'アイテム'!$C$2:$AQ$2,0))</f>
        <v>22</v>
      </c>
      <c r="E163" s="322"/>
      <c r="F163" s="322"/>
      <c r="G163" s="114"/>
      <c r="H163" s="228"/>
      <c r="I163" s="228"/>
      <c r="J163" s="228"/>
      <c r="K163" s="118"/>
      <c r="L163" s="118"/>
      <c r="M163" s="118"/>
      <c r="N163" s="102"/>
      <c r="O163" s="102"/>
      <c r="P163" s="102"/>
      <c r="Q163" s="102"/>
      <c r="R163" s="118"/>
      <c r="S163" s="118"/>
      <c r="T163" s="118"/>
      <c r="U163" s="118"/>
      <c r="V163" s="118"/>
    </row>
  </sheetData>
  <mergeCells count="148">
    <mergeCell ref="H42:J45"/>
    <mergeCell ref="H46:J46"/>
    <mergeCell ref="H35:J35"/>
    <mergeCell ref="H36:J36"/>
    <mergeCell ref="H37:J39"/>
    <mergeCell ref="U37:U39"/>
    <mergeCell ref="H40:J41"/>
    <mergeCell ref="U40:U41"/>
    <mergeCell ref="U42:U45"/>
    <mergeCell ref="D37:D39"/>
    <mergeCell ref="D40:D41"/>
    <mergeCell ref="H26:J26"/>
    <mergeCell ref="H27:J27"/>
    <mergeCell ref="H28:J28"/>
    <mergeCell ref="H29:J30"/>
    <mergeCell ref="H31:J31"/>
    <mergeCell ref="H32:J34"/>
    <mergeCell ref="U32:U34"/>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D32:D34"/>
    <mergeCell ref="D42:D45"/>
    <mergeCell ref="D50:D52"/>
    <mergeCell ref="D57:D58"/>
    <mergeCell ref="A24:B25"/>
    <mergeCell ref="A26:A31"/>
    <mergeCell ref="D29:D30"/>
    <mergeCell ref="A32:A34"/>
    <mergeCell ref="A37:A39"/>
    <mergeCell ref="A40:A41"/>
    <mergeCell ref="A42:A45"/>
    <mergeCell ref="I57:I58"/>
    <mergeCell ref="J57:J58"/>
    <mergeCell ref="U67:U70"/>
    <mergeCell ref="U72:U77"/>
    <mergeCell ref="V72:V77"/>
    <mergeCell ref="U79:U84"/>
    <mergeCell ref="V79:V84"/>
    <mergeCell ref="U86:U88"/>
    <mergeCell ref="V86:V88"/>
    <mergeCell ref="R49:V49"/>
    <mergeCell ref="R50:V52"/>
    <mergeCell ref="R53:V56"/>
    <mergeCell ref="R57:V58"/>
    <mergeCell ref="R59:V60"/>
    <mergeCell ref="R61:V63"/>
    <mergeCell ref="V67:V70"/>
    <mergeCell ref="G99:J100"/>
    <mergeCell ref="G101:J102"/>
    <mergeCell ref="H72:J77"/>
    <mergeCell ref="H78:J78"/>
    <mergeCell ref="H79:J84"/>
    <mergeCell ref="H85:J85"/>
    <mergeCell ref="H86:J88"/>
    <mergeCell ref="G96:J96"/>
    <mergeCell ref="G97:J98"/>
    <mergeCell ref="A106:B107"/>
    <mergeCell ref="A108:A110"/>
    <mergeCell ref="A114:B115"/>
    <mergeCell ref="K115:L115"/>
    <mergeCell ref="K116:K117"/>
    <mergeCell ref="K118:L118"/>
    <mergeCell ref="K119:K124"/>
    <mergeCell ref="K135:L135"/>
    <mergeCell ref="K138:L138"/>
    <mergeCell ref="K125:K128"/>
    <mergeCell ref="C128:C129"/>
    <mergeCell ref="D128:D129"/>
    <mergeCell ref="K129:L129"/>
    <mergeCell ref="K131:K134"/>
    <mergeCell ref="C134:C135"/>
    <mergeCell ref="D134:D135"/>
    <mergeCell ref="A144:B144"/>
    <mergeCell ref="A145:B145"/>
    <mergeCell ref="A146:A147"/>
    <mergeCell ref="A149:B149"/>
    <mergeCell ref="A150:A155"/>
    <mergeCell ref="A156:A159"/>
    <mergeCell ref="A160:A163"/>
    <mergeCell ref="A111:A112"/>
    <mergeCell ref="A121:A123"/>
    <mergeCell ref="A124:A129"/>
    <mergeCell ref="A130:A135"/>
    <mergeCell ref="A136:A142"/>
    <mergeCell ref="C141:C142"/>
    <mergeCell ref="D141:D142"/>
    <mergeCell ref="A48:B49"/>
    <mergeCell ref="A50:A52"/>
    <mergeCell ref="I50:I52"/>
    <mergeCell ref="J50:J52"/>
    <mergeCell ref="D53:D56"/>
    <mergeCell ref="I53:I56"/>
    <mergeCell ref="J53:J56"/>
    <mergeCell ref="D67:D68"/>
    <mergeCell ref="D69:D70"/>
    <mergeCell ref="D81:D82"/>
    <mergeCell ref="D97:D98"/>
    <mergeCell ref="D99:D100"/>
    <mergeCell ref="D101:D102"/>
    <mergeCell ref="D103:D104"/>
    <mergeCell ref="A53:A56"/>
    <mergeCell ref="A57:A58"/>
    <mergeCell ref="A59:A60"/>
    <mergeCell ref="D59:D60"/>
    <mergeCell ref="D61:D63"/>
    <mergeCell ref="A65:B65"/>
    <mergeCell ref="A66:B66"/>
    <mergeCell ref="I59:I60"/>
    <mergeCell ref="J59:J60"/>
    <mergeCell ref="I61:I63"/>
    <mergeCell ref="J61:J63"/>
    <mergeCell ref="H66:J66"/>
    <mergeCell ref="H67:J70"/>
    <mergeCell ref="H71:J71"/>
    <mergeCell ref="A61:A63"/>
    <mergeCell ref="A67:A70"/>
    <mergeCell ref="A71:B71"/>
    <mergeCell ref="A72:A73"/>
    <mergeCell ref="A74:A75"/>
    <mergeCell ref="A76:A77"/>
    <mergeCell ref="A78:B78"/>
    <mergeCell ref="A99:A100"/>
    <mergeCell ref="A101:A102"/>
    <mergeCell ref="A103:A104"/>
    <mergeCell ref="G103:J104"/>
    <mergeCell ref="A79:A84"/>
    <mergeCell ref="A85:B85"/>
    <mergeCell ref="A86:A88"/>
    <mergeCell ref="A90:B91"/>
    <mergeCell ref="A93:A95"/>
    <mergeCell ref="A96:B96"/>
    <mergeCell ref="A97:A98"/>
    <mergeCell ref="A116:A120"/>
  </mergeCells>
  <conditionalFormatting sqref="K1:K15 K17:K96 C99 E99:F99 C101 E101:F101 O104 K105:K139">
    <cfRule type="containsText" dxfId="0" priority="1" operator="containsText" text="361">
      <formula>NOT(ISERROR(SEARCH(("361"),(K1))))</formula>
    </cfRule>
  </conditionalFormatting>
  <conditionalFormatting sqref="K1:K15 K17:K96 C99 E99:F99 C101 E101:F101 O104 K105:K139">
    <cfRule type="containsText" dxfId="1" priority="2" operator="containsText" text="363">
      <formula>NOT(ISERROR(SEARCH(("363"),(K1))))</formula>
    </cfRule>
  </conditionalFormatting>
  <conditionalFormatting sqref="K1:K15 K17:K96 C99 E99:F99 C101 E101:F101 O104 K105:K139">
    <cfRule type="containsText" dxfId="1" priority="3" operator="containsText" text="365">
      <formula>NOT(ISERROR(SEARCH(("365"),(K1))))</formula>
    </cfRule>
  </conditionalFormatting>
  <conditionalFormatting sqref="K1:K15 K17:K96 C99 E99:F99 C101 E101:F101 O104 K105:K139">
    <cfRule type="containsText" dxfId="1" priority="4" operator="containsText" text="366">
      <formula>NOT(ISERROR(SEARCH(("366"),(K1))))</formula>
    </cfRule>
  </conditionalFormatting>
  <conditionalFormatting sqref="K1:K15 K17:K96 C99 E99:F99 C101 E101:F101 O104 K105:K139">
    <cfRule type="containsText" dxfId="1" priority="5" operator="containsText" text="367">
      <formula>NOT(ISERROR(SEARCH(("367"),(K1))))</formula>
    </cfRule>
  </conditionalFormatting>
  <conditionalFormatting sqref="D72 D74 C76:C77 E76:G77 K76:T77 D79:D80 K82:T84 C83:C84 E83:G84 E86:G86 K86:T86 D87:D88 O97:O104">
    <cfRule type="cellIs" dxfId="2" priority="6" operator="equal">
      <formula>"敵のみ"</formula>
    </cfRule>
  </conditionalFormatting>
  <conditionalFormatting sqref="C97:C104">
    <cfRule type="cellIs" dxfId="3" priority="7" operator="equal">
      <formula>"-"</formula>
    </cfRule>
  </conditionalFormatting>
  <conditionalFormatting sqref="O1:O96 D72 D74 C76:C77 E76:G77 K76:N77 P76:T77 D79:D80 K82:N84 P82:T84 C83:C84 E83:G84 E86:G86 K86:N86 P86:T86 D87:D88 N97:N104 C99 E99:F99 K99:M99 O99:P99 C101 E101:F101 K101:M101 O101:P101 O104:O163">
    <cfRule type="cellIs" dxfId="4" priority="8" operator="greaterThan">
      <formula>0</formula>
    </cfRule>
  </conditionalFormatting>
  <conditionalFormatting sqref="P1:P163 Q1:Q96 D72 D74 C76:C77 E76:G77 K76:O77 R76:T77 D79:D80 K82:O84 R82:T84 C83:C84 E83:G84 E86:G86 K86:O86 R86:T86 D87:D88 O97:O104 Q105:Q163">
    <cfRule type="cellIs" dxfId="5" priority="9" operator="lessThan">
      <formula>1</formula>
    </cfRule>
  </conditionalFormatting>
  <conditionalFormatting sqref="P1:P163 Q1:Q96 D72 D74 C76:C77 E76:G77 K76:O77 R76:T77 D79:D80 K82:O84 R82:T84 C83:C84 E83:G84 E86:G86 K86:O86 R86:T86 D87:D88 O97:O104 Q105:Q163">
    <cfRule type="cellIs" dxfId="4" priority="10" operator="greaterThan">
      <formula>1</formula>
    </cfRule>
  </conditionalFormatting>
  <conditionalFormatting sqref="N25:N96 D72 D74 D79:D80 K82:M84 O82:T84 C83:C84 E83:G84 E86:G86 K86:M86 O86:T86 D87:D88 M97:M104">
    <cfRule type="cellIs" dxfId="6" priority="11" operator="greaterThan">
      <formula>0</formula>
    </cfRule>
  </conditionalFormatting>
  <conditionalFormatting sqref="N1:N15 N17:N96 D72 D74 D79:D80 K82:M84 O82:T84 C83:C84 E83:G84 E86:G86 K86:M86 O86:T86 D87:D88 M97:M104 N105:N163">
    <cfRule type="containsText" dxfId="6" priority="12" operator="containsText" text="/">
      <formula>NOT(ISERROR(SEARCH(("/"),(N1))))</formula>
    </cfRule>
  </conditionalFormatting>
  <drawing r:id="rId2"/>
  <legacyDrawing r:id="rId3"/>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9613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656">
        <v>59.0</v>
      </c>
      <c r="B1" s="2657"/>
      <c r="C1" s="2658" t="str">
        <f>IMAGE(VLOOKUP($A$1,Fighters!A2:AI114,12,FALSE),1)</f>
        <v>#REF!</v>
      </c>
      <c r="D1" s="2659"/>
      <c r="E1" s="2659"/>
      <c r="F1" s="2659"/>
      <c r="G1" s="2660"/>
      <c r="H1" s="2661"/>
      <c r="I1" s="2659"/>
      <c r="J1" s="2660"/>
      <c r="K1" s="2662"/>
      <c r="L1" s="2659"/>
      <c r="M1" s="2660"/>
      <c r="N1" s="2663"/>
      <c r="O1" s="2663"/>
      <c r="P1" s="2663"/>
      <c r="Q1" s="2663"/>
      <c r="R1" s="2664"/>
      <c r="S1" s="2664"/>
      <c r="T1" s="2664"/>
      <c r="U1" s="2664"/>
      <c r="V1" s="2664"/>
    </row>
    <row r="2">
      <c r="A2" s="2665" t="str">
        <f>VLOOKUP($A$1,Fighters!$A$2:$AI$81,6,FALSE)</f>
        <v>#b9613b</v>
      </c>
      <c r="B2" s="2657"/>
      <c r="C2" s="2666"/>
      <c r="G2" s="2667"/>
      <c r="H2" s="2668"/>
      <c r="I2" s="2669"/>
      <c r="J2" s="2670"/>
      <c r="K2" s="2668"/>
      <c r="L2" s="2669"/>
      <c r="M2" s="2670"/>
      <c r="N2" s="2663"/>
      <c r="O2" s="2663"/>
      <c r="P2" s="2663"/>
      <c r="Q2" s="2663"/>
      <c r="R2" s="2664"/>
      <c r="S2" s="2664"/>
      <c r="T2" s="2664"/>
      <c r="U2" s="2664"/>
      <c r="V2" s="2664"/>
    </row>
    <row r="3">
      <c r="A3" s="2665" t="str">
        <f>VLOOKUP($A$1,Fighters!$A$2:$AI$81,14,FALSE)</f>
        <v>59. ダックハント</v>
      </c>
      <c r="B3" s="2657"/>
      <c r="C3" s="2666"/>
      <c r="G3" s="2667"/>
      <c r="H3" s="2671"/>
      <c r="I3" s="2671"/>
      <c r="J3" s="2671"/>
      <c r="K3" s="2672"/>
      <c r="L3" s="2672"/>
      <c r="M3" s="2672"/>
      <c r="N3" s="2663"/>
      <c r="O3" s="2663"/>
      <c r="P3" s="2663"/>
      <c r="Q3" s="2663"/>
      <c r="R3" s="2673"/>
      <c r="S3" s="2664"/>
      <c r="T3" s="2664"/>
      <c r="U3" s="2664"/>
      <c r="V3" s="2664"/>
    </row>
    <row r="4">
      <c r="A4" s="2665" t="str">
        <f>VLOOKUP($A$1,Fighters!$A$2:$AI$81,13,FALSE)</f>
        <v>0</v>
      </c>
      <c r="B4" s="2657"/>
      <c r="C4" s="2666"/>
      <c r="G4" s="2667"/>
      <c r="H4" s="2674"/>
      <c r="I4" s="2674"/>
      <c r="J4" s="2671"/>
      <c r="K4" s="2672"/>
      <c r="L4" s="2672"/>
      <c r="M4" s="2672"/>
      <c r="N4" s="2663"/>
      <c r="O4" s="2663"/>
      <c r="P4" s="2663"/>
      <c r="Q4" s="2663"/>
      <c r="R4" s="2673"/>
      <c r="S4" s="2664"/>
      <c r="T4" s="2664"/>
      <c r="U4" s="2664"/>
      <c r="V4" s="2664"/>
    </row>
    <row r="5" ht="16.5" customHeight="1">
      <c r="A5" s="2656"/>
      <c r="B5" s="2657"/>
      <c r="C5" s="2666"/>
      <c r="G5" s="2667"/>
      <c r="H5" s="2675"/>
      <c r="I5" s="2675"/>
      <c r="J5" s="2676"/>
      <c r="K5" s="2677"/>
      <c r="L5" s="2678"/>
      <c r="M5" s="2678"/>
      <c r="N5" s="2663"/>
      <c r="O5" s="2663"/>
      <c r="P5" s="2663"/>
      <c r="Q5" s="2663"/>
      <c r="R5" s="2673"/>
      <c r="S5" s="2664"/>
      <c r="T5" s="2664"/>
      <c r="U5" s="2664"/>
      <c r="V5" s="2664"/>
    </row>
    <row r="6">
      <c r="A6" s="2657"/>
      <c r="B6" s="2657"/>
      <c r="C6" s="2666"/>
      <c r="G6" s="2667"/>
      <c r="H6" s="2674"/>
      <c r="I6" s="2679" t="s">
        <v>39</v>
      </c>
      <c r="J6" s="2677"/>
      <c r="K6" s="2680"/>
      <c r="L6" s="2678"/>
      <c r="M6" s="2678"/>
      <c r="N6" s="2663"/>
      <c r="O6" s="2663"/>
      <c r="P6" s="2663"/>
      <c r="Q6" s="2663"/>
      <c r="R6" s="2673"/>
      <c r="S6" s="2664"/>
      <c r="T6" s="2664"/>
      <c r="U6" s="2664"/>
      <c r="V6" s="2664"/>
    </row>
    <row r="7">
      <c r="A7" s="2657"/>
      <c r="B7" s="2657"/>
      <c r="C7" s="2666"/>
      <c r="G7" s="2667"/>
      <c r="H7" s="2675"/>
      <c r="I7" s="2675"/>
      <c r="J7" s="2677"/>
      <c r="K7" s="2680"/>
      <c r="L7" s="2678"/>
      <c r="M7" s="2678"/>
      <c r="N7" s="2663"/>
      <c r="O7" s="2663"/>
      <c r="P7" s="2663"/>
      <c r="Q7" s="2663"/>
      <c r="R7" s="2673"/>
      <c r="S7" s="2664"/>
      <c r="T7" s="2664"/>
      <c r="U7" s="2664"/>
      <c r="V7" s="2664"/>
    </row>
    <row r="8">
      <c r="A8" s="2657"/>
      <c r="B8" s="2657"/>
      <c r="C8" s="2666"/>
      <c r="G8" s="2667"/>
      <c r="H8" s="2681">
        <v>44379.84490275463</v>
      </c>
      <c r="I8" s="2659"/>
      <c r="J8" s="2660"/>
      <c r="K8" s="2677"/>
      <c r="L8" s="2678"/>
      <c r="M8" s="2678"/>
      <c r="N8" s="2663"/>
      <c r="O8" s="2663"/>
      <c r="P8" s="2663"/>
      <c r="Q8" s="2663"/>
      <c r="R8" s="2673"/>
      <c r="S8" s="2664"/>
      <c r="T8" s="2664"/>
      <c r="U8" s="2664"/>
      <c r="V8" s="2664"/>
    </row>
    <row r="9">
      <c r="A9" s="2657"/>
      <c r="B9" s="2657"/>
      <c r="C9" s="2666"/>
      <c r="G9" s="2667"/>
      <c r="H9" s="2668"/>
      <c r="I9" s="2669"/>
      <c r="J9" s="2670"/>
      <c r="K9" s="2664"/>
      <c r="L9" s="2663"/>
      <c r="M9" s="2663"/>
      <c r="N9" s="2663"/>
      <c r="O9" s="2663"/>
      <c r="P9" s="2663"/>
      <c r="Q9" s="2663"/>
      <c r="R9" s="2673"/>
      <c r="S9" s="2664"/>
      <c r="T9" s="2664"/>
      <c r="U9" s="2664"/>
      <c r="V9" s="2664"/>
    </row>
    <row r="10">
      <c r="A10" s="2657"/>
      <c r="B10" s="2657"/>
      <c r="C10" s="2666"/>
      <c r="G10" s="2667"/>
      <c r="H10" s="2682"/>
      <c r="I10" s="2682"/>
      <c r="J10" s="2664"/>
      <c r="K10" s="2664"/>
      <c r="L10" s="2663"/>
      <c r="M10" s="2663"/>
      <c r="N10" s="2663"/>
      <c r="O10" s="2663"/>
      <c r="P10" s="2663"/>
      <c r="Q10" s="2663"/>
      <c r="R10" s="2673"/>
      <c r="S10" s="2664"/>
      <c r="T10" s="2664"/>
      <c r="U10" s="2664"/>
      <c r="V10" s="2664"/>
    </row>
    <row r="11">
      <c r="A11" s="2683" t="s">
        <v>40</v>
      </c>
      <c r="B11" s="2660"/>
      <c r="C11" s="2666"/>
      <c r="G11" s="2667"/>
      <c r="H11" s="2675"/>
      <c r="I11" s="2675"/>
      <c r="J11" s="2664"/>
      <c r="K11" s="2664"/>
      <c r="L11" s="2663"/>
      <c r="M11" s="2663"/>
      <c r="N11" s="2663"/>
      <c r="O11" s="2663"/>
      <c r="P11" s="2663"/>
      <c r="Q11" s="2663"/>
      <c r="R11" s="2673"/>
      <c r="S11" s="2664"/>
      <c r="T11" s="2664"/>
      <c r="U11" s="2664"/>
      <c r="V11" s="2664"/>
    </row>
    <row r="12">
      <c r="A12" s="2668"/>
      <c r="B12" s="2670"/>
      <c r="C12" s="2668"/>
      <c r="D12" s="2669"/>
      <c r="E12" s="2669"/>
      <c r="F12" s="2669"/>
      <c r="G12" s="2670"/>
      <c r="H12" s="2684"/>
      <c r="I12" s="2684"/>
      <c r="J12" s="2657"/>
      <c r="K12" s="2657"/>
      <c r="L12" s="2663"/>
      <c r="M12" s="2663"/>
      <c r="N12" s="2663"/>
      <c r="O12" s="2663"/>
      <c r="P12" s="2663"/>
      <c r="Q12" s="2663"/>
      <c r="R12" s="2673"/>
      <c r="S12" s="2664"/>
      <c r="T12" s="2664"/>
      <c r="U12" s="2664"/>
      <c r="V12" s="266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86 [70th]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1.76 [72nd]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1.213 [26th]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34 [29th]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1.793 [36th]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28F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 [72nd]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16.48 [35th]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1.155 [20th]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37F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33.8 [37th]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15F [1st]</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1.65 [33rd]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2.64 [34th]</v>
      </c>
      <c r="G22" s="98"/>
      <c r="H22" s="2685"/>
      <c r="I22" s="101"/>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0.076 [74th]</v>
      </c>
      <c r="M22" s="100"/>
      <c r="N22" s="117"/>
      <c r="O22" s="99"/>
      <c r="P22" s="99"/>
      <c r="Q22" s="99"/>
      <c r="R22" s="99"/>
      <c r="S22" s="100"/>
      <c r="T22" s="100"/>
      <c r="U22" s="100"/>
      <c r="V22" s="100"/>
    </row>
    <row r="23">
      <c r="A23" s="101"/>
      <c r="B23" s="101"/>
      <c r="C23" s="101"/>
      <c r="D23" s="101"/>
      <c r="E23" s="101"/>
      <c r="F23" s="101"/>
      <c r="G23" s="98"/>
      <c r="H23" s="2685"/>
      <c r="I23" s="101"/>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tr">
        <f>'テンプレート'!G25</f>
        <v>ガード硬直</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73</v>
      </c>
      <c r="D26" s="139" t="s">
        <v>92</v>
      </c>
      <c r="E26" s="139" t="s">
        <v>1024</v>
      </c>
      <c r="F26" s="138">
        <v>1.7999999999999998</v>
      </c>
      <c r="G26" s="139" t="s">
        <v>60</v>
      </c>
      <c r="H26" s="140" t="s">
        <v>4248</v>
      </c>
      <c r="I26" s="110"/>
      <c r="J26" s="109"/>
      <c r="K26" s="138"/>
      <c r="L26" s="282"/>
      <c r="M26" s="363"/>
      <c r="N26" s="363"/>
      <c r="O26" s="145">
        <v>0.0</v>
      </c>
      <c r="P26" s="145">
        <v>1.0</v>
      </c>
      <c r="Q26" s="145">
        <v>1.0</v>
      </c>
      <c r="R26" s="100"/>
      <c r="S26" s="100"/>
      <c r="T26" s="100"/>
      <c r="U26" s="145" t="s">
        <v>62</v>
      </c>
      <c r="V26" s="100"/>
    </row>
    <row r="27" outlineLevel="1">
      <c r="A27" s="146"/>
      <c r="B27" s="147" t="s">
        <v>63</v>
      </c>
      <c r="C27" s="216" t="s">
        <v>267</v>
      </c>
      <c r="D27" s="216" t="s">
        <v>105</v>
      </c>
      <c r="E27" s="139" t="s">
        <v>1024</v>
      </c>
      <c r="F27" s="138">
        <v>1.7999999999999998</v>
      </c>
      <c r="G27" s="139" t="s">
        <v>60</v>
      </c>
      <c r="H27" s="140" t="s">
        <v>1102</v>
      </c>
      <c r="I27" s="110"/>
      <c r="J27" s="109"/>
      <c r="K27" s="282"/>
      <c r="L27" s="282"/>
      <c r="M27" s="363"/>
      <c r="N27" s="363"/>
      <c r="O27" s="145">
        <v>0.0</v>
      </c>
      <c r="P27" s="145">
        <v>1.0</v>
      </c>
      <c r="Q27" s="145">
        <v>1.0</v>
      </c>
      <c r="R27" s="100"/>
      <c r="S27" s="100"/>
      <c r="T27" s="100"/>
      <c r="U27" s="145" t="s">
        <v>69</v>
      </c>
      <c r="V27" s="100"/>
    </row>
    <row r="28" outlineLevel="1">
      <c r="A28" s="146"/>
      <c r="B28" s="147" t="s">
        <v>70</v>
      </c>
      <c r="C28" s="216" t="s">
        <v>217</v>
      </c>
      <c r="D28" s="216" t="s">
        <v>72</v>
      </c>
      <c r="E28" s="216" t="s">
        <v>150</v>
      </c>
      <c r="F28" s="138">
        <v>6.0</v>
      </c>
      <c r="G28" s="139" t="s">
        <v>102</v>
      </c>
      <c r="H28" s="140"/>
      <c r="I28" s="110"/>
      <c r="J28" s="109"/>
      <c r="K28" s="282"/>
      <c r="L28" s="282"/>
      <c r="M28" s="363"/>
      <c r="N28" s="363"/>
      <c r="O28" s="145">
        <v>0.0</v>
      </c>
      <c r="P28" s="145">
        <v>1.0</v>
      </c>
      <c r="Q28" s="145">
        <v>1.0</v>
      </c>
      <c r="R28" s="100"/>
      <c r="S28" s="100"/>
      <c r="T28" s="100"/>
      <c r="U28" s="145" t="s">
        <v>76</v>
      </c>
      <c r="V28" s="100"/>
    </row>
    <row r="29" outlineLevel="1">
      <c r="A29" s="146"/>
      <c r="B29" s="147" t="s">
        <v>703</v>
      </c>
      <c r="C29" s="657"/>
      <c r="D29" s="216" t="s">
        <v>176</v>
      </c>
      <c r="E29" s="657"/>
      <c r="F29" s="658"/>
      <c r="G29" s="659"/>
      <c r="H29" s="151"/>
      <c r="I29" s="110"/>
      <c r="J29" s="109"/>
      <c r="K29" s="261"/>
      <c r="L29" s="261"/>
      <c r="M29" s="261"/>
      <c r="N29" s="261"/>
      <c r="O29" s="261"/>
      <c r="P29" s="261"/>
      <c r="Q29" s="261"/>
      <c r="R29" s="100"/>
      <c r="S29" s="100"/>
      <c r="T29" s="100"/>
      <c r="U29" s="145" t="s">
        <v>76</v>
      </c>
      <c r="V29" s="100"/>
    </row>
    <row r="30" outlineLevel="1">
      <c r="A30" s="146"/>
      <c r="B30" s="147" t="s">
        <v>704</v>
      </c>
      <c r="C30" s="216" t="s">
        <v>705</v>
      </c>
      <c r="D30" s="216" t="s">
        <v>394</v>
      </c>
      <c r="E30" s="216" t="s">
        <v>3647</v>
      </c>
      <c r="F30" s="138">
        <v>0.48</v>
      </c>
      <c r="G30" s="450" t="s">
        <v>60</v>
      </c>
      <c r="H30" s="140" t="s">
        <v>1664</v>
      </c>
      <c r="I30" s="110"/>
      <c r="J30" s="109"/>
      <c r="K30" s="282"/>
      <c r="L30" s="282"/>
      <c r="M30" s="363"/>
      <c r="N30" s="363"/>
      <c r="O30" s="145">
        <v>0.0</v>
      </c>
      <c r="P30" s="145">
        <v>1.0</v>
      </c>
      <c r="Q30" s="145">
        <v>0.4</v>
      </c>
      <c r="R30" s="100"/>
      <c r="S30" s="100"/>
      <c r="T30" s="100"/>
      <c r="U30" s="145" t="s">
        <v>76</v>
      </c>
      <c r="V30" s="100"/>
    </row>
    <row r="31" outlineLevel="1">
      <c r="A31" s="156"/>
      <c r="B31" s="147" t="s">
        <v>708</v>
      </c>
      <c r="C31" s="216" t="s">
        <v>150</v>
      </c>
      <c r="D31" s="216" t="s">
        <v>146</v>
      </c>
      <c r="E31" s="216" t="s">
        <v>204</v>
      </c>
      <c r="F31" s="138">
        <v>3.5999999999999996</v>
      </c>
      <c r="G31" s="467" t="s">
        <v>147</v>
      </c>
      <c r="H31" s="140" t="s">
        <v>411</v>
      </c>
      <c r="I31" s="110"/>
      <c r="J31" s="109"/>
      <c r="K31" s="282"/>
      <c r="L31" s="282"/>
      <c r="M31" s="363"/>
      <c r="N31" s="363"/>
      <c r="O31" s="145">
        <v>0.0</v>
      </c>
      <c r="P31" s="145">
        <v>1.0</v>
      </c>
      <c r="Q31" s="145">
        <v>1.0</v>
      </c>
      <c r="R31" s="100"/>
      <c r="S31" s="100"/>
      <c r="T31" s="100"/>
      <c r="U31" s="145" t="s">
        <v>76</v>
      </c>
      <c r="V31" s="100"/>
    </row>
    <row r="32" outlineLevel="1">
      <c r="A32" s="133" t="s">
        <v>77</v>
      </c>
      <c r="B32" s="160"/>
      <c r="C32" s="467" t="s">
        <v>309</v>
      </c>
      <c r="D32" s="455" t="s">
        <v>127</v>
      </c>
      <c r="E32" s="467" t="s">
        <v>128</v>
      </c>
      <c r="F32" s="138">
        <v>12.0</v>
      </c>
      <c r="G32" s="139" t="s">
        <v>121</v>
      </c>
      <c r="H32" s="163"/>
      <c r="I32" s="164"/>
      <c r="J32" s="104"/>
      <c r="K32" s="138"/>
      <c r="L32" s="282"/>
      <c r="M32" s="363"/>
      <c r="N32" s="363"/>
      <c r="O32" s="145">
        <v>1.0</v>
      </c>
      <c r="P32" s="145">
        <v>1.0</v>
      </c>
      <c r="Q32" s="145">
        <v>1.0</v>
      </c>
      <c r="R32" s="100"/>
      <c r="S32" s="100"/>
      <c r="T32" s="100"/>
      <c r="U32" s="166" t="s">
        <v>69</v>
      </c>
      <c r="V32" s="100"/>
    </row>
    <row r="33" outlineLevel="1">
      <c r="A33" s="156"/>
      <c r="B33" s="147" t="s">
        <v>84</v>
      </c>
      <c r="C33" s="467" t="s">
        <v>465</v>
      </c>
      <c r="D33" s="107"/>
      <c r="E33" s="467" t="s">
        <v>93</v>
      </c>
      <c r="F33" s="138">
        <v>8.4</v>
      </c>
      <c r="G33" s="139" t="s">
        <v>95</v>
      </c>
      <c r="H33" s="106"/>
      <c r="I33" s="168"/>
      <c r="J33" s="107"/>
      <c r="K33" s="282"/>
      <c r="L33" s="282"/>
      <c r="M33" s="363"/>
      <c r="N33" s="363"/>
      <c r="O33" s="145">
        <v>1.0</v>
      </c>
      <c r="P33" s="145">
        <v>1.0</v>
      </c>
      <c r="Q33" s="145">
        <v>1.0</v>
      </c>
      <c r="R33" s="100"/>
      <c r="S33" s="100"/>
      <c r="T33" s="100"/>
      <c r="U33" s="156"/>
      <c r="V33" s="100"/>
    </row>
    <row r="34" outlineLevel="1">
      <c r="A34" s="170" t="s">
        <v>89</v>
      </c>
      <c r="B34" s="147" t="s">
        <v>90</v>
      </c>
      <c r="C34" s="216" t="s">
        <v>563</v>
      </c>
      <c r="D34" s="216" t="s">
        <v>271</v>
      </c>
      <c r="E34" s="216" t="s">
        <v>80</v>
      </c>
      <c r="F34" s="138">
        <v>9.6</v>
      </c>
      <c r="G34" s="139" t="s">
        <v>123</v>
      </c>
      <c r="H34" s="151"/>
      <c r="I34" s="110"/>
      <c r="J34" s="109"/>
      <c r="K34" s="138"/>
      <c r="L34" s="282"/>
      <c r="M34" s="363"/>
      <c r="N34" s="363"/>
      <c r="O34" s="145">
        <v>0.0</v>
      </c>
      <c r="P34" s="145">
        <v>1.0</v>
      </c>
      <c r="Q34" s="145">
        <v>1.0</v>
      </c>
      <c r="R34" s="100"/>
      <c r="S34" s="100"/>
      <c r="T34" s="100"/>
      <c r="U34" s="145" t="s">
        <v>62</v>
      </c>
      <c r="V34" s="100"/>
    </row>
    <row r="35" outlineLevel="1">
      <c r="A35" s="170" t="s">
        <v>97</v>
      </c>
      <c r="B35" s="160"/>
      <c r="C35" s="216" t="s">
        <v>733</v>
      </c>
      <c r="D35" s="216" t="s">
        <v>105</v>
      </c>
      <c r="E35" s="216" t="s">
        <v>93</v>
      </c>
      <c r="F35" s="138">
        <v>8.4</v>
      </c>
      <c r="G35" s="139" t="s">
        <v>95</v>
      </c>
      <c r="H35" s="151"/>
      <c r="I35" s="110"/>
      <c r="J35" s="109"/>
      <c r="K35" s="282"/>
      <c r="L35" s="282"/>
      <c r="M35" s="363"/>
      <c r="N35" s="363"/>
      <c r="O35" s="145">
        <v>0.0</v>
      </c>
      <c r="P35" s="145">
        <v>1.0</v>
      </c>
      <c r="Q35" s="145">
        <v>1.0</v>
      </c>
      <c r="R35" s="100"/>
      <c r="S35" s="100"/>
      <c r="T35" s="100"/>
      <c r="U35" s="145" t="s">
        <v>62</v>
      </c>
      <c r="V35" s="100"/>
    </row>
    <row r="36" outlineLevel="1">
      <c r="A36" s="170" t="s">
        <v>103</v>
      </c>
      <c r="B36" s="160"/>
      <c r="C36" s="216" t="s">
        <v>217</v>
      </c>
      <c r="D36" s="216" t="s">
        <v>105</v>
      </c>
      <c r="E36" s="216" t="s">
        <v>80</v>
      </c>
      <c r="F36" s="138">
        <v>9.6</v>
      </c>
      <c r="G36" s="139" t="s">
        <v>123</v>
      </c>
      <c r="H36" s="151"/>
      <c r="I36" s="110"/>
      <c r="J36" s="109"/>
      <c r="K36" s="145"/>
      <c r="L36" s="363"/>
      <c r="M36" s="363"/>
      <c r="N36" s="363"/>
      <c r="O36" s="145">
        <v>1.0</v>
      </c>
      <c r="P36" s="145">
        <v>1.0</v>
      </c>
      <c r="Q36" s="145">
        <v>1.0</v>
      </c>
      <c r="R36" s="100"/>
      <c r="S36" s="100"/>
      <c r="T36" s="100"/>
      <c r="U36" s="145" t="s">
        <v>62</v>
      </c>
      <c r="V36" s="100"/>
    </row>
    <row r="37" outlineLevel="1">
      <c r="A37" s="133" t="s">
        <v>109</v>
      </c>
      <c r="B37" s="147" t="s">
        <v>125</v>
      </c>
      <c r="C37" s="216" t="s">
        <v>203</v>
      </c>
      <c r="D37" s="195" t="s">
        <v>1577</v>
      </c>
      <c r="E37" s="216" t="s">
        <v>73</v>
      </c>
      <c r="F37" s="138">
        <v>4.8</v>
      </c>
      <c r="G37" s="139" t="s">
        <v>147</v>
      </c>
      <c r="H37" s="163" t="s">
        <v>4249</v>
      </c>
      <c r="I37" s="164"/>
      <c r="J37" s="104"/>
      <c r="K37" s="282"/>
      <c r="L37" s="282"/>
      <c r="M37" s="363"/>
      <c r="N37" s="363"/>
      <c r="O37" s="145">
        <v>0.0</v>
      </c>
      <c r="P37" s="145">
        <v>1.0</v>
      </c>
      <c r="Q37" s="145">
        <v>1.0</v>
      </c>
      <c r="R37" s="100"/>
      <c r="S37" s="100"/>
      <c r="T37" s="100"/>
      <c r="U37" s="166" t="s">
        <v>62</v>
      </c>
      <c r="V37" s="100"/>
    </row>
    <row r="38" outlineLevel="1">
      <c r="A38" s="146"/>
      <c r="B38" s="147" t="s">
        <v>131</v>
      </c>
      <c r="C38" s="216" t="s">
        <v>377</v>
      </c>
      <c r="D38" s="210"/>
      <c r="E38" s="216" t="s">
        <v>73</v>
      </c>
      <c r="F38" s="138">
        <v>4.8</v>
      </c>
      <c r="G38" s="139" t="s">
        <v>147</v>
      </c>
      <c r="H38" s="212"/>
      <c r="J38" s="210"/>
      <c r="K38" s="282"/>
      <c r="L38" s="282"/>
      <c r="M38" s="363"/>
      <c r="N38" s="363"/>
      <c r="O38" s="145"/>
      <c r="P38" s="145"/>
      <c r="Q38" s="145"/>
      <c r="R38" s="100"/>
      <c r="S38" s="100"/>
      <c r="T38" s="100"/>
      <c r="U38" s="146"/>
      <c r="V38" s="100"/>
    </row>
    <row r="39" outlineLevel="1">
      <c r="A39" s="156"/>
      <c r="B39" s="147" t="s">
        <v>434</v>
      </c>
      <c r="C39" s="216" t="s">
        <v>433</v>
      </c>
      <c r="D39" s="107"/>
      <c r="E39" s="216" t="s">
        <v>274</v>
      </c>
      <c r="F39" s="138">
        <v>10.799999999999999</v>
      </c>
      <c r="G39" s="139" t="s">
        <v>95</v>
      </c>
      <c r="H39" s="106"/>
      <c r="I39" s="168"/>
      <c r="J39" s="107"/>
      <c r="K39" s="282"/>
      <c r="L39" s="282"/>
      <c r="M39" s="363"/>
      <c r="N39" s="363"/>
      <c r="O39" s="145">
        <v>0.0</v>
      </c>
      <c r="P39" s="145">
        <v>1.0</v>
      </c>
      <c r="Q39" s="145">
        <v>1.0</v>
      </c>
      <c r="R39" s="100"/>
      <c r="S39" s="100"/>
      <c r="T39" s="100"/>
      <c r="U39" s="156"/>
      <c r="V39" s="100"/>
    </row>
    <row r="40" outlineLevel="1">
      <c r="A40" s="133" t="s">
        <v>116</v>
      </c>
      <c r="B40" s="147" t="s">
        <v>125</v>
      </c>
      <c r="C40" s="216" t="s">
        <v>373</v>
      </c>
      <c r="D40" s="195" t="s">
        <v>600</v>
      </c>
      <c r="E40" s="216" t="s">
        <v>535</v>
      </c>
      <c r="F40" s="138">
        <v>3.0</v>
      </c>
      <c r="G40" s="139" t="s">
        <v>60</v>
      </c>
      <c r="H40" s="163" t="s">
        <v>4250</v>
      </c>
      <c r="I40" s="164"/>
      <c r="J40" s="104"/>
      <c r="K40" s="363"/>
      <c r="L40" s="363"/>
      <c r="M40" s="363"/>
      <c r="N40" s="363"/>
      <c r="O40" s="145">
        <v>0.0</v>
      </c>
      <c r="P40" s="145">
        <v>1.0</v>
      </c>
      <c r="Q40" s="145">
        <v>1.0</v>
      </c>
      <c r="R40" s="100"/>
      <c r="S40" s="100"/>
      <c r="T40" s="100"/>
      <c r="U40" s="166" t="s">
        <v>62</v>
      </c>
      <c r="V40" s="100"/>
    </row>
    <row r="41" outlineLevel="1">
      <c r="A41" s="146"/>
      <c r="B41" s="147" t="s">
        <v>131</v>
      </c>
      <c r="C41" s="216" t="s">
        <v>351</v>
      </c>
      <c r="D41" s="210"/>
      <c r="E41" s="216" t="s">
        <v>535</v>
      </c>
      <c r="F41" s="138">
        <v>3.0</v>
      </c>
      <c r="G41" s="139" t="s">
        <v>60</v>
      </c>
      <c r="H41" s="212"/>
      <c r="J41" s="210"/>
      <c r="K41" s="363"/>
      <c r="L41" s="363"/>
      <c r="M41" s="363"/>
      <c r="N41" s="363"/>
      <c r="O41" s="145">
        <v>0.0</v>
      </c>
      <c r="P41" s="145">
        <v>1.0</v>
      </c>
      <c r="Q41" s="145">
        <v>1.0</v>
      </c>
      <c r="R41" s="100"/>
      <c r="S41" s="100"/>
      <c r="T41" s="100"/>
      <c r="U41" s="146"/>
      <c r="V41" s="100"/>
    </row>
    <row r="42" outlineLevel="1">
      <c r="A42" s="156"/>
      <c r="B42" s="147" t="s">
        <v>434</v>
      </c>
      <c r="C42" s="216" t="s">
        <v>784</v>
      </c>
      <c r="D42" s="107"/>
      <c r="E42" s="216" t="s">
        <v>128</v>
      </c>
      <c r="F42" s="138">
        <v>12.0</v>
      </c>
      <c r="G42" s="139" t="s">
        <v>95</v>
      </c>
      <c r="H42" s="106"/>
      <c r="I42" s="168"/>
      <c r="J42" s="107"/>
      <c r="K42" s="363"/>
      <c r="L42" s="363"/>
      <c r="M42" s="363"/>
      <c r="N42" s="363"/>
      <c r="O42" s="145">
        <v>0.0</v>
      </c>
      <c r="P42" s="145">
        <v>1.0</v>
      </c>
      <c r="Q42" s="145">
        <v>1.0</v>
      </c>
      <c r="R42" s="100"/>
      <c r="S42" s="100"/>
      <c r="T42" s="100"/>
      <c r="U42" s="156"/>
      <c r="V42" s="100"/>
    </row>
    <row r="43" outlineLevel="1">
      <c r="A43" s="133" t="s">
        <v>124</v>
      </c>
      <c r="B43" s="147" t="s">
        <v>125</v>
      </c>
      <c r="C43" s="216" t="s">
        <v>373</v>
      </c>
      <c r="D43" s="195" t="s">
        <v>600</v>
      </c>
      <c r="E43" s="216" t="s">
        <v>150</v>
      </c>
      <c r="F43" s="138">
        <v>6.0</v>
      </c>
      <c r="G43" s="139" t="s">
        <v>147</v>
      </c>
      <c r="H43" s="163" t="s">
        <v>4251</v>
      </c>
      <c r="I43" s="164"/>
      <c r="J43" s="104"/>
      <c r="K43" s="282"/>
      <c r="L43" s="282"/>
      <c r="M43" s="363"/>
      <c r="N43" s="363"/>
      <c r="O43" s="145">
        <v>0.0</v>
      </c>
      <c r="P43" s="145">
        <v>1.0</v>
      </c>
      <c r="Q43" s="145">
        <v>1.0</v>
      </c>
      <c r="R43" s="100"/>
      <c r="S43" s="100"/>
      <c r="T43" s="100"/>
      <c r="U43" s="166" t="s">
        <v>62</v>
      </c>
      <c r="V43" s="100"/>
    </row>
    <row r="44" outlineLevel="1">
      <c r="A44" s="146"/>
      <c r="B44" s="147" t="s">
        <v>131</v>
      </c>
      <c r="C44" s="216" t="s">
        <v>351</v>
      </c>
      <c r="D44" s="210"/>
      <c r="E44" s="216" t="s">
        <v>150</v>
      </c>
      <c r="F44" s="138">
        <v>6.0</v>
      </c>
      <c r="G44" s="139" t="s">
        <v>147</v>
      </c>
      <c r="H44" s="212"/>
      <c r="J44" s="210"/>
      <c r="K44" s="282"/>
      <c r="L44" s="282"/>
      <c r="M44" s="363"/>
      <c r="N44" s="363"/>
      <c r="O44" s="145">
        <v>0.0</v>
      </c>
      <c r="P44" s="145">
        <v>1.0</v>
      </c>
      <c r="Q44" s="145">
        <v>1.0</v>
      </c>
      <c r="R44" s="100"/>
      <c r="S44" s="100"/>
      <c r="T44" s="100"/>
      <c r="U44" s="146"/>
      <c r="V44" s="100"/>
    </row>
    <row r="45" outlineLevel="1">
      <c r="A45" s="156"/>
      <c r="B45" s="147" t="s">
        <v>434</v>
      </c>
      <c r="C45" s="216" t="s">
        <v>784</v>
      </c>
      <c r="D45" s="107"/>
      <c r="E45" s="216" t="s">
        <v>86</v>
      </c>
      <c r="F45" s="138">
        <v>7.199999999999999</v>
      </c>
      <c r="G45" s="139" t="s">
        <v>75</v>
      </c>
      <c r="H45" s="106"/>
      <c r="I45" s="168"/>
      <c r="J45" s="107"/>
      <c r="K45" s="282"/>
      <c r="L45" s="282"/>
      <c r="M45" s="363"/>
      <c r="N45" s="363"/>
      <c r="O45" s="145">
        <v>0.0</v>
      </c>
      <c r="P45" s="145">
        <v>1.0</v>
      </c>
      <c r="Q45" s="145">
        <v>1.0</v>
      </c>
      <c r="R45" s="100"/>
      <c r="S45" s="100"/>
      <c r="T45" s="100"/>
      <c r="U45" s="156"/>
      <c r="V45" s="100"/>
    </row>
    <row r="46">
      <c r="A46" s="118"/>
      <c r="B46" s="176"/>
      <c r="C46" s="118"/>
      <c r="D46" s="118"/>
      <c r="E46" s="118"/>
      <c r="F46" s="177"/>
      <c r="G46" s="177"/>
      <c r="H46" s="118"/>
      <c r="I46" s="118"/>
      <c r="J46" s="118"/>
      <c r="K46" s="118"/>
      <c r="L46" s="118"/>
      <c r="M46" s="118"/>
      <c r="N46" s="118"/>
      <c r="O46" s="118"/>
      <c r="P46" s="118"/>
      <c r="Q46" s="118"/>
      <c r="R46" s="118"/>
      <c r="S46" s="118"/>
      <c r="T46" s="118"/>
      <c r="U46" s="118"/>
      <c r="V46" s="118"/>
    </row>
    <row r="47">
      <c r="A47" s="178" t="s">
        <v>133</v>
      </c>
      <c r="B47" s="104"/>
      <c r="C47" s="179"/>
      <c r="D47" s="179"/>
      <c r="E47" s="179"/>
      <c r="F47" s="180"/>
      <c r="G47" s="179"/>
      <c r="H47" s="180"/>
      <c r="I47" s="180"/>
      <c r="J47" s="181"/>
      <c r="K47" s="180"/>
      <c r="L47" s="180"/>
      <c r="M47" s="180"/>
      <c r="N47" s="180"/>
      <c r="O47" s="180"/>
      <c r="P47" s="180"/>
      <c r="Q47" s="180"/>
      <c r="R47" s="180"/>
      <c r="S47" s="180"/>
      <c r="T47" s="180"/>
      <c r="U47" s="180"/>
      <c r="V47" s="180"/>
    </row>
    <row r="48" outlineLevel="1">
      <c r="A48" s="106"/>
      <c r="B48" s="107"/>
      <c r="C48" s="182" t="s">
        <v>48</v>
      </c>
      <c r="D48" s="183" t="s">
        <v>49</v>
      </c>
      <c r="E48" s="182" t="s">
        <v>50</v>
      </c>
      <c r="F48" s="184" t="s">
        <v>51</v>
      </c>
      <c r="G48" s="184" t="s">
        <v>134</v>
      </c>
      <c r="H48" s="185" t="s">
        <v>52</v>
      </c>
      <c r="I48" s="184" t="str">
        <f>'テンプレート'!I56</f>
        <v>着地隙</v>
      </c>
      <c r="J48" s="184" t="s">
        <v>136</v>
      </c>
      <c r="K48" s="184" t="str">
        <f>'テンプレート'!K56</f>
        <v>ベクトル</v>
      </c>
      <c r="L48" s="184" t="str">
        <f>'テンプレート'!L56</f>
        <v>KBG (R.E.)</v>
      </c>
      <c r="M48" s="184" t="str">
        <f>'テンプレート'!M56</f>
        <v>BKB (R.A.)</v>
      </c>
      <c r="N48" s="184" t="str">
        <f>'テンプレート'!N56</f>
        <v>FKB (R.F.)</v>
      </c>
      <c r="O48" s="186" t="str">
        <f>'テンプレート'!O56</f>
        <v>盾削り値</v>
      </c>
      <c r="P48" s="184" t="str">
        <f>'テンプレート'!P56</f>
        <v>ﾋｯﾄｽﾄｯﾌﾟ</v>
      </c>
      <c r="Q48" s="186" t="str">
        <f>'テンプレート'!Q56</f>
        <v>ずらし</v>
      </c>
      <c r="R48" s="187" t="str">
        <f>'テンプレート'!R56</f>
        <v>備考</v>
      </c>
      <c r="S48" s="110"/>
      <c r="T48" s="110"/>
      <c r="U48" s="110"/>
      <c r="V48" s="110"/>
    </row>
    <row r="49" outlineLevel="1">
      <c r="A49" s="188" t="s">
        <v>144</v>
      </c>
      <c r="B49" s="373"/>
      <c r="C49" s="239" t="s">
        <v>549</v>
      </c>
      <c r="D49" s="374" t="s">
        <v>300</v>
      </c>
      <c r="E49" s="401" t="s">
        <v>232</v>
      </c>
      <c r="F49" s="193">
        <v>13.2</v>
      </c>
      <c r="G49" s="193">
        <v>11.22</v>
      </c>
      <c r="H49" s="138" t="s">
        <v>147</v>
      </c>
      <c r="I49" s="194" t="str">
        <f t="array" ref="I49">INDEX('空中攻撃'!$O$3:$AA$109, MATCH($A$1,'空中攻撃'!$A$3:$A$109,0), MATCH(A49,'空中攻撃'!$O$2:$S$2,0))</f>
        <v>10</v>
      </c>
      <c r="J49" s="195" t="s">
        <v>1459</v>
      </c>
      <c r="K49" s="138"/>
      <c r="L49" s="282"/>
      <c r="M49" s="363"/>
      <c r="N49" s="363"/>
      <c r="O49" s="145">
        <v>0.0</v>
      </c>
      <c r="P49" s="145">
        <v>1.0</v>
      </c>
      <c r="Q49" s="145">
        <v>1.0</v>
      </c>
      <c r="R49" s="619"/>
      <c r="S49" s="164"/>
      <c r="T49" s="164"/>
      <c r="U49" s="164"/>
      <c r="V49" s="104"/>
    </row>
    <row r="50" outlineLevel="1">
      <c r="A50" s="156"/>
      <c r="B50" s="373" t="s">
        <v>84</v>
      </c>
      <c r="C50" s="239" t="s">
        <v>4252</v>
      </c>
      <c r="D50" s="107"/>
      <c r="E50" s="239" t="s">
        <v>150</v>
      </c>
      <c r="F50" s="193">
        <v>6.0</v>
      </c>
      <c r="G50" s="193">
        <v>5.1</v>
      </c>
      <c r="H50" s="138" t="s">
        <v>60</v>
      </c>
      <c r="I50" s="156"/>
      <c r="J50" s="107"/>
      <c r="K50" s="138"/>
      <c r="L50" s="282"/>
      <c r="M50" s="363"/>
      <c r="N50" s="363"/>
      <c r="O50" s="145">
        <v>0.0</v>
      </c>
      <c r="P50" s="145">
        <v>1.0</v>
      </c>
      <c r="Q50" s="145">
        <v>1.0</v>
      </c>
      <c r="R50" s="106"/>
      <c r="S50" s="168"/>
      <c r="T50" s="168"/>
      <c r="U50" s="168"/>
      <c r="V50" s="107"/>
    </row>
    <row r="51" outlineLevel="1">
      <c r="A51" s="188" t="s">
        <v>151</v>
      </c>
      <c r="B51" s="373" t="s">
        <v>152</v>
      </c>
      <c r="C51" s="239" t="s">
        <v>93</v>
      </c>
      <c r="D51" s="195" t="s">
        <v>393</v>
      </c>
      <c r="E51" s="239" t="s">
        <v>2134</v>
      </c>
      <c r="F51" s="193">
        <v>7.8</v>
      </c>
      <c r="G51" s="193">
        <v>6.63</v>
      </c>
      <c r="H51" s="138" t="s">
        <v>60</v>
      </c>
      <c r="I51" s="194" t="str">
        <f t="array" ref="I51">INDEX('空中攻撃'!$O$3:$AA$109, MATCH($A$1,'空中攻撃'!$A$3:$A$109,0), MATCH(A51,'空中攻撃'!$O$2:$S$2,0))</f>
        <v>9</v>
      </c>
      <c r="J51" s="195" t="s">
        <v>4253</v>
      </c>
      <c r="K51" s="138"/>
      <c r="L51" s="282"/>
      <c r="M51" s="363"/>
      <c r="N51" s="363"/>
      <c r="O51" s="145">
        <v>0.0</v>
      </c>
      <c r="P51" s="145">
        <v>1.0</v>
      </c>
      <c r="Q51" s="145">
        <v>1.0</v>
      </c>
      <c r="R51" s="619"/>
      <c r="S51" s="164"/>
      <c r="T51" s="164"/>
      <c r="U51" s="164"/>
      <c r="V51" s="104"/>
    </row>
    <row r="52" outlineLevel="1">
      <c r="A52" s="146"/>
      <c r="B52" s="373"/>
      <c r="C52" s="239" t="s">
        <v>518</v>
      </c>
      <c r="D52" s="210"/>
      <c r="E52" s="239" t="s">
        <v>4254</v>
      </c>
      <c r="F52" s="193" t="s">
        <v>4255</v>
      </c>
      <c r="G52" s="193" t="s">
        <v>4256</v>
      </c>
      <c r="H52" s="138" t="s">
        <v>1969</v>
      </c>
      <c r="I52" s="146"/>
      <c r="J52" s="210"/>
      <c r="K52" s="138"/>
      <c r="L52" s="282"/>
      <c r="M52" s="363"/>
      <c r="N52" s="363"/>
      <c r="O52" s="145">
        <v>0.0</v>
      </c>
      <c r="P52" s="145">
        <v>1.0</v>
      </c>
      <c r="Q52" s="145">
        <v>1.0</v>
      </c>
      <c r="R52" s="212"/>
      <c r="V52" s="210"/>
    </row>
    <row r="53" outlineLevel="1">
      <c r="A53" s="156"/>
      <c r="B53" s="373" t="s">
        <v>84</v>
      </c>
      <c r="C53" s="239" t="s">
        <v>223</v>
      </c>
      <c r="D53" s="107"/>
      <c r="E53" s="239" t="s">
        <v>1665</v>
      </c>
      <c r="F53" s="193">
        <v>9.0</v>
      </c>
      <c r="G53" s="193">
        <v>7.65</v>
      </c>
      <c r="H53" s="138" t="s">
        <v>60</v>
      </c>
      <c r="I53" s="156"/>
      <c r="J53" s="107"/>
      <c r="K53" s="138"/>
      <c r="L53" s="282"/>
      <c r="M53" s="363"/>
      <c r="N53" s="363"/>
      <c r="O53" s="145">
        <v>0.0</v>
      </c>
      <c r="P53" s="145">
        <v>1.0</v>
      </c>
      <c r="Q53" s="145">
        <v>1.0</v>
      </c>
      <c r="R53" s="106"/>
      <c r="S53" s="168"/>
      <c r="T53" s="168"/>
      <c r="U53" s="168"/>
      <c r="V53" s="107"/>
    </row>
    <row r="54" outlineLevel="1">
      <c r="A54" s="188" t="s">
        <v>157</v>
      </c>
      <c r="B54" s="373" t="s">
        <v>152</v>
      </c>
      <c r="C54" s="239" t="s">
        <v>319</v>
      </c>
      <c r="D54" s="374">
        <v>41.0</v>
      </c>
      <c r="E54" s="239" t="s">
        <v>4257</v>
      </c>
      <c r="F54" s="193" t="s">
        <v>4258</v>
      </c>
      <c r="G54" s="193" t="s">
        <v>4259</v>
      </c>
      <c r="H54" s="138" t="s">
        <v>1808</v>
      </c>
      <c r="I54" s="194">
        <f t="array" ref="I54">INDEX('空中攻撃'!$O$3:$AA$109, MATCH($A$1,'空中攻撃'!$A$3:$A$109,0), MATCH(A54,'空中攻撃'!$O$2:$S$2,0))</f>
        <v>14</v>
      </c>
      <c r="J54" s="195" t="s">
        <v>1177</v>
      </c>
      <c r="K54" s="138"/>
      <c r="L54" s="282"/>
      <c r="M54" s="363"/>
      <c r="N54" s="363"/>
      <c r="O54" s="145">
        <v>0.0</v>
      </c>
      <c r="P54" s="145">
        <v>1.0</v>
      </c>
      <c r="Q54" s="145">
        <v>1.0</v>
      </c>
      <c r="R54" s="619"/>
      <c r="S54" s="164"/>
      <c r="T54" s="164"/>
      <c r="U54" s="164"/>
      <c r="V54" s="104"/>
    </row>
    <row r="55" outlineLevel="1">
      <c r="A55" s="156"/>
      <c r="B55" s="373"/>
      <c r="C55" s="239" t="s">
        <v>220</v>
      </c>
      <c r="D55" s="107"/>
      <c r="E55" s="239" t="s">
        <v>2764</v>
      </c>
      <c r="F55" s="193">
        <v>15.0</v>
      </c>
      <c r="G55" s="193">
        <v>12.75</v>
      </c>
      <c r="H55" s="138" t="s">
        <v>75</v>
      </c>
      <c r="I55" s="156"/>
      <c r="J55" s="107"/>
      <c r="K55" s="138"/>
      <c r="L55" s="282"/>
      <c r="M55" s="363"/>
      <c r="N55" s="363"/>
      <c r="O55" s="145">
        <v>0.0</v>
      </c>
      <c r="P55" s="145">
        <v>1.0</v>
      </c>
      <c r="Q55" s="145">
        <v>1.0</v>
      </c>
      <c r="R55" s="106"/>
      <c r="S55" s="168"/>
      <c r="T55" s="168"/>
      <c r="U55" s="168"/>
      <c r="V55" s="107"/>
    </row>
    <row r="56" outlineLevel="1">
      <c r="A56" s="188" t="s">
        <v>162</v>
      </c>
      <c r="B56" s="373" t="s">
        <v>125</v>
      </c>
      <c r="C56" s="239" t="s">
        <v>217</v>
      </c>
      <c r="D56" s="374" t="s">
        <v>118</v>
      </c>
      <c r="E56" s="239" t="s">
        <v>204</v>
      </c>
      <c r="F56" s="193">
        <v>3.5999999999999996</v>
      </c>
      <c r="G56" s="193">
        <v>3.06</v>
      </c>
      <c r="H56" s="138" t="s">
        <v>170</v>
      </c>
      <c r="I56" s="194" t="str">
        <f t="array" ref="I56">INDEX('空中攻撃'!$O$3:$AA$109, MATCH($A$1,'空中攻撃'!$A$3:$A$109,0), MATCH(A56,'空中攻撃'!$O$2:$S$2,0))</f>
        <v>11</v>
      </c>
      <c r="J56" s="195" t="s">
        <v>3945</v>
      </c>
      <c r="K56" s="282"/>
      <c r="L56" s="282"/>
      <c r="M56" s="363"/>
      <c r="N56" s="363"/>
      <c r="O56" s="145">
        <v>0.0</v>
      </c>
      <c r="P56" s="145">
        <v>1.0</v>
      </c>
      <c r="Q56" s="145">
        <v>1.0</v>
      </c>
      <c r="R56" s="619"/>
      <c r="S56" s="164"/>
      <c r="T56" s="164"/>
      <c r="U56" s="164"/>
      <c r="V56" s="104"/>
    </row>
    <row r="57" outlineLevel="1">
      <c r="A57" s="146"/>
      <c r="B57" s="373" t="s">
        <v>131</v>
      </c>
      <c r="C57" s="239" t="s">
        <v>373</v>
      </c>
      <c r="D57" s="210"/>
      <c r="E57" s="239" t="s">
        <v>204</v>
      </c>
      <c r="F57" s="193">
        <v>3.5999999999999996</v>
      </c>
      <c r="G57" s="193">
        <v>3.06</v>
      </c>
      <c r="H57" s="138" t="s">
        <v>170</v>
      </c>
      <c r="I57" s="146"/>
      <c r="J57" s="210"/>
      <c r="K57" s="282"/>
      <c r="L57" s="282"/>
      <c r="M57" s="363"/>
      <c r="N57" s="363"/>
      <c r="O57" s="145"/>
      <c r="P57" s="145"/>
      <c r="Q57" s="145"/>
      <c r="R57" s="212"/>
      <c r="V57" s="210"/>
    </row>
    <row r="58" outlineLevel="1">
      <c r="A58" s="156"/>
      <c r="B58" s="373" t="s">
        <v>434</v>
      </c>
      <c r="C58" s="239" t="s">
        <v>351</v>
      </c>
      <c r="D58" s="107"/>
      <c r="E58" s="239" t="s">
        <v>86</v>
      </c>
      <c r="F58" s="193">
        <v>7.199999999999999</v>
      </c>
      <c r="G58" s="193">
        <v>6.12</v>
      </c>
      <c r="H58" s="138" t="s">
        <v>60</v>
      </c>
      <c r="I58" s="156"/>
      <c r="J58" s="107"/>
      <c r="K58" s="282"/>
      <c r="L58" s="282"/>
      <c r="M58" s="363"/>
      <c r="N58" s="363"/>
      <c r="O58" s="145">
        <v>0.0</v>
      </c>
      <c r="P58" s="145">
        <v>1.0</v>
      </c>
      <c r="Q58" s="145">
        <v>1.0</v>
      </c>
      <c r="R58" s="106"/>
      <c r="S58" s="168"/>
      <c r="T58" s="168"/>
      <c r="U58" s="168"/>
      <c r="V58" s="107"/>
    </row>
    <row r="59" outlineLevel="1">
      <c r="A59" s="188" t="s">
        <v>166</v>
      </c>
      <c r="B59" s="373" t="s">
        <v>125</v>
      </c>
      <c r="C59" s="239" t="s">
        <v>295</v>
      </c>
      <c r="D59" s="195" t="s">
        <v>185</v>
      </c>
      <c r="E59" s="239" t="s">
        <v>150</v>
      </c>
      <c r="F59" s="193">
        <v>6.0</v>
      </c>
      <c r="G59" s="193">
        <v>5.1</v>
      </c>
      <c r="H59" s="138" t="s">
        <v>60</v>
      </c>
      <c r="I59" s="194">
        <f t="array" ref="I59">INDEX('空中攻撃'!$O$3:$AA$109, MATCH($A$1,'空中攻撃'!$A$3:$A$109,0), MATCH(A59,'空中攻撃'!$O$2:$S$2,0))</f>
        <v>15</v>
      </c>
      <c r="J59" s="195" t="s">
        <v>4260</v>
      </c>
      <c r="K59" s="282"/>
      <c r="L59" s="282"/>
      <c r="M59" s="363"/>
      <c r="N59" s="363"/>
      <c r="O59" s="145">
        <v>0.0</v>
      </c>
      <c r="P59" s="145">
        <v>1.0</v>
      </c>
      <c r="Q59" s="145">
        <v>1.0</v>
      </c>
      <c r="R59" s="163"/>
      <c r="S59" s="164"/>
      <c r="T59" s="164"/>
      <c r="U59" s="164"/>
      <c r="V59" s="104"/>
    </row>
    <row r="60" outlineLevel="1">
      <c r="A60" s="156"/>
      <c r="B60" s="373" t="s">
        <v>131</v>
      </c>
      <c r="C60" s="239" t="s">
        <v>351</v>
      </c>
      <c r="D60" s="107"/>
      <c r="E60" s="239" t="s">
        <v>128</v>
      </c>
      <c r="F60" s="193">
        <v>12.0</v>
      </c>
      <c r="G60" s="193">
        <v>10.2</v>
      </c>
      <c r="H60" s="138" t="s">
        <v>147</v>
      </c>
      <c r="I60" s="156"/>
      <c r="J60" s="107"/>
      <c r="K60" s="282"/>
      <c r="L60" s="282"/>
      <c r="M60" s="363"/>
      <c r="N60" s="363"/>
      <c r="O60" s="145">
        <v>0.0</v>
      </c>
      <c r="P60" s="145">
        <v>1.0</v>
      </c>
      <c r="Q60" s="145">
        <v>1.0</v>
      </c>
      <c r="R60" s="106"/>
      <c r="S60" s="168"/>
      <c r="T60" s="168"/>
      <c r="U60" s="168"/>
      <c r="V60" s="107"/>
    </row>
    <row r="61">
      <c r="A61" s="223"/>
      <c r="B61" s="224"/>
      <c r="C61" s="225"/>
      <c r="D61" s="225"/>
      <c r="E61" s="226"/>
      <c r="F61" s="226"/>
      <c r="G61" s="226"/>
      <c r="H61" s="227"/>
      <c r="I61" s="227"/>
      <c r="J61" s="228"/>
      <c r="K61" s="228"/>
      <c r="L61" s="228"/>
      <c r="M61" s="228"/>
      <c r="N61" s="228"/>
      <c r="O61" s="228"/>
      <c r="P61" s="228"/>
      <c r="Q61" s="118"/>
      <c r="R61" s="118"/>
      <c r="S61" s="118"/>
      <c r="T61" s="118"/>
      <c r="U61" s="118"/>
      <c r="V61" s="118"/>
    </row>
    <row r="62">
      <c r="A62" s="229" t="s">
        <v>177</v>
      </c>
      <c r="B62" s="109"/>
      <c r="C62" s="225"/>
      <c r="D62" s="225"/>
      <c r="E62" s="226"/>
      <c r="F62" s="226"/>
      <c r="G62" s="226"/>
      <c r="H62" s="227"/>
      <c r="I62" s="227"/>
      <c r="J62" s="228"/>
      <c r="K62" s="228"/>
      <c r="L62" s="228"/>
      <c r="M62" s="228"/>
      <c r="N62" s="228"/>
      <c r="O62" s="228"/>
      <c r="P62" s="228"/>
      <c r="Q62" s="118"/>
      <c r="R62" s="118"/>
      <c r="S62" s="118"/>
      <c r="T62" s="118"/>
      <c r="U62" s="118"/>
      <c r="V62" s="118"/>
    </row>
    <row r="63" outlineLevel="1">
      <c r="A63" s="230" t="s">
        <v>4261</v>
      </c>
      <c r="B63" s="109"/>
      <c r="C63" s="231" t="s">
        <v>48</v>
      </c>
      <c r="D63" s="231" t="s">
        <v>49</v>
      </c>
      <c r="E63" s="232" t="s">
        <v>50</v>
      </c>
      <c r="F63" s="233" t="s">
        <v>51</v>
      </c>
      <c r="G63" s="232" t="s">
        <v>52</v>
      </c>
      <c r="H63" s="382" t="str">
        <f>'テンプレート'!H72</f>
        <v>備考</v>
      </c>
      <c r="I63" s="110"/>
      <c r="J63" s="109"/>
      <c r="K63" s="235" t="str">
        <f>'テンプレート'!K72</f>
        <v>ベクトル</v>
      </c>
      <c r="L63" s="235" t="str">
        <f>'テンプレート'!L72</f>
        <v>KBG (R.E.)</v>
      </c>
      <c r="M63" s="235" t="str">
        <f>'テンプレート'!M72</f>
        <v>BKB (R.A.)</v>
      </c>
      <c r="N63" s="235" t="str">
        <f>'テンプレート'!N72</f>
        <v>FKB (R.F.)</v>
      </c>
      <c r="O63" s="236" t="str">
        <f>'テンプレート'!O72</f>
        <v>盾削り値</v>
      </c>
      <c r="P63" s="235" t="str">
        <f>'テンプレート'!P72</f>
        <v>ﾋｯﾄｽﾄｯﾌﾟ</v>
      </c>
      <c r="Q63" s="236" t="str">
        <f>'テンプレート'!Q72</f>
        <v>ずらし</v>
      </c>
      <c r="R63" s="235" t="str">
        <f>'テンプレート'!R72</f>
        <v>相殺</v>
      </c>
      <c r="S63" s="236" t="str">
        <f>'テンプレート'!S72</f>
        <v>相殺ﾓｰｼｮﾝ</v>
      </c>
      <c r="T63" s="236" t="str">
        <f>'テンプレート'!T72</f>
        <v>飛び道具</v>
      </c>
      <c r="U63" s="236" t="str">
        <f>'テンプレート'!U72</f>
        <v>慣性反転</v>
      </c>
      <c r="V63" s="236" t="str">
        <f>'テンプレート'!V72</f>
        <v>向き反転</v>
      </c>
    </row>
    <row r="64" ht="22.5" customHeight="1" outlineLevel="1">
      <c r="A64" s="237" t="s">
        <v>184</v>
      </c>
      <c r="B64" s="243" t="s">
        <v>4262</v>
      </c>
      <c r="C64" s="239" t="s">
        <v>2703</v>
      </c>
      <c r="D64" s="379" t="s">
        <v>384</v>
      </c>
      <c r="E64" s="239" t="s">
        <v>1925</v>
      </c>
      <c r="F64" s="138" t="s">
        <v>1926</v>
      </c>
      <c r="G64" s="409"/>
      <c r="H64" s="163" t="s">
        <v>4263</v>
      </c>
      <c r="I64" s="164"/>
      <c r="J64" s="104"/>
      <c r="K64" s="281"/>
      <c r="L64" s="281"/>
      <c r="M64" s="281"/>
      <c r="N64" s="281"/>
      <c r="O64" s="281"/>
      <c r="P64" s="281"/>
      <c r="Q64" s="281"/>
      <c r="R64" s="281"/>
      <c r="S64" s="281"/>
      <c r="T64" s="281"/>
      <c r="U64" s="166" t="s">
        <v>186</v>
      </c>
      <c r="V64" s="166" t="b">
        <v>1</v>
      </c>
    </row>
    <row r="65" ht="22.5" customHeight="1" outlineLevel="1">
      <c r="A65" s="146"/>
      <c r="B65" s="663" t="s">
        <v>4264</v>
      </c>
      <c r="C65" s="239" t="s">
        <v>213</v>
      </c>
      <c r="D65" s="210"/>
      <c r="E65" s="239" t="s">
        <v>700</v>
      </c>
      <c r="F65" s="138">
        <v>2.16</v>
      </c>
      <c r="G65" s="139" t="s">
        <v>170</v>
      </c>
      <c r="H65" s="212"/>
      <c r="J65" s="210"/>
      <c r="K65" s="282"/>
      <c r="L65" s="282"/>
      <c r="M65" s="363"/>
      <c r="N65" s="363"/>
      <c r="O65" s="138">
        <v>0.0</v>
      </c>
      <c r="P65" s="138">
        <v>1.0</v>
      </c>
      <c r="Q65" s="138">
        <v>0.5</v>
      </c>
      <c r="R65" s="145" t="b">
        <v>0</v>
      </c>
      <c r="S65" s="145" t="b">
        <v>0</v>
      </c>
      <c r="T65" s="145" t="b">
        <v>1</v>
      </c>
      <c r="U65" s="146"/>
      <c r="V65" s="146"/>
    </row>
    <row r="66" ht="22.5" customHeight="1" outlineLevel="1">
      <c r="A66" s="146"/>
      <c r="B66" s="663" t="s">
        <v>1485</v>
      </c>
      <c r="C66" s="239" t="s">
        <v>175</v>
      </c>
      <c r="D66" s="107"/>
      <c r="E66" s="239" t="s">
        <v>128</v>
      </c>
      <c r="F66" s="138">
        <v>12.0</v>
      </c>
      <c r="G66" s="139" t="s">
        <v>147</v>
      </c>
      <c r="H66" s="106"/>
      <c r="I66" s="168"/>
      <c r="J66" s="107"/>
      <c r="K66" s="282"/>
      <c r="L66" s="282"/>
      <c r="M66" s="363"/>
      <c r="N66" s="363"/>
      <c r="O66" s="138">
        <v>0.0</v>
      </c>
      <c r="P66" s="138">
        <v>1.0</v>
      </c>
      <c r="Q66" s="138">
        <v>0.5</v>
      </c>
      <c r="R66" s="145" t="b">
        <v>0</v>
      </c>
      <c r="S66" s="145" t="b">
        <v>0</v>
      </c>
      <c r="T66" s="145" t="b">
        <v>1</v>
      </c>
      <c r="U66" s="156"/>
      <c r="V66" s="156"/>
    </row>
    <row r="67" outlineLevel="1">
      <c r="A67" s="230" t="s">
        <v>4265</v>
      </c>
      <c r="B67" s="109"/>
      <c r="C67" s="231" t="s">
        <v>48</v>
      </c>
      <c r="D67" s="231" t="s">
        <v>49</v>
      </c>
      <c r="E67" s="232" t="s">
        <v>50</v>
      </c>
      <c r="F67" s="233" t="s">
        <v>51</v>
      </c>
      <c r="G67" s="232" t="s">
        <v>52</v>
      </c>
      <c r="H67" s="382" t="str">
        <f>'テンプレート'!H75</f>
        <v>備考</v>
      </c>
      <c r="I67" s="110"/>
      <c r="J67" s="109"/>
      <c r="K67" s="235" t="str">
        <f>'テンプレート'!K75</f>
        <v>ベクトル</v>
      </c>
      <c r="L67" s="235" t="str">
        <f>'テンプレート'!L75</f>
        <v>KBG (R.E.)</v>
      </c>
      <c r="M67" s="235" t="str">
        <f>'テンプレート'!M75</f>
        <v>BKB (R.A.)</v>
      </c>
      <c r="N67" s="235" t="str">
        <f>'テンプレート'!N75</f>
        <v>FKB (R.F.)</v>
      </c>
      <c r="O67" s="236" t="str">
        <f>'テンプレート'!O75</f>
        <v>盾削り値</v>
      </c>
      <c r="P67" s="235" t="str">
        <f>'テンプレート'!P75</f>
        <v>ﾋｯﾄｽﾄｯﾌﾟ</v>
      </c>
      <c r="Q67" s="236" t="str">
        <f>'テンプレート'!Q75</f>
        <v>ずらし</v>
      </c>
      <c r="R67" s="235" t="str">
        <f>'テンプレート'!R75</f>
        <v>相殺</v>
      </c>
      <c r="S67" s="236" t="str">
        <f>'テンプレート'!S75</f>
        <v>相殺ﾓｰｼｮﾝ</v>
      </c>
      <c r="T67" s="236" t="str">
        <f>'テンプレート'!T75</f>
        <v>飛び道具</v>
      </c>
      <c r="U67" s="236" t="str">
        <f>'テンプレート'!U75</f>
        <v>慣性反転</v>
      </c>
      <c r="V67" s="236" t="str">
        <f>'テンプレート'!V75</f>
        <v>向き反転</v>
      </c>
    </row>
    <row r="68" ht="23.25" customHeight="1" outlineLevel="1">
      <c r="A68" s="237" t="s">
        <v>184</v>
      </c>
      <c r="B68" s="243" t="s">
        <v>4266</v>
      </c>
      <c r="C68" s="239" t="s">
        <v>4233</v>
      </c>
      <c r="D68" s="379" t="s">
        <v>1839</v>
      </c>
      <c r="E68" s="239" t="s">
        <v>176</v>
      </c>
      <c r="F68" s="138">
        <v>2.4</v>
      </c>
      <c r="G68" s="409"/>
      <c r="H68" s="175" t="s">
        <v>4267</v>
      </c>
      <c r="I68" s="164"/>
      <c r="J68" s="104"/>
      <c r="K68" s="281"/>
      <c r="L68" s="281"/>
      <c r="M68" s="281"/>
      <c r="N68" s="281"/>
      <c r="O68" s="281"/>
      <c r="P68" s="281"/>
      <c r="Q68" s="281"/>
      <c r="R68" s="281"/>
      <c r="S68" s="281"/>
      <c r="T68" s="281"/>
      <c r="U68" s="166" t="s">
        <v>186</v>
      </c>
      <c r="V68" s="166" t="b">
        <v>1</v>
      </c>
    </row>
    <row r="69" ht="23.25" customHeight="1" outlineLevel="1">
      <c r="A69" s="146"/>
      <c r="B69" s="243" t="s">
        <v>4264</v>
      </c>
      <c r="C69" s="239" t="s">
        <v>73</v>
      </c>
      <c r="D69" s="210"/>
      <c r="E69" s="239" t="s">
        <v>700</v>
      </c>
      <c r="F69" s="138">
        <v>2.16</v>
      </c>
      <c r="G69" s="139" t="s">
        <v>170</v>
      </c>
      <c r="H69" s="212"/>
      <c r="J69" s="210"/>
      <c r="K69" s="138"/>
      <c r="L69" s="138"/>
      <c r="M69" s="145"/>
      <c r="N69" s="145"/>
      <c r="O69" s="138">
        <v>0.0</v>
      </c>
      <c r="P69" s="138">
        <v>2.0</v>
      </c>
      <c r="Q69" s="138">
        <v>0.0</v>
      </c>
      <c r="R69" s="145" t="b">
        <v>0</v>
      </c>
      <c r="S69" s="145" t="b">
        <v>0</v>
      </c>
      <c r="T69" s="145" t="b">
        <v>1</v>
      </c>
      <c r="U69" s="146"/>
      <c r="V69" s="146"/>
    </row>
    <row r="70" ht="23.25" customHeight="1" outlineLevel="1">
      <c r="A70" s="146"/>
      <c r="B70" s="243" t="s">
        <v>4268</v>
      </c>
      <c r="C70" s="239" t="s">
        <v>1615</v>
      </c>
      <c r="D70" s="210"/>
      <c r="E70" s="239" t="s">
        <v>535</v>
      </c>
      <c r="F70" s="138">
        <v>3.0</v>
      </c>
      <c r="G70" s="139" t="s">
        <v>170</v>
      </c>
      <c r="H70" s="212"/>
      <c r="J70" s="210"/>
      <c r="K70" s="138"/>
      <c r="L70" s="138"/>
      <c r="M70" s="145"/>
      <c r="N70" s="145"/>
      <c r="O70" s="138"/>
      <c r="P70" s="138"/>
      <c r="Q70" s="138"/>
      <c r="R70" s="145"/>
      <c r="S70" s="145"/>
      <c r="T70" s="145" t="b">
        <v>1</v>
      </c>
      <c r="U70" s="146"/>
      <c r="V70" s="146"/>
    </row>
    <row r="71" ht="23.25" customHeight="1" outlineLevel="1">
      <c r="A71" s="146"/>
      <c r="B71" s="243" t="s">
        <v>4269</v>
      </c>
      <c r="C71" s="239" t="s">
        <v>1106</v>
      </c>
      <c r="D71" s="210"/>
      <c r="E71" s="239" t="s">
        <v>535</v>
      </c>
      <c r="F71" s="138">
        <v>3.0</v>
      </c>
      <c r="G71" s="139" t="s">
        <v>170</v>
      </c>
      <c r="H71" s="212"/>
      <c r="J71" s="210"/>
      <c r="K71" s="138"/>
      <c r="L71" s="138"/>
      <c r="M71" s="145"/>
      <c r="N71" s="145"/>
      <c r="O71" s="138"/>
      <c r="P71" s="138"/>
      <c r="Q71" s="138"/>
      <c r="R71" s="145"/>
      <c r="S71" s="145"/>
      <c r="T71" s="145" t="b">
        <v>1</v>
      </c>
      <c r="U71" s="146"/>
      <c r="V71" s="146"/>
    </row>
    <row r="72" ht="23.25" customHeight="1" outlineLevel="1">
      <c r="A72" s="146"/>
      <c r="B72" s="243" t="s">
        <v>4270</v>
      </c>
      <c r="C72" s="239" t="s">
        <v>3083</v>
      </c>
      <c r="D72" s="107"/>
      <c r="E72" s="239" t="s">
        <v>204</v>
      </c>
      <c r="F72" s="138">
        <v>3.5999999999999996</v>
      </c>
      <c r="G72" s="139" t="s">
        <v>170</v>
      </c>
      <c r="H72" s="106"/>
      <c r="I72" s="168"/>
      <c r="J72" s="107"/>
      <c r="K72" s="138"/>
      <c r="L72" s="138"/>
      <c r="M72" s="145"/>
      <c r="N72" s="145"/>
      <c r="O72" s="138">
        <v>0.0</v>
      </c>
      <c r="P72" s="138">
        <v>1.0</v>
      </c>
      <c r="Q72" s="138">
        <v>0.5</v>
      </c>
      <c r="R72" s="145" t="b">
        <v>0</v>
      </c>
      <c r="S72" s="145" t="b">
        <v>0</v>
      </c>
      <c r="T72" s="145" t="b">
        <v>1</v>
      </c>
      <c r="U72" s="156"/>
      <c r="V72" s="156"/>
    </row>
    <row r="73" outlineLevel="1">
      <c r="A73" s="230" t="s">
        <v>4271</v>
      </c>
      <c r="B73" s="109"/>
      <c r="C73" s="231" t="s">
        <v>48</v>
      </c>
      <c r="D73" s="231" t="s">
        <v>49</v>
      </c>
      <c r="E73" s="232" t="s">
        <v>50</v>
      </c>
      <c r="F73" s="233" t="s">
        <v>51</v>
      </c>
      <c r="G73" s="232" t="s">
        <v>52</v>
      </c>
      <c r="H73" s="382" t="str">
        <f>'テンプレート'!H80</f>
        <v>備考</v>
      </c>
      <c r="I73" s="110"/>
      <c r="J73" s="109"/>
      <c r="K73" s="235" t="str">
        <f>'テンプレート'!K80</f>
        <v>ベクトル</v>
      </c>
      <c r="L73" s="235" t="str">
        <f>'テンプレート'!L80</f>
        <v>KBG (R.E.)</v>
      </c>
      <c r="M73" s="235" t="str">
        <f>'テンプレート'!M80</f>
        <v>BKB (R.A.)</v>
      </c>
      <c r="N73" s="235" t="str">
        <f>'テンプレート'!N80</f>
        <v>FKB (R.F.)</v>
      </c>
      <c r="O73" s="236" t="str">
        <f>'テンプレート'!O80</f>
        <v>盾削り値</v>
      </c>
      <c r="P73" s="235" t="str">
        <f>'テンプレート'!P80</f>
        <v>ﾋｯﾄｽﾄｯﾌﾟ</v>
      </c>
      <c r="Q73" s="236" t="str">
        <f>'テンプレート'!Q80</f>
        <v>ずらし</v>
      </c>
      <c r="R73" s="235" t="str">
        <f>'テンプレート'!R80</f>
        <v>相殺</v>
      </c>
      <c r="S73" s="236" t="str">
        <f>'テンプレート'!S80</f>
        <v>相殺ﾓｰｼｮﾝ</v>
      </c>
      <c r="T73" s="236" t="str">
        <f>'テンプレート'!T80</f>
        <v>飛び道具</v>
      </c>
      <c r="U73" s="236" t="str">
        <f>'テンプレート'!U80</f>
        <v>慣性反転</v>
      </c>
      <c r="V73" s="236" t="str">
        <f>'テンプレート'!V80</f>
        <v>向き反転</v>
      </c>
    </row>
    <row r="74" outlineLevel="1">
      <c r="A74" s="1202" t="s">
        <v>184</v>
      </c>
      <c r="B74" s="870"/>
      <c r="C74" s="281"/>
      <c r="D74" s="239" t="s">
        <v>413</v>
      </c>
      <c r="E74" s="281"/>
      <c r="F74" s="281"/>
      <c r="G74" s="281"/>
      <c r="H74" s="151" t="s">
        <v>4272</v>
      </c>
      <c r="I74" s="110"/>
      <c r="J74" s="109"/>
      <c r="K74" s="261"/>
      <c r="L74" s="261"/>
      <c r="M74" s="261"/>
      <c r="N74" s="261"/>
      <c r="O74" s="261"/>
      <c r="P74" s="261"/>
      <c r="Q74" s="261"/>
      <c r="R74" s="261"/>
      <c r="S74" s="261"/>
      <c r="T74" s="261"/>
      <c r="U74" s="145" t="s">
        <v>186</v>
      </c>
      <c r="V74" s="145" t="b">
        <v>1</v>
      </c>
    </row>
    <row r="75" outlineLevel="1">
      <c r="A75" s="230" t="s">
        <v>4273</v>
      </c>
      <c r="B75" s="109"/>
      <c r="C75" s="231" t="s">
        <v>48</v>
      </c>
      <c r="D75" s="231" t="s">
        <v>49</v>
      </c>
      <c r="E75" s="232" t="s">
        <v>50</v>
      </c>
      <c r="F75" s="233" t="s">
        <v>51</v>
      </c>
      <c r="G75" s="232" t="s">
        <v>52</v>
      </c>
      <c r="H75" s="382" t="str">
        <f>'テンプレート'!H85</f>
        <v>備考</v>
      </c>
      <c r="I75" s="110"/>
      <c r="J75" s="109"/>
      <c r="K75" s="235" t="str">
        <f>'テンプレート'!K85</f>
        <v>ベクトル</v>
      </c>
      <c r="L75" s="235" t="str">
        <f>'テンプレート'!L85</f>
        <v>KBG (R.E.)</v>
      </c>
      <c r="M75" s="235" t="str">
        <f>'テンプレート'!M85</f>
        <v>BKB (R.A.)</v>
      </c>
      <c r="N75" s="235" t="str">
        <f>'テンプレート'!N85</f>
        <v>FKB (R.F.)</v>
      </c>
      <c r="O75" s="236" t="str">
        <f>'テンプレート'!O85</f>
        <v>盾削り値</v>
      </c>
      <c r="P75" s="235" t="str">
        <f>'テンプレート'!P85</f>
        <v>ﾋｯﾄｽﾄｯﾌﾟ</v>
      </c>
      <c r="Q75" s="236" t="str">
        <f>'テンプレート'!Q85</f>
        <v>ずらし</v>
      </c>
      <c r="R75" s="235" t="str">
        <f>'テンプレート'!R85</f>
        <v>相殺</v>
      </c>
      <c r="S75" s="236" t="str">
        <f>'テンプレート'!S85</f>
        <v>相殺ﾓｰｼｮﾝ</v>
      </c>
      <c r="T75" s="236" t="str">
        <f>'テンプレート'!T85</f>
        <v>飛び道具</v>
      </c>
      <c r="U75" s="236" t="str">
        <f>'テンプレート'!U85</f>
        <v>慣性反転</v>
      </c>
      <c r="V75" s="236" t="str">
        <f>'テンプレート'!V85</f>
        <v>向き反転</v>
      </c>
    </row>
    <row r="76" outlineLevel="1">
      <c r="A76" s="237" t="s">
        <v>184</v>
      </c>
      <c r="B76" s="624" t="s">
        <v>4274</v>
      </c>
      <c r="C76" s="239" t="s">
        <v>993</v>
      </c>
      <c r="D76" s="195" t="s">
        <v>384</v>
      </c>
      <c r="E76" s="239" t="s">
        <v>80</v>
      </c>
      <c r="F76" s="138">
        <v>9.6</v>
      </c>
      <c r="G76" s="139" t="s">
        <v>60</v>
      </c>
      <c r="H76" s="163" t="s">
        <v>4275</v>
      </c>
      <c r="I76" s="164"/>
      <c r="J76" s="104"/>
      <c r="K76" s="138"/>
      <c r="L76" s="138"/>
      <c r="M76" s="145"/>
      <c r="N76" s="145"/>
      <c r="O76" s="138">
        <v>0.0</v>
      </c>
      <c r="P76" s="138">
        <v>1.5</v>
      </c>
      <c r="Q76" s="138">
        <v>0.5</v>
      </c>
      <c r="R76" s="145" t="b">
        <v>0</v>
      </c>
      <c r="S76" s="145" t="b">
        <v>0</v>
      </c>
      <c r="T76" s="145" t="b">
        <v>1</v>
      </c>
      <c r="U76" s="166" t="s">
        <v>186</v>
      </c>
      <c r="V76" s="166" t="b">
        <v>1</v>
      </c>
    </row>
    <row r="77" outlineLevel="1">
      <c r="A77" s="146"/>
      <c r="B77" s="624" t="s">
        <v>4276</v>
      </c>
      <c r="C77" s="239" t="s">
        <v>4277</v>
      </c>
      <c r="D77" s="210"/>
      <c r="E77" s="239" t="s">
        <v>80</v>
      </c>
      <c r="F77" s="138">
        <v>9.6</v>
      </c>
      <c r="G77" s="139" t="s">
        <v>60</v>
      </c>
      <c r="H77" s="212"/>
      <c r="J77" s="210"/>
      <c r="K77" s="138"/>
      <c r="L77" s="138"/>
      <c r="M77" s="145"/>
      <c r="N77" s="145"/>
      <c r="O77" s="138"/>
      <c r="P77" s="138"/>
      <c r="Q77" s="138"/>
      <c r="R77" s="145" t="b">
        <v>0</v>
      </c>
      <c r="S77" s="145" t="b">
        <v>0</v>
      </c>
      <c r="T77" s="145" t="b">
        <v>0</v>
      </c>
      <c r="U77" s="146"/>
      <c r="V77" s="146"/>
    </row>
    <row r="78" outlineLevel="1">
      <c r="A78" s="146"/>
      <c r="B78" s="624" t="s">
        <v>4278</v>
      </c>
      <c r="C78" s="239" t="s">
        <v>208</v>
      </c>
      <c r="D78" s="210"/>
      <c r="E78" s="239" t="s">
        <v>274</v>
      </c>
      <c r="F78" s="138">
        <v>10.799999999999999</v>
      </c>
      <c r="G78" s="139" t="s">
        <v>147</v>
      </c>
      <c r="H78" s="212"/>
      <c r="J78" s="210"/>
      <c r="K78" s="138"/>
      <c r="L78" s="138"/>
      <c r="M78" s="145"/>
      <c r="N78" s="145"/>
      <c r="O78" s="138"/>
      <c r="P78" s="138"/>
      <c r="Q78" s="138"/>
      <c r="R78" s="145" t="b">
        <v>0</v>
      </c>
      <c r="S78" s="145" t="b">
        <v>0</v>
      </c>
      <c r="T78" s="145" t="b">
        <v>0</v>
      </c>
      <c r="U78" s="146"/>
      <c r="V78" s="146"/>
    </row>
    <row r="79" outlineLevel="1">
      <c r="A79" s="146"/>
      <c r="B79" s="624" t="s">
        <v>4279</v>
      </c>
      <c r="C79" s="239" t="s">
        <v>2456</v>
      </c>
      <c r="D79" s="210"/>
      <c r="E79" s="239" t="s">
        <v>232</v>
      </c>
      <c r="F79" s="138">
        <v>13.2</v>
      </c>
      <c r="G79" s="139" t="s">
        <v>147</v>
      </c>
      <c r="H79" s="212"/>
      <c r="J79" s="210"/>
      <c r="K79" s="138"/>
      <c r="L79" s="138"/>
      <c r="M79" s="145"/>
      <c r="N79" s="145"/>
      <c r="O79" s="138"/>
      <c r="P79" s="138"/>
      <c r="Q79" s="138"/>
      <c r="R79" s="145" t="b">
        <v>0</v>
      </c>
      <c r="S79" s="145" t="b">
        <v>0</v>
      </c>
      <c r="T79" s="145" t="b">
        <v>0</v>
      </c>
      <c r="U79" s="146"/>
      <c r="V79" s="146"/>
    </row>
    <row r="80" outlineLevel="1">
      <c r="A80" s="156"/>
      <c r="B80" s="624" t="s">
        <v>4280</v>
      </c>
      <c r="C80" s="239" t="s">
        <v>300</v>
      </c>
      <c r="D80" s="107"/>
      <c r="E80" s="239" t="s">
        <v>128</v>
      </c>
      <c r="F80" s="138">
        <v>12.0</v>
      </c>
      <c r="G80" s="139" t="s">
        <v>147</v>
      </c>
      <c r="H80" s="106"/>
      <c r="I80" s="168"/>
      <c r="J80" s="107"/>
      <c r="K80" s="138"/>
      <c r="L80" s="138"/>
      <c r="M80" s="145"/>
      <c r="N80" s="145"/>
      <c r="O80" s="138"/>
      <c r="P80" s="138"/>
      <c r="Q80" s="138"/>
      <c r="R80" s="145" t="b">
        <v>0</v>
      </c>
      <c r="S80" s="145" t="b">
        <v>0</v>
      </c>
      <c r="T80" s="145" t="b">
        <v>0</v>
      </c>
      <c r="U80" s="156"/>
      <c r="V80" s="156"/>
    </row>
    <row r="81">
      <c r="A81" s="223"/>
      <c r="B81" s="224"/>
      <c r="C81" s="225"/>
      <c r="D81" s="225"/>
      <c r="E81" s="226"/>
      <c r="F81" s="226"/>
      <c r="G81" s="226"/>
      <c r="H81" s="227"/>
      <c r="I81" s="227"/>
      <c r="J81" s="228"/>
      <c r="K81" s="228"/>
      <c r="L81" s="228"/>
      <c r="M81" s="228"/>
      <c r="N81" s="228"/>
      <c r="O81" s="228"/>
      <c r="P81" s="228"/>
      <c r="Q81" s="118"/>
      <c r="R81" s="118"/>
      <c r="S81" s="118"/>
      <c r="T81" s="118"/>
      <c r="U81" s="118"/>
      <c r="V81" s="118"/>
    </row>
    <row r="82">
      <c r="A82" s="264" t="s">
        <v>211</v>
      </c>
      <c r="B82" s="104"/>
      <c r="C82" s="227"/>
      <c r="D82" s="227"/>
      <c r="E82" s="228"/>
      <c r="F82" s="265"/>
      <c r="G82" s="265"/>
      <c r="H82" s="2685"/>
      <c r="I82" s="2686"/>
      <c r="J82" s="2686"/>
      <c r="K82" s="228"/>
      <c r="L82" s="228"/>
      <c r="M82" s="228"/>
      <c r="N82" s="118"/>
      <c r="O82" s="118"/>
      <c r="P82" s="118"/>
      <c r="Q82" s="228"/>
      <c r="R82" s="228"/>
      <c r="S82" s="228"/>
      <c r="T82" s="228"/>
      <c r="U82" s="228"/>
      <c r="V82" s="228"/>
    </row>
    <row r="83" outlineLevel="1">
      <c r="A83" s="106"/>
      <c r="B83" s="107"/>
      <c r="C83" s="266" t="s">
        <v>48</v>
      </c>
      <c r="D83" s="266" t="s">
        <v>49</v>
      </c>
      <c r="E83" s="266" t="s">
        <v>50</v>
      </c>
      <c r="F83" s="267" t="s">
        <v>51</v>
      </c>
      <c r="G83" s="227"/>
      <c r="H83" s="2685"/>
      <c r="I83" s="2686"/>
      <c r="J83" s="2687"/>
      <c r="K83" s="228"/>
      <c r="L83" s="228"/>
      <c r="M83" s="228"/>
      <c r="N83" s="228"/>
      <c r="O83" s="228"/>
      <c r="P83" s="228"/>
      <c r="Q83" s="228"/>
      <c r="R83" s="228"/>
      <c r="S83" s="228"/>
      <c r="T83" s="228"/>
      <c r="U83" s="228"/>
      <c r="V83" s="228"/>
    </row>
    <row r="84" outlineLevel="1">
      <c r="A84" s="268" t="s">
        <v>212</v>
      </c>
      <c r="B84" s="269" t="s">
        <v>212</v>
      </c>
      <c r="C84" s="239" t="s">
        <v>213</v>
      </c>
      <c r="D84" s="239" t="s">
        <v>86</v>
      </c>
      <c r="E84" s="239" t="s">
        <v>214</v>
      </c>
      <c r="F84" s="138">
        <v>1.56</v>
      </c>
      <c r="G84" s="227"/>
      <c r="H84" s="227"/>
      <c r="I84" s="227"/>
      <c r="J84" s="228"/>
      <c r="K84" s="228"/>
      <c r="L84" s="228"/>
      <c r="M84" s="228"/>
      <c r="N84" s="228"/>
      <c r="O84" s="228"/>
      <c r="P84" s="228"/>
      <c r="Q84" s="228"/>
      <c r="R84" s="228"/>
      <c r="S84" s="228"/>
      <c r="T84" s="228"/>
      <c r="U84" s="228"/>
      <c r="V84" s="228"/>
    </row>
    <row r="85" outlineLevel="1">
      <c r="A85" s="270" t="s">
        <v>215</v>
      </c>
      <c r="B85" s="269" t="s">
        <v>216</v>
      </c>
      <c r="C85" s="239" t="s">
        <v>217</v>
      </c>
      <c r="D85" s="239" t="s">
        <v>218</v>
      </c>
      <c r="E85" s="271"/>
      <c r="F85" s="272"/>
      <c r="G85" s="272"/>
      <c r="H85" s="227"/>
      <c r="I85" s="227"/>
      <c r="J85" s="228"/>
      <c r="K85" s="228"/>
      <c r="L85" s="228"/>
      <c r="M85" s="228"/>
      <c r="N85" s="228"/>
      <c r="O85" s="228"/>
      <c r="P85" s="228"/>
      <c r="Q85" s="228"/>
      <c r="R85" s="228"/>
      <c r="S85" s="228"/>
      <c r="T85" s="228"/>
      <c r="U85" s="228"/>
      <c r="V85" s="228"/>
    </row>
    <row r="86" outlineLevel="1">
      <c r="A86" s="212"/>
      <c r="B86" s="269" t="s">
        <v>219</v>
      </c>
      <c r="C86" s="239" t="s">
        <v>220</v>
      </c>
      <c r="D86" s="239" t="s">
        <v>221</v>
      </c>
      <c r="E86" s="271"/>
      <c r="F86" s="272"/>
      <c r="G86" s="272"/>
      <c r="H86" s="227"/>
      <c r="I86" s="227"/>
      <c r="J86" s="228"/>
      <c r="K86" s="228"/>
      <c r="L86" s="228"/>
      <c r="M86" s="228"/>
      <c r="N86" s="228"/>
      <c r="O86" s="228"/>
      <c r="P86" s="228"/>
      <c r="Q86" s="228"/>
      <c r="R86" s="228"/>
      <c r="S86" s="228"/>
      <c r="T86" s="228"/>
      <c r="U86" s="228"/>
      <c r="V86" s="228"/>
    </row>
    <row r="87" outlineLevel="1">
      <c r="A87" s="106"/>
      <c r="B87" s="269" t="s">
        <v>222</v>
      </c>
      <c r="C87" s="239" t="s">
        <v>223</v>
      </c>
      <c r="D87" s="239" t="s">
        <v>79</v>
      </c>
      <c r="E87" s="227"/>
      <c r="F87" s="272"/>
      <c r="G87" s="272"/>
      <c r="H87" s="227"/>
      <c r="I87" s="227"/>
      <c r="J87" s="228"/>
      <c r="K87" s="228"/>
      <c r="L87" s="228"/>
      <c r="M87" s="228"/>
      <c r="N87" s="228"/>
      <c r="O87" s="228"/>
      <c r="P87" s="228"/>
      <c r="Q87" s="228"/>
      <c r="R87" s="228"/>
      <c r="S87" s="228"/>
      <c r="T87" s="228"/>
      <c r="U87" s="228"/>
      <c r="V87" s="228"/>
    </row>
    <row r="88" outlineLevel="1">
      <c r="A88" s="273" t="s">
        <v>225</v>
      </c>
      <c r="B88" s="109"/>
      <c r="C88" s="266" t="s">
        <v>48</v>
      </c>
      <c r="D88" s="266" t="s">
        <v>49</v>
      </c>
      <c r="E88" s="266" t="s">
        <v>50</v>
      </c>
      <c r="F88" s="267" t="s">
        <v>51</v>
      </c>
      <c r="G88" s="1168" t="s">
        <v>53</v>
      </c>
      <c r="H88" s="110"/>
      <c r="I88" s="110"/>
      <c r="J88" s="109"/>
      <c r="K88" s="275" t="str">
        <f>'テンプレート'!K97</f>
        <v>ベクトル</v>
      </c>
      <c r="L88" s="275" t="str">
        <f>'テンプレート'!L97</f>
        <v>KBG (R.E.)</v>
      </c>
      <c r="M88" s="275" t="str">
        <f>'テンプレート'!M97</f>
        <v>BKB (R.A.)</v>
      </c>
      <c r="N88" s="275" t="str">
        <f>'テンプレート'!N97</f>
        <v>FKB (R.F.)</v>
      </c>
      <c r="O88" s="276" t="str">
        <f>'テンプレート'!O97</f>
        <v>盾削り値</v>
      </c>
      <c r="P88" s="275" t="str">
        <f>'テンプレート'!P97</f>
        <v>ﾋｯﾄｽﾄｯﾌﾟ</v>
      </c>
      <c r="Q88" s="276" t="str">
        <f>'テンプレート'!Q97</f>
        <v>ずらし</v>
      </c>
      <c r="R88" s="277"/>
      <c r="S88" s="277"/>
      <c r="T88" s="277"/>
      <c r="U88" s="277"/>
      <c r="V88" s="277"/>
    </row>
    <row r="89" outlineLevel="1">
      <c r="A89" s="278" t="s">
        <v>226</v>
      </c>
      <c r="B89" s="269" t="s">
        <v>227</v>
      </c>
      <c r="C89" s="261"/>
      <c r="D89" s="279">
        <v>29.0</v>
      </c>
      <c r="E89" s="261"/>
      <c r="F89" s="261"/>
      <c r="G89" s="1170"/>
      <c r="H89" s="164"/>
      <c r="I89" s="164"/>
      <c r="J89" s="104"/>
      <c r="K89" s="261"/>
      <c r="L89" s="261"/>
      <c r="M89" s="261"/>
      <c r="N89" s="261"/>
      <c r="O89" s="261"/>
      <c r="P89" s="261"/>
      <c r="Q89" s="261"/>
      <c r="R89" s="277"/>
      <c r="S89" s="228"/>
      <c r="T89" s="228"/>
      <c r="U89" s="228"/>
      <c r="V89" s="228"/>
    </row>
    <row r="90" outlineLevel="1">
      <c r="A90" s="156"/>
      <c r="B90" s="269" t="s">
        <v>225</v>
      </c>
      <c r="C90" s="113">
        <v>18.0</v>
      </c>
      <c r="D90" s="156"/>
      <c r="E90" s="239" t="s">
        <v>80</v>
      </c>
      <c r="F90" s="138">
        <v>9.6</v>
      </c>
      <c r="G90" s="106"/>
      <c r="H90" s="168"/>
      <c r="I90" s="168"/>
      <c r="J90" s="107"/>
      <c r="K90" s="282"/>
      <c r="L90" s="282"/>
      <c r="M90" s="363"/>
      <c r="N90" s="363"/>
      <c r="O90" s="261"/>
      <c r="P90" s="261"/>
      <c r="Q90" s="261"/>
      <c r="R90" s="277"/>
      <c r="S90" s="228"/>
      <c r="T90" s="228"/>
      <c r="U90" s="228"/>
      <c r="V90" s="228"/>
    </row>
    <row r="91" outlineLevel="1">
      <c r="A91" s="278" t="s">
        <v>229</v>
      </c>
      <c r="B91" s="269" t="s">
        <v>227</v>
      </c>
      <c r="C91" s="261"/>
      <c r="D91" s="367" t="s">
        <v>118</v>
      </c>
      <c r="E91" s="261"/>
      <c r="F91" s="261"/>
      <c r="G91" s="1170"/>
      <c r="H91" s="164"/>
      <c r="I91" s="164"/>
      <c r="J91" s="104"/>
      <c r="K91" s="261"/>
      <c r="L91" s="261"/>
      <c r="M91" s="261"/>
      <c r="N91" s="261"/>
      <c r="O91" s="261"/>
      <c r="P91" s="261"/>
      <c r="Q91" s="261"/>
      <c r="R91" s="277"/>
      <c r="S91" s="228"/>
      <c r="T91" s="228"/>
      <c r="U91" s="228"/>
      <c r="V91" s="228"/>
    </row>
    <row r="92" outlineLevel="1">
      <c r="A92" s="156"/>
      <c r="B92" s="269" t="s">
        <v>225</v>
      </c>
      <c r="C92" s="113">
        <v>15.0</v>
      </c>
      <c r="D92" s="156"/>
      <c r="E92" s="239" t="s">
        <v>274</v>
      </c>
      <c r="F92" s="138">
        <v>10.799999999999999</v>
      </c>
      <c r="G92" s="106"/>
      <c r="H92" s="168"/>
      <c r="I92" s="168"/>
      <c r="J92" s="107"/>
      <c r="K92" s="282"/>
      <c r="L92" s="282"/>
      <c r="M92" s="363"/>
      <c r="N92" s="363"/>
      <c r="O92" s="261"/>
      <c r="P92" s="261"/>
      <c r="Q92" s="261"/>
      <c r="R92" s="277"/>
      <c r="S92" s="228"/>
      <c r="T92" s="228"/>
      <c r="U92" s="228"/>
      <c r="V92" s="228"/>
    </row>
    <row r="93" outlineLevel="1">
      <c r="A93" s="278" t="s">
        <v>233</v>
      </c>
      <c r="B93" s="269" t="s">
        <v>227</v>
      </c>
      <c r="C93" s="261"/>
      <c r="D93" s="279">
        <v>47.0</v>
      </c>
      <c r="E93" s="261"/>
      <c r="F93" s="261"/>
      <c r="G93" s="283" t="s">
        <v>3321</v>
      </c>
      <c r="H93" s="164"/>
      <c r="I93" s="164"/>
      <c r="J93" s="104"/>
      <c r="K93" s="261"/>
      <c r="L93" s="261"/>
      <c r="M93" s="261"/>
      <c r="N93" s="261"/>
      <c r="O93" s="261"/>
      <c r="P93" s="261"/>
      <c r="Q93" s="261"/>
      <c r="R93" s="277"/>
      <c r="S93" s="228"/>
      <c r="T93" s="228"/>
      <c r="U93" s="228"/>
      <c r="V93" s="228"/>
    </row>
    <row r="94" outlineLevel="1">
      <c r="A94" s="156"/>
      <c r="B94" s="269" t="s">
        <v>225</v>
      </c>
      <c r="C94" s="113">
        <v>18.0</v>
      </c>
      <c r="D94" s="156"/>
      <c r="E94" s="239" t="s">
        <v>86</v>
      </c>
      <c r="F94" s="138">
        <v>7.199999999999999</v>
      </c>
      <c r="G94" s="106"/>
      <c r="H94" s="168"/>
      <c r="I94" s="168"/>
      <c r="J94" s="107"/>
      <c r="K94" s="282"/>
      <c r="L94" s="282"/>
      <c r="M94" s="363"/>
      <c r="N94" s="363"/>
      <c r="O94" s="261"/>
      <c r="P94" s="261"/>
      <c r="Q94" s="261"/>
      <c r="R94" s="277"/>
      <c r="S94" s="117"/>
      <c r="T94" s="117"/>
      <c r="U94" s="117"/>
      <c r="V94" s="117"/>
    </row>
    <row r="95" outlineLevel="1">
      <c r="A95" s="278" t="s">
        <v>234</v>
      </c>
      <c r="B95" s="269" t="s">
        <v>227</v>
      </c>
      <c r="C95" s="239" t="s">
        <v>173</v>
      </c>
      <c r="D95" s="367" t="s">
        <v>185</v>
      </c>
      <c r="E95" s="239" t="s">
        <v>73</v>
      </c>
      <c r="F95" s="239" t="s">
        <v>74</v>
      </c>
      <c r="G95" s="283" t="s">
        <v>4281</v>
      </c>
      <c r="H95" s="164"/>
      <c r="I95" s="164"/>
      <c r="J95" s="104"/>
      <c r="K95" s="261"/>
      <c r="L95" s="261"/>
      <c r="M95" s="261"/>
      <c r="N95" s="261"/>
      <c r="O95" s="261"/>
      <c r="P95" s="261"/>
      <c r="Q95" s="261"/>
      <c r="R95" s="277"/>
      <c r="S95" s="117"/>
      <c r="T95" s="117"/>
      <c r="U95" s="117"/>
      <c r="V95" s="117"/>
    </row>
    <row r="96" outlineLevel="1">
      <c r="A96" s="156"/>
      <c r="B96" s="269" t="s">
        <v>225</v>
      </c>
      <c r="C96" s="113">
        <v>24.0</v>
      </c>
      <c r="D96" s="156"/>
      <c r="E96" s="239" t="s">
        <v>150</v>
      </c>
      <c r="F96" s="138">
        <v>6.0</v>
      </c>
      <c r="G96" s="106"/>
      <c r="H96" s="168"/>
      <c r="I96" s="168"/>
      <c r="J96" s="107"/>
      <c r="K96" s="282"/>
      <c r="L96" s="282"/>
      <c r="M96" s="363"/>
      <c r="N96" s="363"/>
      <c r="O96" s="261"/>
      <c r="P96" s="261"/>
      <c r="Q96" s="261"/>
      <c r="R96" s="277"/>
      <c r="S96" s="117"/>
      <c r="T96" s="117"/>
      <c r="U96" s="117"/>
      <c r="V96" s="117"/>
    </row>
    <row r="97">
      <c r="A97" s="223"/>
      <c r="B97" s="224"/>
      <c r="C97" s="225"/>
      <c r="D97" s="225"/>
      <c r="E97" s="227"/>
      <c r="F97" s="177"/>
      <c r="G97" s="177"/>
      <c r="H97" s="227"/>
      <c r="I97" s="227"/>
      <c r="J97" s="228"/>
      <c r="K97" s="228"/>
      <c r="L97" s="111"/>
      <c r="M97" s="111"/>
      <c r="N97" s="111"/>
      <c r="O97" s="117"/>
      <c r="P97" s="117"/>
      <c r="Q97" s="111"/>
      <c r="R97" s="111"/>
      <c r="S97" s="111"/>
      <c r="T97" s="111"/>
      <c r="U97" s="111"/>
      <c r="V97" s="111"/>
    </row>
    <row r="98">
      <c r="A98" s="284" t="s">
        <v>241</v>
      </c>
      <c r="B98" s="104"/>
      <c r="C98" s="265"/>
      <c r="D98" s="111"/>
      <c r="E98" s="111"/>
      <c r="F98" s="111"/>
      <c r="G98" s="111"/>
      <c r="H98" s="111"/>
      <c r="I98" s="111"/>
      <c r="J98" s="118"/>
      <c r="K98" s="111"/>
      <c r="L98" s="111"/>
      <c r="M98" s="111"/>
      <c r="N98" s="111"/>
      <c r="O98" s="111"/>
      <c r="P98" s="111"/>
      <c r="Q98" s="118"/>
      <c r="R98" s="111"/>
      <c r="S98" s="111"/>
      <c r="T98" s="111"/>
      <c r="U98" s="111"/>
      <c r="V98" s="111"/>
    </row>
    <row r="99" outlineLevel="1">
      <c r="A99" s="106"/>
      <c r="B99" s="107"/>
      <c r="C99" s="285" t="s">
        <v>235</v>
      </c>
      <c r="D99" s="285" t="s">
        <v>236</v>
      </c>
      <c r="E99" s="285" t="s">
        <v>49</v>
      </c>
      <c r="F99" s="285" t="s">
        <v>237</v>
      </c>
      <c r="G99" s="286"/>
      <c r="H99" s="227"/>
      <c r="I99" s="227"/>
      <c r="J99" s="228"/>
      <c r="K99" s="228"/>
      <c r="L99" s="111"/>
      <c r="M99" s="111"/>
      <c r="N99" s="111"/>
      <c r="O99" s="111"/>
      <c r="P99" s="111"/>
      <c r="Q99" s="111"/>
      <c r="R99" s="111"/>
      <c r="S99" s="111"/>
      <c r="T99" s="111"/>
      <c r="U99" s="111"/>
      <c r="V99" s="111"/>
    </row>
    <row r="100" outlineLevel="1">
      <c r="A100" s="287" t="s">
        <v>395</v>
      </c>
      <c r="B100" s="288" t="s">
        <v>216</v>
      </c>
      <c r="C100" s="113" t="str">
        <f t="array" ref="C100">INDEX('回避'!$C$3:$U$84, MATCH($A$1,'回避'!$A$3:$A$91,0), MATCH(C99,'回避'!$C$2:$F$2,0))</f>
        <v>3-17</v>
      </c>
      <c r="D100" s="113" t="str">
        <f t="array" ref="D100">INDEX('回避'!$C$3:$U$84, MATCH($A$1,'回避'!$A$3:$A$91,0), MATCH(D99,'回避'!$C$2:$F$2,0))</f>
        <v>6-17</v>
      </c>
      <c r="E100" s="113" t="str">
        <f t="array" ref="E100">INDEX('回避'!$C$3:$U$84, MATCH($A$1,'回避'!$A$3:$A$91,0), MATCH(E99,'回避'!$C$2:$F$2,0))</f>
        <v>25 (20)</v>
      </c>
      <c r="F100" s="113" t="str">
        <f t="array" ref="F100">INDEX('回避'!$C$3:$U$84, MATCH($A$1,'回避'!$A$3:$A$91,0), MATCH(F99,'回避'!$C$2:$F$2,0))</f>
        <v>33 (27)</v>
      </c>
      <c r="G100" s="272"/>
      <c r="H100" s="227"/>
      <c r="I100" s="227"/>
      <c r="J100" s="228"/>
      <c r="K100" s="228"/>
      <c r="L100" s="228"/>
      <c r="M100" s="111"/>
      <c r="N100" s="111"/>
      <c r="O100" s="111"/>
      <c r="P100" s="111"/>
      <c r="Q100" s="111"/>
      <c r="R100" s="111"/>
      <c r="S100" s="111"/>
      <c r="T100" s="111"/>
      <c r="U100" s="111"/>
      <c r="V100" s="111"/>
    </row>
    <row r="101" outlineLevel="1">
      <c r="A101" s="212"/>
      <c r="B101" s="288" t="s">
        <v>245</v>
      </c>
      <c r="C101" s="113" t="str">
        <f t="array" ref="C101">INDEX('回避'!$G$3:$U$84, MATCH($A$1,'回避'!$A$3:$A$91,0), MATCH(C99,'回避'!$G$2:$J$2,0))</f>
        <v>4-15</v>
      </c>
      <c r="D101" s="113" t="str">
        <f t="array" ref="D101">INDEX('回避'!$G$3:$U$84, MATCH($A$1,'回避'!$A$3:$A$91,0), MATCH(D99,'回避'!$G$2:$J$2,0))</f>
        <v>8-14</v>
      </c>
      <c r="E101" s="113" t="str">
        <f t="array" ref="E101">INDEX('回避'!$G$3:$U$84, MATCH($A$1,'回避'!$A$3:$A$91,0), MATCH(E99,'回避'!$G$2:$J$2,0))</f>
        <v>29</v>
      </c>
      <c r="F101" s="113">
        <f t="array" ref="F101">INDEX('回避'!$G$3:$U$84, MATCH($A$1,'回避'!$A$3:$A$91,0), MATCH(F99,'回避'!$G$2:$J$2,0))</f>
        <v>38</v>
      </c>
      <c r="G101" s="289"/>
      <c r="H101" s="290"/>
      <c r="I101" s="227"/>
      <c r="J101" s="117"/>
      <c r="K101" s="228"/>
      <c r="L101" s="228"/>
      <c r="M101" s="228"/>
      <c r="N101" s="228"/>
      <c r="O101" s="111"/>
      <c r="P101" s="111"/>
      <c r="Q101" s="111"/>
      <c r="R101" s="111"/>
      <c r="S101" s="111"/>
      <c r="T101" s="111"/>
      <c r="U101" s="111"/>
      <c r="V101" s="111"/>
    </row>
    <row r="102" outlineLevel="1">
      <c r="A102" s="106"/>
      <c r="B102" s="288" t="s">
        <v>246</v>
      </c>
      <c r="C102" s="113" t="str">
        <f t="array" ref="C102">INDEX('回避'!$K$3:$U$84, MATCH($A$1,'回避'!$A$3:$A$91,0), MATCH(C99,'回避'!$K$2:$N$2,0))</f>
        <v>5-16</v>
      </c>
      <c r="D102" s="113" t="str">
        <f t="array" ref="D102">INDEX('回避'!$K$3:$U$84, MATCH($A$1,'回避'!$A$3:$A$91,0), MATCH(D99,'回避'!$K$2:$N$2,0))</f>
        <v>9-14</v>
      </c>
      <c r="E102" s="113" t="str">
        <f t="array" ref="E102">INDEX('回避'!$K$3:$U$84, MATCH($A$1,'回避'!$A$3:$A$91,0), MATCH(E99,'回避'!$K$2:$N$2,0))</f>
        <v>34</v>
      </c>
      <c r="F102" s="113" t="str">
        <f t="array" ref="F102">INDEX('回避'!$K$3:$U$84, MATCH($A$1,'回避'!$A$3:$A$91,0), MATCH(F99,'回避'!$K$2:$N$2,0))</f>
        <v>51</v>
      </c>
      <c r="G102" s="289"/>
      <c r="H102" s="290"/>
      <c r="I102" s="290"/>
      <c r="J102" s="117"/>
      <c r="K102" s="117"/>
      <c r="L102" s="117"/>
      <c r="M102" s="117"/>
      <c r="N102" s="117"/>
      <c r="O102" s="111"/>
      <c r="P102" s="111"/>
      <c r="Q102" s="111"/>
      <c r="R102" s="111"/>
      <c r="S102" s="111"/>
      <c r="T102" s="111"/>
      <c r="U102" s="111"/>
      <c r="V102" s="111"/>
    </row>
    <row r="103" outlineLevel="1">
      <c r="A103" s="287" t="s">
        <v>396</v>
      </c>
      <c r="B103" s="288" t="s">
        <v>397</v>
      </c>
      <c r="C103" s="113" t="str">
        <f t="array" ref="C103">INDEX('回避'!$O$3:$U$84, MATCH($A$1,'回避'!$A$3:$A$91,0), MATCH(C99,'回避'!$O$2:$R$2,0))</f>
        <v>3-27</v>
      </c>
      <c r="D103" s="113" t="str">
        <f t="array" ref="D103">INDEX('回避'!$O$3:$U$84, MATCH($A$1,'回避'!$A$3:$A$91,0), MATCH(D99,'回避'!$O$2:$R$2,0))</f>
        <v>6-25</v>
      </c>
      <c r="E103" s="113" t="str">
        <f t="array" ref="E103">INDEX('回避'!$O$3:$U$84, MATCH($A$1,'回避'!$A$3:$A$91,0), MATCH(E99,'回避'!$O$2:$R$2,0))</f>
        <v>49</v>
      </c>
      <c r="F103" s="177"/>
      <c r="G103" s="177"/>
      <c r="H103" s="2688"/>
      <c r="I103" s="118"/>
      <c r="J103" s="99"/>
      <c r="K103" s="111"/>
      <c r="L103" s="111"/>
      <c r="M103" s="111"/>
      <c r="N103" s="111"/>
      <c r="O103" s="228"/>
      <c r="P103" s="228"/>
      <c r="Q103" s="228"/>
      <c r="R103" s="228"/>
      <c r="S103" s="228"/>
      <c r="T103" s="228"/>
      <c r="U103" s="228"/>
      <c r="V103" s="228"/>
    </row>
    <row r="104" outlineLevel="1">
      <c r="A104" s="106"/>
      <c r="B104" s="288" t="s">
        <v>398</v>
      </c>
      <c r="C104" s="113" t="str">
        <f t="array" ref="C104">INDEX('回避'!$S$3:$U$84, MATCH($A$1,'回避'!$A$3:$A$91,0), MATCH(C99,'回避'!$S$2:$U$2,0))</f>
        <v>3-21</v>
      </c>
      <c r="D104" s="113" t="str">
        <f t="array" ref="D104">INDEX('回避'!$S$3:$U$84, MATCH($A$1,'回避'!$A$3:$A$91,0), MATCH(D99,'回避'!$S$2:$U$2,0))</f>
        <v>6-20</v>
      </c>
      <c r="E104" s="113" t="str">
        <f t="array" ref="E104">INDEX('回避'!$S$3:$U$84, MATCH($A$1,'回避'!$A$3:$A$91,0), MATCH(E99,'回避'!$S$2:$U$2,0))</f>
        <v>真横：83
真上：113
真下：66</v>
      </c>
      <c r="F104" s="289"/>
      <c r="G104" s="289"/>
      <c r="H104" s="118"/>
      <c r="I104" s="118"/>
      <c r="J104" s="117"/>
      <c r="K104" s="117"/>
      <c r="L104" s="117"/>
      <c r="M104" s="117"/>
      <c r="N104" s="111"/>
      <c r="O104" s="118"/>
      <c r="P104" s="118"/>
      <c r="Q104" s="118"/>
      <c r="R104" s="118"/>
      <c r="S104" s="118"/>
      <c r="T104" s="118"/>
      <c r="U104" s="118"/>
      <c r="V104" s="118"/>
    </row>
    <row r="105">
      <c r="A105" s="291"/>
      <c r="B105" s="292"/>
      <c r="C105" s="286"/>
      <c r="D105" s="286"/>
      <c r="E105" s="293"/>
      <c r="F105" s="286"/>
      <c r="G105" s="286"/>
      <c r="H105" s="286"/>
      <c r="I105" s="286"/>
      <c r="J105" s="111"/>
      <c r="K105" s="227"/>
      <c r="L105" s="227"/>
      <c r="M105" s="227"/>
      <c r="N105" s="227"/>
      <c r="O105" s="118"/>
      <c r="P105" s="118"/>
      <c r="Q105" s="118"/>
      <c r="R105" s="118"/>
      <c r="S105" s="118"/>
      <c r="T105" s="118"/>
      <c r="U105" s="118"/>
      <c r="V105" s="118"/>
    </row>
    <row r="106">
      <c r="A106" s="294" t="s">
        <v>238</v>
      </c>
      <c r="B106" s="104"/>
      <c r="C106" s="228"/>
      <c r="D106" s="117"/>
      <c r="E106" s="228"/>
      <c r="F106" s="114"/>
      <c r="G106" s="114"/>
      <c r="H106" s="117"/>
      <c r="I106" s="117"/>
      <c r="J106" s="118"/>
      <c r="K106" s="118"/>
      <c r="L106" s="118"/>
      <c r="M106" s="118"/>
      <c r="N106" s="118"/>
      <c r="O106" s="118"/>
      <c r="P106" s="118"/>
      <c r="Q106" s="118"/>
      <c r="R106" s="118"/>
      <c r="S106" s="118"/>
      <c r="T106" s="118"/>
      <c r="U106" s="118"/>
      <c r="V106" s="118"/>
    </row>
    <row r="107" outlineLevel="1">
      <c r="A107" s="106"/>
      <c r="B107" s="107"/>
      <c r="C107" s="295" t="s">
        <v>235</v>
      </c>
      <c r="D107" s="295" t="s">
        <v>49</v>
      </c>
      <c r="E107" s="295" t="s">
        <v>48</v>
      </c>
      <c r="F107" s="295" t="s">
        <v>50</v>
      </c>
      <c r="G107" s="296" t="s">
        <v>51</v>
      </c>
      <c r="H107" s="228"/>
      <c r="I107" s="228"/>
      <c r="J107" s="117"/>
      <c r="K107" s="297" t="str">
        <f>'テンプレート'!K116</f>
        <v>アイテム取得</v>
      </c>
      <c r="L107" s="109"/>
      <c r="M107" s="298" t="str">
        <f>'テンプレート'!M116</f>
        <v>取得フレーム</v>
      </c>
      <c r="N107" s="298" t="str">
        <f>'テンプレート'!N116</f>
        <v>全体フレーム</v>
      </c>
      <c r="O107" s="118"/>
      <c r="P107" s="118"/>
      <c r="Q107" s="118"/>
      <c r="R107" s="118"/>
      <c r="S107" s="118"/>
      <c r="T107" s="118"/>
      <c r="U107" s="118"/>
      <c r="V107" s="118"/>
    </row>
    <row r="108" outlineLevel="1">
      <c r="A108" s="299" t="s">
        <v>239</v>
      </c>
      <c r="B108" s="300" t="s">
        <v>240</v>
      </c>
      <c r="C108" s="301"/>
      <c r="D108" s="113">
        <f t="array" ref="D108">INDEX('崖行動・受け身'!$C$3:$C112, MATCH($A$1,'崖行動・受け身'!$A$3:$A$115,0), MATCH(D107,'崖行動・受け身'!$C$2,0))</f>
        <v>19</v>
      </c>
      <c r="E108" s="301"/>
      <c r="F108" s="301"/>
      <c r="G108" s="301"/>
      <c r="H108" s="228"/>
      <c r="I108" s="228"/>
      <c r="J108" s="111"/>
      <c r="K108" s="302" t="str">
        <f>'テンプレート'!K117</f>
        <v>小アイテム</v>
      </c>
      <c r="L108" s="303" t="str">
        <f>'テンプレート'!L117</f>
        <v>その場</v>
      </c>
      <c r="M108" s="113" t="s">
        <v>76</v>
      </c>
      <c r="N108" s="113">
        <v>7.0</v>
      </c>
      <c r="O108" s="118"/>
      <c r="P108" s="118"/>
      <c r="Q108" s="118"/>
      <c r="R108" s="118"/>
      <c r="S108" s="118"/>
      <c r="T108" s="118"/>
      <c r="U108" s="118"/>
      <c r="V108" s="118"/>
    </row>
    <row r="109" outlineLevel="1">
      <c r="A109" s="146"/>
      <c r="B109" s="300" t="s">
        <v>216</v>
      </c>
      <c r="C109" s="113" t="str">
        <f t="array" ref="C109">INDEX('崖行動・受け身'!$D$3:$E112, MATCH($A$1,'崖行動・受け身'!$A$3:$A$115,0), MATCH(C107,'崖行動・受け身'!$D$2:$E$2,0))</f>
        <v>1-33</v>
      </c>
      <c r="D109" s="113">
        <f t="array" ref="D109">INDEX('崖行動・受け身'!$D$3:$E112, MATCH($A$1,'崖行動・受け身'!$A$3:$A$115,0), MATCH(D107,'崖行動・受け身'!$D$2:$E$2,0))</f>
        <v>34</v>
      </c>
      <c r="E109" s="301"/>
      <c r="F109" s="301"/>
      <c r="G109" s="301"/>
      <c r="H109" s="228"/>
      <c r="I109" s="228"/>
      <c r="J109" s="117"/>
      <c r="K109" s="156"/>
      <c r="L109" s="303" t="str">
        <f>'テンプレート'!L118</f>
        <v>歩き</v>
      </c>
      <c r="M109" s="113" t="s">
        <v>76</v>
      </c>
      <c r="N109" s="113">
        <v>19.0</v>
      </c>
      <c r="O109" s="118"/>
      <c r="P109" s="118"/>
      <c r="Q109" s="118"/>
      <c r="R109" s="118"/>
      <c r="S109" s="118"/>
      <c r="T109" s="118"/>
      <c r="U109" s="118"/>
      <c r="V109" s="118"/>
    </row>
    <row r="110" outlineLevel="1">
      <c r="A110" s="146"/>
      <c r="B110" s="300" t="s">
        <v>241</v>
      </c>
      <c r="C110" s="113" t="str">
        <f t="array" ref="C110">INDEX('崖行動・受け身'!$F$3:$G$115, MATCH($A$1,'崖行動・受け身'!$A$3:$A$115,0), MATCH(C107,'崖行動・受け身'!$F$2:$G$2,0))</f>
        <v>1-23</v>
      </c>
      <c r="D110" s="113">
        <f t="array" ref="D110">INDEX('崖行動・受け身'!$F$3:$G$115, MATCH($A$1,'崖行動・受け身'!$A$3:$A$115,0), MATCH(D107,'崖行動・受け身'!$F$2:$G$2,0))</f>
        <v>45</v>
      </c>
      <c r="E110" s="301"/>
      <c r="F110" s="301"/>
      <c r="G110" s="301"/>
      <c r="H110" s="228"/>
      <c r="I110" s="228"/>
      <c r="J110" s="111"/>
      <c r="K110" s="304" t="str">
        <f>'テンプレート'!K119</f>
        <v>アイテム投擲</v>
      </c>
      <c r="L110" s="109"/>
      <c r="M110" s="298" t="str">
        <f>'テンプレート'!M119</f>
        <v>投擲フレーム</v>
      </c>
      <c r="N110" s="298" t="str">
        <f>'テンプレート'!N119</f>
        <v>全体フレーム</v>
      </c>
      <c r="O110" s="118"/>
      <c r="P110" s="118"/>
      <c r="Q110" s="118"/>
      <c r="R110" s="118"/>
      <c r="S110" s="118"/>
      <c r="T110" s="118"/>
      <c r="U110" s="118"/>
      <c r="V110" s="118"/>
    </row>
    <row r="111" outlineLevel="1">
      <c r="A111" s="146"/>
      <c r="B111" s="300" t="s">
        <v>242</v>
      </c>
      <c r="C111" s="113" t="str">
        <f t="array" ref="C111">INDEX('崖行動・受け身'!$H$3:$I$115, MATCH($A$1,'崖行動・受け身'!$A$3:$A$115,0), MATCH(C107,'崖行動・受け身'!$H$2:$I$2,0))</f>
        <v>1-10</v>
      </c>
      <c r="D111" s="113">
        <f t="array" ref="D111">INDEX('崖行動・受け身'!$H$3:$I$115, MATCH($A$1,'崖行動・受け身'!$A$3:$A$115,0), MATCH(D107,'崖行動・受け身'!$H$2:$I$2,0))</f>
        <v>12</v>
      </c>
      <c r="E111" s="301"/>
      <c r="F111" s="301"/>
      <c r="G111" s="301"/>
      <c r="H111" s="228"/>
      <c r="I111" s="228"/>
      <c r="J111" s="117"/>
      <c r="K111" s="305" t="str">
        <f>'テンプレート'!K120</f>
        <v>地上投擲</v>
      </c>
      <c r="L111" s="303" t="str">
        <f>'テンプレート'!L120</f>
        <v>前投げ</v>
      </c>
      <c r="M111" s="113" t="s">
        <v>93</v>
      </c>
      <c r="N111" s="113">
        <v>23.0</v>
      </c>
      <c r="O111" s="111"/>
      <c r="P111" s="111"/>
      <c r="Q111" s="111"/>
      <c r="R111" s="111"/>
      <c r="S111" s="111"/>
      <c r="T111" s="111"/>
      <c r="U111" s="111"/>
      <c r="V111" s="111"/>
    </row>
    <row r="112" outlineLevel="1">
      <c r="A112" s="156"/>
      <c r="B112" s="300" t="s">
        <v>243</v>
      </c>
      <c r="C112" s="113" t="str">
        <f t="array" ref="C112">INDEX('崖行動・受け身'!$J$3:$M$115, MATCH($A$1,'崖行動・受け身'!$A$3:$A$115,0), MATCH(C107,'崖行動・受け身'!$J$2:$M$2,0))</f>
        <v>1-20</v>
      </c>
      <c r="D112" s="113">
        <f t="array" ref="D112">INDEX('崖行動・受け身'!$J$3:$M$115, MATCH($A$1,'崖行動・受け身'!$A$3:$A$115,0), MATCH(D107,'崖行動・受け身'!$J$2:$M$2,0))</f>
        <v>55</v>
      </c>
      <c r="E112" s="113" t="str">
        <f t="array" ref="E112">INDEX('崖行動・受け身'!$J$3:$M$115, MATCH($A$1,'崖行動・受け身'!$A$3:$A$115,0), MATCH(E107,'崖行動・受け身'!$J$2:$M$2,0))</f>
        <v>18-20</v>
      </c>
      <c r="F112" s="113">
        <f t="array" ref="F112">INDEX('崖行動・受け身'!$J$3:$M$115, MATCH($A$1,'崖行動・受け身'!$A$3:$A$115,0), MATCH(F107,'崖行動・受け身'!$J$2:$M$2,0))</f>
        <v>9</v>
      </c>
      <c r="G112" s="113">
        <f>F112*1.2</f>
        <v>10.8</v>
      </c>
      <c r="H112" s="228"/>
      <c r="I112" s="228"/>
      <c r="J112" s="111"/>
      <c r="K112" s="146"/>
      <c r="L112" s="303" t="str">
        <f>'テンプレート'!L121</f>
        <v>後投げ</v>
      </c>
      <c r="M112" s="113" t="s">
        <v>232</v>
      </c>
      <c r="N112" s="113">
        <v>23.0</v>
      </c>
      <c r="O112" s="111"/>
      <c r="P112" s="111"/>
      <c r="Q112" s="111"/>
      <c r="R112" s="111"/>
      <c r="S112" s="111"/>
      <c r="T112" s="111"/>
      <c r="U112" s="111"/>
      <c r="V112" s="111"/>
    </row>
    <row r="113" outlineLevel="1">
      <c r="A113" s="299" t="s">
        <v>244</v>
      </c>
      <c r="B113" s="300" t="s">
        <v>216</v>
      </c>
      <c r="C113" s="113" t="str">
        <f t="array" ref="C113">INDEX('崖行動・受け身'!$N$3:$O$115, MATCH($A$1,'崖行動・受け身'!$A$3:$A$115,0), MATCH(C107,'崖行動・受け身'!$N$2:$O$2,0))</f>
        <v>1-20</v>
      </c>
      <c r="D113" s="113">
        <f t="array" ref="D113">INDEX('崖行動・受け身'!$N$3:$O$115, MATCH($A$1,'崖行動・受け身'!$A$3:$A$115,0), MATCH(D107,'崖行動・受け身'!$N$2:$O$2,0))</f>
        <v>26</v>
      </c>
      <c r="E113" s="301"/>
      <c r="F113" s="301"/>
      <c r="G113" s="301"/>
      <c r="H113" s="228"/>
      <c r="I113" s="228"/>
      <c r="J113" s="117"/>
      <c r="K113" s="146"/>
      <c r="L113" s="303" t="str">
        <f>'テンプレート'!L122</f>
        <v>上投げ</v>
      </c>
      <c r="M113" s="113" t="s">
        <v>129</v>
      </c>
      <c r="N113" s="113">
        <v>23.0</v>
      </c>
      <c r="O113" s="228"/>
      <c r="P113" s="228"/>
      <c r="Q113" s="228"/>
      <c r="R113" s="228"/>
      <c r="S113" s="228"/>
      <c r="T113" s="228"/>
      <c r="U113" s="228"/>
      <c r="V113" s="228"/>
    </row>
    <row r="114" outlineLevel="1">
      <c r="A114" s="146"/>
      <c r="B114" s="300" t="s">
        <v>245</v>
      </c>
      <c r="C114" s="113" t="str">
        <f t="array" ref="C114">INDEX('崖行動・受け身'!$P$3:$Q$115, MATCH($A$1,'崖行動・受け身'!$A$3:$A$115,0), MATCH(C107,'崖行動・受け身'!$P$2:$Q$2,0))</f>
        <v>1-20</v>
      </c>
      <c r="D114" s="113">
        <f t="array" ref="D114">INDEX('崖行動・受け身'!$P$3:$Q$115, MATCH($A$1,'崖行動・受け身'!$A$3:$A$115,0), MATCH(D107,'崖行動・受け身'!$P$2:$Q$2,0))</f>
        <v>40</v>
      </c>
      <c r="E114" s="301"/>
      <c r="F114" s="301"/>
      <c r="G114" s="301"/>
      <c r="H114" s="228"/>
      <c r="I114" s="228"/>
      <c r="J114" s="111"/>
      <c r="K114" s="146"/>
      <c r="L114" s="303" t="str">
        <f>'テンプレート'!L123</f>
        <v>下投げ</v>
      </c>
      <c r="M114" s="113" t="s">
        <v>93</v>
      </c>
      <c r="N114" s="113">
        <v>19.0</v>
      </c>
      <c r="O114" s="118"/>
      <c r="P114" s="118"/>
      <c r="Q114" s="118"/>
      <c r="R114" s="118"/>
      <c r="S114" s="118"/>
      <c r="T114" s="118"/>
      <c r="U114" s="118"/>
      <c r="V114" s="118"/>
    </row>
    <row r="115" outlineLevel="1">
      <c r="A115" s="156"/>
      <c r="B115" s="300" t="s">
        <v>246</v>
      </c>
      <c r="C115" s="113" t="str">
        <f t="array" ref="C115">INDEX('崖行動・受け身'!$R$3:$S$115, MATCH($A$1,'崖行動・受け身'!$A$3:$A$115,0), MATCH(C107,'崖行動・受け身'!$R$2:$S$2,0))</f>
        <v>1-20</v>
      </c>
      <c r="D115" s="113">
        <f t="array" ref="D115">INDEX('崖行動・受け身'!$R$3:$S$115, MATCH($A$1,'崖行動・受け身'!$A$3:$A$115,0), MATCH(D107,'崖行動・受け身'!$R$2:$S$2,0))</f>
        <v>40</v>
      </c>
      <c r="E115" s="301"/>
      <c r="F115" s="301"/>
      <c r="G115" s="301"/>
      <c r="H115" s="228"/>
      <c r="I115" s="228"/>
      <c r="J115" s="117"/>
      <c r="K115" s="146"/>
      <c r="L115" s="306" t="str">
        <f>'テンプレート'!L124</f>
        <v>ダッシュ</v>
      </c>
      <c r="M115" s="113" t="s">
        <v>150</v>
      </c>
      <c r="N115" s="113">
        <v>37.0</v>
      </c>
      <c r="O115" s="118"/>
      <c r="P115" s="118"/>
      <c r="Q115" s="118"/>
      <c r="R115" s="118"/>
      <c r="S115" s="118"/>
      <c r="T115" s="118"/>
      <c r="U115" s="118"/>
      <c r="V115" s="118"/>
    </row>
    <row r="116" outlineLevel="1">
      <c r="A116" s="299" t="s">
        <v>247</v>
      </c>
      <c r="B116" s="300" t="s">
        <v>248</v>
      </c>
      <c r="C116" s="301"/>
      <c r="D116" s="113" t="str">
        <f t="array" ref="D116">INDEX('起きあがり'!$C$3:$C112, MATCH($A$1,'起きあがり'!$A$3:$A$115,0), MATCH(D107,'起きあがり'!$C$2:$AD$2,0))</f>
        <v>25</v>
      </c>
      <c r="E116" s="301"/>
      <c r="F116" s="301"/>
      <c r="G116" s="301"/>
      <c r="H116" s="228"/>
      <c r="I116" s="228"/>
      <c r="J116" s="111"/>
      <c r="K116" s="156"/>
      <c r="L116" s="306" t="str">
        <f>'テンプレート'!L125</f>
        <v>その場捨て</v>
      </c>
      <c r="M116" s="113" t="s">
        <v>86</v>
      </c>
      <c r="N116" s="113">
        <v>23.0</v>
      </c>
      <c r="O116" s="118"/>
      <c r="P116" s="118"/>
      <c r="Q116" s="118"/>
      <c r="R116" s="118"/>
      <c r="S116" s="118"/>
      <c r="T116" s="118"/>
      <c r="U116" s="118"/>
      <c r="V116" s="118"/>
    </row>
    <row r="117" outlineLevel="1">
      <c r="A117" s="146"/>
      <c r="B117" s="300" t="s">
        <v>216</v>
      </c>
      <c r="C117" s="307" t="str">
        <f t="array" ref="C117">INDEX('起きあがり'!$D$3:$E112, MATCH($A$1,'起きあがり'!$A$3:$A$115,0), MATCH(C107,'起きあがり'!$D$2:$AD$2,0))</f>
        <v>1-22</v>
      </c>
      <c r="D117" s="308">
        <f t="array" ref="D117">INDEX('起きあがり'!$D$3:$E112, MATCH($A$1,'起きあがり'!$A$3:$A$115,0), MATCH(D107,'起きあがり'!$D$2:$AD$2,0))</f>
        <v>29</v>
      </c>
      <c r="E117" s="301"/>
      <c r="F117" s="301"/>
      <c r="G117" s="301"/>
      <c r="H117" s="228"/>
      <c r="I117" s="228"/>
      <c r="J117" s="117"/>
      <c r="K117" s="305" t="str">
        <f>'テンプレート'!K126</f>
        <v>空中投擲</v>
      </c>
      <c r="L117" s="303" t="str">
        <f>'テンプレート'!L126</f>
        <v>前投げ</v>
      </c>
      <c r="M117" s="113" t="s">
        <v>93</v>
      </c>
      <c r="N117" s="113">
        <v>23.0</v>
      </c>
      <c r="O117" s="118"/>
      <c r="P117" s="118"/>
      <c r="Q117" s="118"/>
      <c r="R117" s="118"/>
      <c r="S117" s="118"/>
      <c r="T117" s="118"/>
      <c r="U117" s="118"/>
      <c r="V117" s="118"/>
    </row>
    <row r="118" outlineLevel="1">
      <c r="A118" s="146"/>
      <c r="B118" s="300" t="s">
        <v>245</v>
      </c>
      <c r="C118" s="307" t="str">
        <f t="array" ref="C118">INDEX('起きあがり'!$F$3:$G$115, MATCH($A$1,'起きあがり'!$A$3:$A$115,0), MATCH(C107,'起きあがり'!$F$2:$AD$2,0))</f>
        <v>1-21</v>
      </c>
      <c r="D118" s="308">
        <f t="array" ref="D118">INDEX('起きあがり'!$F$3:$G$115, MATCH($A$1,'起きあがり'!$A$3:$A$115,0), MATCH(D107,'起きあがり'!$F$2:$AD$2,0))</f>
        <v>35</v>
      </c>
      <c r="E118" s="301"/>
      <c r="F118" s="301"/>
      <c r="G118" s="301"/>
      <c r="H118" s="228"/>
      <c r="I118" s="228"/>
      <c r="J118" s="111"/>
      <c r="K118" s="146"/>
      <c r="L118" s="303" t="str">
        <f>'テンプレート'!L127</f>
        <v>後投げ</v>
      </c>
      <c r="M118" s="113" t="s">
        <v>232</v>
      </c>
      <c r="N118" s="113">
        <v>23.0</v>
      </c>
      <c r="O118" s="118"/>
      <c r="P118" s="118"/>
      <c r="Q118" s="118"/>
      <c r="R118" s="118"/>
      <c r="S118" s="118"/>
      <c r="T118" s="118"/>
      <c r="U118" s="118"/>
      <c r="V118" s="118"/>
    </row>
    <row r="119" outlineLevel="1">
      <c r="A119" s="146"/>
      <c r="B119" s="300" t="s">
        <v>246</v>
      </c>
      <c r="C119" s="113" t="str">
        <f t="array" ref="C119">INDEX('起きあがり'!$H$3:$I$115, MATCH($A$1,'起きあがり'!$A$3:$A$115,0), MATCH(C107,'起きあがり'!$H$2:$AD$2,0))</f>
        <v>1-22</v>
      </c>
      <c r="D119" s="113">
        <f t="array" ref="D119">INDEX('起きあがり'!$H$3:$I$115, MATCH($A$1,'起きあがり'!$A$3:$A$115,0), MATCH(D107,'起きあがり'!$H$2:$AD$2,0))</f>
        <v>35</v>
      </c>
      <c r="E119" s="301"/>
      <c r="F119" s="301"/>
      <c r="G119" s="301"/>
      <c r="H119" s="228"/>
      <c r="I119" s="228"/>
      <c r="J119" s="117"/>
      <c r="K119" s="146"/>
      <c r="L119" s="303" t="str">
        <f>'テンプレート'!L128</f>
        <v>上投げ</v>
      </c>
      <c r="M119" s="113" t="s">
        <v>129</v>
      </c>
      <c r="N119" s="113">
        <v>23.0</v>
      </c>
      <c r="O119" s="118"/>
      <c r="P119" s="118"/>
      <c r="Q119" s="118"/>
      <c r="R119" s="118"/>
      <c r="S119" s="118"/>
      <c r="T119" s="118"/>
      <c r="U119" s="118"/>
      <c r="V119" s="118"/>
    </row>
    <row r="120" outlineLevel="1">
      <c r="A120" s="146"/>
      <c r="B120" s="300" t="s">
        <v>249</v>
      </c>
      <c r="C120" s="309" t="str">
        <f t="array" ref="C120">INDEX('起きあがり'!$J$3:$M$115, MATCH($A$1,'起きあがり'!$A$3:$A$115,0), MATCH(C107,'起きあがり'!$J$2:$AD$2,0))</f>
        <v>1-23</v>
      </c>
      <c r="D120" s="310">
        <f t="array" ref="D120">INDEX('起きあがり'!$J$3:$M$115, MATCH($A$1,'起きあがり'!$A$3:$A$115,0), MATCH(D107,'起きあがり'!$J$2:$AD$2,0))</f>
        <v>45</v>
      </c>
      <c r="E120" s="307" t="str">
        <f t="array" ref="E120">INDEX('起きあがり'!$J$3:$M$115, MATCH($A$1,'起きあがり'!$A$3:$A$115,0), MATCH(E107,'起きあがり'!$J$2:$AD$2,0))</f>
        <v>16-17</v>
      </c>
      <c r="F120" s="308">
        <f t="array" ref="F120">INDEX('起きあがり'!$J$3:$M$115, MATCH($A$1,'起きあがり'!$A$3:$A$115,0), MATCH(F107,'起きあがり'!$J$2:$AD$2,0))</f>
        <v>7</v>
      </c>
      <c r="G120" s="113">
        <f t="shared" ref="G120:G121" si="1">F120*1.2</f>
        <v>8.4</v>
      </c>
      <c r="H120" s="228"/>
      <c r="I120" s="228"/>
      <c r="J120" s="111"/>
      <c r="K120" s="156"/>
      <c r="L120" s="303" t="str">
        <f>'テンプレート'!L129</f>
        <v>下投げ</v>
      </c>
      <c r="M120" s="113" t="s">
        <v>93</v>
      </c>
      <c r="N120" s="113">
        <v>19.0</v>
      </c>
      <c r="O120" s="111"/>
      <c r="P120" s="111"/>
      <c r="Q120" s="111"/>
      <c r="R120" s="111"/>
      <c r="S120" s="111"/>
      <c r="T120" s="111"/>
      <c r="U120" s="111"/>
      <c r="V120" s="111"/>
    </row>
    <row r="121" outlineLevel="1">
      <c r="A121" s="156"/>
      <c r="B121" s="311" t="s">
        <v>250</v>
      </c>
      <c r="C121" s="156"/>
      <c r="D121" s="156"/>
      <c r="E121" s="307" t="str">
        <f t="array" ref="E121">INDEX('起きあがり'!$N$3:$O$115, MATCH($A$1,'起きあがり'!$A$3:$A$115,0), MATCH(E107,'起きあがり'!$N$2:$AD$2,0))</f>
        <v>22-23</v>
      </c>
      <c r="F121" s="308">
        <f t="array" ref="F121">INDEX('起きあがり'!$N$3:$O$115, MATCH($A$1,'起きあがり'!$A$3:$A$115,0), MATCH(F107,'起きあがり'!$N$2:$AD$2,0))</f>
        <v>7</v>
      </c>
      <c r="G121" s="113">
        <f t="shared" si="1"/>
        <v>8.4</v>
      </c>
      <c r="H121" s="228"/>
      <c r="I121" s="228"/>
      <c r="J121" s="111"/>
      <c r="K121" s="312" t="str">
        <f>'テンプレート'!K130</f>
        <v>踏み台ジャンプ</v>
      </c>
      <c r="L121" s="168"/>
      <c r="M121" s="298" t="str">
        <f>'テンプレート'!M130</f>
        <v>全体フレーム</v>
      </c>
      <c r="N121" s="114"/>
      <c r="O121" s="111"/>
      <c r="P121" s="111"/>
      <c r="Q121" s="111"/>
      <c r="R121" s="111"/>
      <c r="S121" s="111"/>
      <c r="T121" s="111"/>
      <c r="U121" s="111"/>
      <c r="V121" s="111"/>
    </row>
    <row r="122" outlineLevel="1">
      <c r="A122" s="299" t="s">
        <v>251</v>
      </c>
      <c r="B122" s="300" t="s">
        <v>248</v>
      </c>
      <c r="C122" s="301"/>
      <c r="D122" s="307" t="str">
        <f t="array" ref="D122">INDEX('起きあがり'!$C$3:$C112, MATCH($A$1,'起きあがり'!$A$3:$A$115,0), MATCH(D107,'起きあがり'!$C$2,0))</f>
        <v>25</v>
      </c>
      <c r="E122" s="301"/>
      <c r="F122" s="301"/>
      <c r="G122" s="301"/>
      <c r="H122" s="228"/>
      <c r="I122" s="228"/>
      <c r="J122" s="117"/>
      <c r="K122" s="313" t="str">
        <f>'テンプレート'!K131</f>
        <v>踏み</v>
      </c>
      <c r="L122" s="314" t="str">
        <f>'テンプレート'!L131</f>
        <v>踏み</v>
      </c>
      <c r="M122" s="113">
        <v>7.0</v>
      </c>
      <c r="N122" s="315"/>
      <c r="O122" s="111"/>
      <c r="P122" s="111"/>
      <c r="Q122" s="111"/>
      <c r="R122" s="111"/>
      <c r="S122" s="111"/>
      <c r="T122" s="111"/>
      <c r="U122" s="111"/>
      <c r="V122" s="111"/>
    </row>
    <row r="123" outlineLevel="1">
      <c r="A123" s="146"/>
      <c r="B123" s="300" t="s">
        <v>216</v>
      </c>
      <c r="C123" s="307" t="str">
        <f t="array" ref="C123">INDEX('起きあがり'!$P$3:$Q$115, MATCH($A$1,'起きあがり'!$A$3:$A$115,0), MATCH(C107,'起きあがり'!$P$2:$AD$2,0))</f>
        <v>1-22</v>
      </c>
      <c r="D123" s="308">
        <f t="array" ref="D123">INDEX('起きあがり'!$P$3:$Q$115, MATCH($A$1,'起きあがり'!$A$3:$A$115,0), MATCH(D107,'起きあがり'!$P$2:$AD$2,0))</f>
        <v>29</v>
      </c>
      <c r="E123" s="301"/>
      <c r="F123" s="301"/>
      <c r="G123" s="301"/>
      <c r="H123" s="228"/>
      <c r="I123" s="228"/>
      <c r="J123" s="111"/>
      <c r="K123" s="305" t="str">
        <f>'テンプレート'!K132</f>
        <v>踏まれ</v>
      </c>
      <c r="L123" s="314" t="str">
        <f>'テンプレート'!L132</f>
        <v>地上踏まれ</v>
      </c>
      <c r="M123" s="113" t="s">
        <v>76</v>
      </c>
      <c r="N123" s="315"/>
      <c r="O123" s="228"/>
      <c r="P123" s="228"/>
      <c r="Q123" s="228"/>
      <c r="R123" s="228"/>
      <c r="S123" s="228"/>
      <c r="T123" s="228"/>
      <c r="U123" s="228"/>
      <c r="V123" s="228"/>
    </row>
    <row r="124" outlineLevel="1">
      <c r="A124" s="146"/>
      <c r="B124" s="300" t="s">
        <v>245</v>
      </c>
      <c r="C124" s="307" t="str">
        <f t="array" ref="C124">INDEX('起きあがり'!$R$3:$S$115, MATCH($A$1,'起きあがり'!$A$3:$A$115,0), MATCH(C107,'起きあがり'!$R$2:$AD$2,0))</f>
        <v>1-19</v>
      </c>
      <c r="D124" s="308">
        <f t="array" ref="D124">INDEX('起きあがり'!$R$3:$S$115, MATCH($A$1,'起きあがり'!$A$3:$A$115,0), MATCH(D107,'起きあがり'!$R$2:$AD$2,0))</f>
        <v>35</v>
      </c>
      <c r="E124" s="301"/>
      <c r="F124" s="301"/>
      <c r="G124" s="301"/>
      <c r="H124" s="228"/>
      <c r="I124" s="228"/>
      <c r="J124" s="117"/>
      <c r="K124" s="146"/>
      <c r="L124" s="314" t="str">
        <f>'テンプレート'!L133</f>
        <v>地上硬直</v>
      </c>
      <c r="M124" s="113">
        <v>27.0</v>
      </c>
      <c r="N124" s="102"/>
      <c r="O124" s="118"/>
      <c r="P124" s="118"/>
      <c r="Q124" s="118"/>
      <c r="R124" s="118"/>
      <c r="S124" s="118"/>
      <c r="T124" s="118"/>
      <c r="U124" s="118"/>
      <c r="V124" s="118"/>
    </row>
    <row r="125" outlineLevel="1">
      <c r="A125" s="146"/>
      <c r="B125" s="300" t="s">
        <v>246</v>
      </c>
      <c r="C125" s="307" t="str">
        <f t="array" ref="C125">INDEX('起きあがり'!$T$3:$U$115, MATCH($A$1,'起きあがり'!$A$3:$A$115,0), MATCH(C107,'起きあがり'!$T$2:$AD$2,0))</f>
        <v>1-24</v>
      </c>
      <c r="D125" s="308">
        <f t="array" ref="D125">INDEX('起きあがり'!$T$3:$U$115, MATCH($A$1,'起きあがり'!$A$3:$A$115,0), MATCH(D107,'起きあがり'!$T$2:$AD$2,0))</f>
        <v>35</v>
      </c>
      <c r="E125" s="301"/>
      <c r="F125" s="301"/>
      <c r="G125" s="301"/>
      <c r="H125" s="228"/>
      <c r="I125" s="228"/>
      <c r="J125" s="111"/>
      <c r="K125" s="146"/>
      <c r="L125" s="314" t="str">
        <f>'テンプレート'!L134</f>
        <v>空中踏まれ</v>
      </c>
      <c r="M125" s="113">
        <v>7.0</v>
      </c>
      <c r="N125" s="102"/>
      <c r="O125" s="118"/>
      <c r="P125" s="118"/>
      <c r="Q125" s="118"/>
      <c r="R125" s="118"/>
      <c r="S125" s="118"/>
      <c r="T125" s="118"/>
      <c r="U125" s="118"/>
      <c r="V125" s="118"/>
    </row>
    <row r="126" outlineLevel="1">
      <c r="A126" s="146"/>
      <c r="B126" s="300" t="s">
        <v>249</v>
      </c>
      <c r="C126" s="309" t="str">
        <f t="array" ref="C126">INDEX('起きあがり'!$V$3:$Y$115, MATCH($A$1,'起きあがり'!$A$3:$A$115,0), MATCH(C107,'起きあがり'!$V$2:$AD$2,0))</f>
        <v>1-23</v>
      </c>
      <c r="D126" s="310">
        <f t="array" ref="D126">INDEX('起きあがり'!$V$3:$Y$115, MATCH($A$1,'起きあがり'!$A$3:$A$115,0), MATCH(D107,'起きあがり'!$V$2:$AD$2,0))</f>
        <v>45</v>
      </c>
      <c r="E126" s="307" t="str">
        <f t="array" ref="E126">INDEX('起きあがり'!$V$3:$Y$115, MATCH($A$1,'起きあがり'!$A$3:$A$115,0), MATCH(E107,'起きあがり'!$V$2:$AD$2,0))</f>
        <v>16-17</v>
      </c>
      <c r="F126" s="308">
        <f t="array" ref="F126">INDEX('起きあがり'!$V$3:$Y$115, MATCH($A$1,'起きあがり'!$A$3:$A$115,0), MATCH(F107,'起きあがり'!$V$2:$AD$2,0))</f>
        <v>7</v>
      </c>
      <c r="G126" s="113">
        <f t="shared" ref="G126:G127" si="2">F126*1.2</f>
        <v>8.4</v>
      </c>
      <c r="H126" s="228"/>
      <c r="I126" s="228"/>
      <c r="J126" s="117"/>
      <c r="K126" s="146"/>
      <c r="L126" s="314" t="str">
        <f>'テンプレート'!L135</f>
        <v>空中落下</v>
      </c>
      <c r="M126" s="113">
        <v>35.0</v>
      </c>
      <c r="N126" s="102"/>
      <c r="O126" s="118"/>
      <c r="P126" s="118"/>
      <c r="Q126" s="118"/>
      <c r="R126" s="118"/>
      <c r="S126" s="118"/>
      <c r="T126" s="118"/>
      <c r="U126" s="118"/>
      <c r="V126" s="118"/>
    </row>
    <row r="127" outlineLevel="1">
      <c r="A127" s="156"/>
      <c r="B127" s="311" t="s">
        <v>250</v>
      </c>
      <c r="C127" s="156"/>
      <c r="D127" s="156"/>
      <c r="E127" s="307" t="str">
        <f t="array" ref="E127">INDEX('起きあがり'!$Z$3:$AA$115, MATCH($A$1,'起きあがり'!$A$3:$A$115,0), MATCH(E107,'起きあがり'!$Z$2:$AD$2,0))</f>
        <v>22-23</v>
      </c>
      <c r="F127" s="308">
        <f t="array" ref="F127">INDEX('起きあがり'!$Z$3:$AA$115, MATCH($A$1,'起きあがり'!$A$3:$A$115,0), MATCH(F107,'起きあがり'!$Z$2:$AD$2,0))</f>
        <v>7</v>
      </c>
      <c r="G127" s="113">
        <f t="shared" si="2"/>
        <v>8.4</v>
      </c>
      <c r="H127" s="228"/>
      <c r="I127" s="228"/>
      <c r="J127" s="117"/>
      <c r="K127" s="304" t="str">
        <f>'テンプレート'!K136</f>
        <v>倒れダメージ</v>
      </c>
      <c r="L127" s="110"/>
      <c r="M127" s="298" t="str">
        <f>'テンプレート'!M136</f>
        <v>全体フレーム</v>
      </c>
      <c r="N127" s="102"/>
      <c r="O127" s="118"/>
      <c r="P127" s="118"/>
      <c r="Q127" s="118"/>
      <c r="R127" s="118"/>
      <c r="S127" s="118"/>
      <c r="T127" s="118"/>
      <c r="U127" s="118"/>
      <c r="V127" s="118"/>
    </row>
    <row r="128" outlineLevel="1">
      <c r="A128" s="299" t="s">
        <v>252</v>
      </c>
      <c r="B128" s="300" t="s">
        <v>253</v>
      </c>
      <c r="C128" s="307" t="str">
        <f t="array" ref="C128">INDEX('転倒'!$C$3:$D112, MATCH($A$1,'転倒'!$A$3:$A$115,0), MATCH(C107,'転倒'!$C$2:$AC$2,0))</f>
        <v>1-5</v>
      </c>
      <c r="D128" s="308">
        <f t="array" ref="D128">INDEX('転倒'!$C$3:$D112, MATCH($A$1,'転倒'!$A$3:$A$115,0), MATCH(D107,'転倒'!$C$2:$AC$2,0))</f>
        <v>29</v>
      </c>
      <c r="E128" s="301"/>
      <c r="F128" s="301"/>
      <c r="G128" s="301"/>
      <c r="H128" s="228"/>
      <c r="I128" s="228"/>
      <c r="J128" s="111"/>
      <c r="K128" s="313" t="str">
        <f>'テンプレート'!K137</f>
        <v>あお向け倒れ</v>
      </c>
      <c r="L128" s="306" t="str">
        <f>'テンプレート'!L137</f>
        <v>モーション大</v>
      </c>
      <c r="M128" s="113">
        <v>39.0</v>
      </c>
      <c r="N128" s="315"/>
      <c r="O128" s="118"/>
      <c r="P128" s="118"/>
      <c r="Q128" s="118"/>
      <c r="R128" s="118"/>
      <c r="S128" s="118"/>
      <c r="T128" s="118"/>
      <c r="U128" s="118"/>
      <c r="V128" s="118"/>
    </row>
    <row r="129" outlineLevel="1">
      <c r="A129" s="146"/>
      <c r="B129" s="300" t="s">
        <v>254</v>
      </c>
      <c r="C129" s="307" t="str">
        <f t="array" ref="C129">INDEX('転倒'!$E$3:$F112, MATCH($A$1,'転倒'!$A$3:$A$115,0), MATCH(C107,'転倒'!$E$2:$AC$2,0))</f>
        <v>1-5</v>
      </c>
      <c r="D129" s="308">
        <f t="array" ref="D129">INDEX('転倒'!$E$3:$F112, MATCH($A$1,'転倒'!$A$3:$A$115,0), MATCH(D107,'転倒'!$E$2:$AC$2,0))</f>
        <v>39</v>
      </c>
      <c r="E129" s="301"/>
      <c r="F129" s="301"/>
      <c r="G129" s="301"/>
      <c r="H129" s="228"/>
      <c r="I129" s="228"/>
      <c r="J129" s="117"/>
      <c r="K129" s="313" t="str">
        <f>'テンプレート'!K138</f>
        <v>うつ伏せ倒れ</v>
      </c>
      <c r="L129" s="306" t="str">
        <f>'テンプレート'!L138</f>
        <v>モーション大</v>
      </c>
      <c r="M129" s="113" t="s">
        <v>118</v>
      </c>
      <c r="N129" s="315"/>
      <c r="O129" s="118"/>
      <c r="P129" s="118"/>
      <c r="Q129" s="118"/>
      <c r="R129" s="118"/>
      <c r="S129" s="118"/>
      <c r="T129" s="118"/>
      <c r="U129" s="118"/>
      <c r="V129" s="118"/>
    </row>
    <row r="130" outlineLevel="1">
      <c r="A130" s="146"/>
      <c r="B130" s="300" t="s">
        <v>216</v>
      </c>
      <c r="C130" s="307" t="str">
        <f t="array" ref="C130">INDEX('転倒'!$G$3:$H$115, MATCH($A$1,'転倒'!$A$3:$A$115,0), MATCH(C107,'転倒'!$G$2:$AC$2,0))</f>
        <v>1-16</v>
      </c>
      <c r="D130" s="308">
        <f t="array" ref="D130">INDEX('転倒'!$G$3:$H$115, MATCH($A$1,'転倒'!$A$3:$A$115,0), MATCH(D107,'転倒'!$G$2:$AC$2,0))</f>
        <v>21</v>
      </c>
      <c r="E130" s="301"/>
      <c r="F130" s="301"/>
      <c r="G130" s="301"/>
      <c r="H130" s="228"/>
      <c r="I130" s="228"/>
      <c r="J130" s="111"/>
      <c r="K130" s="304" t="str">
        <f>'テンプレート'!K139</f>
        <v/>
      </c>
      <c r="L130" s="110"/>
      <c r="M130" s="298" t="str">
        <f>'テンプレート'!M139</f>
        <v/>
      </c>
      <c r="N130" s="102"/>
      <c r="O130" s="118"/>
      <c r="P130" s="118"/>
      <c r="Q130" s="118"/>
      <c r="R130" s="118"/>
      <c r="S130" s="118"/>
      <c r="T130" s="118"/>
      <c r="U130" s="118"/>
      <c r="V130" s="118"/>
    </row>
    <row r="131" outlineLevel="1">
      <c r="A131" s="146"/>
      <c r="B131" s="300" t="s">
        <v>245</v>
      </c>
      <c r="C131" s="307" t="str">
        <f t="array" ref="C131">INDEX('転倒'!$I$3:$J$115, MATCH($A$1,'転倒'!$A$3:$A$115,0), MATCH(C107,'転倒'!$I$2:$AC$2,0))</f>
        <v>1-9</v>
      </c>
      <c r="D131" s="308">
        <f t="array" ref="D131">INDEX('転倒'!$I$3:$J$115, MATCH($A$1,'転倒'!$A$3:$A$115,0), MATCH(D107,'転倒'!$I$2:$AC$2,0))</f>
        <v>28</v>
      </c>
      <c r="E131" s="301"/>
      <c r="F131" s="301"/>
      <c r="G131" s="301"/>
      <c r="H131" s="228"/>
      <c r="I131" s="228"/>
      <c r="J131" s="228"/>
      <c r="K131" s="316"/>
      <c r="L131" s="317" t="str">
        <f>'テンプレート'!L140</f>
        <v/>
      </c>
      <c r="M131" s="113" t="s">
        <v>76</v>
      </c>
      <c r="N131" s="102"/>
      <c r="O131" s="118"/>
      <c r="P131" s="118"/>
      <c r="Q131" s="118"/>
      <c r="R131" s="118"/>
      <c r="S131" s="118"/>
      <c r="T131" s="118"/>
      <c r="U131" s="118"/>
      <c r="V131" s="118"/>
    </row>
    <row r="132" outlineLevel="1">
      <c r="A132" s="146"/>
      <c r="B132" s="300" t="s">
        <v>246</v>
      </c>
      <c r="C132" s="307" t="str">
        <f t="array" ref="C132">INDEX('転倒'!$K$3:$L$115, MATCH($A$1,'転倒'!$A$3:$A$115,0), MATCH(C107,'転倒'!$K$2:$AC$2,0))</f>
        <v>1-9</v>
      </c>
      <c r="D132" s="308">
        <f t="array" ref="D132">INDEX('転倒'!$K$3:$L$115, MATCH($A$1,'転倒'!$A$3:$A$115,0), MATCH(D107,'転倒'!$K$2:$AC$2,0))</f>
        <v>28</v>
      </c>
      <c r="E132" s="301"/>
      <c r="F132" s="301"/>
      <c r="G132" s="301"/>
      <c r="H132" s="228"/>
      <c r="I132" s="228"/>
      <c r="J132" s="228"/>
      <c r="K132" s="318"/>
      <c r="L132" s="118"/>
      <c r="M132" s="118"/>
      <c r="N132" s="102"/>
      <c r="O132" s="118"/>
      <c r="P132" s="118"/>
      <c r="Q132" s="118"/>
      <c r="R132" s="118"/>
      <c r="S132" s="118"/>
      <c r="T132" s="118"/>
      <c r="U132" s="118"/>
      <c r="V132" s="118"/>
    </row>
    <row r="133" outlineLevel="1">
      <c r="A133" s="146"/>
      <c r="B133" s="300" t="s">
        <v>249</v>
      </c>
      <c r="C133" s="309" t="str">
        <f t="array" ref="C133">INDEX('転倒'!$M$3:$P$115, MATCH($A$1,'転倒'!$A$3:$A$115,0), MATCH(C107,'転倒'!$M$2:$AC$2,0))</f>
        <v>1-7</v>
      </c>
      <c r="D133" s="310">
        <f t="array" ref="D133">INDEX('転倒'!$M$3:$P$115, MATCH($A$1,'転倒'!$A$3:$A$115,0), MATCH(D107,'転倒'!$M$2:$AC$2,0))</f>
        <v>49</v>
      </c>
      <c r="E133" s="307" t="str">
        <f t="array" ref="E133">INDEX('転倒'!$M$3:$P$115, MATCH($A$1,'転倒'!$A$3:$A$115,0), MATCH(E107,'転倒'!$M$2:$AC$2,0))</f>
        <v>18-19</v>
      </c>
      <c r="F133" s="308">
        <f t="array" ref="F133">INDEX('転倒'!$M$3:$P$115, MATCH($A$1,'転倒'!$A$3:$A$115,0), MATCH(F107,'転倒'!$M$2:$AC$2,0))</f>
        <v>5</v>
      </c>
      <c r="G133" s="113">
        <f t="shared" ref="G133:G134" si="3">F133*1.2</f>
        <v>6</v>
      </c>
      <c r="H133" s="228"/>
      <c r="I133" s="228"/>
      <c r="J133" s="228"/>
      <c r="K133" s="118"/>
      <c r="L133" s="118"/>
      <c r="M133" s="118"/>
      <c r="N133" s="102"/>
      <c r="O133" s="102"/>
      <c r="P133" s="102"/>
      <c r="Q133" s="102"/>
      <c r="R133" s="118"/>
      <c r="S133" s="118"/>
      <c r="T133" s="118"/>
      <c r="U133" s="118"/>
      <c r="V133" s="118"/>
    </row>
    <row r="134" outlineLevel="1">
      <c r="A134" s="156"/>
      <c r="B134" s="311" t="s">
        <v>250</v>
      </c>
      <c r="C134" s="156"/>
      <c r="D134" s="156"/>
      <c r="E134" s="307" t="str">
        <f t="array" ref="E134">INDEX('転倒'!$Q$3:$R$115, MATCH($A$1,'転倒'!$A$3:$A$115,0), MATCH(E107,'転倒'!$Q$2:$AC$2,0))</f>
        <v>30-31</v>
      </c>
      <c r="F134" s="308">
        <f t="array" ref="F134">INDEX('転倒'!$Q$3:$R$115, MATCH($A$1,'転倒'!$A$3:$A$115,0), MATCH(F107,'転倒'!$Q$2:$AC$2,0))</f>
        <v>5</v>
      </c>
      <c r="G134" s="113">
        <f t="shared" si="3"/>
        <v>6</v>
      </c>
      <c r="H134" s="228"/>
      <c r="I134" s="228"/>
      <c r="J134" s="228"/>
      <c r="K134" s="118"/>
      <c r="L134" s="118"/>
      <c r="M134" s="118"/>
      <c r="N134" s="102"/>
      <c r="O134" s="102"/>
      <c r="P134" s="102"/>
      <c r="Q134" s="102"/>
      <c r="R134" s="118"/>
      <c r="S134" s="118"/>
      <c r="T134" s="118"/>
      <c r="U134" s="118"/>
      <c r="V134" s="118"/>
    </row>
    <row r="135" outlineLevel="1">
      <c r="A135" s="319"/>
      <c r="B135" s="320"/>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3" t="s">
        <v>255</v>
      </c>
      <c r="B136" s="109"/>
      <c r="C136" s="321"/>
      <c r="D136" s="321"/>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256</v>
      </c>
      <c r="B137" s="109"/>
      <c r="C137" s="325" t="s">
        <v>257</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258</v>
      </c>
      <c r="B138" s="327" t="s">
        <v>216</v>
      </c>
      <c r="C138" s="328" t="str">
        <f t="array" ref="C138">INDEX('アイテム'!$C$3:$D$114, MATCH($A$1,'アイテム'!$A$3:$A$114,0), MATCH(C137,'アイテム'!$C$2:$AQ$2,0))</f>
        <v>2</v>
      </c>
      <c r="D138" s="328">
        <f t="array" ref="D138">INDEX('アイテム'!$C$3:$D$114, MATCH($A$1,'アイテム'!$A$3:$A$114,0), MATCH(D137,'アイテム'!$C$2:$AQ$2,0))</f>
        <v>7</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219</v>
      </c>
      <c r="C139" s="328" t="str">
        <f t="array" ref="C139">INDEX('アイテム'!$E$3:$F$114, MATCH($A$1,'アイテム'!$A$3:$A$114,0), MATCH(C137,'アイテム'!$C$2:$AQ$2,0))</f>
        <v>2</v>
      </c>
      <c r="D139" s="328">
        <f t="array" ref="D139">INDEX('アイテム'!$E$3:$F$114, MATCH($A$1,'アイテム'!$A$3:$A$114,0), MATCH(D137,'アイテム'!$C$2:$AQ$2,0))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9" t="s">
        <v>259</v>
      </c>
      <c r="B140" s="327" t="s">
        <v>216</v>
      </c>
      <c r="C140" s="328">
        <f t="array" ref="C140">INDEX('アイテム'!$AA$3:$AB$114, MATCH($A$1,'アイテム'!$A$3:$A$114,0), MATCH(C137,'アイテム'!$C$2:$AQ$2,0))</f>
        <v>3</v>
      </c>
      <c r="D140" s="328" t="str">
        <f t="array" ref="D140">INDEX('アイテム'!$AA$3:$AB$114, MATCH($A$1,'アイテム'!$A$3:$A$114,0), MATCH(D137,'アイテム'!$C$2:$AQ$2,0))</f>
        <v>12</v>
      </c>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260</v>
      </c>
      <c r="B141" s="109"/>
      <c r="C141" s="325" t="s">
        <v>261</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262</v>
      </c>
      <c r="B142" s="327" t="s">
        <v>226</v>
      </c>
      <c r="C142" s="328" t="str">
        <f t="array" ref="C142">INDEX('アイテム'!$G$3:$H$114, MATCH($A$1,'アイテム'!$A$3:$A$114,0), MATCH(C137,'アイテム'!$C$2:$AQ$2,0))</f>
        <v>6</v>
      </c>
      <c r="D142" s="328">
        <f t="array" ref="D142">INDEX('アイテム'!$G$3:$H$114, MATCH($A$1,'アイテム'!$A$3:$A$114,0), MATCH(D137,'アイテム'!$C$2:$AQ$2,0))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229</v>
      </c>
      <c r="C143" s="328" t="str">
        <f t="array" ref="C143">INDEX('アイテム'!$I$3:$J$114, MATCH($A$1,'アイテム'!$A$3:$A$114,0), MATCH(C137,'アイテム'!$C$2:$AQ$2,0))</f>
        <v>11</v>
      </c>
      <c r="D143" s="328">
        <f t="array" ref="D143">INDEX('アイテム'!$I$3:$J$114, MATCH($A$1,'アイテム'!$A$3:$A$114,0), MATCH(D137,'アイテム'!$C$2:$AQ$2,0))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233</v>
      </c>
      <c r="C144" s="328" t="str">
        <f t="array" ref="C144">INDEX('アイテム'!$K$3:$L$114, MATCH($A$1,'アイテム'!$A$3:$A$114,0), MATCH(C137,'アイテム'!$C$2:$AQ$2,0))</f>
        <v>12</v>
      </c>
      <c r="D144" s="328">
        <f t="array" ref="D144">INDEX('アイテム'!$K$3:$L$114, MATCH($A$1,'アイテム'!$A$3:$A$114,0), MATCH(D137,'アイテム'!$C$2:$AQ$2,0))</f>
        <v>23</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234</v>
      </c>
      <c r="C145" s="328" t="str">
        <f t="array" ref="C145">INDEX('アイテム'!$M$3:$N$114, MATCH($A$1,'アイテム'!$A$3:$A$114,0), MATCH(C137,'アイテム'!$C$2:$AQ$2,0))</f>
        <v>7</v>
      </c>
      <c r="D145" s="328">
        <f t="array" ref="D145">INDEX('アイテム'!$M$3:$N$114, MATCH($A$1,'アイテム'!$A$3:$A$114,0), MATCH(D137,'アイテム'!$C$2:$AQ$2,0))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219</v>
      </c>
      <c r="C146" s="328" t="str">
        <f t="array" ref="C146">INDEX('アイテム'!$O$3:$P$114, MATCH($A$1,'アイテム'!$A$3:$A$114,0), MATCH(C137,'アイテム'!$C$2:$AQ$2,0))</f>
        <v>5</v>
      </c>
      <c r="D146" s="328">
        <f t="array" ref="D146">INDEX('アイテム'!$O$3:$P$114, MATCH($A$1,'アイテム'!$A$3:$A$114,0), MATCH(D137,'アイテム'!$C$2:$AQ$2,0))</f>
        <v>29</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263</v>
      </c>
      <c r="C147" s="328" t="str">
        <f t="array" ref="C147">INDEX('アイテム'!$Q$3:$R$114, MATCH($A$1,'アイテム'!$A$3:$A$114,0), MATCH(C137,'アイテム'!$C$2:$AQ$2,0))</f>
        <v>6</v>
      </c>
      <c r="D147" s="328">
        <f t="array" ref="D147">INDEX('アイテム'!$Q$3:$R$114, MATCH($A$1,'アイテム'!$A$3:$A$114,0), MATCH(D137,'アイテム'!$C$2:$AQ$2,0))</f>
        <v>23</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264</v>
      </c>
      <c r="B148" s="327" t="s">
        <v>226</v>
      </c>
      <c r="C148" s="328" t="str">
        <f t="array" ref="C148">INDEX('アイテム'!$S$3:$T$114, MATCH($A$1,'アイテム'!$A$3:$A$114,0), MATCH(C137,'アイテム'!$C$2:$AQ$2,0))</f>
        <v>6</v>
      </c>
      <c r="D148" s="328">
        <f t="array" ref="D148">INDEX('アイテム'!$S$3:$T$114, MATCH($A$1,'アイテム'!$A$3:$A$114,0), MATCH(D137,'アイテム'!$C$2:$AQ$2,0))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INDEX('アイテム'!$U$3:$V$114, MATCH($A$1,'アイテム'!$A$3:$A$114,0), MATCH(C137,'アイテム'!$C$2:$AQ$2,0))</f>
        <v>11</v>
      </c>
      <c r="D149" s="328">
        <f t="array" ref="D149">INDEX('アイテム'!$U$3:$V$114, MATCH($A$1,'アイテム'!$A$3:$A$114,0), MATCH(D137,'アイテム'!$C$2:$AQ$2,0))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INDEX('アイテム'!$W$3:$X$114, MATCH($A$1,'アイテム'!$A$3:$A$114,0), MATCH(C137,'アイテム'!$C$2:$AQ$2,0))</f>
        <v>12</v>
      </c>
      <c r="D150" s="328">
        <f t="array" ref="D150">INDEX('アイテム'!$W$3:$X$114, MATCH($A$1,'アイテム'!$A$3:$A$114,0), MATCH(D137,'アイテム'!$C$2:$AQ$2,0))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t="str">
        <f t="array" ref="C151">INDEX('アイテム'!$Y$3:$Z$114, MATCH($A$1,'アイテム'!$A$3:$A$114,0), MATCH(C137,'アイテム'!$C$2:$AQ$2,0))</f>
        <v>7</v>
      </c>
      <c r="D151" s="328">
        <f t="array" ref="D151">INDEX('アイテム'!$Y$3:$Z$114, MATCH($A$1,'アイテム'!$A$3:$A$114,0), MATCH(D137,'アイテム'!$C$2:$AQ$2,0))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265</v>
      </c>
      <c r="B152" s="327" t="s">
        <v>226</v>
      </c>
      <c r="C152" s="328">
        <f t="array" ref="C152">INDEX('アイテム'!$AC$3:$AD$114, MATCH($A$1,'アイテム'!$A$3:$A$114,0), MATCH(C137,'アイテム'!$C$2:$AQ$2,0))</f>
        <v>14</v>
      </c>
      <c r="D152" s="328" t="str">
        <f t="array" ref="D152">INDEX('アイテム'!$AC$3:$AD$114, MATCH($A$1,'アイテム'!$A$3:$A$114,0), MATCH(D137,'アイテム'!$C$2:$AQ$2,0))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f t="array" ref="C153">INDEX('アイテム'!$AE$3:$AF$114, MATCH($A$1,'アイテム'!$A$3:$A$114,0), MATCH(C137,'アイテム'!$C$2:$AQ$2,0))</f>
        <v>15</v>
      </c>
      <c r="D153" s="328" t="str">
        <f t="array" ref="D153">INDEX('アイテム'!$AE$3:$AF$114, MATCH($A$1,'アイテム'!$A$3:$A$114,0), MATCH(D137,'アイテム'!$C$2:$AQ$2,0))</f>
        <v>30</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f t="array" ref="C154">INDEX('アイテム'!$AG$3:$AH$114, MATCH($A$1,'アイテム'!$A$3:$A$114,0), MATCH(C137,'アイテム'!$C$2:$AQ$2,0))</f>
        <v>11</v>
      </c>
      <c r="D154" s="328" t="str">
        <f t="array" ref="D154">INDEX('アイテム'!$AG$3:$AH$114, MATCH($A$1,'アイテム'!$A$3:$A$114,0), MATCH(D137,'アイテム'!$C$2:$AQ$2,0))</f>
        <v>22</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f t="array" ref="C155">INDEX('アイテム'!$AI$3:$AJ$114, MATCH($A$1,'アイテム'!$A$3:$A$114,0), MATCH(C137,'アイテム'!$C$2:$AQ$2,0))</f>
        <v>9</v>
      </c>
      <c r="D155" s="328" t="str">
        <f t="array" ref="D155">INDEX('アイテム'!$AI$3:$AJ$114, MATCH($A$1,'アイテム'!$A$3:$A$114,0), MATCH(D137,'アイテム'!$C$2:$AQ$2,0))</f>
        <v>22</v>
      </c>
      <c r="E155" s="322"/>
      <c r="F155" s="322"/>
      <c r="G155" s="114"/>
      <c r="H155" s="228"/>
      <c r="I155" s="228"/>
      <c r="J155" s="228"/>
      <c r="K155" s="118"/>
      <c r="L155" s="118"/>
      <c r="M155" s="118"/>
      <c r="N155" s="102"/>
      <c r="O155" s="102"/>
      <c r="P155" s="102"/>
      <c r="Q155" s="102"/>
      <c r="R155" s="118"/>
      <c r="S155" s="118"/>
      <c r="T155" s="118"/>
      <c r="U155" s="118"/>
      <c r="V155" s="118"/>
    </row>
  </sheetData>
  <mergeCells count="143">
    <mergeCell ref="I49:I50"/>
    <mergeCell ref="J49:J50"/>
    <mergeCell ref="I51:I53"/>
    <mergeCell ref="J51:J53"/>
    <mergeCell ref="I54:I55"/>
    <mergeCell ref="J54:J55"/>
    <mergeCell ref="J56:J58"/>
    <mergeCell ref="J59:J60"/>
    <mergeCell ref="I56:I58"/>
    <mergeCell ref="I59:I60"/>
    <mergeCell ref="H63:J63"/>
    <mergeCell ref="H64:J66"/>
    <mergeCell ref="H67:J67"/>
    <mergeCell ref="H68:J72"/>
    <mergeCell ref="H73:J73"/>
    <mergeCell ref="H74:J74"/>
    <mergeCell ref="H75:J75"/>
    <mergeCell ref="H76:J80"/>
    <mergeCell ref="G88:J88"/>
    <mergeCell ref="G89:J90"/>
    <mergeCell ref="G91:J92"/>
    <mergeCell ref="G93:J94"/>
    <mergeCell ref="K123:K126"/>
    <mergeCell ref="K127:L127"/>
    <mergeCell ref="K130:L130"/>
    <mergeCell ref="G95:J96"/>
    <mergeCell ref="K107:L107"/>
    <mergeCell ref="K108:K109"/>
    <mergeCell ref="K110:L110"/>
    <mergeCell ref="K111:K116"/>
    <mergeCell ref="K117:K120"/>
    <mergeCell ref="K121:L121"/>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1"/>
    <mergeCell ref="U32:U33"/>
    <mergeCell ref="A40:A42"/>
    <mergeCell ref="A43:A45"/>
    <mergeCell ref="H32:J33"/>
    <mergeCell ref="H34:J34"/>
    <mergeCell ref="H35:J35"/>
    <mergeCell ref="H36:J36"/>
    <mergeCell ref="H37:J39"/>
    <mergeCell ref="H40:J42"/>
    <mergeCell ref="H43:J45"/>
    <mergeCell ref="R56:V58"/>
    <mergeCell ref="R59:V60"/>
    <mergeCell ref="U64:U66"/>
    <mergeCell ref="V64:V66"/>
    <mergeCell ref="U68:U72"/>
    <mergeCell ref="V68:V72"/>
    <mergeCell ref="U76:U80"/>
    <mergeCell ref="V76:V80"/>
    <mergeCell ref="U37:U39"/>
    <mergeCell ref="U40:U42"/>
    <mergeCell ref="U43:U45"/>
    <mergeCell ref="R48:V48"/>
    <mergeCell ref="R49:V50"/>
    <mergeCell ref="R51:V53"/>
    <mergeCell ref="R54:V55"/>
    <mergeCell ref="C126:C127"/>
    <mergeCell ref="D126:D127"/>
    <mergeCell ref="C120:C121"/>
    <mergeCell ref="C133:C134"/>
    <mergeCell ref="A128:A134"/>
    <mergeCell ref="A136:B136"/>
    <mergeCell ref="A137:B137"/>
    <mergeCell ref="A138:A139"/>
    <mergeCell ref="A141:B141"/>
    <mergeCell ref="A142:A147"/>
    <mergeCell ref="A148:A151"/>
    <mergeCell ref="A152:A155"/>
    <mergeCell ref="A103:A104"/>
    <mergeCell ref="A108:A112"/>
    <mergeCell ref="A113:A115"/>
    <mergeCell ref="A116:A121"/>
    <mergeCell ref="D120:D121"/>
    <mergeCell ref="A122:A127"/>
    <mergeCell ref="D133:D134"/>
    <mergeCell ref="A24:B25"/>
    <mergeCell ref="A26:A31"/>
    <mergeCell ref="A32:A33"/>
    <mergeCell ref="D32:D33"/>
    <mergeCell ref="A37:A39"/>
    <mergeCell ref="D37:D39"/>
    <mergeCell ref="D40:D42"/>
    <mergeCell ref="D43:D45"/>
    <mergeCell ref="A47:B48"/>
    <mergeCell ref="A49:A50"/>
    <mergeCell ref="D49:D50"/>
    <mergeCell ref="A51:A53"/>
    <mergeCell ref="D51:D53"/>
    <mergeCell ref="D54:D55"/>
    <mergeCell ref="A54:A55"/>
    <mergeCell ref="A56:A58"/>
    <mergeCell ref="A59:A60"/>
    <mergeCell ref="A62:B62"/>
    <mergeCell ref="A63:B63"/>
    <mergeCell ref="A64:A66"/>
    <mergeCell ref="A67:B67"/>
    <mergeCell ref="A68:A72"/>
    <mergeCell ref="A73:B73"/>
    <mergeCell ref="A75:B75"/>
    <mergeCell ref="A76:A80"/>
    <mergeCell ref="A82:B83"/>
    <mergeCell ref="A85:A87"/>
    <mergeCell ref="A88:B88"/>
    <mergeCell ref="D93:D94"/>
    <mergeCell ref="D95:D96"/>
    <mergeCell ref="D56:D58"/>
    <mergeCell ref="D59:D60"/>
    <mergeCell ref="D64:D66"/>
    <mergeCell ref="D68:D72"/>
    <mergeCell ref="D76:D80"/>
    <mergeCell ref="D89:D90"/>
    <mergeCell ref="D91:D92"/>
    <mergeCell ref="A89:A90"/>
    <mergeCell ref="A91:A92"/>
    <mergeCell ref="A93:A94"/>
    <mergeCell ref="A95:A96"/>
    <mergeCell ref="A98:B99"/>
    <mergeCell ref="A100:A102"/>
    <mergeCell ref="A106:B107"/>
  </mergeCells>
  <conditionalFormatting sqref="K1:K15 K17:K63 K65:K67 K69:K131">
    <cfRule type="containsText" dxfId="0" priority="1" operator="containsText" text="361">
      <formula>NOT(ISERROR(SEARCH(("361"),(K1))))</formula>
    </cfRule>
  </conditionalFormatting>
  <conditionalFormatting sqref="K1:K15 K17:K63 K65:K67 K69:K131">
    <cfRule type="containsText" dxfId="1" priority="2" operator="containsText" text="363">
      <formula>NOT(ISERROR(SEARCH(("363"),(K1))))</formula>
    </cfRule>
  </conditionalFormatting>
  <conditionalFormatting sqref="K1:K15 K17:K63 K65:K67 K69:K131">
    <cfRule type="containsText" dxfId="1" priority="3" operator="containsText" text="365">
      <formula>NOT(ISERROR(SEARCH(("365"),(K1))))</formula>
    </cfRule>
  </conditionalFormatting>
  <conditionalFormatting sqref="K1:K15 K17:K63 K65:K67 K69:K131">
    <cfRule type="containsText" dxfId="1" priority="4" operator="containsText" text="366">
      <formula>NOT(ISERROR(SEARCH(("366"),(K1))))</formula>
    </cfRule>
  </conditionalFormatting>
  <conditionalFormatting sqref="K1:K15 K17:K63 K65:K67 K69:K131">
    <cfRule type="containsText" dxfId="1" priority="5" operator="containsText" text="367">
      <formula>NOT(ISERROR(SEARCH(("367"),(K1))))</formula>
    </cfRule>
  </conditionalFormatting>
  <conditionalFormatting sqref="P89:P96">
    <cfRule type="cellIs" dxfId="2" priority="6" operator="equal">
      <formula>"敵のみ"</formula>
    </cfRule>
  </conditionalFormatting>
  <conditionalFormatting sqref="C89:C94 C96">
    <cfRule type="cellIs" dxfId="3" priority="7" operator="equal">
      <formula>"-"</formula>
    </cfRule>
  </conditionalFormatting>
  <conditionalFormatting sqref="O1:O63 O65:O67 O69:O155 K74:N74 P74:T74 C89 E89:F89 K89:N89 P89:Q89 C91 E91:F91 K91:N91 P91:Q91 C93 E93:F93 K93:N93 P93:Q93 K95:N95 P95:P96 Q95">
    <cfRule type="cellIs" dxfId="4" priority="8" operator="greaterThan">
      <formula>0</formula>
    </cfRule>
  </conditionalFormatting>
  <conditionalFormatting sqref="P1:Q63 P65:Q67 P69:Q155">
    <cfRule type="cellIs" dxfId="5" priority="9" operator="lessThan">
      <formula>1</formula>
    </cfRule>
  </conditionalFormatting>
  <conditionalFormatting sqref="P1:Q63 P65:Q67 P69:Q155">
    <cfRule type="cellIs" dxfId="4" priority="10" operator="greaterThan">
      <formula>1</formula>
    </cfRule>
  </conditionalFormatting>
  <conditionalFormatting sqref="N25:N63 N65:N67 N69:N96">
    <cfRule type="cellIs" dxfId="6" priority="11" operator="greaterThan">
      <formula>0</formula>
    </cfRule>
  </conditionalFormatting>
  <conditionalFormatting sqref="N1:N15 N17:N63 N65:N67 N69:N155">
    <cfRule type="containsText" dxfId="6" priority="12" operator="containsText" text="/">
      <formula>NOT(ISERROR(SEARCH(("/"),(N1))))</formula>
    </cfRule>
  </conditionalFormatting>
  <drawing r:id="rId2"/>
  <legacyDrawing r:id="rId3"/>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C797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689">
        <v>60.0</v>
      </c>
      <c r="B1" s="2690"/>
      <c r="C1" s="2691" t="str">
        <f>IMAGE(VLOOKUP($A$1,Fighters!A2:AI114,12,FALSE),1)</f>
        <v>#REF!</v>
      </c>
      <c r="D1" s="2692"/>
      <c r="E1" s="2692"/>
      <c r="F1" s="2692"/>
      <c r="G1" s="2693"/>
      <c r="H1" s="2694"/>
      <c r="I1" s="2692"/>
      <c r="J1" s="2693"/>
      <c r="K1" s="2695"/>
      <c r="L1" s="2692"/>
      <c r="M1" s="2693"/>
      <c r="N1" s="2696"/>
      <c r="O1" s="2696"/>
      <c r="P1" s="2696"/>
      <c r="Q1" s="2696"/>
      <c r="R1" s="2697"/>
      <c r="S1" s="2697"/>
      <c r="T1" s="2697"/>
      <c r="U1" s="2697"/>
      <c r="V1" s="2697"/>
    </row>
    <row r="2">
      <c r="A2" s="2698" t="str">
        <f>VLOOKUP($A$1,Fighters!$A$2:$AI$81,6,FALSE)</f>
        <v>#7c797b</v>
      </c>
      <c r="B2" s="2690"/>
      <c r="C2" s="2699"/>
      <c r="G2" s="2700"/>
      <c r="H2" s="2701"/>
      <c r="I2" s="2702"/>
      <c r="J2" s="2703"/>
      <c r="K2" s="2701"/>
      <c r="L2" s="2702"/>
      <c r="M2" s="2703"/>
      <c r="N2" s="2696"/>
      <c r="O2" s="2696"/>
      <c r="P2" s="2696"/>
      <c r="Q2" s="2696"/>
      <c r="R2" s="2697"/>
      <c r="S2" s="2697"/>
      <c r="T2" s="2697"/>
      <c r="U2" s="2697"/>
      <c r="V2" s="2697"/>
    </row>
    <row r="3">
      <c r="A3" s="2698" t="str">
        <f>VLOOKUP($A$1,Fighters!$A$2:$AI$81,14,FALSE)</f>
        <v>60. リュウ</v>
      </c>
      <c r="B3" s="2690"/>
      <c r="C3" s="2699"/>
      <c r="G3" s="2700"/>
      <c r="H3" s="2704"/>
      <c r="I3" s="2704"/>
      <c r="J3" s="2704"/>
      <c r="K3" s="2705"/>
      <c r="L3" s="2705"/>
      <c r="M3" s="2705"/>
      <c r="N3" s="2696"/>
      <c r="O3" s="2696"/>
      <c r="P3" s="2696"/>
      <c r="Q3" s="2696"/>
      <c r="R3" s="2696"/>
      <c r="S3" s="2697"/>
      <c r="T3" s="2697"/>
      <c r="U3" s="2697"/>
      <c r="V3" s="2697"/>
    </row>
    <row r="4">
      <c r="A4" s="2698" t="str">
        <f>VLOOKUP($A$1,Fighters!$A$2:$AI$81,13,FALSE)</f>
        <v>1</v>
      </c>
      <c r="B4" s="2690"/>
      <c r="C4" s="2699"/>
      <c r="G4" s="2700"/>
      <c r="H4" s="2706"/>
      <c r="I4" s="2706"/>
      <c r="J4" s="2704"/>
      <c r="K4" s="2705"/>
      <c r="L4" s="2705"/>
      <c r="M4" s="2705"/>
      <c r="N4" s="2696"/>
      <c r="O4" s="2696"/>
      <c r="P4" s="2696"/>
      <c r="Q4" s="2696"/>
      <c r="R4" s="2696"/>
      <c r="S4" s="2697"/>
      <c r="T4" s="2697"/>
      <c r="U4" s="2697"/>
      <c r="V4" s="2697"/>
    </row>
    <row r="5" ht="16.5" customHeight="1">
      <c r="A5" s="2689"/>
      <c r="B5" s="2690"/>
      <c r="C5" s="2699"/>
      <c r="G5" s="2700"/>
      <c r="H5" s="2707"/>
      <c r="I5" s="2707"/>
      <c r="J5" s="2708"/>
      <c r="K5" s="2709"/>
      <c r="L5" s="2710"/>
      <c r="M5" s="2710"/>
      <c r="N5" s="2696"/>
      <c r="O5" s="2696"/>
      <c r="P5" s="2696"/>
      <c r="Q5" s="2696"/>
      <c r="R5" s="2696"/>
      <c r="S5" s="2697"/>
      <c r="T5" s="2697"/>
      <c r="U5" s="2697"/>
      <c r="V5" s="2697"/>
    </row>
    <row r="6">
      <c r="A6" s="2690"/>
      <c r="B6" s="2690"/>
      <c r="C6" s="2699"/>
      <c r="G6" s="2700"/>
      <c r="H6" s="2706"/>
      <c r="I6" s="2711" t="s">
        <v>39</v>
      </c>
      <c r="J6" s="2709"/>
      <c r="K6" s="2708"/>
      <c r="L6" s="2710"/>
      <c r="M6" s="2710"/>
      <c r="N6" s="2696"/>
      <c r="O6" s="2696"/>
      <c r="P6" s="2696"/>
      <c r="Q6" s="2696"/>
      <c r="R6" s="2696"/>
      <c r="S6" s="2697"/>
      <c r="T6" s="2697"/>
      <c r="U6" s="2697"/>
      <c r="V6" s="2697"/>
    </row>
    <row r="7">
      <c r="A7" s="2690"/>
      <c r="B7" s="2690"/>
      <c r="C7" s="2699"/>
      <c r="G7" s="2700"/>
      <c r="H7" s="2707"/>
      <c r="I7" s="2707"/>
      <c r="J7" s="2709"/>
      <c r="K7" s="2708"/>
      <c r="L7" s="2710"/>
      <c r="M7" s="2710"/>
      <c r="N7" s="2696"/>
      <c r="O7" s="2696"/>
      <c r="P7" s="2696"/>
      <c r="Q7" s="2696"/>
      <c r="R7" s="2696"/>
      <c r="S7" s="2697"/>
      <c r="T7" s="2697"/>
      <c r="U7" s="2697"/>
      <c r="V7" s="2697"/>
    </row>
    <row r="8">
      <c r="A8" s="2690"/>
      <c r="B8" s="2690"/>
      <c r="C8" s="2699"/>
      <c r="G8" s="2700"/>
      <c r="H8" s="2712">
        <v>44552.407684895836</v>
      </c>
      <c r="I8" s="2692"/>
      <c r="J8" s="2693"/>
      <c r="K8" s="2709"/>
      <c r="L8" s="2710"/>
      <c r="M8" s="2710"/>
      <c r="N8" s="2696"/>
      <c r="O8" s="2696"/>
      <c r="P8" s="2696"/>
      <c r="Q8" s="2696"/>
      <c r="R8" s="2696"/>
      <c r="S8" s="2697"/>
      <c r="T8" s="2697"/>
      <c r="U8" s="2697"/>
      <c r="V8" s="2697"/>
    </row>
    <row r="9">
      <c r="A9" s="2690"/>
      <c r="B9" s="2690"/>
      <c r="C9" s="2699"/>
      <c r="G9" s="2700"/>
      <c r="H9" s="2701"/>
      <c r="I9" s="2702"/>
      <c r="J9" s="2703"/>
      <c r="K9" s="2697"/>
      <c r="L9" s="2696"/>
      <c r="M9" s="2696"/>
      <c r="N9" s="2696"/>
      <c r="O9" s="2696"/>
      <c r="P9" s="2696"/>
      <c r="Q9" s="2696"/>
      <c r="R9" s="2696"/>
      <c r="S9" s="2697"/>
      <c r="T9" s="2697"/>
      <c r="U9" s="2697"/>
      <c r="V9" s="2697"/>
    </row>
    <row r="10">
      <c r="A10" s="2713"/>
      <c r="B10" s="2690"/>
      <c r="C10" s="2699"/>
      <c r="G10" s="2700"/>
      <c r="H10" s="2714"/>
      <c r="I10" s="2714"/>
      <c r="J10" s="2697"/>
      <c r="K10" s="2697"/>
      <c r="L10" s="2696"/>
      <c r="M10" s="2696"/>
      <c r="N10" s="2696"/>
      <c r="O10" s="2696"/>
      <c r="P10" s="2696"/>
      <c r="Q10" s="2696"/>
      <c r="R10" s="2696"/>
      <c r="S10" s="2697"/>
      <c r="T10" s="2697"/>
      <c r="U10" s="2697"/>
      <c r="V10" s="2697"/>
    </row>
    <row r="11">
      <c r="A11" s="2715"/>
      <c r="B11" s="2690"/>
      <c r="C11" s="2699"/>
      <c r="G11" s="2700"/>
      <c r="H11" s="2707"/>
      <c r="I11" s="2707"/>
      <c r="J11" s="2697"/>
      <c r="K11" s="2697"/>
      <c r="L11" s="2696"/>
      <c r="M11" s="2696"/>
      <c r="N11" s="2696"/>
      <c r="O11" s="2696"/>
      <c r="P11" s="2696"/>
      <c r="Q11" s="2696"/>
      <c r="R11" s="2696"/>
      <c r="S11" s="2697"/>
      <c r="T11" s="2697"/>
      <c r="U11" s="2697"/>
      <c r="V11" s="2697"/>
    </row>
    <row r="12">
      <c r="A12" s="2707"/>
      <c r="B12" s="2690"/>
      <c r="C12" s="2701"/>
      <c r="D12" s="2702"/>
      <c r="E12" s="2702"/>
      <c r="F12" s="2702"/>
      <c r="G12" s="2703"/>
      <c r="H12" s="2716"/>
      <c r="I12" s="2716"/>
      <c r="J12" s="2690"/>
      <c r="K12" s="2690"/>
      <c r="L12" s="2696"/>
      <c r="M12" s="2696"/>
      <c r="N12" s="2696"/>
      <c r="O12" s="2696"/>
      <c r="P12" s="2696"/>
      <c r="Q12" s="2696"/>
      <c r="R12" s="2696"/>
      <c r="S12" s="2697"/>
      <c r="T12" s="2697"/>
      <c r="U12" s="2697"/>
      <c r="V12" s="2697"/>
    </row>
    <row r="13">
      <c r="A13" s="88"/>
      <c r="B13" s="89"/>
      <c r="C13" s="89"/>
      <c r="D13" s="90"/>
      <c r="E13" s="90"/>
      <c r="F13" s="90"/>
      <c r="G13" s="91"/>
      <c r="H13" s="91"/>
      <c r="I13" s="92"/>
      <c r="J13" s="88"/>
      <c r="K13" s="90"/>
      <c r="L13" s="91"/>
      <c r="M13" s="91"/>
      <c r="N13" s="91"/>
      <c r="O13" s="91"/>
      <c r="P13" s="91"/>
      <c r="Q13" s="91"/>
      <c r="R13" s="91"/>
      <c r="S13" s="88"/>
      <c r="T13" s="88"/>
      <c r="U13" s="88"/>
      <c r="V13" s="88"/>
    </row>
    <row r="14">
      <c r="A14" s="94"/>
      <c r="B14" s="95"/>
      <c r="C14" s="95"/>
      <c r="D14" s="96"/>
      <c r="E14" s="96"/>
      <c r="F14" s="96"/>
      <c r="G14" s="360"/>
      <c r="H14" s="98"/>
      <c r="I14" s="99"/>
      <c r="J14" s="100"/>
      <c r="K14" s="101"/>
      <c r="L14" s="98"/>
      <c r="M14" s="98"/>
      <c r="N14" s="98"/>
      <c r="O14" s="98"/>
      <c r="P14" s="98"/>
      <c r="Q14" s="98"/>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103 [27th]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1.76 [72nd]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0.75 [86th]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40F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 [52nd]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26 [81st]</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1.6 [59th]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 [60th]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1.12 [30th]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30F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0.035 [85th]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29.5 [65th]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 [43rd]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2.24 [66th]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 [15th]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21"/>
      <c r="B24" s="1121"/>
      <c r="C24" s="120"/>
      <c r="D24" s="2174" t="s">
        <v>4282</v>
      </c>
      <c r="E24" s="110"/>
      <c r="F24" s="110"/>
      <c r="G24" s="109"/>
      <c r="H24" s="121"/>
      <c r="I24" s="121"/>
      <c r="J24" s="121"/>
      <c r="K24" s="121"/>
      <c r="L24" s="124"/>
      <c r="M24" s="124"/>
      <c r="N24" s="125"/>
      <c r="O24" s="125"/>
      <c r="P24" s="125"/>
      <c r="Q24" s="126"/>
      <c r="R24" s="124"/>
      <c r="S24" s="124"/>
      <c r="T24" s="124"/>
      <c r="U24" s="124"/>
      <c r="V24" s="124"/>
    </row>
    <row r="25">
      <c r="A25" s="1121"/>
      <c r="B25" s="1121"/>
      <c r="C25" s="120"/>
      <c r="D25" s="1931" t="s">
        <v>4283</v>
      </c>
      <c r="E25" s="1932" t="s">
        <v>4284</v>
      </c>
      <c r="F25" s="1932" t="s">
        <v>4285</v>
      </c>
      <c r="G25" s="1932" t="s">
        <v>4286</v>
      </c>
      <c r="H25" s="121"/>
      <c r="I25" s="121"/>
      <c r="J25" s="121"/>
      <c r="K25" s="121"/>
      <c r="L25" s="124"/>
      <c r="M25" s="124"/>
      <c r="N25" s="125"/>
      <c r="O25" s="125"/>
      <c r="P25" s="125"/>
      <c r="Q25" s="126"/>
      <c r="R25" s="124"/>
      <c r="S25" s="124"/>
      <c r="T25" s="124"/>
      <c r="U25" s="124"/>
      <c r="V25" s="124"/>
    </row>
    <row r="26">
      <c r="A26" s="1121"/>
      <c r="B26" s="1121"/>
      <c r="C26" s="120"/>
      <c r="D26" s="112" t="s">
        <v>4287</v>
      </c>
      <c r="E26" s="145" t="b">
        <v>0</v>
      </c>
      <c r="F26" s="145" t="b">
        <v>0</v>
      </c>
      <c r="G26" s="145" t="b">
        <v>1</v>
      </c>
      <c r="H26" s="121"/>
      <c r="I26" s="121"/>
      <c r="J26" s="121"/>
      <c r="K26" s="121"/>
      <c r="L26" s="124"/>
      <c r="M26" s="124"/>
      <c r="N26" s="125"/>
      <c r="O26" s="125"/>
      <c r="P26" s="125"/>
      <c r="Q26" s="126"/>
      <c r="R26" s="124"/>
      <c r="S26" s="124"/>
      <c r="T26" s="124"/>
      <c r="U26" s="124"/>
      <c r="V26" s="124"/>
    </row>
    <row r="27">
      <c r="A27" s="1121"/>
      <c r="B27" s="1121"/>
      <c r="C27" s="120"/>
      <c r="D27" s="112" t="s">
        <v>4288</v>
      </c>
      <c r="E27" s="145" t="b">
        <v>0</v>
      </c>
      <c r="F27" s="145" t="b">
        <v>0</v>
      </c>
      <c r="G27" s="145" t="s">
        <v>76</v>
      </c>
      <c r="H27" s="121"/>
      <c r="I27" s="121"/>
      <c r="J27" s="121"/>
      <c r="K27" s="121"/>
      <c r="L27" s="124"/>
      <c r="M27" s="124"/>
      <c r="N27" s="125"/>
      <c r="O27" s="125"/>
      <c r="P27" s="125"/>
      <c r="Q27" s="126"/>
      <c r="R27" s="124"/>
      <c r="S27" s="124"/>
      <c r="T27" s="124"/>
      <c r="U27" s="124"/>
      <c r="V27" s="124"/>
    </row>
    <row r="28">
      <c r="A28" s="1121"/>
      <c r="B28" s="1121"/>
      <c r="C28" s="120"/>
      <c r="D28" s="112" t="s">
        <v>4289</v>
      </c>
      <c r="E28" s="145" t="b">
        <v>0</v>
      </c>
      <c r="F28" s="145" t="b">
        <v>1</v>
      </c>
      <c r="G28" s="145" t="b">
        <v>1</v>
      </c>
      <c r="H28" s="121"/>
      <c r="I28" s="121"/>
      <c r="J28" s="121"/>
      <c r="K28" s="121"/>
      <c r="L28" s="124"/>
      <c r="M28" s="124"/>
      <c r="N28" s="125"/>
      <c r="O28" s="125"/>
      <c r="P28" s="125"/>
      <c r="Q28" s="126"/>
      <c r="R28" s="124"/>
      <c r="S28" s="124"/>
      <c r="T28" s="124"/>
      <c r="U28" s="124"/>
      <c r="V28" s="124"/>
    </row>
    <row r="29">
      <c r="A29" s="1121"/>
      <c r="B29" s="1121"/>
      <c r="C29" s="120"/>
      <c r="D29" s="112" t="s">
        <v>4290</v>
      </c>
      <c r="E29" s="145" t="b">
        <v>0</v>
      </c>
      <c r="F29" s="145" t="b">
        <v>1</v>
      </c>
      <c r="G29" s="145" t="b">
        <v>1</v>
      </c>
      <c r="H29" s="121"/>
      <c r="I29" s="121"/>
      <c r="J29" s="121"/>
      <c r="K29" s="121"/>
      <c r="L29" s="124"/>
      <c r="M29" s="124"/>
      <c r="N29" s="125"/>
      <c r="O29" s="125"/>
      <c r="P29" s="125"/>
      <c r="Q29" s="126"/>
      <c r="R29" s="124"/>
      <c r="S29" s="124"/>
      <c r="T29" s="124"/>
      <c r="U29" s="124"/>
      <c r="V29" s="124"/>
    </row>
    <row r="30">
      <c r="A30" s="1121"/>
      <c r="B30" s="1121"/>
      <c r="C30" s="120"/>
      <c r="D30" s="121"/>
      <c r="E30" s="121"/>
      <c r="F30" s="122"/>
      <c r="G30" s="123"/>
      <c r="H30" s="121"/>
      <c r="I30" s="121"/>
      <c r="J30" s="121"/>
      <c r="K30" s="121"/>
      <c r="L30" s="124"/>
      <c r="M30" s="124"/>
      <c r="N30" s="125"/>
      <c r="O30" s="125"/>
      <c r="P30" s="125"/>
      <c r="Q30" s="126"/>
      <c r="R30" s="124"/>
      <c r="S30" s="124"/>
      <c r="T30" s="124"/>
      <c r="U30" s="124"/>
      <c r="V30" s="124"/>
    </row>
    <row r="31">
      <c r="A31" s="119" t="str">
        <f>'テンプレート'!A24</f>
        <v>地上攻撃</v>
      </c>
      <c r="B31" s="104"/>
      <c r="C31" s="120"/>
      <c r="D31" s="121"/>
      <c r="E31" s="121"/>
      <c r="F31" s="122"/>
      <c r="G31" s="123"/>
      <c r="H31" s="121"/>
      <c r="I31" s="121"/>
      <c r="J31" s="121"/>
      <c r="K31" s="121"/>
      <c r="L31" s="124"/>
      <c r="M31" s="124"/>
      <c r="N31" s="125"/>
      <c r="O31" s="125"/>
      <c r="P31" s="125"/>
      <c r="Q31" s="126"/>
      <c r="R31" s="124"/>
      <c r="S31" s="124"/>
      <c r="T31" s="124"/>
      <c r="U31" s="124"/>
      <c r="V31" s="124"/>
    </row>
    <row r="32" outlineLevel="1">
      <c r="A32" s="106"/>
      <c r="B32" s="107"/>
      <c r="C32" s="127" t="str">
        <f>'テンプレート'!C25</f>
        <v>判定持続</v>
      </c>
      <c r="D32" s="128" t="str">
        <f>'テンプレート'!D25</f>
        <v>全体フレーム</v>
      </c>
      <c r="E32" s="128" t="str">
        <f>'テンプレート'!E25</f>
        <v>基礎ダメージ</v>
      </c>
      <c r="F32" s="129" t="str">
        <f>'テンプレート'!F25</f>
        <v>ダメージ (1v1)</v>
      </c>
      <c r="G32" s="128" t="str">
        <f>'テンプレート'!G25</f>
        <v>ガード硬直</v>
      </c>
      <c r="H32" s="361" t="str">
        <f>'テンプレート'!H25</f>
        <v>備考</v>
      </c>
      <c r="I32" s="110"/>
      <c r="J32" s="109"/>
      <c r="K32" s="131" t="str">
        <f>'テンプレート'!K25</f>
        <v>ベクトル</v>
      </c>
      <c r="L32" s="131" t="str">
        <f>'テンプレート'!L25</f>
        <v>KBG (R.E.)</v>
      </c>
      <c r="M32" s="131" t="str">
        <f>'テンプレート'!M25</f>
        <v>BKB (R.A.)</v>
      </c>
      <c r="N32" s="131" t="str">
        <f>'テンプレート'!N25</f>
        <v>FKB (R.F.)</v>
      </c>
      <c r="O32" s="132" t="str">
        <f>'テンプレート'!O25</f>
        <v>盾削り値</v>
      </c>
      <c r="P32" s="131" t="str">
        <f>'テンプレート'!P25</f>
        <v>ﾋｯﾄｽﾄｯﾌﾟ</v>
      </c>
      <c r="Q32" s="132" t="str">
        <f>'テンプレート'!Q25</f>
        <v>ずらし</v>
      </c>
      <c r="R32" s="100"/>
      <c r="S32" s="100"/>
      <c r="T32" s="100"/>
      <c r="U32" s="127" t="s">
        <v>54</v>
      </c>
      <c r="V32" s="100"/>
    </row>
    <row r="33" outlineLevel="1">
      <c r="A33" s="133" t="str">
        <f>'テンプレート'!A26</f>
        <v>弱攻撃</v>
      </c>
      <c r="B33" s="147" t="s">
        <v>4291</v>
      </c>
      <c r="C33" s="216" t="s">
        <v>4292</v>
      </c>
      <c r="D33" s="216" t="s">
        <v>964</v>
      </c>
      <c r="E33" s="216" t="s">
        <v>128</v>
      </c>
      <c r="F33" s="138">
        <v>12.0</v>
      </c>
      <c r="G33" s="216" t="s">
        <v>121</v>
      </c>
      <c r="H33" s="362" t="s">
        <v>4293</v>
      </c>
      <c r="I33" s="110"/>
      <c r="J33" s="109"/>
      <c r="K33" s="138"/>
      <c r="L33" s="282"/>
      <c r="M33" s="363"/>
      <c r="N33" s="363"/>
      <c r="O33" s="145">
        <v>0.0</v>
      </c>
      <c r="P33" s="145">
        <v>1.8</v>
      </c>
      <c r="Q33" s="145">
        <v>1.0</v>
      </c>
      <c r="R33" s="100"/>
      <c r="S33" s="100"/>
      <c r="T33" s="100"/>
      <c r="U33" s="166" t="s">
        <v>69</v>
      </c>
      <c r="V33" s="100"/>
    </row>
    <row r="34" outlineLevel="1">
      <c r="A34" s="146"/>
      <c r="B34" s="2717" t="s">
        <v>4294</v>
      </c>
      <c r="C34" s="585" t="s">
        <v>93</v>
      </c>
      <c r="D34" s="734" t="s">
        <v>79</v>
      </c>
      <c r="E34" s="2080" t="s">
        <v>4295</v>
      </c>
      <c r="F34" s="779" t="s">
        <v>4296</v>
      </c>
      <c r="G34" s="2080" t="s">
        <v>4297</v>
      </c>
      <c r="H34" s="283" t="s">
        <v>4298</v>
      </c>
      <c r="I34" s="164"/>
      <c r="J34" s="104"/>
      <c r="K34" s="282"/>
      <c r="L34" s="282"/>
      <c r="M34" s="363"/>
      <c r="N34" s="363"/>
      <c r="O34" s="145"/>
      <c r="P34" s="145"/>
      <c r="Q34" s="145"/>
      <c r="R34" s="100"/>
      <c r="S34" s="100"/>
      <c r="T34" s="100"/>
      <c r="U34" s="146"/>
      <c r="V34" s="100"/>
    </row>
    <row r="35" outlineLevel="1">
      <c r="A35" s="146"/>
      <c r="B35" s="156"/>
      <c r="C35" s="551" t="s">
        <v>563</v>
      </c>
      <c r="D35" s="107"/>
      <c r="E35" s="1126" t="s">
        <v>129</v>
      </c>
      <c r="F35" s="2718">
        <v>14.399999999999999</v>
      </c>
      <c r="G35" s="1126" t="s">
        <v>88</v>
      </c>
      <c r="H35" s="106"/>
      <c r="I35" s="168"/>
      <c r="J35" s="107"/>
      <c r="K35" s="282"/>
      <c r="L35" s="282"/>
      <c r="M35" s="363"/>
      <c r="N35" s="363"/>
      <c r="O35" s="145"/>
      <c r="P35" s="145"/>
      <c r="Q35" s="145"/>
      <c r="R35" s="100"/>
      <c r="S35" s="100"/>
      <c r="T35" s="100"/>
      <c r="U35" s="156"/>
      <c r="V35" s="100"/>
    </row>
    <row r="36" outlineLevel="1">
      <c r="A36" s="146"/>
      <c r="B36" s="134" t="s">
        <v>4287</v>
      </c>
      <c r="C36" s="139" t="s">
        <v>4299</v>
      </c>
      <c r="D36" s="139" t="s">
        <v>2444</v>
      </c>
      <c r="E36" s="139" t="s">
        <v>1024</v>
      </c>
      <c r="F36" s="138">
        <v>1.7999999999999998</v>
      </c>
      <c r="G36" s="216" t="s">
        <v>60</v>
      </c>
      <c r="H36" s="903" t="s">
        <v>4300</v>
      </c>
      <c r="I36" s="110"/>
      <c r="J36" s="109"/>
      <c r="K36" s="282"/>
      <c r="L36" s="282"/>
      <c r="M36" s="363"/>
      <c r="N36" s="363"/>
      <c r="O36" s="145">
        <v>0.0</v>
      </c>
      <c r="P36" s="145">
        <v>1.8</v>
      </c>
      <c r="Q36" s="145">
        <v>1.0</v>
      </c>
      <c r="R36" s="100"/>
      <c r="S36" s="100"/>
      <c r="T36" s="100"/>
      <c r="U36" s="145" t="s">
        <v>76</v>
      </c>
      <c r="V36" s="100"/>
    </row>
    <row r="37" outlineLevel="1">
      <c r="A37" s="146"/>
      <c r="B37" s="147" t="s">
        <v>63</v>
      </c>
      <c r="C37" s="216" t="s">
        <v>4301</v>
      </c>
      <c r="D37" s="216" t="s">
        <v>105</v>
      </c>
      <c r="E37" s="216" t="s">
        <v>1024</v>
      </c>
      <c r="F37" s="138">
        <v>1.7999999999999998</v>
      </c>
      <c r="G37" s="216" t="s">
        <v>60</v>
      </c>
      <c r="H37" s="903" t="s">
        <v>4302</v>
      </c>
      <c r="I37" s="110"/>
      <c r="J37" s="109"/>
      <c r="K37" s="282"/>
      <c r="L37" s="282"/>
      <c r="M37" s="363"/>
      <c r="N37" s="363"/>
      <c r="O37" s="145">
        <v>0.0</v>
      </c>
      <c r="P37" s="145">
        <v>1.8</v>
      </c>
      <c r="Q37" s="145">
        <v>1.0</v>
      </c>
      <c r="R37" s="100"/>
      <c r="S37" s="100"/>
      <c r="T37" s="100"/>
      <c r="U37" s="145" t="s">
        <v>76</v>
      </c>
      <c r="V37" s="100"/>
    </row>
    <row r="38" outlineLevel="1">
      <c r="A38" s="156"/>
      <c r="B38" s="147" t="s">
        <v>70</v>
      </c>
      <c r="C38" s="216" t="s">
        <v>4303</v>
      </c>
      <c r="D38" s="216" t="s">
        <v>193</v>
      </c>
      <c r="E38" s="216" t="s">
        <v>150</v>
      </c>
      <c r="F38" s="138">
        <v>6.0</v>
      </c>
      <c r="G38" s="216" t="s">
        <v>102</v>
      </c>
      <c r="H38" s="366"/>
      <c r="I38" s="110"/>
      <c r="J38" s="109"/>
      <c r="K38" s="282"/>
      <c r="L38" s="282"/>
      <c r="M38" s="363"/>
      <c r="N38" s="363"/>
      <c r="O38" s="145">
        <v>0.0</v>
      </c>
      <c r="P38" s="145">
        <v>1.8</v>
      </c>
      <c r="Q38" s="145">
        <v>1.0</v>
      </c>
      <c r="R38" s="100"/>
      <c r="S38" s="100"/>
      <c r="T38" s="100"/>
      <c r="U38" s="145" t="s">
        <v>76</v>
      </c>
      <c r="V38" s="100"/>
    </row>
    <row r="39" outlineLevel="1">
      <c r="A39" s="133" t="s">
        <v>77</v>
      </c>
      <c r="B39" s="160"/>
      <c r="C39" s="239" t="s">
        <v>4304</v>
      </c>
      <c r="D39" s="367" t="s">
        <v>628</v>
      </c>
      <c r="E39" s="216" t="s">
        <v>129</v>
      </c>
      <c r="F39" s="138">
        <v>14.399999999999999</v>
      </c>
      <c r="G39" s="216" t="s">
        <v>88</v>
      </c>
      <c r="H39" s="368"/>
      <c r="I39" s="164"/>
      <c r="J39" s="104"/>
      <c r="K39" s="138"/>
      <c r="L39" s="282"/>
      <c r="M39" s="363"/>
      <c r="N39" s="363"/>
      <c r="O39" s="145">
        <v>2.0</v>
      </c>
      <c r="P39" s="145">
        <v>1.8</v>
      </c>
      <c r="Q39" s="145">
        <v>1.0</v>
      </c>
      <c r="R39" s="100"/>
      <c r="S39" s="100"/>
      <c r="T39" s="100"/>
      <c r="U39" s="166" t="s">
        <v>69</v>
      </c>
      <c r="V39" s="100"/>
    </row>
    <row r="40" outlineLevel="1">
      <c r="A40" s="156"/>
      <c r="B40" s="147" t="s">
        <v>84</v>
      </c>
      <c r="C40" s="239" t="s">
        <v>1208</v>
      </c>
      <c r="D40" s="156"/>
      <c r="E40" s="216" t="s">
        <v>80</v>
      </c>
      <c r="F40" s="138">
        <v>9.6</v>
      </c>
      <c r="G40" s="216" t="s">
        <v>123</v>
      </c>
      <c r="H40" s="106"/>
      <c r="I40" s="168"/>
      <c r="J40" s="107"/>
      <c r="K40" s="282"/>
      <c r="L40" s="282"/>
      <c r="M40" s="363"/>
      <c r="N40" s="363"/>
      <c r="O40" s="145">
        <v>2.0</v>
      </c>
      <c r="P40" s="145">
        <v>1.8</v>
      </c>
      <c r="Q40" s="145">
        <v>1.0</v>
      </c>
      <c r="R40" s="100"/>
      <c r="S40" s="100"/>
      <c r="T40" s="100"/>
      <c r="U40" s="156"/>
      <c r="V40" s="100"/>
    </row>
    <row r="41" outlineLevel="1">
      <c r="A41" s="133" t="s">
        <v>89</v>
      </c>
      <c r="B41" s="147" t="s">
        <v>4305</v>
      </c>
      <c r="C41" s="365" t="s">
        <v>119</v>
      </c>
      <c r="D41" s="901" t="s">
        <v>193</v>
      </c>
      <c r="E41" s="216" t="s">
        <v>204</v>
      </c>
      <c r="F41" s="138">
        <v>3.5999999999999996</v>
      </c>
      <c r="G41" s="216" t="s">
        <v>147</v>
      </c>
      <c r="H41" s="283" t="s">
        <v>4306</v>
      </c>
      <c r="I41" s="164"/>
      <c r="J41" s="104"/>
      <c r="K41" s="138"/>
      <c r="L41" s="282"/>
      <c r="M41" s="363"/>
      <c r="N41" s="363"/>
      <c r="O41" s="145">
        <v>8.0</v>
      </c>
      <c r="P41" s="145">
        <v>1.8</v>
      </c>
      <c r="Q41" s="145">
        <v>1.0</v>
      </c>
      <c r="R41" s="100"/>
      <c r="S41" s="100"/>
      <c r="T41" s="100"/>
      <c r="U41" s="166" t="s">
        <v>96</v>
      </c>
      <c r="V41" s="100"/>
    </row>
    <row r="42" outlineLevel="1">
      <c r="A42" s="146"/>
      <c r="B42" s="147" t="s">
        <v>4307</v>
      </c>
      <c r="C42" s="365" t="s">
        <v>454</v>
      </c>
      <c r="D42" s="156"/>
      <c r="E42" s="216" t="s">
        <v>86</v>
      </c>
      <c r="F42" s="138">
        <v>7.199999999999999</v>
      </c>
      <c r="G42" s="216" t="s">
        <v>102</v>
      </c>
      <c r="H42" s="106"/>
      <c r="I42" s="168"/>
      <c r="J42" s="107"/>
      <c r="K42" s="138"/>
      <c r="L42" s="282"/>
      <c r="M42" s="363"/>
      <c r="N42" s="363"/>
      <c r="O42" s="145">
        <v>20.0</v>
      </c>
      <c r="P42" s="145">
        <v>1.8</v>
      </c>
      <c r="Q42" s="145">
        <v>1.0</v>
      </c>
      <c r="R42" s="100"/>
      <c r="S42" s="100"/>
      <c r="T42" s="100"/>
      <c r="U42" s="156"/>
      <c r="V42" s="100"/>
    </row>
    <row r="43" outlineLevel="1">
      <c r="A43" s="146"/>
      <c r="B43" s="147" t="s">
        <v>4308</v>
      </c>
      <c r="C43" s="239" t="s">
        <v>4309</v>
      </c>
      <c r="D43" s="239" t="s">
        <v>173</v>
      </c>
      <c r="E43" s="216" t="s">
        <v>4310</v>
      </c>
      <c r="F43" s="138">
        <v>8.16</v>
      </c>
      <c r="G43" s="216" t="s">
        <v>95</v>
      </c>
      <c r="H43" s="140" t="s">
        <v>4311</v>
      </c>
      <c r="I43" s="110"/>
      <c r="J43" s="109"/>
      <c r="K43" s="138"/>
      <c r="L43" s="282"/>
      <c r="M43" s="363"/>
      <c r="N43" s="363"/>
      <c r="O43" s="145">
        <v>0.0</v>
      </c>
      <c r="P43" s="145">
        <v>1.8</v>
      </c>
      <c r="Q43" s="145">
        <v>1.0</v>
      </c>
      <c r="R43" s="100"/>
      <c r="S43" s="100"/>
      <c r="T43" s="100"/>
      <c r="U43" s="166" t="s">
        <v>96</v>
      </c>
      <c r="V43" s="100"/>
    </row>
    <row r="44" outlineLevel="1">
      <c r="A44" s="156"/>
      <c r="B44" s="147" t="s">
        <v>4312</v>
      </c>
      <c r="C44" s="216" t="s">
        <v>4313</v>
      </c>
      <c r="D44" s="216" t="s">
        <v>4314</v>
      </c>
      <c r="E44" s="216" t="s">
        <v>86</v>
      </c>
      <c r="F44" s="138">
        <v>7.199999999999999</v>
      </c>
      <c r="G44" s="216" t="s">
        <v>102</v>
      </c>
      <c r="H44" s="903" t="s">
        <v>4315</v>
      </c>
      <c r="I44" s="110"/>
      <c r="J44" s="109"/>
      <c r="K44" s="138"/>
      <c r="L44" s="282"/>
      <c r="M44" s="363"/>
      <c r="N44" s="363"/>
      <c r="O44" s="145"/>
      <c r="P44" s="145"/>
      <c r="Q44" s="145"/>
      <c r="R44" s="100"/>
      <c r="S44" s="100"/>
      <c r="T44" s="100"/>
      <c r="U44" s="156"/>
      <c r="V44" s="100"/>
    </row>
    <row r="45" ht="19.5" customHeight="1" outlineLevel="1">
      <c r="A45" s="133" t="s">
        <v>97</v>
      </c>
      <c r="B45" s="147" t="s">
        <v>4316</v>
      </c>
      <c r="C45" s="216" t="s">
        <v>93</v>
      </c>
      <c r="D45" s="195" t="s">
        <v>79</v>
      </c>
      <c r="E45" s="216" t="s">
        <v>4295</v>
      </c>
      <c r="F45" s="138" t="s">
        <v>4296</v>
      </c>
      <c r="G45" s="216" t="s">
        <v>4297</v>
      </c>
      <c r="H45" s="283" t="s">
        <v>4317</v>
      </c>
      <c r="I45" s="164"/>
      <c r="J45" s="104"/>
      <c r="K45" s="282"/>
      <c r="L45" s="282"/>
      <c r="M45" s="363"/>
      <c r="N45" s="363"/>
      <c r="O45" s="145">
        <v>0.0</v>
      </c>
      <c r="P45" s="145">
        <v>1.8</v>
      </c>
      <c r="Q45" s="145">
        <v>1.0</v>
      </c>
      <c r="R45" s="100"/>
      <c r="S45" s="100"/>
      <c r="T45" s="100"/>
      <c r="U45" s="166" t="s">
        <v>62</v>
      </c>
      <c r="V45" s="100"/>
    </row>
    <row r="46" ht="19.5" customHeight="1" outlineLevel="1">
      <c r="A46" s="146"/>
      <c r="B46" s="147" t="s">
        <v>4318</v>
      </c>
      <c r="C46" s="216" t="s">
        <v>4319</v>
      </c>
      <c r="D46" s="107"/>
      <c r="E46" s="216" t="s">
        <v>129</v>
      </c>
      <c r="F46" s="138">
        <v>14.399999999999999</v>
      </c>
      <c r="G46" s="216" t="s">
        <v>88</v>
      </c>
      <c r="H46" s="106"/>
      <c r="I46" s="168"/>
      <c r="J46" s="107"/>
      <c r="K46" s="145"/>
      <c r="L46" s="363"/>
      <c r="M46" s="363"/>
      <c r="N46" s="363"/>
      <c r="O46" s="145">
        <v>0.0</v>
      </c>
      <c r="P46" s="145">
        <v>1.8</v>
      </c>
      <c r="Q46" s="145">
        <v>1.0</v>
      </c>
      <c r="R46" s="100"/>
      <c r="S46" s="100"/>
      <c r="T46" s="100"/>
      <c r="U46" s="156"/>
      <c r="V46" s="100"/>
    </row>
    <row r="47" outlineLevel="1">
      <c r="A47" s="156"/>
      <c r="B47" s="147" t="s">
        <v>4308</v>
      </c>
      <c r="C47" s="216" t="s">
        <v>4320</v>
      </c>
      <c r="D47" s="216" t="s">
        <v>4321</v>
      </c>
      <c r="E47" s="216" t="s">
        <v>176</v>
      </c>
      <c r="F47" s="138">
        <v>2.4</v>
      </c>
      <c r="G47" s="216" t="s">
        <v>60</v>
      </c>
      <c r="H47" s="140" t="s">
        <v>4322</v>
      </c>
      <c r="I47" s="110"/>
      <c r="J47" s="109"/>
      <c r="K47" s="145"/>
      <c r="L47" s="363"/>
      <c r="M47" s="363"/>
      <c r="N47" s="363"/>
      <c r="O47" s="145">
        <v>0.0</v>
      </c>
      <c r="P47" s="145">
        <v>1.8</v>
      </c>
      <c r="Q47" s="145">
        <v>2.5</v>
      </c>
      <c r="R47" s="100"/>
      <c r="S47" s="100"/>
      <c r="T47" s="100"/>
      <c r="U47" s="145" t="s">
        <v>62</v>
      </c>
      <c r="V47" s="100"/>
    </row>
    <row r="48" outlineLevel="1">
      <c r="A48" s="133" t="s">
        <v>103</v>
      </c>
      <c r="B48" s="147" t="s">
        <v>4316</v>
      </c>
      <c r="C48" s="216" t="s">
        <v>217</v>
      </c>
      <c r="D48" s="216" t="s">
        <v>105</v>
      </c>
      <c r="E48" s="216" t="s">
        <v>4323</v>
      </c>
      <c r="F48" s="138" t="s">
        <v>4324</v>
      </c>
      <c r="G48" s="216" t="s">
        <v>108</v>
      </c>
      <c r="H48" s="140" t="s">
        <v>4325</v>
      </c>
      <c r="I48" s="110"/>
      <c r="J48" s="109"/>
      <c r="K48" s="145"/>
      <c r="L48" s="363"/>
      <c r="M48" s="363"/>
      <c r="N48" s="363"/>
      <c r="O48" s="145">
        <v>0.0</v>
      </c>
      <c r="P48" s="145">
        <v>1.8</v>
      </c>
      <c r="Q48" s="145">
        <v>1.0</v>
      </c>
      <c r="R48" s="100"/>
      <c r="S48" s="100"/>
      <c r="T48" s="100"/>
      <c r="U48" s="145" t="s">
        <v>62</v>
      </c>
      <c r="V48" s="100"/>
    </row>
    <row r="49" outlineLevel="1">
      <c r="A49" s="156"/>
      <c r="B49" s="147" t="s">
        <v>4308</v>
      </c>
      <c r="C49" s="216" t="s">
        <v>64</v>
      </c>
      <c r="D49" s="216" t="s">
        <v>4321</v>
      </c>
      <c r="E49" s="216" t="s">
        <v>381</v>
      </c>
      <c r="F49" s="138">
        <v>1.92</v>
      </c>
      <c r="G49" s="216" t="s">
        <v>60</v>
      </c>
      <c r="H49" s="140" t="s">
        <v>4326</v>
      </c>
      <c r="I49" s="110"/>
      <c r="J49" s="109"/>
      <c r="K49" s="363"/>
      <c r="L49" s="363"/>
      <c r="M49" s="363"/>
      <c r="N49" s="363"/>
      <c r="O49" s="145">
        <v>0.0</v>
      </c>
      <c r="P49" s="145">
        <v>2.2</v>
      </c>
      <c r="Q49" s="145">
        <v>1.0</v>
      </c>
      <c r="R49" s="100"/>
      <c r="S49" s="100"/>
      <c r="T49" s="100"/>
      <c r="U49" s="145" t="s">
        <v>62</v>
      </c>
      <c r="V49" s="100"/>
    </row>
    <row r="50" outlineLevel="1">
      <c r="A50" s="170" t="s">
        <v>109</v>
      </c>
      <c r="B50" s="147"/>
      <c r="C50" s="216" t="s">
        <v>4327</v>
      </c>
      <c r="D50" s="216" t="s">
        <v>146</v>
      </c>
      <c r="E50" s="216" t="s">
        <v>4328</v>
      </c>
      <c r="F50" s="138" t="s">
        <v>4329</v>
      </c>
      <c r="G50" s="216" t="s">
        <v>4330</v>
      </c>
      <c r="H50" s="140" t="s">
        <v>1214</v>
      </c>
      <c r="I50" s="110"/>
      <c r="J50" s="109"/>
      <c r="K50" s="282"/>
      <c r="L50" s="282"/>
      <c r="M50" s="363"/>
      <c r="N50" s="363"/>
      <c r="O50" s="145">
        <v>0.0</v>
      </c>
      <c r="P50" s="145">
        <v>1.8</v>
      </c>
      <c r="Q50" s="145">
        <v>1.0</v>
      </c>
      <c r="R50" s="100"/>
      <c r="S50" s="100"/>
      <c r="T50" s="100"/>
      <c r="U50" s="145" t="s">
        <v>95</v>
      </c>
      <c r="V50" s="100"/>
    </row>
    <row r="51" outlineLevel="1">
      <c r="A51" s="133" t="s">
        <v>116</v>
      </c>
      <c r="B51" s="160"/>
      <c r="C51" s="216" t="s">
        <v>274</v>
      </c>
      <c r="D51" s="195" t="s">
        <v>393</v>
      </c>
      <c r="E51" s="216" t="s">
        <v>394</v>
      </c>
      <c r="F51" s="138">
        <v>20.4</v>
      </c>
      <c r="G51" s="216" t="s">
        <v>88</v>
      </c>
      <c r="H51" s="283" t="s">
        <v>4331</v>
      </c>
      <c r="I51" s="164"/>
      <c r="J51" s="104"/>
      <c r="K51" s="363"/>
      <c r="L51" s="363"/>
      <c r="M51" s="363"/>
      <c r="N51" s="363"/>
      <c r="O51" s="145">
        <v>0.0</v>
      </c>
      <c r="P51" s="145">
        <v>1.8</v>
      </c>
      <c r="Q51" s="145">
        <v>1.0</v>
      </c>
      <c r="R51" s="100"/>
      <c r="S51" s="100"/>
      <c r="T51" s="100"/>
      <c r="U51" s="166" t="s">
        <v>123</v>
      </c>
      <c r="V51" s="100"/>
    </row>
    <row r="52" outlineLevel="1">
      <c r="A52" s="156"/>
      <c r="B52" s="147" t="s">
        <v>84</v>
      </c>
      <c r="C52" s="216" t="s">
        <v>627</v>
      </c>
      <c r="D52" s="107"/>
      <c r="E52" s="216" t="s">
        <v>1217</v>
      </c>
      <c r="F52" s="138">
        <v>16.2</v>
      </c>
      <c r="G52" s="216" t="s">
        <v>275</v>
      </c>
      <c r="H52" s="106"/>
      <c r="I52" s="168"/>
      <c r="J52" s="107"/>
      <c r="K52" s="363"/>
      <c r="L52" s="363"/>
      <c r="M52" s="363"/>
      <c r="N52" s="363"/>
      <c r="O52" s="145">
        <v>0.0</v>
      </c>
      <c r="P52" s="145">
        <v>1.8</v>
      </c>
      <c r="Q52" s="145">
        <v>1.0</v>
      </c>
      <c r="R52" s="100"/>
      <c r="S52" s="100"/>
      <c r="T52" s="100"/>
      <c r="U52" s="156"/>
      <c r="V52" s="100"/>
    </row>
    <row r="53" outlineLevel="1">
      <c r="A53" s="170" t="s">
        <v>124</v>
      </c>
      <c r="B53" s="147"/>
      <c r="C53" s="216" t="s">
        <v>4332</v>
      </c>
      <c r="D53" s="216" t="s">
        <v>384</v>
      </c>
      <c r="E53" s="216" t="s">
        <v>4333</v>
      </c>
      <c r="F53" s="138" t="s">
        <v>4334</v>
      </c>
      <c r="G53" s="216" t="s">
        <v>2076</v>
      </c>
      <c r="H53" s="903" t="s">
        <v>4335</v>
      </c>
      <c r="I53" s="110"/>
      <c r="J53" s="109"/>
      <c r="K53" s="282"/>
      <c r="L53" s="282"/>
      <c r="M53" s="363"/>
      <c r="N53" s="363"/>
      <c r="O53" s="145">
        <v>0.0</v>
      </c>
      <c r="P53" s="145">
        <v>1.8</v>
      </c>
      <c r="Q53" s="145">
        <v>1.0</v>
      </c>
      <c r="R53" s="100"/>
      <c r="S53" s="100"/>
      <c r="T53" s="100"/>
      <c r="U53" s="145" t="s">
        <v>69</v>
      </c>
      <c r="V53" s="100"/>
    </row>
    <row r="54">
      <c r="A54" s="118"/>
      <c r="B54" s="176"/>
      <c r="C54" s="118"/>
      <c r="D54" s="118"/>
      <c r="E54" s="118"/>
      <c r="F54" s="177"/>
      <c r="G54" s="177"/>
      <c r="H54" s="118"/>
      <c r="I54" s="118"/>
      <c r="J54" s="118"/>
      <c r="K54" s="118"/>
      <c r="L54" s="118"/>
      <c r="M54" s="118"/>
      <c r="N54" s="118"/>
      <c r="O54" s="118"/>
      <c r="P54" s="118"/>
      <c r="Q54" s="118"/>
      <c r="R54" s="118"/>
      <c r="S54" s="118"/>
      <c r="T54" s="118"/>
      <c r="U54" s="118"/>
      <c r="V54" s="118"/>
    </row>
    <row r="55">
      <c r="A55" s="178" t="str">
        <f>'テンプレート'!A55</f>
        <v>空中攻撃</v>
      </c>
      <c r="B55" s="104"/>
      <c r="C55" s="179"/>
      <c r="D55" s="179"/>
      <c r="E55" s="179"/>
      <c r="F55" s="180"/>
      <c r="G55" s="179"/>
      <c r="H55" s="180"/>
      <c r="I55" s="180"/>
      <c r="J55" s="181"/>
      <c r="K55" s="180"/>
      <c r="L55" s="180"/>
      <c r="M55" s="180"/>
      <c r="N55" s="180"/>
      <c r="O55" s="180"/>
      <c r="P55" s="180"/>
      <c r="Q55" s="180"/>
      <c r="R55" s="180"/>
      <c r="S55" s="180"/>
      <c r="T55" s="180"/>
      <c r="U55" s="180"/>
      <c r="V55" s="180"/>
    </row>
    <row r="56" outlineLevel="1">
      <c r="A56" s="106"/>
      <c r="B56" s="107"/>
      <c r="C56" s="182" t="str">
        <f>'テンプレート'!C56</f>
        <v>判定持続</v>
      </c>
      <c r="D56" s="183" t="str">
        <f>'テンプレート'!D56</f>
        <v>全体フレーム</v>
      </c>
      <c r="E56" s="182" t="str">
        <f>'テンプレート'!E56</f>
        <v>基礎ダメージ</v>
      </c>
      <c r="F56" s="184" t="str">
        <f>'テンプレート'!F56</f>
        <v>ダメージ (1v1)</v>
      </c>
      <c r="G56" s="184" t="str">
        <f>'テンプレート'!G56</f>
        <v>ダメ (1v1+小J)</v>
      </c>
      <c r="H56" s="185" t="str">
        <f>'テンプレート'!H56</f>
        <v>ガード硬直</v>
      </c>
      <c r="I56" s="184" t="str">
        <f>'テンプレート'!I56</f>
        <v>着地隙</v>
      </c>
      <c r="J56" s="184" t="s">
        <v>136</v>
      </c>
      <c r="K56" s="184" t="str">
        <f>'テンプレート'!K56</f>
        <v>ベクトル</v>
      </c>
      <c r="L56" s="184" t="str">
        <f>'テンプレート'!L56</f>
        <v>KBG (R.E.)</v>
      </c>
      <c r="M56" s="184" t="str">
        <f>'テンプレート'!M56</f>
        <v>BKB (R.A.)</v>
      </c>
      <c r="N56" s="184" t="str">
        <f>'テンプレート'!N56</f>
        <v>FKB (R.F.)</v>
      </c>
      <c r="O56" s="186" t="str">
        <f>'テンプレート'!O56</f>
        <v>盾削り値</v>
      </c>
      <c r="P56" s="184" t="str">
        <f>'テンプレート'!P56</f>
        <v>ﾋｯﾄｽﾄｯﾌﾟ</v>
      </c>
      <c r="Q56" s="186" t="str">
        <f>'テンプレート'!Q56</f>
        <v>ずらし</v>
      </c>
      <c r="R56" s="372" t="str">
        <f>'テンプレート'!R56</f>
        <v>備考</v>
      </c>
      <c r="S56" s="110"/>
      <c r="T56" s="110"/>
      <c r="U56" s="110"/>
      <c r="V56" s="110"/>
    </row>
    <row r="57" ht="27.0" customHeight="1" outlineLevel="1">
      <c r="A57" s="188" t="s">
        <v>144</v>
      </c>
      <c r="B57" s="373"/>
      <c r="C57" s="239" t="s">
        <v>4336</v>
      </c>
      <c r="D57" s="195" t="s">
        <v>193</v>
      </c>
      <c r="E57" s="401" t="s">
        <v>80</v>
      </c>
      <c r="F57" s="193">
        <v>9.6</v>
      </c>
      <c r="G57" s="193">
        <v>8.16</v>
      </c>
      <c r="H57" s="138" t="s">
        <v>147</v>
      </c>
      <c r="I57" s="454" t="str">
        <f t="array" ref="I57">INDEX('空中攻撃'!$O$3:$AA$109, MATCH($A$1,'空中攻撃'!$A$3:$A$109,0), MATCH(A57,'空中攻撃'!$O$2:$S$2,0))</f>
        <v>5</v>
      </c>
      <c r="J57" s="455" t="s">
        <v>2763</v>
      </c>
      <c r="K57" s="376"/>
      <c r="L57" s="377"/>
      <c r="M57" s="825"/>
      <c r="N57" s="825"/>
      <c r="O57" s="199">
        <v>0.0</v>
      </c>
      <c r="P57" s="199">
        <v>1.8</v>
      </c>
      <c r="Q57" s="199">
        <v>1.0</v>
      </c>
      <c r="R57" s="283" t="s">
        <v>4337</v>
      </c>
      <c r="S57" s="164"/>
      <c r="T57" s="164"/>
      <c r="U57" s="164"/>
      <c r="V57" s="104"/>
    </row>
    <row r="58" ht="27.0" customHeight="1" outlineLevel="1">
      <c r="A58" s="156"/>
      <c r="B58" s="373" t="s">
        <v>84</v>
      </c>
      <c r="C58" s="239" t="s">
        <v>4338</v>
      </c>
      <c r="D58" s="107"/>
      <c r="E58" s="239" t="s">
        <v>1438</v>
      </c>
      <c r="F58" s="138">
        <v>5.3999999999999995</v>
      </c>
      <c r="G58" s="138">
        <v>4.59</v>
      </c>
      <c r="H58" s="138" t="s">
        <v>60</v>
      </c>
      <c r="I58" s="156"/>
      <c r="J58" s="107"/>
      <c r="K58" s="376"/>
      <c r="L58" s="377"/>
      <c r="M58" s="825"/>
      <c r="N58" s="825"/>
      <c r="O58" s="199">
        <v>0.0</v>
      </c>
      <c r="P58" s="199">
        <v>1.8</v>
      </c>
      <c r="Q58" s="199">
        <v>1.0</v>
      </c>
      <c r="R58" s="106"/>
      <c r="S58" s="168"/>
      <c r="T58" s="168"/>
      <c r="U58" s="168"/>
      <c r="V58" s="107"/>
    </row>
    <row r="59" outlineLevel="1">
      <c r="A59" s="188" t="s">
        <v>151</v>
      </c>
      <c r="B59" s="373"/>
      <c r="C59" s="239" t="s">
        <v>518</v>
      </c>
      <c r="D59" s="195" t="s">
        <v>224</v>
      </c>
      <c r="E59" s="239" t="s">
        <v>4339</v>
      </c>
      <c r="F59" s="138" t="s">
        <v>4340</v>
      </c>
      <c r="G59" s="138" t="s">
        <v>4341</v>
      </c>
      <c r="H59" s="138" t="s">
        <v>980</v>
      </c>
      <c r="I59" s="454" t="str">
        <f t="array" ref="I59">INDEX('空中攻撃'!$O$3:$AA$109, MATCH($A$1,'空中攻撃'!$A$3:$A$109,0), MATCH(A59,'空中攻撃'!$O$2:$S$2,0))</f>
        <v>11</v>
      </c>
      <c r="J59" s="379" t="s">
        <v>643</v>
      </c>
      <c r="K59" s="376"/>
      <c r="L59" s="377"/>
      <c r="M59" s="825"/>
      <c r="N59" s="825"/>
      <c r="O59" s="199">
        <v>15.0</v>
      </c>
      <c r="P59" s="199">
        <v>1.8</v>
      </c>
      <c r="Q59" s="199">
        <v>1.0</v>
      </c>
      <c r="R59" s="283" t="s">
        <v>4342</v>
      </c>
      <c r="S59" s="164"/>
      <c r="T59" s="164"/>
      <c r="U59" s="164"/>
      <c r="V59" s="104"/>
    </row>
    <row r="60" outlineLevel="1">
      <c r="A60" s="156"/>
      <c r="B60" s="373" t="s">
        <v>84</v>
      </c>
      <c r="C60" s="239" t="s">
        <v>1290</v>
      </c>
      <c r="D60" s="107"/>
      <c r="E60" s="239" t="s">
        <v>1551</v>
      </c>
      <c r="F60" s="138" t="s">
        <v>1552</v>
      </c>
      <c r="G60" s="138" t="s">
        <v>2280</v>
      </c>
      <c r="H60" s="138" t="s">
        <v>980</v>
      </c>
      <c r="I60" s="156"/>
      <c r="J60" s="107"/>
      <c r="K60" s="376"/>
      <c r="L60" s="377"/>
      <c r="M60" s="825"/>
      <c r="N60" s="825"/>
      <c r="O60" s="199">
        <v>15.0</v>
      </c>
      <c r="P60" s="199">
        <v>1.8</v>
      </c>
      <c r="Q60" s="199">
        <v>1.0</v>
      </c>
      <c r="R60" s="106"/>
      <c r="S60" s="168"/>
      <c r="T60" s="168"/>
      <c r="U60" s="168"/>
      <c r="V60" s="107"/>
    </row>
    <row r="61" outlineLevel="1">
      <c r="A61" s="213" t="s">
        <v>157</v>
      </c>
      <c r="B61" s="373"/>
      <c r="C61" s="239" t="s">
        <v>4343</v>
      </c>
      <c r="D61" s="380">
        <v>41.0</v>
      </c>
      <c r="E61" s="239" t="s">
        <v>326</v>
      </c>
      <c r="F61" s="138" t="s">
        <v>327</v>
      </c>
      <c r="G61" s="138" t="s">
        <v>328</v>
      </c>
      <c r="H61" s="138" t="s">
        <v>329</v>
      </c>
      <c r="I61" s="621">
        <f t="array" ref="I61">INDEX('空中攻撃'!$O$3:$AA$109, MATCH($A$1,'空中攻撃'!$A$3:$A$109,0), MATCH(A61,'空中攻撃'!$O$2:$S$2,0))</f>
        <v>10</v>
      </c>
      <c r="J61" s="467" t="s">
        <v>3063</v>
      </c>
      <c r="K61" s="376"/>
      <c r="L61" s="377"/>
      <c r="M61" s="825"/>
      <c r="N61" s="825"/>
      <c r="O61" s="199">
        <v>0.0</v>
      </c>
      <c r="P61" s="199">
        <v>1.8</v>
      </c>
      <c r="Q61" s="199">
        <v>1.0</v>
      </c>
      <c r="R61" s="140" t="s">
        <v>4344</v>
      </c>
      <c r="S61" s="110"/>
      <c r="T61" s="110"/>
      <c r="U61" s="110"/>
      <c r="V61" s="109"/>
    </row>
    <row r="62" ht="20.25" customHeight="1" outlineLevel="1">
      <c r="A62" s="188" t="s">
        <v>162</v>
      </c>
      <c r="B62" s="373" t="s">
        <v>125</v>
      </c>
      <c r="C62" s="365" t="s">
        <v>217</v>
      </c>
      <c r="D62" s="452" t="s">
        <v>193</v>
      </c>
      <c r="E62" s="239" t="s">
        <v>150</v>
      </c>
      <c r="F62" s="138">
        <v>6.0</v>
      </c>
      <c r="G62" s="138">
        <v>5.1</v>
      </c>
      <c r="H62" s="138" t="s">
        <v>60</v>
      </c>
      <c r="I62" s="454" t="str">
        <f t="array" ref="I62">INDEX('空中攻撃'!$O$3:$AA$109, MATCH($A$1,'空中攻撃'!$A$3:$A$109,0), MATCH(A62,'空中攻撃'!$O$2:$S$2,0))</f>
        <v>11</v>
      </c>
      <c r="J62" s="455" t="s">
        <v>4345</v>
      </c>
      <c r="K62" s="377"/>
      <c r="L62" s="377"/>
      <c r="M62" s="825"/>
      <c r="N62" s="825"/>
      <c r="O62" s="199">
        <v>0.0</v>
      </c>
      <c r="P62" s="199">
        <v>1.8</v>
      </c>
      <c r="Q62" s="199">
        <v>1.0</v>
      </c>
      <c r="R62" s="386" t="s">
        <v>4346</v>
      </c>
      <c r="S62" s="164"/>
      <c r="T62" s="164"/>
      <c r="U62" s="164"/>
      <c r="V62" s="104"/>
    </row>
    <row r="63" ht="20.25" customHeight="1" outlineLevel="1">
      <c r="A63" s="156"/>
      <c r="B63" s="373" t="s">
        <v>131</v>
      </c>
      <c r="C63" s="365" t="s">
        <v>835</v>
      </c>
      <c r="D63" s="107"/>
      <c r="E63" s="239" t="s">
        <v>86</v>
      </c>
      <c r="F63" s="138">
        <v>7.199999999999999</v>
      </c>
      <c r="G63" s="138">
        <v>6.12</v>
      </c>
      <c r="H63" s="138" t="s">
        <v>60</v>
      </c>
      <c r="I63" s="156"/>
      <c r="J63" s="107"/>
      <c r="K63" s="377"/>
      <c r="L63" s="377"/>
      <c r="M63" s="825"/>
      <c r="N63" s="825"/>
      <c r="O63" s="199">
        <v>0.0</v>
      </c>
      <c r="P63" s="199">
        <v>1.8</v>
      </c>
      <c r="Q63" s="199">
        <v>1.0</v>
      </c>
      <c r="R63" s="106"/>
      <c r="S63" s="168"/>
      <c r="T63" s="168"/>
      <c r="U63" s="168"/>
      <c r="V63" s="107"/>
    </row>
    <row r="64" ht="25.5" customHeight="1" outlineLevel="1">
      <c r="A64" s="188" t="s">
        <v>166</v>
      </c>
      <c r="B64" s="373" t="s">
        <v>350</v>
      </c>
      <c r="C64" s="239" t="s">
        <v>410</v>
      </c>
      <c r="D64" s="452">
        <v>45.0</v>
      </c>
      <c r="E64" s="239" t="s">
        <v>129</v>
      </c>
      <c r="F64" s="138">
        <v>14.399999999999999</v>
      </c>
      <c r="G64" s="138">
        <v>12.24</v>
      </c>
      <c r="H64" s="138" t="s">
        <v>75</v>
      </c>
      <c r="I64" s="454">
        <f t="array" ref="I64">INDEX('空中攻撃'!$O$3:$AA$109, MATCH($A$1,'空中攻撃'!$A$3:$A$109,0), MATCH(A64,'空中攻撃'!$O$2:$S$2,0))</f>
        <v>15</v>
      </c>
      <c r="J64" s="455" t="s">
        <v>981</v>
      </c>
      <c r="K64" s="377"/>
      <c r="L64" s="377"/>
      <c r="M64" s="825"/>
      <c r="N64" s="825"/>
      <c r="O64" s="199">
        <v>0.0</v>
      </c>
      <c r="P64" s="199">
        <v>1.8</v>
      </c>
      <c r="Q64" s="199">
        <v>1.0</v>
      </c>
      <c r="R64" s="283" t="s">
        <v>4347</v>
      </c>
      <c r="S64" s="164"/>
      <c r="T64" s="164"/>
      <c r="U64" s="164"/>
      <c r="V64" s="104"/>
    </row>
    <row r="65" ht="25.5" customHeight="1" outlineLevel="1">
      <c r="A65" s="156"/>
      <c r="B65" s="373" t="s">
        <v>356</v>
      </c>
      <c r="C65" s="239" t="s">
        <v>410</v>
      </c>
      <c r="D65" s="107"/>
      <c r="E65" s="239" t="s">
        <v>4348</v>
      </c>
      <c r="F65" s="138" t="s">
        <v>4349</v>
      </c>
      <c r="G65" s="138" t="s">
        <v>4350</v>
      </c>
      <c r="H65" s="138" t="s">
        <v>980</v>
      </c>
      <c r="I65" s="156"/>
      <c r="J65" s="107"/>
      <c r="K65" s="377"/>
      <c r="L65" s="377"/>
      <c r="M65" s="825"/>
      <c r="N65" s="825"/>
      <c r="O65" s="199">
        <v>0.0</v>
      </c>
      <c r="P65" s="199">
        <v>1.8</v>
      </c>
      <c r="Q65" s="199">
        <v>1.0</v>
      </c>
      <c r="R65" s="106"/>
      <c r="S65" s="168"/>
      <c r="T65" s="168"/>
      <c r="U65" s="168"/>
      <c r="V65" s="107"/>
    </row>
    <row r="66">
      <c r="A66" s="223"/>
      <c r="B66" s="224"/>
      <c r="C66" s="225"/>
      <c r="D66" s="225"/>
      <c r="E66" s="226"/>
      <c r="F66" s="226"/>
      <c r="G66" s="226"/>
      <c r="H66" s="227"/>
      <c r="I66" s="227"/>
      <c r="J66" s="228"/>
      <c r="K66" s="228"/>
      <c r="L66" s="228"/>
      <c r="M66" s="228"/>
      <c r="N66" s="228"/>
      <c r="O66" s="228"/>
      <c r="P66" s="228"/>
      <c r="Q66" s="118"/>
      <c r="R66" s="118"/>
      <c r="S66" s="118"/>
      <c r="T66" s="118"/>
      <c r="U66" s="118"/>
      <c r="V66" s="118"/>
    </row>
    <row r="67">
      <c r="A67" s="229" t="s">
        <v>177</v>
      </c>
      <c r="B67" s="109"/>
      <c r="C67" s="225"/>
      <c r="D67" s="225"/>
      <c r="E67" s="226"/>
      <c r="F67" s="226"/>
      <c r="G67" s="226"/>
      <c r="H67" s="227"/>
      <c r="I67" s="227"/>
      <c r="J67" s="228"/>
      <c r="K67" s="228"/>
      <c r="L67" s="228"/>
      <c r="M67" s="228"/>
      <c r="N67" s="228"/>
      <c r="O67" s="228"/>
      <c r="P67" s="228"/>
      <c r="Q67" s="118"/>
      <c r="R67" s="118"/>
      <c r="S67" s="118"/>
      <c r="T67" s="118"/>
      <c r="U67" s="118"/>
      <c r="V67" s="118"/>
    </row>
    <row r="68" outlineLevel="1">
      <c r="A68" s="230" t="s">
        <v>4351</v>
      </c>
      <c r="B68" s="109"/>
      <c r="C68" s="231" t="s">
        <v>48</v>
      </c>
      <c r="D68" s="231" t="s">
        <v>49</v>
      </c>
      <c r="E68" s="232" t="s">
        <v>50</v>
      </c>
      <c r="F68" s="233" t="s">
        <v>51</v>
      </c>
      <c r="G68" s="232" t="s">
        <v>52</v>
      </c>
      <c r="H68" s="382" t="s">
        <v>53</v>
      </c>
      <c r="I68" s="110"/>
      <c r="J68" s="109"/>
      <c r="K68" s="235" t="s">
        <v>137</v>
      </c>
      <c r="L68" s="235" t="s">
        <v>138</v>
      </c>
      <c r="M68" s="235" t="s">
        <v>139</v>
      </c>
      <c r="N68" s="235" t="s">
        <v>140</v>
      </c>
      <c r="O68" s="236" t="s">
        <v>141</v>
      </c>
      <c r="P68" s="235" t="s">
        <v>142</v>
      </c>
      <c r="Q68" s="236" t="s">
        <v>143</v>
      </c>
      <c r="R68" s="235" t="s">
        <v>179</v>
      </c>
      <c r="S68" s="236" t="s">
        <v>180</v>
      </c>
      <c r="T68" s="236" t="s">
        <v>181</v>
      </c>
      <c r="U68" s="236" t="s">
        <v>182</v>
      </c>
      <c r="V68" s="236" t="s">
        <v>183</v>
      </c>
    </row>
    <row r="69" outlineLevel="1">
      <c r="A69" s="237" t="s">
        <v>4352</v>
      </c>
      <c r="B69" s="243" t="s">
        <v>4308</v>
      </c>
      <c r="C69" s="365" t="s">
        <v>1061</v>
      </c>
      <c r="D69" s="901" t="s">
        <v>402</v>
      </c>
      <c r="E69" s="2719" t="s">
        <v>4353</v>
      </c>
      <c r="F69" s="1977" t="s">
        <v>4354</v>
      </c>
      <c r="G69" s="2719" t="s">
        <v>4355</v>
      </c>
      <c r="H69" s="386" t="s">
        <v>4356</v>
      </c>
      <c r="I69" s="164"/>
      <c r="J69" s="104"/>
      <c r="K69" s="282"/>
      <c r="L69" s="282"/>
      <c r="M69" s="363"/>
      <c r="N69" s="363"/>
      <c r="O69" s="138">
        <v>0.0</v>
      </c>
      <c r="P69" s="138">
        <v>1.4</v>
      </c>
      <c r="Q69" s="138">
        <v>0.0</v>
      </c>
      <c r="R69" s="145" t="b">
        <v>1</v>
      </c>
      <c r="S69" s="145" t="b">
        <v>0</v>
      </c>
      <c r="T69" s="145" t="b">
        <v>1</v>
      </c>
      <c r="U69" s="166" t="s">
        <v>186</v>
      </c>
      <c r="V69" s="166" t="b">
        <v>1</v>
      </c>
    </row>
    <row r="70" outlineLevel="1">
      <c r="A70" s="146"/>
      <c r="B70" s="663" t="s">
        <v>4357</v>
      </c>
      <c r="C70" s="365" t="s">
        <v>4358</v>
      </c>
      <c r="D70" s="146"/>
      <c r="E70" s="2719" t="s">
        <v>4353</v>
      </c>
      <c r="F70" s="1977" t="s">
        <v>4354</v>
      </c>
      <c r="G70" s="2719" t="s">
        <v>4355</v>
      </c>
      <c r="H70" s="212"/>
      <c r="J70" s="210"/>
      <c r="K70" s="282"/>
      <c r="L70" s="282"/>
      <c r="M70" s="363"/>
      <c r="N70" s="363"/>
      <c r="O70" s="138">
        <v>0.0</v>
      </c>
      <c r="P70" s="138">
        <v>1.4</v>
      </c>
      <c r="Q70" s="138">
        <v>0.0</v>
      </c>
      <c r="R70" s="145" t="b">
        <v>1</v>
      </c>
      <c r="S70" s="145" t="b">
        <v>0</v>
      </c>
      <c r="T70" s="145" t="b">
        <v>1</v>
      </c>
      <c r="U70" s="146"/>
      <c r="V70" s="146"/>
    </row>
    <row r="71" outlineLevel="1">
      <c r="A71" s="146"/>
      <c r="B71" s="663" t="s">
        <v>4359</v>
      </c>
      <c r="C71" s="365" t="s">
        <v>1378</v>
      </c>
      <c r="D71" s="146"/>
      <c r="E71" s="2719" t="s">
        <v>4360</v>
      </c>
      <c r="F71" s="1977" t="s">
        <v>4361</v>
      </c>
      <c r="G71" s="2719" t="s">
        <v>4355</v>
      </c>
      <c r="H71" s="212"/>
      <c r="J71" s="210"/>
      <c r="K71" s="282"/>
      <c r="L71" s="282"/>
      <c r="M71" s="363"/>
      <c r="N71" s="363"/>
      <c r="O71" s="138">
        <v>0.0</v>
      </c>
      <c r="P71" s="138">
        <v>1.4</v>
      </c>
      <c r="Q71" s="138">
        <v>0.0</v>
      </c>
      <c r="R71" s="145" t="b">
        <v>1</v>
      </c>
      <c r="S71" s="145" t="b">
        <v>0</v>
      </c>
      <c r="T71" s="145" t="b">
        <v>1</v>
      </c>
      <c r="U71" s="146"/>
      <c r="V71" s="146"/>
    </row>
    <row r="72" outlineLevel="1">
      <c r="A72" s="146"/>
      <c r="B72" s="663" t="s">
        <v>4362</v>
      </c>
      <c r="C72" s="365" t="s">
        <v>4363</v>
      </c>
      <c r="D72" s="146"/>
      <c r="E72" s="2719" t="s">
        <v>4360</v>
      </c>
      <c r="F72" s="1977" t="s">
        <v>4361</v>
      </c>
      <c r="G72" s="2719" t="s">
        <v>4355</v>
      </c>
      <c r="H72" s="212"/>
      <c r="J72" s="210"/>
      <c r="K72" s="282"/>
      <c r="L72" s="282"/>
      <c r="M72" s="363"/>
      <c r="N72" s="363"/>
      <c r="O72" s="138">
        <v>0.0</v>
      </c>
      <c r="P72" s="138">
        <v>1.4</v>
      </c>
      <c r="Q72" s="138">
        <v>0.0</v>
      </c>
      <c r="R72" s="145" t="b">
        <v>1</v>
      </c>
      <c r="S72" s="145" t="b">
        <v>0</v>
      </c>
      <c r="T72" s="145" t="b">
        <v>1</v>
      </c>
      <c r="U72" s="146"/>
      <c r="V72" s="146"/>
    </row>
    <row r="73" outlineLevel="1">
      <c r="A73" s="146"/>
      <c r="B73" s="663" t="s">
        <v>4316</v>
      </c>
      <c r="C73" s="365" t="s">
        <v>1670</v>
      </c>
      <c r="D73" s="146"/>
      <c r="E73" s="2719" t="s">
        <v>4364</v>
      </c>
      <c r="F73" s="1977" t="s">
        <v>4365</v>
      </c>
      <c r="G73" s="2719" t="s">
        <v>4355</v>
      </c>
      <c r="H73" s="212"/>
      <c r="J73" s="210"/>
      <c r="K73" s="282"/>
      <c r="L73" s="282"/>
      <c r="M73" s="363"/>
      <c r="N73" s="363"/>
      <c r="O73" s="138">
        <v>0.0</v>
      </c>
      <c r="P73" s="138">
        <v>1.4</v>
      </c>
      <c r="Q73" s="138">
        <v>0.0</v>
      </c>
      <c r="R73" s="145" t="b">
        <v>1</v>
      </c>
      <c r="S73" s="145" t="b">
        <v>0</v>
      </c>
      <c r="T73" s="145" t="b">
        <v>1</v>
      </c>
      <c r="U73" s="146"/>
      <c r="V73" s="146"/>
    </row>
    <row r="74" outlineLevel="1">
      <c r="A74" s="156"/>
      <c r="B74" s="663" t="s">
        <v>4318</v>
      </c>
      <c r="C74" s="365" t="s">
        <v>4366</v>
      </c>
      <c r="D74" s="156"/>
      <c r="E74" s="2719" t="s">
        <v>4364</v>
      </c>
      <c r="F74" s="1977" t="s">
        <v>4365</v>
      </c>
      <c r="G74" s="2719" t="s">
        <v>4355</v>
      </c>
      <c r="H74" s="106"/>
      <c r="I74" s="168"/>
      <c r="J74" s="107"/>
      <c r="K74" s="282"/>
      <c r="L74" s="282"/>
      <c r="M74" s="363"/>
      <c r="N74" s="363"/>
      <c r="O74" s="138">
        <v>0.0</v>
      </c>
      <c r="P74" s="138">
        <v>1.4</v>
      </c>
      <c r="Q74" s="138">
        <v>0.0</v>
      </c>
      <c r="R74" s="145" t="b">
        <v>1</v>
      </c>
      <c r="S74" s="145" t="b">
        <v>0</v>
      </c>
      <c r="T74" s="145" t="b">
        <v>1</v>
      </c>
      <c r="U74" s="146"/>
      <c r="V74" s="146"/>
    </row>
    <row r="75" outlineLevel="1">
      <c r="A75" s="237" t="s">
        <v>4367</v>
      </c>
      <c r="B75" s="663" t="s">
        <v>4368</v>
      </c>
      <c r="C75" s="365" t="s">
        <v>4369</v>
      </c>
      <c r="D75" s="901" t="s">
        <v>402</v>
      </c>
      <c r="E75" s="239" t="s">
        <v>2129</v>
      </c>
      <c r="F75" s="138">
        <v>1.32</v>
      </c>
      <c r="G75" s="216" t="s">
        <v>170</v>
      </c>
      <c r="H75" s="163" t="s">
        <v>4370</v>
      </c>
      <c r="I75" s="164"/>
      <c r="J75" s="104"/>
      <c r="K75" s="282"/>
      <c r="L75" s="282"/>
      <c r="M75" s="363"/>
      <c r="N75" s="363"/>
      <c r="O75" s="138">
        <v>0.0</v>
      </c>
      <c r="P75" s="138">
        <v>0.25</v>
      </c>
      <c r="Q75" s="138">
        <v>0.0</v>
      </c>
      <c r="R75" s="145" t="b">
        <v>1</v>
      </c>
      <c r="S75" s="145" t="b">
        <v>0</v>
      </c>
      <c r="T75" s="145" t="b">
        <v>1</v>
      </c>
      <c r="U75" s="146"/>
      <c r="V75" s="146"/>
    </row>
    <row r="76" outlineLevel="1">
      <c r="A76" s="146"/>
      <c r="B76" s="663" t="s">
        <v>4371</v>
      </c>
      <c r="C76" s="365" t="s">
        <v>4372</v>
      </c>
      <c r="D76" s="146"/>
      <c r="E76" s="239" t="s">
        <v>2129</v>
      </c>
      <c r="F76" s="138">
        <v>1.32</v>
      </c>
      <c r="G76" s="216" t="s">
        <v>170</v>
      </c>
      <c r="H76" s="212"/>
      <c r="J76" s="210"/>
      <c r="K76" s="282"/>
      <c r="L76" s="282"/>
      <c r="M76" s="363"/>
      <c r="N76" s="363"/>
      <c r="O76" s="138"/>
      <c r="P76" s="138"/>
      <c r="Q76" s="138"/>
      <c r="R76" s="145" t="b">
        <v>0</v>
      </c>
      <c r="S76" s="145" t="b">
        <v>0</v>
      </c>
      <c r="T76" s="145" t="b">
        <v>0</v>
      </c>
      <c r="U76" s="146"/>
      <c r="V76" s="146"/>
    </row>
    <row r="77" outlineLevel="1">
      <c r="A77" s="146"/>
      <c r="B77" s="663" t="s">
        <v>4373</v>
      </c>
      <c r="C77" s="365" t="s">
        <v>4374</v>
      </c>
      <c r="D77" s="146"/>
      <c r="E77" s="239" t="s">
        <v>2129</v>
      </c>
      <c r="F77" s="138">
        <v>1.32</v>
      </c>
      <c r="G77" s="216" t="s">
        <v>170</v>
      </c>
      <c r="H77" s="212"/>
      <c r="J77" s="210"/>
      <c r="K77" s="282"/>
      <c r="L77" s="282"/>
      <c r="M77" s="363"/>
      <c r="N77" s="363"/>
      <c r="O77" s="138"/>
      <c r="P77" s="138"/>
      <c r="Q77" s="138"/>
      <c r="R77" s="145" t="b">
        <v>0</v>
      </c>
      <c r="S77" s="145" t="b">
        <v>0</v>
      </c>
      <c r="T77" s="145" t="b">
        <v>0</v>
      </c>
      <c r="U77" s="146"/>
      <c r="V77" s="146"/>
    </row>
    <row r="78" outlineLevel="1">
      <c r="A78" s="146"/>
      <c r="B78" s="663" t="s">
        <v>4375</v>
      </c>
      <c r="C78" s="365" t="s">
        <v>4376</v>
      </c>
      <c r="D78" s="146"/>
      <c r="E78" s="239" t="s">
        <v>2129</v>
      </c>
      <c r="F78" s="138">
        <v>1.32</v>
      </c>
      <c r="G78" s="216" t="s">
        <v>170</v>
      </c>
      <c r="H78" s="212"/>
      <c r="J78" s="210"/>
      <c r="K78" s="282"/>
      <c r="L78" s="282"/>
      <c r="M78" s="363"/>
      <c r="N78" s="363"/>
      <c r="O78" s="138">
        <v>0.0</v>
      </c>
      <c r="P78" s="138">
        <v>0.25</v>
      </c>
      <c r="Q78" s="138">
        <v>0.0</v>
      </c>
      <c r="R78" s="145" t="b">
        <v>1</v>
      </c>
      <c r="S78" s="145" t="b">
        <v>0</v>
      </c>
      <c r="T78" s="145" t="b">
        <v>1</v>
      </c>
      <c r="U78" s="146"/>
      <c r="V78" s="146"/>
    </row>
    <row r="79" outlineLevel="1">
      <c r="A79" s="146"/>
      <c r="B79" s="663" t="s">
        <v>4377</v>
      </c>
      <c r="C79" s="365" t="s">
        <v>4378</v>
      </c>
      <c r="D79" s="146"/>
      <c r="E79" s="239" t="s">
        <v>2129</v>
      </c>
      <c r="F79" s="138">
        <v>1.32</v>
      </c>
      <c r="G79" s="216" t="s">
        <v>170</v>
      </c>
      <c r="H79" s="212"/>
      <c r="J79" s="210"/>
      <c r="K79" s="282"/>
      <c r="L79" s="282"/>
      <c r="M79" s="363"/>
      <c r="N79" s="363"/>
      <c r="O79" s="138"/>
      <c r="P79" s="138"/>
      <c r="Q79" s="138"/>
      <c r="R79" s="145" t="b">
        <v>0</v>
      </c>
      <c r="S79" s="145" t="b">
        <v>0</v>
      </c>
      <c r="T79" s="145" t="b">
        <v>0</v>
      </c>
      <c r="U79" s="146"/>
      <c r="V79" s="146"/>
    </row>
    <row r="80" outlineLevel="1">
      <c r="A80" s="146"/>
      <c r="B80" s="663" t="s">
        <v>4379</v>
      </c>
      <c r="C80" s="365" t="s">
        <v>4380</v>
      </c>
      <c r="D80" s="146"/>
      <c r="E80" s="239" t="s">
        <v>2129</v>
      </c>
      <c r="F80" s="138">
        <v>1.32</v>
      </c>
      <c r="G80" s="216" t="s">
        <v>170</v>
      </c>
      <c r="H80" s="212"/>
      <c r="J80" s="210"/>
      <c r="K80" s="282"/>
      <c r="L80" s="282"/>
      <c r="M80" s="363"/>
      <c r="N80" s="363"/>
      <c r="O80" s="138">
        <v>0.0</v>
      </c>
      <c r="P80" s="138">
        <v>0.25</v>
      </c>
      <c r="Q80" s="138">
        <v>0.0</v>
      </c>
      <c r="R80" s="145" t="b">
        <v>1</v>
      </c>
      <c r="S80" s="145" t="b">
        <v>0</v>
      </c>
      <c r="T80" s="145" t="b">
        <v>1</v>
      </c>
      <c r="U80" s="146"/>
      <c r="V80" s="146"/>
    </row>
    <row r="81" outlineLevel="1">
      <c r="A81" s="156"/>
      <c r="B81" s="663" t="s">
        <v>202</v>
      </c>
      <c r="C81" s="281"/>
      <c r="D81" s="156"/>
      <c r="E81" s="365" t="s">
        <v>4381</v>
      </c>
      <c r="F81" s="138">
        <v>11.16</v>
      </c>
      <c r="G81" s="216" t="s">
        <v>147</v>
      </c>
      <c r="H81" s="106"/>
      <c r="I81" s="168"/>
      <c r="J81" s="107"/>
      <c r="K81" s="282"/>
      <c r="L81" s="282"/>
      <c r="M81" s="363"/>
      <c r="N81" s="363"/>
      <c r="O81" s="138">
        <v>0.0</v>
      </c>
      <c r="P81" s="138">
        <v>1.8</v>
      </c>
      <c r="Q81" s="138">
        <v>0.0</v>
      </c>
      <c r="R81" s="145" t="b">
        <v>1</v>
      </c>
      <c r="S81" s="145" t="b">
        <v>0</v>
      </c>
      <c r="T81" s="145" t="b">
        <v>1</v>
      </c>
      <c r="U81" s="156"/>
      <c r="V81" s="156"/>
    </row>
    <row r="82" outlineLevel="1">
      <c r="A82" s="230" t="s">
        <v>4382</v>
      </c>
      <c r="B82" s="109"/>
      <c r="C82" s="231" t="s">
        <v>48</v>
      </c>
      <c r="D82" s="231" t="s">
        <v>49</v>
      </c>
      <c r="E82" s="232" t="s">
        <v>50</v>
      </c>
      <c r="F82" s="233" t="s">
        <v>51</v>
      </c>
      <c r="G82" s="232" t="s">
        <v>52</v>
      </c>
      <c r="H82" s="382" t="s">
        <v>53</v>
      </c>
      <c r="I82" s="110"/>
      <c r="J82" s="109"/>
      <c r="K82" s="235" t="s">
        <v>137</v>
      </c>
      <c r="L82" s="235" t="s">
        <v>138</v>
      </c>
      <c r="M82" s="235" t="s">
        <v>139</v>
      </c>
      <c r="N82" s="235" t="s">
        <v>140</v>
      </c>
      <c r="O82" s="236" t="s">
        <v>141</v>
      </c>
      <c r="P82" s="235" t="s">
        <v>142</v>
      </c>
      <c r="Q82" s="236" t="s">
        <v>143</v>
      </c>
      <c r="R82" s="235" t="s">
        <v>179</v>
      </c>
      <c r="S82" s="236" t="s">
        <v>180</v>
      </c>
      <c r="T82" s="236" t="s">
        <v>181</v>
      </c>
      <c r="U82" s="236" t="s">
        <v>182</v>
      </c>
      <c r="V82" s="236" t="s">
        <v>183</v>
      </c>
    </row>
    <row r="83" outlineLevel="1">
      <c r="A83" s="259" t="s">
        <v>184</v>
      </c>
      <c r="B83" s="243" t="s">
        <v>4383</v>
      </c>
      <c r="C83" s="244" t="s">
        <v>518</v>
      </c>
      <c r="D83" s="281"/>
      <c r="E83" s="365" t="s">
        <v>4384</v>
      </c>
      <c r="F83" s="138" t="s">
        <v>4385</v>
      </c>
      <c r="G83" s="216" t="s">
        <v>4355</v>
      </c>
      <c r="H83" s="386" t="s">
        <v>4386</v>
      </c>
      <c r="I83" s="164"/>
      <c r="J83" s="104"/>
      <c r="K83" s="282"/>
      <c r="L83" s="282"/>
      <c r="M83" s="363"/>
      <c r="N83" s="363"/>
      <c r="O83" s="138">
        <v>0.0</v>
      </c>
      <c r="P83" s="138">
        <v>1.8</v>
      </c>
      <c r="Q83" s="138">
        <v>1.0</v>
      </c>
      <c r="R83" s="145" t="b">
        <v>1</v>
      </c>
      <c r="S83" s="145" t="b">
        <v>0</v>
      </c>
      <c r="T83" s="145"/>
      <c r="U83" s="166" t="s">
        <v>186</v>
      </c>
      <c r="V83" s="166" t="b">
        <v>1</v>
      </c>
    </row>
    <row r="84" outlineLevel="1">
      <c r="A84" s="237" t="s">
        <v>332</v>
      </c>
      <c r="B84" s="243" t="s">
        <v>4387</v>
      </c>
      <c r="C84" s="369" t="s">
        <v>721</v>
      </c>
      <c r="D84" s="901" t="s">
        <v>289</v>
      </c>
      <c r="E84" s="365" t="s">
        <v>4384</v>
      </c>
      <c r="F84" s="138" t="s">
        <v>4385</v>
      </c>
      <c r="G84" s="216" t="s">
        <v>4355</v>
      </c>
      <c r="H84" s="212"/>
      <c r="J84" s="210"/>
      <c r="K84" s="138"/>
      <c r="L84" s="138"/>
      <c r="M84" s="145"/>
      <c r="N84" s="145"/>
      <c r="O84" s="138">
        <v>0.0</v>
      </c>
      <c r="P84" s="138">
        <v>1.8</v>
      </c>
      <c r="Q84" s="138">
        <v>1.0</v>
      </c>
      <c r="R84" s="145" t="b">
        <v>1</v>
      </c>
      <c r="S84" s="145" t="b">
        <v>0</v>
      </c>
      <c r="T84" s="145"/>
      <c r="U84" s="146"/>
      <c r="V84" s="146"/>
    </row>
    <row r="85" outlineLevel="1">
      <c r="A85" s="146"/>
      <c r="B85" s="243" t="s">
        <v>4388</v>
      </c>
      <c r="C85" s="369" t="s">
        <v>314</v>
      </c>
      <c r="D85" s="156"/>
      <c r="E85" s="365" t="s">
        <v>4389</v>
      </c>
      <c r="F85" s="138" t="s">
        <v>4390</v>
      </c>
      <c r="G85" s="216" t="s">
        <v>4391</v>
      </c>
      <c r="H85" s="212"/>
      <c r="J85" s="210"/>
      <c r="K85" s="138"/>
      <c r="L85" s="138"/>
      <c r="M85" s="145"/>
      <c r="N85" s="145"/>
      <c r="O85" s="138">
        <v>0.0</v>
      </c>
      <c r="P85" s="138">
        <v>1.8</v>
      </c>
      <c r="Q85" s="138">
        <v>1.0</v>
      </c>
      <c r="R85" s="145" t="b">
        <v>1</v>
      </c>
      <c r="S85" s="145" t="b">
        <v>0</v>
      </c>
      <c r="T85" s="145"/>
      <c r="U85" s="146"/>
      <c r="V85" s="146"/>
    </row>
    <row r="86" outlineLevel="1">
      <c r="A86" s="146"/>
      <c r="B86" s="243" t="s">
        <v>4392</v>
      </c>
      <c r="C86" s="369" t="s">
        <v>4393</v>
      </c>
      <c r="D86" s="901" t="s">
        <v>951</v>
      </c>
      <c r="E86" s="365" t="s">
        <v>4390</v>
      </c>
      <c r="F86" s="138" t="s">
        <v>4394</v>
      </c>
      <c r="G86" s="216" t="s">
        <v>4395</v>
      </c>
      <c r="H86" s="212"/>
      <c r="J86" s="210"/>
      <c r="K86" s="138"/>
      <c r="L86" s="138"/>
      <c r="M86" s="145"/>
      <c r="N86" s="145"/>
      <c r="O86" s="138">
        <v>0.0</v>
      </c>
      <c r="P86" s="138">
        <v>1.8</v>
      </c>
      <c r="Q86" s="138">
        <v>1.0</v>
      </c>
      <c r="R86" s="145" t="b">
        <v>1</v>
      </c>
      <c r="S86" s="145" t="b">
        <v>0</v>
      </c>
      <c r="T86" s="145"/>
      <c r="U86" s="146"/>
      <c r="V86" s="146"/>
    </row>
    <row r="87" outlineLevel="1">
      <c r="A87" s="146"/>
      <c r="B87" s="243" t="s">
        <v>4396</v>
      </c>
      <c r="C87" s="369" t="s">
        <v>4397</v>
      </c>
      <c r="D87" s="156"/>
      <c r="E87" s="365" t="s">
        <v>4398</v>
      </c>
      <c r="F87" s="138" t="s">
        <v>4399</v>
      </c>
      <c r="G87" s="216" t="s">
        <v>4400</v>
      </c>
      <c r="H87" s="212"/>
      <c r="J87" s="210"/>
      <c r="K87" s="138"/>
      <c r="L87" s="138"/>
      <c r="M87" s="145"/>
      <c r="N87" s="145"/>
      <c r="O87" s="138">
        <v>0.0</v>
      </c>
      <c r="P87" s="138">
        <v>1.8</v>
      </c>
      <c r="Q87" s="138">
        <v>1.0</v>
      </c>
      <c r="R87" s="145" t="b">
        <v>1</v>
      </c>
      <c r="S87" s="145" t="b">
        <v>0</v>
      </c>
      <c r="T87" s="145"/>
      <c r="U87" s="146"/>
      <c r="V87" s="146"/>
    </row>
    <row r="88" outlineLevel="1">
      <c r="A88" s="146"/>
      <c r="B88" s="243" t="s">
        <v>4401</v>
      </c>
      <c r="C88" s="369" t="s">
        <v>4393</v>
      </c>
      <c r="D88" s="901" t="s">
        <v>951</v>
      </c>
      <c r="E88" s="365" t="s">
        <v>4402</v>
      </c>
      <c r="F88" s="138" t="s">
        <v>4403</v>
      </c>
      <c r="G88" s="216" t="s">
        <v>4404</v>
      </c>
      <c r="H88" s="212"/>
      <c r="J88" s="210"/>
      <c r="K88" s="138"/>
      <c r="L88" s="138"/>
      <c r="M88" s="145"/>
      <c r="N88" s="145"/>
      <c r="O88" s="138">
        <v>0.0</v>
      </c>
      <c r="P88" s="138">
        <v>1.8</v>
      </c>
      <c r="Q88" s="138">
        <v>1.0</v>
      </c>
      <c r="R88" s="145" t="b">
        <v>1</v>
      </c>
      <c r="S88" s="145" t="b">
        <v>0</v>
      </c>
      <c r="T88" s="145"/>
      <c r="U88" s="146"/>
      <c r="V88" s="146"/>
    </row>
    <row r="89" outlineLevel="1">
      <c r="A89" s="156"/>
      <c r="B89" s="243" t="s">
        <v>4405</v>
      </c>
      <c r="C89" s="369" t="s">
        <v>4397</v>
      </c>
      <c r="D89" s="156"/>
      <c r="E89" s="365" t="s">
        <v>4402</v>
      </c>
      <c r="F89" s="138" t="s">
        <v>4403</v>
      </c>
      <c r="G89" s="216" t="s">
        <v>4404</v>
      </c>
      <c r="H89" s="212"/>
      <c r="J89" s="210"/>
      <c r="K89" s="138"/>
      <c r="L89" s="138"/>
      <c r="M89" s="145"/>
      <c r="N89" s="145"/>
      <c r="O89" s="138">
        <v>0.0</v>
      </c>
      <c r="P89" s="138">
        <v>1.8</v>
      </c>
      <c r="Q89" s="138">
        <v>1.0</v>
      </c>
      <c r="R89" s="145" t="b">
        <v>1</v>
      </c>
      <c r="S89" s="145" t="b">
        <v>0</v>
      </c>
      <c r="T89" s="145"/>
      <c r="U89" s="146"/>
      <c r="V89" s="146"/>
    </row>
    <row r="90" outlineLevel="1">
      <c r="A90" s="237" t="s">
        <v>344</v>
      </c>
      <c r="B90" s="243" t="s">
        <v>4387</v>
      </c>
      <c r="C90" s="369" t="s">
        <v>4406</v>
      </c>
      <c r="D90" s="367" t="s">
        <v>993</v>
      </c>
      <c r="E90" s="365" t="s">
        <v>4389</v>
      </c>
      <c r="F90" s="138" t="s">
        <v>4390</v>
      </c>
      <c r="G90" s="216" t="s">
        <v>4391</v>
      </c>
      <c r="H90" s="212"/>
      <c r="J90" s="210"/>
      <c r="K90" s="138"/>
      <c r="L90" s="138"/>
      <c r="M90" s="145"/>
      <c r="N90" s="145"/>
      <c r="O90" s="138">
        <v>0.0</v>
      </c>
      <c r="P90" s="138">
        <v>1.8</v>
      </c>
      <c r="Q90" s="138">
        <v>1.0</v>
      </c>
      <c r="R90" s="145" t="b">
        <v>1</v>
      </c>
      <c r="S90" s="145" t="b">
        <v>0</v>
      </c>
      <c r="T90" s="145"/>
      <c r="U90" s="146"/>
      <c r="V90" s="146"/>
    </row>
    <row r="91" outlineLevel="1">
      <c r="A91" s="146"/>
      <c r="B91" s="243" t="s">
        <v>4388</v>
      </c>
      <c r="C91" s="369" t="s">
        <v>4407</v>
      </c>
      <c r="D91" s="156"/>
      <c r="E91" s="365" t="s">
        <v>4408</v>
      </c>
      <c r="F91" s="138" t="s">
        <v>4409</v>
      </c>
      <c r="G91" s="216" t="s">
        <v>4410</v>
      </c>
      <c r="H91" s="212"/>
      <c r="J91" s="210"/>
      <c r="K91" s="138"/>
      <c r="L91" s="138"/>
      <c r="M91" s="145"/>
      <c r="N91" s="145"/>
      <c r="O91" s="138">
        <v>0.0</v>
      </c>
      <c r="P91" s="138">
        <v>1.8</v>
      </c>
      <c r="Q91" s="138">
        <v>1.0</v>
      </c>
      <c r="R91" s="145" t="b">
        <v>1</v>
      </c>
      <c r="S91" s="145" t="b">
        <v>0</v>
      </c>
      <c r="T91" s="145"/>
      <c r="U91" s="146"/>
      <c r="V91" s="146"/>
    </row>
    <row r="92" outlineLevel="1">
      <c r="A92" s="146"/>
      <c r="B92" s="243" t="s">
        <v>4392</v>
      </c>
      <c r="C92" s="369" t="s">
        <v>4406</v>
      </c>
      <c r="D92" s="367" t="s">
        <v>993</v>
      </c>
      <c r="E92" s="365" t="s">
        <v>4384</v>
      </c>
      <c r="F92" s="138" t="s">
        <v>4385</v>
      </c>
      <c r="G92" s="216" t="s">
        <v>4355</v>
      </c>
      <c r="H92" s="212"/>
      <c r="J92" s="210"/>
      <c r="K92" s="138"/>
      <c r="L92" s="138"/>
      <c r="M92" s="145"/>
      <c r="N92" s="145"/>
      <c r="O92" s="138">
        <v>0.0</v>
      </c>
      <c r="P92" s="138">
        <v>1.8</v>
      </c>
      <c r="Q92" s="138">
        <v>1.0</v>
      </c>
      <c r="R92" s="145" t="b">
        <v>1</v>
      </c>
      <c r="S92" s="145" t="b">
        <v>0</v>
      </c>
      <c r="T92" s="145"/>
      <c r="U92" s="146"/>
      <c r="V92" s="146"/>
    </row>
    <row r="93" outlineLevel="1">
      <c r="A93" s="146"/>
      <c r="B93" s="243" t="s">
        <v>4396</v>
      </c>
      <c r="C93" s="369" t="s">
        <v>4407</v>
      </c>
      <c r="D93" s="156"/>
      <c r="E93" s="365" t="s">
        <v>4411</v>
      </c>
      <c r="F93" s="138" t="s">
        <v>4412</v>
      </c>
      <c r="G93" s="216" t="s">
        <v>4391</v>
      </c>
      <c r="H93" s="212"/>
      <c r="J93" s="210"/>
      <c r="K93" s="138"/>
      <c r="L93" s="138"/>
      <c r="M93" s="145"/>
      <c r="N93" s="145"/>
      <c r="O93" s="138">
        <v>0.0</v>
      </c>
      <c r="P93" s="138">
        <v>1.8</v>
      </c>
      <c r="Q93" s="138">
        <v>1.0</v>
      </c>
      <c r="R93" s="145" t="b">
        <v>1</v>
      </c>
      <c r="S93" s="145" t="b">
        <v>0</v>
      </c>
      <c r="T93" s="145"/>
      <c r="U93" s="146"/>
      <c r="V93" s="146"/>
    </row>
    <row r="94" outlineLevel="1">
      <c r="A94" s="146"/>
      <c r="B94" s="243" t="s">
        <v>4401</v>
      </c>
      <c r="C94" s="369" t="s">
        <v>4406</v>
      </c>
      <c r="D94" s="367" t="s">
        <v>993</v>
      </c>
      <c r="E94" s="365" t="s">
        <v>4390</v>
      </c>
      <c r="F94" s="138" t="s">
        <v>4394</v>
      </c>
      <c r="G94" s="216" t="s">
        <v>4395</v>
      </c>
      <c r="H94" s="212"/>
      <c r="J94" s="210"/>
      <c r="K94" s="138"/>
      <c r="L94" s="138"/>
      <c r="M94" s="145"/>
      <c r="N94" s="145"/>
      <c r="O94" s="138">
        <v>0.0</v>
      </c>
      <c r="P94" s="138">
        <v>1.8</v>
      </c>
      <c r="Q94" s="138">
        <v>1.0</v>
      </c>
      <c r="R94" s="145" t="b">
        <v>1</v>
      </c>
      <c r="S94" s="145" t="b">
        <v>0</v>
      </c>
      <c r="T94" s="145"/>
      <c r="U94" s="146"/>
      <c r="V94" s="146"/>
    </row>
    <row r="95" outlineLevel="1">
      <c r="A95" s="156"/>
      <c r="B95" s="243" t="s">
        <v>4405</v>
      </c>
      <c r="C95" s="369" t="s">
        <v>4407</v>
      </c>
      <c r="D95" s="156"/>
      <c r="E95" s="365" t="s">
        <v>4390</v>
      </c>
      <c r="F95" s="138" t="s">
        <v>4394</v>
      </c>
      <c r="G95" s="216" t="s">
        <v>4395</v>
      </c>
      <c r="H95" s="106"/>
      <c r="I95" s="168"/>
      <c r="J95" s="107"/>
      <c r="K95" s="138"/>
      <c r="L95" s="138"/>
      <c r="M95" s="145"/>
      <c r="N95" s="145"/>
      <c r="O95" s="138">
        <v>0.0</v>
      </c>
      <c r="P95" s="138">
        <v>1.8</v>
      </c>
      <c r="Q95" s="138">
        <v>1.0</v>
      </c>
      <c r="R95" s="145" t="b">
        <v>1</v>
      </c>
      <c r="S95" s="145" t="b">
        <v>0</v>
      </c>
      <c r="T95" s="145"/>
      <c r="U95" s="156"/>
      <c r="V95" s="156"/>
    </row>
    <row r="96" outlineLevel="1">
      <c r="A96" s="230" t="s">
        <v>4413</v>
      </c>
      <c r="B96" s="109"/>
      <c r="C96" s="231" t="s">
        <v>48</v>
      </c>
      <c r="D96" s="231" t="s">
        <v>49</v>
      </c>
      <c r="E96" s="232" t="s">
        <v>50</v>
      </c>
      <c r="F96" s="233" t="s">
        <v>51</v>
      </c>
      <c r="G96" s="232" t="s">
        <v>52</v>
      </c>
      <c r="H96" s="382" t="s">
        <v>53</v>
      </c>
      <c r="I96" s="110"/>
      <c r="J96" s="109"/>
      <c r="K96" s="235" t="s">
        <v>137</v>
      </c>
      <c r="L96" s="235" t="s">
        <v>138</v>
      </c>
      <c r="M96" s="235" t="s">
        <v>139</v>
      </c>
      <c r="N96" s="235" t="s">
        <v>140</v>
      </c>
      <c r="O96" s="236" t="s">
        <v>141</v>
      </c>
      <c r="P96" s="235" t="s">
        <v>142</v>
      </c>
      <c r="Q96" s="236" t="s">
        <v>143</v>
      </c>
      <c r="R96" s="235" t="s">
        <v>179</v>
      </c>
      <c r="S96" s="236" t="s">
        <v>180</v>
      </c>
      <c r="T96" s="236" t="s">
        <v>181</v>
      </c>
      <c r="U96" s="236" t="s">
        <v>182</v>
      </c>
      <c r="V96" s="236" t="s">
        <v>183</v>
      </c>
    </row>
    <row r="97" outlineLevel="1">
      <c r="A97" s="237" t="s">
        <v>332</v>
      </c>
      <c r="B97" s="243" t="s">
        <v>4414</v>
      </c>
      <c r="C97" s="239" t="s">
        <v>86</v>
      </c>
      <c r="D97" s="400"/>
      <c r="E97" s="239" t="s">
        <v>4415</v>
      </c>
      <c r="F97" s="138" t="s">
        <v>4416</v>
      </c>
      <c r="G97" s="216" t="s">
        <v>4404</v>
      </c>
      <c r="H97" s="163" t="s">
        <v>4417</v>
      </c>
      <c r="I97" s="164"/>
      <c r="J97" s="104"/>
      <c r="K97" s="138"/>
      <c r="L97" s="138"/>
      <c r="M97" s="145"/>
      <c r="N97" s="145"/>
      <c r="O97" s="138">
        <v>0.0</v>
      </c>
      <c r="P97" s="138">
        <v>2.0</v>
      </c>
      <c r="Q97" s="138">
        <v>1.0</v>
      </c>
      <c r="R97" s="145" t="b">
        <v>0</v>
      </c>
      <c r="S97" s="145" t="b">
        <v>0</v>
      </c>
      <c r="T97" s="145"/>
      <c r="U97" s="166" t="s">
        <v>1009</v>
      </c>
      <c r="V97" s="166" t="b">
        <v>0</v>
      </c>
    </row>
    <row r="98" outlineLevel="1">
      <c r="A98" s="146"/>
      <c r="B98" s="243" t="s">
        <v>4418</v>
      </c>
      <c r="C98" s="239" t="s">
        <v>86</v>
      </c>
      <c r="D98" s="146"/>
      <c r="E98" s="239" t="s">
        <v>4419</v>
      </c>
      <c r="F98" s="138" t="s">
        <v>4420</v>
      </c>
      <c r="G98" s="216" t="s">
        <v>4421</v>
      </c>
      <c r="H98" s="212"/>
      <c r="J98" s="210"/>
      <c r="K98" s="138"/>
      <c r="L98" s="138"/>
      <c r="M98" s="145"/>
      <c r="N98" s="145"/>
      <c r="O98" s="138">
        <v>0.0</v>
      </c>
      <c r="P98" s="138">
        <v>2.0</v>
      </c>
      <c r="Q98" s="138">
        <v>1.0</v>
      </c>
      <c r="R98" s="145" t="b">
        <v>0</v>
      </c>
      <c r="S98" s="145" t="b">
        <v>0</v>
      </c>
      <c r="T98" s="145"/>
      <c r="U98" s="146"/>
      <c r="V98" s="146"/>
    </row>
    <row r="99" outlineLevel="1">
      <c r="A99" s="146"/>
      <c r="B99" s="243" t="s">
        <v>4422</v>
      </c>
      <c r="C99" s="239" t="s">
        <v>86</v>
      </c>
      <c r="D99" s="146"/>
      <c r="E99" s="239" t="s">
        <v>4423</v>
      </c>
      <c r="F99" s="138" t="s">
        <v>4424</v>
      </c>
      <c r="G99" s="216" t="s">
        <v>4425</v>
      </c>
      <c r="H99" s="212"/>
      <c r="J99" s="210"/>
      <c r="K99" s="138"/>
      <c r="L99" s="138"/>
      <c r="M99" s="145"/>
      <c r="N99" s="145"/>
      <c r="O99" s="138">
        <v>0.0</v>
      </c>
      <c r="P99" s="138">
        <v>2.0</v>
      </c>
      <c r="Q99" s="138">
        <v>1.0</v>
      </c>
      <c r="R99" s="145" t="b">
        <v>0</v>
      </c>
      <c r="S99" s="145" t="b">
        <v>0</v>
      </c>
      <c r="T99" s="145"/>
      <c r="U99" s="146"/>
      <c r="V99" s="146"/>
    </row>
    <row r="100" outlineLevel="1">
      <c r="A100" s="146"/>
      <c r="B100" s="402" t="s">
        <v>4426</v>
      </c>
      <c r="C100" s="239" t="s">
        <v>319</v>
      </c>
      <c r="D100" s="146"/>
      <c r="E100" s="239" t="s">
        <v>4365</v>
      </c>
      <c r="F100" s="138" t="s">
        <v>4427</v>
      </c>
      <c r="G100" s="216" t="s">
        <v>4395</v>
      </c>
      <c r="H100" s="212"/>
      <c r="J100" s="210"/>
      <c r="K100" s="138"/>
      <c r="L100" s="138"/>
      <c r="M100" s="145"/>
      <c r="N100" s="145"/>
      <c r="O100" s="138">
        <v>0.0</v>
      </c>
      <c r="P100" s="138">
        <v>1.8</v>
      </c>
      <c r="Q100" s="138">
        <v>1.0</v>
      </c>
      <c r="R100" s="145" t="b">
        <v>0</v>
      </c>
      <c r="S100" s="145" t="b">
        <v>0</v>
      </c>
      <c r="T100" s="145"/>
      <c r="U100" s="146"/>
      <c r="V100" s="146"/>
    </row>
    <row r="101" outlineLevel="1">
      <c r="A101" s="156"/>
      <c r="B101" s="402" t="s">
        <v>4428</v>
      </c>
      <c r="C101" s="239" t="s">
        <v>1227</v>
      </c>
      <c r="D101" s="146"/>
      <c r="E101" s="239" t="s">
        <v>4429</v>
      </c>
      <c r="F101" s="138" t="s">
        <v>4430</v>
      </c>
      <c r="G101" s="216" t="s">
        <v>4431</v>
      </c>
      <c r="H101" s="212"/>
      <c r="J101" s="210"/>
      <c r="K101" s="138"/>
      <c r="L101" s="138"/>
      <c r="M101" s="145"/>
      <c r="N101" s="145"/>
      <c r="O101" s="138">
        <v>0.0</v>
      </c>
      <c r="P101" s="138">
        <v>1.8</v>
      </c>
      <c r="Q101" s="138">
        <v>1.0</v>
      </c>
      <c r="R101" s="145" t="b">
        <v>0</v>
      </c>
      <c r="S101" s="145" t="b">
        <v>0</v>
      </c>
      <c r="T101" s="145"/>
      <c r="U101" s="146"/>
      <c r="V101" s="146"/>
    </row>
    <row r="102" outlineLevel="1">
      <c r="A102" s="474" t="s">
        <v>344</v>
      </c>
      <c r="B102" s="243" t="s">
        <v>4414</v>
      </c>
      <c r="C102" s="239" t="s">
        <v>86</v>
      </c>
      <c r="D102" s="146"/>
      <c r="E102" s="239" t="s">
        <v>4365</v>
      </c>
      <c r="F102" s="138" t="s">
        <v>4427</v>
      </c>
      <c r="G102" s="216" t="s">
        <v>4395</v>
      </c>
      <c r="H102" s="212"/>
      <c r="J102" s="210"/>
      <c r="K102" s="138"/>
      <c r="L102" s="138"/>
      <c r="M102" s="145"/>
      <c r="N102" s="145"/>
      <c r="O102" s="138">
        <v>0.0</v>
      </c>
      <c r="P102" s="138">
        <v>2.0</v>
      </c>
      <c r="Q102" s="138">
        <v>1.0</v>
      </c>
      <c r="R102" s="145" t="b">
        <v>0</v>
      </c>
      <c r="S102" s="145" t="b">
        <v>0</v>
      </c>
      <c r="T102" s="145"/>
      <c r="U102" s="146"/>
      <c r="V102" s="146"/>
    </row>
    <row r="103" outlineLevel="1">
      <c r="A103" s="146"/>
      <c r="B103" s="243" t="s">
        <v>4418</v>
      </c>
      <c r="C103" s="239" t="s">
        <v>86</v>
      </c>
      <c r="D103" s="146"/>
      <c r="E103" s="239" t="s">
        <v>4415</v>
      </c>
      <c r="F103" s="138" t="s">
        <v>4416</v>
      </c>
      <c r="G103" s="216" t="s">
        <v>4404</v>
      </c>
      <c r="H103" s="212"/>
      <c r="J103" s="210"/>
      <c r="K103" s="138"/>
      <c r="L103" s="138"/>
      <c r="M103" s="145"/>
      <c r="N103" s="145"/>
      <c r="O103" s="138">
        <v>0.0</v>
      </c>
      <c r="P103" s="138">
        <v>2.0</v>
      </c>
      <c r="Q103" s="138">
        <v>1.0</v>
      </c>
      <c r="R103" s="145" t="b">
        <v>0</v>
      </c>
      <c r="S103" s="145" t="b">
        <v>0</v>
      </c>
      <c r="T103" s="145"/>
      <c r="U103" s="146"/>
      <c r="V103" s="146"/>
    </row>
    <row r="104" outlineLevel="1">
      <c r="A104" s="146"/>
      <c r="B104" s="243" t="s">
        <v>4422</v>
      </c>
      <c r="C104" s="239" t="s">
        <v>86</v>
      </c>
      <c r="D104" s="146"/>
      <c r="E104" s="239" t="s">
        <v>4419</v>
      </c>
      <c r="F104" s="138" t="s">
        <v>4420</v>
      </c>
      <c r="G104" s="216" t="s">
        <v>4421</v>
      </c>
      <c r="H104" s="212"/>
      <c r="J104" s="210"/>
      <c r="K104" s="138"/>
      <c r="L104" s="138"/>
      <c r="M104" s="145"/>
      <c r="N104" s="145"/>
      <c r="O104" s="138">
        <v>0.0</v>
      </c>
      <c r="P104" s="138">
        <v>2.0</v>
      </c>
      <c r="Q104" s="138">
        <v>1.0</v>
      </c>
      <c r="R104" s="145" t="b">
        <v>0</v>
      </c>
      <c r="S104" s="145" t="b">
        <v>0</v>
      </c>
      <c r="T104" s="145"/>
      <c r="U104" s="146"/>
      <c r="V104" s="146"/>
    </row>
    <row r="105" outlineLevel="1">
      <c r="A105" s="146"/>
      <c r="B105" s="402" t="s">
        <v>4426</v>
      </c>
      <c r="C105" s="239" t="s">
        <v>319</v>
      </c>
      <c r="D105" s="146"/>
      <c r="E105" s="239" t="s">
        <v>4364</v>
      </c>
      <c r="F105" s="138" t="s">
        <v>4365</v>
      </c>
      <c r="G105" s="216" t="s">
        <v>4391</v>
      </c>
      <c r="H105" s="212"/>
      <c r="J105" s="210"/>
      <c r="K105" s="138"/>
      <c r="L105" s="138"/>
      <c r="M105" s="145"/>
      <c r="N105" s="145"/>
      <c r="O105" s="138">
        <v>0.0</v>
      </c>
      <c r="P105" s="138">
        <v>1.8</v>
      </c>
      <c r="Q105" s="138">
        <v>1.0</v>
      </c>
      <c r="R105" s="145" t="b">
        <v>0</v>
      </c>
      <c r="S105" s="145" t="b">
        <v>0</v>
      </c>
      <c r="T105" s="145"/>
      <c r="U105" s="146"/>
      <c r="V105" s="146"/>
    </row>
    <row r="106" outlineLevel="1">
      <c r="A106" s="156"/>
      <c r="B106" s="402" t="s">
        <v>4428</v>
      </c>
      <c r="C106" s="239" t="s">
        <v>1227</v>
      </c>
      <c r="D106" s="156"/>
      <c r="E106" s="239" t="s">
        <v>4429</v>
      </c>
      <c r="F106" s="138" t="s">
        <v>4430</v>
      </c>
      <c r="G106" s="216" t="s">
        <v>4431</v>
      </c>
      <c r="H106" s="106"/>
      <c r="I106" s="168"/>
      <c r="J106" s="107"/>
      <c r="K106" s="138"/>
      <c r="L106" s="138"/>
      <c r="M106" s="145"/>
      <c r="N106" s="145"/>
      <c r="O106" s="138">
        <v>0.0</v>
      </c>
      <c r="P106" s="138">
        <v>1.8</v>
      </c>
      <c r="Q106" s="138">
        <v>1.0</v>
      </c>
      <c r="R106" s="145" t="b">
        <v>0</v>
      </c>
      <c r="S106" s="145" t="b">
        <v>0</v>
      </c>
      <c r="T106" s="145"/>
      <c r="U106" s="156"/>
      <c r="V106" s="156"/>
    </row>
    <row r="107" outlineLevel="1">
      <c r="A107" s="230" t="s">
        <v>4432</v>
      </c>
      <c r="B107" s="109"/>
      <c r="C107" s="231" t="s">
        <v>48</v>
      </c>
      <c r="D107" s="231" t="s">
        <v>49</v>
      </c>
      <c r="E107" s="232" t="s">
        <v>50</v>
      </c>
      <c r="F107" s="233" t="s">
        <v>51</v>
      </c>
      <c r="G107" s="232" t="s">
        <v>52</v>
      </c>
      <c r="H107" s="382" t="s">
        <v>53</v>
      </c>
      <c r="I107" s="110"/>
      <c r="J107" s="109"/>
      <c r="K107" s="235" t="s">
        <v>137</v>
      </c>
      <c r="L107" s="235" t="s">
        <v>138</v>
      </c>
      <c r="M107" s="235" t="s">
        <v>139</v>
      </c>
      <c r="N107" s="235" t="s">
        <v>140</v>
      </c>
      <c r="O107" s="236" t="s">
        <v>141</v>
      </c>
      <c r="P107" s="235" t="s">
        <v>142</v>
      </c>
      <c r="Q107" s="236" t="s">
        <v>143</v>
      </c>
      <c r="R107" s="235" t="s">
        <v>179</v>
      </c>
      <c r="S107" s="236" t="s">
        <v>180</v>
      </c>
      <c r="T107" s="236" t="s">
        <v>181</v>
      </c>
      <c r="U107" s="236" t="s">
        <v>182</v>
      </c>
      <c r="V107" s="236" t="s">
        <v>183</v>
      </c>
    </row>
    <row r="108" ht="43.5" customHeight="1" outlineLevel="1">
      <c r="A108" s="546" t="s">
        <v>184</v>
      </c>
      <c r="B108" s="402" t="s">
        <v>4433</v>
      </c>
      <c r="C108" s="239" t="s">
        <v>2357</v>
      </c>
      <c r="D108" s="239" t="s">
        <v>499</v>
      </c>
      <c r="E108" s="239" t="s">
        <v>129</v>
      </c>
      <c r="F108" s="138">
        <v>14.399999999999999</v>
      </c>
      <c r="G108" s="216" t="s">
        <v>88</v>
      </c>
      <c r="H108" s="283" t="s">
        <v>4434</v>
      </c>
      <c r="I108" s="164"/>
      <c r="J108" s="104"/>
      <c r="K108" s="138"/>
      <c r="L108" s="138"/>
      <c r="M108" s="145"/>
      <c r="N108" s="145"/>
      <c r="O108" s="138">
        <v>15.0</v>
      </c>
      <c r="P108" s="138">
        <v>2.0</v>
      </c>
      <c r="Q108" s="138">
        <v>1.0</v>
      </c>
      <c r="R108" s="145" t="b">
        <v>1</v>
      </c>
      <c r="S108" s="145" t="b">
        <v>0</v>
      </c>
      <c r="T108" s="145"/>
      <c r="U108" s="166" t="s">
        <v>186</v>
      </c>
      <c r="V108" s="166" t="b">
        <v>1</v>
      </c>
    </row>
    <row r="109" ht="43.5" customHeight="1" outlineLevel="1">
      <c r="A109" s="146"/>
      <c r="B109" s="402" t="s">
        <v>4435</v>
      </c>
      <c r="C109" s="239" t="s">
        <v>789</v>
      </c>
      <c r="D109" s="239" t="s">
        <v>951</v>
      </c>
      <c r="E109" s="239" t="s">
        <v>128</v>
      </c>
      <c r="F109" s="138">
        <v>12.0</v>
      </c>
      <c r="G109" s="216" t="s">
        <v>121</v>
      </c>
      <c r="H109" s="212"/>
      <c r="J109" s="210"/>
      <c r="K109" s="138"/>
      <c r="L109" s="138"/>
      <c r="M109" s="145"/>
      <c r="N109" s="145"/>
      <c r="O109" s="138">
        <v>22.0</v>
      </c>
      <c r="P109" s="138">
        <v>2.5</v>
      </c>
      <c r="Q109" s="138">
        <v>1.0</v>
      </c>
      <c r="R109" s="145" t="b">
        <v>1</v>
      </c>
      <c r="S109" s="145" t="b">
        <v>0</v>
      </c>
      <c r="T109" s="145"/>
      <c r="U109" s="146"/>
      <c r="V109" s="146"/>
    </row>
    <row r="110" ht="43.5" customHeight="1" outlineLevel="1">
      <c r="A110" s="146"/>
      <c r="B110" s="402" t="s">
        <v>4436</v>
      </c>
      <c r="C110" s="239" t="s">
        <v>4437</v>
      </c>
      <c r="D110" s="239" t="s">
        <v>4438</v>
      </c>
      <c r="E110" s="239" t="s">
        <v>394</v>
      </c>
      <c r="F110" s="138">
        <v>20.4</v>
      </c>
      <c r="G110" s="409"/>
      <c r="H110" s="212"/>
      <c r="J110" s="210"/>
      <c r="K110" s="138"/>
      <c r="L110" s="138"/>
      <c r="M110" s="145"/>
      <c r="N110" s="145"/>
      <c r="O110" s="138">
        <v>30.0</v>
      </c>
      <c r="P110" s="138">
        <v>2.3</v>
      </c>
      <c r="Q110" s="138">
        <v>1.0</v>
      </c>
      <c r="R110" s="145" t="b">
        <v>1</v>
      </c>
      <c r="S110" s="145" t="b">
        <v>0</v>
      </c>
      <c r="T110" s="145"/>
      <c r="U110" s="146"/>
      <c r="V110" s="146"/>
    </row>
    <row r="111" ht="43.5" customHeight="1" outlineLevel="1">
      <c r="A111" s="156"/>
      <c r="B111" s="402" t="s">
        <v>4439</v>
      </c>
      <c r="C111" s="409"/>
      <c r="D111" s="239" t="s">
        <v>296</v>
      </c>
      <c r="E111" s="409"/>
      <c r="F111" s="409"/>
      <c r="G111" s="409"/>
      <c r="H111" s="106"/>
      <c r="I111" s="168"/>
      <c r="J111" s="107"/>
      <c r="K111" s="476"/>
      <c r="L111" s="476"/>
      <c r="M111" s="476"/>
      <c r="N111" s="476"/>
      <c r="O111" s="476"/>
      <c r="P111" s="476"/>
      <c r="Q111" s="476"/>
      <c r="R111" s="476"/>
      <c r="S111" s="476"/>
      <c r="T111" s="476"/>
      <c r="U111" s="156"/>
      <c r="V111" s="156"/>
    </row>
    <row r="112">
      <c r="A112" s="223"/>
      <c r="B112" s="224"/>
      <c r="C112" s="225"/>
      <c r="D112" s="225"/>
      <c r="E112" s="226"/>
      <c r="F112" s="226"/>
      <c r="G112" s="226"/>
      <c r="H112" s="227"/>
      <c r="I112" s="227"/>
      <c r="J112" s="228"/>
      <c r="K112" s="228"/>
      <c r="L112" s="228"/>
      <c r="M112" s="228"/>
      <c r="N112" s="228"/>
      <c r="O112" s="228"/>
      <c r="P112" s="228"/>
      <c r="Q112" s="118"/>
      <c r="R112" s="118"/>
      <c r="S112" s="118"/>
      <c r="T112" s="118"/>
      <c r="U112" s="118"/>
      <c r="V112" s="118"/>
    </row>
    <row r="113">
      <c r="A113" s="264" t="s">
        <v>211</v>
      </c>
      <c r="B113" s="104"/>
      <c r="C113" s="227"/>
      <c r="D113" s="227"/>
      <c r="E113" s="228"/>
      <c r="F113" s="265"/>
      <c r="G113" s="265"/>
      <c r="H113" s="228"/>
      <c r="I113" s="228"/>
      <c r="J113" s="228"/>
      <c r="K113" s="228"/>
      <c r="L113" s="228"/>
      <c r="M113" s="228"/>
      <c r="N113" s="118"/>
      <c r="O113" s="118"/>
      <c r="P113" s="118"/>
      <c r="Q113" s="228"/>
      <c r="R113" s="228"/>
      <c r="S113" s="228"/>
      <c r="T113" s="228"/>
      <c r="U113" s="228"/>
      <c r="V113" s="228"/>
    </row>
    <row r="114" outlineLevel="1">
      <c r="A114" s="106"/>
      <c r="B114" s="107"/>
      <c r="C114" s="266" t="s">
        <v>48</v>
      </c>
      <c r="D114" s="266" t="s">
        <v>49</v>
      </c>
      <c r="E114" s="266" t="s">
        <v>50</v>
      </c>
      <c r="F114" s="267" t="s">
        <v>51</v>
      </c>
      <c r="G114" s="227"/>
      <c r="H114" s="227"/>
      <c r="I114" s="227"/>
      <c r="J114" s="228"/>
      <c r="K114" s="228"/>
      <c r="L114" s="228"/>
      <c r="M114" s="228"/>
      <c r="N114" s="228"/>
      <c r="O114" s="228"/>
      <c r="P114" s="228"/>
      <c r="Q114" s="228"/>
      <c r="R114" s="228"/>
      <c r="S114" s="228"/>
      <c r="T114" s="228"/>
      <c r="U114" s="228"/>
      <c r="V114" s="228"/>
    </row>
    <row r="115" outlineLevel="1">
      <c r="A115" s="268" t="s">
        <v>212</v>
      </c>
      <c r="B115" s="269" t="s">
        <v>212</v>
      </c>
      <c r="C115" s="239" t="s">
        <v>213</v>
      </c>
      <c r="D115" s="239" t="s">
        <v>86</v>
      </c>
      <c r="E115" s="239" t="s">
        <v>214</v>
      </c>
      <c r="F115" s="138">
        <v>1.56</v>
      </c>
      <c r="G115" s="227"/>
      <c r="H115" s="227"/>
      <c r="I115" s="227"/>
      <c r="J115" s="228"/>
      <c r="K115" s="228"/>
      <c r="L115" s="228"/>
      <c r="M115" s="228"/>
      <c r="N115" s="228"/>
      <c r="O115" s="228"/>
      <c r="P115" s="228"/>
      <c r="Q115" s="228"/>
      <c r="R115" s="228"/>
      <c r="S115" s="228"/>
      <c r="T115" s="228"/>
      <c r="U115" s="228"/>
      <c r="V115" s="228"/>
    </row>
    <row r="116" outlineLevel="1">
      <c r="A116" s="270" t="s">
        <v>215</v>
      </c>
      <c r="B116" s="269" t="s">
        <v>216</v>
      </c>
      <c r="C116" s="239" t="s">
        <v>217</v>
      </c>
      <c r="D116" s="239" t="s">
        <v>218</v>
      </c>
      <c r="E116" s="271"/>
      <c r="F116" s="272"/>
      <c r="G116" s="272"/>
      <c r="H116" s="227"/>
      <c r="I116" s="227"/>
      <c r="J116" s="228"/>
      <c r="K116" s="228"/>
      <c r="L116" s="228"/>
      <c r="M116" s="228"/>
      <c r="N116" s="228"/>
      <c r="O116" s="228"/>
      <c r="P116" s="228"/>
      <c r="Q116" s="228"/>
      <c r="R116" s="228"/>
      <c r="S116" s="228"/>
      <c r="T116" s="228"/>
      <c r="U116" s="228"/>
      <c r="V116" s="228"/>
    </row>
    <row r="117" outlineLevel="1">
      <c r="A117" s="212"/>
      <c r="B117" s="269" t="s">
        <v>219</v>
      </c>
      <c r="C117" s="239" t="s">
        <v>220</v>
      </c>
      <c r="D117" s="239" t="s">
        <v>221</v>
      </c>
      <c r="E117" s="271"/>
      <c r="F117" s="272"/>
      <c r="G117" s="272"/>
      <c r="H117" s="227"/>
      <c r="I117" s="227"/>
      <c r="J117" s="228"/>
      <c r="K117" s="228"/>
      <c r="L117" s="228"/>
      <c r="M117" s="228"/>
      <c r="N117" s="228"/>
      <c r="O117" s="228"/>
      <c r="P117" s="228"/>
      <c r="Q117" s="228"/>
      <c r="R117" s="228"/>
      <c r="S117" s="228"/>
      <c r="T117" s="228"/>
      <c r="U117" s="228"/>
      <c r="V117" s="228"/>
    </row>
    <row r="118" outlineLevel="1">
      <c r="A118" s="106"/>
      <c r="B118" s="269" t="s">
        <v>222</v>
      </c>
      <c r="C118" s="239" t="s">
        <v>223</v>
      </c>
      <c r="D118" s="239" t="s">
        <v>79</v>
      </c>
      <c r="E118" s="227"/>
      <c r="F118" s="272"/>
      <c r="G118" s="272"/>
      <c r="H118" s="227"/>
      <c r="I118" s="227"/>
      <c r="J118" s="228"/>
      <c r="K118" s="228"/>
      <c r="L118" s="228"/>
      <c r="M118" s="228"/>
      <c r="N118" s="228"/>
      <c r="O118" s="228"/>
      <c r="P118" s="228"/>
      <c r="Q118" s="228"/>
      <c r="R118" s="228"/>
      <c r="S118" s="228"/>
      <c r="T118" s="228"/>
      <c r="U118" s="228"/>
      <c r="V118" s="228"/>
    </row>
    <row r="119" outlineLevel="1">
      <c r="A119" s="273" t="s">
        <v>225</v>
      </c>
      <c r="B119" s="109"/>
      <c r="C119" s="266" t="s">
        <v>48</v>
      </c>
      <c r="D119" s="266" t="s">
        <v>49</v>
      </c>
      <c r="E119" s="266" t="s">
        <v>50</v>
      </c>
      <c r="F119" s="267" t="s">
        <v>51</v>
      </c>
      <c r="G119" s="274" t="s">
        <v>53</v>
      </c>
      <c r="H119" s="110"/>
      <c r="I119" s="110"/>
      <c r="J119" s="109"/>
      <c r="K119" s="275" t="str">
        <f>'テンプレート'!K97</f>
        <v>ベクトル</v>
      </c>
      <c r="L119" s="275" t="str">
        <f>'テンプレート'!L97</f>
        <v>KBG (R.E.)</v>
      </c>
      <c r="M119" s="275" t="str">
        <f>'テンプレート'!M97</f>
        <v>BKB (R.A.)</v>
      </c>
      <c r="N119" s="275" t="str">
        <f>'テンプレート'!N97</f>
        <v>FKB (R.F.)</v>
      </c>
      <c r="O119" s="276" t="str">
        <f>'テンプレート'!O97</f>
        <v>盾削り値</v>
      </c>
      <c r="P119" s="275" t="str">
        <f>'テンプレート'!P97</f>
        <v>ﾋｯﾄｽﾄｯﾌﾟ</v>
      </c>
      <c r="Q119" s="276" t="str">
        <f>'テンプレート'!Q97</f>
        <v>ずらし</v>
      </c>
      <c r="R119" s="277"/>
      <c r="S119" s="277"/>
      <c r="T119" s="277"/>
      <c r="U119" s="277"/>
      <c r="V119" s="277"/>
    </row>
    <row r="120" outlineLevel="1">
      <c r="A120" s="278" t="s">
        <v>226</v>
      </c>
      <c r="B120" s="269" t="s">
        <v>227</v>
      </c>
      <c r="C120" s="967" t="s">
        <v>76</v>
      </c>
      <c r="D120" s="279">
        <v>41.0</v>
      </c>
      <c r="E120" s="261"/>
      <c r="F120" s="261"/>
      <c r="G120" s="1129"/>
      <c r="H120" s="164"/>
      <c r="I120" s="164"/>
      <c r="J120" s="104"/>
      <c r="K120" s="261"/>
      <c r="L120" s="261"/>
      <c r="M120" s="261"/>
      <c r="N120" s="261"/>
      <c r="O120" s="261"/>
      <c r="P120" s="261"/>
      <c r="Q120" s="261"/>
      <c r="R120" s="277"/>
      <c r="S120" s="228"/>
      <c r="T120" s="228"/>
      <c r="U120" s="228"/>
      <c r="V120" s="228"/>
    </row>
    <row r="121" outlineLevel="1">
      <c r="A121" s="156"/>
      <c r="B121" s="269" t="s">
        <v>225</v>
      </c>
      <c r="C121" s="113">
        <v>16.0</v>
      </c>
      <c r="D121" s="156"/>
      <c r="E121" s="239" t="s">
        <v>274</v>
      </c>
      <c r="F121" s="138">
        <v>10.799999999999999</v>
      </c>
      <c r="G121" s="106"/>
      <c r="H121" s="168"/>
      <c r="I121" s="168"/>
      <c r="J121" s="107"/>
      <c r="K121" s="282"/>
      <c r="L121" s="282"/>
      <c r="M121" s="363"/>
      <c r="N121" s="363"/>
      <c r="O121" s="261"/>
      <c r="P121" s="261"/>
      <c r="Q121" s="261"/>
      <c r="R121" s="277"/>
      <c r="S121" s="228"/>
      <c r="T121" s="228"/>
      <c r="U121" s="228"/>
      <c r="V121" s="228"/>
    </row>
    <row r="122" outlineLevel="1">
      <c r="A122" s="278" t="s">
        <v>229</v>
      </c>
      <c r="B122" s="269" t="s">
        <v>227</v>
      </c>
      <c r="C122" s="967" t="s">
        <v>76</v>
      </c>
      <c r="D122" s="279">
        <v>49.0</v>
      </c>
      <c r="E122" s="261"/>
      <c r="F122" s="261"/>
      <c r="G122" s="1129"/>
      <c r="H122" s="164"/>
      <c r="I122" s="164"/>
      <c r="J122" s="104"/>
      <c r="K122" s="261"/>
      <c r="L122" s="261"/>
      <c r="M122" s="261"/>
      <c r="N122" s="261"/>
      <c r="O122" s="261"/>
      <c r="P122" s="261"/>
      <c r="Q122" s="261"/>
      <c r="R122" s="277"/>
      <c r="S122" s="228"/>
      <c r="T122" s="228"/>
      <c r="U122" s="228"/>
      <c r="V122" s="228"/>
    </row>
    <row r="123" outlineLevel="1">
      <c r="A123" s="156"/>
      <c r="B123" s="269" t="s">
        <v>225</v>
      </c>
      <c r="C123" s="239" t="s">
        <v>173</v>
      </c>
      <c r="D123" s="156"/>
      <c r="E123" s="239" t="s">
        <v>129</v>
      </c>
      <c r="F123" s="138">
        <v>14.399999999999999</v>
      </c>
      <c r="G123" s="106"/>
      <c r="H123" s="168"/>
      <c r="I123" s="168"/>
      <c r="J123" s="107"/>
      <c r="K123" s="282"/>
      <c r="L123" s="282"/>
      <c r="M123" s="363"/>
      <c r="N123" s="363"/>
      <c r="O123" s="261"/>
      <c r="P123" s="261"/>
      <c r="Q123" s="261"/>
      <c r="R123" s="277"/>
      <c r="S123" s="228"/>
      <c r="T123" s="228"/>
      <c r="U123" s="228"/>
      <c r="V123" s="228"/>
    </row>
    <row r="124" outlineLevel="1">
      <c r="A124" s="278" t="s">
        <v>233</v>
      </c>
      <c r="B124" s="269" t="s">
        <v>227</v>
      </c>
      <c r="C124" s="239" t="s">
        <v>4440</v>
      </c>
      <c r="D124" s="279">
        <v>46.0</v>
      </c>
      <c r="E124" s="239" t="s">
        <v>386</v>
      </c>
      <c r="F124" s="138">
        <v>18.0</v>
      </c>
      <c r="G124" s="413" t="s">
        <v>4441</v>
      </c>
      <c r="H124" s="164"/>
      <c r="I124" s="164"/>
      <c r="J124" s="104"/>
      <c r="K124" s="282"/>
      <c r="L124" s="282"/>
      <c r="M124" s="363"/>
      <c r="N124" s="363"/>
      <c r="O124" s="145">
        <v>0.0</v>
      </c>
      <c r="P124" s="145">
        <v>2.0</v>
      </c>
      <c r="Q124" s="145">
        <v>1.0</v>
      </c>
      <c r="R124" s="277"/>
      <c r="S124" s="228"/>
      <c r="T124" s="228"/>
      <c r="U124" s="228"/>
      <c r="V124" s="228"/>
    </row>
    <row r="125" outlineLevel="1">
      <c r="A125" s="156"/>
      <c r="B125" s="269" t="s">
        <v>225</v>
      </c>
      <c r="C125" s="239">
        <v>18.0</v>
      </c>
      <c r="D125" s="156"/>
      <c r="E125" s="239" t="s">
        <v>80</v>
      </c>
      <c r="F125" s="138">
        <v>9.6</v>
      </c>
      <c r="G125" s="106"/>
      <c r="H125" s="168"/>
      <c r="I125" s="168"/>
      <c r="J125" s="107"/>
      <c r="K125" s="282"/>
      <c r="L125" s="282"/>
      <c r="M125" s="363"/>
      <c r="N125" s="363"/>
      <c r="O125" s="261"/>
      <c r="P125" s="261"/>
      <c r="Q125" s="261"/>
      <c r="R125" s="277"/>
      <c r="S125" s="117"/>
      <c r="T125" s="117"/>
      <c r="U125" s="117"/>
      <c r="V125" s="117"/>
    </row>
    <row r="126" outlineLevel="1">
      <c r="A126" s="278" t="s">
        <v>234</v>
      </c>
      <c r="B126" s="269" t="s">
        <v>227</v>
      </c>
      <c r="C126" s="239" t="s">
        <v>466</v>
      </c>
      <c r="D126" s="279">
        <v>44.0</v>
      </c>
      <c r="E126" s="239" t="s">
        <v>204</v>
      </c>
      <c r="F126" s="138">
        <v>3.5999999999999996</v>
      </c>
      <c r="G126" s="1129"/>
      <c r="H126" s="164"/>
      <c r="I126" s="164"/>
      <c r="J126" s="104"/>
      <c r="K126" s="282"/>
      <c r="L126" s="282"/>
      <c r="M126" s="363"/>
      <c r="N126" s="363"/>
      <c r="O126" s="145">
        <v>50.0</v>
      </c>
      <c r="P126" s="145">
        <v>1.5</v>
      </c>
      <c r="Q126" s="145">
        <v>1.0</v>
      </c>
      <c r="R126" s="277"/>
      <c r="S126" s="117"/>
      <c r="T126" s="117"/>
      <c r="U126" s="117"/>
      <c r="V126" s="117"/>
    </row>
    <row r="127" outlineLevel="1">
      <c r="A127" s="156"/>
      <c r="B127" s="269" t="s">
        <v>225</v>
      </c>
      <c r="C127" s="239" t="s">
        <v>296</v>
      </c>
      <c r="D127" s="156"/>
      <c r="E127" s="239" t="s">
        <v>204</v>
      </c>
      <c r="F127" s="138">
        <v>3.5999999999999996</v>
      </c>
      <c r="G127" s="106"/>
      <c r="H127" s="168"/>
      <c r="I127" s="168"/>
      <c r="J127" s="107"/>
      <c r="K127" s="282"/>
      <c r="L127" s="282"/>
      <c r="M127" s="363"/>
      <c r="N127" s="363"/>
      <c r="O127" s="261"/>
      <c r="P127" s="261"/>
      <c r="Q127" s="261"/>
      <c r="R127" s="277"/>
      <c r="S127" s="117"/>
      <c r="T127" s="117"/>
      <c r="U127" s="117"/>
      <c r="V127" s="117"/>
    </row>
    <row r="128">
      <c r="A128" s="223"/>
      <c r="B128" s="224"/>
      <c r="C128" s="225"/>
      <c r="D128" s="225"/>
      <c r="E128" s="227"/>
      <c r="F128" s="177"/>
      <c r="G128" s="177"/>
      <c r="H128" s="227"/>
      <c r="I128" s="227"/>
      <c r="J128" s="228"/>
      <c r="K128" s="228"/>
      <c r="L128" s="111"/>
      <c r="M128" s="111"/>
      <c r="N128" s="111"/>
      <c r="O128" s="117"/>
      <c r="P128" s="117"/>
      <c r="Q128" s="111"/>
      <c r="R128" s="111"/>
      <c r="S128" s="111"/>
      <c r="T128" s="111"/>
      <c r="U128" s="111"/>
      <c r="V128" s="111"/>
    </row>
    <row r="129">
      <c r="A129" s="284" t="s">
        <v>241</v>
      </c>
      <c r="B129" s="104"/>
      <c r="C129" s="265"/>
      <c r="D129" s="111"/>
      <c r="E129" s="111"/>
      <c r="F129" s="111"/>
      <c r="G129" s="111"/>
      <c r="H129" s="111"/>
      <c r="I129" s="111"/>
      <c r="J129" s="118"/>
      <c r="K129" s="111"/>
      <c r="L129" s="111"/>
      <c r="M129" s="111"/>
      <c r="N129" s="111"/>
      <c r="O129" s="111"/>
      <c r="P129" s="111"/>
      <c r="Q129" s="118"/>
      <c r="R129" s="111"/>
      <c r="S129" s="111"/>
      <c r="T129" s="111"/>
      <c r="U129" s="111"/>
      <c r="V129" s="111"/>
    </row>
    <row r="130" outlineLevel="1">
      <c r="A130" s="106"/>
      <c r="B130" s="107"/>
      <c r="C130" s="285" t="s">
        <v>235</v>
      </c>
      <c r="D130" s="285" t="s">
        <v>236</v>
      </c>
      <c r="E130" s="285" t="s">
        <v>49</v>
      </c>
      <c r="F130" s="285" t="s">
        <v>237</v>
      </c>
      <c r="G130" s="286"/>
      <c r="H130" s="227"/>
      <c r="I130" s="227"/>
      <c r="J130" s="228"/>
      <c r="K130" s="228"/>
      <c r="L130" s="111"/>
      <c r="M130" s="111"/>
      <c r="N130" s="111"/>
      <c r="O130" s="111"/>
      <c r="P130" s="111"/>
      <c r="Q130" s="111"/>
      <c r="R130" s="111"/>
      <c r="S130" s="111"/>
      <c r="T130" s="111"/>
      <c r="U130" s="111"/>
      <c r="V130" s="111"/>
    </row>
    <row r="131" outlineLevel="1">
      <c r="A131" s="287" t="s">
        <v>395</v>
      </c>
      <c r="B131" s="288" t="s">
        <v>216</v>
      </c>
      <c r="C131" s="113" t="str">
        <f t="array" ref="C131">INDEX('回避'!$C$3:$U$84, MATCH($A$1,'回避'!$A$3:$A$91,0), MATCH(C130,'回避'!$C$2:$F$2,0))</f>
        <v>3-17</v>
      </c>
      <c r="D131" s="113" t="str">
        <f t="array" ref="D131">INDEX('回避'!$C$3:$U$84, MATCH($A$1,'回避'!$A$3:$A$91,0), MATCH(D130,'回避'!$C$2:$F$2,0))</f>
        <v>6-17</v>
      </c>
      <c r="E131" s="113" t="str">
        <f t="array" ref="E131">INDEX('回避'!$C$3:$U$84, MATCH($A$1,'回避'!$A$3:$A$91,0), MATCH(E130,'回避'!$C$2:$F$2,0))</f>
        <v>26 (21)</v>
      </c>
      <c r="F131" s="113" t="str">
        <f t="array" ref="F131">INDEX('回避'!$C$3:$U$84, MATCH($A$1,'回避'!$A$3:$A$91,0), MATCH(F130,'回避'!$C$2:$F$2,0))</f>
        <v>35 (28)</v>
      </c>
      <c r="G131" s="272"/>
      <c r="H131" s="227"/>
      <c r="I131" s="227"/>
      <c r="J131" s="228"/>
      <c r="K131" s="228"/>
      <c r="L131" s="228"/>
      <c r="M131" s="111"/>
      <c r="N131" s="111"/>
      <c r="O131" s="111"/>
      <c r="P131" s="111"/>
      <c r="Q131" s="111"/>
      <c r="R131" s="111"/>
      <c r="S131" s="111"/>
      <c r="T131" s="111"/>
      <c r="U131" s="111"/>
      <c r="V131" s="111"/>
    </row>
    <row r="132" outlineLevel="1">
      <c r="A132" s="212"/>
      <c r="B132" s="288" t="s">
        <v>245</v>
      </c>
      <c r="C132" s="113" t="str">
        <f t="array" ref="C132">INDEX('回避'!$G$3:$U$84, MATCH($A$1,'回避'!$A$3:$A$91,0), MATCH(C130,'回避'!$G$2:$J$2,0))</f>
        <v>4-15</v>
      </c>
      <c r="D132" s="113" t="str">
        <f t="array" ref="D132">INDEX('回避'!$G$3:$U$84, MATCH($A$1,'回避'!$A$3:$A$91,0), MATCH(D130,'回避'!$G$2:$J$2,0))</f>
        <v>8-14</v>
      </c>
      <c r="E132" s="113" t="str">
        <f t="array" ref="E132">INDEX('回避'!$G$3:$U$84, MATCH($A$1,'回避'!$A$3:$A$91,0), MATCH(E130,'回避'!$G$2:$J$2,0))</f>
        <v>30</v>
      </c>
      <c r="F132" s="113">
        <f t="array" ref="F132">INDEX('回避'!$G$3:$U$84, MATCH($A$1,'回避'!$A$3:$A$91,0), MATCH(F130,'回避'!$G$2:$J$2,0))</f>
        <v>40</v>
      </c>
      <c r="G132" s="289"/>
      <c r="H132" s="227"/>
      <c r="I132" s="227"/>
      <c r="J132" s="228"/>
      <c r="K132" s="228"/>
      <c r="L132" s="228"/>
      <c r="M132" s="228"/>
      <c r="N132" s="228"/>
      <c r="O132" s="111"/>
      <c r="P132" s="111"/>
      <c r="Q132" s="111"/>
      <c r="R132" s="111"/>
      <c r="S132" s="111"/>
      <c r="T132" s="111"/>
      <c r="U132" s="111"/>
      <c r="V132" s="111"/>
    </row>
    <row r="133" outlineLevel="1">
      <c r="A133" s="106"/>
      <c r="B133" s="288" t="s">
        <v>246</v>
      </c>
      <c r="C133" s="113" t="str">
        <f t="array" ref="C133">INDEX('回避'!$K$3:$U$84, MATCH($A$1,'回避'!$A$3:$A$91,0), MATCH(C130,'回避'!$K$2:$N$2,0))</f>
        <v>5-16</v>
      </c>
      <c r="D133" s="113" t="str">
        <f t="array" ref="D133">INDEX('回避'!$K$3:$U$84, MATCH($A$1,'回避'!$A$3:$A$91,0), MATCH(D130,'回避'!$K$2:$N$2,0))</f>
        <v>9-14</v>
      </c>
      <c r="E133" s="113" t="str">
        <f t="array" ref="E133">INDEX('回避'!$K$3:$U$84, MATCH($A$1,'回避'!$A$3:$A$91,0), MATCH(E130,'回避'!$K$2:$N$2,0))</f>
        <v>35</v>
      </c>
      <c r="F133" s="113" t="str">
        <f t="array" ref="F133">INDEX('回避'!$K$3:$U$84, MATCH($A$1,'回避'!$A$3:$A$91,0), MATCH(F130,'回避'!$K$2:$N$2,0))</f>
        <v>53</v>
      </c>
      <c r="G133" s="289"/>
      <c r="H133" s="290"/>
      <c r="I133" s="290"/>
      <c r="J133" s="117"/>
      <c r="K133" s="117"/>
      <c r="L133" s="117"/>
      <c r="M133" s="117"/>
      <c r="N133" s="117"/>
      <c r="O133" s="111"/>
      <c r="P133" s="111"/>
      <c r="Q133" s="111"/>
      <c r="R133" s="111"/>
      <c r="S133" s="111"/>
      <c r="T133" s="111"/>
      <c r="U133" s="111"/>
      <c r="V133" s="111"/>
    </row>
    <row r="134" outlineLevel="1">
      <c r="A134" s="287" t="s">
        <v>396</v>
      </c>
      <c r="B134" s="288" t="s">
        <v>397</v>
      </c>
      <c r="C134" s="113" t="str">
        <f t="array" ref="C134">INDEX('回避'!$O$3:$U$84, MATCH($A$1,'回避'!$A$3:$A$91,0), MATCH(C130,'回避'!$O$2:$R$2,0))</f>
        <v>3-27</v>
      </c>
      <c r="D134" s="113" t="str">
        <f t="array" ref="D134">INDEX('回避'!$O$3:$U$84, MATCH($A$1,'回避'!$A$3:$A$91,0), MATCH(D130,'回避'!$O$2:$R$2,0))</f>
        <v>6-25</v>
      </c>
      <c r="E134" s="113" t="str">
        <f t="array" ref="E134">INDEX('回避'!$O$3:$U$84, MATCH($A$1,'回避'!$A$3:$A$91,0), MATCH(E130,'回避'!$O$2:$R$2,0))</f>
        <v>49</v>
      </c>
      <c r="F134" s="177"/>
      <c r="G134" s="177"/>
      <c r="H134" s="118"/>
      <c r="I134" s="118"/>
      <c r="J134" s="111"/>
      <c r="K134" s="111"/>
      <c r="L134" s="111"/>
      <c r="M134" s="111"/>
      <c r="N134" s="111"/>
      <c r="O134" s="228"/>
      <c r="P134" s="228"/>
      <c r="Q134" s="228"/>
      <c r="R134" s="228"/>
      <c r="S134" s="228"/>
      <c r="T134" s="228"/>
      <c r="U134" s="228"/>
      <c r="V134" s="228"/>
    </row>
    <row r="135" outlineLevel="1">
      <c r="A135" s="106"/>
      <c r="B135" s="288" t="s">
        <v>398</v>
      </c>
      <c r="C135" s="113" t="str">
        <f t="array" ref="C135">INDEX('回避'!$S$3:$U$84, MATCH($A$1,'回避'!$A$3:$A$91,0), MATCH(C130,'回避'!$S$2:$U$2,0))</f>
        <v>3-21</v>
      </c>
      <c r="D135" s="113" t="str">
        <f t="array" ref="D135">INDEX('回避'!$S$3:$U$84, MATCH($A$1,'回避'!$A$3:$A$91,0), MATCH(D130,'回避'!$S$2:$U$2,0))</f>
        <v>6-20</v>
      </c>
      <c r="E135" s="113" t="str">
        <f t="array" ref="E135">INDEX('回避'!$S$3:$U$84, MATCH($A$1,'回避'!$A$3:$A$91,0), MATCH(E130,'回避'!$S$2:$U$2,0))</f>
        <v>真横：80
真上：102
真下：67</v>
      </c>
      <c r="F135" s="289"/>
      <c r="G135" s="289"/>
      <c r="H135" s="118"/>
      <c r="I135" s="118"/>
      <c r="J135" s="117"/>
      <c r="K135" s="117"/>
      <c r="L135" s="117"/>
      <c r="M135" s="117"/>
      <c r="N135" s="111"/>
      <c r="O135" s="118"/>
      <c r="P135" s="118"/>
      <c r="Q135" s="118"/>
      <c r="R135" s="118"/>
      <c r="S135" s="118"/>
      <c r="T135" s="118"/>
      <c r="U135" s="118"/>
      <c r="V135" s="118"/>
    </row>
    <row r="136">
      <c r="A136" s="291"/>
      <c r="B136" s="292"/>
      <c r="C136" s="286"/>
      <c r="D136" s="286"/>
      <c r="E136" s="293"/>
      <c r="F136" s="286"/>
      <c r="G136" s="286"/>
      <c r="H136" s="286"/>
      <c r="I136" s="286"/>
      <c r="J136" s="111"/>
      <c r="K136" s="227"/>
      <c r="L136" s="227"/>
      <c r="M136" s="227"/>
      <c r="N136" s="227"/>
      <c r="O136" s="118"/>
      <c r="P136" s="118"/>
      <c r="Q136" s="118"/>
      <c r="R136" s="118"/>
      <c r="S136" s="118"/>
      <c r="T136" s="118"/>
      <c r="U136" s="118"/>
      <c r="V136" s="118"/>
    </row>
    <row r="137">
      <c r="A137" s="2534" t="s">
        <v>238</v>
      </c>
      <c r="B137" s="104"/>
      <c r="C137" s="2535"/>
      <c r="D137" s="2536"/>
      <c r="E137" s="2535"/>
      <c r="F137" s="2537"/>
      <c r="G137" s="2537"/>
      <c r="H137" s="117"/>
      <c r="I137" s="117"/>
      <c r="J137" s="118"/>
      <c r="K137" s="118"/>
      <c r="L137" s="118"/>
      <c r="M137" s="118"/>
      <c r="N137" s="118"/>
      <c r="O137" s="118"/>
      <c r="P137" s="118"/>
      <c r="Q137" s="118"/>
      <c r="R137" s="118"/>
      <c r="S137" s="118"/>
      <c r="T137" s="118"/>
      <c r="U137" s="118"/>
      <c r="V137" s="118"/>
    </row>
    <row r="138" outlineLevel="1">
      <c r="A138" s="106"/>
      <c r="B138" s="107"/>
      <c r="C138" s="2538" t="s">
        <v>235</v>
      </c>
      <c r="D138" s="2538" t="s">
        <v>49</v>
      </c>
      <c r="E138" s="2538" t="s">
        <v>48</v>
      </c>
      <c r="F138" s="2538" t="s">
        <v>50</v>
      </c>
      <c r="G138" s="2539" t="s">
        <v>51</v>
      </c>
      <c r="H138" s="228"/>
      <c r="I138" s="228"/>
      <c r="J138" s="117"/>
      <c r="K138" s="297" t="str">
        <f>'テンプレート'!K116</f>
        <v>アイテム取得</v>
      </c>
      <c r="L138" s="109"/>
      <c r="M138" s="298" t="str">
        <f>'テンプレート'!M116</f>
        <v>取得フレーム</v>
      </c>
      <c r="N138" s="298" t="str">
        <f>'テンプレート'!N116</f>
        <v>全体フレーム</v>
      </c>
      <c r="O138" s="118"/>
      <c r="P138" s="118"/>
      <c r="Q138" s="118"/>
      <c r="R138" s="118"/>
      <c r="S138" s="118"/>
      <c r="T138" s="118"/>
      <c r="U138" s="118"/>
      <c r="V138" s="118"/>
    </row>
    <row r="139" outlineLevel="1">
      <c r="A139" s="299" t="s">
        <v>239</v>
      </c>
      <c r="B139" s="300" t="s">
        <v>240</v>
      </c>
      <c r="C139" s="1162"/>
      <c r="D139" s="518">
        <f t="array" ref="D139">INDEX('崖行動・受け身'!$C$3:$C134, MATCH($A$1,'崖行動・受け身'!$A$3:$A$115,0), MATCH(D138,'崖行動・受け身'!$C$2,0))</f>
        <v>19</v>
      </c>
      <c r="E139" s="1162"/>
      <c r="F139" s="1162"/>
      <c r="G139" s="1162"/>
      <c r="H139" s="228"/>
      <c r="I139" s="228"/>
      <c r="J139" s="111"/>
      <c r="K139" s="302" t="str">
        <f>'テンプレート'!K117</f>
        <v>小アイテム</v>
      </c>
      <c r="L139" s="303" t="str">
        <f>'テンプレート'!L117</f>
        <v>その場</v>
      </c>
      <c r="M139" s="113" t="s">
        <v>76</v>
      </c>
      <c r="N139" s="113">
        <v>7.0</v>
      </c>
      <c r="O139" s="118"/>
      <c r="P139" s="118"/>
      <c r="Q139" s="118"/>
      <c r="R139" s="118"/>
      <c r="S139" s="118"/>
      <c r="T139" s="118"/>
      <c r="U139" s="118"/>
      <c r="V139" s="118"/>
    </row>
    <row r="140" outlineLevel="1">
      <c r="A140" s="146"/>
      <c r="B140" s="300" t="s">
        <v>216</v>
      </c>
      <c r="C140" s="518" t="str">
        <f t="array" ref="C140">INDEX('崖行動・受け身'!$D$3:$E134, MATCH($A$1,'崖行動・受け身'!$A$3:$A$115,0), MATCH(C138,'崖行動・受け身'!$D$2:$E$2,0))</f>
        <v>1-33</v>
      </c>
      <c r="D140" s="518">
        <f t="array" ref="D140">INDEX('崖行動・受け身'!$D$3:$E134, MATCH($A$1,'崖行動・受け身'!$A$3:$A$115,0), MATCH(D138,'崖行動・受け身'!$D$2:$E$2,0))</f>
        <v>34</v>
      </c>
      <c r="E140" s="1162"/>
      <c r="F140" s="1162"/>
      <c r="G140" s="1162"/>
      <c r="H140" s="228"/>
      <c r="I140" s="228"/>
      <c r="J140" s="117"/>
      <c r="K140" s="156"/>
      <c r="L140" s="303" t="str">
        <f>'テンプレート'!L118</f>
        <v>歩き</v>
      </c>
      <c r="M140" s="113" t="s">
        <v>76</v>
      </c>
      <c r="N140" s="113">
        <v>19.0</v>
      </c>
      <c r="O140" s="118"/>
      <c r="P140" s="118"/>
      <c r="Q140" s="118"/>
      <c r="R140" s="118"/>
      <c r="S140" s="118"/>
      <c r="T140" s="118"/>
      <c r="U140" s="118"/>
      <c r="V140" s="118"/>
    </row>
    <row r="141" outlineLevel="1">
      <c r="A141" s="146"/>
      <c r="B141" s="300" t="s">
        <v>241</v>
      </c>
      <c r="C141" s="518" t="str">
        <f t="array" ref="C141">INDEX('崖行動・受け身'!$F$3:$G$115, MATCH($A$1,'崖行動・受け身'!$A$3:$A$115,0), MATCH(C138,'崖行動・受け身'!$F$2:$G$2,0))</f>
        <v>1-26</v>
      </c>
      <c r="D141" s="518">
        <f t="array" ref="D141">INDEX('崖行動・受け身'!$F$3:$G$115, MATCH($A$1,'崖行動・受け身'!$A$3:$A$115,0), MATCH(D138,'崖行動・受け身'!$F$2:$G$2,0))</f>
        <v>45</v>
      </c>
      <c r="E141" s="1162"/>
      <c r="F141" s="1162"/>
      <c r="G141" s="1162"/>
      <c r="H141" s="228"/>
      <c r="I141" s="228"/>
      <c r="J141" s="111"/>
      <c r="K141" s="304" t="str">
        <f>'テンプレート'!K119</f>
        <v>アイテム投擲</v>
      </c>
      <c r="L141" s="109"/>
      <c r="M141" s="298" t="str">
        <f>'テンプレート'!M119</f>
        <v>投擲フレーム</v>
      </c>
      <c r="N141" s="298" t="str">
        <f>'テンプレート'!N119</f>
        <v>全体フレーム</v>
      </c>
      <c r="O141" s="118"/>
      <c r="P141" s="118"/>
      <c r="Q141" s="118"/>
      <c r="R141" s="118"/>
      <c r="S141" s="118"/>
      <c r="T141" s="118"/>
      <c r="U141" s="118"/>
      <c r="V141" s="118"/>
    </row>
    <row r="142" outlineLevel="1">
      <c r="A142" s="146"/>
      <c r="B142" s="300" t="s">
        <v>242</v>
      </c>
      <c r="C142" s="518" t="str">
        <f t="array" ref="C142">INDEX('崖行動・受け身'!$H$3:$I$115, MATCH($A$1,'崖行動・受け身'!$A$3:$A$115,0), MATCH(C138,'崖行動・受け身'!$H$2:$I$2,0))</f>
        <v>1-12</v>
      </c>
      <c r="D142" s="518">
        <f t="array" ref="D142">INDEX('崖行動・受け身'!$H$3:$I$115, MATCH($A$1,'崖行動・受け身'!$A$3:$A$115,0), MATCH(D138,'崖行動・受け身'!$H$2:$I$2,0))</f>
        <v>14</v>
      </c>
      <c r="E142" s="1162"/>
      <c r="F142" s="1162"/>
      <c r="G142" s="1162"/>
      <c r="H142" s="228"/>
      <c r="I142" s="228"/>
      <c r="J142" s="117"/>
      <c r="K142" s="305" t="str">
        <f>'テンプレート'!K120</f>
        <v>地上投擲</v>
      </c>
      <c r="L142" s="303" t="str">
        <f>'テンプレート'!L120</f>
        <v>前投げ</v>
      </c>
      <c r="M142" s="113" t="s">
        <v>80</v>
      </c>
      <c r="N142" s="113">
        <v>24.0</v>
      </c>
      <c r="O142" s="111"/>
      <c r="P142" s="111"/>
      <c r="Q142" s="111"/>
      <c r="R142" s="111"/>
      <c r="S142" s="111"/>
      <c r="T142" s="111"/>
      <c r="U142" s="111"/>
      <c r="V142" s="111"/>
    </row>
    <row r="143" outlineLevel="1">
      <c r="A143" s="156"/>
      <c r="B143" s="300" t="s">
        <v>243</v>
      </c>
      <c r="C143" s="518" t="str">
        <f t="array" ref="C143">INDEX('崖行動・受け身'!$J$3:$M$115, MATCH($A$1,'崖行動・受け身'!$A$3:$A$115,0), MATCH(C138,'崖行動・受け身'!$J$2:$M$2,0))</f>
        <v>1-26</v>
      </c>
      <c r="D143" s="518">
        <f t="array" ref="D143">INDEX('崖行動・受け身'!$J$3:$M$115, MATCH($A$1,'崖行動・受け身'!$A$3:$A$115,0), MATCH(D138,'崖行動・受け身'!$J$2:$M$2,0))</f>
        <v>55</v>
      </c>
      <c r="E143" s="518" t="str">
        <f t="array" ref="E143">INDEX('崖行動・受け身'!$J$3:$M$115, MATCH($A$1,'崖行動・受け身'!$A$3:$A$115,0), MATCH(E138,'崖行動・受け身'!$J$2:$M$2,0))</f>
        <v>24-26</v>
      </c>
      <c r="F143" s="518">
        <f t="array" ref="F143">INDEX('崖行動・受け身'!$J$3:$M$115, MATCH($A$1,'崖行動・受け身'!$A$3:$A$115,0), MATCH(F138,'崖行動・受け身'!$J$2:$M$2,0))</f>
        <v>10</v>
      </c>
      <c r="G143" s="518">
        <f>F143*1.2</f>
        <v>12</v>
      </c>
      <c r="H143" s="228"/>
      <c r="I143" s="228"/>
      <c r="J143" s="111"/>
      <c r="K143" s="146"/>
      <c r="L143" s="303" t="str">
        <f>'テンプレート'!L121</f>
        <v>後投げ</v>
      </c>
      <c r="M143" s="113" t="s">
        <v>232</v>
      </c>
      <c r="N143" s="113">
        <v>24.0</v>
      </c>
      <c r="O143" s="111"/>
      <c r="P143" s="111"/>
      <c r="Q143" s="111"/>
      <c r="R143" s="111"/>
      <c r="S143" s="111"/>
      <c r="T143" s="111"/>
      <c r="U143" s="111"/>
      <c r="V143" s="111"/>
    </row>
    <row r="144" outlineLevel="1">
      <c r="A144" s="299" t="s">
        <v>244</v>
      </c>
      <c r="B144" s="300" t="s">
        <v>216</v>
      </c>
      <c r="C144" s="518" t="str">
        <f t="array" ref="C144">INDEX('崖行動・受け身'!$N$3:$O$115, MATCH($A$1,'崖行動・受け身'!$A$3:$A$115,0), MATCH(C138,'崖行動・受け身'!$N$2:$O$2,0))</f>
        <v>1-20</v>
      </c>
      <c r="D144" s="518">
        <f t="array" ref="D144">INDEX('崖行動・受け身'!$N$3:$O$115, MATCH($A$1,'崖行動・受け身'!$A$3:$A$115,0), MATCH(D138,'崖行動・受け身'!$N$2:$O$2,0))</f>
        <v>26</v>
      </c>
      <c r="E144" s="1162"/>
      <c r="F144" s="1162"/>
      <c r="G144" s="1162"/>
      <c r="H144" s="228"/>
      <c r="I144" s="228"/>
      <c r="J144" s="117"/>
      <c r="K144" s="146"/>
      <c r="L144" s="303" t="str">
        <f>'テンプレート'!L122</f>
        <v>上投げ</v>
      </c>
      <c r="M144" s="113" t="s">
        <v>129</v>
      </c>
      <c r="N144" s="113">
        <v>23.0</v>
      </c>
      <c r="O144" s="228"/>
      <c r="P144" s="228"/>
      <c r="Q144" s="228"/>
      <c r="R144" s="228"/>
      <c r="S144" s="228"/>
      <c r="T144" s="228"/>
      <c r="U144" s="228"/>
      <c r="V144" s="228"/>
    </row>
    <row r="145" outlineLevel="1">
      <c r="A145" s="146"/>
      <c r="B145" s="300" t="s">
        <v>245</v>
      </c>
      <c r="C145" s="518" t="str">
        <f t="array" ref="C145">INDEX('崖行動・受け身'!$P$3:$Q$115, MATCH($A$1,'崖行動・受け身'!$A$3:$A$115,0), MATCH(C138,'崖行動・受け身'!$P$2:$Q$2,0))</f>
        <v>1-20</v>
      </c>
      <c r="D145" s="518">
        <f t="array" ref="D145">INDEX('崖行動・受け身'!$P$3:$Q$115, MATCH($A$1,'崖行動・受け身'!$A$3:$A$115,0), MATCH(D138,'崖行動・受け身'!$P$2:$Q$2,0))</f>
        <v>40</v>
      </c>
      <c r="E145" s="1162"/>
      <c r="F145" s="1162"/>
      <c r="G145" s="1162"/>
      <c r="H145" s="228"/>
      <c r="I145" s="228"/>
      <c r="J145" s="111"/>
      <c r="K145" s="146"/>
      <c r="L145" s="303" t="str">
        <f>'テンプレート'!L123</f>
        <v>下投げ</v>
      </c>
      <c r="M145" s="113" t="s">
        <v>80</v>
      </c>
      <c r="N145" s="113">
        <v>19.0</v>
      </c>
      <c r="O145" s="118"/>
      <c r="P145" s="118"/>
      <c r="Q145" s="118"/>
      <c r="R145" s="118"/>
      <c r="S145" s="118"/>
      <c r="T145" s="118"/>
      <c r="U145" s="118"/>
      <c r="V145" s="118"/>
    </row>
    <row r="146" outlineLevel="1">
      <c r="A146" s="156"/>
      <c r="B146" s="300" t="s">
        <v>246</v>
      </c>
      <c r="C146" s="518" t="str">
        <f t="array" ref="C146">INDEX('崖行動・受け身'!$R$3:$S$115, MATCH($A$1,'崖行動・受け身'!$A$3:$A$115,0), MATCH(C138,'崖行動・受け身'!$R$2:$S$2,0))</f>
        <v>1-20</v>
      </c>
      <c r="D146" s="518">
        <f t="array" ref="D146">INDEX('崖行動・受け身'!$R$3:$S$115, MATCH($A$1,'崖行動・受け身'!$A$3:$A$115,0), MATCH(D138,'崖行動・受け身'!$R$2:$S$2,0))</f>
        <v>40</v>
      </c>
      <c r="E146" s="1162"/>
      <c r="F146" s="1162"/>
      <c r="G146" s="1162"/>
      <c r="H146" s="228"/>
      <c r="I146" s="228"/>
      <c r="J146" s="117"/>
      <c r="K146" s="146"/>
      <c r="L146" s="306" t="str">
        <f>'テンプレート'!L124</f>
        <v>ダッシュ</v>
      </c>
      <c r="M146" s="113" t="s">
        <v>150</v>
      </c>
      <c r="N146" s="113">
        <v>37.0</v>
      </c>
      <c r="O146" s="118"/>
      <c r="P146" s="118"/>
      <c r="Q146" s="118"/>
      <c r="R146" s="118"/>
      <c r="S146" s="118"/>
      <c r="T146" s="118"/>
      <c r="U146" s="118"/>
      <c r="V146" s="118"/>
    </row>
    <row r="147" outlineLevel="1">
      <c r="A147" s="299" t="s">
        <v>247</v>
      </c>
      <c r="B147" s="300" t="s">
        <v>248</v>
      </c>
      <c r="C147" s="1162"/>
      <c r="D147" s="518" t="str">
        <f t="array" ref="D147">INDEX('起きあがり'!$C$3:$C134, MATCH($A$1,'起きあがり'!$A$3:$A$115,0), MATCH(D138,'起きあがり'!$C$2:$AD$2,0))</f>
        <v>25</v>
      </c>
      <c r="E147" s="1162"/>
      <c r="F147" s="1162"/>
      <c r="G147" s="1162"/>
      <c r="H147" s="228"/>
      <c r="I147" s="228"/>
      <c r="J147" s="111"/>
      <c r="K147" s="156"/>
      <c r="L147" s="306" t="str">
        <f>'テンプレート'!L125</f>
        <v>その場捨て</v>
      </c>
      <c r="M147" s="113" t="s">
        <v>86</v>
      </c>
      <c r="N147" s="113">
        <v>23.0</v>
      </c>
      <c r="O147" s="118"/>
      <c r="P147" s="118"/>
      <c r="Q147" s="118"/>
      <c r="R147" s="118"/>
      <c r="S147" s="118"/>
      <c r="T147" s="118"/>
      <c r="U147" s="118"/>
      <c r="V147" s="118"/>
    </row>
    <row r="148" outlineLevel="1">
      <c r="A148" s="146"/>
      <c r="B148" s="300" t="s">
        <v>216</v>
      </c>
      <c r="C148" s="2540" t="str">
        <f t="array" ref="C148">INDEX('起きあがり'!$D$3:$E134, MATCH($A$1,'起きあがり'!$A$3:$A$115,0), MATCH(C138,'起きあがり'!$D$2:$AD$2,0))</f>
        <v>1-22</v>
      </c>
      <c r="D148" s="2541">
        <f t="array" ref="D148">INDEX('起きあがり'!$D$3:$E134, MATCH($A$1,'起きあがり'!$A$3:$A$115,0), MATCH(D138,'起きあがり'!$D$2:$AD$2,0))</f>
        <v>29</v>
      </c>
      <c r="E148" s="1162"/>
      <c r="F148" s="1162"/>
      <c r="G148" s="1162"/>
      <c r="H148" s="228"/>
      <c r="I148" s="228"/>
      <c r="J148" s="117"/>
      <c r="K148" s="305" t="str">
        <f>'テンプレート'!K126</f>
        <v>空中投擲</v>
      </c>
      <c r="L148" s="303" t="str">
        <f>'テンプレート'!L126</f>
        <v>前投げ</v>
      </c>
      <c r="M148" s="113" t="s">
        <v>80</v>
      </c>
      <c r="N148" s="113">
        <v>24.0</v>
      </c>
      <c r="O148" s="118"/>
      <c r="P148" s="118"/>
      <c r="Q148" s="118"/>
      <c r="R148" s="118"/>
      <c r="S148" s="118"/>
      <c r="T148" s="118"/>
      <c r="U148" s="118"/>
      <c r="V148" s="118"/>
    </row>
    <row r="149" outlineLevel="1">
      <c r="A149" s="146"/>
      <c r="B149" s="300" t="s">
        <v>245</v>
      </c>
      <c r="C149" s="2540" t="str">
        <f t="array" ref="C149">INDEX('起きあがり'!$F$3:$G$115, MATCH($A$1,'起きあがり'!$A$3:$A$115,0), MATCH(C138,'起きあがり'!$F$2:$AD$2,0))</f>
        <v>1-23</v>
      </c>
      <c r="D149" s="2541">
        <f t="array" ref="D149">INDEX('起きあがり'!$F$3:$G$115, MATCH($A$1,'起きあがり'!$A$3:$A$115,0), MATCH(D138,'起きあがり'!$F$2:$AD$2,0))</f>
        <v>35</v>
      </c>
      <c r="E149" s="1162"/>
      <c r="F149" s="1162"/>
      <c r="G149" s="1162"/>
      <c r="H149" s="228"/>
      <c r="I149" s="228"/>
      <c r="J149" s="111"/>
      <c r="K149" s="146"/>
      <c r="L149" s="303" t="str">
        <f>'テンプレート'!L127</f>
        <v>後投げ</v>
      </c>
      <c r="M149" s="113" t="s">
        <v>232</v>
      </c>
      <c r="N149" s="113">
        <v>24.0</v>
      </c>
      <c r="O149" s="118"/>
      <c r="P149" s="118"/>
      <c r="Q149" s="118"/>
      <c r="R149" s="118"/>
      <c r="S149" s="118"/>
      <c r="T149" s="118"/>
      <c r="U149" s="118"/>
      <c r="V149" s="118"/>
    </row>
    <row r="150" outlineLevel="1">
      <c r="A150" s="146"/>
      <c r="B150" s="300" t="s">
        <v>246</v>
      </c>
      <c r="C150" s="518" t="str">
        <f t="array" ref="C150">INDEX('起きあがり'!$H$3:$I$115, MATCH($A$1,'起きあがり'!$A$3:$A$115,0), MATCH(C138,'起きあがり'!$H$2:$AD$2,0))</f>
        <v>1-19</v>
      </c>
      <c r="D150" s="518">
        <f t="array" ref="D150">INDEX('起きあがり'!$H$3:$I$115, MATCH($A$1,'起きあがり'!$A$3:$A$115,0), MATCH(D138,'起きあがり'!$H$2:$AD$2,0))</f>
        <v>35</v>
      </c>
      <c r="E150" s="1162"/>
      <c r="F150" s="1162"/>
      <c r="G150" s="1162"/>
      <c r="H150" s="228"/>
      <c r="I150" s="228"/>
      <c r="J150" s="117"/>
      <c r="K150" s="146"/>
      <c r="L150" s="303" t="str">
        <f>'テンプレート'!L128</f>
        <v>上投げ</v>
      </c>
      <c r="M150" s="113" t="s">
        <v>129</v>
      </c>
      <c r="N150" s="113">
        <v>23.0</v>
      </c>
      <c r="O150" s="118"/>
      <c r="P150" s="118"/>
      <c r="Q150" s="118"/>
      <c r="R150" s="118"/>
      <c r="S150" s="118"/>
      <c r="T150" s="118"/>
      <c r="U150" s="118"/>
      <c r="V150" s="118"/>
    </row>
    <row r="151" outlineLevel="1">
      <c r="A151" s="146"/>
      <c r="B151" s="300" t="s">
        <v>249</v>
      </c>
      <c r="C151" s="2542" t="str">
        <f t="array" ref="C151">INDEX('起きあがり'!$J$3:$M$115, MATCH($A$1,'起きあがり'!$A$3:$A$115,0), MATCH(C138,'起きあがり'!$J$2:$AD$2,0))</f>
        <v>1-20</v>
      </c>
      <c r="D151" s="2543">
        <f t="array" ref="D151">INDEX('起きあがり'!$J$3:$M$115, MATCH($A$1,'起きあがり'!$A$3:$A$115,0), MATCH(D138,'起きあがり'!$J$2:$AD$2,0))</f>
        <v>45</v>
      </c>
      <c r="E151" s="2540" t="str">
        <f t="array" ref="E151">INDEX('起きあがり'!$J$3:$M$115, MATCH($A$1,'起きあがり'!$A$3:$A$115,0), MATCH(E138,'起きあがり'!$J$2:$AD$2,0))</f>
        <v>14-15</v>
      </c>
      <c r="F151" s="2541">
        <f t="array" ref="F151">INDEX('起きあがり'!$J$3:$M$115, MATCH($A$1,'起きあがり'!$A$3:$A$115,0), MATCH(F138,'起きあがり'!$J$2:$AD$2,0))</f>
        <v>7</v>
      </c>
      <c r="G151" s="518">
        <f t="shared" ref="G151:G152" si="1">F151*1.2</f>
        <v>8.4</v>
      </c>
      <c r="H151" s="228"/>
      <c r="I151" s="228"/>
      <c r="J151" s="111"/>
      <c r="K151" s="156"/>
      <c r="L151" s="303" t="str">
        <f>'テンプレート'!L129</f>
        <v>下投げ</v>
      </c>
      <c r="M151" s="113" t="s">
        <v>93</v>
      </c>
      <c r="N151" s="113">
        <v>19.0</v>
      </c>
      <c r="O151" s="111"/>
      <c r="P151" s="111"/>
      <c r="Q151" s="111"/>
      <c r="R151" s="111"/>
      <c r="S151" s="111"/>
      <c r="T151" s="111"/>
      <c r="U151" s="111"/>
      <c r="V151" s="111"/>
    </row>
    <row r="152" outlineLevel="1">
      <c r="A152" s="156"/>
      <c r="B152" s="311" t="s">
        <v>250</v>
      </c>
      <c r="C152" s="107"/>
      <c r="D152" s="107"/>
      <c r="E152" s="2540" t="str">
        <f t="array" ref="E152">INDEX('起きあがり'!$N$3:$O$115, MATCH($A$1,'起きあがり'!$A$3:$A$115,0), MATCH(E138,'起きあがり'!$N$2:$AD$2,0))</f>
        <v>19-20</v>
      </c>
      <c r="F152" s="2541">
        <f t="array" ref="F152">INDEX('起きあがり'!$N$3:$O$115, MATCH($A$1,'起きあがり'!$A$3:$A$115,0), MATCH(F138,'起きあがり'!$N$2:$AD$2,0))</f>
        <v>7</v>
      </c>
      <c r="G152" s="518">
        <f t="shared" si="1"/>
        <v>8.4</v>
      </c>
      <c r="H152" s="228"/>
      <c r="I152" s="228"/>
      <c r="J152" s="111"/>
      <c r="K152" s="312" t="str">
        <f>'テンプレート'!K130</f>
        <v>踏み台ジャンプ</v>
      </c>
      <c r="L152" s="168"/>
      <c r="M152" s="298" t="str">
        <f>'テンプレート'!M130</f>
        <v>全体フレーム</v>
      </c>
      <c r="N152" s="114"/>
      <c r="O152" s="111"/>
      <c r="P152" s="111"/>
      <c r="Q152" s="111"/>
      <c r="R152" s="111"/>
      <c r="S152" s="111"/>
      <c r="T152" s="111"/>
      <c r="U152" s="111"/>
      <c r="V152" s="111"/>
    </row>
    <row r="153" outlineLevel="1">
      <c r="A153" s="299" t="s">
        <v>251</v>
      </c>
      <c r="B153" s="300" t="s">
        <v>248</v>
      </c>
      <c r="C153" s="1162"/>
      <c r="D153" s="2540" t="str">
        <f t="array" ref="D153">INDEX('起きあがり'!$C$3:$C134, MATCH($A$1,'起きあがり'!$A$3:$A$115,0), MATCH(D138,'起きあがり'!$C$2,0))</f>
        <v>25</v>
      </c>
      <c r="E153" s="1162"/>
      <c r="F153" s="1162"/>
      <c r="G153" s="1162"/>
      <c r="H153" s="228"/>
      <c r="I153" s="228"/>
      <c r="J153" s="117"/>
      <c r="K153" s="313" t="str">
        <f>'テンプレート'!K131</f>
        <v>踏み</v>
      </c>
      <c r="L153" s="314" t="str">
        <f>'テンプレート'!L131</f>
        <v>踏み</v>
      </c>
      <c r="M153" s="113">
        <v>8.0</v>
      </c>
      <c r="N153" s="2720"/>
      <c r="O153" s="111"/>
      <c r="P153" s="111"/>
      <c r="Q153" s="111"/>
      <c r="R153" s="111"/>
      <c r="S153" s="111"/>
      <c r="T153" s="111"/>
      <c r="U153" s="111"/>
      <c r="V153" s="111"/>
    </row>
    <row r="154" outlineLevel="1">
      <c r="A154" s="146"/>
      <c r="B154" s="300" t="s">
        <v>216</v>
      </c>
      <c r="C154" s="2540" t="str">
        <f t="array" ref="C154">INDEX('起きあがり'!$P$3:$Q$115, MATCH($A$1,'起きあがり'!$A$3:$A$115,0), MATCH(C138,'起きあがり'!$P$2:$AD$2,0))</f>
        <v>1-22</v>
      </c>
      <c r="D154" s="2541">
        <f t="array" ref="D154">INDEX('起きあがり'!$P$3:$Q$115, MATCH($A$1,'起きあがり'!$A$3:$A$115,0), MATCH(D138,'起きあがり'!$P$2:$AD$2,0))</f>
        <v>29</v>
      </c>
      <c r="E154" s="1162"/>
      <c r="F154" s="1162"/>
      <c r="G154" s="1162"/>
      <c r="H154" s="228"/>
      <c r="I154" s="228"/>
      <c r="J154" s="111"/>
      <c r="K154" s="305" t="str">
        <f>'テンプレート'!K132</f>
        <v>踏まれ</v>
      </c>
      <c r="L154" s="314" t="str">
        <f>'テンプレート'!L132</f>
        <v>地上踏まれ</v>
      </c>
      <c r="M154" s="113" t="s">
        <v>76</v>
      </c>
      <c r="N154" s="2720"/>
      <c r="O154" s="228"/>
      <c r="P154" s="228"/>
      <c r="Q154" s="228"/>
      <c r="R154" s="228"/>
      <c r="S154" s="228"/>
      <c r="T154" s="228"/>
      <c r="U154" s="228"/>
      <c r="V154" s="228"/>
    </row>
    <row r="155" outlineLevel="1">
      <c r="A155" s="146"/>
      <c r="B155" s="300" t="s">
        <v>245</v>
      </c>
      <c r="C155" s="2540" t="str">
        <f t="array" ref="C155">INDEX('起きあがり'!$R$3:$S$115, MATCH($A$1,'起きあがり'!$A$3:$A$115,0), MATCH(C138,'起きあがり'!$R$2:$AD$2,0))</f>
        <v>1-19</v>
      </c>
      <c r="D155" s="2541">
        <f t="array" ref="D155">INDEX('起きあがり'!$R$3:$S$115, MATCH($A$1,'起きあがり'!$A$3:$A$115,0), MATCH(D138,'起きあがり'!$R$2:$AD$2,0))</f>
        <v>35</v>
      </c>
      <c r="E155" s="1162"/>
      <c r="F155" s="1162"/>
      <c r="G155" s="1162"/>
      <c r="H155" s="228"/>
      <c r="I155" s="228"/>
      <c r="J155" s="117"/>
      <c r="K155" s="146"/>
      <c r="L155" s="314" t="str">
        <f>'テンプレート'!L133</f>
        <v>地上硬直</v>
      </c>
      <c r="M155" s="113">
        <v>28.0</v>
      </c>
      <c r="N155" s="102"/>
      <c r="O155" s="118"/>
      <c r="P155" s="118"/>
      <c r="Q155" s="118"/>
      <c r="R155" s="118"/>
      <c r="S155" s="118"/>
      <c r="T155" s="118"/>
      <c r="U155" s="118"/>
      <c r="V155" s="118"/>
    </row>
    <row r="156" outlineLevel="1">
      <c r="A156" s="146"/>
      <c r="B156" s="300" t="s">
        <v>246</v>
      </c>
      <c r="C156" s="2540" t="str">
        <f t="array" ref="C156">INDEX('起きあがり'!$T$3:$U$115, MATCH($A$1,'起きあがり'!$A$3:$A$115,0), MATCH(C138,'起きあがり'!$T$2:$AD$2,0))</f>
        <v>1-25</v>
      </c>
      <c r="D156" s="2541">
        <f t="array" ref="D156">INDEX('起きあがり'!$T$3:$U$115, MATCH($A$1,'起きあがり'!$A$3:$A$115,0), MATCH(D138,'起きあがり'!$T$2:$AD$2,0))</f>
        <v>35</v>
      </c>
      <c r="E156" s="1162"/>
      <c r="F156" s="1162"/>
      <c r="G156" s="1162"/>
      <c r="H156" s="228"/>
      <c r="I156" s="228"/>
      <c r="J156" s="111"/>
      <c r="K156" s="146"/>
      <c r="L156" s="314" t="str">
        <f>'テンプレート'!L134</f>
        <v>空中踏まれ</v>
      </c>
      <c r="M156" s="113">
        <v>8.0</v>
      </c>
      <c r="N156" s="102"/>
      <c r="O156" s="118"/>
      <c r="P156" s="118"/>
      <c r="Q156" s="118"/>
      <c r="R156" s="118"/>
      <c r="S156" s="118"/>
      <c r="T156" s="118"/>
      <c r="U156" s="118"/>
      <c r="V156" s="118"/>
    </row>
    <row r="157" outlineLevel="1">
      <c r="A157" s="146"/>
      <c r="B157" s="300" t="s">
        <v>249</v>
      </c>
      <c r="C157" s="2542" t="str">
        <f t="array" ref="C157">INDEX('起きあがり'!$V$3:$Y$115, MATCH($A$1,'起きあがり'!$A$3:$A$115,0), MATCH(C138,'起きあがり'!$V$2:$AD$2,0))</f>
        <v>1-20</v>
      </c>
      <c r="D157" s="2543">
        <f t="array" ref="D157">INDEX('起きあがり'!$V$3:$Y$115, MATCH($A$1,'起きあがり'!$A$3:$A$115,0), MATCH(D138,'起きあがり'!$V$2:$AD$2,0))</f>
        <v>45</v>
      </c>
      <c r="E157" s="2540" t="str">
        <f t="array" ref="E157">INDEX('起きあがり'!$V$3:$Y$115, MATCH($A$1,'起きあがり'!$A$3:$A$115,0), MATCH(E138,'起きあがり'!$V$2:$AD$2,0))</f>
        <v>14-15</v>
      </c>
      <c r="F157" s="2541">
        <f t="array" ref="F157">INDEX('起きあがり'!$V$3:$Y$115, MATCH($A$1,'起きあがり'!$A$3:$A$115,0), MATCH(F138,'起きあがり'!$V$2:$AD$2,0))</f>
        <v>7</v>
      </c>
      <c r="G157" s="518">
        <f t="shared" ref="G157:G158" si="2">F157*1.2</f>
        <v>8.4</v>
      </c>
      <c r="H157" s="228"/>
      <c r="I157" s="228"/>
      <c r="J157" s="117"/>
      <c r="K157" s="146"/>
      <c r="L157" s="314" t="str">
        <f>'テンプレート'!L135</f>
        <v>空中落下</v>
      </c>
      <c r="M157" s="113">
        <v>36.0</v>
      </c>
      <c r="N157" s="102"/>
      <c r="O157" s="118"/>
      <c r="P157" s="118"/>
      <c r="Q157" s="118"/>
      <c r="R157" s="118"/>
      <c r="S157" s="118"/>
      <c r="T157" s="118"/>
      <c r="U157" s="118"/>
      <c r="V157" s="118"/>
    </row>
    <row r="158" outlineLevel="1">
      <c r="A158" s="156"/>
      <c r="B158" s="311" t="s">
        <v>250</v>
      </c>
      <c r="C158" s="107"/>
      <c r="D158" s="107"/>
      <c r="E158" s="2540" t="str">
        <f t="array" ref="E158">INDEX('起きあがり'!$Z$3:$AA$115, MATCH($A$1,'起きあがり'!$A$3:$A$115,0), MATCH(E138,'起きあがり'!$Z$2:$AD$2,0))</f>
        <v>19-20</v>
      </c>
      <c r="F158" s="2541">
        <f t="array" ref="F158">INDEX('起きあがり'!$Z$3:$AA$115, MATCH($A$1,'起きあがり'!$A$3:$A$115,0), MATCH(F138,'起きあがり'!$Z$2:$AD$2,0))</f>
        <v>7</v>
      </c>
      <c r="G158" s="518">
        <f t="shared" si="2"/>
        <v>8.4</v>
      </c>
      <c r="H158" s="228"/>
      <c r="I158" s="228"/>
      <c r="J158" s="117"/>
      <c r="K158" s="304" t="str">
        <f>'テンプレート'!K136</f>
        <v>倒れダメージ</v>
      </c>
      <c r="L158" s="110"/>
      <c r="M158" s="298" t="str">
        <f>'テンプレート'!M136</f>
        <v>全体フレーム</v>
      </c>
      <c r="N158" s="102"/>
      <c r="O158" s="118"/>
      <c r="P158" s="118"/>
      <c r="Q158" s="118"/>
      <c r="R158" s="118"/>
      <c r="S158" s="118"/>
      <c r="T158" s="118"/>
      <c r="U158" s="118"/>
      <c r="V158" s="118"/>
    </row>
    <row r="159" outlineLevel="1">
      <c r="A159" s="299" t="s">
        <v>252</v>
      </c>
      <c r="B159" s="300" t="s">
        <v>253</v>
      </c>
      <c r="C159" s="2540" t="str">
        <f t="array" ref="C159">INDEX('転倒'!$C$3:$D134, MATCH($A$1,'転倒'!$A$3:$A$115,0), MATCH(C138,'転倒'!$C$2:$AC$2,0))</f>
        <v>1-5</v>
      </c>
      <c r="D159" s="2541">
        <f t="array" ref="D159">INDEX('転倒'!$C$3:$D134, MATCH($A$1,'転倒'!$A$3:$A$115,0), MATCH(D138,'転倒'!$C$2:$AC$2,0))</f>
        <v>29</v>
      </c>
      <c r="E159" s="1162"/>
      <c r="F159" s="1162"/>
      <c r="G159" s="1162"/>
      <c r="H159" s="228"/>
      <c r="I159" s="228"/>
      <c r="J159" s="111"/>
      <c r="K159" s="313" t="str">
        <f>'テンプレート'!K137</f>
        <v>あお向け倒れ</v>
      </c>
      <c r="L159" s="306" t="str">
        <f>'テンプレート'!L137</f>
        <v>モーション大</v>
      </c>
      <c r="M159" s="113">
        <v>39.0</v>
      </c>
      <c r="N159" s="2720"/>
      <c r="O159" s="118"/>
      <c r="P159" s="118"/>
      <c r="Q159" s="118"/>
      <c r="R159" s="118"/>
      <c r="S159" s="118"/>
      <c r="T159" s="118"/>
      <c r="U159" s="118"/>
      <c r="V159" s="118"/>
    </row>
    <row r="160" outlineLevel="1">
      <c r="A160" s="146"/>
      <c r="B160" s="300" t="s">
        <v>254</v>
      </c>
      <c r="C160" s="2540" t="str">
        <f t="array" ref="C160">INDEX('転倒'!$E$3:$F134, MATCH($A$1,'転倒'!$A$3:$A$115,0), MATCH(C138,'転倒'!$E$2:$AC$2,0))</f>
        <v>1-5</v>
      </c>
      <c r="D160" s="2541">
        <f t="array" ref="D160">INDEX('転倒'!$E$3:$F134, MATCH($A$1,'転倒'!$A$3:$A$115,0), MATCH(D138,'転倒'!$E$2:$AC$2,0))</f>
        <v>39</v>
      </c>
      <c r="E160" s="1162"/>
      <c r="F160" s="1162"/>
      <c r="G160" s="1162"/>
      <c r="H160" s="228"/>
      <c r="I160" s="228"/>
      <c r="J160" s="117"/>
      <c r="K160" s="313" t="str">
        <f>'テンプレート'!K138</f>
        <v>うつ伏せ倒れ</v>
      </c>
      <c r="L160" s="306" t="str">
        <f>'テンプレート'!L138</f>
        <v>モーション大</v>
      </c>
      <c r="M160" s="113" t="s">
        <v>118</v>
      </c>
      <c r="N160" s="2720"/>
      <c r="O160" s="118"/>
      <c r="P160" s="118"/>
      <c r="Q160" s="118"/>
      <c r="R160" s="118"/>
      <c r="S160" s="118"/>
      <c r="T160" s="118"/>
      <c r="U160" s="118"/>
      <c r="V160" s="118"/>
    </row>
    <row r="161" outlineLevel="1">
      <c r="A161" s="146"/>
      <c r="B161" s="300" t="s">
        <v>216</v>
      </c>
      <c r="C161" s="2540" t="str">
        <f t="array" ref="C161">INDEX('転倒'!$G$3:$H$115, MATCH($A$1,'転倒'!$A$3:$A$115,0), MATCH(C138,'転倒'!$G$2:$AC$2,0))</f>
        <v>1-16</v>
      </c>
      <c r="D161" s="2541">
        <f t="array" ref="D161">INDEX('転倒'!$G$3:$H$115, MATCH($A$1,'転倒'!$A$3:$A$115,0), MATCH(D138,'転倒'!$G$2:$AC$2,0))</f>
        <v>21</v>
      </c>
      <c r="E161" s="1162"/>
      <c r="F161" s="1162"/>
      <c r="G161" s="1162"/>
      <c r="H161" s="228"/>
      <c r="I161" s="228"/>
      <c r="J161" s="111"/>
      <c r="K161" s="304" t="str">
        <f>'テンプレート'!K139</f>
        <v/>
      </c>
      <c r="L161" s="110"/>
      <c r="M161" s="298" t="str">
        <f>'テンプレート'!M139</f>
        <v/>
      </c>
      <c r="N161" s="102"/>
      <c r="O161" s="118"/>
      <c r="P161" s="118"/>
      <c r="Q161" s="118"/>
      <c r="R161" s="118"/>
      <c r="S161" s="118"/>
      <c r="T161" s="118"/>
      <c r="U161" s="118"/>
      <c r="V161" s="118"/>
    </row>
    <row r="162" outlineLevel="1">
      <c r="A162" s="146"/>
      <c r="B162" s="300" t="s">
        <v>245</v>
      </c>
      <c r="C162" s="2540" t="str">
        <f t="array" ref="C162">INDEX('転倒'!$I$3:$J$115, MATCH($A$1,'転倒'!$A$3:$A$115,0), MATCH(C138,'転倒'!$I$2:$AC$2,0))</f>
        <v>1-9</v>
      </c>
      <c r="D162" s="2541">
        <f t="array" ref="D162">INDEX('転倒'!$I$3:$J$115, MATCH($A$1,'転倒'!$A$3:$A$115,0), MATCH(D138,'転倒'!$I$2:$AC$2,0))</f>
        <v>28</v>
      </c>
      <c r="E162" s="1162"/>
      <c r="F162" s="1162"/>
      <c r="G162" s="1162"/>
      <c r="H162" s="228"/>
      <c r="I162" s="228"/>
      <c r="J162" s="228"/>
      <c r="K162" s="316"/>
      <c r="L162" s="317" t="str">
        <f>'テンプレート'!L140</f>
        <v/>
      </c>
      <c r="M162" s="113" t="s">
        <v>76</v>
      </c>
      <c r="N162" s="102"/>
      <c r="O162" s="118"/>
      <c r="P162" s="118"/>
      <c r="Q162" s="118"/>
      <c r="R162" s="118"/>
      <c r="S162" s="118"/>
      <c r="T162" s="118"/>
      <c r="U162" s="118"/>
      <c r="V162" s="118"/>
    </row>
    <row r="163" outlineLevel="1">
      <c r="A163" s="146"/>
      <c r="B163" s="300" t="s">
        <v>246</v>
      </c>
      <c r="C163" s="2540" t="str">
        <f t="array" ref="C163">INDEX('転倒'!$K$3:$L$115, MATCH($A$1,'転倒'!$A$3:$A$115,0), MATCH(C138,'転倒'!$K$2:$AC$2,0))</f>
        <v>1-9</v>
      </c>
      <c r="D163" s="2541">
        <f t="array" ref="D163">INDEX('転倒'!$K$3:$L$115, MATCH($A$1,'転倒'!$A$3:$A$115,0), MATCH(D138,'転倒'!$K$2:$AC$2,0))</f>
        <v>28</v>
      </c>
      <c r="E163" s="1162"/>
      <c r="F163" s="1162"/>
      <c r="G163" s="1162"/>
      <c r="H163" s="228"/>
      <c r="I163" s="228"/>
      <c r="J163" s="228"/>
      <c r="K163" s="102"/>
      <c r="L163" s="118"/>
      <c r="M163" s="118"/>
      <c r="N163" s="102"/>
      <c r="O163" s="118"/>
      <c r="P163" s="118"/>
      <c r="Q163" s="118"/>
      <c r="R163" s="118"/>
      <c r="S163" s="118"/>
      <c r="T163" s="118"/>
      <c r="U163" s="118"/>
      <c r="V163" s="118"/>
    </row>
    <row r="164" outlineLevel="1">
      <c r="A164" s="146"/>
      <c r="B164" s="300" t="s">
        <v>249</v>
      </c>
      <c r="C164" s="2542" t="str">
        <f t="array" ref="C164">INDEX('転倒'!$M$3:$P$115, MATCH($A$1,'転倒'!$A$3:$A$115,0), MATCH(C138,'転倒'!$M$2:$AC$2,0))</f>
        <v>1-7</v>
      </c>
      <c r="D164" s="2543">
        <f t="array" ref="D164">INDEX('転倒'!$M$3:$P$115, MATCH($A$1,'転倒'!$A$3:$A$115,0), MATCH(D138,'転倒'!$M$2:$AC$2,0))</f>
        <v>49</v>
      </c>
      <c r="E164" s="2540" t="str">
        <f t="array" ref="E164">INDEX('転倒'!$M$3:$P$115, MATCH($A$1,'転倒'!$A$3:$A$115,0), MATCH(E138,'転倒'!$M$2:$AC$2,0))</f>
        <v>19-20</v>
      </c>
      <c r="F164" s="2541">
        <f t="array" ref="F164">INDEX('転倒'!$M$3:$P$115, MATCH($A$1,'転倒'!$A$3:$A$115,0), MATCH(F138,'転倒'!$M$2:$AC$2,0))</f>
        <v>5</v>
      </c>
      <c r="G164" s="518">
        <f t="shared" ref="G164:G165" si="3">F164*1.2</f>
        <v>6</v>
      </c>
      <c r="H164" s="228"/>
      <c r="I164" s="228"/>
      <c r="J164" s="228"/>
      <c r="K164" s="118"/>
      <c r="L164" s="118"/>
      <c r="M164" s="118"/>
      <c r="N164" s="98"/>
      <c r="O164" s="98"/>
      <c r="P164" s="98"/>
      <c r="Q164" s="98"/>
      <c r="R164" s="118"/>
      <c r="S164" s="118"/>
      <c r="T164" s="118"/>
      <c r="U164" s="118"/>
      <c r="V164" s="118"/>
    </row>
    <row r="165" outlineLevel="1">
      <c r="A165" s="156"/>
      <c r="B165" s="311" t="s">
        <v>250</v>
      </c>
      <c r="C165" s="107"/>
      <c r="D165" s="107"/>
      <c r="E165" s="2540" t="str">
        <f t="array" ref="E165">INDEX('転倒'!$Q$3:$R$115, MATCH($A$1,'転倒'!$A$3:$A$115,0), MATCH(E138,'転倒'!$Q$2:$AC$2,0))</f>
        <v>24-25</v>
      </c>
      <c r="F165" s="2541">
        <f t="array" ref="F165">INDEX('転倒'!$Q$3:$R$115, MATCH($A$1,'転倒'!$A$3:$A$115,0), MATCH(F138,'転倒'!$Q$2:$AC$2,0))</f>
        <v>5</v>
      </c>
      <c r="G165" s="518">
        <f t="shared" si="3"/>
        <v>6</v>
      </c>
      <c r="H165" s="228"/>
      <c r="I165" s="228"/>
      <c r="J165" s="228"/>
      <c r="K165" s="118"/>
      <c r="L165" s="118"/>
      <c r="M165" s="118"/>
      <c r="N165" s="98"/>
      <c r="O165" s="98"/>
      <c r="P165" s="98"/>
      <c r="Q165" s="98"/>
      <c r="R165" s="118"/>
      <c r="S165" s="118"/>
      <c r="T165" s="118"/>
      <c r="U165" s="118"/>
      <c r="V165" s="118"/>
    </row>
    <row r="166" outlineLevel="1">
      <c r="A166" s="319"/>
      <c r="B166" s="320"/>
      <c r="C166" s="321"/>
      <c r="D166" s="321"/>
      <c r="E166" s="2544"/>
      <c r="F166" s="2545"/>
      <c r="G166" s="2546"/>
      <c r="H166" s="228"/>
      <c r="I166" s="228"/>
      <c r="J166" s="228"/>
      <c r="K166" s="118"/>
      <c r="L166" s="118"/>
      <c r="M166" s="118"/>
      <c r="N166" s="98"/>
      <c r="O166" s="98"/>
      <c r="P166" s="98"/>
      <c r="Q166" s="98"/>
      <c r="R166" s="118"/>
      <c r="S166" s="118"/>
      <c r="T166" s="118"/>
      <c r="U166" s="118"/>
      <c r="V166" s="118"/>
    </row>
    <row r="167" outlineLevel="1">
      <c r="A167" s="323" t="s">
        <v>255</v>
      </c>
      <c r="B167" s="109"/>
      <c r="C167" s="321"/>
      <c r="D167" s="321"/>
      <c r="E167" s="2544"/>
      <c r="F167" s="2545"/>
      <c r="G167" s="2546"/>
      <c r="H167" s="228"/>
      <c r="I167" s="228"/>
      <c r="J167" s="228"/>
      <c r="K167" s="118"/>
      <c r="L167" s="118"/>
      <c r="M167" s="118"/>
      <c r="N167" s="98"/>
      <c r="O167" s="98"/>
      <c r="P167" s="98"/>
      <c r="Q167" s="98"/>
      <c r="R167" s="118"/>
      <c r="S167" s="118"/>
      <c r="T167" s="118"/>
      <c r="U167" s="118"/>
      <c r="V167" s="118"/>
    </row>
    <row r="168" outlineLevel="1">
      <c r="A168" s="324" t="s">
        <v>256</v>
      </c>
      <c r="B168" s="109"/>
      <c r="C168" s="325" t="s">
        <v>257</v>
      </c>
      <c r="D168" s="325" t="s">
        <v>49</v>
      </c>
      <c r="E168" s="2544"/>
      <c r="F168" s="2545"/>
      <c r="G168" s="2546"/>
      <c r="H168" s="228"/>
      <c r="I168" s="228"/>
      <c r="J168" s="228"/>
      <c r="K168" s="118"/>
      <c r="L168" s="118"/>
      <c r="M168" s="118"/>
      <c r="N168" s="98"/>
      <c r="O168" s="98"/>
      <c r="P168" s="98"/>
      <c r="Q168" s="98"/>
      <c r="R168" s="118"/>
      <c r="S168" s="118"/>
      <c r="T168" s="118"/>
      <c r="U168" s="118"/>
      <c r="V168" s="118"/>
    </row>
    <row r="169" outlineLevel="1">
      <c r="A169" s="326" t="s">
        <v>258</v>
      </c>
      <c r="B169" s="327" t="s">
        <v>216</v>
      </c>
      <c r="C169" s="328" t="str">
        <f t="array" ref="C169">INDEX('アイテム'!$C$3:$D$114, MATCH($A$1,'アイテム'!$A$3:$A$114,0), MATCH(C168,'アイテム'!$C$2:$AQ$2,0))</f>
        <v>2</v>
      </c>
      <c r="D169" s="328">
        <f t="array" ref="D169">INDEX('アイテム'!$C$3:$D$114, MATCH($A$1,'アイテム'!$A$3:$A$114,0), MATCH(D168,'アイテム'!$C$2:$AQ$2,0))</f>
        <v>7</v>
      </c>
      <c r="E169" s="2544"/>
      <c r="F169" s="2545"/>
      <c r="G169" s="2546"/>
      <c r="H169" s="228"/>
      <c r="I169" s="228"/>
      <c r="J169" s="228"/>
      <c r="K169" s="118"/>
      <c r="L169" s="118"/>
      <c r="M169" s="118"/>
      <c r="N169" s="98"/>
      <c r="O169" s="98"/>
      <c r="P169" s="98"/>
      <c r="Q169" s="98"/>
      <c r="R169" s="118"/>
      <c r="S169" s="118"/>
      <c r="T169" s="118"/>
      <c r="U169" s="118"/>
      <c r="V169" s="118"/>
    </row>
    <row r="170" outlineLevel="1">
      <c r="A170" s="156"/>
      <c r="B170" s="327" t="s">
        <v>219</v>
      </c>
      <c r="C170" s="328" t="str">
        <f t="array" ref="C170">INDEX('アイテム'!$E$3:$F$114, MATCH($A$1,'アイテム'!$A$3:$A$114,0), MATCH(C168,'アイテム'!$C$2:$AQ$2,0))</f>
        <v>3</v>
      </c>
      <c r="D170" s="328">
        <f t="array" ref="D170">INDEX('アイテム'!$E$3:$F$114, MATCH($A$1,'アイテム'!$A$3:$A$114,0), MATCH(D168,'アイテム'!$C$2:$AQ$2,0))</f>
        <v>19</v>
      </c>
      <c r="E170" s="2544"/>
      <c r="F170" s="2545"/>
      <c r="G170" s="2546"/>
      <c r="H170" s="228"/>
      <c r="I170" s="228"/>
      <c r="J170" s="228"/>
      <c r="K170" s="118"/>
      <c r="L170" s="118"/>
      <c r="M170" s="118"/>
      <c r="N170" s="98"/>
      <c r="O170" s="98"/>
      <c r="P170" s="98"/>
      <c r="Q170" s="98"/>
      <c r="R170" s="118"/>
      <c r="S170" s="118"/>
      <c r="T170" s="118"/>
      <c r="U170" s="118"/>
      <c r="V170" s="118"/>
    </row>
    <row r="171" outlineLevel="1">
      <c r="A171" s="329" t="s">
        <v>259</v>
      </c>
      <c r="B171" s="327" t="s">
        <v>216</v>
      </c>
      <c r="C171" s="328">
        <f t="array" ref="C171">INDEX('アイテム'!$AA$3:$AB$114, MATCH($A$1,'アイテム'!$A$3:$A$114,0), MATCH(C168,'アイテム'!$C$2:$AQ$2,0))</f>
        <v>3</v>
      </c>
      <c r="D171" s="328" t="str">
        <f t="array" ref="D171">INDEX('アイテム'!$AA$3:$AB$114, MATCH($A$1,'アイテム'!$A$3:$A$114,0), MATCH(D168,'アイテム'!$C$2:$AQ$2,0))</f>
        <v>12</v>
      </c>
      <c r="E171" s="2544"/>
      <c r="F171" s="2545"/>
      <c r="G171" s="2546"/>
      <c r="H171" s="228"/>
      <c r="I171" s="228"/>
      <c r="J171" s="228"/>
      <c r="K171" s="118"/>
      <c r="L171" s="118"/>
      <c r="M171" s="118"/>
      <c r="N171" s="98"/>
      <c r="O171" s="98"/>
      <c r="P171" s="98"/>
      <c r="Q171" s="98"/>
      <c r="R171" s="118"/>
      <c r="S171" s="118"/>
      <c r="T171" s="118"/>
      <c r="U171" s="118"/>
      <c r="V171" s="118"/>
    </row>
    <row r="172" outlineLevel="1">
      <c r="A172" s="324" t="s">
        <v>260</v>
      </c>
      <c r="B172" s="109"/>
      <c r="C172" s="325" t="s">
        <v>261</v>
      </c>
      <c r="D172" s="325" t="s">
        <v>49</v>
      </c>
      <c r="E172" s="2544"/>
      <c r="F172" s="2545"/>
      <c r="G172" s="2546"/>
      <c r="H172" s="228"/>
      <c r="I172" s="228"/>
      <c r="J172" s="228"/>
      <c r="K172" s="118"/>
      <c r="L172" s="118"/>
      <c r="M172" s="118"/>
      <c r="N172" s="98"/>
      <c r="O172" s="98"/>
      <c r="P172" s="98"/>
      <c r="Q172" s="98"/>
      <c r="R172" s="118"/>
      <c r="S172" s="118"/>
      <c r="T172" s="118"/>
      <c r="U172" s="118"/>
      <c r="V172" s="118"/>
    </row>
    <row r="173" outlineLevel="1">
      <c r="A173" s="326" t="s">
        <v>262</v>
      </c>
      <c r="B173" s="327" t="s">
        <v>226</v>
      </c>
      <c r="C173" s="328" t="str">
        <f t="array" ref="C173">INDEX('アイテム'!$G$3:$H$114, MATCH($A$1,'アイテム'!$A$3:$A$114,0), MATCH(C168,'アイテム'!$C$2:$AQ$2,0))</f>
        <v>8</v>
      </c>
      <c r="D173" s="328">
        <f t="array" ref="D173">INDEX('アイテム'!$G$3:$H$114, MATCH($A$1,'アイテム'!$A$3:$A$114,0), MATCH(D168,'アイテム'!$C$2:$AQ$2,0))</f>
        <v>24</v>
      </c>
      <c r="E173" s="2544"/>
      <c r="F173" s="2545"/>
      <c r="G173" s="2546"/>
      <c r="H173" s="228"/>
      <c r="I173" s="228"/>
      <c r="J173" s="228"/>
      <c r="K173" s="118"/>
      <c r="L173" s="118"/>
      <c r="M173" s="118"/>
      <c r="N173" s="98"/>
      <c r="O173" s="98"/>
      <c r="P173" s="98"/>
      <c r="Q173" s="98"/>
      <c r="R173" s="118"/>
      <c r="S173" s="118"/>
      <c r="T173" s="118"/>
      <c r="U173" s="118"/>
      <c r="V173" s="118"/>
    </row>
    <row r="174" outlineLevel="1">
      <c r="A174" s="146"/>
      <c r="B174" s="327" t="s">
        <v>229</v>
      </c>
      <c r="C174" s="328" t="str">
        <f t="array" ref="C174">INDEX('アイテム'!$I$3:$J$114, MATCH($A$1,'アイテム'!$A$3:$A$114,0), MATCH(C168,'アイテム'!$C$2:$AQ$2,0))</f>
        <v>11</v>
      </c>
      <c r="D174" s="328">
        <f t="array" ref="D174">INDEX('アイテム'!$I$3:$J$114, MATCH($A$1,'アイテム'!$A$3:$A$114,0), MATCH(D168,'アイテム'!$C$2:$AQ$2,0))</f>
        <v>24</v>
      </c>
      <c r="E174" s="2544"/>
      <c r="F174" s="2545"/>
      <c r="G174" s="2546"/>
      <c r="H174" s="228"/>
      <c r="I174" s="228"/>
      <c r="J174" s="228"/>
      <c r="K174" s="118"/>
      <c r="L174" s="118"/>
      <c r="M174" s="118"/>
      <c r="N174" s="98"/>
      <c r="O174" s="98"/>
      <c r="P174" s="98"/>
      <c r="Q174" s="98"/>
      <c r="R174" s="118"/>
      <c r="S174" s="118"/>
      <c r="T174" s="118"/>
      <c r="U174" s="118"/>
      <c r="V174" s="118"/>
    </row>
    <row r="175" outlineLevel="1">
      <c r="A175" s="146"/>
      <c r="B175" s="327" t="s">
        <v>233</v>
      </c>
      <c r="C175" s="328" t="str">
        <f t="array" ref="C175">INDEX('アイテム'!$K$3:$L$114, MATCH($A$1,'アイテム'!$A$3:$A$114,0), MATCH(C168,'アイテム'!$C$2:$AQ$2,0))</f>
        <v>12</v>
      </c>
      <c r="D175" s="328">
        <f t="array" ref="D175">INDEX('アイテム'!$K$3:$L$114, MATCH($A$1,'アイテム'!$A$3:$A$114,0), MATCH(D168,'アイテム'!$C$2:$AQ$2,0))</f>
        <v>23</v>
      </c>
      <c r="E175" s="2544"/>
      <c r="F175" s="2545"/>
      <c r="G175" s="2546"/>
      <c r="H175" s="228"/>
      <c r="I175" s="228"/>
      <c r="J175" s="228"/>
      <c r="K175" s="118"/>
      <c r="L175" s="118"/>
      <c r="M175" s="118"/>
      <c r="N175" s="98"/>
      <c r="O175" s="98"/>
      <c r="P175" s="98"/>
      <c r="Q175" s="98"/>
      <c r="R175" s="118"/>
      <c r="S175" s="118"/>
      <c r="T175" s="118"/>
      <c r="U175" s="118"/>
      <c r="V175" s="118"/>
    </row>
    <row r="176" outlineLevel="1">
      <c r="A176" s="146"/>
      <c r="B176" s="327" t="s">
        <v>234</v>
      </c>
      <c r="C176" s="328" t="str">
        <f t="array" ref="C176">INDEX('アイテム'!$M$3:$N$114, MATCH($A$1,'アイテム'!$A$3:$A$114,0), MATCH(C168,'アイテム'!$C$2:$AQ$2,0))</f>
        <v>8</v>
      </c>
      <c r="D176" s="328">
        <f t="array" ref="D176">INDEX('アイテム'!$M$3:$N$114, MATCH($A$1,'アイテム'!$A$3:$A$114,0), MATCH(D168,'アイテム'!$C$2:$AQ$2,0))</f>
        <v>19</v>
      </c>
      <c r="E176" s="2544"/>
      <c r="F176" s="2545"/>
      <c r="G176" s="2546"/>
      <c r="H176" s="228"/>
      <c r="I176" s="228"/>
      <c r="J176" s="228"/>
      <c r="K176" s="118"/>
      <c r="L176" s="118"/>
      <c r="M176" s="118"/>
      <c r="N176" s="98"/>
      <c r="O176" s="98"/>
      <c r="P176" s="98"/>
      <c r="Q176" s="98"/>
      <c r="R176" s="118"/>
      <c r="S176" s="118"/>
      <c r="T176" s="118"/>
      <c r="U176" s="118"/>
      <c r="V176" s="118"/>
    </row>
    <row r="177" outlineLevel="1">
      <c r="A177" s="146"/>
      <c r="B177" s="327" t="s">
        <v>219</v>
      </c>
      <c r="C177" s="328" t="str">
        <f t="array" ref="C177">INDEX('アイテム'!$O$3:$P$114, MATCH($A$1,'アイテム'!$A$3:$A$114,0), MATCH(C168,'アイテム'!$C$2:$AQ$2,0))</f>
        <v>5</v>
      </c>
      <c r="D177" s="328">
        <f t="array" ref="D177">INDEX('アイテム'!$O$3:$P$114, MATCH($A$1,'アイテム'!$A$3:$A$114,0), MATCH(D168,'アイテム'!$C$2:$AQ$2,0))</f>
        <v>29</v>
      </c>
      <c r="E177" s="2544"/>
      <c r="F177" s="2545"/>
      <c r="G177" s="2546"/>
      <c r="H177" s="228"/>
      <c r="I177" s="228"/>
      <c r="J177" s="228"/>
      <c r="K177" s="118"/>
      <c r="L177" s="118"/>
      <c r="M177" s="118"/>
      <c r="N177" s="98"/>
      <c r="O177" s="98"/>
      <c r="P177" s="98"/>
      <c r="Q177" s="98"/>
      <c r="R177" s="118"/>
      <c r="S177" s="118"/>
      <c r="T177" s="118"/>
      <c r="U177" s="118"/>
      <c r="V177" s="118"/>
    </row>
    <row r="178" outlineLevel="1">
      <c r="A178" s="156"/>
      <c r="B178" s="327" t="s">
        <v>263</v>
      </c>
      <c r="C178" s="328" t="str">
        <f t="array" ref="C178">INDEX('アイテム'!$Q$3:$R$114, MATCH($A$1,'アイテム'!$A$3:$A$114,0), MATCH(C168,'アイテム'!$C$2:$AQ$2,0))</f>
        <v>6</v>
      </c>
      <c r="D178" s="328">
        <f t="array" ref="D178">INDEX('アイテム'!$Q$3:$R$114, MATCH($A$1,'アイテム'!$A$3:$A$114,0), MATCH(D168,'アイテム'!$C$2:$AQ$2,0))</f>
        <v>23</v>
      </c>
      <c r="E178" s="2544"/>
      <c r="F178" s="2545"/>
      <c r="G178" s="2546"/>
      <c r="H178" s="228"/>
      <c r="I178" s="228"/>
      <c r="J178" s="228"/>
      <c r="K178" s="118"/>
      <c r="L178" s="118"/>
      <c r="M178" s="118"/>
      <c r="N178" s="98"/>
      <c r="O178" s="98"/>
      <c r="P178" s="98"/>
      <c r="Q178" s="98"/>
      <c r="R178" s="118"/>
      <c r="S178" s="118"/>
      <c r="T178" s="118"/>
      <c r="U178" s="118"/>
      <c r="V178" s="118"/>
    </row>
    <row r="179" outlineLevel="1">
      <c r="A179" s="326" t="s">
        <v>264</v>
      </c>
      <c r="B179" s="327" t="s">
        <v>226</v>
      </c>
      <c r="C179" s="328" t="str">
        <f t="array" ref="C179">INDEX('アイテム'!$S$3:$T$114, MATCH($A$1,'アイテム'!$A$3:$A$114,0), MATCH(C168,'アイテム'!$C$2:$AQ$2,0))</f>
        <v>8</v>
      </c>
      <c r="D179" s="328">
        <f t="array" ref="D179">INDEX('アイテム'!$S$3:$T$114, MATCH($A$1,'アイテム'!$A$3:$A$114,0), MATCH(D168,'アイテム'!$C$2:$AQ$2,0))</f>
        <v>24</v>
      </c>
      <c r="E179" s="2544"/>
      <c r="F179" s="2545"/>
      <c r="G179" s="2546"/>
      <c r="H179" s="228"/>
      <c r="I179" s="228"/>
      <c r="J179" s="228"/>
      <c r="K179" s="118"/>
      <c r="L179" s="118"/>
      <c r="M179" s="118"/>
      <c r="N179" s="98"/>
      <c r="O179" s="98"/>
      <c r="P179" s="98"/>
      <c r="Q179" s="98"/>
      <c r="R179" s="118"/>
      <c r="S179" s="118"/>
      <c r="T179" s="118"/>
      <c r="U179" s="118"/>
      <c r="V179" s="118"/>
    </row>
    <row r="180" outlineLevel="1">
      <c r="A180" s="146"/>
      <c r="B180" s="327" t="s">
        <v>229</v>
      </c>
      <c r="C180" s="328" t="str">
        <f t="array" ref="C180">INDEX('アイテム'!$U$3:$V$114, MATCH($A$1,'アイテム'!$A$3:$A$114,0), MATCH(C168,'アイテム'!$C$2:$AQ$2,0))</f>
        <v>11</v>
      </c>
      <c r="D180" s="328">
        <f t="array" ref="D180">INDEX('アイテム'!$U$3:$V$114, MATCH($A$1,'アイテム'!$A$3:$A$114,0), MATCH(D168,'アイテム'!$C$2:$AQ$2,0))</f>
        <v>24</v>
      </c>
      <c r="E180" s="2544"/>
      <c r="F180" s="2545"/>
      <c r="G180" s="2546"/>
      <c r="H180" s="228"/>
      <c r="I180" s="228"/>
      <c r="J180" s="228"/>
      <c r="K180" s="118"/>
      <c r="L180" s="118"/>
      <c r="M180" s="118"/>
      <c r="N180" s="98"/>
      <c r="O180" s="98"/>
      <c r="P180" s="98"/>
      <c r="Q180" s="98"/>
      <c r="R180" s="118"/>
      <c r="S180" s="118"/>
      <c r="T180" s="118"/>
      <c r="U180" s="118"/>
      <c r="V180" s="118"/>
    </row>
    <row r="181" outlineLevel="1">
      <c r="A181" s="146"/>
      <c r="B181" s="327" t="s">
        <v>233</v>
      </c>
      <c r="C181" s="328" t="str">
        <f t="array" ref="C181">INDEX('アイテム'!$W$3:$X$114, MATCH($A$1,'アイテム'!$A$3:$A$114,0), MATCH(C168,'アイテム'!$C$2:$AQ$2,0))</f>
        <v>12</v>
      </c>
      <c r="D181" s="328">
        <f t="array" ref="D181">INDEX('アイテム'!$W$3:$X$114, MATCH($A$1,'アイテム'!$A$3:$A$114,0), MATCH(D168,'アイテム'!$C$2:$AQ$2,0))</f>
        <v>23</v>
      </c>
      <c r="E181" s="2544"/>
      <c r="F181" s="2545"/>
      <c r="G181" s="2546"/>
      <c r="H181" s="228"/>
      <c r="I181" s="228"/>
      <c r="J181" s="228"/>
      <c r="K181" s="118"/>
      <c r="L181" s="118"/>
      <c r="M181" s="118"/>
      <c r="N181" s="98"/>
      <c r="O181" s="98"/>
      <c r="P181" s="98"/>
      <c r="Q181" s="98"/>
      <c r="R181" s="118"/>
      <c r="S181" s="118"/>
      <c r="T181" s="118"/>
      <c r="U181" s="118"/>
      <c r="V181" s="118"/>
    </row>
    <row r="182" outlineLevel="1">
      <c r="A182" s="156"/>
      <c r="B182" s="327" t="s">
        <v>234</v>
      </c>
      <c r="C182" s="328" t="str">
        <f t="array" ref="C182">INDEX('アイテム'!$Y$3:$Z$114, MATCH($A$1,'アイテム'!$A$3:$A$114,0), MATCH(C168,'アイテム'!$C$2:$AQ$2,0))</f>
        <v>8</v>
      </c>
      <c r="D182" s="328">
        <f t="array" ref="D182">INDEX('アイテム'!$Y$3:$Z$114, MATCH($A$1,'アイテム'!$A$3:$A$114,0), MATCH(D168,'アイテム'!$C$2:$AQ$2,0))</f>
        <v>19</v>
      </c>
      <c r="E182" s="2544"/>
      <c r="F182" s="2545"/>
      <c r="G182" s="2546"/>
      <c r="H182" s="228"/>
      <c r="I182" s="228"/>
      <c r="J182" s="228"/>
      <c r="K182" s="118"/>
      <c r="L182" s="118"/>
      <c r="M182" s="118"/>
      <c r="N182" s="98"/>
      <c r="O182" s="98"/>
      <c r="P182" s="98"/>
      <c r="Q182" s="98"/>
      <c r="R182" s="118"/>
      <c r="S182" s="118"/>
      <c r="T182" s="118"/>
      <c r="U182" s="118"/>
      <c r="V182" s="118"/>
    </row>
    <row r="183" outlineLevel="1">
      <c r="A183" s="326" t="s">
        <v>265</v>
      </c>
      <c r="B183" s="327" t="s">
        <v>226</v>
      </c>
      <c r="C183" s="328">
        <f t="array" ref="C183">INDEX('アイテム'!$AC$3:$AD$114, MATCH($A$1,'アイテム'!$A$3:$A$114,0), MATCH(C168,'アイテム'!$C$2:$AQ$2,0))</f>
        <v>14</v>
      </c>
      <c r="D183" s="328" t="str">
        <f t="array" ref="D183">INDEX('アイテム'!$AC$3:$AD$114, MATCH($A$1,'アイテム'!$A$3:$A$114,0), MATCH(D168,'アイテム'!$C$2:$AQ$2,0))</f>
        <v>30</v>
      </c>
      <c r="E183" s="2544"/>
      <c r="F183" s="2545"/>
      <c r="G183" s="2546"/>
      <c r="H183" s="228"/>
      <c r="I183" s="228"/>
      <c r="J183" s="228"/>
      <c r="K183" s="118"/>
      <c r="L183" s="118"/>
      <c r="M183" s="118"/>
      <c r="N183" s="98"/>
      <c r="O183" s="98"/>
      <c r="P183" s="98"/>
      <c r="Q183" s="98"/>
      <c r="R183" s="118"/>
      <c r="S183" s="118"/>
      <c r="T183" s="118"/>
      <c r="U183" s="118"/>
      <c r="V183" s="118"/>
    </row>
    <row r="184" outlineLevel="1">
      <c r="A184" s="146"/>
      <c r="B184" s="327" t="s">
        <v>229</v>
      </c>
      <c r="C184" s="328">
        <f t="array" ref="C184">INDEX('アイテム'!$AE$3:$AF$114, MATCH($A$1,'アイテム'!$A$3:$A$114,0), MATCH(C168,'アイテム'!$C$2:$AQ$2,0))</f>
        <v>15</v>
      </c>
      <c r="D184" s="328" t="str">
        <f t="array" ref="D184">INDEX('アイテム'!$AE$3:$AF$114, MATCH($A$1,'アイテム'!$A$3:$A$114,0), MATCH(D168,'アイテム'!$C$2:$AQ$2,0))</f>
        <v>30</v>
      </c>
      <c r="E184" s="2544"/>
      <c r="F184" s="2545"/>
      <c r="G184" s="2546"/>
      <c r="H184" s="228"/>
      <c r="I184" s="228"/>
      <c r="J184" s="228"/>
      <c r="K184" s="118"/>
      <c r="L184" s="118"/>
      <c r="M184" s="118"/>
      <c r="N184" s="98"/>
      <c r="O184" s="98"/>
      <c r="P184" s="98"/>
      <c r="Q184" s="98"/>
      <c r="R184" s="118"/>
      <c r="S184" s="118"/>
      <c r="T184" s="118"/>
      <c r="U184" s="118"/>
      <c r="V184" s="118"/>
    </row>
    <row r="185" outlineLevel="1">
      <c r="A185" s="146"/>
      <c r="B185" s="327" t="s">
        <v>233</v>
      </c>
      <c r="C185" s="328">
        <f t="array" ref="C185">INDEX('アイテム'!$AG$3:$AH$114, MATCH($A$1,'アイテム'!$A$3:$A$114,0), MATCH(C168,'アイテム'!$C$2:$AQ$2,0))</f>
        <v>11</v>
      </c>
      <c r="D185" s="328" t="str">
        <f t="array" ref="D185">INDEX('アイテム'!$AG$3:$AH$114, MATCH($A$1,'アイテム'!$A$3:$A$114,0), MATCH(D168,'アイテム'!$C$2:$AQ$2,0))</f>
        <v>22</v>
      </c>
      <c r="E185" s="2544"/>
      <c r="F185" s="2545"/>
      <c r="G185" s="2546"/>
      <c r="H185" s="228"/>
      <c r="I185" s="228"/>
      <c r="J185" s="228"/>
      <c r="K185" s="118"/>
      <c r="L185" s="118"/>
      <c r="M185" s="118"/>
      <c r="N185" s="98"/>
      <c r="O185" s="98"/>
      <c r="P185" s="98"/>
      <c r="Q185" s="98"/>
      <c r="R185" s="118"/>
      <c r="S185" s="118"/>
      <c r="T185" s="118"/>
      <c r="U185" s="118"/>
      <c r="V185" s="118"/>
    </row>
    <row r="186" outlineLevel="1">
      <c r="A186" s="156"/>
      <c r="B186" s="327" t="s">
        <v>234</v>
      </c>
      <c r="C186" s="328">
        <f t="array" ref="C186">INDEX('アイテム'!$AI$3:$AJ$114, MATCH($A$1,'アイテム'!$A$3:$A$114,0), MATCH(C168,'アイテム'!$C$2:$AQ$2,0))</f>
        <v>10</v>
      </c>
      <c r="D186" s="328" t="str">
        <f t="array" ref="D186">INDEX('アイテム'!$AI$3:$AJ$114, MATCH($A$1,'アイテム'!$A$3:$A$114,0), MATCH(D168,'アイテム'!$C$2:$AQ$2,0))</f>
        <v>22</v>
      </c>
      <c r="E186" s="2544"/>
      <c r="F186" s="2545"/>
      <c r="G186" s="2546"/>
      <c r="H186" s="228"/>
      <c r="I186" s="228"/>
      <c r="J186" s="228"/>
      <c r="K186" s="118"/>
      <c r="L186" s="118"/>
      <c r="M186" s="118"/>
      <c r="N186" s="98"/>
      <c r="O186" s="98"/>
      <c r="P186" s="98"/>
      <c r="Q186" s="98"/>
      <c r="R186" s="118"/>
      <c r="S186" s="118"/>
      <c r="T186" s="118"/>
      <c r="U186" s="118"/>
      <c r="V186" s="118"/>
    </row>
  </sheetData>
  <mergeCells count="161">
    <mergeCell ref="H41:J42"/>
    <mergeCell ref="H43:J43"/>
    <mergeCell ref="H37:J37"/>
    <mergeCell ref="H38:J38"/>
    <mergeCell ref="A39:A40"/>
    <mergeCell ref="D39:D40"/>
    <mergeCell ref="H39:J40"/>
    <mergeCell ref="D41:D42"/>
    <mergeCell ref="H44:J44"/>
    <mergeCell ref="H34:J35"/>
    <mergeCell ref="H36:J36"/>
    <mergeCell ref="H45:J46"/>
    <mergeCell ref="H47:J47"/>
    <mergeCell ref="H48:J48"/>
    <mergeCell ref="H49:J49"/>
    <mergeCell ref="H50:J50"/>
    <mergeCell ref="H51:J52"/>
    <mergeCell ref="H53:J53"/>
    <mergeCell ref="I57:I58"/>
    <mergeCell ref="J57:J58"/>
    <mergeCell ref="I59:I60"/>
    <mergeCell ref="J59:J60"/>
    <mergeCell ref="J62:J63"/>
    <mergeCell ref="H68:J68"/>
    <mergeCell ref="H69:J74"/>
    <mergeCell ref="H83:J95"/>
    <mergeCell ref="H97:J106"/>
    <mergeCell ref="H107:J107"/>
    <mergeCell ref="H108:J111"/>
    <mergeCell ref="G119:J119"/>
    <mergeCell ref="K142:K147"/>
    <mergeCell ref="K148:K151"/>
    <mergeCell ref="K152:L152"/>
    <mergeCell ref="K154:K157"/>
    <mergeCell ref="K158:L158"/>
    <mergeCell ref="K161:L161"/>
    <mergeCell ref="G120:J121"/>
    <mergeCell ref="G122:J123"/>
    <mergeCell ref="G124:J125"/>
    <mergeCell ref="G126:J127"/>
    <mergeCell ref="K138:L138"/>
    <mergeCell ref="K139:K140"/>
    <mergeCell ref="K141:L141"/>
    <mergeCell ref="D84:D85"/>
    <mergeCell ref="D86:D87"/>
    <mergeCell ref="I62:I63"/>
    <mergeCell ref="I64:I65"/>
    <mergeCell ref="J64:J65"/>
    <mergeCell ref="D75:D81"/>
    <mergeCell ref="H75:J81"/>
    <mergeCell ref="A82:B82"/>
    <mergeCell ref="H82:J82"/>
    <mergeCell ref="U39:U40"/>
    <mergeCell ref="U41:U42"/>
    <mergeCell ref="U43:U44"/>
    <mergeCell ref="U45:U46"/>
    <mergeCell ref="U51:U52"/>
    <mergeCell ref="R56:V56"/>
    <mergeCell ref="R57:V58"/>
    <mergeCell ref="V97:V106"/>
    <mergeCell ref="U108:U111"/>
    <mergeCell ref="V108:V111"/>
    <mergeCell ref="R59:V60"/>
    <mergeCell ref="R61:V61"/>
    <mergeCell ref="R62:V63"/>
    <mergeCell ref="R64:V65"/>
    <mergeCell ref="U69:U81"/>
    <mergeCell ref="V69:V81"/>
    <mergeCell ref="V83:V95"/>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D24:G24"/>
    <mergeCell ref="A31:B32"/>
    <mergeCell ref="H32:J32"/>
    <mergeCell ref="A33:A38"/>
    <mergeCell ref="H33:J33"/>
    <mergeCell ref="U33:U35"/>
    <mergeCell ref="B34:B35"/>
    <mergeCell ref="D34:D35"/>
    <mergeCell ref="A96:B96"/>
    <mergeCell ref="H96:J96"/>
    <mergeCell ref="A75:A81"/>
    <mergeCell ref="A84:A89"/>
    <mergeCell ref="D88:D89"/>
    <mergeCell ref="A90:A95"/>
    <mergeCell ref="D90:D91"/>
    <mergeCell ref="D92:D93"/>
    <mergeCell ref="D94:D95"/>
    <mergeCell ref="U83:U95"/>
    <mergeCell ref="U97:U106"/>
    <mergeCell ref="C151:C152"/>
    <mergeCell ref="C164:C165"/>
    <mergeCell ref="A159:A165"/>
    <mergeCell ref="A167:B167"/>
    <mergeCell ref="A168:B168"/>
    <mergeCell ref="A169:A170"/>
    <mergeCell ref="A172:B172"/>
    <mergeCell ref="A173:A178"/>
    <mergeCell ref="A179:A182"/>
    <mergeCell ref="A183:A186"/>
    <mergeCell ref="A134:A135"/>
    <mergeCell ref="A139:A143"/>
    <mergeCell ref="A144:A146"/>
    <mergeCell ref="A147:A152"/>
    <mergeCell ref="D151:D152"/>
    <mergeCell ref="A153:A158"/>
    <mergeCell ref="D164:D165"/>
    <mergeCell ref="A41:A44"/>
    <mergeCell ref="A45:A47"/>
    <mergeCell ref="D45:D46"/>
    <mergeCell ref="A48:A49"/>
    <mergeCell ref="A51:A52"/>
    <mergeCell ref="D51:D52"/>
    <mergeCell ref="A55:B56"/>
    <mergeCell ref="A57:A58"/>
    <mergeCell ref="D57:D58"/>
    <mergeCell ref="A59:A60"/>
    <mergeCell ref="D59:D60"/>
    <mergeCell ref="A62:A63"/>
    <mergeCell ref="D62:D63"/>
    <mergeCell ref="D64:D65"/>
    <mergeCell ref="A64:A65"/>
    <mergeCell ref="A67:B67"/>
    <mergeCell ref="A68:B68"/>
    <mergeCell ref="A69:A74"/>
    <mergeCell ref="D69:D74"/>
    <mergeCell ref="A97:A101"/>
    <mergeCell ref="D97:D106"/>
    <mergeCell ref="D122:D123"/>
    <mergeCell ref="D124:D125"/>
    <mergeCell ref="D126:D127"/>
    <mergeCell ref="A102:A106"/>
    <mergeCell ref="A107:B107"/>
    <mergeCell ref="A108:A111"/>
    <mergeCell ref="A113:B114"/>
    <mergeCell ref="A116:A118"/>
    <mergeCell ref="A119:B119"/>
    <mergeCell ref="D120:D121"/>
    <mergeCell ref="A120:A121"/>
    <mergeCell ref="A122:A123"/>
    <mergeCell ref="A124:A125"/>
    <mergeCell ref="A126:A127"/>
    <mergeCell ref="A129:B130"/>
    <mergeCell ref="A131:A133"/>
    <mergeCell ref="A137:B138"/>
    <mergeCell ref="C157:C158"/>
    <mergeCell ref="D157:D158"/>
  </mergeCells>
  <conditionalFormatting sqref="K1:K15 K17:K162">
    <cfRule type="containsText" dxfId="0" priority="1" operator="containsText" text="361">
      <formula>NOT(ISERROR(SEARCH(("361"),(K1))))</formula>
    </cfRule>
  </conditionalFormatting>
  <conditionalFormatting sqref="K1:K15 K17:K162">
    <cfRule type="containsText" dxfId="1" priority="2" operator="containsText" text="363">
      <formula>NOT(ISERROR(SEARCH(("363"),(K1))))</formula>
    </cfRule>
  </conditionalFormatting>
  <conditionalFormatting sqref="K1:K15 K17:K162">
    <cfRule type="containsText" dxfId="1" priority="3" operator="containsText" text="365">
      <formula>NOT(ISERROR(SEARCH(("365"),(K1))))</formula>
    </cfRule>
  </conditionalFormatting>
  <conditionalFormatting sqref="K1:K15 K17:K162">
    <cfRule type="containsText" dxfId="1" priority="4" operator="containsText" text="366">
      <formula>NOT(ISERROR(SEARCH(("366"),(K1))))</formula>
    </cfRule>
  </conditionalFormatting>
  <conditionalFormatting sqref="K1:K15 K17:K162">
    <cfRule type="containsText" dxfId="1" priority="5" operator="containsText" text="367">
      <formula>NOT(ISERROR(SEARCH(("367"),(K1))))</formula>
    </cfRule>
  </conditionalFormatting>
  <conditionalFormatting sqref="P120:P127">
    <cfRule type="cellIs" dxfId="2" priority="6" operator="equal">
      <formula>"敵のみ"</formula>
    </cfRule>
  </conditionalFormatting>
  <conditionalFormatting sqref="C120:C127">
    <cfRule type="cellIs" dxfId="3" priority="7" operator="equal">
      <formula>"-"</formula>
    </cfRule>
  </conditionalFormatting>
  <conditionalFormatting sqref="O1:O186 E120:F120 K120:N120 P120:Q120 E122:F122 K122:N122 P122:Q122 P127">
    <cfRule type="cellIs" dxfId="4" priority="8" operator="greaterThan">
      <formula>0</formula>
    </cfRule>
  </conditionalFormatting>
  <conditionalFormatting sqref="P1:Q186">
    <cfRule type="cellIs" dxfId="5" priority="9" operator="lessThan">
      <formula>1</formula>
    </cfRule>
  </conditionalFormatting>
  <conditionalFormatting sqref="P1:Q186">
    <cfRule type="cellIs" dxfId="4" priority="10" operator="greaterThan">
      <formula>1</formula>
    </cfRule>
  </conditionalFormatting>
  <conditionalFormatting sqref="N32:N127">
    <cfRule type="cellIs" dxfId="6" priority="11" operator="greaterThan">
      <formula>0</formula>
    </cfRule>
  </conditionalFormatting>
  <drawing r:id="rId2"/>
  <legacyDrawing r:id="rId3"/>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0504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721" t="s">
        <v>4442</v>
      </c>
      <c r="B1" s="2722"/>
      <c r="C1" s="2723" t="str">
        <f>IMAGE(VLOOKUP($A$1,Fighters!A2:AI114,12,FALSE),1)</f>
        <v>#REF!</v>
      </c>
      <c r="D1" s="2724"/>
      <c r="E1" s="2724"/>
      <c r="F1" s="2724"/>
      <c r="G1" s="2725"/>
      <c r="H1" s="2726"/>
      <c r="I1" s="2724"/>
      <c r="J1" s="2725"/>
      <c r="K1" s="2727"/>
      <c r="L1" s="2724"/>
      <c r="M1" s="2725"/>
      <c r="N1" s="2728"/>
      <c r="O1" s="2728"/>
      <c r="P1" s="2728"/>
      <c r="Q1" s="2728"/>
      <c r="R1" s="2729"/>
      <c r="S1" s="2729"/>
      <c r="T1" s="2729"/>
      <c r="U1" s="2729"/>
      <c r="V1" s="2729"/>
    </row>
    <row r="2">
      <c r="A2" s="2730" t="str">
        <f>VLOOKUP($A$1,Fighters!$A$2:$AI$81,6,FALSE)</f>
        <v>#d0504d</v>
      </c>
      <c r="B2" s="2722"/>
      <c r="C2" s="2731"/>
      <c r="G2" s="2732"/>
      <c r="H2" s="2733"/>
      <c r="I2" s="2734"/>
      <c r="J2" s="2735"/>
      <c r="K2" s="2733"/>
      <c r="L2" s="2734"/>
      <c r="M2" s="2735"/>
      <c r="N2" s="2728"/>
      <c r="O2" s="2728"/>
      <c r="P2" s="2728"/>
      <c r="Q2" s="2728"/>
      <c r="R2" s="2729"/>
      <c r="S2" s="2729"/>
      <c r="T2" s="2729"/>
      <c r="U2" s="2729"/>
      <c r="V2" s="2729"/>
    </row>
    <row r="3">
      <c r="A3" s="2730" t="str">
        <f>VLOOKUP($A$1,Fighters!$A$2:$AI$81,14,FALSE)</f>
        <v>60'. ケン</v>
      </c>
      <c r="B3" s="2722"/>
      <c r="C3" s="2731"/>
      <c r="G3" s="2732"/>
      <c r="H3" s="2736"/>
      <c r="I3" s="2736"/>
      <c r="J3" s="2736"/>
      <c r="K3" s="2737"/>
      <c r="L3" s="2737"/>
      <c r="M3" s="2737"/>
      <c r="N3" s="2728"/>
      <c r="O3" s="2728"/>
      <c r="P3" s="2728"/>
      <c r="Q3" s="2728"/>
      <c r="R3" s="2728"/>
      <c r="S3" s="2729"/>
      <c r="T3" s="2729"/>
      <c r="U3" s="2729"/>
      <c r="V3" s="2729"/>
    </row>
    <row r="4">
      <c r="A4" s="2730" t="str">
        <f>VLOOKUP($A$1,Fighters!$A$2:$AI$81,13,FALSE)</f>
        <v>1</v>
      </c>
      <c r="B4" s="2722"/>
      <c r="C4" s="2731"/>
      <c r="G4" s="2732"/>
      <c r="H4" s="2738"/>
      <c r="I4" s="2738"/>
      <c r="J4" s="2736"/>
      <c r="K4" s="2737"/>
      <c r="L4" s="2737"/>
      <c r="M4" s="2737"/>
      <c r="N4" s="2728"/>
      <c r="O4" s="2728"/>
      <c r="P4" s="2728"/>
      <c r="Q4" s="2728"/>
      <c r="R4" s="2728"/>
      <c r="S4" s="2729"/>
      <c r="T4" s="2729"/>
      <c r="U4" s="2729"/>
      <c r="V4" s="2729"/>
    </row>
    <row r="5" ht="16.5" customHeight="1">
      <c r="A5" s="2721"/>
      <c r="B5" s="2722"/>
      <c r="C5" s="2731"/>
      <c r="G5" s="2732"/>
      <c r="H5" s="2739"/>
      <c r="I5" s="2739"/>
      <c r="J5" s="2740"/>
      <c r="K5" s="2741"/>
      <c r="L5" s="2742"/>
      <c r="M5" s="2742"/>
      <c r="N5" s="2728"/>
      <c r="O5" s="2728"/>
      <c r="P5" s="2728"/>
      <c r="Q5" s="2728"/>
      <c r="R5" s="2728"/>
      <c r="S5" s="2729"/>
      <c r="T5" s="2729"/>
      <c r="U5" s="2729"/>
      <c r="V5" s="2729"/>
    </row>
    <row r="6">
      <c r="A6" s="2722"/>
      <c r="B6" s="2722"/>
      <c r="C6" s="2731"/>
      <c r="G6" s="2732"/>
      <c r="H6" s="2738"/>
      <c r="I6" s="2743" t="s">
        <v>39</v>
      </c>
      <c r="J6" s="2741"/>
      <c r="K6" s="2740"/>
      <c r="L6" s="2742"/>
      <c r="M6" s="2742"/>
      <c r="N6" s="2728"/>
      <c r="O6" s="2728"/>
      <c r="P6" s="2728"/>
      <c r="Q6" s="2728"/>
      <c r="R6" s="2728"/>
      <c r="S6" s="2729"/>
      <c r="T6" s="2729"/>
      <c r="U6" s="2729"/>
      <c r="V6" s="2729"/>
    </row>
    <row r="7">
      <c r="A7" s="2722"/>
      <c r="B7" s="2722"/>
      <c r="C7" s="2731"/>
      <c r="G7" s="2732"/>
      <c r="H7" s="2739"/>
      <c r="I7" s="2739"/>
      <c r="J7" s="2741"/>
      <c r="K7" s="2740"/>
      <c r="L7" s="2742"/>
      <c r="M7" s="2742"/>
      <c r="N7" s="2728"/>
      <c r="O7" s="2728"/>
      <c r="P7" s="2728"/>
      <c r="Q7" s="2728"/>
      <c r="R7" s="2728"/>
      <c r="S7" s="2729"/>
      <c r="T7" s="2729"/>
      <c r="U7" s="2729"/>
      <c r="V7" s="2729"/>
    </row>
    <row r="8">
      <c r="A8" s="2722"/>
      <c r="B8" s="2722"/>
      <c r="C8" s="2731"/>
      <c r="G8" s="2732"/>
      <c r="H8" s="2744">
        <v>44379.84497340278</v>
      </c>
      <c r="I8" s="2724"/>
      <c r="J8" s="2725"/>
      <c r="K8" s="2741"/>
      <c r="L8" s="2742"/>
      <c r="M8" s="2742"/>
      <c r="N8" s="2728"/>
      <c r="O8" s="2728"/>
      <c r="P8" s="2728"/>
      <c r="Q8" s="2728"/>
      <c r="R8" s="2728"/>
      <c r="S8" s="2729"/>
      <c r="T8" s="2729"/>
      <c r="U8" s="2729"/>
      <c r="V8" s="2729"/>
    </row>
    <row r="9">
      <c r="A9" s="2722"/>
      <c r="B9" s="2722"/>
      <c r="C9" s="2731"/>
      <c r="G9" s="2732"/>
      <c r="H9" s="2733"/>
      <c r="I9" s="2734"/>
      <c r="J9" s="2735"/>
      <c r="K9" s="2729"/>
      <c r="L9" s="2728"/>
      <c r="M9" s="2728"/>
      <c r="N9" s="2728"/>
      <c r="O9" s="2728"/>
      <c r="P9" s="2728"/>
      <c r="Q9" s="2728"/>
      <c r="R9" s="2728"/>
      <c r="S9" s="2729"/>
      <c r="T9" s="2729"/>
      <c r="U9" s="2729"/>
      <c r="V9" s="2729"/>
    </row>
    <row r="10">
      <c r="A10" s="2745"/>
      <c r="B10" s="2722"/>
      <c r="C10" s="2731"/>
      <c r="G10" s="2732"/>
      <c r="H10" s="2746"/>
      <c r="I10" s="2746"/>
      <c r="J10" s="2729"/>
      <c r="K10" s="2729"/>
      <c r="L10" s="2728"/>
      <c r="M10" s="2728"/>
      <c r="N10" s="2728"/>
      <c r="O10" s="2728"/>
      <c r="P10" s="2728"/>
      <c r="Q10" s="2728"/>
      <c r="R10" s="2728"/>
      <c r="S10" s="2729"/>
      <c r="T10" s="2729"/>
      <c r="U10" s="2729"/>
      <c r="V10" s="2729"/>
    </row>
    <row r="11">
      <c r="A11" s="2747"/>
      <c r="B11" s="2722"/>
      <c r="C11" s="2731"/>
      <c r="G11" s="2732"/>
      <c r="H11" s="2739"/>
      <c r="I11" s="2739"/>
      <c r="J11" s="2729"/>
      <c r="K11" s="2729"/>
      <c r="L11" s="2728"/>
      <c r="M11" s="2728"/>
      <c r="N11" s="2728"/>
      <c r="O11" s="2728"/>
      <c r="P11" s="2728"/>
      <c r="Q11" s="2728"/>
      <c r="R11" s="2728"/>
      <c r="S11" s="2729"/>
      <c r="T11" s="2729"/>
      <c r="U11" s="2729"/>
      <c r="V11" s="2729"/>
    </row>
    <row r="12">
      <c r="A12" s="2739"/>
      <c r="B12" s="2722"/>
      <c r="C12" s="2733"/>
      <c r="D12" s="2734"/>
      <c r="E12" s="2734"/>
      <c r="F12" s="2734"/>
      <c r="G12" s="2735"/>
      <c r="H12" s="2748"/>
      <c r="I12" s="2748"/>
      <c r="J12" s="2722"/>
      <c r="K12" s="2722"/>
      <c r="L12" s="2728"/>
      <c r="M12" s="2728"/>
      <c r="N12" s="2728"/>
      <c r="O12" s="2728"/>
      <c r="P12" s="2728"/>
      <c r="Q12" s="2728"/>
      <c r="R12" s="2728"/>
      <c r="S12" s="2729"/>
      <c r="T12" s="2729"/>
      <c r="U12" s="2729"/>
      <c r="V12" s="2729"/>
    </row>
    <row r="13">
      <c r="A13" s="88"/>
      <c r="B13" s="89"/>
      <c r="C13" s="89"/>
      <c r="D13" s="90"/>
      <c r="E13" s="90"/>
      <c r="F13" s="90"/>
      <c r="G13" s="91"/>
      <c r="H13" s="91"/>
      <c r="I13" s="92"/>
      <c r="J13" s="88"/>
      <c r="K13" s="90"/>
      <c r="L13" s="91"/>
      <c r="M13" s="91"/>
      <c r="N13" s="91"/>
      <c r="O13" s="91"/>
      <c r="P13" s="91"/>
      <c r="Q13" s="91"/>
      <c r="R13" s="91"/>
      <c r="S13" s="88"/>
      <c r="T13" s="88"/>
      <c r="U13" s="88"/>
      <c r="V13" s="88"/>
    </row>
    <row r="14">
      <c r="A14" s="94"/>
      <c r="B14" s="95"/>
      <c r="C14" s="95"/>
      <c r="D14" s="96"/>
      <c r="E14" s="96"/>
      <c r="F14" s="96"/>
      <c r="G14" s="360"/>
      <c r="H14" s="98"/>
      <c r="I14" s="99"/>
      <c r="J14" s="100"/>
      <c r="K14" s="101"/>
      <c r="L14" s="98"/>
      <c r="M14" s="98"/>
      <c r="N14" s="98"/>
      <c r="O14" s="98"/>
      <c r="P14" s="98"/>
      <c r="Q14" s="98"/>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103 [27th]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1.936 [38th]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0.825 [79th]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40F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0.154 [26th]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26 [81st]</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1.76 [37th]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 [60th]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1.12 [30th]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30F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0.035 [85th]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29.5 [65th]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 [43rd]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2.24 [66th]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 [15th]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01"/>
      <c r="B24" s="101"/>
      <c r="C24" s="101"/>
      <c r="D24" s="2749" t="s">
        <v>4282</v>
      </c>
      <c r="E24" s="110"/>
      <c r="F24" s="110"/>
      <c r="G24" s="109"/>
      <c r="H24" s="98"/>
      <c r="I24" s="114"/>
      <c r="J24" s="101"/>
      <c r="K24" s="118"/>
      <c r="L24" s="114"/>
      <c r="M24" s="100"/>
      <c r="N24" s="117"/>
      <c r="O24" s="99"/>
      <c r="P24" s="99"/>
      <c r="Q24" s="99"/>
      <c r="R24" s="99"/>
      <c r="S24" s="100"/>
      <c r="T24" s="100"/>
      <c r="U24" s="100"/>
      <c r="V24" s="100"/>
    </row>
    <row r="25">
      <c r="A25" s="101"/>
      <c r="B25" s="101"/>
      <c r="C25" s="101"/>
      <c r="D25" s="2750" t="s">
        <v>4283</v>
      </c>
      <c r="E25" s="2751" t="s">
        <v>4284</v>
      </c>
      <c r="F25" s="2751" t="s">
        <v>4285</v>
      </c>
      <c r="G25" s="2752" t="s">
        <v>4286</v>
      </c>
      <c r="H25" s="98"/>
      <c r="I25" s="114"/>
      <c r="J25" s="101"/>
      <c r="K25" s="118"/>
      <c r="L25" s="114"/>
      <c r="M25" s="100"/>
      <c r="N25" s="117"/>
      <c r="O25" s="99"/>
      <c r="P25" s="99"/>
      <c r="Q25" s="99"/>
      <c r="R25" s="99"/>
      <c r="S25" s="100"/>
      <c r="T25" s="100"/>
      <c r="U25" s="100"/>
      <c r="V25" s="100"/>
    </row>
    <row r="26">
      <c r="A26" s="101"/>
      <c r="B26" s="101"/>
      <c r="C26" s="101"/>
      <c r="D26" s="2753" t="s">
        <v>4287</v>
      </c>
      <c r="E26" s="2754" t="b">
        <v>0</v>
      </c>
      <c r="F26" s="2754" t="b">
        <v>0</v>
      </c>
      <c r="G26" s="2755" t="b">
        <v>1</v>
      </c>
      <c r="H26" s="98"/>
      <c r="I26" s="114"/>
      <c r="J26" s="101"/>
      <c r="K26" s="118"/>
      <c r="L26" s="114"/>
      <c r="M26" s="100"/>
      <c r="N26" s="117"/>
      <c r="O26" s="99"/>
      <c r="P26" s="99"/>
      <c r="Q26" s="99"/>
      <c r="R26" s="99"/>
      <c r="S26" s="100"/>
      <c r="T26" s="100"/>
      <c r="U26" s="100"/>
      <c r="V26" s="100"/>
    </row>
    <row r="27">
      <c r="A27" s="101"/>
      <c r="B27" s="101"/>
      <c r="C27" s="101"/>
      <c r="D27" s="2753" t="s">
        <v>4288</v>
      </c>
      <c r="E27" s="2754" t="b">
        <v>0</v>
      </c>
      <c r="F27" s="2754" t="b">
        <v>0</v>
      </c>
      <c r="G27" s="2756" t="b">
        <v>0</v>
      </c>
      <c r="H27" s="98"/>
      <c r="I27" s="114"/>
      <c r="J27" s="101"/>
      <c r="K27" s="118"/>
      <c r="L27" s="114"/>
      <c r="M27" s="100"/>
      <c r="N27" s="117"/>
      <c r="O27" s="99"/>
      <c r="P27" s="99"/>
      <c r="Q27" s="99"/>
      <c r="R27" s="99"/>
      <c r="S27" s="100"/>
      <c r="T27" s="100"/>
      <c r="U27" s="100"/>
      <c r="V27" s="100"/>
    </row>
    <row r="28">
      <c r="A28" s="101"/>
      <c r="B28" s="101"/>
      <c r="C28" s="101"/>
      <c r="D28" s="2753" t="s">
        <v>4289</v>
      </c>
      <c r="E28" s="2754" t="b">
        <v>0</v>
      </c>
      <c r="F28" s="2754" t="b">
        <v>1</v>
      </c>
      <c r="G28" s="2755" t="b">
        <v>1</v>
      </c>
      <c r="H28" s="98"/>
      <c r="I28" s="114"/>
      <c r="J28" s="101"/>
      <c r="K28" s="118"/>
      <c r="L28" s="114"/>
      <c r="M28" s="100"/>
      <c r="N28" s="117"/>
      <c r="O28" s="99"/>
      <c r="P28" s="99"/>
      <c r="Q28" s="99"/>
      <c r="R28" s="99"/>
      <c r="S28" s="100"/>
      <c r="T28" s="100"/>
      <c r="U28" s="100"/>
      <c r="V28" s="100"/>
    </row>
    <row r="29">
      <c r="A29" s="101"/>
      <c r="B29" s="101"/>
      <c r="C29" s="101"/>
      <c r="D29" s="2753" t="s">
        <v>4290</v>
      </c>
      <c r="E29" s="2754" t="b">
        <v>0</v>
      </c>
      <c r="F29" s="2754" t="b">
        <v>1</v>
      </c>
      <c r="G29" s="2755" t="b">
        <v>1</v>
      </c>
      <c r="H29" s="98"/>
      <c r="I29" s="114"/>
      <c r="J29" s="101"/>
      <c r="K29" s="118"/>
      <c r="L29" s="114"/>
      <c r="M29" s="100"/>
      <c r="N29" s="117"/>
      <c r="O29" s="99"/>
      <c r="P29" s="99"/>
      <c r="Q29" s="99"/>
      <c r="R29" s="99"/>
      <c r="S29" s="100"/>
      <c r="T29" s="100"/>
      <c r="U29" s="100"/>
      <c r="V29" s="100"/>
    </row>
    <row r="30">
      <c r="A30" s="101"/>
      <c r="B30" s="101"/>
      <c r="C30" s="101"/>
      <c r="D30" s="101"/>
      <c r="E30" s="101"/>
      <c r="F30" s="101"/>
      <c r="G30" s="98"/>
      <c r="H30" s="98"/>
      <c r="I30" s="114"/>
      <c r="J30" s="101"/>
      <c r="K30" s="118"/>
      <c r="L30" s="114"/>
      <c r="M30" s="100"/>
      <c r="N30" s="117"/>
      <c r="O30" s="99"/>
      <c r="P30" s="99"/>
      <c r="Q30" s="99"/>
      <c r="R30" s="99"/>
      <c r="S30" s="100"/>
      <c r="T30" s="100"/>
      <c r="U30" s="100"/>
      <c r="V30" s="100"/>
    </row>
    <row r="31">
      <c r="A31" s="119" t="s">
        <v>47</v>
      </c>
      <c r="B31" s="104"/>
      <c r="C31" s="120"/>
      <c r="D31" s="121"/>
      <c r="E31" s="121"/>
      <c r="F31" s="122"/>
      <c r="G31" s="123"/>
      <c r="H31" s="121"/>
      <c r="I31" s="121"/>
      <c r="J31" s="121"/>
      <c r="K31" s="121"/>
      <c r="L31" s="124"/>
      <c r="M31" s="124"/>
      <c r="N31" s="125"/>
      <c r="O31" s="125"/>
      <c r="P31" s="125"/>
      <c r="Q31" s="126"/>
      <c r="R31" s="124"/>
      <c r="S31" s="124"/>
      <c r="T31" s="124"/>
      <c r="U31" s="124"/>
      <c r="V31" s="124"/>
    </row>
    <row r="32" outlineLevel="1">
      <c r="A32" s="106"/>
      <c r="B32" s="107"/>
      <c r="C32" s="127" t="s">
        <v>48</v>
      </c>
      <c r="D32" s="128" t="s">
        <v>49</v>
      </c>
      <c r="E32" s="128" t="s">
        <v>50</v>
      </c>
      <c r="F32" s="129" t="s">
        <v>51</v>
      </c>
      <c r="G32" s="128" t="s">
        <v>52</v>
      </c>
      <c r="H32" s="361" t="s">
        <v>53</v>
      </c>
      <c r="I32" s="110"/>
      <c r="J32" s="109"/>
      <c r="K32" s="131" t="s">
        <v>137</v>
      </c>
      <c r="L32" s="131" t="s">
        <v>138</v>
      </c>
      <c r="M32" s="131" t="s">
        <v>139</v>
      </c>
      <c r="N32" s="131" t="s">
        <v>140</v>
      </c>
      <c r="O32" s="132" t="s">
        <v>141</v>
      </c>
      <c r="P32" s="131" t="s">
        <v>142</v>
      </c>
      <c r="Q32" s="132" t="s">
        <v>143</v>
      </c>
      <c r="R32" s="100"/>
      <c r="S32" s="100"/>
      <c r="T32" s="100"/>
      <c r="U32" s="127" t="s">
        <v>54</v>
      </c>
      <c r="V32" s="100"/>
    </row>
    <row r="33" outlineLevel="1">
      <c r="A33" s="133" t="str">
        <f>'テンプレート'!A26</f>
        <v>弱攻撃</v>
      </c>
      <c r="B33" s="147" t="s">
        <v>4443</v>
      </c>
      <c r="C33" s="467" t="s">
        <v>272</v>
      </c>
      <c r="D33" s="455" t="s">
        <v>964</v>
      </c>
      <c r="E33" s="216" t="s">
        <v>86</v>
      </c>
      <c r="F33" s="138">
        <v>7.199999999999999</v>
      </c>
      <c r="G33" s="216" t="s">
        <v>102</v>
      </c>
      <c r="H33" s="163" t="s">
        <v>4293</v>
      </c>
      <c r="I33" s="164"/>
      <c r="J33" s="104"/>
      <c r="K33" s="138"/>
      <c r="L33" s="282"/>
      <c r="M33" s="363"/>
      <c r="N33" s="363"/>
      <c r="O33" s="145">
        <v>0.0</v>
      </c>
      <c r="P33" s="145">
        <v>1.8</v>
      </c>
      <c r="Q33" s="145">
        <v>1.0</v>
      </c>
      <c r="R33" s="100"/>
      <c r="S33" s="100"/>
      <c r="T33" s="100"/>
      <c r="U33" s="166" t="s">
        <v>69</v>
      </c>
      <c r="V33" s="100"/>
    </row>
    <row r="34" outlineLevel="1">
      <c r="A34" s="146"/>
      <c r="B34" s="147" t="s">
        <v>4444</v>
      </c>
      <c r="C34" s="450" t="s">
        <v>454</v>
      </c>
      <c r="D34" s="107"/>
      <c r="E34" s="450" t="s">
        <v>128</v>
      </c>
      <c r="F34" s="138">
        <v>12.0</v>
      </c>
      <c r="G34" s="216" t="s">
        <v>121</v>
      </c>
      <c r="H34" s="106"/>
      <c r="I34" s="168"/>
      <c r="J34" s="107"/>
      <c r="K34" s="282"/>
      <c r="L34" s="282"/>
      <c r="M34" s="363"/>
      <c r="N34" s="363"/>
      <c r="O34" s="145"/>
      <c r="P34" s="145"/>
      <c r="Q34" s="145"/>
      <c r="R34" s="100"/>
      <c r="S34" s="100"/>
      <c r="T34" s="100"/>
      <c r="U34" s="146"/>
      <c r="V34" s="100"/>
    </row>
    <row r="35" outlineLevel="1">
      <c r="A35" s="146"/>
      <c r="B35" s="2717" t="s">
        <v>4294</v>
      </c>
      <c r="C35" s="467" t="s">
        <v>93</v>
      </c>
      <c r="D35" s="455" t="s">
        <v>79</v>
      </c>
      <c r="E35" s="467" t="s">
        <v>4295</v>
      </c>
      <c r="F35" s="138" t="s">
        <v>4296</v>
      </c>
      <c r="G35" s="216" t="s">
        <v>4297</v>
      </c>
      <c r="H35" s="283" t="s">
        <v>4298</v>
      </c>
      <c r="I35" s="164"/>
      <c r="J35" s="104"/>
      <c r="K35" s="282"/>
      <c r="L35" s="282"/>
      <c r="M35" s="363"/>
      <c r="N35" s="363"/>
      <c r="O35" s="145"/>
      <c r="P35" s="145"/>
      <c r="Q35" s="145"/>
      <c r="R35" s="100"/>
      <c r="S35" s="100"/>
      <c r="T35" s="100"/>
      <c r="U35" s="146"/>
      <c r="V35" s="100"/>
    </row>
    <row r="36" outlineLevel="1">
      <c r="A36" s="146"/>
      <c r="B36" s="156"/>
      <c r="C36" s="467" t="s">
        <v>563</v>
      </c>
      <c r="D36" s="107"/>
      <c r="E36" s="467" t="s">
        <v>129</v>
      </c>
      <c r="F36" s="138">
        <v>14.399999999999999</v>
      </c>
      <c r="G36" s="216" t="s">
        <v>88</v>
      </c>
      <c r="H36" s="106"/>
      <c r="I36" s="168"/>
      <c r="J36" s="107"/>
      <c r="K36" s="282"/>
      <c r="L36" s="282"/>
      <c r="M36" s="363"/>
      <c r="N36" s="363"/>
      <c r="O36" s="145"/>
      <c r="P36" s="145"/>
      <c r="Q36" s="145"/>
      <c r="R36" s="100"/>
      <c r="S36" s="100"/>
      <c r="T36" s="100"/>
      <c r="U36" s="156"/>
      <c r="V36" s="100"/>
    </row>
    <row r="37" outlineLevel="1">
      <c r="A37" s="146"/>
      <c r="B37" s="134" t="s">
        <v>4287</v>
      </c>
      <c r="C37" s="701" t="s">
        <v>64</v>
      </c>
      <c r="D37" s="701" t="s">
        <v>2444</v>
      </c>
      <c r="E37" s="139" t="s">
        <v>1024</v>
      </c>
      <c r="F37" s="138">
        <v>1.7999999999999998</v>
      </c>
      <c r="G37" s="216" t="s">
        <v>60</v>
      </c>
      <c r="H37" s="903" t="s">
        <v>4300</v>
      </c>
      <c r="I37" s="110"/>
      <c r="J37" s="109"/>
      <c r="K37" s="282"/>
      <c r="L37" s="282"/>
      <c r="M37" s="363"/>
      <c r="N37" s="363"/>
      <c r="O37" s="145">
        <v>0.0</v>
      </c>
      <c r="P37" s="145">
        <v>1.8</v>
      </c>
      <c r="Q37" s="145">
        <v>1.0</v>
      </c>
      <c r="R37" s="100"/>
      <c r="S37" s="100"/>
      <c r="T37" s="100"/>
      <c r="U37" s="145" t="s">
        <v>76</v>
      </c>
      <c r="V37" s="100"/>
    </row>
    <row r="38" outlineLevel="1">
      <c r="A38" s="146"/>
      <c r="B38" s="147" t="s">
        <v>63</v>
      </c>
      <c r="C38" s="467" t="s">
        <v>71</v>
      </c>
      <c r="D38" s="467" t="s">
        <v>105</v>
      </c>
      <c r="E38" s="216" t="s">
        <v>1024</v>
      </c>
      <c r="F38" s="138">
        <v>1.7999999999999998</v>
      </c>
      <c r="G38" s="216" t="s">
        <v>60</v>
      </c>
      <c r="H38" s="903" t="s">
        <v>4302</v>
      </c>
      <c r="I38" s="110"/>
      <c r="J38" s="109"/>
      <c r="K38" s="282"/>
      <c r="L38" s="282"/>
      <c r="M38" s="363"/>
      <c r="N38" s="363"/>
      <c r="O38" s="145">
        <v>0.0</v>
      </c>
      <c r="P38" s="145">
        <v>1.8</v>
      </c>
      <c r="Q38" s="145">
        <v>1.0</v>
      </c>
      <c r="R38" s="100"/>
      <c r="S38" s="100"/>
      <c r="T38" s="100"/>
      <c r="U38" s="145" t="s">
        <v>76</v>
      </c>
      <c r="V38" s="100"/>
    </row>
    <row r="39" outlineLevel="1">
      <c r="A39" s="156"/>
      <c r="B39" s="147" t="s">
        <v>70</v>
      </c>
      <c r="C39" s="467" t="s">
        <v>161</v>
      </c>
      <c r="D39" s="467" t="s">
        <v>193</v>
      </c>
      <c r="E39" s="216" t="s">
        <v>150</v>
      </c>
      <c r="F39" s="138">
        <v>6.0</v>
      </c>
      <c r="G39" s="216" t="s">
        <v>102</v>
      </c>
      <c r="H39" s="159"/>
      <c r="I39" s="110"/>
      <c r="J39" s="109"/>
      <c r="K39" s="282"/>
      <c r="L39" s="282"/>
      <c r="M39" s="363"/>
      <c r="N39" s="363"/>
      <c r="O39" s="145">
        <v>0.0</v>
      </c>
      <c r="P39" s="145">
        <v>1.8</v>
      </c>
      <c r="Q39" s="145">
        <v>1.0</v>
      </c>
      <c r="R39" s="100"/>
      <c r="S39" s="100"/>
      <c r="T39" s="100"/>
      <c r="U39" s="145" t="s">
        <v>76</v>
      </c>
      <c r="V39" s="100"/>
    </row>
    <row r="40" outlineLevel="1">
      <c r="A40" s="133" t="s">
        <v>77</v>
      </c>
      <c r="B40" s="160"/>
      <c r="C40" s="467" t="s">
        <v>4445</v>
      </c>
      <c r="D40" s="279" t="s">
        <v>628</v>
      </c>
      <c r="E40" s="113" t="s">
        <v>129</v>
      </c>
      <c r="F40" s="138">
        <v>14.399999999999999</v>
      </c>
      <c r="G40" s="216" t="s">
        <v>88</v>
      </c>
      <c r="H40" s="456"/>
      <c r="I40" s="164"/>
      <c r="J40" s="104"/>
      <c r="K40" s="138"/>
      <c r="L40" s="282"/>
      <c r="M40" s="363"/>
      <c r="N40" s="363"/>
      <c r="O40" s="145">
        <v>2.0</v>
      </c>
      <c r="P40" s="145">
        <v>1.8</v>
      </c>
      <c r="Q40" s="145">
        <v>1.0</v>
      </c>
      <c r="R40" s="100"/>
      <c r="S40" s="100"/>
      <c r="T40" s="100"/>
      <c r="U40" s="166" t="s">
        <v>69</v>
      </c>
      <c r="V40" s="100"/>
    </row>
    <row r="41" outlineLevel="1">
      <c r="A41" s="156"/>
      <c r="B41" s="147" t="s">
        <v>84</v>
      </c>
      <c r="C41" s="467" t="s">
        <v>1208</v>
      </c>
      <c r="D41" s="156"/>
      <c r="E41" s="113" t="s">
        <v>80</v>
      </c>
      <c r="F41" s="138">
        <v>9.6</v>
      </c>
      <c r="G41" s="216" t="s">
        <v>123</v>
      </c>
      <c r="H41" s="106"/>
      <c r="I41" s="168"/>
      <c r="J41" s="107"/>
      <c r="K41" s="282"/>
      <c r="L41" s="282"/>
      <c r="M41" s="363"/>
      <c r="N41" s="363"/>
      <c r="O41" s="145">
        <v>2.0</v>
      </c>
      <c r="P41" s="145">
        <v>1.8</v>
      </c>
      <c r="Q41" s="145">
        <v>1.0</v>
      </c>
      <c r="R41" s="100"/>
      <c r="S41" s="100"/>
      <c r="T41" s="100"/>
      <c r="U41" s="156"/>
      <c r="V41" s="100"/>
    </row>
    <row r="42" outlineLevel="1">
      <c r="A42" s="133" t="s">
        <v>89</v>
      </c>
      <c r="B42" s="147" t="s">
        <v>4316</v>
      </c>
      <c r="C42" s="467" t="s">
        <v>309</v>
      </c>
      <c r="D42" s="113" t="s">
        <v>218</v>
      </c>
      <c r="E42" s="113" t="s">
        <v>4446</v>
      </c>
      <c r="F42" s="138" t="s">
        <v>4447</v>
      </c>
      <c r="G42" s="216" t="s">
        <v>4448</v>
      </c>
      <c r="H42" s="159" t="s">
        <v>4449</v>
      </c>
      <c r="I42" s="110"/>
      <c r="J42" s="109"/>
      <c r="K42" s="138"/>
      <c r="L42" s="282"/>
      <c r="M42" s="363"/>
      <c r="N42" s="363"/>
      <c r="O42" s="145">
        <v>8.0</v>
      </c>
      <c r="P42" s="145">
        <v>1.8</v>
      </c>
      <c r="Q42" s="145">
        <v>1.0</v>
      </c>
      <c r="R42" s="100"/>
      <c r="S42" s="100"/>
      <c r="T42" s="100"/>
      <c r="U42" s="145" t="s">
        <v>96</v>
      </c>
      <c r="V42" s="100"/>
    </row>
    <row r="43" outlineLevel="1">
      <c r="A43" s="146"/>
      <c r="B43" s="147" t="s">
        <v>4308</v>
      </c>
      <c r="C43" s="467" t="s">
        <v>4450</v>
      </c>
      <c r="D43" s="113" t="s">
        <v>173</v>
      </c>
      <c r="E43" s="113" t="s">
        <v>4310</v>
      </c>
      <c r="F43" s="138">
        <v>8.16</v>
      </c>
      <c r="G43" s="216" t="s">
        <v>95</v>
      </c>
      <c r="H43" s="151" t="s">
        <v>4311</v>
      </c>
      <c r="I43" s="110"/>
      <c r="J43" s="109"/>
      <c r="K43" s="138"/>
      <c r="L43" s="282"/>
      <c r="M43" s="363"/>
      <c r="N43" s="363"/>
      <c r="O43" s="145">
        <v>0.0</v>
      </c>
      <c r="P43" s="145">
        <v>1.8</v>
      </c>
      <c r="Q43" s="145">
        <v>1.0</v>
      </c>
      <c r="R43" s="100"/>
      <c r="S43" s="100"/>
      <c r="T43" s="100"/>
      <c r="U43" s="166" t="s">
        <v>96</v>
      </c>
      <c r="V43" s="100"/>
    </row>
    <row r="44" outlineLevel="1">
      <c r="A44" s="156"/>
      <c r="B44" s="147" t="s">
        <v>4312</v>
      </c>
      <c r="C44" s="467" t="s">
        <v>4313</v>
      </c>
      <c r="D44" s="467" t="s">
        <v>4314</v>
      </c>
      <c r="E44" s="467" t="s">
        <v>86</v>
      </c>
      <c r="F44" s="138">
        <v>7.199999999999999</v>
      </c>
      <c r="G44" s="216" t="s">
        <v>102</v>
      </c>
      <c r="H44" s="903" t="s">
        <v>4451</v>
      </c>
      <c r="I44" s="110"/>
      <c r="J44" s="109"/>
      <c r="K44" s="138"/>
      <c r="L44" s="282"/>
      <c r="M44" s="363"/>
      <c r="N44" s="363"/>
      <c r="O44" s="145"/>
      <c r="P44" s="145"/>
      <c r="Q44" s="145"/>
      <c r="R44" s="100"/>
      <c r="S44" s="100"/>
      <c r="T44" s="100"/>
      <c r="U44" s="145" t="s">
        <v>96</v>
      </c>
      <c r="V44" s="100"/>
    </row>
    <row r="45" ht="19.5" customHeight="1" outlineLevel="1">
      <c r="A45" s="133" t="s">
        <v>97</v>
      </c>
      <c r="B45" s="147" t="s">
        <v>4316</v>
      </c>
      <c r="C45" s="467" t="s">
        <v>93</v>
      </c>
      <c r="D45" s="455" t="s">
        <v>79</v>
      </c>
      <c r="E45" s="467" t="s">
        <v>4295</v>
      </c>
      <c r="F45" s="138" t="s">
        <v>4296</v>
      </c>
      <c r="G45" s="216" t="s">
        <v>4297</v>
      </c>
      <c r="H45" s="163" t="s">
        <v>4452</v>
      </c>
      <c r="I45" s="164"/>
      <c r="J45" s="104"/>
      <c r="K45" s="282"/>
      <c r="L45" s="282"/>
      <c r="M45" s="363"/>
      <c r="N45" s="363"/>
      <c r="O45" s="145">
        <v>0.0</v>
      </c>
      <c r="P45" s="145">
        <v>1.8</v>
      </c>
      <c r="Q45" s="145">
        <v>1.0</v>
      </c>
      <c r="R45" s="100"/>
      <c r="S45" s="100"/>
      <c r="T45" s="100"/>
      <c r="U45" s="166" t="s">
        <v>62</v>
      </c>
      <c r="V45" s="100"/>
    </row>
    <row r="46" ht="19.5" customHeight="1" outlineLevel="1">
      <c r="A46" s="146"/>
      <c r="B46" s="147" t="s">
        <v>4318</v>
      </c>
      <c r="C46" s="467" t="s">
        <v>563</v>
      </c>
      <c r="D46" s="107"/>
      <c r="E46" s="467" t="s">
        <v>129</v>
      </c>
      <c r="F46" s="138">
        <v>14.399999999999999</v>
      </c>
      <c r="G46" s="216" t="s">
        <v>88</v>
      </c>
      <c r="H46" s="106"/>
      <c r="I46" s="168"/>
      <c r="J46" s="107"/>
      <c r="K46" s="145"/>
      <c r="L46" s="363"/>
      <c r="M46" s="363"/>
      <c r="N46" s="363"/>
      <c r="O46" s="145">
        <v>0.0</v>
      </c>
      <c r="P46" s="145">
        <v>1.8</v>
      </c>
      <c r="Q46" s="145">
        <v>1.0</v>
      </c>
      <c r="R46" s="100"/>
      <c r="S46" s="100"/>
      <c r="T46" s="100"/>
      <c r="U46" s="156"/>
      <c r="V46" s="100"/>
    </row>
    <row r="47" outlineLevel="1">
      <c r="A47" s="156"/>
      <c r="B47" s="147" t="s">
        <v>4308</v>
      </c>
      <c r="C47" s="467" t="s">
        <v>4453</v>
      </c>
      <c r="D47" s="467" t="s">
        <v>4321</v>
      </c>
      <c r="E47" s="467" t="s">
        <v>176</v>
      </c>
      <c r="F47" s="138">
        <v>2.4</v>
      </c>
      <c r="G47" s="216" t="s">
        <v>60</v>
      </c>
      <c r="H47" s="151" t="s">
        <v>4322</v>
      </c>
      <c r="I47" s="110"/>
      <c r="J47" s="109"/>
      <c r="K47" s="145"/>
      <c r="L47" s="363"/>
      <c r="M47" s="363"/>
      <c r="N47" s="363"/>
      <c r="O47" s="145">
        <v>0.0</v>
      </c>
      <c r="P47" s="145">
        <v>1.8</v>
      </c>
      <c r="Q47" s="145">
        <v>2.5</v>
      </c>
      <c r="R47" s="100"/>
      <c r="S47" s="100"/>
      <c r="T47" s="100"/>
      <c r="U47" s="145" t="s">
        <v>62</v>
      </c>
      <c r="V47" s="100"/>
    </row>
    <row r="48" outlineLevel="1">
      <c r="A48" s="133" t="s">
        <v>103</v>
      </c>
      <c r="B48" s="147" t="s">
        <v>4316</v>
      </c>
      <c r="C48" s="467" t="s">
        <v>217</v>
      </c>
      <c r="D48" s="467" t="s">
        <v>105</v>
      </c>
      <c r="E48" s="467" t="s">
        <v>4323</v>
      </c>
      <c r="F48" s="138" t="s">
        <v>4324</v>
      </c>
      <c r="G48" s="216" t="s">
        <v>108</v>
      </c>
      <c r="H48" s="151" t="s">
        <v>4454</v>
      </c>
      <c r="I48" s="110"/>
      <c r="J48" s="109"/>
      <c r="K48" s="145"/>
      <c r="L48" s="363"/>
      <c r="M48" s="363"/>
      <c r="N48" s="363"/>
      <c r="O48" s="145">
        <v>0.0</v>
      </c>
      <c r="P48" s="145">
        <v>1.8</v>
      </c>
      <c r="Q48" s="145">
        <v>1.0</v>
      </c>
      <c r="R48" s="100"/>
      <c r="S48" s="100"/>
      <c r="T48" s="100"/>
      <c r="U48" s="145" t="s">
        <v>62</v>
      </c>
      <c r="V48" s="100"/>
    </row>
    <row r="49" outlineLevel="1">
      <c r="A49" s="156"/>
      <c r="B49" s="147" t="s">
        <v>4308</v>
      </c>
      <c r="C49" s="467" t="s">
        <v>4455</v>
      </c>
      <c r="D49" s="467" t="s">
        <v>4321</v>
      </c>
      <c r="E49" s="467" t="s">
        <v>381</v>
      </c>
      <c r="F49" s="138">
        <v>1.92</v>
      </c>
      <c r="G49" s="216" t="s">
        <v>60</v>
      </c>
      <c r="H49" s="151" t="s">
        <v>4326</v>
      </c>
      <c r="I49" s="110"/>
      <c r="J49" s="109"/>
      <c r="K49" s="363"/>
      <c r="L49" s="363"/>
      <c r="M49" s="363"/>
      <c r="N49" s="363"/>
      <c r="O49" s="145">
        <v>0.0</v>
      </c>
      <c r="P49" s="145">
        <v>2.2</v>
      </c>
      <c r="Q49" s="145">
        <v>1.0</v>
      </c>
      <c r="R49" s="100"/>
      <c r="S49" s="100"/>
      <c r="T49" s="100"/>
      <c r="U49" s="145" t="s">
        <v>62</v>
      </c>
      <c r="V49" s="100"/>
    </row>
    <row r="50" outlineLevel="1">
      <c r="A50" s="170" t="s">
        <v>109</v>
      </c>
      <c r="B50" s="147"/>
      <c r="C50" s="467" t="s">
        <v>721</v>
      </c>
      <c r="D50" s="467" t="s">
        <v>146</v>
      </c>
      <c r="E50" s="467" t="s">
        <v>4456</v>
      </c>
      <c r="F50" s="138" t="s">
        <v>4457</v>
      </c>
      <c r="G50" s="216" t="s">
        <v>4458</v>
      </c>
      <c r="H50" s="151" t="s">
        <v>1214</v>
      </c>
      <c r="I50" s="110"/>
      <c r="J50" s="109"/>
      <c r="K50" s="282"/>
      <c r="L50" s="282"/>
      <c r="M50" s="363"/>
      <c r="N50" s="363"/>
      <c r="O50" s="145">
        <v>0.0</v>
      </c>
      <c r="P50" s="145">
        <v>1.8</v>
      </c>
      <c r="Q50" s="145">
        <v>1.0</v>
      </c>
      <c r="R50" s="100"/>
      <c r="S50" s="100"/>
      <c r="T50" s="100"/>
      <c r="U50" s="145" t="s">
        <v>95</v>
      </c>
      <c r="V50" s="100"/>
    </row>
    <row r="51" outlineLevel="1">
      <c r="A51" s="133" t="s">
        <v>116</v>
      </c>
      <c r="B51" s="160"/>
      <c r="C51" s="467" t="s">
        <v>274</v>
      </c>
      <c r="D51" s="455" t="s">
        <v>393</v>
      </c>
      <c r="E51" s="467" t="s">
        <v>394</v>
      </c>
      <c r="F51" s="138">
        <v>20.4</v>
      </c>
      <c r="G51" s="216" t="s">
        <v>88</v>
      </c>
      <c r="H51" s="163" t="s">
        <v>4331</v>
      </c>
      <c r="I51" s="164"/>
      <c r="J51" s="104"/>
      <c r="K51" s="363"/>
      <c r="L51" s="363"/>
      <c r="M51" s="363"/>
      <c r="N51" s="363"/>
      <c r="O51" s="145">
        <v>0.0</v>
      </c>
      <c r="P51" s="145">
        <v>1.8</v>
      </c>
      <c r="Q51" s="145">
        <v>1.0</v>
      </c>
      <c r="R51" s="100"/>
      <c r="S51" s="100"/>
      <c r="T51" s="100"/>
      <c r="U51" s="166" t="s">
        <v>123</v>
      </c>
      <c r="V51" s="100"/>
    </row>
    <row r="52" outlineLevel="1">
      <c r="A52" s="156"/>
      <c r="B52" s="147" t="s">
        <v>84</v>
      </c>
      <c r="C52" s="467" t="s">
        <v>627</v>
      </c>
      <c r="D52" s="107"/>
      <c r="E52" s="467" t="s">
        <v>1217</v>
      </c>
      <c r="F52" s="138">
        <v>16.2</v>
      </c>
      <c r="G52" s="216" t="s">
        <v>275</v>
      </c>
      <c r="H52" s="106"/>
      <c r="I52" s="168"/>
      <c r="J52" s="107"/>
      <c r="K52" s="363"/>
      <c r="L52" s="363"/>
      <c r="M52" s="363"/>
      <c r="N52" s="363"/>
      <c r="O52" s="145">
        <v>0.0</v>
      </c>
      <c r="P52" s="145">
        <v>1.8</v>
      </c>
      <c r="Q52" s="145">
        <v>1.0</v>
      </c>
      <c r="R52" s="100"/>
      <c r="S52" s="100"/>
      <c r="T52" s="100"/>
      <c r="U52" s="156"/>
      <c r="V52" s="100"/>
    </row>
    <row r="53" outlineLevel="1">
      <c r="A53" s="170" t="s">
        <v>124</v>
      </c>
      <c r="B53" s="147"/>
      <c r="C53" s="216" t="s">
        <v>4459</v>
      </c>
      <c r="D53" s="467" t="s">
        <v>384</v>
      </c>
      <c r="E53" s="467" t="s">
        <v>4333</v>
      </c>
      <c r="F53" s="138" t="s">
        <v>4334</v>
      </c>
      <c r="G53" s="216" t="s">
        <v>2076</v>
      </c>
      <c r="H53" s="903" t="s">
        <v>4335</v>
      </c>
      <c r="I53" s="110"/>
      <c r="J53" s="109"/>
      <c r="K53" s="282"/>
      <c r="L53" s="282"/>
      <c r="M53" s="363"/>
      <c r="N53" s="363"/>
      <c r="O53" s="145">
        <v>0.0</v>
      </c>
      <c r="P53" s="145">
        <v>1.8</v>
      </c>
      <c r="Q53" s="145">
        <v>1.0</v>
      </c>
      <c r="R53" s="100"/>
      <c r="S53" s="100"/>
      <c r="T53" s="100"/>
      <c r="U53" s="145" t="s">
        <v>69</v>
      </c>
      <c r="V53" s="100"/>
    </row>
    <row r="54" outlineLevel="1">
      <c r="A54" s="771" t="s">
        <v>4460</v>
      </c>
      <c r="B54" s="109"/>
      <c r="C54" s="127" t="s">
        <v>48</v>
      </c>
      <c r="D54" s="128" t="s">
        <v>49</v>
      </c>
      <c r="E54" s="128" t="s">
        <v>50</v>
      </c>
      <c r="F54" s="129" t="s">
        <v>51</v>
      </c>
      <c r="G54" s="128" t="s">
        <v>52</v>
      </c>
      <c r="H54" s="361" t="s">
        <v>53</v>
      </c>
      <c r="I54" s="110"/>
      <c r="J54" s="109"/>
      <c r="K54" s="131" t="s">
        <v>137</v>
      </c>
      <c r="L54" s="131" t="s">
        <v>138</v>
      </c>
      <c r="M54" s="131" t="s">
        <v>139</v>
      </c>
      <c r="N54" s="131" t="s">
        <v>140</v>
      </c>
      <c r="O54" s="132" t="s">
        <v>141</v>
      </c>
      <c r="P54" s="131" t="s">
        <v>142</v>
      </c>
      <c r="Q54" s="132" t="s">
        <v>143</v>
      </c>
      <c r="R54" s="100"/>
      <c r="S54" s="100"/>
      <c r="T54" s="100"/>
      <c r="U54" s="127" t="s">
        <v>54</v>
      </c>
      <c r="V54" s="100"/>
    </row>
    <row r="55" outlineLevel="1">
      <c r="A55" s="133" t="s">
        <v>4461</v>
      </c>
      <c r="B55" s="134" t="s">
        <v>125</v>
      </c>
      <c r="C55" s="113" t="s">
        <v>129</v>
      </c>
      <c r="D55" s="279" t="s">
        <v>593</v>
      </c>
      <c r="E55" s="113" t="s">
        <v>150</v>
      </c>
      <c r="F55" s="138">
        <v>6.0</v>
      </c>
      <c r="G55" s="216" t="s">
        <v>102</v>
      </c>
      <c r="H55" s="163" t="s">
        <v>4462</v>
      </c>
      <c r="I55" s="164"/>
      <c r="J55" s="104"/>
      <c r="K55" s="363"/>
      <c r="L55" s="363"/>
      <c r="M55" s="363"/>
      <c r="N55" s="363"/>
      <c r="O55" s="145"/>
      <c r="P55" s="145"/>
      <c r="Q55" s="145"/>
      <c r="R55" s="100"/>
      <c r="S55" s="100"/>
      <c r="T55" s="100"/>
      <c r="U55" s="166" t="s">
        <v>69</v>
      </c>
      <c r="V55" s="100"/>
    </row>
    <row r="56" outlineLevel="1">
      <c r="A56" s="146"/>
      <c r="B56" s="134" t="s">
        <v>131</v>
      </c>
      <c r="C56" s="113" t="s">
        <v>561</v>
      </c>
      <c r="D56" s="156"/>
      <c r="E56" s="113" t="s">
        <v>150</v>
      </c>
      <c r="F56" s="138">
        <v>6.0</v>
      </c>
      <c r="G56" s="216" t="s">
        <v>102</v>
      </c>
      <c r="H56" s="212"/>
      <c r="J56" s="210"/>
      <c r="K56" s="282"/>
      <c r="L56" s="282"/>
      <c r="M56" s="363"/>
      <c r="N56" s="363"/>
      <c r="O56" s="145"/>
      <c r="P56" s="145"/>
      <c r="Q56" s="145"/>
      <c r="R56" s="100"/>
      <c r="S56" s="100"/>
      <c r="T56" s="100"/>
      <c r="U56" s="146"/>
      <c r="V56" s="100"/>
    </row>
    <row r="57" outlineLevel="1">
      <c r="A57" s="146"/>
      <c r="B57" s="2757" t="s">
        <v>4463</v>
      </c>
      <c r="C57" s="113" t="s">
        <v>129</v>
      </c>
      <c r="D57" s="279" t="s">
        <v>455</v>
      </c>
      <c r="E57" s="113" t="s">
        <v>150</v>
      </c>
      <c r="F57" s="138">
        <v>6.0</v>
      </c>
      <c r="G57" s="216" t="s">
        <v>102</v>
      </c>
      <c r="H57" s="212"/>
      <c r="J57" s="210"/>
      <c r="K57" s="363"/>
      <c r="L57" s="363"/>
      <c r="M57" s="363"/>
      <c r="N57" s="363"/>
      <c r="O57" s="145"/>
      <c r="P57" s="145"/>
      <c r="Q57" s="145"/>
      <c r="R57" s="100"/>
      <c r="S57" s="100"/>
      <c r="T57" s="100"/>
      <c r="U57" s="146"/>
      <c r="V57" s="100"/>
    </row>
    <row r="58" outlineLevel="1">
      <c r="A58" s="156"/>
      <c r="B58" s="156"/>
      <c r="C58" s="113" t="s">
        <v>2159</v>
      </c>
      <c r="D58" s="156"/>
      <c r="E58" s="365" t="s">
        <v>129</v>
      </c>
      <c r="F58" s="138">
        <v>14.4</v>
      </c>
      <c r="G58" s="450" t="s">
        <v>82</v>
      </c>
      <c r="H58" s="106"/>
      <c r="I58" s="168"/>
      <c r="J58" s="107"/>
      <c r="K58" s="363"/>
      <c r="L58" s="363"/>
      <c r="M58" s="363"/>
      <c r="N58" s="363"/>
      <c r="O58" s="145"/>
      <c r="P58" s="145"/>
      <c r="Q58" s="145"/>
      <c r="R58" s="100"/>
      <c r="S58" s="100"/>
      <c r="T58" s="100"/>
      <c r="U58" s="156"/>
      <c r="V58" s="100"/>
    </row>
    <row r="59" ht="21.0" customHeight="1" outlineLevel="1">
      <c r="A59" s="133" t="s">
        <v>4464</v>
      </c>
      <c r="B59" s="134" t="s">
        <v>4465</v>
      </c>
      <c r="C59" s="113" t="s">
        <v>220</v>
      </c>
      <c r="D59" s="113" t="s">
        <v>964</v>
      </c>
      <c r="E59" s="365" t="s">
        <v>129</v>
      </c>
      <c r="F59" s="138">
        <v>14.4</v>
      </c>
      <c r="G59" s="216" t="s">
        <v>88</v>
      </c>
      <c r="H59" s="163" t="s">
        <v>4466</v>
      </c>
      <c r="I59" s="164"/>
      <c r="J59" s="104"/>
      <c r="K59" s="363"/>
      <c r="L59" s="363"/>
      <c r="M59" s="363"/>
      <c r="N59" s="363"/>
      <c r="O59" s="145"/>
      <c r="P59" s="145"/>
      <c r="Q59" s="145"/>
      <c r="R59" s="100"/>
      <c r="S59" s="100"/>
      <c r="T59" s="100"/>
      <c r="U59" s="166" t="s">
        <v>69</v>
      </c>
      <c r="V59" s="100"/>
    </row>
    <row r="60" ht="21.0" customHeight="1" outlineLevel="1">
      <c r="A60" s="146"/>
      <c r="B60" s="2757" t="s">
        <v>4463</v>
      </c>
      <c r="C60" s="239" t="s">
        <v>220</v>
      </c>
      <c r="D60" s="279" t="s">
        <v>541</v>
      </c>
      <c r="E60" s="365" t="s">
        <v>129</v>
      </c>
      <c r="F60" s="138">
        <v>14.4</v>
      </c>
      <c r="G60" s="216" t="s">
        <v>88</v>
      </c>
      <c r="H60" s="212"/>
      <c r="J60" s="210"/>
      <c r="K60" s="282"/>
      <c r="L60" s="282"/>
      <c r="M60" s="363"/>
      <c r="N60" s="363"/>
      <c r="O60" s="145"/>
      <c r="P60" s="145"/>
      <c r="Q60" s="145"/>
      <c r="R60" s="100"/>
      <c r="S60" s="100"/>
      <c r="T60" s="100"/>
      <c r="U60" s="146"/>
      <c r="V60" s="100"/>
    </row>
    <row r="61" ht="21.0" customHeight="1" outlineLevel="1">
      <c r="A61" s="156"/>
      <c r="B61" s="156"/>
      <c r="C61" s="239" t="s">
        <v>894</v>
      </c>
      <c r="D61" s="156"/>
      <c r="E61" s="365" t="s">
        <v>129</v>
      </c>
      <c r="F61" s="138">
        <v>14.4</v>
      </c>
      <c r="G61" s="450" t="s">
        <v>82</v>
      </c>
      <c r="H61" s="106"/>
      <c r="I61" s="168"/>
      <c r="J61" s="107"/>
      <c r="K61" s="282"/>
      <c r="L61" s="282"/>
      <c r="M61" s="363"/>
      <c r="N61" s="363"/>
      <c r="O61" s="145"/>
      <c r="P61" s="145"/>
      <c r="Q61" s="145"/>
      <c r="R61" s="100"/>
      <c r="S61" s="100"/>
      <c r="T61" s="100"/>
      <c r="U61" s="156"/>
      <c r="V61" s="100"/>
    </row>
    <row r="62">
      <c r="A62" s="118"/>
      <c r="B62" s="176"/>
      <c r="C62" s="118"/>
      <c r="D62" s="118"/>
      <c r="E62" s="118"/>
      <c r="F62" s="177"/>
      <c r="G62" s="177"/>
      <c r="H62" s="118"/>
      <c r="I62" s="118"/>
      <c r="J62" s="118"/>
      <c r="K62" s="118"/>
      <c r="L62" s="118"/>
      <c r="M62" s="118"/>
      <c r="N62" s="118"/>
      <c r="O62" s="118"/>
      <c r="P62" s="118"/>
      <c r="Q62" s="118"/>
      <c r="R62" s="118"/>
      <c r="S62" s="118"/>
      <c r="T62" s="118"/>
      <c r="U62" s="118"/>
      <c r="V62" s="118"/>
    </row>
    <row r="63">
      <c r="A63" s="178" t="str">
        <f>'テンプレート'!A55</f>
        <v>空中攻撃</v>
      </c>
      <c r="B63" s="104"/>
      <c r="C63" s="179"/>
      <c r="D63" s="179"/>
      <c r="E63" s="179"/>
      <c r="F63" s="180"/>
      <c r="G63" s="179"/>
      <c r="H63" s="180"/>
      <c r="I63" s="180"/>
      <c r="J63" s="181"/>
      <c r="K63" s="180"/>
      <c r="L63" s="180"/>
      <c r="M63" s="180"/>
      <c r="N63" s="180"/>
      <c r="O63" s="180"/>
      <c r="P63" s="180"/>
      <c r="Q63" s="180"/>
      <c r="R63" s="180"/>
      <c r="S63" s="180"/>
      <c r="T63" s="180"/>
      <c r="U63" s="180"/>
      <c r="V63" s="180"/>
    </row>
    <row r="64" outlineLevel="1">
      <c r="A64" s="106"/>
      <c r="B64" s="107"/>
      <c r="C64" s="182" t="str">
        <f>'テンプレート'!C56</f>
        <v>判定持続</v>
      </c>
      <c r="D64" s="183" t="str">
        <f>'テンプレート'!D56</f>
        <v>全体フレーム</v>
      </c>
      <c r="E64" s="182" t="str">
        <f>'テンプレート'!E56</f>
        <v>基礎ダメージ</v>
      </c>
      <c r="F64" s="184" t="str">
        <f>'テンプレート'!F56</f>
        <v>ダメージ (1v1)</v>
      </c>
      <c r="G64" s="184" t="str">
        <f>'テンプレート'!G56</f>
        <v>ダメ (1v1+小J)</v>
      </c>
      <c r="H64" s="185" t="str">
        <f>'テンプレート'!H56</f>
        <v>ガード硬直</v>
      </c>
      <c r="I64" s="184" t="str">
        <f>'テンプレート'!I56</f>
        <v>着地隙</v>
      </c>
      <c r="J64" s="184" t="s">
        <v>136</v>
      </c>
      <c r="K64" s="184" t="str">
        <f>'テンプレート'!K56</f>
        <v>ベクトル</v>
      </c>
      <c r="L64" s="184" t="str">
        <f>'テンプレート'!L56</f>
        <v>KBG (R.E.)</v>
      </c>
      <c r="M64" s="184" t="str">
        <f>'テンプレート'!M56</f>
        <v>BKB (R.A.)</v>
      </c>
      <c r="N64" s="184" t="str">
        <f>'テンプレート'!N56</f>
        <v>FKB (R.F.)</v>
      </c>
      <c r="O64" s="186" t="str">
        <f>'テンプレート'!O56</f>
        <v>盾削り値</v>
      </c>
      <c r="P64" s="184" t="str">
        <f>'テンプレート'!P56</f>
        <v>ﾋｯﾄｽﾄｯﾌﾟ</v>
      </c>
      <c r="Q64" s="186" t="str">
        <f>'テンプレート'!Q56</f>
        <v>ずらし</v>
      </c>
      <c r="R64" s="372" t="str">
        <f>'テンプレート'!R56</f>
        <v>備考</v>
      </c>
      <c r="S64" s="110"/>
      <c r="T64" s="110"/>
      <c r="U64" s="110"/>
      <c r="V64" s="110"/>
    </row>
    <row r="65" outlineLevel="1">
      <c r="A65" s="188" t="s">
        <v>144</v>
      </c>
      <c r="B65" s="373"/>
      <c r="C65" s="239" t="s">
        <v>549</v>
      </c>
      <c r="D65" s="452" t="s">
        <v>105</v>
      </c>
      <c r="E65" s="401" t="s">
        <v>4467</v>
      </c>
      <c r="F65" s="193" t="s">
        <v>4468</v>
      </c>
      <c r="G65" s="193" t="s">
        <v>4469</v>
      </c>
      <c r="H65" s="138" t="s">
        <v>3104</v>
      </c>
      <c r="I65" s="454" t="str">
        <f t="array" ref="I65">INDEX('空中攻撃'!$O$3:$AA$109, MATCH($A$1,'空中攻撃'!$A$3:$A$109,0), MATCH(A65,'空中攻撃'!$O$2:$S$2,0))</f>
        <v>5</v>
      </c>
      <c r="J65" s="379" t="s">
        <v>3058</v>
      </c>
      <c r="K65" s="376"/>
      <c r="L65" s="377"/>
      <c r="M65" s="825"/>
      <c r="N65" s="825"/>
      <c r="O65" s="199">
        <v>0.0</v>
      </c>
      <c r="P65" s="199">
        <v>1.8</v>
      </c>
      <c r="Q65" s="199">
        <v>1.0</v>
      </c>
      <c r="R65" s="163" t="s">
        <v>4470</v>
      </c>
      <c r="S65" s="164"/>
      <c r="T65" s="164"/>
      <c r="U65" s="164"/>
      <c r="V65" s="104"/>
    </row>
    <row r="66" outlineLevel="1">
      <c r="A66" s="156"/>
      <c r="B66" s="373" t="s">
        <v>84</v>
      </c>
      <c r="C66" s="239" t="s">
        <v>709</v>
      </c>
      <c r="D66" s="107"/>
      <c r="E66" s="239" t="s">
        <v>4471</v>
      </c>
      <c r="F66" s="138" t="s">
        <v>4472</v>
      </c>
      <c r="G66" s="138" t="s">
        <v>4473</v>
      </c>
      <c r="H66" s="138" t="s">
        <v>923</v>
      </c>
      <c r="I66" s="156"/>
      <c r="J66" s="107"/>
      <c r="K66" s="376"/>
      <c r="L66" s="377"/>
      <c r="M66" s="825"/>
      <c r="N66" s="825"/>
      <c r="O66" s="199">
        <v>0.0</v>
      </c>
      <c r="P66" s="199">
        <v>1.8</v>
      </c>
      <c r="Q66" s="199">
        <v>1.0</v>
      </c>
      <c r="R66" s="106"/>
      <c r="S66" s="168"/>
      <c r="T66" s="168"/>
      <c r="U66" s="168"/>
      <c r="V66" s="107"/>
    </row>
    <row r="67" outlineLevel="1">
      <c r="A67" s="188" t="s">
        <v>151</v>
      </c>
      <c r="B67" s="373"/>
      <c r="C67" s="239" t="s">
        <v>518</v>
      </c>
      <c r="D67" s="455" t="s">
        <v>224</v>
      </c>
      <c r="E67" s="239" t="s">
        <v>4339</v>
      </c>
      <c r="F67" s="138" t="s">
        <v>4340</v>
      </c>
      <c r="G67" s="138" t="s">
        <v>4341</v>
      </c>
      <c r="H67" s="138" t="s">
        <v>980</v>
      </c>
      <c r="I67" s="454" t="str">
        <f t="array" ref="I67">INDEX('空中攻撃'!$O$3:$AA$109, MATCH($A$1,'空中攻撃'!$A$3:$A$109,0), MATCH(A67,'空中攻撃'!$O$2:$S$2,0))</f>
        <v>11</v>
      </c>
      <c r="J67" s="379" t="s">
        <v>643</v>
      </c>
      <c r="K67" s="376"/>
      <c r="L67" s="377"/>
      <c r="M67" s="825"/>
      <c r="N67" s="825"/>
      <c r="O67" s="199">
        <v>15.0</v>
      </c>
      <c r="P67" s="199">
        <v>1.8</v>
      </c>
      <c r="Q67" s="199">
        <v>1.0</v>
      </c>
      <c r="R67" s="163" t="s">
        <v>4342</v>
      </c>
      <c r="S67" s="164"/>
      <c r="T67" s="164"/>
      <c r="U67" s="164"/>
      <c r="V67" s="104"/>
    </row>
    <row r="68" outlineLevel="1">
      <c r="A68" s="156"/>
      <c r="B68" s="373" t="s">
        <v>84</v>
      </c>
      <c r="C68" s="239" t="s">
        <v>1290</v>
      </c>
      <c r="D68" s="107"/>
      <c r="E68" s="239" t="s">
        <v>1551</v>
      </c>
      <c r="F68" s="138" t="s">
        <v>1552</v>
      </c>
      <c r="G68" s="138" t="s">
        <v>2280</v>
      </c>
      <c r="H68" s="138" t="s">
        <v>980</v>
      </c>
      <c r="I68" s="156"/>
      <c r="J68" s="107"/>
      <c r="K68" s="376"/>
      <c r="L68" s="377"/>
      <c r="M68" s="825"/>
      <c r="N68" s="825"/>
      <c r="O68" s="199">
        <v>15.0</v>
      </c>
      <c r="P68" s="199">
        <v>1.8</v>
      </c>
      <c r="Q68" s="199">
        <v>1.0</v>
      </c>
      <c r="R68" s="106"/>
      <c r="S68" s="168"/>
      <c r="T68" s="168"/>
      <c r="U68" s="168"/>
      <c r="V68" s="107"/>
    </row>
    <row r="69" outlineLevel="1">
      <c r="A69" s="213" t="s">
        <v>157</v>
      </c>
      <c r="B69" s="373"/>
      <c r="C69" s="239" t="s">
        <v>518</v>
      </c>
      <c r="D69" s="774">
        <v>41.0</v>
      </c>
      <c r="E69" s="239" t="s">
        <v>326</v>
      </c>
      <c r="F69" s="138" t="s">
        <v>327</v>
      </c>
      <c r="G69" s="138" t="s">
        <v>328</v>
      </c>
      <c r="H69" s="138" t="s">
        <v>329</v>
      </c>
      <c r="I69" s="621">
        <f t="array" ref="I69">INDEX('空中攻撃'!$O$3:$AA$109, MATCH($A$1,'空中攻撃'!$A$3:$A$109,0), MATCH(A69,'空中攻撃'!$O$2:$S$2,0))</f>
        <v>10</v>
      </c>
      <c r="J69" s="467" t="s">
        <v>3063</v>
      </c>
      <c r="K69" s="376"/>
      <c r="L69" s="377"/>
      <c r="M69" s="825"/>
      <c r="N69" s="825"/>
      <c r="O69" s="199">
        <v>0.0</v>
      </c>
      <c r="P69" s="199">
        <v>1.8</v>
      </c>
      <c r="Q69" s="199">
        <v>1.0</v>
      </c>
      <c r="R69" s="151" t="s">
        <v>4344</v>
      </c>
      <c r="S69" s="110"/>
      <c r="T69" s="110"/>
      <c r="U69" s="110"/>
      <c r="V69" s="109"/>
    </row>
    <row r="70" outlineLevel="1">
      <c r="A70" s="213" t="s">
        <v>162</v>
      </c>
      <c r="B70" s="373"/>
      <c r="C70" s="239" t="s">
        <v>1615</v>
      </c>
      <c r="D70" s="774" t="s">
        <v>193</v>
      </c>
      <c r="E70" s="239" t="s">
        <v>2134</v>
      </c>
      <c r="F70" s="138">
        <v>7.8</v>
      </c>
      <c r="G70" s="138">
        <v>6.63</v>
      </c>
      <c r="H70" s="138" t="s">
        <v>60</v>
      </c>
      <c r="I70" s="621" t="str">
        <f t="array" ref="I70">INDEX('空中攻撃'!$O$3:$AA$109, MATCH($A$1,'空中攻撃'!$A$3:$A$109,0), MATCH(A70,'空中攻撃'!$O$2:$S$2,0))</f>
        <v>11</v>
      </c>
      <c r="J70" s="467" t="s">
        <v>982</v>
      </c>
      <c r="K70" s="377"/>
      <c r="L70" s="377"/>
      <c r="M70" s="825"/>
      <c r="N70" s="825"/>
      <c r="O70" s="199">
        <v>0.0</v>
      </c>
      <c r="P70" s="199">
        <v>1.8</v>
      </c>
      <c r="Q70" s="199">
        <v>1.0</v>
      </c>
      <c r="R70" s="151" t="s">
        <v>4474</v>
      </c>
      <c r="S70" s="110"/>
      <c r="T70" s="110"/>
      <c r="U70" s="110"/>
      <c r="V70" s="109"/>
    </row>
    <row r="71" ht="25.5" customHeight="1" outlineLevel="1">
      <c r="A71" s="188" t="s">
        <v>166</v>
      </c>
      <c r="B71" s="373" t="s">
        <v>350</v>
      </c>
      <c r="C71" s="239" t="s">
        <v>410</v>
      </c>
      <c r="D71" s="452">
        <v>45.0</v>
      </c>
      <c r="E71" s="239" t="s">
        <v>129</v>
      </c>
      <c r="F71" s="138">
        <v>14.399999999999999</v>
      </c>
      <c r="G71" s="138">
        <v>12.24</v>
      </c>
      <c r="H71" s="138" t="s">
        <v>75</v>
      </c>
      <c r="I71" s="454">
        <f t="array" ref="I71">INDEX('空中攻撃'!$O$3:$AA$109, MATCH($A$1,'空中攻撃'!$A$3:$A$109,0), MATCH(A71,'空中攻撃'!$O$2:$S$2,0))</f>
        <v>15</v>
      </c>
      <c r="J71" s="455" t="s">
        <v>981</v>
      </c>
      <c r="K71" s="377"/>
      <c r="L71" s="377"/>
      <c r="M71" s="825"/>
      <c r="N71" s="825"/>
      <c r="O71" s="199">
        <v>0.0</v>
      </c>
      <c r="P71" s="199">
        <v>1.8</v>
      </c>
      <c r="Q71" s="199">
        <v>1.0</v>
      </c>
      <c r="R71" s="386" t="s">
        <v>4347</v>
      </c>
      <c r="S71" s="164"/>
      <c r="T71" s="164"/>
      <c r="U71" s="164"/>
      <c r="V71" s="104"/>
    </row>
    <row r="72" ht="25.5" customHeight="1" outlineLevel="1">
      <c r="A72" s="156"/>
      <c r="B72" s="373" t="s">
        <v>356</v>
      </c>
      <c r="C72" s="239" t="s">
        <v>410</v>
      </c>
      <c r="D72" s="107"/>
      <c r="E72" s="239" t="s">
        <v>4348</v>
      </c>
      <c r="F72" s="138" t="s">
        <v>4349</v>
      </c>
      <c r="G72" s="138" t="s">
        <v>4350</v>
      </c>
      <c r="H72" s="138" t="s">
        <v>980</v>
      </c>
      <c r="I72" s="156"/>
      <c r="J72" s="107"/>
      <c r="K72" s="377"/>
      <c r="L72" s="377"/>
      <c r="M72" s="825"/>
      <c r="N72" s="825"/>
      <c r="O72" s="199">
        <v>0.0</v>
      </c>
      <c r="P72" s="199">
        <v>1.8</v>
      </c>
      <c r="Q72" s="199">
        <v>1.0</v>
      </c>
      <c r="R72" s="106"/>
      <c r="S72" s="168"/>
      <c r="T72" s="168"/>
      <c r="U72" s="168"/>
      <c r="V72" s="107"/>
    </row>
    <row r="73">
      <c r="A73" s="223"/>
      <c r="B73" s="224"/>
      <c r="C73" s="225"/>
      <c r="D73" s="225"/>
      <c r="E73" s="226"/>
      <c r="F73" s="226"/>
      <c r="G73" s="226"/>
      <c r="H73" s="227"/>
      <c r="I73" s="227"/>
      <c r="J73" s="228"/>
      <c r="K73" s="228"/>
      <c r="L73" s="228"/>
      <c r="M73" s="228"/>
      <c r="N73" s="228"/>
      <c r="O73" s="228"/>
      <c r="P73" s="228"/>
      <c r="Q73" s="118"/>
      <c r="R73" s="118"/>
      <c r="S73" s="118"/>
      <c r="T73" s="118"/>
      <c r="U73" s="118"/>
      <c r="V73" s="118"/>
    </row>
    <row r="74">
      <c r="A74" s="229" t="str">
        <f>'テンプレート'!A71</f>
        <v>必殺ワザ</v>
      </c>
      <c r="B74" s="109"/>
      <c r="C74" s="225"/>
      <c r="D74" s="225"/>
      <c r="E74" s="226"/>
      <c r="F74" s="226"/>
      <c r="G74" s="226"/>
      <c r="H74" s="227"/>
      <c r="I74" s="227"/>
      <c r="J74" s="228"/>
      <c r="K74" s="228"/>
      <c r="L74" s="228"/>
      <c r="M74" s="228"/>
      <c r="N74" s="228"/>
      <c r="O74" s="228"/>
      <c r="P74" s="228"/>
      <c r="Q74" s="118"/>
      <c r="R74" s="118"/>
      <c r="S74" s="118"/>
      <c r="T74" s="118"/>
      <c r="U74" s="118"/>
      <c r="V74" s="118"/>
    </row>
    <row r="75" outlineLevel="1">
      <c r="A75" s="230" t="str">
        <f>"NB ("&amp;VLOOKUP($A$1,Fighters!$A$2:$AI$81,15,FALSE)&amp;")"</f>
        <v>NB (波動拳)</v>
      </c>
      <c r="B75" s="109"/>
      <c r="C75" s="231" t="str">
        <f>'テンプレート'!C72</f>
        <v>判定持続</v>
      </c>
      <c r="D75" s="231" t="str">
        <f>'テンプレート'!D72</f>
        <v>全体フレーム</v>
      </c>
      <c r="E75" s="232" t="str">
        <f>'テンプレート'!E72</f>
        <v>基礎ダメージ</v>
      </c>
      <c r="F75" s="233" t="str">
        <f>'テンプレート'!F72</f>
        <v>ダメージ (1v1)</v>
      </c>
      <c r="G75" s="232" t="str">
        <f>'テンプレート'!G72</f>
        <v>ガード硬直</v>
      </c>
      <c r="H75" s="382" t="str">
        <f>'テンプレート'!H72</f>
        <v>備考</v>
      </c>
      <c r="I75" s="110"/>
      <c r="J75" s="109"/>
      <c r="K75" s="235" t="str">
        <f>'テンプレート'!K72</f>
        <v>ベクトル</v>
      </c>
      <c r="L75" s="235" t="str">
        <f>'テンプレート'!L72</f>
        <v>KBG (R.E.)</v>
      </c>
      <c r="M75" s="235" t="str">
        <f>'テンプレート'!M72</f>
        <v>BKB (R.A.)</v>
      </c>
      <c r="N75" s="235" t="str">
        <f>'テンプレート'!N72</f>
        <v>FKB (R.F.)</v>
      </c>
      <c r="O75" s="236" t="str">
        <f>'テンプレート'!O72</f>
        <v>盾削り値</v>
      </c>
      <c r="P75" s="235" t="str">
        <f>'テンプレート'!P72</f>
        <v>ﾋｯﾄｽﾄｯﾌﾟ</v>
      </c>
      <c r="Q75" s="236" t="str">
        <f>'テンプレート'!Q72</f>
        <v>ずらし</v>
      </c>
      <c r="R75" s="235" t="str">
        <f>'テンプレート'!R72</f>
        <v>相殺</v>
      </c>
      <c r="S75" s="236" t="str">
        <f>'テンプレート'!S72</f>
        <v>相殺ﾓｰｼｮﾝ</v>
      </c>
      <c r="T75" s="236" t="str">
        <f>'テンプレート'!T72</f>
        <v>飛び道具</v>
      </c>
      <c r="U75" s="236" t="str">
        <f>'テンプレート'!U72</f>
        <v>慣性反転</v>
      </c>
      <c r="V75" s="236" t="str">
        <f>'テンプレート'!V72</f>
        <v>向き反転</v>
      </c>
    </row>
    <row r="76" outlineLevel="1">
      <c r="A76" s="237" t="s">
        <v>184</v>
      </c>
      <c r="B76" s="243" t="s">
        <v>4308</v>
      </c>
      <c r="C76" s="367" t="s">
        <v>842</v>
      </c>
      <c r="D76" s="279" t="s">
        <v>600</v>
      </c>
      <c r="E76" s="239" t="s">
        <v>4475</v>
      </c>
      <c r="F76" s="138" t="s">
        <v>4476</v>
      </c>
      <c r="G76" s="239" t="s">
        <v>4477</v>
      </c>
      <c r="H76" s="163" t="s">
        <v>4478</v>
      </c>
      <c r="I76" s="164"/>
      <c r="J76" s="104"/>
      <c r="K76" s="282"/>
      <c r="L76" s="282"/>
      <c r="M76" s="363"/>
      <c r="N76" s="363"/>
      <c r="O76" s="138">
        <v>0.0</v>
      </c>
      <c r="P76" s="138">
        <v>1.4</v>
      </c>
      <c r="Q76" s="138">
        <v>0.0</v>
      </c>
      <c r="R76" s="145" t="b">
        <v>1</v>
      </c>
      <c r="S76" s="145" t="b">
        <v>0</v>
      </c>
      <c r="T76" s="145" t="b">
        <v>1</v>
      </c>
      <c r="U76" s="166" t="s">
        <v>186</v>
      </c>
      <c r="V76" s="166" t="b">
        <v>1</v>
      </c>
    </row>
    <row r="77" outlineLevel="1">
      <c r="A77" s="146"/>
      <c r="B77" s="243" t="s">
        <v>4357</v>
      </c>
      <c r="C77" s="367" t="s">
        <v>4479</v>
      </c>
      <c r="D77" s="146"/>
      <c r="E77" s="239" t="s">
        <v>4475</v>
      </c>
      <c r="F77" s="138" t="s">
        <v>4476</v>
      </c>
      <c r="G77" s="239" t="s">
        <v>4477</v>
      </c>
      <c r="H77" s="212"/>
      <c r="J77" s="210"/>
      <c r="K77" s="282"/>
      <c r="L77" s="282"/>
      <c r="M77" s="363"/>
      <c r="N77" s="363"/>
      <c r="O77" s="138"/>
      <c r="P77" s="138"/>
      <c r="Q77" s="138"/>
      <c r="R77" s="145" t="b">
        <v>0</v>
      </c>
      <c r="S77" s="145" t="b">
        <v>0</v>
      </c>
      <c r="T77" s="145" t="b">
        <v>0</v>
      </c>
      <c r="U77" s="146"/>
      <c r="V77" s="146"/>
    </row>
    <row r="78" outlineLevel="1">
      <c r="A78" s="146"/>
      <c r="B78" s="243" t="s">
        <v>4359</v>
      </c>
      <c r="C78" s="367" t="s">
        <v>1691</v>
      </c>
      <c r="D78" s="146"/>
      <c r="E78" s="239" t="s">
        <v>4480</v>
      </c>
      <c r="F78" s="138" t="s">
        <v>4481</v>
      </c>
      <c r="G78" s="239" t="s">
        <v>4477</v>
      </c>
      <c r="H78" s="212"/>
      <c r="J78" s="210"/>
      <c r="K78" s="282"/>
      <c r="L78" s="282"/>
      <c r="M78" s="363"/>
      <c r="N78" s="363"/>
      <c r="O78" s="138"/>
      <c r="P78" s="138"/>
      <c r="Q78" s="138"/>
      <c r="R78" s="145" t="b">
        <v>0</v>
      </c>
      <c r="S78" s="145" t="b">
        <v>0</v>
      </c>
      <c r="T78" s="145" t="b">
        <v>0</v>
      </c>
      <c r="U78" s="146"/>
      <c r="V78" s="146"/>
    </row>
    <row r="79" outlineLevel="1">
      <c r="A79" s="146"/>
      <c r="B79" s="243" t="s">
        <v>4362</v>
      </c>
      <c r="C79" s="367" t="s">
        <v>4482</v>
      </c>
      <c r="D79" s="146"/>
      <c r="E79" s="239" t="s">
        <v>4480</v>
      </c>
      <c r="F79" s="138" t="s">
        <v>4481</v>
      </c>
      <c r="G79" s="239" t="s">
        <v>4477</v>
      </c>
      <c r="H79" s="212"/>
      <c r="J79" s="210"/>
      <c r="K79" s="282"/>
      <c r="L79" s="282"/>
      <c r="M79" s="363"/>
      <c r="N79" s="363"/>
      <c r="O79" s="138">
        <v>0.0</v>
      </c>
      <c r="P79" s="138">
        <v>1.4</v>
      </c>
      <c r="Q79" s="138">
        <v>0.0</v>
      </c>
      <c r="R79" s="145" t="b">
        <v>1</v>
      </c>
      <c r="S79" s="145" t="b">
        <v>0</v>
      </c>
      <c r="T79" s="145" t="b">
        <v>1</v>
      </c>
      <c r="U79" s="146"/>
      <c r="V79" s="146"/>
    </row>
    <row r="80" outlineLevel="1">
      <c r="A80" s="146"/>
      <c r="B80" s="243" t="s">
        <v>4316</v>
      </c>
      <c r="C80" s="367" t="s">
        <v>1734</v>
      </c>
      <c r="D80" s="146"/>
      <c r="E80" s="239" t="s">
        <v>4483</v>
      </c>
      <c r="F80" s="138" t="s">
        <v>4484</v>
      </c>
      <c r="G80" s="239" t="s">
        <v>4477</v>
      </c>
      <c r="H80" s="212"/>
      <c r="J80" s="210"/>
      <c r="K80" s="282"/>
      <c r="L80" s="282"/>
      <c r="M80" s="363"/>
      <c r="N80" s="363"/>
      <c r="O80" s="138"/>
      <c r="P80" s="138"/>
      <c r="Q80" s="138"/>
      <c r="R80" s="145" t="b">
        <v>0</v>
      </c>
      <c r="S80" s="145" t="b">
        <v>0</v>
      </c>
      <c r="T80" s="145" t="b">
        <v>0</v>
      </c>
      <c r="U80" s="146"/>
      <c r="V80" s="146"/>
    </row>
    <row r="81" outlineLevel="1">
      <c r="A81" s="156"/>
      <c r="B81" s="243" t="s">
        <v>4318</v>
      </c>
      <c r="C81" s="367" t="s">
        <v>4485</v>
      </c>
      <c r="D81" s="156"/>
      <c r="E81" s="239" t="s">
        <v>4483</v>
      </c>
      <c r="F81" s="138" t="s">
        <v>4484</v>
      </c>
      <c r="G81" s="239" t="s">
        <v>4477</v>
      </c>
      <c r="H81" s="106"/>
      <c r="I81" s="168"/>
      <c r="J81" s="107"/>
      <c r="K81" s="282"/>
      <c r="L81" s="282"/>
      <c r="M81" s="363"/>
      <c r="N81" s="363"/>
      <c r="O81" s="138">
        <v>0.0</v>
      </c>
      <c r="P81" s="138">
        <v>1.4</v>
      </c>
      <c r="Q81" s="138">
        <v>0.0</v>
      </c>
      <c r="R81" s="145" t="b">
        <v>1</v>
      </c>
      <c r="S81" s="145" t="b">
        <v>0</v>
      </c>
      <c r="T81" s="145" t="b">
        <v>1</v>
      </c>
      <c r="U81" s="156"/>
      <c r="V81" s="156"/>
    </row>
    <row r="82" outlineLevel="1">
      <c r="A82" s="230" t="str">
        <f>"横B ("&amp;VLOOKUP($A$1,Fighters!$A$2:$AI$81,16,FALSE)&amp;")"</f>
        <v>横B (竜巻旋風脚)</v>
      </c>
      <c r="B82" s="109"/>
      <c r="C82" s="231" t="str">
        <f>'テンプレート'!C75</f>
        <v>判定持続</v>
      </c>
      <c r="D82" s="231" t="str">
        <f>'テンプレート'!D75</f>
        <v>全体フレーム</v>
      </c>
      <c r="E82" s="232" t="s">
        <v>50</v>
      </c>
      <c r="F82" s="233" t="s">
        <v>51</v>
      </c>
      <c r="G82" s="232" t="s">
        <v>52</v>
      </c>
      <c r="H82" s="382" t="str">
        <f>'テンプレート'!H75</f>
        <v>備考</v>
      </c>
      <c r="I82" s="110"/>
      <c r="J82" s="109"/>
      <c r="K82" s="235" t="str">
        <f>'テンプレート'!K75</f>
        <v>ベクトル</v>
      </c>
      <c r="L82" s="235" t="str">
        <f>'テンプレート'!L75</f>
        <v>KBG (R.E.)</v>
      </c>
      <c r="M82" s="235" t="str">
        <f>'テンプレート'!M75</f>
        <v>BKB (R.A.)</v>
      </c>
      <c r="N82" s="235" t="str">
        <f>'テンプレート'!N75</f>
        <v>FKB (R.F.)</v>
      </c>
      <c r="O82" s="236" t="str">
        <f>'テンプレート'!O75</f>
        <v>盾削り値</v>
      </c>
      <c r="P82" s="235" t="str">
        <f>'テンプレート'!P75</f>
        <v>ﾋｯﾄｽﾄｯﾌﾟ</v>
      </c>
      <c r="Q82" s="236" t="str">
        <f>'テンプレート'!Q75</f>
        <v>ずらし</v>
      </c>
      <c r="R82" s="235" t="str">
        <f>'テンプレート'!R75</f>
        <v>相殺</v>
      </c>
      <c r="S82" s="236" t="str">
        <f>'テンプレート'!S75</f>
        <v>相殺ﾓｰｼｮﾝ</v>
      </c>
      <c r="T82" s="236" t="str">
        <f>'テンプレート'!T75</f>
        <v>飛び道具</v>
      </c>
      <c r="U82" s="236" t="str">
        <f>'テンプレート'!U75</f>
        <v>慣性反転</v>
      </c>
      <c r="V82" s="236" t="str">
        <f>'テンプレート'!V75</f>
        <v>向き反転</v>
      </c>
    </row>
    <row r="83" outlineLevel="1">
      <c r="A83" s="259" t="s">
        <v>184</v>
      </c>
      <c r="B83" s="243" t="s">
        <v>4486</v>
      </c>
      <c r="C83" s="239" t="s">
        <v>518</v>
      </c>
      <c r="D83" s="409"/>
      <c r="E83" s="239" t="s">
        <v>4487</v>
      </c>
      <c r="F83" s="138" t="s">
        <v>4488</v>
      </c>
      <c r="G83" s="239" t="s">
        <v>4489</v>
      </c>
      <c r="H83" s="386" t="s">
        <v>4490</v>
      </c>
      <c r="I83" s="164"/>
      <c r="J83" s="104"/>
      <c r="K83" s="282"/>
      <c r="L83" s="282"/>
      <c r="M83" s="363"/>
      <c r="N83" s="363"/>
      <c r="O83" s="138">
        <v>0.0</v>
      </c>
      <c r="P83" s="138">
        <v>1.8</v>
      </c>
      <c r="Q83" s="138">
        <v>1.0</v>
      </c>
      <c r="R83" s="145" t="b">
        <v>1</v>
      </c>
      <c r="S83" s="145" t="b">
        <v>0</v>
      </c>
      <c r="T83" s="145"/>
      <c r="U83" s="166" t="s">
        <v>186</v>
      </c>
      <c r="V83" s="166" t="b">
        <v>1</v>
      </c>
    </row>
    <row r="84" outlineLevel="1">
      <c r="A84" s="237" t="s">
        <v>332</v>
      </c>
      <c r="B84" s="243" t="s">
        <v>4491</v>
      </c>
      <c r="C84" s="367" t="s">
        <v>4492</v>
      </c>
      <c r="D84" s="239" t="s">
        <v>221</v>
      </c>
      <c r="E84" s="239" t="s">
        <v>4487</v>
      </c>
      <c r="F84" s="138" t="s">
        <v>4488</v>
      </c>
      <c r="G84" s="239" t="s">
        <v>4489</v>
      </c>
      <c r="H84" s="212"/>
      <c r="J84" s="210"/>
      <c r="K84" s="138"/>
      <c r="L84" s="138"/>
      <c r="M84" s="145"/>
      <c r="N84" s="145"/>
      <c r="O84" s="138">
        <v>0.0</v>
      </c>
      <c r="P84" s="138">
        <v>1.8</v>
      </c>
      <c r="Q84" s="138">
        <v>1.0</v>
      </c>
      <c r="R84" s="145" t="b">
        <v>1</v>
      </c>
      <c r="S84" s="145" t="b">
        <v>0</v>
      </c>
      <c r="T84" s="145"/>
      <c r="U84" s="146"/>
      <c r="V84" s="146"/>
    </row>
    <row r="85" outlineLevel="1">
      <c r="A85" s="146"/>
      <c r="B85" s="243" t="s">
        <v>4493</v>
      </c>
      <c r="C85" s="367" t="s">
        <v>4494</v>
      </c>
      <c r="D85" s="239" t="s">
        <v>335</v>
      </c>
      <c r="E85" s="239" t="s">
        <v>4487</v>
      </c>
      <c r="F85" s="138" t="s">
        <v>4488</v>
      </c>
      <c r="G85" s="239" t="s">
        <v>4489</v>
      </c>
      <c r="H85" s="212"/>
      <c r="J85" s="210"/>
      <c r="K85" s="138"/>
      <c r="L85" s="138"/>
      <c r="M85" s="145"/>
      <c r="N85" s="145"/>
      <c r="O85" s="138">
        <v>0.0</v>
      </c>
      <c r="P85" s="138">
        <v>1.8</v>
      </c>
      <c r="Q85" s="138">
        <v>1.0</v>
      </c>
      <c r="R85" s="145" t="b">
        <v>1</v>
      </c>
      <c r="S85" s="145" t="b">
        <v>0</v>
      </c>
      <c r="T85" s="145"/>
      <c r="U85" s="146"/>
      <c r="V85" s="146"/>
    </row>
    <row r="86" outlineLevel="1">
      <c r="A86" s="156"/>
      <c r="B86" s="243" t="s">
        <v>4495</v>
      </c>
      <c r="C86" s="367" t="s">
        <v>4494</v>
      </c>
      <c r="D86" s="239" t="s">
        <v>335</v>
      </c>
      <c r="E86" s="239" t="s">
        <v>4487</v>
      </c>
      <c r="F86" s="138" t="s">
        <v>4488</v>
      </c>
      <c r="G86" s="239" t="s">
        <v>4489</v>
      </c>
      <c r="H86" s="212"/>
      <c r="J86" s="210"/>
      <c r="K86" s="138"/>
      <c r="L86" s="138"/>
      <c r="M86" s="145"/>
      <c r="N86" s="145"/>
      <c r="O86" s="138">
        <v>0.0</v>
      </c>
      <c r="P86" s="138">
        <v>1.8</v>
      </c>
      <c r="Q86" s="138">
        <v>1.0</v>
      </c>
      <c r="R86" s="145" t="b">
        <v>1</v>
      </c>
      <c r="S86" s="145" t="b">
        <v>0</v>
      </c>
      <c r="T86" s="145"/>
      <c r="U86" s="146"/>
      <c r="V86" s="146"/>
    </row>
    <row r="87" outlineLevel="1">
      <c r="A87" s="259" t="s">
        <v>344</v>
      </c>
      <c r="B87" s="243" t="s">
        <v>571</v>
      </c>
      <c r="C87" s="367" t="s">
        <v>4494</v>
      </c>
      <c r="D87" s="239" t="s">
        <v>428</v>
      </c>
      <c r="E87" s="239" t="s">
        <v>4496</v>
      </c>
      <c r="F87" s="138" t="s">
        <v>4497</v>
      </c>
      <c r="G87" s="239" t="s">
        <v>4477</v>
      </c>
      <c r="H87" s="106"/>
      <c r="I87" s="168"/>
      <c r="J87" s="107"/>
      <c r="K87" s="138"/>
      <c r="L87" s="138"/>
      <c r="M87" s="145"/>
      <c r="N87" s="145"/>
      <c r="O87" s="138">
        <v>0.0</v>
      </c>
      <c r="P87" s="138">
        <v>1.8</v>
      </c>
      <c r="Q87" s="138">
        <v>1.0</v>
      </c>
      <c r="R87" s="145" t="b">
        <v>1</v>
      </c>
      <c r="S87" s="145" t="b">
        <v>0</v>
      </c>
      <c r="T87" s="145"/>
      <c r="U87" s="156"/>
      <c r="V87" s="156"/>
    </row>
    <row r="88" outlineLevel="1">
      <c r="A88" s="230" t="str">
        <f>"上B ("&amp;VLOOKUP($A$1,Fighters!$A$2:$AI$81,17,FALSE)&amp;")"</f>
        <v>上B (昇竜拳)</v>
      </c>
      <c r="B88" s="109"/>
      <c r="C88" s="231" t="str">
        <f>'テンプレート'!C80</f>
        <v>判定持続</v>
      </c>
      <c r="D88" s="231" t="str">
        <f>'テンプレート'!D80</f>
        <v>全体フレーム</v>
      </c>
      <c r="E88" s="232" t="s">
        <v>50</v>
      </c>
      <c r="F88" s="233" t="s">
        <v>51</v>
      </c>
      <c r="G88" s="232" t="str">
        <f>'テンプレート'!G80</f>
        <v>ガード硬直</v>
      </c>
      <c r="H88" s="382" t="str">
        <f>'テンプレート'!H80</f>
        <v>備考</v>
      </c>
      <c r="I88" s="110"/>
      <c r="J88" s="109"/>
      <c r="K88" s="235" t="str">
        <f>'テンプレート'!K80</f>
        <v>ベクトル</v>
      </c>
      <c r="L88" s="235" t="str">
        <f>'テンプレート'!L80</f>
        <v>KBG (R.E.)</v>
      </c>
      <c r="M88" s="235" t="str">
        <f>'テンプレート'!M80</f>
        <v>BKB (R.A.)</v>
      </c>
      <c r="N88" s="235" t="str">
        <f>'テンプレート'!N80</f>
        <v>FKB (R.F.)</v>
      </c>
      <c r="O88" s="236" t="str">
        <f>'テンプレート'!O80</f>
        <v>盾削り値</v>
      </c>
      <c r="P88" s="235" t="str">
        <f>'テンプレート'!P80</f>
        <v>ﾋｯﾄｽﾄｯﾌﾟ</v>
      </c>
      <c r="Q88" s="236" t="str">
        <f>'テンプレート'!Q80</f>
        <v>ずらし</v>
      </c>
      <c r="R88" s="235" t="str">
        <f>'テンプレート'!R80</f>
        <v>相殺</v>
      </c>
      <c r="S88" s="236" t="str">
        <f>'テンプレート'!S80</f>
        <v>相殺ﾓｰｼｮﾝ</v>
      </c>
      <c r="T88" s="236" t="str">
        <f>'テンプレート'!T80</f>
        <v>飛び道具</v>
      </c>
      <c r="U88" s="236" t="str">
        <f>'テンプレート'!U80</f>
        <v>慣性反転</v>
      </c>
      <c r="V88" s="236" t="str">
        <f>'テンプレート'!V80</f>
        <v>向き反転</v>
      </c>
    </row>
    <row r="89" outlineLevel="1">
      <c r="A89" s="237" t="s">
        <v>332</v>
      </c>
      <c r="B89" s="243" t="s">
        <v>4308</v>
      </c>
      <c r="C89" s="239" t="s">
        <v>549</v>
      </c>
      <c r="D89" s="400"/>
      <c r="E89" s="239" t="s">
        <v>4415</v>
      </c>
      <c r="F89" s="138" t="s">
        <v>4416</v>
      </c>
      <c r="G89" s="239" t="s">
        <v>4404</v>
      </c>
      <c r="H89" s="163" t="s">
        <v>4498</v>
      </c>
      <c r="I89" s="164"/>
      <c r="J89" s="104"/>
      <c r="K89" s="138"/>
      <c r="L89" s="138"/>
      <c r="M89" s="145"/>
      <c r="N89" s="145"/>
      <c r="O89" s="138">
        <v>0.0</v>
      </c>
      <c r="P89" s="138">
        <v>2.0</v>
      </c>
      <c r="Q89" s="138">
        <v>1.0</v>
      </c>
      <c r="R89" s="145" t="b">
        <v>0</v>
      </c>
      <c r="S89" s="145" t="b">
        <v>0</v>
      </c>
      <c r="T89" s="145"/>
      <c r="U89" s="166" t="s">
        <v>1256</v>
      </c>
      <c r="V89" s="166" t="b">
        <v>0</v>
      </c>
    </row>
    <row r="90" outlineLevel="1">
      <c r="A90" s="146"/>
      <c r="B90" s="243" t="s">
        <v>4357</v>
      </c>
      <c r="C90" s="239" t="s">
        <v>1227</v>
      </c>
      <c r="D90" s="146"/>
      <c r="E90" s="239" t="s">
        <v>4429</v>
      </c>
      <c r="F90" s="138" t="s">
        <v>4430</v>
      </c>
      <c r="G90" s="239" t="s">
        <v>4431</v>
      </c>
      <c r="H90" s="212"/>
      <c r="J90" s="210"/>
      <c r="K90" s="138"/>
      <c r="L90" s="138"/>
      <c r="M90" s="145"/>
      <c r="N90" s="145"/>
      <c r="O90" s="138"/>
      <c r="P90" s="138"/>
      <c r="Q90" s="138"/>
      <c r="R90" s="145" t="b">
        <v>0</v>
      </c>
      <c r="S90" s="145" t="b">
        <v>0</v>
      </c>
      <c r="T90" s="145" t="b">
        <v>0</v>
      </c>
      <c r="U90" s="146"/>
      <c r="V90" s="146"/>
    </row>
    <row r="91" outlineLevel="1">
      <c r="A91" s="146"/>
      <c r="B91" s="243" t="s">
        <v>4499</v>
      </c>
      <c r="C91" s="239" t="s">
        <v>4500</v>
      </c>
      <c r="D91" s="146"/>
      <c r="E91" s="239" t="s">
        <v>4501</v>
      </c>
      <c r="F91" s="138" t="s">
        <v>4502</v>
      </c>
      <c r="G91" s="239" t="s">
        <v>4503</v>
      </c>
      <c r="H91" s="212"/>
      <c r="J91" s="210"/>
      <c r="K91" s="138"/>
      <c r="L91" s="138"/>
      <c r="M91" s="145"/>
      <c r="N91" s="145"/>
      <c r="O91" s="138">
        <v>0.0</v>
      </c>
      <c r="P91" s="138">
        <v>2.0</v>
      </c>
      <c r="Q91" s="138">
        <v>1.0</v>
      </c>
      <c r="R91" s="145" t="b">
        <v>0</v>
      </c>
      <c r="S91" s="145" t="b">
        <v>0</v>
      </c>
      <c r="T91" s="145"/>
      <c r="U91" s="146"/>
      <c r="V91" s="146"/>
    </row>
    <row r="92" outlineLevel="1">
      <c r="A92" s="146"/>
      <c r="B92" s="243" t="s">
        <v>4504</v>
      </c>
      <c r="C92" s="239" t="s">
        <v>1227</v>
      </c>
      <c r="D92" s="146"/>
      <c r="E92" s="239" t="s">
        <v>4505</v>
      </c>
      <c r="F92" s="138" t="s">
        <v>4506</v>
      </c>
      <c r="G92" s="239" t="s">
        <v>4507</v>
      </c>
      <c r="H92" s="212"/>
      <c r="J92" s="210"/>
      <c r="K92" s="138"/>
      <c r="L92" s="138"/>
      <c r="M92" s="145"/>
      <c r="N92" s="145"/>
      <c r="O92" s="138">
        <v>0.0</v>
      </c>
      <c r="P92" s="138">
        <v>2.0</v>
      </c>
      <c r="Q92" s="138">
        <v>1.0</v>
      </c>
      <c r="R92" s="145" t="b">
        <v>0</v>
      </c>
      <c r="S92" s="145" t="b">
        <v>0</v>
      </c>
      <c r="T92" s="145"/>
      <c r="U92" s="146"/>
      <c r="V92" s="146"/>
    </row>
    <row r="93" outlineLevel="1">
      <c r="A93" s="146"/>
      <c r="B93" s="402" t="s">
        <v>4305</v>
      </c>
      <c r="C93" s="239" t="s">
        <v>150</v>
      </c>
      <c r="D93" s="146"/>
      <c r="E93" s="239" t="s">
        <v>4508</v>
      </c>
      <c r="F93" s="138" t="s">
        <v>4509</v>
      </c>
      <c r="G93" s="239" t="s">
        <v>4510</v>
      </c>
      <c r="H93" s="212"/>
      <c r="J93" s="210"/>
      <c r="K93" s="138"/>
      <c r="L93" s="138"/>
      <c r="M93" s="145"/>
      <c r="N93" s="145"/>
      <c r="O93" s="138">
        <v>0.0</v>
      </c>
      <c r="P93" s="138">
        <v>1.8</v>
      </c>
      <c r="Q93" s="138">
        <v>1.0</v>
      </c>
      <c r="R93" s="145" t="b">
        <v>0</v>
      </c>
      <c r="S93" s="145" t="b">
        <v>0</v>
      </c>
      <c r="T93" s="145"/>
      <c r="U93" s="146"/>
      <c r="V93" s="146"/>
    </row>
    <row r="94" outlineLevel="1">
      <c r="A94" s="146"/>
      <c r="B94" s="402" t="s">
        <v>4307</v>
      </c>
      <c r="C94" s="239" t="s">
        <v>4511</v>
      </c>
      <c r="D94" s="146"/>
      <c r="E94" s="239" t="s">
        <v>4501</v>
      </c>
      <c r="F94" s="138" t="s">
        <v>4502</v>
      </c>
      <c r="G94" s="239" t="s">
        <v>4503</v>
      </c>
      <c r="H94" s="212"/>
      <c r="J94" s="210"/>
      <c r="K94" s="138"/>
      <c r="L94" s="138"/>
      <c r="M94" s="145"/>
      <c r="N94" s="145"/>
      <c r="O94" s="138"/>
      <c r="P94" s="138"/>
      <c r="Q94" s="138"/>
      <c r="R94" s="145" t="b">
        <v>0</v>
      </c>
      <c r="S94" s="145" t="b">
        <v>0</v>
      </c>
      <c r="T94" s="145" t="b">
        <v>0</v>
      </c>
      <c r="U94" s="146"/>
      <c r="V94" s="146"/>
    </row>
    <row r="95" outlineLevel="1">
      <c r="A95" s="156"/>
      <c r="B95" s="402" t="s">
        <v>4512</v>
      </c>
      <c r="C95" s="239" t="s">
        <v>1227</v>
      </c>
      <c r="D95" s="146"/>
      <c r="E95" s="239" t="s">
        <v>4513</v>
      </c>
      <c r="F95" s="138" t="s">
        <v>4514</v>
      </c>
      <c r="G95" s="239" t="s">
        <v>4431</v>
      </c>
      <c r="H95" s="212"/>
      <c r="J95" s="210"/>
      <c r="K95" s="138"/>
      <c r="L95" s="138"/>
      <c r="M95" s="145"/>
      <c r="N95" s="145"/>
      <c r="O95" s="138">
        <v>0.0</v>
      </c>
      <c r="P95" s="138">
        <v>1.8</v>
      </c>
      <c r="Q95" s="138">
        <v>1.0</v>
      </c>
      <c r="R95" s="145" t="b">
        <v>0</v>
      </c>
      <c r="S95" s="145" t="b">
        <v>0</v>
      </c>
      <c r="T95" s="145"/>
      <c r="U95" s="146"/>
      <c r="V95" s="146"/>
    </row>
    <row r="96" outlineLevel="1">
      <c r="A96" s="474" t="s">
        <v>344</v>
      </c>
      <c r="B96" s="243" t="s">
        <v>4308</v>
      </c>
      <c r="C96" s="239" t="s">
        <v>549</v>
      </c>
      <c r="D96" s="146"/>
      <c r="E96" s="239" t="s">
        <v>4365</v>
      </c>
      <c r="F96" s="138" t="s">
        <v>4427</v>
      </c>
      <c r="G96" s="239" t="s">
        <v>4395</v>
      </c>
      <c r="H96" s="212"/>
      <c r="J96" s="210"/>
      <c r="K96" s="138"/>
      <c r="L96" s="138"/>
      <c r="M96" s="145"/>
      <c r="N96" s="145"/>
      <c r="O96" s="138">
        <v>0.0</v>
      </c>
      <c r="P96" s="138">
        <v>2.0</v>
      </c>
      <c r="Q96" s="138">
        <v>1.0</v>
      </c>
      <c r="R96" s="145" t="b">
        <v>0</v>
      </c>
      <c r="S96" s="145" t="b">
        <v>0</v>
      </c>
      <c r="T96" s="145"/>
      <c r="U96" s="146"/>
      <c r="V96" s="146"/>
    </row>
    <row r="97" outlineLevel="1">
      <c r="A97" s="146"/>
      <c r="B97" s="243" t="s">
        <v>4357</v>
      </c>
      <c r="C97" s="239" t="s">
        <v>1227</v>
      </c>
      <c r="D97" s="146"/>
      <c r="E97" s="239" t="s">
        <v>4429</v>
      </c>
      <c r="F97" s="138" t="s">
        <v>4430</v>
      </c>
      <c r="G97" s="239" t="s">
        <v>4431</v>
      </c>
      <c r="H97" s="212"/>
      <c r="J97" s="210"/>
      <c r="K97" s="138"/>
      <c r="L97" s="138"/>
      <c r="M97" s="145"/>
      <c r="N97" s="145"/>
      <c r="O97" s="138"/>
      <c r="P97" s="138"/>
      <c r="Q97" s="138"/>
      <c r="R97" s="145" t="b">
        <v>0</v>
      </c>
      <c r="S97" s="145" t="b">
        <v>0</v>
      </c>
      <c r="T97" s="145" t="b">
        <v>0</v>
      </c>
      <c r="U97" s="146"/>
      <c r="V97" s="146"/>
    </row>
    <row r="98" outlineLevel="1">
      <c r="A98" s="146"/>
      <c r="B98" s="243" t="s">
        <v>4499</v>
      </c>
      <c r="C98" s="239" t="s">
        <v>4500</v>
      </c>
      <c r="D98" s="146"/>
      <c r="E98" s="239" t="s">
        <v>4429</v>
      </c>
      <c r="F98" s="138" t="s">
        <v>4430</v>
      </c>
      <c r="G98" s="239" t="s">
        <v>4431</v>
      </c>
      <c r="H98" s="212"/>
      <c r="J98" s="210"/>
      <c r="K98" s="138"/>
      <c r="L98" s="138"/>
      <c r="M98" s="145"/>
      <c r="N98" s="145"/>
      <c r="O98" s="138">
        <v>0.0</v>
      </c>
      <c r="P98" s="138">
        <v>2.0</v>
      </c>
      <c r="Q98" s="138">
        <v>1.0</v>
      </c>
      <c r="R98" s="145" t="b">
        <v>0</v>
      </c>
      <c r="S98" s="145" t="b">
        <v>0</v>
      </c>
      <c r="T98" s="145"/>
      <c r="U98" s="146"/>
      <c r="V98" s="146"/>
    </row>
    <row r="99" outlineLevel="1">
      <c r="A99" s="146"/>
      <c r="B99" s="243" t="s">
        <v>4504</v>
      </c>
      <c r="C99" s="239" t="s">
        <v>1227</v>
      </c>
      <c r="D99" s="146"/>
      <c r="E99" s="239" t="s">
        <v>4505</v>
      </c>
      <c r="F99" s="138" t="s">
        <v>4506</v>
      </c>
      <c r="G99" s="239" t="s">
        <v>4507</v>
      </c>
      <c r="H99" s="212"/>
      <c r="J99" s="210"/>
      <c r="K99" s="138"/>
      <c r="L99" s="138"/>
      <c r="M99" s="145"/>
      <c r="N99" s="145"/>
      <c r="O99" s="138"/>
      <c r="P99" s="138"/>
      <c r="Q99" s="138"/>
      <c r="R99" s="145" t="b">
        <v>0</v>
      </c>
      <c r="S99" s="145" t="b">
        <v>0</v>
      </c>
      <c r="T99" s="145" t="b">
        <v>0</v>
      </c>
      <c r="U99" s="146"/>
      <c r="V99" s="146"/>
    </row>
    <row r="100" outlineLevel="1">
      <c r="A100" s="146"/>
      <c r="B100" s="402" t="s">
        <v>4305</v>
      </c>
      <c r="C100" s="239" t="s">
        <v>150</v>
      </c>
      <c r="D100" s="146"/>
      <c r="E100" s="239" t="s">
        <v>4508</v>
      </c>
      <c r="F100" s="138" t="s">
        <v>4509</v>
      </c>
      <c r="G100" s="239" t="s">
        <v>4510</v>
      </c>
      <c r="H100" s="212"/>
      <c r="J100" s="210"/>
      <c r="K100" s="138"/>
      <c r="L100" s="138"/>
      <c r="M100" s="145"/>
      <c r="N100" s="145"/>
      <c r="O100" s="138">
        <v>0.0</v>
      </c>
      <c r="P100" s="138">
        <v>2.0</v>
      </c>
      <c r="Q100" s="138">
        <v>1.0</v>
      </c>
      <c r="R100" s="145" t="b">
        <v>0</v>
      </c>
      <c r="S100" s="145" t="b">
        <v>0</v>
      </c>
      <c r="T100" s="145"/>
      <c r="U100" s="146"/>
      <c r="V100" s="146"/>
    </row>
    <row r="101" outlineLevel="1">
      <c r="A101" s="146"/>
      <c r="B101" s="402" t="s">
        <v>4307</v>
      </c>
      <c r="C101" s="239" t="s">
        <v>4511</v>
      </c>
      <c r="D101" s="146"/>
      <c r="E101" s="239" t="s">
        <v>4501</v>
      </c>
      <c r="F101" s="138" t="s">
        <v>4502</v>
      </c>
      <c r="G101" s="239" t="s">
        <v>4503</v>
      </c>
      <c r="H101" s="212"/>
      <c r="J101" s="210"/>
      <c r="K101" s="138"/>
      <c r="L101" s="138"/>
      <c r="M101" s="145"/>
      <c r="N101" s="145"/>
      <c r="O101" s="138">
        <v>0.0</v>
      </c>
      <c r="P101" s="138">
        <v>1.8</v>
      </c>
      <c r="Q101" s="138">
        <v>1.0</v>
      </c>
      <c r="R101" s="145" t="b">
        <v>0</v>
      </c>
      <c r="S101" s="145" t="b">
        <v>0</v>
      </c>
      <c r="T101" s="145"/>
      <c r="U101" s="146"/>
      <c r="V101" s="146"/>
    </row>
    <row r="102" outlineLevel="1">
      <c r="A102" s="156"/>
      <c r="B102" s="402" t="s">
        <v>4512</v>
      </c>
      <c r="C102" s="239" t="s">
        <v>1227</v>
      </c>
      <c r="D102" s="156"/>
      <c r="E102" s="239" t="s">
        <v>4505</v>
      </c>
      <c r="F102" s="138" t="s">
        <v>4506</v>
      </c>
      <c r="G102" s="239" t="s">
        <v>4507</v>
      </c>
      <c r="H102" s="106"/>
      <c r="I102" s="168"/>
      <c r="J102" s="107"/>
      <c r="K102" s="138"/>
      <c r="L102" s="138"/>
      <c r="M102" s="145"/>
      <c r="N102" s="145"/>
      <c r="O102" s="138">
        <v>0.0</v>
      </c>
      <c r="P102" s="138">
        <v>1.8</v>
      </c>
      <c r="Q102" s="138">
        <v>1.0</v>
      </c>
      <c r="R102" s="145" t="b">
        <v>0</v>
      </c>
      <c r="S102" s="145" t="b">
        <v>0</v>
      </c>
      <c r="T102" s="145"/>
      <c r="U102" s="156"/>
      <c r="V102" s="156"/>
    </row>
    <row r="103" outlineLevel="1">
      <c r="A103" s="230" t="str">
        <f>"下B ("&amp;VLOOKUP($A$1,Fighters!$A$2:$AI$81,18,FALSE)&amp;")"</f>
        <v>下B (セービングアタック)</v>
      </c>
      <c r="B103" s="109"/>
      <c r="C103" s="231" t="str">
        <f>'テンプレート'!C85</f>
        <v>判定持続</v>
      </c>
      <c r="D103" s="231" t="str">
        <f>'テンプレート'!D85</f>
        <v>全体フレーム</v>
      </c>
      <c r="E103" s="232" t="s">
        <v>50</v>
      </c>
      <c r="F103" s="233" t="s">
        <v>51</v>
      </c>
      <c r="G103" s="232" t="str">
        <f>'テンプレート'!G85</f>
        <v>ガード硬直</v>
      </c>
      <c r="H103" s="382" t="str">
        <f>'テンプレート'!H85</f>
        <v>備考</v>
      </c>
      <c r="I103" s="110"/>
      <c r="J103" s="109"/>
      <c r="K103" s="235" t="str">
        <f>'テンプレート'!K85</f>
        <v>ベクトル</v>
      </c>
      <c r="L103" s="235" t="str">
        <f>'テンプレート'!L85</f>
        <v>KBG (R.E.)</v>
      </c>
      <c r="M103" s="235" t="str">
        <f>'テンプレート'!M85</f>
        <v>BKB (R.A.)</v>
      </c>
      <c r="N103" s="235" t="str">
        <f>'テンプレート'!N85</f>
        <v>FKB (R.F.)</v>
      </c>
      <c r="O103" s="236" t="str">
        <f>'テンプレート'!O85</f>
        <v>盾削り値</v>
      </c>
      <c r="P103" s="235" t="str">
        <f>'テンプレート'!P85</f>
        <v>ﾋｯﾄｽﾄｯﾌﾟ</v>
      </c>
      <c r="Q103" s="236" t="str">
        <f>'テンプレート'!Q85</f>
        <v>ずらし</v>
      </c>
      <c r="R103" s="235" t="str">
        <f>'テンプレート'!R85</f>
        <v>相殺</v>
      </c>
      <c r="S103" s="236" t="str">
        <f>'テンプレート'!S85</f>
        <v>相殺ﾓｰｼｮﾝ</v>
      </c>
      <c r="T103" s="236" t="str">
        <f>'テンプレート'!T85</f>
        <v>飛び道具</v>
      </c>
      <c r="U103" s="236" t="str">
        <f>'テンプレート'!U85</f>
        <v>慣性反転</v>
      </c>
      <c r="V103" s="236" t="str">
        <f>'テンプレート'!V85</f>
        <v>向き反転</v>
      </c>
    </row>
    <row r="104" ht="43.5" customHeight="1" outlineLevel="1">
      <c r="A104" s="546" t="s">
        <v>184</v>
      </c>
      <c r="B104" s="402" t="s">
        <v>4433</v>
      </c>
      <c r="C104" s="239" t="s">
        <v>2357</v>
      </c>
      <c r="D104" s="239" t="s">
        <v>499</v>
      </c>
      <c r="E104" s="239" t="s">
        <v>129</v>
      </c>
      <c r="F104" s="138">
        <v>14.399999999999999</v>
      </c>
      <c r="G104" s="216" t="s">
        <v>88</v>
      </c>
      <c r="H104" s="283" t="s">
        <v>4434</v>
      </c>
      <c r="I104" s="164"/>
      <c r="J104" s="104"/>
      <c r="K104" s="138"/>
      <c r="L104" s="138"/>
      <c r="M104" s="145"/>
      <c r="N104" s="145"/>
      <c r="O104" s="138">
        <v>15.0</v>
      </c>
      <c r="P104" s="138">
        <v>2.0</v>
      </c>
      <c r="Q104" s="138">
        <v>1.0</v>
      </c>
      <c r="R104" s="145" t="b">
        <v>1</v>
      </c>
      <c r="S104" s="145" t="b">
        <v>0</v>
      </c>
      <c r="T104" s="145"/>
      <c r="U104" s="166" t="s">
        <v>186</v>
      </c>
      <c r="V104" s="166" t="b">
        <v>1</v>
      </c>
    </row>
    <row r="105" ht="43.5" customHeight="1" outlineLevel="1">
      <c r="A105" s="146"/>
      <c r="B105" s="402" t="s">
        <v>4435</v>
      </c>
      <c r="C105" s="239" t="s">
        <v>789</v>
      </c>
      <c r="D105" s="239" t="s">
        <v>951</v>
      </c>
      <c r="E105" s="239" t="s">
        <v>128</v>
      </c>
      <c r="F105" s="138">
        <v>12.0</v>
      </c>
      <c r="G105" s="216" t="s">
        <v>121</v>
      </c>
      <c r="H105" s="212"/>
      <c r="J105" s="210"/>
      <c r="K105" s="138"/>
      <c r="L105" s="138"/>
      <c r="M105" s="145"/>
      <c r="N105" s="145"/>
      <c r="O105" s="138">
        <v>22.0</v>
      </c>
      <c r="P105" s="138">
        <v>2.5</v>
      </c>
      <c r="Q105" s="138">
        <v>1.0</v>
      </c>
      <c r="R105" s="145" t="b">
        <v>1</v>
      </c>
      <c r="S105" s="145" t="b">
        <v>0</v>
      </c>
      <c r="T105" s="145"/>
      <c r="U105" s="146"/>
      <c r="V105" s="146"/>
    </row>
    <row r="106" ht="43.5" customHeight="1" outlineLevel="1">
      <c r="A106" s="146"/>
      <c r="B106" s="402" t="s">
        <v>4436</v>
      </c>
      <c r="C106" s="239" t="s">
        <v>4437</v>
      </c>
      <c r="D106" s="239" t="s">
        <v>4438</v>
      </c>
      <c r="E106" s="239" t="s">
        <v>394</v>
      </c>
      <c r="F106" s="138">
        <v>20.4</v>
      </c>
      <c r="G106" s="409"/>
      <c r="H106" s="212"/>
      <c r="J106" s="210"/>
      <c r="K106" s="138"/>
      <c r="L106" s="138"/>
      <c r="M106" s="145"/>
      <c r="N106" s="145"/>
      <c r="O106" s="138">
        <v>30.0</v>
      </c>
      <c r="P106" s="138">
        <v>2.3</v>
      </c>
      <c r="Q106" s="138">
        <v>1.0</v>
      </c>
      <c r="R106" s="145" t="b">
        <v>1</v>
      </c>
      <c r="S106" s="145" t="b">
        <v>0</v>
      </c>
      <c r="T106" s="145"/>
      <c r="U106" s="146"/>
      <c r="V106" s="146"/>
    </row>
    <row r="107" ht="43.5" customHeight="1" outlineLevel="1">
      <c r="A107" s="156"/>
      <c r="B107" s="402" t="s">
        <v>4439</v>
      </c>
      <c r="C107" s="409"/>
      <c r="D107" s="239" t="s">
        <v>296</v>
      </c>
      <c r="E107" s="409"/>
      <c r="F107" s="409"/>
      <c r="G107" s="409"/>
      <c r="H107" s="106"/>
      <c r="I107" s="168"/>
      <c r="J107" s="107"/>
      <c r="K107" s="476"/>
      <c r="L107" s="476"/>
      <c r="M107" s="476"/>
      <c r="N107" s="476"/>
      <c r="O107" s="476"/>
      <c r="P107" s="476"/>
      <c r="Q107" s="476"/>
      <c r="R107" s="476"/>
      <c r="S107" s="476"/>
      <c r="T107" s="476"/>
      <c r="U107" s="156"/>
      <c r="V107" s="156"/>
    </row>
    <row r="108">
      <c r="A108" s="223"/>
      <c r="B108" s="224"/>
      <c r="C108" s="225"/>
      <c r="D108" s="225"/>
      <c r="E108" s="226"/>
      <c r="F108" s="226"/>
      <c r="G108" s="226"/>
      <c r="H108" s="227"/>
      <c r="I108" s="227"/>
      <c r="J108" s="228"/>
      <c r="K108" s="228"/>
      <c r="L108" s="228"/>
      <c r="M108" s="228"/>
      <c r="N108" s="228"/>
      <c r="O108" s="228"/>
      <c r="P108" s="228"/>
      <c r="Q108" s="118"/>
      <c r="R108" s="118"/>
      <c r="S108" s="118"/>
      <c r="T108" s="118"/>
      <c r="U108" s="118"/>
      <c r="V108" s="118"/>
    </row>
    <row r="109">
      <c r="A109" s="264" t="str">
        <f>'テンプレート'!A91</f>
        <v>つかみ・投げ</v>
      </c>
      <c r="B109" s="104"/>
      <c r="C109" s="227"/>
      <c r="D109" s="227"/>
      <c r="E109" s="228"/>
      <c r="F109" s="265"/>
      <c r="G109" s="265"/>
      <c r="H109" s="228"/>
      <c r="I109" s="228"/>
      <c r="J109" s="228"/>
      <c r="K109" s="228"/>
      <c r="L109" s="228"/>
      <c r="M109" s="228"/>
      <c r="N109" s="118"/>
      <c r="O109" s="118"/>
      <c r="P109" s="118"/>
      <c r="Q109" s="228"/>
      <c r="R109" s="228"/>
      <c r="S109" s="228"/>
      <c r="T109" s="228"/>
      <c r="U109" s="228"/>
      <c r="V109" s="228"/>
    </row>
    <row r="110" outlineLevel="1">
      <c r="A110" s="106"/>
      <c r="B110" s="107"/>
      <c r="C110" s="266" t="str">
        <f>'テンプレート'!C92</f>
        <v>判定持続</v>
      </c>
      <c r="D110" s="266" t="str">
        <f>'テンプレート'!D92</f>
        <v>全体フレーム</v>
      </c>
      <c r="E110" s="266" t="str">
        <f>'テンプレート'!E92</f>
        <v>基礎ダメージ</v>
      </c>
      <c r="F110" s="267" t="str">
        <f>'テンプレート'!F92</f>
        <v>ダメージ (1v1)</v>
      </c>
      <c r="G110" s="227"/>
      <c r="H110" s="227"/>
      <c r="I110" s="227"/>
      <c r="J110" s="228"/>
      <c r="K110" s="228"/>
      <c r="L110" s="228"/>
      <c r="M110" s="228"/>
      <c r="N110" s="228"/>
      <c r="O110" s="228"/>
      <c r="P110" s="228"/>
      <c r="Q110" s="228"/>
      <c r="R110" s="228"/>
      <c r="S110" s="228"/>
      <c r="T110" s="228"/>
      <c r="U110" s="228"/>
      <c r="V110" s="228"/>
    </row>
    <row r="111" outlineLevel="1">
      <c r="A111" s="268" t="str">
        <f>'テンプレート'!A93</f>
        <v>つかみ攻撃</v>
      </c>
      <c r="B111" s="269" t="str">
        <f>'テンプレート'!B93</f>
        <v>つかみ攻撃</v>
      </c>
      <c r="C111" s="113" t="s">
        <v>213</v>
      </c>
      <c r="D111" s="113" t="s">
        <v>86</v>
      </c>
      <c r="E111" s="113" t="s">
        <v>214</v>
      </c>
      <c r="F111" s="138">
        <f>E111*1.2</f>
        <v>1.56</v>
      </c>
      <c r="G111" s="227"/>
      <c r="H111" s="227"/>
      <c r="I111" s="227"/>
      <c r="J111" s="228"/>
      <c r="K111" s="228"/>
      <c r="L111" s="228"/>
      <c r="M111" s="228"/>
      <c r="N111" s="228"/>
      <c r="O111" s="228"/>
      <c r="P111" s="228"/>
      <c r="Q111" s="228"/>
      <c r="R111" s="228"/>
      <c r="S111" s="228"/>
      <c r="T111" s="228"/>
      <c r="U111" s="228"/>
      <c r="V111" s="228"/>
    </row>
    <row r="112" outlineLevel="1">
      <c r="A112" s="270" t="str">
        <f>'テンプレート'!A94</f>
        <v>つかみ</v>
      </c>
      <c r="B112" s="269" t="str">
        <f>'テンプレート'!B94</f>
        <v>その場</v>
      </c>
      <c r="C112" s="113" t="s">
        <v>217</v>
      </c>
      <c r="D112" s="113" t="s">
        <v>218</v>
      </c>
      <c r="E112" s="271"/>
      <c r="F112" s="272"/>
      <c r="G112" s="272"/>
      <c r="H112" s="227"/>
      <c r="I112" s="227"/>
      <c r="J112" s="228"/>
      <c r="K112" s="228"/>
      <c r="L112" s="228"/>
      <c r="M112" s="228"/>
      <c r="N112" s="228"/>
      <c r="O112" s="228"/>
      <c r="P112" s="228"/>
      <c r="Q112" s="228"/>
      <c r="R112" s="228"/>
      <c r="S112" s="228"/>
      <c r="T112" s="228"/>
      <c r="U112" s="228"/>
      <c r="V112" s="228"/>
    </row>
    <row r="113" outlineLevel="1">
      <c r="A113" s="212"/>
      <c r="B113" s="269" t="str">
        <f>'テンプレート'!B95</f>
        <v>ダッシュ</v>
      </c>
      <c r="C113" s="113" t="s">
        <v>220</v>
      </c>
      <c r="D113" s="113" t="s">
        <v>221</v>
      </c>
      <c r="E113" s="271"/>
      <c r="F113" s="272"/>
      <c r="G113" s="272"/>
      <c r="H113" s="227"/>
      <c r="I113" s="227"/>
      <c r="J113" s="228"/>
      <c r="K113" s="228"/>
      <c r="L113" s="228"/>
      <c r="M113" s="228"/>
      <c r="N113" s="228"/>
      <c r="O113" s="228"/>
      <c r="P113" s="228"/>
      <c r="Q113" s="228"/>
      <c r="R113" s="228"/>
      <c r="S113" s="228"/>
      <c r="T113" s="228"/>
      <c r="U113" s="228"/>
      <c r="V113" s="228"/>
    </row>
    <row r="114" outlineLevel="1">
      <c r="A114" s="106"/>
      <c r="B114" s="269" t="str">
        <f>'テンプレート'!B96</f>
        <v>ふりむき</v>
      </c>
      <c r="C114" s="113" t="s">
        <v>223</v>
      </c>
      <c r="D114" s="113" t="s">
        <v>79</v>
      </c>
      <c r="E114" s="227"/>
      <c r="F114" s="272"/>
      <c r="G114" s="272"/>
      <c r="H114" s="227"/>
      <c r="I114" s="227"/>
      <c r="J114" s="228"/>
      <c r="K114" s="228"/>
      <c r="L114" s="228"/>
      <c r="M114" s="228"/>
      <c r="N114" s="228"/>
      <c r="O114" s="228"/>
      <c r="P114" s="228"/>
      <c r="Q114" s="228"/>
      <c r="R114" s="228"/>
      <c r="S114" s="228"/>
      <c r="T114" s="228"/>
      <c r="U114" s="228"/>
      <c r="V114" s="228"/>
    </row>
    <row r="115" outlineLevel="1">
      <c r="A115" s="273" t="str">
        <f>'テンプレート'!A97</f>
        <v>投げ</v>
      </c>
      <c r="B115" s="109"/>
      <c r="C115" s="266" t="str">
        <f>'テンプレート'!C97</f>
        <v>判定持続</v>
      </c>
      <c r="D115" s="266" t="str">
        <f>'テンプレート'!D97</f>
        <v>全体フレーム</v>
      </c>
      <c r="E115" s="266" t="str">
        <f>'テンプレート'!E97</f>
        <v>基礎ダメージ</v>
      </c>
      <c r="F115" s="266" t="str">
        <f>'テンプレート'!F97</f>
        <v>ダメージ (1v1)</v>
      </c>
      <c r="G115" s="669" t="str">
        <f>'テンプレート'!G97</f>
        <v>備考</v>
      </c>
      <c r="H115" s="110"/>
      <c r="I115" s="110"/>
      <c r="J115" s="109"/>
      <c r="K115" s="275" t="str">
        <f>'テンプレート'!K97</f>
        <v>ベクトル</v>
      </c>
      <c r="L115" s="275" t="str">
        <f>'テンプレート'!L97</f>
        <v>KBG (R.E.)</v>
      </c>
      <c r="M115" s="275" t="str">
        <f>'テンプレート'!M97</f>
        <v>BKB (R.A.)</v>
      </c>
      <c r="N115" s="275" t="str">
        <f>'テンプレート'!N97</f>
        <v>FKB (R.F.)</v>
      </c>
      <c r="O115" s="276" t="str">
        <f>'テンプレート'!O97</f>
        <v>盾削り値</v>
      </c>
      <c r="P115" s="275" t="str">
        <f>'テンプレート'!P97</f>
        <v>ﾋｯﾄｽﾄｯﾌﾟ</v>
      </c>
      <c r="Q115" s="276" t="str">
        <f>'テンプレート'!Q97</f>
        <v>ずらし</v>
      </c>
      <c r="R115" s="277"/>
      <c r="S115" s="277"/>
      <c r="T115" s="277"/>
      <c r="U115" s="277"/>
      <c r="V115" s="277"/>
    </row>
    <row r="116" outlineLevel="1">
      <c r="A116" s="278" t="str">
        <f>'テンプレート'!A98</f>
        <v>前投げ</v>
      </c>
      <c r="B116" s="269" t="str">
        <f>'テンプレート'!B98</f>
        <v>打撃</v>
      </c>
      <c r="C116" s="261"/>
      <c r="D116" s="279">
        <v>41.0</v>
      </c>
      <c r="E116" s="261"/>
      <c r="F116" s="261"/>
      <c r="G116" s="1129"/>
      <c r="H116" s="164"/>
      <c r="I116" s="164"/>
      <c r="J116" s="104"/>
      <c r="K116" s="261"/>
      <c r="L116" s="261"/>
      <c r="M116" s="261"/>
      <c r="N116" s="261"/>
      <c r="O116" s="261"/>
      <c r="P116" s="261"/>
      <c r="Q116" s="277"/>
      <c r="R116" s="228"/>
      <c r="S116" s="228"/>
      <c r="T116" s="228"/>
      <c r="U116" s="228"/>
    </row>
    <row r="117" outlineLevel="1">
      <c r="A117" s="156"/>
      <c r="B117" s="269" t="str">
        <f>'テンプレート'!B99</f>
        <v>投げ</v>
      </c>
      <c r="C117" s="113">
        <v>16.0</v>
      </c>
      <c r="D117" s="156"/>
      <c r="E117" s="239" t="s">
        <v>274</v>
      </c>
      <c r="F117" s="138">
        <f>IFERROR(E117*1.2, "-")</f>
        <v>10.8</v>
      </c>
      <c r="G117" s="106"/>
      <c r="H117" s="168"/>
      <c r="I117" s="168"/>
      <c r="J117" s="107"/>
      <c r="K117" s="282"/>
      <c r="L117" s="363"/>
      <c r="M117" s="363"/>
      <c r="N117" s="261"/>
      <c r="O117" s="261"/>
      <c r="P117" s="261"/>
      <c r="Q117" s="277"/>
      <c r="R117" s="228"/>
      <c r="S117" s="228"/>
      <c r="T117" s="228"/>
      <c r="U117" s="228"/>
    </row>
    <row r="118" outlineLevel="1">
      <c r="A118" s="278" t="str">
        <f>'テンプレート'!A100</f>
        <v>後投げ</v>
      </c>
      <c r="B118" s="269" t="str">
        <f>'テンプレート'!B100</f>
        <v>打撃</v>
      </c>
      <c r="C118" s="261"/>
      <c r="D118" s="279" t="s">
        <v>777</v>
      </c>
      <c r="E118" s="261"/>
      <c r="F118" s="261"/>
      <c r="G118" s="1129"/>
      <c r="H118" s="164"/>
      <c r="I118" s="164"/>
      <c r="J118" s="104"/>
      <c r="K118" s="261"/>
      <c r="L118" s="261"/>
      <c r="M118" s="261"/>
      <c r="N118" s="261"/>
      <c r="O118" s="261"/>
      <c r="P118" s="261"/>
      <c r="Q118" s="277"/>
      <c r="R118" s="228"/>
      <c r="S118" s="228"/>
      <c r="T118" s="228"/>
      <c r="U118" s="228"/>
    </row>
    <row r="119" outlineLevel="1">
      <c r="A119" s="156"/>
      <c r="B119" s="269" t="str">
        <f>'テンプレート'!B101</f>
        <v>投げ</v>
      </c>
      <c r="C119" s="113" t="s">
        <v>384</v>
      </c>
      <c r="D119" s="156"/>
      <c r="E119" s="239" t="s">
        <v>129</v>
      </c>
      <c r="F119" s="138">
        <f t="shared" ref="F119:F123" si="1">IFERROR(E119*1.2, "-")</f>
        <v>14.4</v>
      </c>
      <c r="G119" s="106"/>
      <c r="H119" s="168"/>
      <c r="I119" s="168"/>
      <c r="J119" s="107"/>
      <c r="K119" s="282"/>
      <c r="L119" s="363"/>
      <c r="M119" s="363"/>
      <c r="N119" s="261"/>
      <c r="O119" s="261"/>
      <c r="P119" s="261"/>
      <c r="Q119" s="277"/>
      <c r="R119" s="228"/>
      <c r="S119" s="228"/>
      <c r="T119" s="228"/>
      <c r="U119" s="228"/>
    </row>
    <row r="120" outlineLevel="1">
      <c r="A120" s="278" t="str">
        <f>'テンプレート'!A102</f>
        <v>上投げ</v>
      </c>
      <c r="B120" s="269" t="str">
        <f>'テンプレート'!B102</f>
        <v>打撃</v>
      </c>
      <c r="C120" s="113" t="s">
        <v>4515</v>
      </c>
      <c r="D120" s="279">
        <v>46.0</v>
      </c>
      <c r="E120" s="239" t="s">
        <v>386</v>
      </c>
      <c r="F120" s="138">
        <f t="shared" si="1"/>
        <v>18</v>
      </c>
      <c r="G120" s="413" t="s">
        <v>4516</v>
      </c>
      <c r="H120" s="164"/>
      <c r="I120" s="164"/>
      <c r="J120" s="104"/>
      <c r="K120" s="282"/>
      <c r="L120" s="363"/>
      <c r="M120" s="363"/>
      <c r="N120" s="145">
        <v>0.0</v>
      </c>
      <c r="O120" s="145">
        <v>2.0</v>
      </c>
      <c r="P120" s="145">
        <v>1.0</v>
      </c>
      <c r="Q120" s="277"/>
      <c r="R120" s="228"/>
      <c r="S120" s="228"/>
      <c r="T120" s="228"/>
      <c r="U120" s="228"/>
    </row>
    <row r="121" outlineLevel="1">
      <c r="A121" s="156"/>
      <c r="B121" s="269" t="str">
        <f>'テンプレート'!B103</f>
        <v>投げ</v>
      </c>
      <c r="C121" s="113">
        <v>18.0</v>
      </c>
      <c r="D121" s="156"/>
      <c r="E121" s="239" t="s">
        <v>80</v>
      </c>
      <c r="F121" s="138">
        <f t="shared" si="1"/>
        <v>9.6</v>
      </c>
      <c r="G121" s="106"/>
      <c r="H121" s="168"/>
      <c r="I121" s="168"/>
      <c r="J121" s="107"/>
      <c r="K121" s="282"/>
      <c r="L121" s="363"/>
      <c r="M121" s="363"/>
      <c r="N121" s="261"/>
      <c r="O121" s="261"/>
      <c r="P121" s="261"/>
      <c r="Q121" s="277"/>
      <c r="R121" s="117"/>
      <c r="S121" s="117"/>
      <c r="T121" s="117"/>
      <c r="U121" s="117"/>
    </row>
    <row r="122" outlineLevel="1">
      <c r="A122" s="278" t="str">
        <f>'テンプレート'!A104</f>
        <v>下投げ</v>
      </c>
      <c r="B122" s="269" t="str">
        <f>'テンプレート'!B104</f>
        <v>打撃</v>
      </c>
      <c r="C122" s="113" t="s">
        <v>466</v>
      </c>
      <c r="D122" s="279">
        <v>44.0</v>
      </c>
      <c r="E122" s="239" t="s">
        <v>204</v>
      </c>
      <c r="F122" s="138">
        <f t="shared" si="1"/>
        <v>3.6</v>
      </c>
      <c r="G122" s="1129"/>
      <c r="H122" s="164"/>
      <c r="I122" s="164"/>
      <c r="J122" s="104"/>
      <c r="K122" s="282"/>
      <c r="L122" s="363"/>
      <c r="M122" s="363"/>
      <c r="N122" s="145">
        <v>50.0</v>
      </c>
      <c r="O122" s="145">
        <v>1.5</v>
      </c>
      <c r="P122" s="145">
        <v>1.0</v>
      </c>
      <c r="Q122" s="277"/>
      <c r="R122" s="117"/>
      <c r="S122" s="117"/>
      <c r="T122" s="117"/>
      <c r="U122" s="117"/>
    </row>
    <row r="123" outlineLevel="1">
      <c r="A123" s="156"/>
      <c r="B123" s="269" t="str">
        <f>'テンプレート'!B105</f>
        <v>投げ</v>
      </c>
      <c r="C123" s="113" t="s">
        <v>296</v>
      </c>
      <c r="D123" s="156"/>
      <c r="E123" s="239" t="s">
        <v>204</v>
      </c>
      <c r="F123" s="138">
        <f t="shared" si="1"/>
        <v>3.6</v>
      </c>
      <c r="G123" s="106"/>
      <c r="H123" s="168"/>
      <c r="I123" s="168"/>
      <c r="J123" s="107"/>
      <c r="K123" s="282"/>
      <c r="L123" s="363"/>
      <c r="M123" s="363"/>
      <c r="N123" s="261"/>
      <c r="O123" s="261"/>
      <c r="P123" s="261"/>
      <c r="Q123" s="277"/>
      <c r="R123" s="117"/>
      <c r="S123" s="117"/>
      <c r="T123" s="117"/>
      <c r="U123" s="117"/>
    </row>
    <row r="124">
      <c r="A124" s="223"/>
      <c r="B124" s="224"/>
      <c r="C124" s="225"/>
      <c r="D124" s="225"/>
      <c r="E124" s="227"/>
      <c r="F124" s="177"/>
      <c r="G124" s="177"/>
      <c r="H124" s="227"/>
      <c r="I124" s="227"/>
      <c r="J124" s="228"/>
      <c r="K124" s="228"/>
      <c r="L124" s="111"/>
      <c r="M124" s="111"/>
      <c r="N124" s="111"/>
      <c r="O124" s="117"/>
      <c r="P124" s="117"/>
      <c r="Q124" s="111"/>
      <c r="R124" s="111"/>
      <c r="S124" s="111"/>
      <c r="T124" s="111"/>
      <c r="U124" s="111"/>
      <c r="V124" s="111"/>
    </row>
    <row r="125">
      <c r="A125" s="284" t="str">
        <f>'テンプレート'!A107</f>
        <v>回避</v>
      </c>
      <c r="B125" s="104"/>
      <c r="C125" s="265"/>
      <c r="D125" s="111"/>
      <c r="E125" s="111"/>
      <c r="F125" s="111"/>
      <c r="G125" s="111"/>
      <c r="H125" s="111"/>
      <c r="I125" s="111"/>
      <c r="J125" s="118"/>
      <c r="K125" s="111"/>
      <c r="L125" s="111"/>
      <c r="M125" s="111"/>
      <c r="N125" s="111"/>
      <c r="O125" s="111"/>
      <c r="P125" s="111"/>
      <c r="Q125" s="118"/>
      <c r="R125" s="111"/>
      <c r="S125" s="111"/>
      <c r="T125" s="111"/>
      <c r="U125" s="111"/>
      <c r="V125" s="111"/>
    </row>
    <row r="126" outlineLevel="1">
      <c r="A126" s="106"/>
      <c r="B126" s="107"/>
      <c r="C126" s="285" t="s">
        <v>235</v>
      </c>
      <c r="D126" s="285" t="s">
        <v>236</v>
      </c>
      <c r="E126" s="285" t="s">
        <v>49</v>
      </c>
      <c r="F126" s="285" t="s">
        <v>237</v>
      </c>
      <c r="G126" s="286"/>
      <c r="H126" s="227"/>
      <c r="I126" s="227"/>
      <c r="J126" s="228"/>
      <c r="K126" s="228"/>
      <c r="L126" s="111"/>
      <c r="M126" s="111"/>
      <c r="N126" s="111"/>
      <c r="O126" s="111"/>
      <c r="P126" s="111"/>
      <c r="Q126" s="111"/>
      <c r="R126" s="111"/>
      <c r="S126" s="111"/>
      <c r="T126" s="111"/>
      <c r="U126" s="111"/>
      <c r="V126" s="111"/>
    </row>
    <row r="127" outlineLevel="1">
      <c r="A127" s="287" t="str">
        <f>'テンプレート'!A109</f>
        <v>地上回避</v>
      </c>
      <c r="B127" s="288" t="str">
        <f>'テンプレート'!B109</f>
        <v>その場</v>
      </c>
      <c r="C127" s="113" t="str">
        <f t="array" ref="C127">INDEX('回避'!$C$3:$U$84, MATCH($A$1,'回避'!$A$3:$A$91,0), MATCH(C126,'回避'!$C$2:$F$2,0))</f>
        <v>3-17</v>
      </c>
      <c r="D127" s="113" t="str">
        <f t="array" ref="D127">INDEX('回避'!$C$3:$U$84, MATCH($A$1,'回避'!$A$3:$A$91,0), MATCH(D126,'回避'!$C$2:$F$2,0))</f>
        <v>6-17</v>
      </c>
      <c r="E127" s="113" t="str">
        <f t="array" ref="E127">INDEX('回避'!$C$3:$U$84, MATCH($A$1,'回避'!$A$3:$A$91,0), MATCH(E126,'回避'!$C$2:$F$2,0))</f>
        <v>26 (21)</v>
      </c>
      <c r="F127" s="113" t="str">
        <f t="array" ref="F127">INDEX('回避'!$C$3:$U$84, MATCH($A$1,'回避'!$A$3:$A$91,0), MATCH(F126,'回避'!$C$2:$F$2,0))</f>
        <v>35 (28)</v>
      </c>
      <c r="G127" s="272"/>
      <c r="H127" s="227"/>
      <c r="I127" s="227"/>
      <c r="J127" s="228"/>
      <c r="K127" s="228"/>
      <c r="L127" s="228"/>
      <c r="M127" s="111"/>
      <c r="N127" s="111"/>
      <c r="O127" s="111"/>
      <c r="P127" s="111"/>
      <c r="Q127" s="111"/>
      <c r="R127" s="111"/>
      <c r="S127" s="111"/>
      <c r="T127" s="111"/>
      <c r="U127" s="111"/>
      <c r="V127" s="111"/>
    </row>
    <row r="128" outlineLevel="1">
      <c r="A128" s="212"/>
      <c r="B128" s="288" t="str">
        <f>'テンプレート'!B110</f>
        <v>前方</v>
      </c>
      <c r="C128" s="113" t="str">
        <f t="array" ref="C128">INDEX('回避'!$G$3:$U$84, MATCH($A$1,'回避'!$A$3:$A$91,0), MATCH(C126,'回避'!$G$2:$J$2,0))</f>
        <v>4-15</v>
      </c>
      <c r="D128" s="113" t="str">
        <f t="array" ref="D128">INDEX('回避'!$G$3:$U$84, MATCH($A$1,'回避'!$A$3:$A$91,0), MATCH(D126,'回避'!$G$2:$J$2,0))</f>
        <v>8-14</v>
      </c>
      <c r="E128" s="113" t="str">
        <f t="array" ref="E128">INDEX('回避'!$G$3:$U$84, MATCH($A$1,'回避'!$A$3:$A$91,0), MATCH(E126,'回避'!$G$2:$J$2,0))</f>
        <v>30</v>
      </c>
      <c r="F128" s="113">
        <f t="array" ref="F128">INDEX('回避'!$G$3:$U$84, MATCH($A$1,'回避'!$A$3:$A$91,0), MATCH(F126,'回避'!$G$2:$J$2,0))</f>
        <v>40</v>
      </c>
      <c r="G128" s="289"/>
      <c r="H128" s="227"/>
      <c r="I128" s="227"/>
      <c r="J128" s="228"/>
      <c r="K128" s="228"/>
      <c r="L128" s="228"/>
      <c r="M128" s="228"/>
      <c r="N128" s="228"/>
      <c r="O128" s="111"/>
      <c r="P128" s="111"/>
      <c r="Q128" s="111"/>
      <c r="R128" s="111"/>
      <c r="S128" s="111"/>
      <c r="T128" s="111"/>
      <c r="U128" s="111"/>
      <c r="V128" s="111"/>
    </row>
    <row r="129" outlineLevel="1">
      <c r="A129" s="106"/>
      <c r="B129" s="288" t="str">
        <f>'テンプレート'!B111</f>
        <v>後方</v>
      </c>
      <c r="C129" s="113" t="str">
        <f t="array" ref="C129">INDEX('回避'!$K$3:$U$84, MATCH($A$1,'回避'!$A$3:$A$91,0), MATCH(C126,'回避'!$K$2:$N$2,0))</f>
        <v>5-16</v>
      </c>
      <c r="D129" s="113" t="str">
        <f t="array" ref="D129">INDEX('回避'!$K$3:$U$84, MATCH($A$1,'回避'!$A$3:$A$91,0), MATCH(D126,'回避'!$K$2:$N$2,0))</f>
        <v>9-14</v>
      </c>
      <c r="E129" s="113" t="str">
        <f t="array" ref="E129">INDEX('回避'!$K$3:$U$84, MATCH($A$1,'回避'!$A$3:$A$91,0), MATCH(E126,'回避'!$K$2:$N$2,0))</f>
        <v>35</v>
      </c>
      <c r="F129" s="113" t="str">
        <f t="array" ref="F129">INDEX('回避'!$K$3:$U$84, MATCH($A$1,'回避'!$A$3:$A$91,0), MATCH(F126,'回避'!$K$2:$N$2,0))</f>
        <v>53</v>
      </c>
      <c r="G129" s="289"/>
      <c r="H129" s="290"/>
      <c r="I129" s="290"/>
      <c r="J129" s="117"/>
      <c r="K129" s="117"/>
      <c r="L129" s="117"/>
      <c r="M129" s="117"/>
      <c r="N129" s="117"/>
      <c r="O129" s="111"/>
      <c r="P129" s="111"/>
      <c r="Q129" s="111"/>
      <c r="R129" s="111"/>
      <c r="S129" s="111"/>
      <c r="T129" s="111"/>
      <c r="U129" s="111"/>
      <c r="V129" s="111"/>
    </row>
    <row r="130" outlineLevel="1">
      <c r="A130" s="287" t="str">
        <f>'テンプレート'!A112</f>
        <v>空中回避</v>
      </c>
      <c r="B130" s="288" t="str">
        <f>'テンプレート'!B112</f>
        <v>通常</v>
      </c>
      <c r="C130" s="113" t="str">
        <f t="array" ref="C130">INDEX('回避'!$O$3:$U$84, MATCH($A$1,'回避'!$A$3:$A$91,0), MATCH(C126,'回避'!$O$2:$R$2,0))</f>
        <v>3-27</v>
      </c>
      <c r="D130" s="113" t="str">
        <f t="array" ref="D130">INDEX('回避'!$O$3:$U$84, MATCH($A$1,'回避'!$A$3:$A$91,0), MATCH(D126,'回避'!$O$2:$R$2,0))</f>
        <v>6-25</v>
      </c>
      <c r="E130" s="113" t="str">
        <f t="array" ref="E130">INDEX('回避'!$O$3:$U$84, MATCH($A$1,'回避'!$A$3:$A$91,0), MATCH(E126,'回避'!$O$2:$R$2,0))</f>
        <v>49</v>
      </c>
      <c r="F130" s="177"/>
      <c r="G130" s="177"/>
      <c r="H130" s="118"/>
      <c r="I130" s="118"/>
      <c r="J130" s="111"/>
      <c r="K130" s="111"/>
      <c r="L130" s="111"/>
      <c r="M130" s="111"/>
      <c r="N130" s="111"/>
      <c r="O130" s="228"/>
      <c r="P130" s="228"/>
      <c r="Q130" s="228"/>
      <c r="R130" s="228"/>
      <c r="S130" s="228"/>
      <c r="T130" s="228"/>
      <c r="U130" s="228"/>
      <c r="V130" s="228"/>
    </row>
    <row r="131" outlineLevel="1">
      <c r="A131" s="106"/>
      <c r="B131" s="288" t="str">
        <f>'テンプレート'!B113</f>
        <v>移動</v>
      </c>
      <c r="C131" s="113" t="str">
        <f t="array" ref="C131">INDEX('回避'!$S$3:$U$84, MATCH($A$1,'回避'!$A$3:$A$91,0), MATCH(C126,'回避'!$S$2:$U$2,0))</f>
        <v>3-21</v>
      </c>
      <c r="D131" s="113" t="str">
        <f t="array" ref="D131">INDEX('回避'!$S$3:$U$84, MATCH($A$1,'回避'!$A$3:$A$91,0), MATCH(D126,'回避'!$S$2:$U$2,0))</f>
        <v>6-20</v>
      </c>
      <c r="E131" s="113" t="str">
        <f t="array" ref="E131">INDEX('回避'!$S$3:$U$84, MATCH($A$1,'回避'!$A$3:$A$91,0), MATCH(E126,'回避'!$S$2:$U$2,0))</f>
        <v>真横：80
真上：102
真下：67</v>
      </c>
      <c r="F131" s="289"/>
      <c r="G131" s="289"/>
      <c r="H131" s="118"/>
      <c r="I131" s="118"/>
      <c r="J131" s="117"/>
      <c r="K131" s="117"/>
      <c r="L131" s="117"/>
      <c r="M131" s="117"/>
      <c r="N131" s="111"/>
      <c r="O131" s="118"/>
      <c r="P131" s="118"/>
      <c r="Q131" s="118"/>
      <c r="R131" s="118"/>
      <c r="S131" s="118"/>
      <c r="T131" s="118"/>
      <c r="U131" s="118"/>
      <c r="V131" s="118"/>
    </row>
    <row r="132">
      <c r="A132" s="291"/>
      <c r="B132" s="292"/>
      <c r="C132" s="286"/>
      <c r="D132" s="286"/>
      <c r="E132" s="293"/>
      <c r="F132" s="286"/>
      <c r="G132" s="286"/>
      <c r="H132" s="286"/>
      <c r="I132" s="286"/>
      <c r="J132" s="111"/>
      <c r="K132" s="227"/>
      <c r="L132" s="227"/>
      <c r="M132" s="227"/>
      <c r="N132" s="227"/>
      <c r="O132" s="118"/>
      <c r="P132" s="118"/>
      <c r="Q132" s="118"/>
      <c r="R132" s="118"/>
      <c r="S132" s="118"/>
      <c r="T132" s="118"/>
      <c r="U132" s="118"/>
      <c r="V132" s="118"/>
    </row>
    <row r="133">
      <c r="A133" s="2534" t="s">
        <v>238</v>
      </c>
      <c r="B133" s="104"/>
      <c r="C133" s="2535"/>
      <c r="D133" s="2536"/>
      <c r="E133" s="2535"/>
      <c r="F133" s="2537"/>
      <c r="G133" s="2537"/>
      <c r="H133" s="117"/>
      <c r="I133" s="117"/>
      <c r="J133" s="118"/>
      <c r="K133" s="118"/>
      <c r="L133" s="118"/>
      <c r="M133" s="118"/>
      <c r="N133" s="118"/>
      <c r="O133" s="118"/>
      <c r="P133" s="118"/>
      <c r="Q133" s="118"/>
      <c r="R133" s="118"/>
      <c r="S133" s="118"/>
      <c r="T133" s="118"/>
      <c r="U133" s="118"/>
      <c r="V133" s="118"/>
    </row>
    <row r="134" outlineLevel="1">
      <c r="A134" s="106"/>
      <c r="B134" s="107"/>
      <c r="C134" s="2538" t="s">
        <v>235</v>
      </c>
      <c r="D134" s="2538" t="s">
        <v>49</v>
      </c>
      <c r="E134" s="2538" t="s">
        <v>48</v>
      </c>
      <c r="F134" s="2538" t="s">
        <v>50</v>
      </c>
      <c r="G134" s="2539" t="s">
        <v>51</v>
      </c>
      <c r="H134" s="228"/>
      <c r="I134" s="228"/>
      <c r="J134" s="117"/>
      <c r="K134" s="297" t="str">
        <f>'テンプレート'!K116</f>
        <v>アイテム取得</v>
      </c>
      <c r="L134" s="109"/>
      <c r="M134" s="298" t="str">
        <f>'テンプレート'!M116</f>
        <v>取得フレーム</v>
      </c>
      <c r="N134" s="298" t="str">
        <f>'テンプレート'!N116</f>
        <v>全体フレーム</v>
      </c>
      <c r="O134" s="118"/>
      <c r="P134" s="118"/>
      <c r="Q134" s="118"/>
      <c r="R134" s="118"/>
      <c r="S134" s="118"/>
      <c r="T134" s="118"/>
      <c r="U134" s="118"/>
      <c r="V134" s="118"/>
    </row>
    <row r="135" outlineLevel="1">
      <c r="A135" s="299" t="s">
        <v>239</v>
      </c>
      <c r="B135" s="300" t="s">
        <v>240</v>
      </c>
      <c r="C135" s="1162"/>
      <c r="D135" s="518">
        <f t="array" ref="D135">INDEX('崖行動・受け身'!$C$3:$C127, MATCH($A$1,'崖行動・受け身'!$A$3:$A$115,0), MATCH(D134,'崖行動・受け身'!$C$2,0))</f>
        <v>19</v>
      </c>
      <c r="E135" s="1162"/>
      <c r="F135" s="1162"/>
      <c r="G135" s="1162"/>
      <c r="H135" s="228"/>
      <c r="I135" s="228"/>
      <c r="J135" s="111"/>
      <c r="K135" s="302" t="str">
        <f>'テンプレート'!K117</f>
        <v>小アイテム</v>
      </c>
      <c r="L135" s="303" t="str">
        <f>'テンプレート'!L117</f>
        <v>その場</v>
      </c>
      <c r="M135" s="113" t="s">
        <v>76</v>
      </c>
      <c r="N135" s="113">
        <v>7.0</v>
      </c>
      <c r="O135" s="118"/>
      <c r="P135" s="118"/>
      <c r="Q135" s="118"/>
      <c r="R135" s="118"/>
      <c r="S135" s="118"/>
      <c r="T135" s="118"/>
      <c r="U135" s="118"/>
      <c r="V135" s="118"/>
    </row>
    <row r="136" outlineLevel="1">
      <c r="A136" s="146"/>
      <c r="B136" s="300" t="s">
        <v>216</v>
      </c>
      <c r="C136" s="518" t="str">
        <f t="array" ref="C136">INDEX('崖行動・受け身'!$D$3:$E127, MATCH($A$1,'崖行動・受け身'!$A$3:$A$115,0), MATCH(C134,'崖行動・受け身'!$D$2:$E$2,0))</f>
        <v>1-33</v>
      </c>
      <c r="D136" s="518">
        <f t="array" ref="D136">INDEX('崖行動・受け身'!$D$3:$E127, MATCH($A$1,'崖行動・受け身'!$A$3:$A$115,0), MATCH(D134,'崖行動・受け身'!$D$2:$E$2,0))</f>
        <v>34</v>
      </c>
      <c r="E136" s="1162"/>
      <c r="F136" s="1162"/>
      <c r="G136" s="1162"/>
      <c r="H136" s="228"/>
      <c r="I136" s="228"/>
      <c r="J136" s="117"/>
      <c r="K136" s="156"/>
      <c r="L136" s="303" t="str">
        <f>'テンプレート'!L118</f>
        <v>歩き</v>
      </c>
      <c r="M136" s="113" t="s">
        <v>76</v>
      </c>
      <c r="N136" s="113">
        <v>19.0</v>
      </c>
      <c r="O136" s="118"/>
      <c r="P136" s="118"/>
      <c r="Q136" s="118"/>
      <c r="R136" s="118"/>
      <c r="S136" s="118"/>
      <c r="T136" s="118"/>
      <c r="U136" s="118"/>
      <c r="V136" s="118"/>
    </row>
    <row r="137" outlineLevel="1">
      <c r="A137" s="146"/>
      <c r="B137" s="300" t="s">
        <v>241</v>
      </c>
      <c r="C137" s="518" t="str">
        <f t="array" ref="C137">INDEX('崖行動・受け身'!$F$3:$G$115, MATCH($A$1,'崖行動・受け身'!$A$3:$A$115,0), MATCH(C134,'崖行動・受け身'!$F$2:$G$2,0))</f>
        <v>1-26</v>
      </c>
      <c r="D137" s="518">
        <f t="array" ref="D137">INDEX('崖行動・受け身'!$F$3:$G$115, MATCH($A$1,'崖行動・受け身'!$A$3:$A$115,0), MATCH(D134,'崖行動・受け身'!$F$2:$G$2,0))</f>
        <v>45</v>
      </c>
      <c r="E137" s="1162"/>
      <c r="F137" s="1162"/>
      <c r="G137" s="1162"/>
      <c r="H137" s="228"/>
      <c r="I137" s="228"/>
      <c r="J137" s="111"/>
      <c r="K137" s="304" t="str">
        <f>'テンプレート'!K119</f>
        <v>アイテム投擲</v>
      </c>
      <c r="L137" s="109"/>
      <c r="M137" s="298" t="str">
        <f>'テンプレート'!M119</f>
        <v>投擲フレーム</v>
      </c>
      <c r="N137" s="298" t="str">
        <f>'テンプレート'!N119</f>
        <v>全体フレーム</v>
      </c>
      <c r="O137" s="118"/>
      <c r="P137" s="118"/>
      <c r="Q137" s="118"/>
      <c r="R137" s="118"/>
      <c r="S137" s="118"/>
      <c r="T137" s="118"/>
      <c r="U137" s="118"/>
      <c r="V137" s="118"/>
    </row>
    <row r="138" outlineLevel="1">
      <c r="A138" s="146"/>
      <c r="B138" s="300" t="s">
        <v>242</v>
      </c>
      <c r="C138" s="518" t="str">
        <f t="array" ref="C138">INDEX('崖行動・受け身'!$H$3:$I$115, MATCH($A$1,'崖行動・受け身'!$A$3:$A$115,0), MATCH(C134,'崖行動・受け身'!$H$2:$I$2,0))</f>
        <v>1-12</v>
      </c>
      <c r="D138" s="518">
        <f t="array" ref="D138">INDEX('崖行動・受け身'!$H$3:$I$115, MATCH($A$1,'崖行動・受け身'!$A$3:$A$115,0), MATCH(D134,'崖行動・受け身'!$H$2:$I$2,0))</f>
        <v>14</v>
      </c>
      <c r="E138" s="1162"/>
      <c r="F138" s="1162"/>
      <c r="G138" s="1162"/>
      <c r="H138" s="228"/>
      <c r="I138" s="228"/>
      <c r="J138" s="117"/>
      <c r="K138" s="305" t="str">
        <f>'テンプレート'!K120</f>
        <v>地上投擲</v>
      </c>
      <c r="L138" s="303" t="str">
        <f>'テンプレート'!L120</f>
        <v>前投げ</v>
      </c>
      <c r="M138" s="113" t="s">
        <v>80</v>
      </c>
      <c r="N138" s="113">
        <v>24.0</v>
      </c>
      <c r="O138" s="111"/>
      <c r="P138" s="111"/>
      <c r="Q138" s="111"/>
      <c r="R138" s="111"/>
      <c r="S138" s="111"/>
      <c r="T138" s="111"/>
      <c r="U138" s="111"/>
      <c r="V138" s="111"/>
    </row>
    <row r="139" outlineLevel="1">
      <c r="A139" s="156"/>
      <c r="B139" s="300" t="s">
        <v>243</v>
      </c>
      <c r="C139" s="518" t="str">
        <f t="array" ref="C139">INDEX('崖行動・受け身'!$J$3:$M$115, MATCH($A$1,'崖行動・受け身'!$A$3:$A$115,0), MATCH(C134,'崖行動・受け身'!$J$2:$M$2,0))</f>
        <v>1-26</v>
      </c>
      <c r="D139" s="518">
        <f t="array" ref="D139">INDEX('崖行動・受け身'!$J$3:$M$115, MATCH($A$1,'崖行動・受け身'!$A$3:$A$115,0), MATCH(D134,'崖行動・受け身'!$J$2:$M$2,0))</f>
        <v>55</v>
      </c>
      <c r="E139" s="518" t="str">
        <f t="array" ref="E139">INDEX('崖行動・受け身'!$J$3:$M$115, MATCH($A$1,'崖行動・受け身'!$A$3:$A$115,0), MATCH(E134,'崖行動・受け身'!$J$2:$M$2,0))</f>
        <v>24-26</v>
      </c>
      <c r="F139" s="518">
        <f t="array" ref="F139">INDEX('崖行動・受け身'!$J$3:$M$115, MATCH($A$1,'崖行動・受け身'!$A$3:$A$115,0), MATCH(F134,'崖行動・受け身'!$J$2:$M$2,0))</f>
        <v>10</v>
      </c>
      <c r="G139" s="518">
        <f>F139*1.2</f>
        <v>12</v>
      </c>
      <c r="H139" s="228"/>
      <c r="I139" s="228"/>
      <c r="J139" s="111"/>
      <c r="K139" s="146"/>
      <c r="L139" s="303" t="str">
        <f>'テンプレート'!L121</f>
        <v>後投げ</v>
      </c>
      <c r="M139" s="113" t="s">
        <v>232</v>
      </c>
      <c r="N139" s="113">
        <v>24.0</v>
      </c>
      <c r="O139" s="111"/>
      <c r="P139" s="111"/>
      <c r="Q139" s="111"/>
      <c r="R139" s="111"/>
      <c r="S139" s="111"/>
      <c r="T139" s="111"/>
      <c r="U139" s="111"/>
      <c r="V139" s="111"/>
    </row>
    <row r="140" outlineLevel="1">
      <c r="A140" s="299" t="s">
        <v>244</v>
      </c>
      <c r="B140" s="300" t="s">
        <v>216</v>
      </c>
      <c r="C140" s="518" t="str">
        <f t="array" ref="C140">INDEX('崖行動・受け身'!$N$3:$O$115, MATCH($A$1,'崖行動・受け身'!$A$3:$A$115,0), MATCH(C134,'崖行動・受け身'!$N$2:$O$2,0))</f>
        <v>1-20</v>
      </c>
      <c r="D140" s="518">
        <f t="array" ref="D140">INDEX('崖行動・受け身'!$N$3:$O$115, MATCH($A$1,'崖行動・受け身'!$A$3:$A$115,0), MATCH(D134,'崖行動・受け身'!$N$2:$O$2,0))</f>
        <v>26</v>
      </c>
      <c r="E140" s="1162"/>
      <c r="F140" s="1162"/>
      <c r="G140" s="1162"/>
      <c r="H140" s="228"/>
      <c r="I140" s="228"/>
      <c r="J140" s="117"/>
      <c r="K140" s="146"/>
      <c r="L140" s="303" t="str">
        <f>'テンプレート'!L122</f>
        <v>上投げ</v>
      </c>
      <c r="M140" s="113" t="s">
        <v>129</v>
      </c>
      <c r="N140" s="113">
        <v>23.0</v>
      </c>
      <c r="O140" s="228"/>
      <c r="P140" s="228"/>
      <c r="Q140" s="228"/>
      <c r="R140" s="228"/>
      <c r="S140" s="228"/>
      <c r="T140" s="228"/>
      <c r="U140" s="228"/>
      <c r="V140" s="228"/>
    </row>
    <row r="141" outlineLevel="1">
      <c r="A141" s="146"/>
      <c r="B141" s="300" t="s">
        <v>245</v>
      </c>
      <c r="C141" s="518" t="str">
        <f t="array" ref="C141">INDEX('崖行動・受け身'!$P$3:$Q$115, MATCH($A$1,'崖行動・受け身'!$A$3:$A$115,0), MATCH(C134,'崖行動・受け身'!$P$2:$Q$2,0))</f>
        <v>1-20</v>
      </c>
      <c r="D141" s="518">
        <f t="array" ref="D141">INDEX('崖行動・受け身'!$P$3:$Q$115, MATCH($A$1,'崖行動・受け身'!$A$3:$A$115,0), MATCH(D134,'崖行動・受け身'!$P$2:$Q$2,0))</f>
        <v>40</v>
      </c>
      <c r="E141" s="1162"/>
      <c r="F141" s="1162"/>
      <c r="G141" s="1162"/>
      <c r="H141" s="228"/>
      <c r="I141" s="228"/>
      <c r="J141" s="111"/>
      <c r="K141" s="146"/>
      <c r="L141" s="303" t="str">
        <f>'テンプレート'!L123</f>
        <v>下投げ</v>
      </c>
      <c r="M141" s="113" t="s">
        <v>80</v>
      </c>
      <c r="N141" s="113">
        <v>19.0</v>
      </c>
      <c r="O141" s="118"/>
      <c r="P141" s="118"/>
      <c r="Q141" s="118"/>
      <c r="R141" s="118"/>
      <c r="S141" s="118"/>
      <c r="T141" s="118"/>
      <c r="U141" s="118"/>
      <c r="V141" s="118"/>
    </row>
    <row r="142" outlineLevel="1">
      <c r="A142" s="156"/>
      <c r="B142" s="300" t="s">
        <v>246</v>
      </c>
      <c r="C142" s="518" t="str">
        <f t="array" ref="C142">INDEX('崖行動・受け身'!$R$3:$S$115, MATCH($A$1,'崖行動・受け身'!$A$3:$A$115,0), MATCH(C134,'崖行動・受け身'!$R$2:$S$2,0))</f>
        <v>1-20</v>
      </c>
      <c r="D142" s="518">
        <f t="array" ref="D142">INDEX('崖行動・受け身'!$R$3:$S$115, MATCH($A$1,'崖行動・受け身'!$A$3:$A$115,0), MATCH(D134,'崖行動・受け身'!$R$2:$S$2,0))</f>
        <v>40</v>
      </c>
      <c r="E142" s="1162"/>
      <c r="F142" s="1162"/>
      <c r="G142" s="1162"/>
      <c r="H142" s="228"/>
      <c r="I142" s="228"/>
      <c r="J142" s="117"/>
      <c r="K142" s="146"/>
      <c r="L142" s="306" t="str">
        <f>'テンプレート'!L124</f>
        <v>ダッシュ</v>
      </c>
      <c r="M142" s="113" t="s">
        <v>150</v>
      </c>
      <c r="N142" s="113">
        <v>37.0</v>
      </c>
      <c r="O142" s="118"/>
      <c r="P142" s="118"/>
      <c r="Q142" s="118"/>
      <c r="R142" s="118"/>
      <c r="S142" s="118"/>
      <c r="T142" s="118"/>
      <c r="U142" s="118"/>
      <c r="V142" s="118"/>
    </row>
    <row r="143" outlineLevel="1">
      <c r="A143" s="299" t="s">
        <v>247</v>
      </c>
      <c r="B143" s="300" t="s">
        <v>248</v>
      </c>
      <c r="C143" s="1162"/>
      <c r="D143" s="518" t="str">
        <f t="array" ref="D143">INDEX('起きあがり'!$C$3:$C127, MATCH($A$1,'起きあがり'!$A$3:$A$115,0), MATCH(D134,'起きあがり'!$C$2:$AD$2,0))</f>
        <v>25</v>
      </c>
      <c r="E143" s="1162"/>
      <c r="F143" s="1162"/>
      <c r="G143" s="1162"/>
      <c r="H143" s="228"/>
      <c r="I143" s="228"/>
      <c r="J143" s="111"/>
      <c r="K143" s="156"/>
      <c r="L143" s="306" t="str">
        <f>'テンプレート'!L125</f>
        <v>その場捨て</v>
      </c>
      <c r="M143" s="113" t="s">
        <v>86</v>
      </c>
      <c r="N143" s="113">
        <v>23.0</v>
      </c>
      <c r="O143" s="118"/>
      <c r="P143" s="118"/>
      <c r="Q143" s="118"/>
      <c r="R143" s="118"/>
      <c r="S143" s="118"/>
      <c r="T143" s="118"/>
      <c r="U143" s="118"/>
      <c r="V143" s="118"/>
    </row>
    <row r="144" outlineLevel="1">
      <c r="A144" s="146"/>
      <c r="B144" s="300" t="s">
        <v>216</v>
      </c>
      <c r="C144" s="2540" t="str">
        <f t="array" ref="C144">INDEX('起きあがり'!$D$3:$E127, MATCH($A$1,'起きあがり'!$A$3:$A$115,0), MATCH(C134,'起きあがり'!$D$2:$AD$2,0))</f>
        <v>1-22</v>
      </c>
      <c r="D144" s="2541">
        <f t="array" ref="D144">INDEX('起きあがり'!$D$3:$E127, MATCH($A$1,'起きあがり'!$A$3:$A$115,0), MATCH(D134,'起きあがり'!$D$2:$AD$2,0))</f>
        <v>29</v>
      </c>
      <c r="E144" s="1162"/>
      <c r="F144" s="1162"/>
      <c r="G144" s="1162"/>
      <c r="H144" s="228"/>
      <c r="I144" s="228"/>
      <c r="J144" s="117"/>
      <c r="K144" s="305" t="str">
        <f>'テンプレート'!K126</f>
        <v>空中投擲</v>
      </c>
      <c r="L144" s="303" t="str">
        <f>'テンプレート'!L126</f>
        <v>前投げ</v>
      </c>
      <c r="M144" s="113" t="s">
        <v>80</v>
      </c>
      <c r="N144" s="113">
        <v>24.0</v>
      </c>
      <c r="O144" s="118"/>
      <c r="P144" s="118"/>
      <c r="Q144" s="118"/>
      <c r="R144" s="118"/>
      <c r="S144" s="118"/>
      <c r="T144" s="118"/>
      <c r="U144" s="118"/>
      <c r="V144" s="118"/>
    </row>
    <row r="145" outlineLevel="1">
      <c r="A145" s="146"/>
      <c r="B145" s="300" t="s">
        <v>245</v>
      </c>
      <c r="C145" s="2540" t="str">
        <f t="array" ref="C145">INDEX('起きあがり'!$F$3:$G$115, MATCH($A$1,'起きあがり'!$A$3:$A$115,0), MATCH(C134,'起きあがり'!$F$2:$AD$2,0))</f>
        <v>1-23</v>
      </c>
      <c r="D145" s="2541">
        <f t="array" ref="D145">INDEX('起きあがり'!$F$3:$G$115, MATCH($A$1,'起きあがり'!$A$3:$A$115,0), MATCH(D134,'起きあがり'!$F$2:$AD$2,0))</f>
        <v>35</v>
      </c>
      <c r="E145" s="1162"/>
      <c r="F145" s="1162"/>
      <c r="G145" s="1162"/>
      <c r="H145" s="228"/>
      <c r="I145" s="228"/>
      <c r="J145" s="111"/>
      <c r="K145" s="146"/>
      <c r="L145" s="303" t="str">
        <f>'テンプレート'!L127</f>
        <v>後投げ</v>
      </c>
      <c r="M145" s="113" t="s">
        <v>232</v>
      </c>
      <c r="N145" s="113">
        <v>24.0</v>
      </c>
      <c r="O145" s="118"/>
      <c r="P145" s="118"/>
      <c r="Q145" s="118"/>
      <c r="R145" s="118"/>
      <c r="S145" s="118"/>
      <c r="T145" s="118"/>
      <c r="U145" s="118"/>
      <c r="V145" s="118"/>
    </row>
    <row r="146" outlineLevel="1">
      <c r="A146" s="146"/>
      <c r="B146" s="300" t="s">
        <v>246</v>
      </c>
      <c r="C146" s="518" t="str">
        <f t="array" ref="C146">INDEX('起きあがり'!$H$3:$I$115, MATCH($A$1,'起きあがり'!$A$3:$A$115,0), MATCH(C134,'起きあがり'!$H$2:$AD$2,0))</f>
        <v>1-19</v>
      </c>
      <c r="D146" s="518">
        <f t="array" ref="D146">INDEX('起きあがり'!$H$3:$I$115, MATCH($A$1,'起きあがり'!$A$3:$A$115,0), MATCH(D134,'起きあがり'!$H$2:$AD$2,0))</f>
        <v>35</v>
      </c>
      <c r="E146" s="1162"/>
      <c r="F146" s="1162"/>
      <c r="G146" s="1162"/>
      <c r="H146" s="228"/>
      <c r="I146" s="228"/>
      <c r="J146" s="117"/>
      <c r="K146" s="146"/>
      <c r="L146" s="303" t="str">
        <f>'テンプレート'!L128</f>
        <v>上投げ</v>
      </c>
      <c r="M146" s="113" t="s">
        <v>129</v>
      </c>
      <c r="N146" s="113">
        <v>23.0</v>
      </c>
      <c r="O146" s="118"/>
      <c r="P146" s="118"/>
      <c r="Q146" s="118"/>
      <c r="R146" s="118"/>
      <c r="S146" s="118"/>
      <c r="T146" s="118"/>
      <c r="U146" s="118"/>
      <c r="V146" s="118"/>
    </row>
    <row r="147" outlineLevel="1">
      <c r="A147" s="146"/>
      <c r="B147" s="300" t="s">
        <v>249</v>
      </c>
      <c r="C147" s="2542" t="str">
        <f t="array" ref="C147">INDEX('起きあがり'!$J$3:$M$115, MATCH($A$1,'起きあがり'!$A$3:$A$115,0), MATCH(C134,'起きあがり'!$J$2:$AD$2,0))</f>
        <v>1-20</v>
      </c>
      <c r="D147" s="2543">
        <f t="array" ref="D147">INDEX('起きあがり'!$J$3:$M$115, MATCH($A$1,'起きあがり'!$A$3:$A$115,0), MATCH(D134,'起きあがり'!$J$2:$AD$2,0))</f>
        <v>45</v>
      </c>
      <c r="E147" s="2540" t="str">
        <f t="array" ref="E147">INDEX('起きあがり'!$J$3:$M$115, MATCH($A$1,'起きあがり'!$A$3:$A$115,0), MATCH(E134,'起きあがり'!$J$2:$AD$2,0))</f>
        <v>14-15</v>
      </c>
      <c r="F147" s="2541">
        <f t="array" ref="F147">INDEX('起きあがり'!$J$3:$M$115, MATCH($A$1,'起きあがり'!$A$3:$A$115,0), MATCH(F134,'起きあがり'!$J$2:$AD$2,0))</f>
        <v>7</v>
      </c>
      <c r="G147" s="518">
        <f t="shared" ref="G147:G148" si="2">F147*1.2</f>
        <v>8.4</v>
      </c>
      <c r="H147" s="228"/>
      <c r="I147" s="228"/>
      <c r="J147" s="111"/>
      <c r="K147" s="156"/>
      <c r="L147" s="303" t="str">
        <f>'テンプレート'!L129</f>
        <v>下投げ</v>
      </c>
      <c r="M147" s="113" t="s">
        <v>93</v>
      </c>
      <c r="N147" s="113">
        <v>19.0</v>
      </c>
      <c r="O147" s="111"/>
      <c r="P147" s="111"/>
      <c r="Q147" s="111"/>
      <c r="R147" s="111"/>
      <c r="S147" s="111"/>
      <c r="T147" s="111"/>
      <c r="U147" s="111"/>
      <c r="V147" s="111"/>
    </row>
    <row r="148" outlineLevel="1">
      <c r="A148" s="156"/>
      <c r="B148" s="311" t="s">
        <v>250</v>
      </c>
      <c r="C148" s="107"/>
      <c r="D148" s="107"/>
      <c r="E148" s="2540" t="str">
        <f t="array" ref="E148">INDEX('起きあがり'!$N$3:$O$115, MATCH($A$1,'起きあがり'!$A$3:$A$115,0), MATCH(E134,'起きあがり'!$N$2:$AD$2,0))</f>
        <v>19-20</v>
      </c>
      <c r="F148" s="2541">
        <f t="array" ref="F148">INDEX('起きあがり'!$N$3:$O$115, MATCH($A$1,'起きあがり'!$A$3:$A$115,0), MATCH(F134,'起きあがり'!$N$2:$AD$2,0))</f>
        <v>7</v>
      </c>
      <c r="G148" s="518">
        <f t="shared" si="2"/>
        <v>8.4</v>
      </c>
      <c r="H148" s="228"/>
      <c r="I148" s="228"/>
      <c r="J148" s="111"/>
      <c r="K148" s="312" t="str">
        <f>'テンプレート'!K130</f>
        <v>踏み台ジャンプ</v>
      </c>
      <c r="L148" s="168"/>
      <c r="M148" s="298" t="str">
        <f>'テンプレート'!M130</f>
        <v>全体フレーム</v>
      </c>
      <c r="N148" s="114"/>
      <c r="O148" s="111"/>
      <c r="P148" s="111"/>
      <c r="Q148" s="111"/>
      <c r="R148" s="111"/>
      <c r="S148" s="111"/>
      <c r="T148" s="111"/>
      <c r="U148" s="111"/>
      <c r="V148" s="111"/>
    </row>
    <row r="149" outlineLevel="1">
      <c r="A149" s="299" t="s">
        <v>251</v>
      </c>
      <c r="B149" s="300" t="s">
        <v>248</v>
      </c>
      <c r="C149" s="1162"/>
      <c r="D149" s="2540" t="str">
        <f t="array" ref="D149">INDEX('起きあがり'!$C$3:$C127, MATCH($A$1,'起きあがり'!$A$3:$A$115,0), MATCH(D134,'起きあがり'!$C$2,0))</f>
        <v>25</v>
      </c>
      <c r="E149" s="1162"/>
      <c r="F149" s="1162"/>
      <c r="G149" s="1162"/>
      <c r="H149" s="228"/>
      <c r="I149" s="228"/>
      <c r="J149" s="117"/>
      <c r="K149" s="313" t="str">
        <f>'テンプレート'!K131</f>
        <v>踏み</v>
      </c>
      <c r="L149" s="314" t="str">
        <f>'テンプレート'!L131</f>
        <v>踏み</v>
      </c>
      <c r="M149" s="113">
        <v>8.0</v>
      </c>
      <c r="N149" s="2720"/>
      <c r="O149" s="111"/>
      <c r="P149" s="111"/>
      <c r="Q149" s="111"/>
      <c r="R149" s="111"/>
      <c r="S149" s="111"/>
      <c r="T149" s="111"/>
      <c r="U149" s="111"/>
      <c r="V149" s="111"/>
    </row>
    <row r="150" outlineLevel="1">
      <c r="A150" s="146"/>
      <c r="B150" s="300" t="s">
        <v>216</v>
      </c>
      <c r="C150" s="2540" t="str">
        <f t="array" ref="C150">INDEX('起きあがり'!$P$3:$Q$115, MATCH($A$1,'起きあがり'!$A$3:$A$115,0), MATCH(C134,'起きあがり'!$P$2:$AD$2,0))</f>
        <v>1-22</v>
      </c>
      <c r="D150" s="2541">
        <f t="array" ref="D150">INDEX('起きあがり'!$P$3:$Q$115, MATCH($A$1,'起きあがり'!$A$3:$A$115,0), MATCH(D134,'起きあがり'!$P$2:$AD$2,0))</f>
        <v>29</v>
      </c>
      <c r="E150" s="1162"/>
      <c r="F150" s="1162"/>
      <c r="G150" s="1162"/>
      <c r="H150" s="228"/>
      <c r="I150" s="228"/>
      <c r="J150" s="111"/>
      <c r="K150" s="305" t="str">
        <f>'テンプレート'!K132</f>
        <v>踏まれ</v>
      </c>
      <c r="L150" s="314" t="str">
        <f>'テンプレート'!L132</f>
        <v>地上踏まれ</v>
      </c>
      <c r="M150" s="113" t="s">
        <v>76</v>
      </c>
      <c r="N150" s="2720"/>
      <c r="O150" s="228"/>
      <c r="P150" s="228"/>
      <c r="Q150" s="228"/>
      <c r="R150" s="228"/>
      <c r="S150" s="228"/>
      <c r="T150" s="228"/>
      <c r="U150" s="228"/>
      <c r="V150" s="228"/>
    </row>
    <row r="151" outlineLevel="1">
      <c r="A151" s="146"/>
      <c r="B151" s="300" t="s">
        <v>245</v>
      </c>
      <c r="C151" s="2540" t="str">
        <f t="array" ref="C151">INDEX('起きあがり'!$R$3:$S$115, MATCH($A$1,'起きあがり'!$A$3:$A$115,0), MATCH(C134,'起きあがり'!$R$2:$AD$2,0))</f>
        <v>1-19</v>
      </c>
      <c r="D151" s="2541">
        <f t="array" ref="D151">INDEX('起きあがり'!$R$3:$S$115, MATCH($A$1,'起きあがり'!$A$3:$A$115,0), MATCH(D134,'起きあがり'!$R$2:$AD$2,0))</f>
        <v>35</v>
      </c>
      <c r="E151" s="1162"/>
      <c r="F151" s="1162"/>
      <c r="G151" s="1162"/>
      <c r="H151" s="228"/>
      <c r="I151" s="228"/>
      <c r="J151" s="117"/>
      <c r="K151" s="146"/>
      <c r="L151" s="314" t="str">
        <f>'テンプレート'!L133</f>
        <v>地上硬直</v>
      </c>
      <c r="M151" s="113">
        <v>28.0</v>
      </c>
      <c r="N151" s="102"/>
      <c r="O151" s="118"/>
      <c r="P151" s="118"/>
      <c r="Q151" s="118"/>
      <c r="R151" s="118"/>
      <c r="S151" s="118"/>
      <c r="T151" s="118"/>
      <c r="U151" s="118"/>
      <c r="V151" s="118"/>
    </row>
    <row r="152" outlineLevel="1">
      <c r="A152" s="146"/>
      <c r="B152" s="300" t="s">
        <v>246</v>
      </c>
      <c r="C152" s="2540" t="str">
        <f t="array" ref="C152">INDEX('起きあがり'!$T$3:$U$115, MATCH($A$1,'起きあがり'!$A$3:$A$115,0), MATCH(C134,'起きあがり'!$T$2:$AD$2,0))</f>
        <v>1-25</v>
      </c>
      <c r="D152" s="2541">
        <f t="array" ref="D152">INDEX('起きあがり'!$T$3:$U$115, MATCH($A$1,'起きあがり'!$A$3:$A$115,0), MATCH(D134,'起きあがり'!$T$2:$AD$2,0))</f>
        <v>35</v>
      </c>
      <c r="E152" s="1162"/>
      <c r="F152" s="1162"/>
      <c r="G152" s="1162"/>
      <c r="H152" s="228"/>
      <c r="I152" s="228"/>
      <c r="J152" s="111"/>
      <c r="K152" s="146"/>
      <c r="L152" s="314" t="str">
        <f>'テンプレート'!L134</f>
        <v>空中踏まれ</v>
      </c>
      <c r="M152" s="113">
        <v>8.0</v>
      </c>
      <c r="N152" s="102"/>
      <c r="O152" s="118"/>
      <c r="P152" s="118"/>
      <c r="Q152" s="118"/>
      <c r="R152" s="118"/>
      <c r="S152" s="118"/>
      <c r="T152" s="118"/>
      <c r="U152" s="118"/>
      <c r="V152" s="118"/>
    </row>
    <row r="153" outlineLevel="1">
      <c r="A153" s="146"/>
      <c r="B153" s="300" t="s">
        <v>249</v>
      </c>
      <c r="C153" s="2542" t="str">
        <f t="array" ref="C153">INDEX('起きあがり'!$V$3:$Y$115, MATCH($A$1,'起きあがり'!$A$3:$A$115,0), MATCH(C134,'起きあがり'!$V$2:$AD$2,0))</f>
        <v>1-20</v>
      </c>
      <c r="D153" s="2543">
        <f t="array" ref="D153">INDEX('起きあがり'!$V$3:$Y$115, MATCH($A$1,'起きあがり'!$A$3:$A$115,0), MATCH(D134,'起きあがり'!$V$2:$AD$2,0))</f>
        <v>45</v>
      </c>
      <c r="E153" s="2540" t="str">
        <f t="array" ref="E153">INDEX('起きあがり'!$V$3:$Y$115, MATCH($A$1,'起きあがり'!$A$3:$A$115,0), MATCH(E134,'起きあがり'!$V$2:$AD$2,0))</f>
        <v>14-15</v>
      </c>
      <c r="F153" s="2541">
        <f t="array" ref="F153">INDEX('起きあがり'!$V$3:$Y$115, MATCH($A$1,'起きあがり'!$A$3:$A$115,0), MATCH(F134,'起きあがり'!$V$2:$AD$2,0))</f>
        <v>7</v>
      </c>
      <c r="G153" s="518">
        <f t="shared" ref="G153:G154" si="3">F153*1.2</f>
        <v>8.4</v>
      </c>
      <c r="H153" s="228"/>
      <c r="I153" s="228"/>
      <c r="J153" s="117"/>
      <c r="K153" s="146"/>
      <c r="L153" s="314" t="str">
        <f>'テンプレート'!L135</f>
        <v>空中落下</v>
      </c>
      <c r="M153" s="113">
        <v>36.0</v>
      </c>
      <c r="N153" s="102"/>
      <c r="O153" s="118"/>
      <c r="P153" s="118"/>
      <c r="Q153" s="118"/>
      <c r="R153" s="118"/>
      <c r="S153" s="118"/>
      <c r="T153" s="118"/>
      <c r="U153" s="118"/>
      <c r="V153" s="118"/>
    </row>
    <row r="154" outlineLevel="1">
      <c r="A154" s="156"/>
      <c r="B154" s="311" t="s">
        <v>250</v>
      </c>
      <c r="C154" s="107"/>
      <c r="D154" s="107"/>
      <c r="E154" s="2540" t="str">
        <f t="array" ref="E154">INDEX('起きあがり'!$Z$3:$AA$115, MATCH($A$1,'起きあがり'!$A$3:$A$115,0), MATCH(E134,'起きあがり'!$Z$2:$AD$2,0))</f>
        <v>19-20</v>
      </c>
      <c r="F154" s="2541">
        <f t="array" ref="F154">INDEX('起きあがり'!$Z$3:$AA$115, MATCH($A$1,'起きあがり'!$A$3:$A$115,0), MATCH(F134,'起きあがり'!$Z$2:$AD$2,0))</f>
        <v>7</v>
      </c>
      <c r="G154" s="518">
        <f t="shared" si="3"/>
        <v>8.4</v>
      </c>
      <c r="H154" s="228"/>
      <c r="I154" s="228"/>
      <c r="J154" s="117"/>
      <c r="K154" s="304" t="str">
        <f>'テンプレート'!K136</f>
        <v>倒れダメージ</v>
      </c>
      <c r="L154" s="110"/>
      <c r="M154" s="298" t="str">
        <f>'テンプレート'!M136</f>
        <v>全体フレーム</v>
      </c>
      <c r="N154" s="102"/>
      <c r="O154" s="118"/>
      <c r="P154" s="118"/>
      <c r="Q154" s="118"/>
      <c r="R154" s="118"/>
      <c r="S154" s="118"/>
      <c r="T154" s="118"/>
      <c r="U154" s="118"/>
      <c r="V154" s="118"/>
    </row>
    <row r="155" outlineLevel="1">
      <c r="A155" s="299" t="s">
        <v>252</v>
      </c>
      <c r="B155" s="300" t="s">
        <v>253</v>
      </c>
      <c r="C155" s="2540" t="str">
        <f t="array" ref="C155">INDEX('転倒'!$C$3:$D127, MATCH($A$1,'転倒'!$A$3:$A$115,0), MATCH(C134,'転倒'!$C$2:$AC$2,0))</f>
        <v>1-5</v>
      </c>
      <c r="D155" s="2541">
        <f t="array" ref="D155">INDEX('転倒'!$C$3:$D127, MATCH($A$1,'転倒'!$A$3:$A$115,0), MATCH(D134,'転倒'!$C$2:$AC$2,0))</f>
        <v>29</v>
      </c>
      <c r="E155" s="1162"/>
      <c r="F155" s="1162"/>
      <c r="G155" s="1162"/>
      <c r="H155" s="228"/>
      <c r="I155" s="228"/>
      <c r="J155" s="111"/>
      <c r="K155" s="313" t="str">
        <f>'テンプレート'!K137</f>
        <v>あお向け倒れ</v>
      </c>
      <c r="L155" s="306" t="str">
        <f>'テンプレート'!L137</f>
        <v>モーション大</v>
      </c>
      <c r="M155" s="113">
        <v>39.0</v>
      </c>
      <c r="N155" s="2720"/>
      <c r="O155" s="118"/>
      <c r="P155" s="118"/>
      <c r="Q155" s="118"/>
      <c r="R155" s="118"/>
      <c r="S155" s="118"/>
      <c r="T155" s="118"/>
      <c r="U155" s="118"/>
      <c r="V155" s="118"/>
    </row>
    <row r="156" outlineLevel="1">
      <c r="A156" s="146"/>
      <c r="B156" s="300" t="s">
        <v>254</v>
      </c>
      <c r="C156" s="2540" t="str">
        <f t="array" ref="C156">INDEX('転倒'!$E$3:$F127, MATCH($A$1,'転倒'!$A$3:$A$115,0), MATCH(C134,'転倒'!$E$2:$AC$2,0))</f>
        <v>1-5</v>
      </c>
      <c r="D156" s="2541">
        <f t="array" ref="D156">INDEX('転倒'!$E$3:$F127, MATCH($A$1,'転倒'!$A$3:$A$115,0), MATCH(D134,'転倒'!$E$2:$AC$2,0))</f>
        <v>39</v>
      </c>
      <c r="E156" s="1162"/>
      <c r="F156" s="1162"/>
      <c r="G156" s="1162"/>
      <c r="H156" s="228"/>
      <c r="I156" s="228"/>
      <c r="J156" s="117"/>
      <c r="K156" s="313" t="str">
        <f>'テンプレート'!K138</f>
        <v>うつ伏せ倒れ</v>
      </c>
      <c r="L156" s="306" t="str">
        <f>'テンプレート'!L138</f>
        <v>モーション大</v>
      </c>
      <c r="M156" s="113" t="s">
        <v>118</v>
      </c>
      <c r="N156" s="2720"/>
      <c r="O156" s="118"/>
      <c r="P156" s="118"/>
      <c r="Q156" s="118"/>
      <c r="R156" s="118"/>
      <c r="S156" s="118"/>
      <c r="T156" s="118"/>
      <c r="U156" s="118"/>
      <c r="V156" s="118"/>
    </row>
    <row r="157" outlineLevel="1">
      <c r="A157" s="146"/>
      <c r="B157" s="300" t="s">
        <v>216</v>
      </c>
      <c r="C157" s="2540" t="str">
        <f t="array" ref="C157">INDEX('転倒'!$G$3:$H$115, MATCH($A$1,'転倒'!$A$3:$A$115,0), MATCH(C134,'転倒'!$G$2:$AC$2,0))</f>
        <v>1-16</v>
      </c>
      <c r="D157" s="2541">
        <f t="array" ref="D157">INDEX('転倒'!$G$3:$H$115, MATCH($A$1,'転倒'!$A$3:$A$115,0), MATCH(D134,'転倒'!$G$2:$AC$2,0))</f>
        <v>21</v>
      </c>
      <c r="E157" s="1162"/>
      <c r="F157" s="1162"/>
      <c r="G157" s="1162"/>
      <c r="H157" s="228"/>
      <c r="I157" s="228"/>
      <c r="J157" s="111"/>
      <c r="K157" s="304" t="str">
        <f>'テンプレート'!K139</f>
        <v/>
      </c>
      <c r="L157" s="110"/>
      <c r="M157" s="298" t="str">
        <f>'テンプレート'!M139</f>
        <v/>
      </c>
      <c r="N157" s="102"/>
      <c r="O157" s="118"/>
      <c r="P157" s="118"/>
      <c r="Q157" s="118"/>
      <c r="R157" s="118"/>
      <c r="S157" s="118"/>
      <c r="T157" s="118"/>
      <c r="U157" s="118"/>
      <c r="V157" s="118"/>
    </row>
    <row r="158" outlineLevel="1">
      <c r="A158" s="146"/>
      <c r="B158" s="300" t="s">
        <v>245</v>
      </c>
      <c r="C158" s="2540" t="str">
        <f t="array" ref="C158">INDEX('転倒'!$I$3:$J$115, MATCH($A$1,'転倒'!$A$3:$A$115,0), MATCH(C134,'転倒'!$I$2:$AC$2,0))</f>
        <v>1-9</v>
      </c>
      <c r="D158" s="2541">
        <f t="array" ref="D158">INDEX('転倒'!$I$3:$J$115, MATCH($A$1,'転倒'!$A$3:$A$115,0), MATCH(D134,'転倒'!$I$2:$AC$2,0))</f>
        <v>28</v>
      </c>
      <c r="E158" s="1162"/>
      <c r="F158" s="1162"/>
      <c r="G158" s="1162"/>
      <c r="H158" s="228"/>
      <c r="I158" s="228"/>
      <c r="J158" s="228"/>
      <c r="K158" s="316"/>
      <c r="L158" s="317" t="str">
        <f>'テンプレート'!L140</f>
        <v/>
      </c>
      <c r="M158" s="113" t="s">
        <v>76</v>
      </c>
      <c r="N158" s="102"/>
      <c r="O158" s="118"/>
      <c r="P158" s="118"/>
      <c r="Q158" s="118"/>
      <c r="R158" s="118"/>
      <c r="S158" s="118"/>
      <c r="T158" s="118"/>
      <c r="U158" s="118"/>
      <c r="V158" s="118"/>
    </row>
    <row r="159" outlineLevel="1">
      <c r="A159" s="146"/>
      <c r="B159" s="300" t="s">
        <v>246</v>
      </c>
      <c r="C159" s="2540" t="str">
        <f t="array" ref="C159">INDEX('転倒'!$K$3:$L$115, MATCH($A$1,'転倒'!$A$3:$A$115,0), MATCH(C134,'転倒'!$K$2:$AC$2,0))</f>
        <v>1-9</v>
      </c>
      <c r="D159" s="2541">
        <f t="array" ref="D159">INDEX('転倒'!$K$3:$L$115, MATCH($A$1,'転倒'!$A$3:$A$115,0), MATCH(D134,'転倒'!$K$2:$AC$2,0))</f>
        <v>28</v>
      </c>
      <c r="E159" s="1162"/>
      <c r="F159" s="1162"/>
      <c r="G159" s="1162"/>
      <c r="H159" s="228"/>
      <c r="I159" s="228"/>
      <c r="J159" s="228"/>
      <c r="K159" s="102"/>
      <c r="L159" s="118"/>
      <c r="M159" s="118"/>
      <c r="N159" s="102"/>
      <c r="O159" s="118"/>
      <c r="P159" s="118"/>
      <c r="Q159" s="118"/>
      <c r="R159" s="118"/>
      <c r="S159" s="118"/>
      <c r="T159" s="118"/>
      <c r="U159" s="118"/>
      <c r="V159" s="118"/>
    </row>
    <row r="160" outlineLevel="1">
      <c r="A160" s="146"/>
      <c r="B160" s="300" t="s">
        <v>249</v>
      </c>
      <c r="C160" s="2542" t="str">
        <f t="array" ref="C160">INDEX('転倒'!$M$3:$P$115, MATCH($A$1,'転倒'!$A$3:$A$115,0), MATCH(C134,'転倒'!$M$2:$AC$2,0))</f>
        <v>1-7</v>
      </c>
      <c r="D160" s="2543">
        <f t="array" ref="D160">INDEX('転倒'!$M$3:$P$115, MATCH($A$1,'転倒'!$A$3:$A$115,0), MATCH(D134,'転倒'!$M$2:$AC$2,0))</f>
        <v>49</v>
      </c>
      <c r="E160" s="2540" t="str">
        <f t="array" ref="E160">INDEX('転倒'!$M$3:$P$115, MATCH($A$1,'転倒'!$A$3:$A$115,0), MATCH(E134,'転倒'!$M$2:$AC$2,0))</f>
        <v>19-20</v>
      </c>
      <c r="F160" s="2541">
        <f t="array" ref="F160">INDEX('転倒'!$M$3:$P$115, MATCH($A$1,'転倒'!$A$3:$A$115,0), MATCH(F134,'転倒'!$M$2:$AC$2,0))</f>
        <v>5</v>
      </c>
      <c r="G160" s="518">
        <f t="shared" ref="G160:G161" si="4">F160*1.2</f>
        <v>6</v>
      </c>
      <c r="H160" s="228"/>
      <c r="I160" s="228"/>
      <c r="J160" s="228"/>
      <c r="K160" s="118"/>
      <c r="L160" s="118"/>
      <c r="M160" s="118"/>
      <c r="N160" s="98"/>
      <c r="O160" s="98"/>
      <c r="P160" s="98"/>
      <c r="Q160" s="98"/>
      <c r="R160" s="118"/>
      <c r="S160" s="118"/>
      <c r="T160" s="118"/>
      <c r="U160" s="118"/>
      <c r="V160" s="118"/>
    </row>
    <row r="161" outlineLevel="1">
      <c r="A161" s="156"/>
      <c r="B161" s="311" t="s">
        <v>250</v>
      </c>
      <c r="C161" s="107"/>
      <c r="D161" s="107"/>
      <c r="E161" s="2540" t="str">
        <f t="array" ref="E161">INDEX('転倒'!$Q$3:$R$115, MATCH($A$1,'転倒'!$A$3:$A$115,0), MATCH(E134,'転倒'!$Q$2:$AC$2,0))</f>
        <v>24-25</v>
      </c>
      <c r="F161" s="2541">
        <f t="array" ref="F161">INDEX('転倒'!$Q$3:$R$115, MATCH($A$1,'転倒'!$A$3:$A$115,0), MATCH(F134,'転倒'!$Q$2:$AC$2,0))</f>
        <v>5</v>
      </c>
      <c r="G161" s="518">
        <f t="shared" si="4"/>
        <v>6</v>
      </c>
      <c r="H161" s="228"/>
      <c r="I161" s="228"/>
      <c r="J161" s="228"/>
      <c r="K161" s="118"/>
      <c r="L161" s="118"/>
      <c r="M161" s="118"/>
      <c r="N161" s="98"/>
      <c r="O161" s="98"/>
      <c r="P161" s="98"/>
      <c r="Q161" s="98"/>
      <c r="R161" s="118"/>
      <c r="S161" s="118"/>
      <c r="T161" s="118"/>
      <c r="U161" s="118"/>
      <c r="V161" s="118"/>
    </row>
    <row r="162" outlineLevel="1">
      <c r="A162" s="319"/>
      <c r="B162" s="320"/>
      <c r="C162" s="321"/>
      <c r="D162" s="321"/>
      <c r="E162" s="2544"/>
      <c r="F162" s="2545"/>
      <c r="G162" s="2546"/>
      <c r="H162" s="228"/>
      <c r="I162" s="228"/>
      <c r="J162" s="228"/>
      <c r="K162" s="118"/>
      <c r="L162" s="118"/>
      <c r="M162" s="118"/>
      <c r="N162" s="98"/>
      <c r="O162" s="98"/>
      <c r="P162" s="98"/>
      <c r="Q162" s="98"/>
      <c r="R162" s="118"/>
      <c r="S162" s="118"/>
      <c r="T162" s="118"/>
      <c r="U162" s="118"/>
      <c r="V162" s="118"/>
    </row>
    <row r="163" outlineLevel="1">
      <c r="A163" s="323" t="s">
        <v>255</v>
      </c>
      <c r="B163" s="109"/>
      <c r="C163" s="321"/>
      <c r="D163" s="321"/>
      <c r="E163" s="2544"/>
      <c r="F163" s="2545"/>
      <c r="G163" s="2546"/>
      <c r="H163" s="228"/>
      <c r="I163" s="228"/>
      <c r="J163" s="228"/>
      <c r="K163" s="118"/>
      <c r="L163" s="118"/>
      <c r="M163" s="118"/>
      <c r="N163" s="98"/>
      <c r="O163" s="98"/>
      <c r="P163" s="98"/>
      <c r="Q163" s="98"/>
      <c r="R163" s="118"/>
      <c r="S163" s="118"/>
      <c r="T163" s="118"/>
      <c r="U163" s="118"/>
      <c r="V163" s="118"/>
    </row>
    <row r="164" outlineLevel="1">
      <c r="A164" s="324" t="s">
        <v>256</v>
      </c>
      <c r="B164" s="109"/>
      <c r="C164" s="325" t="s">
        <v>257</v>
      </c>
      <c r="D164" s="325" t="s">
        <v>49</v>
      </c>
      <c r="E164" s="2544"/>
      <c r="F164" s="2545"/>
      <c r="G164" s="2546"/>
      <c r="H164" s="228"/>
      <c r="I164" s="228"/>
      <c r="J164" s="228"/>
      <c r="K164" s="118"/>
      <c r="L164" s="118"/>
      <c r="M164" s="118"/>
      <c r="N164" s="98"/>
      <c r="O164" s="98"/>
      <c r="P164" s="98"/>
      <c r="Q164" s="98"/>
      <c r="R164" s="118"/>
      <c r="S164" s="118"/>
      <c r="T164" s="118"/>
      <c r="U164" s="118"/>
      <c r="V164" s="118"/>
    </row>
    <row r="165" outlineLevel="1">
      <c r="A165" s="326" t="s">
        <v>258</v>
      </c>
      <c r="B165" s="327" t="s">
        <v>216</v>
      </c>
      <c r="C165" s="328" t="str">
        <f t="array" ref="C165">INDEX('アイテム'!$C$3:$D$114, MATCH($A$1,'アイテム'!$A$3:$A$114,0), MATCH(C164,'アイテム'!$C$2:$AQ$2,0))</f>
        <v>2</v>
      </c>
      <c r="D165" s="328">
        <f t="array" ref="D165">INDEX('アイテム'!$C$3:$D$114, MATCH($A$1,'アイテム'!$A$3:$A$114,0), MATCH(D164,'アイテム'!$C$2:$AQ$2,0))</f>
        <v>7</v>
      </c>
      <c r="E165" s="2544"/>
      <c r="F165" s="2545"/>
      <c r="G165" s="2546"/>
      <c r="H165" s="228"/>
      <c r="I165" s="228"/>
      <c r="J165" s="228"/>
      <c r="K165" s="118"/>
      <c r="L165" s="118"/>
      <c r="M165" s="118"/>
      <c r="N165" s="98"/>
      <c r="O165" s="98"/>
      <c r="P165" s="98"/>
      <c r="Q165" s="98"/>
      <c r="R165" s="118"/>
      <c r="S165" s="118"/>
      <c r="T165" s="118"/>
      <c r="U165" s="118"/>
      <c r="V165" s="118"/>
    </row>
    <row r="166" outlineLevel="1">
      <c r="A166" s="156"/>
      <c r="B166" s="327" t="s">
        <v>219</v>
      </c>
      <c r="C166" s="328" t="str">
        <f t="array" ref="C166">INDEX('アイテム'!$E$3:$F$114, MATCH($A$1,'アイテム'!$A$3:$A$114,0), MATCH(C164,'アイテム'!$C$2:$AQ$2,0))</f>
        <v>3</v>
      </c>
      <c r="D166" s="328">
        <f t="array" ref="D166">INDEX('アイテム'!$E$3:$F$114, MATCH($A$1,'アイテム'!$A$3:$A$114,0), MATCH(D164,'アイテム'!$C$2:$AQ$2,0))</f>
        <v>19</v>
      </c>
      <c r="E166" s="2544"/>
      <c r="F166" s="2545"/>
      <c r="G166" s="2546"/>
      <c r="H166" s="228"/>
      <c r="I166" s="228"/>
      <c r="J166" s="228"/>
      <c r="K166" s="118"/>
      <c r="L166" s="118"/>
      <c r="M166" s="118"/>
      <c r="N166" s="98"/>
      <c r="O166" s="98"/>
      <c r="P166" s="98"/>
      <c r="Q166" s="98"/>
      <c r="R166" s="118"/>
      <c r="S166" s="118"/>
      <c r="T166" s="118"/>
      <c r="U166" s="118"/>
      <c r="V166" s="118"/>
    </row>
    <row r="167" outlineLevel="1">
      <c r="A167" s="329" t="s">
        <v>259</v>
      </c>
      <c r="B167" s="327" t="s">
        <v>216</v>
      </c>
      <c r="C167" s="328">
        <f t="array" ref="C167">INDEX('アイテム'!$AA$3:$AB$114, MATCH($A$1,'アイテム'!$A$3:$A$114,0), MATCH(C164,'アイテム'!$C$2:$AQ$2,0))</f>
        <v>3</v>
      </c>
      <c r="D167" s="328" t="str">
        <f t="array" ref="D167">INDEX('アイテム'!$AA$3:$AB$114, MATCH($A$1,'アイテム'!$A$3:$A$114,0), MATCH(D164,'アイテム'!$C$2:$AQ$2,0))</f>
        <v>12</v>
      </c>
      <c r="E167" s="2544"/>
      <c r="F167" s="2545"/>
      <c r="G167" s="2546"/>
      <c r="H167" s="228"/>
      <c r="I167" s="228"/>
      <c r="J167" s="228"/>
      <c r="K167" s="118"/>
      <c r="L167" s="118"/>
      <c r="M167" s="118"/>
      <c r="N167" s="98"/>
      <c r="O167" s="98"/>
      <c r="P167" s="98"/>
      <c r="Q167" s="98"/>
      <c r="R167" s="118"/>
      <c r="S167" s="118"/>
      <c r="T167" s="118"/>
      <c r="U167" s="118"/>
      <c r="V167" s="118"/>
    </row>
    <row r="168" outlineLevel="1">
      <c r="A168" s="324" t="s">
        <v>260</v>
      </c>
      <c r="B168" s="109"/>
      <c r="C168" s="325" t="s">
        <v>261</v>
      </c>
      <c r="D168" s="325" t="s">
        <v>49</v>
      </c>
      <c r="E168" s="2544"/>
      <c r="F168" s="2545"/>
      <c r="G168" s="2546"/>
      <c r="H168" s="228"/>
      <c r="I168" s="228"/>
      <c r="J168" s="228"/>
      <c r="K168" s="118"/>
      <c r="L168" s="118"/>
      <c r="M168" s="118"/>
      <c r="N168" s="98"/>
      <c r="O168" s="98"/>
      <c r="P168" s="98"/>
      <c r="Q168" s="98"/>
      <c r="R168" s="118"/>
      <c r="S168" s="118"/>
      <c r="T168" s="118"/>
      <c r="U168" s="118"/>
      <c r="V168" s="118"/>
    </row>
    <row r="169" outlineLevel="1">
      <c r="A169" s="326" t="s">
        <v>262</v>
      </c>
      <c r="B169" s="327" t="s">
        <v>226</v>
      </c>
      <c r="C169" s="328" t="str">
        <f t="array" ref="C169">INDEX('アイテム'!$G$3:$H$114, MATCH($A$1,'アイテム'!$A$3:$A$114,0), MATCH(C164,'アイテム'!$C$2:$AQ$2,0))</f>
        <v>8</v>
      </c>
      <c r="D169" s="328">
        <f t="array" ref="D169">INDEX('アイテム'!$G$3:$H$114, MATCH($A$1,'アイテム'!$A$3:$A$114,0), MATCH(D164,'アイテム'!$C$2:$AQ$2,0))</f>
        <v>24</v>
      </c>
      <c r="E169" s="2544"/>
      <c r="F169" s="2545"/>
      <c r="G169" s="2546"/>
      <c r="H169" s="228"/>
      <c r="I169" s="228"/>
      <c r="J169" s="228"/>
      <c r="K169" s="118"/>
      <c r="L169" s="118"/>
      <c r="M169" s="118"/>
      <c r="N169" s="98"/>
      <c r="O169" s="98"/>
      <c r="P169" s="98"/>
      <c r="Q169" s="98"/>
      <c r="R169" s="118"/>
      <c r="S169" s="118"/>
      <c r="T169" s="118"/>
      <c r="U169" s="118"/>
      <c r="V169" s="118"/>
    </row>
    <row r="170" outlineLevel="1">
      <c r="A170" s="146"/>
      <c r="B170" s="327" t="s">
        <v>229</v>
      </c>
      <c r="C170" s="328" t="str">
        <f t="array" ref="C170">INDEX('アイテム'!$I$3:$J$114, MATCH($A$1,'アイテム'!$A$3:$A$114,0), MATCH(C164,'アイテム'!$C$2:$AQ$2,0))</f>
        <v>11</v>
      </c>
      <c r="D170" s="328">
        <f t="array" ref="D170">INDEX('アイテム'!$I$3:$J$114, MATCH($A$1,'アイテム'!$A$3:$A$114,0), MATCH(D164,'アイテム'!$C$2:$AQ$2,0))</f>
        <v>24</v>
      </c>
      <c r="E170" s="2544"/>
      <c r="F170" s="2545"/>
      <c r="G170" s="2546"/>
      <c r="H170" s="228"/>
      <c r="I170" s="228"/>
      <c r="J170" s="228"/>
      <c r="K170" s="118"/>
      <c r="L170" s="118"/>
      <c r="M170" s="118"/>
      <c r="N170" s="98"/>
      <c r="O170" s="98"/>
      <c r="P170" s="98"/>
      <c r="Q170" s="98"/>
      <c r="R170" s="118"/>
      <c r="S170" s="118"/>
      <c r="T170" s="118"/>
      <c r="U170" s="118"/>
      <c r="V170" s="118"/>
    </row>
    <row r="171" outlineLevel="1">
      <c r="A171" s="146"/>
      <c r="B171" s="327" t="s">
        <v>233</v>
      </c>
      <c r="C171" s="328" t="str">
        <f t="array" ref="C171">INDEX('アイテム'!$K$3:$L$114, MATCH($A$1,'アイテム'!$A$3:$A$114,0), MATCH(C164,'アイテム'!$C$2:$AQ$2,0))</f>
        <v>12</v>
      </c>
      <c r="D171" s="328">
        <f t="array" ref="D171">INDEX('アイテム'!$K$3:$L$114, MATCH($A$1,'アイテム'!$A$3:$A$114,0), MATCH(D164,'アイテム'!$C$2:$AQ$2,0))</f>
        <v>23</v>
      </c>
      <c r="E171" s="2544"/>
      <c r="F171" s="2545"/>
      <c r="G171" s="2546"/>
      <c r="H171" s="228"/>
      <c r="I171" s="228"/>
      <c r="J171" s="228"/>
      <c r="K171" s="118"/>
      <c r="L171" s="118"/>
      <c r="M171" s="118"/>
      <c r="N171" s="98"/>
      <c r="O171" s="98"/>
      <c r="P171" s="98"/>
      <c r="Q171" s="98"/>
      <c r="R171" s="118"/>
      <c r="S171" s="118"/>
      <c r="T171" s="118"/>
      <c r="U171" s="118"/>
      <c r="V171" s="118"/>
    </row>
    <row r="172" outlineLevel="1">
      <c r="A172" s="146"/>
      <c r="B172" s="327" t="s">
        <v>234</v>
      </c>
      <c r="C172" s="328" t="str">
        <f t="array" ref="C172">INDEX('アイテム'!$M$3:$N$114, MATCH($A$1,'アイテム'!$A$3:$A$114,0), MATCH(C164,'アイテム'!$C$2:$AQ$2,0))</f>
        <v>8</v>
      </c>
      <c r="D172" s="328">
        <f t="array" ref="D172">INDEX('アイテム'!$M$3:$N$114, MATCH($A$1,'アイテム'!$A$3:$A$114,0), MATCH(D164,'アイテム'!$C$2:$AQ$2,0))</f>
        <v>19</v>
      </c>
      <c r="E172" s="2544"/>
      <c r="F172" s="2545"/>
      <c r="G172" s="2546"/>
      <c r="H172" s="228"/>
      <c r="I172" s="228"/>
      <c r="J172" s="228"/>
      <c r="K172" s="118"/>
      <c r="L172" s="118"/>
      <c r="M172" s="118"/>
      <c r="N172" s="98"/>
      <c r="O172" s="98"/>
      <c r="P172" s="98"/>
      <c r="Q172" s="98"/>
      <c r="R172" s="118"/>
      <c r="S172" s="118"/>
      <c r="T172" s="118"/>
      <c r="U172" s="118"/>
      <c r="V172" s="118"/>
    </row>
    <row r="173" outlineLevel="1">
      <c r="A173" s="146"/>
      <c r="B173" s="327" t="s">
        <v>219</v>
      </c>
      <c r="C173" s="328" t="str">
        <f t="array" ref="C173">INDEX('アイテム'!$O$3:$P$114, MATCH($A$1,'アイテム'!$A$3:$A$114,0), MATCH(C164,'アイテム'!$C$2:$AQ$2,0))</f>
        <v>5</v>
      </c>
      <c r="D173" s="328">
        <f t="array" ref="D173">INDEX('アイテム'!$O$3:$P$114, MATCH($A$1,'アイテム'!$A$3:$A$114,0), MATCH(D164,'アイテム'!$C$2:$AQ$2,0))</f>
        <v>29</v>
      </c>
      <c r="E173" s="2544"/>
      <c r="F173" s="2545"/>
      <c r="G173" s="2546"/>
      <c r="H173" s="228"/>
      <c r="I173" s="228"/>
      <c r="J173" s="228"/>
      <c r="K173" s="118"/>
      <c r="L173" s="118"/>
      <c r="M173" s="118"/>
      <c r="N173" s="98"/>
      <c r="O173" s="98"/>
      <c r="P173" s="98"/>
      <c r="Q173" s="98"/>
      <c r="R173" s="118"/>
      <c r="S173" s="118"/>
      <c r="T173" s="118"/>
      <c r="U173" s="118"/>
      <c r="V173" s="118"/>
    </row>
    <row r="174" outlineLevel="1">
      <c r="A174" s="156"/>
      <c r="B174" s="327" t="s">
        <v>263</v>
      </c>
      <c r="C174" s="328" t="str">
        <f t="array" ref="C174">INDEX('アイテム'!$Q$3:$R$114, MATCH($A$1,'アイテム'!$A$3:$A$114,0), MATCH(C164,'アイテム'!$C$2:$AQ$2,0))</f>
        <v>6</v>
      </c>
      <c r="D174" s="328">
        <f t="array" ref="D174">INDEX('アイテム'!$Q$3:$R$114, MATCH($A$1,'アイテム'!$A$3:$A$114,0), MATCH(D164,'アイテム'!$C$2:$AQ$2,0))</f>
        <v>23</v>
      </c>
      <c r="E174" s="2544"/>
      <c r="F174" s="2545"/>
      <c r="G174" s="2546"/>
      <c r="H174" s="228"/>
      <c r="I174" s="228"/>
      <c r="J174" s="228"/>
      <c r="K174" s="118"/>
      <c r="L174" s="118"/>
      <c r="M174" s="118"/>
      <c r="N174" s="98"/>
      <c r="O174" s="98"/>
      <c r="P174" s="98"/>
      <c r="Q174" s="98"/>
      <c r="R174" s="118"/>
      <c r="S174" s="118"/>
      <c r="T174" s="118"/>
      <c r="U174" s="118"/>
      <c r="V174" s="118"/>
    </row>
    <row r="175" outlineLevel="1">
      <c r="A175" s="326" t="s">
        <v>264</v>
      </c>
      <c r="B175" s="327" t="s">
        <v>226</v>
      </c>
      <c r="C175" s="328" t="str">
        <f t="array" ref="C175">INDEX('アイテム'!$S$3:$T$114, MATCH($A$1,'アイテム'!$A$3:$A$114,0), MATCH(C164,'アイテム'!$C$2:$AQ$2,0))</f>
        <v>8</v>
      </c>
      <c r="D175" s="328">
        <f t="array" ref="D175">INDEX('アイテム'!$S$3:$T$114, MATCH($A$1,'アイテム'!$A$3:$A$114,0), MATCH(D164,'アイテム'!$C$2:$AQ$2,0))</f>
        <v>24</v>
      </c>
      <c r="E175" s="2544"/>
      <c r="F175" s="2545"/>
      <c r="G175" s="2546"/>
      <c r="H175" s="228"/>
      <c r="I175" s="228"/>
      <c r="J175" s="228"/>
      <c r="K175" s="118"/>
      <c r="L175" s="118"/>
      <c r="M175" s="118"/>
      <c r="N175" s="98"/>
      <c r="O175" s="98"/>
      <c r="P175" s="98"/>
      <c r="Q175" s="98"/>
      <c r="R175" s="118"/>
      <c r="S175" s="118"/>
      <c r="T175" s="118"/>
      <c r="U175" s="118"/>
      <c r="V175" s="118"/>
    </row>
    <row r="176" outlineLevel="1">
      <c r="A176" s="146"/>
      <c r="B176" s="327" t="s">
        <v>229</v>
      </c>
      <c r="C176" s="328" t="str">
        <f t="array" ref="C176">INDEX('アイテム'!$U$3:$V$114, MATCH($A$1,'アイテム'!$A$3:$A$114,0), MATCH(C164,'アイテム'!$C$2:$AQ$2,0))</f>
        <v>11</v>
      </c>
      <c r="D176" s="328">
        <f t="array" ref="D176">INDEX('アイテム'!$U$3:$V$114, MATCH($A$1,'アイテム'!$A$3:$A$114,0), MATCH(D164,'アイテム'!$C$2:$AQ$2,0))</f>
        <v>24</v>
      </c>
      <c r="E176" s="2544"/>
      <c r="F176" s="2545"/>
      <c r="G176" s="2546"/>
      <c r="H176" s="228"/>
      <c r="I176" s="228"/>
      <c r="J176" s="228"/>
      <c r="K176" s="118"/>
      <c r="L176" s="118"/>
      <c r="M176" s="118"/>
      <c r="N176" s="98"/>
      <c r="O176" s="98"/>
      <c r="P176" s="98"/>
      <c r="Q176" s="98"/>
      <c r="R176" s="118"/>
      <c r="S176" s="118"/>
      <c r="T176" s="118"/>
      <c r="U176" s="118"/>
      <c r="V176" s="118"/>
    </row>
    <row r="177" outlineLevel="1">
      <c r="A177" s="146"/>
      <c r="B177" s="327" t="s">
        <v>233</v>
      </c>
      <c r="C177" s="328" t="str">
        <f t="array" ref="C177">INDEX('アイテム'!$W$3:$X$114, MATCH($A$1,'アイテム'!$A$3:$A$114,0), MATCH(C164,'アイテム'!$C$2:$AQ$2,0))</f>
        <v>12</v>
      </c>
      <c r="D177" s="328">
        <f t="array" ref="D177">INDEX('アイテム'!$W$3:$X$114, MATCH($A$1,'アイテム'!$A$3:$A$114,0), MATCH(D164,'アイテム'!$C$2:$AQ$2,0))</f>
        <v>23</v>
      </c>
      <c r="E177" s="2544"/>
      <c r="F177" s="2545"/>
      <c r="G177" s="2546"/>
      <c r="H177" s="228"/>
      <c r="I177" s="228"/>
      <c r="J177" s="228"/>
      <c r="K177" s="118"/>
      <c r="L177" s="118"/>
      <c r="M177" s="118"/>
      <c r="N177" s="98"/>
      <c r="O177" s="98"/>
      <c r="P177" s="98"/>
      <c r="Q177" s="98"/>
      <c r="R177" s="118"/>
      <c r="S177" s="118"/>
      <c r="T177" s="118"/>
      <c r="U177" s="118"/>
      <c r="V177" s="118"/>
    </row>
    <row r="178" outlineLevel="1">
      <c r="A178" s="156"/>
      <c r="B178" s="327" t="s">
        <v>234</v>
      </c>
      <c r="C178" s="328" t="str">
        <f t="array" ref="C178">INDEX('アイテム'!$Y$3:$Z$114, MATCH($A$1,'アイテム'!$A$3:$A$114,0), MATCH(C164,'アイテム'!$C$2:$AQ$2,0))</f>
        <v>8</v>
      </c>
      <c r="D178" s="328">
        <f t="array" ref="D178">INDEX('アイテム'!$Y$3:$Z$114, MATCH($A$1,'アイテム'!$A$3:$A$114,0), MATCH(D164,'アイテム'!$C$2:$AQ$2,0))</f>
        <v>19</v>
      </c>
      <c r="E178" s="2544"/>
      <c r="F178" s="2545"/>
      <c r="G178" s="2546"/>
      <c r="H178" s="228"/>
      <c r="I178" s="228"/>
      <c r="J178" s="228"/>
      <c r="K178" s="118"/>
      <c r="L178" s="118"/>
      <c r="M178" s="118"/>
      <c r="N178" s="98"/>
      <c r="O178" s="98"/>
      <c r="P178" s="98"/>
      <c r="Q178" s="98"/>
      <c r="R178" s="118"/>
      <c r="S178" s="118"/>
      <c r="T178" s="118"/>
      <c r="U178" s="118"/>
      <c r="V178" s="118"/>
    </row>
    <row r="179" outlineLevel="1">
      <c r="A179" s="326" t="s">
        <v>265</v>
      </c>
      <c r="B179" s="327" t="s">
        <v>226</v>
      </c>
      <c r="C179" s="328">
        <f t="array" ref="C179">INDEX('アイテム'!$AC$3:$AD$114, MATCH($A$1,'アイテム'!$A$3:$A$114,0), MATCH(C164,'アイテム'!$C$2:$AQ$2,0))</f>
        <v>14</v>
      </c>
      <c r="D179" s="328" t="str">
        <f t="array" ref="D179">INDEX('アイテム'!$AC$3:$AD$114, MATCH($A$1,'アイテム'!$A$3:$A$114,0), MATCH(D164,'アイテム'!$C$2:$AQ$2,0))</f>
        <v>30</v>
      </c>
      <c r="E179" s="2544"/>
      <c r="F179" s="2545"/>
      <c r="G179" s="2546"/>
      <c r="H179" s="228"/>
      <c r="I179" s="228"/>
      <c r="J179" s="228"/>
      <c r="K179" s="118"/>
      <c r="L179" s="118"/>
      <c r="M179" s="118"/>
      <c r="N179" s="98"/>
      <c r="O179" s="98"/>
      <c r="P179" s="98"/>
      <c r="Q179" s="98"/>
      <c r="R179" s="118"/>
      <c r="S179" s="118"/>
      <c r="T179" s="118"/>
      <c r="U179" s="118"/>
      <c r="V179" s="118"/>
    </row>
    <row r="180" outlineLevel="1">
      <c r="A180" s="146"/>
      <c r="B180" s="327" t="s">
        <v>229</v>
      </c>
      <c r="C180" s="328">
        <f t="array" ref="C180">INDEX('アイテム'!$AE$3:$AF$114, MATCH($A$1,'アイテム'!$A$3:$A$114,0), MATCH(C164,'アイテム'!$C$2:$AQ$2,0))</f>
        <v>15</v>
      </c>
      <c r="D180" s="328" t="str">
        <f t="array" ref="D180">INDEX('アイテム'!$AE$3:$AF$114, MATCH($A$1,'アイテム'!$A$3:$A$114,0), MATCH(D164,'アイテム'!$C$2:$AQ$2,0))</f>
        <v>30</v>
      </c>
      <c r="E180" s="2544"/>
      <c r="F180" s="2545"/>
      <c r="G180" s="2546"/>
      <c r="H180" s="228"/>
      <c r="I180" s="228"/>
      <c r="J180" s="228"/>
      <c r="K180" s="118"/>
      <c r="L180" s="118"/>
      <c r="M180" s="118"/>
      <c r="N180" s="98"/>
      <c r="O180" s="98"/>
      <c r="P180" s="98"/>
      <c r="Q180" s="98"/>
      <c r="R180" s="118"/>
      <c r="S180" s="118"/>
      <c r="T180" s="118"/>
      <c r="U180" s="118"/>
      <c r="V180" s="118"/>
    </row>
    <row r="181" outlineLevel="1">
      <c r="A181" s="146"/>
      <c r="B181" s="327" t="s">
        <v>233</v>
      </c>
      <c r="C181" s="328">
        <f t="array" ref="C181">INDEX('アイテム'!$AG$3:$AH$114, MATCH($A$1,'アイテム'!$A$3:$A$114,0), MATCH(C164,'アイテム'!$C$2:$AQ$2,0))</f>
        <v>11</v>
      </c>
      <c r="D181" s="328" t="str">
        <f t="array" ref="D181">INDEX('アイテム'!$AG$3:$AH$114, MATCH($A$1,'アイテム'!$A$3:$A$114,0), MATCH(D164,'アイテム'!$C$2:$AQ$2,0))</f>
        <v>22</v>
      </c>
      <c r="E181" s="2544"/>
      <c r="F181" s="2545"/>
      <c r="G181" s="2546"/>
      <c r="H181" s="228"/>
      <c r="I181" s="228"/>
      <c r="J181" s="228"/>
      <c r="K181" s="118"/>
      <c r="L181" s="118"/>
      <c r="M181" s="118"/>
      <c r="N181" s="98"/>
      <c r="O181" s="98"/>
      <c r="P181" s="98"/>
      <c r="Q181" s="98"/>
      <c r="R181" s="118"/>
      <c r="S181" s="118"/>
      <c r="T181" s="118"/>
      <c r="U181" s="118"/>
      <c r="V181" s="118"/>
    </row>
    <row r="182" outlineLevel="1">
      <c r="A182" s="156"/>
      <c r="B182" s="327" t="s">
        <v>234</v>
      </c>
      <c r="C182" s="328">
        <f t="array" ref="C182">INDEX('アイテム'!$AI$3:$AJ$114, MATCH($A$1,'アイテム'!$A$3:$A$114,0), MATCH(C164,'アイテム'!$C$2:$AQ$2,0))</f>
        <v>10</v>
      </c>
      <c r="D182" s="328" t="str">
        <f t="array" ref="D182">INDEX('アイテム'!$AI$3:$AJ$114, MATCH($A$1,'アイテム'!$A$3:$A$114,0), MATCH(D164,'アイテム'!$C$2:$AQ$2,0))</f>
        <v>22</v>
      </c>
      <c r="E182" s="2544"/>
      <c r="F182" s="2545"/>
      <c r="G182" s="2546"/>
      <c r="H182" s="228"/>
      <c r="I182" s="228"/>
      <c r="J182" s="228"/>
      <c r="K182" s="118"/>
      <c r="L182" s="118"/>
      <c r="M182" s="118"/>
      <c r="N182" s="98"/>
      <c r="O182" s="98"/>
      <c r="P182" s="98"/>
      <c r="Q182" s="98"/>
      <c r="R182" s="118"/>
      <c r="S182" s="118"/>
      <c r="T182" s="118"/>
      <c r="U182" s="118"/>
      <c r="V182" s="118"/>
    </row>
  </sheetData>
  <mergeCells count="158">
    <mergeCell ref="H37:J37"/>
    <mergeCell ref="H38:J38"/>
    <mergeCell ref="H40:J41"/>
    <mergeCell ref="H42:J42"/>
    <mergeCell ref="H43:J43"/>
    <mergeCell ref="H44:J44"/>
    <mergeCell ref="H45:J46"/>
    <mergeCell ref="H47:J47"/>
    <mergeCell ref="H48:J48"/>
    <mergeCell ref="H50:J50"/>
    <mergeCell ref="H53:J53"/>
    <mergeCell ref="I65:I66"/>
    <mergeCell ref="J65:J66"/>
    <mergeCell ref="J67:J68"/>
    <mergeCell ref="I67:I68"/>
    <mergeCell ref="I71:I72"/>
    <mergeCell ref="J71:J72"/>
    <mergeCell ref="H75:J75"/>
    <mergeCell ref="H76:J81"/>
    <mergeCell ref="H82:J82"/>
    <mergeCell ref="H83:J87"/>
    <mergeCell ref="H89:J102"/>
    <mergeCell ref="H103:J103"/>
    <mergeCell ref="H104:J107"/>
    <mergeCell ref="G115:J115"/>
    <mergeCell ref="G116:J117"/>
    <mergeCell ref="G118:J119"/>
    <mergeCell ref="G120:J121"/>
    <mergeCell ref="K150:K153"/>
    <mergeCell ref="K154:L154"/>
    <mergeCell ref="K157:L157"/>
    <mergeCell ref="G122:J123"/>
    <mergeCell ref="K134:L134"/>
    <mergeCell ref="K135:K136"/>
    <mergeCell ref="K137:L137"/>
    <mergeCell ref="K138:K143"/>
    <mergeCell ref="K144:K147"/>
    <mergeCell ref="K148:L148"/>
    <mergeCell ref="U40:U41"/>
    <mergeCell ref="U45:U46"/>
    <mergeCell ref="U51:U52"/>
    <mergeCell ref="U55:U58"/>
    <mergeCell ref="U59:U61"/>
    <mergeCell ref="R64:V64"/>
    <mergeCell ref="R65:V66"/>
    <mergeCell ref="V89:V102"/>
    <mergeCell ref="U104:U107"/>
    <mergeCell ref="V104:V107"/>
    <mergeCell ref="R67:V68"/>
    <mergeCell ref="R69:V69"/>
    <mergeCell ref="R70:V70"/>
    <mergeCell ref="R71:V72"/>
    <mergeCell ref="U76:U81"/>
    <mergeCell ref="V76:V81"/>
    <mergeCell ref="V83:V87"/>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D24:G24"/>
    <mergeCell ref="H33:J34"/>
    <mergeCell ref="H35:J36"/>
    <mergeCell ref="H49:J49"/>
    <mergeCell ref="H51:J52"/>
    <mergeCell ref="H54:J54"/>
    <mergeCell ref="H55:J58"/>
    <mergeCell ref="H59:J61"/>
    <mergeCell ref="H88:J88"/>
    <mergeCell ref="A31:B32"/>
    <mergeCell ref="H32:J32"/>
    <mergeCell ref="D33:D34"/>
    <mergeCell ref="U33:U36"/>
    <mergeCell ref="B35:B36"/>
    <mergeCell ref="D35:D36"/>
    <mergeCell ref="H39:J39"/>
    <mergeCell ref="A59:A61"/>
    <mergeCell ref="B60:B61"/>
    <mergeCell ref="D60:D61"/>
    <mergeCell ref="A84:A86"/>
    <mergeCell ref="A88:B88"/>
    <mergeCell ref="U83:U87"/>
    <mergeCell ref="U89:U102"/>
    <mergeCell ref="C153:C154"/>
    <mergeCell ref="D153:D154"/>
    <mergeCell ref="C147:C148"/>
    <mergeCell ref="C160:C161"/>
    <mergeCell ref="A155:A161"/>
    <mergeCell ref="A163:B163"/>
    <mergeCell ref="A164:B164"/>
    <mergeCell ref="A165:A166"/>
    <mergeCell ref="A168:B168"/>
    <mergeCell ref="A169:A174"/>
    <mergeCell ref="A175:A178"/>
    <mergeCell ref="A179:A182"/>
    <mergeCell ref="A130:A131"/>
    <mergeCell ref="A135:A139"/>
    <mergeCell ref="A140:A142"/>
    <mergeCell ref="A143:A148"/>
    <mergeCell ref="D147:D148"/>
    <mergeCell ref="A149:A154"/>
    <mergeCell ref="D160:D161"/>
    <mergeCell ref="A33:A39"/>
    <mergeCell ref="A40:A41"/>
    <mergeCell ref="D40:D41"/>
    <mergeCell ref="A42:A44"/>
    <mergeCell ref="A45:A47"/>
    <mergeCell ref="D45:D46"/>
    <mergeCell ref="A48:A49"/>
    <mergeCell ref="A51:A52"/>
    <mergeCell ref="D51:D52"/>
    <mergeCell ref="A54:B54"/>
    <mergeCell ref="A55:A58"/>
    <mergeCell ref="D55:D56"/>
    <mergeCell ref="B57:B58"/>
    <mergeCell ref="D57:D58"/>
    <mergeCell ref="A63:B64"/>
    <mergeCell ref="A65:A66"/>
    <mergeCell ref="D65:D66"/>
    <mergeCell ref="A67:A68"/>
    <mergeCell ref="D67:D68"/>
    <mergeCell ref="A71:A72"/>
    <mergeCell ref="D71:D72"/>
    <mergeCell ref="A74:B74"/>
    <mergeCell ref="A75:B75"/>
    <mergeCell ref="A76:A81"/>
    <mergeCell ref="D76:D81"/>
    <mergeCell ref="A82:B82"/>
    <mergeCell ref="A89:A95"/>
    <mergeCell ref="D89:D102"/>
    <mergeCell ref="D118:D119"/>
    <mergeCell ref="D120:D121"/>
    <mergeCell ref="D122:D123"/>
    <mergeCell ref="A96:A102"/>
    <mergeCell ref="A103:B103"/>
    <mergeCell ref="A104:A107"/>
    <mergeCell ref="A109:B110"/>
    <mergeCell ref="A112:A114"/>
    <mergeCell ref="A115:B115"/>
    <mergeCell ref="D116:D117"/>
    <mergeCell ref="A116:A117"/>
    <mergeCell ref="A118:A119"/>
    <mergeCell ref="A120:A121"/>
    <mergeCell ref="A122:A123"/>
    <mergeCell ref="A125:B126"/>
    <mergeCell ref="A127:A129"/>
    <mergeCell ref="A133:B134"/>
  </mergeCells>
  <conditionalFormatting sqref="K1:K15 K17:K115 K124:K158">
    <cfRule type="containsText" dxfId="0" priority="1" operator="containsText" text="361">
      <formula>NOT(ISERROR(SEARCH(("361"),(K1))))</formula>
    </cfRule>
  </conditionalFormatting>
  <conditionalFormatting sqref="K1:K15 K17:K115 K124:K158">
    <cfRule type="containsText" dxfId="1" priority="2" operator="containsText" text="363">
      <formula>NOT(ISERROR(SEARCH(("363"),(K1))))</formula>
    </cfRule>
  </conditionalFormatting>
  <conditionalFormatting sqref="K1:K15 K17:K115 K124:K158">
    <cfRule type="containsText" dxfId="1" priority="3" operator="containsText" text="365">
      <formula>NOT(ISERROR(SEARCH(("365"),(K1))))</formula>
    </cfRule>
  </conditionalFormatting>
  <conditionalFormatting sqref="K1:K15 K17:K115 K124:K158">
    <cfRule type="containsText" dxfId="1" priority="4" operator="containsText" text="366">
      <formula>NOT(ISERROR(SEARCH(("366"),(K1))))</formula>
    </cfRule>
  </conditionalFormatting>
  <conditionalFormatting sqref="K1:K15 K17:K115 K124:K158">
    <cfRule type="containsText" dxfId="1" priority="5" operator="containsText" text="367">
      <formula>NOT(ISERROR(SEARCH(("367"),(K1))))</formula>
    </cfRule>
  </conditionalFormatting>
  <conditionalFormatting sqref="O116:O123">
    <cfRule type="cellIs" dxfId="2" priority="6" operator="equal">
      <formula>"敵のみ"</formula>
    </cfRule>
  </conditionalFormatting>
  <conditionalFormatting sqref="C116:C123">
    <cfRule type="cellIs" dxfId="3" priority="7" operator="equal">
      <formula>"-"</formula>
    </cfRule>
  </conditionalFormatting>
  <conditionalFormatting sqref="O1:O116 C116 E116:F116 K116:M116 N116:N123 P116 C118 E118:F118 K118:M118 O118:P118 O123:O182">
    <cfRule type="cellIs" dxfId="4" priority="8" operator="greaterThan">
      <formula>0</formula>
    </cfRule>
  </conditionalFormatting>
  <conditionalFormatting sqref="P1:P182 Q1:Q115 O116:O123 Q124:Q182">
    <cfRule type="cellIs" dxfId="5" priority="9" operator="lessThan">
      <formula>1</formula>
    </cfRule>
  </conditionalFormatting>
  <conditionalFormatting sqref="P1:P182 Q1:Q115 O116:O123 Q124:Q182">
    <cfRule type="cellIs" dxfId="4" priority="10" operator="greaterThan">
      <formula>1</formula>
    </cfRule>
  </conditionalFormatting>
  <conditionalFormatting sqref="N32:N115 M116:M123">
    <cfRule type="cellIs" dxfId="6" priority="11" operator="greaterThan">
      <formula>0</formula>
    </cfRule>
  </conditionalFormatting>
  <drawing r:id="rId2"/>
  <legacyDrawing r:id="rId3"/>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F404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758">
        <v>61.0</v>
      </c>
      <c r="B1" s="2759"/>
      <c r="C1" s="2760" t="str">
        <f>IMAGE(VLOOKUP($A$1,Fighters!A2:AI114,12,FALSE),1)</f>
        <v>#REF!</v>
      </c>
      <c r="D1" s="2761"/>
      <c r="E1" s="2761"/>
      <c r="F1" s="2761"/>
      <c r="G1" s="2762"/>
      <c r="H1" s="2763"/>
      <c r="I1" s="2761"/>
      <c r="J1" s="2762"/>
      <c r="K1" s="2764"/>
      <c r="L1" s="2761"/>
      <c r="M1" s="2762"/>
      <c r="N1" s="2765"/>
      <c r="O1" s="2765"/>
      <c r="P1" s="2765"/>
      <c r="Q1" s="2765"/>
      <c r="R1" s="2766"/>
      <c r="S1" s="2766"/>
      <c r="T1" s="2766"/>
      <c r="U1" s="2766"/>
      <c r="V1" s="2766"/>
    </row>
    <row r="2">
      <c r="A2" s="2767" t="str">
        <f>VLOOKUP($A$1,Fighters!$A$2:$AI$81,6,FALSE)</f>
        <v>#3f4044</v>
      </c>
      <c r="B2" s="2759"/>
      <c r="C2" s="2768"/>
      <c r="G2" s="2769"/>
      <c r="H2" s="2770"/>
      <c r="I2" s="2771"/>
      <c r="J2" s="2772"/>
      <c r="K2" s="2770"/>
      <c r="L2" s="2771"/>
      <c r="M2" s="2772"/>
      <c r="N2" s="2765"/>
      <c r="O2" s="2765"/>
      <c r="P2" s="2765"/>
      <c r="Q2" s="2765"/>
      <c r="R2" s="2766"/>
      <c r="S2" s="2766"/>
      <c r="T2" s="2766"/>
      <c r="U2" s="2766"/>
      <c r="V2" s="2766"/>
    </row>
    <row r="3">
      <c r="A3" s="2767" t="str">
        <f>VLOOKUP($A$1,Fighters!$A$2:$AI$81,14,FALSE)</f>
        <v>61. クラウド</v>
      </c>
      <c r="B3" s="2759"/>
      <c r="C3" s="2768"/>
      <c r="G3" s="2769"/>
      <c r="H3" s="2773"/>
      <c r="I3" s="2773"/>
      <c r="J3" s="2773"/>
      <c r="K3" s="2774"/>
      <c r="L3" s="2774"/>
      <c r="M3" s="2774"/>
      <c r="N3" s="2765"/>
      <c r="O3" s="2765"/>
      <c r="P3" s="2765"/>
      <c r="Q3" s="2765"/>
      <c r="R3" s="2765"/>
      <c r="S3" s="2766"/>
      <c r="T3" s="2766"/>
      <c r="U3" s="2766"/>
      <c r="V3" s="2766"/>
    </row>
    <row r="4">
      <c r="A4" s="2767" t="str">
        <f>VLOOKUP($A$1,Fighters!$A$2:$AI$81,13,FALSE)</f>
        <v>1</v>
      </c>
      <c r="B4" s="2759"/>
      <c r="C4" s="2768"/>
      <c r="G4" s="2769"/>
      <c r="H4" s="2775"/>
      <c r="I4" s="2775"/>
      <c r="J4" s="2773"/>
      <c r="K4" s="2774"/>
      <c r="L4" s="2774"/>
      <c r="M4" s="2774"/>
      <c r="N4" s="2765"/>
      <c r="O4" s="2765"/>
      <c r="P4" s="2765"/>
      <c r="Q4" s="2765"/>
      <c r="R4" s="2765"/>
      <c r="S4" s="2766"/>
      <c r="T4" s="2766"/>
      <c r="U4" s="2766"/>
      <c r="V4" s="2766"/>
    </row>
    <row r="5" ht="16.5" customHeight="1">
      <c r="A5" s="2758"/>
      <c r="B5" s="2759"/>
      <c r="C5" s="2768"/>
      <c r="G5" s="2769"/>
      <c r="H5" s="2776"/>
      <c r="I5" s="2776"/>
      <c r="J5" s="2777"/>
      <c r="K5" s="2778"/>
      <c r="L5" s="2779"/>
      <c r="M5" s="2779"/>
      <c r="N5" s="2765"/>
      <c r="O5" s="2765"/>
      <c r="P5" s="2765"/>
      <c r="Q5" s="2765"/>
      <c r="R5" s="2765"/>
      <c r="S5" s="2766"/>
      <c r="T5" s="2766"/>
      <c r="U5" s="2766"/>
      <c r="V5" s="2766"/>
    </row>
    <row r="6">
      <c r="A6" s="2759"/>
      <c r="B6" s="2759"/>
      <c r="C6" s="2768"/>
      <c r="G6" s="2769"/>
      <c r="H6" s="2775"/>
      <c r="I6" s="2780" t="s">
        <v>39</v>
      </c>
      <c r="J6" s="2778"/>
      <c r="K6" s="2777"/>
      <c r="L6" s="2779"/>
      <c r="M6" s="2779"/>
      <c r="N6" s="2765"/>
      <c r="O6" s="2765"/>
      <c r="P6" s="2765"/>
      <c r="Q6" s="2765"/>
      <c r="R6" s="2765"/>
      <c r="S6" s="2766"/>
      <c r="T6" s="2766"/>
      <c r="U6" s="2766"/>
      <c r="V6" s="2766"/>
    </row>
    <row r="7">
      <c r="A7" s="2759"/>
      <c r="B7" s="2759"/>
      <c r="C7" s="2768"/>
      <c r="G7" s="2769"/>
      <c r="H7" s="2776"/>
      <c r="I7" s="2776"/>
      <c r="J7" s="2778"/>
      <c r="K7" s="2777"/>
      <c r="L7" s="2779"/>
      <c r="M7" s="2779"/>
      <c r="N7" s="2765"/>
      <c r="O7" s="2765"/>
      <c r="P7" s="2765"/>
      <c r="Q7" s="2765"/>
      <c r="R7" s="2765"/>
      <c r="S7" s="2766"/>
      <c r="T7" s="2766"/>
      <c r="U7" s="2766"/>
      <c r="V7" s="2766"/>
    </row>
    <row r="8">
      <c r="A8" s="2759"/>
      <c r="B8" s="2759"/>
      <c r="C8" s="2768"/>
      <c r="G8" s="2769"/>
      <c r="H8" s="2781">
        <v>44533.43269120371</v>
      </c>
      <c r="I8" s="2761"/>
      <c r="J8" s="2762"/>
      <c r="K8" s="2778"/>
      <c r="L8" s="2779"/>
      <c r="M8" s="2779"/>
      <c r="N8" s="2765"/>
      <c r="O8" s="2765"/>
      <c r="P8" s="2765"/>
      <c r="Q8" s="2765"/>
      <c r="R8" s="2765"/>
      <c r="S8" s="2766"/>
      <c r="T8" s="2766"/>
      <c r="U8" s="2766"/>
      <c r="V8" s="2766"/>
    </row>
    <row r="9">
      <c r="A9" s="2759"/>
      <c r="B9" s="2759"/>
      <c r="C9" s="2768"/>
      <c r="G9" s="2769"/>
      <c r="H9" s="2770"/>
      <c r="I9" s="2771"/>
      <c r="J9" s="2772"/>
      <c r="K9" s="2766"/>
      <c r="L9" s="2765"/>
      <c r="M9" s="2765"/>
      <c r="N9" s="2765"/>
      <c r="O9" s="2765"/>
      <c r="P9" s="2765"/>
      <c r="Q9" s="2765"/>
      <c r="R9" s="2765"/>
      <c r="S9" s="2766"/>
      <c r="T9" s="2766"/>
      <c r="U9" s="2766"/>
      <c r="V9" s="2766"/>
    </row>
    <row r="10">
      <c r="A10" s="2782"/>
      <c r="B10" s="2759"/>
      <c r="C10" s="2768"/>
      <c r="G10" s="2769"/>
      <c r="H10" s="2783"/>
      <c r="I10" s="2783"/>
      <c r="J10" s="2766"/>
      <c r="K10" s="2766"/>
      <c r="L10" s="2765"/>
      <c r="M10" s="2765"/>
      <c r="N10" s="2765"/>
      <c r="O10" s="2765"/>
      <c r="P10" s="2765"/>
      <c r="Q10" s="2765"/>
      <c r="R10" s="2765"/>
      <c r="S10" s="2766"/>
      <c r="T10" s="2766"/>
      <c r="U10" s="2766"/>
      <c r="V10" s="2766"/>
    </row>
    <row r="11">
      <c r="A11" s="2784"/>
      <c r="B11" s="2759"/>
      <c r="C11" s="2768"/>
      <c r="G11" s="2769"/>
      <c r="H11" s="2776"/>
      <c r="I11" s="2776"/>
      <c r="J11" s="2766"/>
      <c r="K11" s="2766"/>
      <c r="L11" s="2765"/>
      <c r="M11" s="2765"/>
      <c r="N11" s="2765"/>
      <c r="O11" s="2765"/>
      <c r="P11" s="2765"/>
      <c r="Q11" s="2765"/>
      <c r="R11" s="2765"/>
      <c r="S11" s="2766"/>
      <c r="T11" s="2766"/>
      <c r="U11" s="2766"/>
      <c r="V11" s="2766"/>
    </row>
    <row r="12">
      <c r="A12" s="2776"/>
      <c r="B12" s="2759"/>
      <c r="C12" s="2770"/>
      <c r="D12" s="2771"/>
      <c r="E12" s="2771"/>
      <c r="F12" s="2771"/>
      <c r="G12" s="2772"/>
      <c r="H12" s="2785"/>
      <c r="I12" s="2785"/>
      <c r="J12" s="2759"/>
      <c r="K12" s="2759"/>
      <c r="L12" s="2765"/>
      <c r="M12" s="2765"/>
      <c r="N12" s="2765"/>
      <c r="O12" s="2765"/>
      <c r="P12" s="2765"/>
      <c r="Q12" s="2765"/>
      <c r="R12" s="2765"/>
      <c r="S12" s="2766"/>
      <c r="T12" s="2766"/>
      <c r="U12" s="2766"/>
      <c r="V12" s="2766"/>
    </row>
    <row r="13">
      <c r="A13" s="88"/>
      <c r="B13" s="89"/>
      <c r="C13" s="89"/>
      <c r="D13" s="90"/>
      <c r="E13" s="90"/>
      <c r="F13" s="90"/>
      <c r="G13" s="91"/>
      <c r="H13" s="91"/>
      <c r="I13" s="92"/>
      <c r="J13" s="88"/>
      <c r="K13" s="90"/>
      <c r="L13" s="91"/>
      <c r="M13" s="91"/>
      <c r="N13" s="91"/>
      <c r="O13" s="91"/>
      <c r="P13" s="91"/>
      <c r="Q13" s="91"/>
      <c r="R13" s="91"/>
      <c r="S13" s="88"/>
      <c r="T13" s="88"/>
      <c r="U13" s="88"/>
      <c r="V13" s="88"/>
    </row>
    <row r="14">
      <c r="A14" s="94"/>
      <c r="B14" s="95"/>
      <c r="C14" s="95"/>
      <c r="D14" s="96"/>
      <c r="E14" s="96"/>
      <c r="F14" s="96"/>
      <c r="G14" s="360"/>
      <c r="H14" s="98"/>
      <c r="I14" s="99"/>
      <c r="J14" s="100"/>
      <c r="K14" s="101"/>
      <c r="L14" s="98"/>
      <c r="M14" s="98"/>
      <c r="N14" s="98"/>
      <c r="O14" s="98"/>
      <c r="P14" s="98"/>
      <c r="Q14" s="98"/>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100 [31st]</v>
      </c>
      <c r="G17" s="112" t="str">
        <f>'テンプレート'!G17</f>
        <v>小J滞空</v>
      </c>
      <c r="H17" s="113" t="s">
        <v>4055</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2.145 [16th]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1.155 [35th]</v>
      </c>
      <c r="G18" s="112" t="str">
        <f>'テンプレート'!G18</f>
        <v>大J滞空</v>
      </c>
      <c r="H18" s="113" t="s">
        <v>4517</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[77th]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32.5 [45th]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2.167 [13th]</v>
      </c>
      <c r="G19" s="112" t="str">
        <f>'テンプレート'!G19</f>
        <v>小J急降下滞空</v>
      </c>
      <c r="H19" s="113" t="s">
        <v>697</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0.106 [50th]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 [28th]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1.155 [20th]</v>
      </c>
      <c r="G20" s="112" t="str">
        <f>'テンプレート'!G20</f>
        <v>大J急降下滞空</v>
      </c>
      <c r="H20" s="113" t="s">
        <v>1980</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 [49th]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32.5 [50th]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1.68 [30th]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0.009 [52nd]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2.688 [31st]</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0.098 [34th]</v>
      </c>
      <c r="M22" s="100"/>
      <c r="N22" s="117"/>
      <c r="O22" s="99"/>
      <c r="P22" s="99"/>
      <c r="Q22" s="99"/>
      <c r="R22" s="99"/>
      <c r="S22" s="100"/>
      <c r="T22" s="100"/>
      <c r="U22" s="100"/>
      <c r="V22" s="100"/>
    </row>
    <row r="23" outlineLevel="1">
      <c r="A23" s="101"/>
      <c r="B23" s="101"/>
      <c r="C23" s="101"/>
      <c r="D23" s="101"/>
      <c r="E23" s="101"/>
      <c r="F23" s="101"/>
      <c r="G23" s="98"/>
      <c r="H23" s="98"/>
      <c r="I23" s="114"/>
      <c r="J23" s="101"/>
      <c r="K23" s="118"/>
      <c r="L23" s="114"/>
      <c r="M23" s="100"/>
      <c r="N23" s="117"/>
      <c r="O23" s="99"/>
      <c r="P23" s="99"/>
      <c r="Q23" s="99"/>
      <c r="R23" s="99"/>
      <c r="S23" s="100"/>
      <c r="T23" s="100"/>
      <c r="U23" s="100"/>
      <c r="V23" s="100"/>
    </row>
    <row r="24" outlineLevel="1">
      <c r="A24" s="101"/>
      <c r="B24" s="101"/>
      <c r="C24" s="108" t="s">
        <v>4518</v>
      </c>
      <c r="D24" s="109"/>
      <c r="E24" s="98"/>
      <c r="F24" s="101"/>
      <c r="G24" s="98"/>
      <c r="H24" s="98"/>
      <c r="I24" s="114"/>
      <c r="J24" s="101"/>
      <c r="K24" s="118"/>
      <c r="L24" s="114"/>
      <c r="M24" s="100"/>
      <c r="N24" s="117"/>
      <c r="O24" s="99"/>
      <c r="P24" s="99"/>
      <c r="Q24" s="99"/>
      <c r="R24" s="99"/>
      <c r="S24" s="100"/>
      <c r="T24" s="100"/>
      <c r="U24" s="100"/>
      <c r="V24" s="100"/>
    </row>
    <row r="25" outlineLevel="1">
      <c r="A25" s="101"/>
      <c r="B25" s="101"/>
      <c r="C25" s="108" t="s">
        <v>3391</v>
      </c>
      <c r="D25" s="2174" t="s">
        <v>3392</v>
      </c>
      <c r="E25" s="1932" t="s">
        <v>3393</v>
      </c>
      <c r="F25" s="101"/>
      <c r="G25" s="101"/>
      <c r="H25" s="101"/>
      <c r="I25" s="114"/>
      <c r="J25" s="101"/>
      <c r="K25" s="118"/>
      <c r="L25" s="114"/>
      <c r="M25" s="100"/>
      <c r="N25" s="117"/>
      <c r="O25" s="99"/>
      <c r="P25" s="99"/>
      <c r="Q25" s="99"/>
      <c r="R25" s="99"/>
      <c r="S25" s="100"/>
      <c r="T25" s="100"/>
      <c r="U25" s="100"/>
      <c r="V25" s="100"/>
    </row>
    <row r="26" outlineLevel="1">
      <c r="A26" s="101"/>
      <c r="B26" s="101"/>
      <c r="C26" s="112" t="s">
        <v>3397</v>
      </c>
      <c r="D26" s="2176" t="s">
        <v>2036</v>
      </c>
      <c r="E26" s="113" t="s">
        <v>4519</v>
      </c>
      <c r="F26" s="98"/>
      <c r="G26" s="98"/>
      <c r="H26" s="98"/>
      <c r="I26" s="114"/>
      <c r="J26" s="101"/>
      <c r="K26" s="118"/>
      <c r="L26" s="114"/>
      <c r="M26" s="100"/>
      <c r="N26" s="117"/>
      <c r="O26" s="99"/>
      <c r="P26" s="99"/>
      <c r="Q26" s="99"/>
      <c r="R26" s="99"/>
      <c r="S26" s="100"/>
      <c r="T26" s="100"/>
      <c r="U26" s="100"/>
      <c r="V26" s="100"/>
    </row>
    <row r="27" outlineLevel="1">
      <c r="A27" s="101"/>
      <c r="B27" s="101"/>
      <c r="C27" s="112" t="s">
        <v>3399</v>
      </c>
      <c r="D27" s="113" t="s">
        <v>2036</v>
      </c>
      <c r="E27" s="113">
        <f t="array" ref="E27">MULTIPLY(INDEX('行動フレーム・能力値'!$C$2:$AD$115, MATCH($A$1,'行動フレーム・能力値'!$A$2:$A$115,0), MATCH(E18,'行動フレーム・能力値'!$C$1:$AD$1,0)),D27)</f>
        <v>1.32825</v>
      </c>
      <c r="F27" s="98"/>
      <c r="G27" s="98"/>
      <c r="H27" s="98"/>
      <c r="I27" s="114"/>
      <c r="J27" s="101"/>
      <c r="K27" s="118"/>
      <c r="L27" s="114"/>
      <c r="M27" s="100"/>
      <c r="N27" s="117"/>
      <c r="O27" s="99"/>
      <c r="P27" s="99"/>
      <c r="Q27" s="99"/>
      <c r="R27" s="99"/>
      <c r="S27" s="100"/>
      <c r="T27" s="100"/>
      <c r="U27" s="100"/>
      <c r="V27" s="100"/>
    </row>
    <row r="28" outlineLevel="1">
      <c r="A28" s="101"/>
      <c r="B28" s="101"/>
      <c r="C28" s="112" t="s">
        <v>3400</v>
      </c>
      <c r="D28" s="113" t="s">
        <v>2129</v>
      </c>
      <c r="E28" s="113">
        <f t="array" ref="E28">MULTIPLY(INDEX('能力値その他'!$C$2:$AD$115, MATCH($A$1,'能力値その他'!$A$2:$A$115,0), MATCH(K17,'能力値その他'!$C$1:$AD$1,0)),D28)</f>
        <v>2.3595</v>
      </c>
      <c r="F28" s="98"/>
      <c r="G28" s="98"/>
      <c r="H28" s="98"/>
      <c r="I28" s="114"/>
      <c r="J28" s="101"/>
      <c r="K28" s="118"/>
      <c r="L28" s="114"/>
      <c r="M28" s="100"/>
      <c r="N28" s="117"/>
      <c r="O28" s="99"/>
      <c r="P28" s="99"/>
      <c r="Q28" s="99"/>
      <c r="R28" s="99"/>
      <c r="S28" s="100"/>
      <c r="T28" s="100"/>
      <c r="U28" s="100"/>
      <c r="V28" s="100"/>
    </row>
    <row r="29" outlineLevel="1">
      <c r="A29" s="101"/>
      <c r="B29" s="101"/>
      <c r="C29" s="112" t="s">
        <v>3402</v>
      </c>
      <c r="D29" s="113" t="s">
        <v>2129</v>
      </c>
      <c r="E29" s="113">
        <f t="array" ref="E29">MULTIPLY(INDEX('能力値その他'!$C$2:$AD$115, MATCH($A$1,'能力値その他'!$A$2:$A$115,0), MATCH(K18,'能力値その他'!$C$1:$AD$1,0)),D29)</f>
        <v>0.121</v>
      </c>
      <c r="F29" s="98"/>
      <c r="G29" s="98"/>
      <c r="H29" s="98"/>
      <c r="I29" s="114"/>
      <c r="J29" s="101"/>
      <c r="K29" s="118"/>
      <c r="L29" s="114"/>
      <c r="M29" s="100"/>
      <c r="N29" s="117"/>
      <c r="O29" s="99"/>
      <c r="P29" s="99"/>
      <c r="Q29" s="99"/>
      <c r="R29" s="99"/>
      <c r="S29" s="100"/>
      <c r="T29" s="100"/>
      <c r="U29" s="100"/>
      <c r="V29" s="100"/>
    </row>
    <row r="30" outlineLevel="1">
      <c r="A30" s="101"/>
      <c r="B30" s="101"/>
      <c r="C30" s="112" t="s">
        <v>3403</v>
      </c>
      <c r="D30" s="113" t="s">
        <v>2129</v>
      </c>
      <c r="E30" s="113">
        <f t="array" ref="E30">MULTIPLY(INDEX('行動フレーム・能力値'!$C$2:$AD$115, MATCH($A$1,'行動フレーム・能力値'!$A$2:$A$115,0), MATCH(E19,'行動フレーム・能力値'!$C$1:$AD$1,0)),D30)</f>
        <v>2.3837</v>
      </c>
      <c r="F30" s="98"/>
      <c r="G30" s="98"/>
      <c r="H30" s="98"/>
      <c r="I30" s="114"/>
      <c r="J30" s="101"/>
      <c r="K30" s="118"/>
      <c r="L30" s="114"/>
      <c r="M30" s="100"/>
      <c r="N30" s="117"/>
      <c r="O30" s="99"/>
      <c r="P30" s="99"/>
      <c r="Q30" s="99"/>
      <c r="R30" s="99"/>
      <c r="S30" s="100"/>
      <c r="T30" s="100"/>
      <c r="U30" s="100"/>
      <c r="V30" s="100"/>
    </row>
    <row r="31" outlineLevel="1">
      <c r="A31" s="101"/>
      <c r="B31" s="101"/>
      <c r="C31" s="112" t="s">
        <v>3404</v>
      </c>
      <c r="D31" s="113" t="s">
        <v>2036</v>
      </c>
      <c r="E31" s="113">
        <f t="array" ref="E31">MULTIPLY(INDEX('能力値その他'!$C$2:$AD$115, MATCH($A$1,'能力値その他'!$A$2:$A$115,0), MATCH(K19,'能力値その他'!$C$1:$AD$1,0)),D31)</f>
        <v>0.1219</v>
      </c>
      <c r="F31" s="98"/>
      <c r="G31" s="98"/>
      <c r="H31" s="98"/>
      <c r="I31" s="114"/>
      <c r="J31" s="101"/>
      <c r="K31" s="118"/>
      <c r="L31" s="114"/>
      <c r="M31" s="100"/>
      <c r="N31" s="117"/>
      <c r="O31" s="99"/>
      <c r="P31" s="99"/>
      <c r="Q31" s="99"/>
      <c r="R31" s="99"/>
      <c r="S31" s="100"/>
      <c r="T31" s="100"/>
      <c r="U31" s="100"/>
      <c r="V31" s="100"/>
    </row>
    <row r="32" outlineLevel="1">
      <c r="A32" s="101"/>
      <c r="B32" s="101"/>
      <c r="C32" s="112" t="s">
        <v>3405</v>
      </c>
      <c r="D32" s="113" t="s">
        <v>1614</v>
      </c>
      <c r="E32" s="113">
        <f t="array" ref="E32">MULTIPLY(INDEX('能力値その他'!$C$2:$AD$115, MATCH($A$1,'能力値その他'!$A$2:$A$115,0), MATCH(K20,'能力値その他'!$C$1:$AD$1,0)),D32)</f>
        <v>0.084</v>
      </c>
      <c r="F32" s="98"/>
      <c r="G32" s="98"/>
      <c r="H32" s="98"/>
      <c r="I32" s="114"/>
      <c r="J32" s="101"/>
      <c r="K32" s="118"/>
      <c r="L32" s="114"/>
      <c r="M32" s="100"/>
      <c r="N32" s="117"/>
      <c r="O32" s="99"/>
      <c r="P32" s="99"/>
      <c r="Q32" s="99"/>
      <c r="R32" s="99"/>
      <c r="S32" s="100"/>
      <c r="T32" s="100"/>
      <c r="U32" s="100"/>
      <c r="V32" s="100"/>
    </row>
    <row r="33" outlineLevel="1">
      <c r="A33" s="101"/>
      <c r="B33" s="101"/>
      <c r="C33" s="112" t="s">
        <v>1584</v>
      </c>
      <c r="D33" s="113" t="s">
        <v>1614</v>
      </c>
      <c r="E33" s="113">
        <f t="array" ref="E33">MULTIPLY(INDEX('行動フレーム・能力値'!$C$2:$AD$115, MATCH($A$1,'行動フレーム・能力値'!$A$2:$A$115,0), MATCH(E20,'行動フレーム・能力値'!$C$1:$AD$1,0)),D33)</f>
        <v>1.386</v>
      </c>
      <c r="F33" s="98"/>
      <c r="G33" s="98"/>
      <c r="H33" s="98"/>
      <c r="I33" s="114"/>
      <c r="J33" s="101"/>
      <c r="K33" s="118"/>
      <c r="L33" s="114"/>
      <c r="M33" s="100"/>
      <c r="N33" s="117"/>
      <c r="O33" s="99"/>
      <c r="P33" s="99"/>
      <c r="Q33" s="99"/>
      <c r="R33" s="99"/>
      <c r="S33" s="100"/>
      <c r="T33" s="100"/>
      <c r="U33" s="100"/>
      <c r="V33" s="100"/>
    </row>
    <row r="34" outlineLevel="1">
      <c r="A34" s="101"/>
      <c r="B34" s="101"/>
      <c r="C34" s="112" t="s">
        <v>4520</v>
      </c>
      <c r="D34" s="113" t="s">
        <v>2036</v>
      </c>
      <c r="E34" s="113">
        <f t="array" ref="E34">MULTIPLY(INDEX('能力値その他'!$C$2:$AD$115, MATCH($A$1,'能力値その他'!$A$2:$A$115,0), MATCH(K21,'能力値その他'!$C$1:$AD$1,0)),D34)</f>
        <v>0.01035</v>
      </c>
      <c r="F34" s="98"/>
      <c r="G34" s="98"/>
      <c r="H34" s="98"/>
      <c r="I34" s="114"/>
      <c r="J34" s="101"/>
      <c r="K34" s="118"/>
      <c r="L34" s="114"/>
      <c r="M34" s="100"/>
      <c r="N34" s="117"/>
      <c r="O34" s="99"/>
      <c r="P34" s="99"/>
      <c r="Q34" s="99"/>
      <c r="R34" s="99"/>
      <c r="S34" s="100"/>
      <c r="T34" s="100"/>
      <c r="U34" s="100"/>
      <c r="V34" s="100"/>
    </row>
    <row r="35" outlineLevel="1">
      <c r="A35" s="101"/>
      <c r="B35" s="101"/>
      <c r="C35" s="112" t="s">
        <v>3407</v>
      </c>
      <c r="D35" s="113" t="s">
        <v>2129</v>
      </c>
      <c r="E35" s="113">
        <f t="array" ref="E35">MULTIPLY(INDEX('行動フレーム・能力値'!$C$2:$AD$115, MATCH($A$1,'行動フレーム・能力値'!$A$2:$A$115,0), MATCH(E21,'行動フレーム・能力値'!$C$1:$AD$1,0)),D35)</f>
        <v>1.848</v>
      </c>
      <c r="F35" s="98"/>
      <c r="G35" s="98"/>
      <c r="H35" s="98"/>
      <c r="I35" s="114"/>
      <c r="J35" s="101"/>
      <c r="K35" s="118"/>
      <c r="L35" s="114"/>
      <c r="M35" s="100"/>
      <c r="N35" s="117"/>
      <c r="O35" s="99"/>
      <c r="P35" s="99"/>
      <c r="Q35" s="99"/>
      <c r="R35" s="99"/>
      <c r="S35" s="100"/>
      <c r="T35" s="100"/>
      <c r="U35" s="100"/>
      <c r="V35" s="100"/>
    </row>
    <row r="36" outlineLevel="1">
      <c r="A36" s="101"/>
      <c r="B36" s="101"/>
      <c r="C36" s="112" t="s">
        <v>3408</v>
      </c>
      <c r="D36" s="113" t="s">
        <v>2129</v>
      </c>
      <c r="E36" s="113">
        <f t="array" ref="E36">MULTIPLY(INDEX('能力値その他'!$C$2:$AD$115, MATCH($A$1,'能力値その他'!$A$2:$A$115,0), MATCH(K22,'能力値その他'!$C$1:$AD$1,0)),D36)</f>
        <v>0.1078</v>
      </c>
      <c r="F36" s="98"/>
      <c r="G36" s="98"/>
      <c r="H36" s="98"/>
      <c r="I36" s="114"/>
      <c r="J36" s="101"/>
      <c r="K36" s="118"/>
      <c r="L36" s="114"/>
      <c r="M36" s="100"/>
      <c r="N36" s="117"/>
      <c r="O36" s="99"/>
      <c r="P36" s="99"/>
      <c r="Q36" s="99"/>
      <c r="R36" s="99"/>
      <c r="S36" s="100"/>
      <c r="T36" s="100"/>
      <c r="U36" s="100"/>
      <c r="V36" s="100"/>
    </row>
    <row r="37">
      <c r="A37" s="101"/>
      <c r="B37" s="101"/>
      <c r="C37" s="101"/>
      <c r="D37" s="101"/>
      <c r="E37" s="101"/>
      <c r="F37" s="101"/>
      <c r="G37" s="98"/>
      <c r="H37" s="98"/>
      <c r="I37" s="114"/>
      <c r="J37" s="101"/>
      <c r="K37" s="118"/>
      <c r="L37" s="114"/>
      <c r="M37" s="100"/>
      <c r="N37" s="117"/>
      <c r="O37" s="99"/>
      <c r="P37" s="99"/>
      <c r="Q37" s="99"/>
      <c r="R37" s="99"/>
      <c r="S37" s="100"/>
      <c r="T37" s="100"/>
      <c r="U37" s="100"/>
      <c r="V37" s="100"/>
    </row>
    <row r="38">
      <c r="A38" s="119" t="s">
        <v>47</v>
      </c>
      <c r="B38" s="104"/>
      <c r="C38" s="120"/>
      <c r="D38" s="121"/>
      <c r="E38" s="121"/>
      <c r="F38" s="122"/>
      <c r="G38" s="123"/>
      <c r="H38" s="121"/>
      <c r="I38" s="121"/>
      <c r="J38" s="121"/>
      <c r="K38" s="121"/>
      <c r="L38" s="124"/>
      <c r="M38" s="124"/>
      <c r="N38" s="125"/>
      <c r="O38" s="125"/>
      <c r="P38" s="125"/>
      <c r="Q38" s="126"/>
      <c r="R38" s="124"/>
      <c r="S38" s="124"/>
      <c r="T38" s="124"/>
      <c r="U38" s="124"/>
      <c r="V38" s="124"/>
    </row>
    <row r="39" outlineLevel="1">
      <c r="A39" s="106"/>
      <c r="B39" s="107"/>
      <c r="C39" s="127" t="s">
        <v>48</v>
      </c>
      <c r="D39" s="128" t="s">
        <v>49</v>
      </c>
      <c r="E39" s="128" t="s">
        <v>50</v>
      </c>
      <c r="F39" s="129" t="s">
        <v>51</v>
      </c>
      <c r="G39" s="128" t="s">
        <v>52</v>
      </c>
      <c r="H39" s="361" t="str">
        <f>'テンプレート'!H25</f>
        <v>備考</v>
      </c>
      <c r="I39" s="110"/>
      <c r="J39" s="110"/>
      <c r="K39" s="131" t="str">
        <f>'テンプレート'!K25</f>
        <v>ベクトル</v>
      </c>
      <c r="L39" s="131" t="str">
        <f>'テンプレート'!L25</f>
        <v>KBG (R.E.)</v>
      </c>
      <c r="M39" s="131" t="str">
        <f>'テンプレート'!M25</f>
        <v>BKB (R.A.)</v>
      </c>
      <c r="N39" s="131" t="str">
        <f>'テンプレート'!N25</f>
        <v>FKB (R.F.)</v>
      </c>
      <c r="O39" s="132" t="str">
        <f>'テンプレート'!O25</f>
        <v>盾削り値</v>
      </c>
      <c r="P39" s="131" t="str">
        <f>'テンプレート'!P25</f>
        <v>ﾋｯﾄｽﾄｯﾌﾟ</v>
      </c>
      <c r="Q39" s="132" t="str">
        <f>'テンプレート'!Q25</f>
        <v>ずらし</v>
      </c>
      <c r="R39" s="100"/>
      <c r="S39" s="100"/>
      <c r="T39" s="100"/>
      <c r="U39" s="127" t="s">
        <v>54</v>
      </c>
      <c r="V39" s="100"/>
    </row>
    <row r="40" outlineLevel="1">
      <c r="A40" s="133" t="s">
        <v>266</v>
      </c>
      <c r="B40" s="134" t="s">
        <v>55</v>
      </c>
      <c r="C40" s="701" t="s">
        <v>717</v>
      </c>
      <c r="D40" s="139" t="s">
        <v>4521</v>
      </c>
      <c r="E40" s="139" t="s">
        <v>535</v>
      </c>
      <c r="F40" s="138">
        <v>3.0</v>
      </c>
      <c r="G40" s="139" t="s">
        <v>147</v>
      </c>
      <c r="H40" s="140" t="s">
        <v>4522</v>
      </c>
      <c r="I40" s="110"/>
      <c r="J40" s="109"/>
      <c r="K40" s="138"/>
      <c r="L40" s="282"/>
      <c r="M40" s="363"/>
      <c r="N40" s="363"/>
      <c r="O40" s="145">
        <v>0.0</v>
      </c>
      <c r="P40" s="145">
        <v>1.2</v>
      </c>
      <c r="Q40" s="145">
        <v>1.0</v>
      </c>
      <c r="R40" s="100"/>
      <c r="S40" s="100"/>
      <c r="T40" s="100"/>
      <c r="U40" s="145" t="s">
        <v>69</v>
      </c>
      <c r="V40" s="100"/>
    </row>
    <row r="41" outlineLevel="1">
      <c r="A41" s="146"/>
      <c r="B41" s="147" t="s">
        <v>63</v>
      </c>
      <c r="C41" s="467" t="s">
        <v>267</v>
      </c>
      <c r="D41" s="216" t="s">
        <v>964</v>
      </c>
      <c r="E41" s="216" t="s">
        <v>176</v>
      </c>
      <c r="F41" s="138">
        <v>2.4</v>
      </c>
      <c r="G41" s="139" t="s">
        <v>60</v>
      </c>
      <c r="H41" s="140" t="s">
        <v>2518</v>
      </c>
      <c r="I41" s="110"/>
      <c r="J41" s="109"/>
      <c r="K41" s="282"/>
      <c r="L41" s="282"/>
      <c r="M41" s="363"/>
      <c r="N41" s="363"/>
      <c r="O41" s="145">
        <v>0.0</v>
      </c>
      <c r="P41" s="145">
        <v>1.2</v>
      </c>
      <c r="Q41" s="145">
        <v>1.0</v>
      </c>
      <c r="R41" s="100"/>
      <c r="S41" s="100"/>
      <c r="T41" s="100"/>
      <c r="U41" s="145" t="s">
        <v>76</v>
      </c>
      <c r="V41" s="100"/>
    </row>
    <row r="42" outlineLevel="1">
      <c r="A42" s="156"/>
      <c r="B42" s="147" t="s">
        <v>70</v>
      </c>
      <c r="C42" s="467" t="s">
        <v>217</v>
      </c>
      <c r="D42" s="216" t="s">
        <v>79</v>
      </c>
      <c r="E42" s="216" t="s">
        <v>651</v>
      </c>
      <c r="F42" s="138">
        <v>4.2</v>
      </c>
      <c r="G42" s="139" t="s">
        <v>147</v>
      </c>
      <c r="H42" s="366"/>
      <c r="I42" s="110"/>
      <c r="J42" s="109"/>
      <c r="K42" s="282"/>
      <c r="L42" s="282"/>
      <c r="M42" s="363"/>
      <c r="N42" s="363"/>
      <c r="O42" s="145">
        <v>0.0</v>
      </c>
      <c r="P42" s="145">
        <v>1.5</v>
      </c>
      <c r="Q42" s="145">
        <v>1.0</v>
      </c>
      <c r="R42" s="100"/>
      <c r="S42" s="100"/>
      <c r="T42" s="100"/>
      <c r="U42" s="145" t="s">
        <v>76</v>
      </c>
      <c r="V42" s="100"/>
    </row>
    <row r="43" outlineLevel="1">
      <c r="A43" s="133" t="s">
        <v>77</v>
      </c>
      <c r="B43" s="160"/>
      <c r="C43" s="467" t="s">
        <v>505</v>
      </c>
      <c r="D43" s="195" t="s">
        <v>146</v>
      </c>
      <c r="E43" s="216" t="s">
        <v>232</v>
      </c>
      <c r="F43" s="138">
        <v>13.2</v>
      </c>
      <c r="G43" s="139" t="s">
        <v>121</v>
      </c>
      <c r="H43" s="368"/>
      <c r="I43" s="164"/>
      <c r="J43" s="104"/>
      <c r="K43" s="138"/>
      <c r="L43" s="282"/>
      <c r="M43" s="363"/>
      <c r="N43" s="363"/>
      <c r="O43" s="145">
        <v>1.0</v>
      </c>
      <c r="P43" s="145">
        <v>1.0</v>
      </c>
      <c r="Q43" s="145">
        <v>1.0</v>
      </c>
      <c r="R43" s="100"/>
      <c r="S43" s="100"/>
      <c r="T43" s="100"/>
      <c r="U43" s="166" t="s">
        <v>69</v>
      </c>
      <c r="V43" s="100"/>
    </row>
    <row r="44" outlineLevel="1">
      <c r="A44" s="156"/>
      <c r="B44" s="147" t="s">
        <v>84</v>
      </c>
      <c r="C44" s="467" t="s">
        <v>544</v>
      </c>
      <c r="D44" s="107"/>
      <c r="E44" s="216" t="s">
        <v>80</v>
      </c>
      <c r="F44" s="138">
        <v>9.6</v>
      </c>
      <c r="G44" s="139" t="s">
        <v>123</v>
      </c>
      <c r="H44" s="106"/>
      <c r="I44" s="168"/>
      <c r="J44" s="107"/>
      <c r="K44" s="282"/>
      <c r="L44" s="282"/>
      <c r="M44" s="363"/>
      <c r="N44" s="363"/>
      <c r="O44" s="145">
        <v>1.0</v>
      </c>
      <c r="P44" s="145">
        <v>1.0</v>
      </c>
      <c r="Q44" s="145">
        <v>1.0</v>
      </c>
      <c r="R44" s="100"/>
      <c r="S44" s="100"/>
      <c r="T44" s="100"/>
      <c r="U44" s="156"/>
      <c r="V44" s="100"/>
    </row>
    <row r="45" outlineLevel="1">
      <c r="A45" s="170" t="s">
        <v>89</v>
      </c>
      <c r="B45" s="147"/>
      <c r="C45" s="467" t="s">
        <v>220</v>
      </c>
      <c r="D45" s="216" t="s">
        <v>193</v>
      </c>
      <c r="E45" s="216" t="s">
        <v>232</v>
      </c>
      <c r="F45" s="138">
        <v>13.2</v>
      </c>
      <c r="G45" s="139" t="s">
        <v>121</v>
      </c>
      <c r="H45" s="366"/>
      <c r="I45" s="110"/>
      <c r="J45" s="109"/>
      <c r="K45" s="138"/>
      <c r="L45" s="282"/>
      <c r="M45" s="363"/>
      <c r="N45" s="363"/>
      <c r="O45" s="145">
        <v>0.0</v>
      </c>
      <c r="P45" s="145">
        <v>1.0</v>
      </c>
      <c r="Q45" s="145">
        <v>1.0</v>
      </c>
      <c r="R45" s="100"/>
      <c r="S45" s="100"/>
      <c r="T45" s="100"/>
      <c r="U45" s="145" t="s">
        <v>96</v>
      </c>
      <c r="V45" s="100"/>
    </row>
    <row r="46" outlineLevel="1">
      <c r="A46" s="170" t="s">
        <v>97</v>
      </c>
      <c r="B46" s="160"/>
      <c r="C46" s="467" t="s">
        <v>543</v>
      </c>
      <c r="D46" s="216" t="s">
        <v>964</v>
      </c>
      <c r="E46" s="216" t="s">
        <v>80</v>
      </c>
      <c r="F46" s="138">
        <v>9.6</v>
      </c>
      <c r="G46" s="139" t="s">
        <v>123</v>
      </c>
      <c r="H46" s="366"/>
      <c r="I46" s="110"/>
      <c r="J46" s="109"/>
      <c r="K46" s="282"/>
      <c r="L46" s="282"/>
      <c r="M46" s="363"/>
      <c r="N46" s="363"/>
      <c r="O46" s="145">
        <v>0.0</v>
      </c>
      <c r="P46" s="145">
        <v>1.0</v>
      </c>
      <c r="Q46" s="145">
        <v>1.0</v>
      </c>
      <c r="R46" s="100"/>
      <c r="S46" s="100"/>
      <c r="T46" s="100"/>
      <c r="U46" s="145" t="s">
        <v>62</v>
      </c>
      <c r="V46" s="100"/>
    </row>
    <row r="47" outlineLevel="1">
      <c r="A47" s="133" t="s">
        <v>103</v>
      </c>
      <c r="B47" s="147" t="s">
        <v>4523</v>
      </c>
      <c r="C47" s="467" t="s">
        <v>319</v>
      </c>
      <c r="D47" s="195" t="s">
        <v>628</v>
      </c>
      <c r="E47" s="216" t="s">
        <v>86</v>
      </c>
      <c r="F47" s="138">
        <v>7.2</v>
      </c>
      <c r="G47" s="139" t="s">
        <v>102</v>
      </c>
      <c r="H47" s="283" t="s">
        <v>4524</v>
      </c>
      <c r="I47" s="164"/>
      <c r="J47" s="104"/>
      <c r="K47" s="145"/>
      <c r="L47" s="363"/>
      <c r="M47" s="363"/>
      <c r="N47" s="363"/>
      <c r="O47" s="145">
        <v>0.0</v>
      </c>
      <c r="P47" s="145">
        <v>1.0</v>
      </c>
      <c r="Q47" s="145">
        <v>1.0</v>
      </c>
      <c r="R47" s="100"/>
      <c r="S47" s="100"/>
      <c r="T47" s="100"/>
      <c r="U47" s="166" t="s">
        <v>69</v>
      </c>
      <c r="V47" s="100"/>
    </row>
    <row r="48" outlineLevel="1">
      <c r="A48" s="156"/>
      <c r="B48" s="147" t="s">
        <v>4525</v>
      </c>
      <c r="C48" s="467" t="s">
        <v>836</v>
      </c>
      <c r="D48" s="107"/>
      <c r="E48" s="216" t="s">
        <v>93</v>
      </c>
      <c r="F48" s="138">
        <v>8.4</v>
      </c>
      <c r="G48" s="139" t="s">
        <v>95</v>
      </c>
      <c r="H48" s="106"/>
      <c r="I48" s="168"/>
      <c r="J48" s="107"/>
      <c r="K48" s="363"/>
      <c r="L48" s="363"/>
      <c r="M48" s="363"/>
      <c r="N48" s="363"/>
      <c r="O48" s="145">
        <v>0.0</v>
      </c>
      <c r="P48" s="145">
        <v>1.0</v>
      </c>
      <c r="Q48" s="145">
        <v>1.0</v>
      </c>
      <c r="R48" s="100"/>
      <c r="S48" s="100"/>
      <c r="T48" s="100"/>
      <c r="U48" s="156"/>
      <c r="V48" s="100"/>
    </row>
    <row r="49" outlineLevel="1">
      <c r="A49" s="133" t="s">
        <v>109</v>
      </c>
      <c r="B49" s="147" t="s">
        <v>125</v>
      </c>
      <c r="C49" s="467" t="s">
        <v>296</v>
      </c>
      <c r="D49" s="195" t="s">
        <v>1577</v>
      </c>
      <c r="E49" s="216" t="s">
        <v>204</v>
      </c>
      <c r="F49" s="138">
        <v>3.5999999999999996</v>
      </c>
      <c r="G49" s="139" t="s">
        <v>60</v>
      </c>
      <c r="H49" s="283" t="s">
        <v>1214</v>
      </c>
      <c r="I49" s="164"/>
      <c r="J49" s="104"/>
      <c r="K49" s="282"/>
      <c r="L49" s="282"/>
      <c r="M49" s="363"/>
      <c r="N49" s="363"/>
      <c r="O49" s="145">
        <v>0.0</v>
      </c>
      <c r="P49" s="145">
        <v>1.5</v>
      </c>
      <c r="Q49" s="145">
        <v>0.0</v>
      </c>
      <c r="R49" s="100"/>
      <c r="S49" s="100"/>
      <c r="T49" s="100"/>
      <c r="U49" s="166" t="s">
        <v>95</v>
      </c>
      <c r="V49" s="100"/>
    </row>
    <row r="50" outlineLevel="1">
      <c r="A50" s="146"/>
      <c r="B50" s="147" t="s">
        <v>131</v>
      </c>
      <c r="C50" s="467" t="s">
        <v>268</v>
      </c>
      <c r="D50" s="210"/>
      <c r="E50" s="216" t="s">
        <v>4526</v>
      </c>
      <c r="F50" s="138" t="s">
        <v>4527</v>
      </c>
      <c r="G50" s="139" t="s">
        <v>364</v>
      </c>
      <c r="H50" s="212"/>
      <c r="J50" s="210"/>
      <c r="K50" s="282"/>
      <c r="L50" s="282"/>
      <c r="M50" s="363"/>
      <c r="N50" s="363"/>
      <c r="O50" s="145">
        <v>0.0</v>
      </c>
      <c r="P50" s="145">
        <v>1.5</v>
      </c>
      <c r="Q50" s="145">
        <v>0.5</v>
      </c>
      <c r="R50" s="100"/>
      <c r="S50" s="100"/>
      <c r="T50" s="100"/>
      <c r="U50" s="146"/>
      <c r="V50" s="100"/>
    </row>
    <row r="51" outlineLevel="1">
      <c r="A51" s="156"/>
      <c r="B51" s="147" t="s">
        <v>434</v>
      </c>
      <c r="C51" s="467" t="s">
        <v>593</v>
      </c>
      <c r="D51" s="107"/>
      <c r="E51" s="216" t="s">
        <v>1962</v>
      </c>
      <c r="F51" s="138" t="s">
        <v>1963</v>
      </c>
      <c r="G51" s="139" t="s">
        <v>4107</v>
      </c>
      <c r="H51" s="106"/>
      <c r="I51" s="168"/>
      <c r="J51" s="107"/>
      <c r="K51" s="282"/>
      <c r="L51" s="282"/>
      <c r="M51" s="363"/>
      <c r="N51" s="363"/>
      <c r="O51" s="145">
        <v>0.0</v>
      </c>
      <c r="P51" s="145">
        <v>1.8</v>
      </c>
      <c r="Q51" s="145">
        <v>1.0</v>
      </c>
      <c r="R51" s="100"/>
      <c r="S51" s="100"/>
      <c r="T51" s="100"/>
      <c r="U51" s="156"/>
      <c r="V51" s="100"/>
    </row>
    <row r="52" outlineLevel="1">
      <c r="A52" s="133" t="s">
        <v>116</v>
      </c>
      <c r="B52" s="147"/>
      <c r="C52" s="450" t="s">
        <v>129</v>
      </c>
      <c r="D52" s="379" t="s">
        <v>146</v>
      </c>
      <c r="E52" s="216" t="s">
        <v>228</v>
      </c>
      <c r="F52" s="138">
        <v>15.6</v>
      </c>
      <c r="G52" s="139" t="s">
        <v>275</v>
      </c>
      <c r="H52" s="283" t="s">
        <v>560</v>
      </c>
      <c r="I52" s="164"/>
      <c r="J52" s="104"/>
      <c r="K52" s="363"/>
      <c r="L52" s="363"/>
      <c r="M52" s="363"/>
      <c r="N52" s="363"/>
      <c r="O52" s="145">
        <v>0.0</v>
      </c>
      <c r="P52" s="145">
        <v>1.2</v>
      </c>
      <c r="Q52" s="145">
        <v>1.0</v>
      </c>
      <c r="R52" s="100"/>
      <c r="S52" s="100"/>
      <c r="T52" s="100"/>
      <c r="U52" s="166" t="s">
        <v>123</v>
      </c>
      <c r="V52" s="100"/>
    </row>
    <row r="53" outlineLevel="1">
      <c r="A53" s="146"/>
      <c r="B53" s="147" t="s">
        <v>187</v>
      </c>
      <c r="C53" s="450" t="s">
        <v>305</v>
      </c>
      <c r="D53" s="210"/>
      <c r="E53" s="216" t="s">
        <v>4528</v>
      </c>
      <c r="F53" s="138" t="s">
        <v>4529</v>
      </c>
      <c r="G53" s="139" t="s">
        <v>4530</v>
      </c>
      <c r="H53" s="212"/>
      <c r="J53" s="210"/>
      <c r="K53" s="363"/>
      <c r="L53" s="363"/>
      <c r="M53" s="363"/>
      <c r="N53" s="363"/>
      <c r="O53" s="145">
        <v>0.0</v>
      </c>
      <c r="P53" s="145">
        <v>1.2</v>
      </c>
      <c r="Q53" s="145">
        <v>1.0</v>
      </c>
      <c r="R53" s="100"/>
      <c r="S53" s="100"/>
      <c r="T53" s="100"/>
      <c r="U53" s="146"/>
      <c r="V53" s="100"/>
    </row>
    <row r="54" outlineLevel="1">
      <c r="A54" s="156"/>
      <c r="B54" s="147" t="s">
        <v>189</v>
      </c>
      <c r="C54" s="450" t="s">
        <v>561</v>
      </c>
      <c r="D54" s="107"/>
      <c r="E54" s="216" t="s">
        <v>80</v>
      </c>
      <c r="F54" s="138">
        <v>9.6</v>
      </c>
      <c r="G54" s="139" t="s">
        <v>102</v>
      </c>
      <c r="H54" s="106"/>
      <c r="I54" s="168"/>
      <c r="J54" s="107"/>
      <c r="K54" s="363"/>
      <c r="L54" s="363"/>
      <c r="M54" s="363"/>
      <c r="N54" s="363"/>
      <c r="O54" s="145">
        <v>0.0</v>
      </c>
      <c r="P54" s="145">
        <v>1.0</v>
      </c>
      <c r="Q54" s="145">
        <v>1.0</v>
      </c>
      <c r="R54" s="100"/>
      <c r="S54" s="100"/>
      <c r="T54" s="100"/>
      <c r="U54" s="156"/>
      <c r="V54" s="100"/>
    </row>
    <row r="55" outlineLevel="1">
      <c r="A55" s="133" t="s">
        <v>124</v>
      </c>
      <c r="B55" s="147" t="s">
        <v>125</v>
      </c>
      <c r="C55" s="216" t="s">
        <v>518</v>
      </c>
      <c r="D55" s="195" t="s">
        <v>185</v>
      </c>
      <c r="E55" s="216" t="s">
        <v>204</v>
      </c>
      <c r="F55" s="138">
        <v>3.5999999999999996</v>
      </c>
      <c r="G55" s="139" t="s">
        <v>60</v>
      </c>
      <c r="H55" s="283" t="s">
        <v>130</v>
      </c>
      <c r="I55" s="164"/>
      <c r="J55" s="104"/>
      <c r="K55" s="282"/>
      <c r="L55" s="282"/>
      <c r="M55" s="363"/>
      <c r="N55" s="363"/>
      <c r="O55" s="145">
        <v>0.0</v>
      </c>
      <c r="P55" s="145">
        <v>1.0</v>
      </c>
      <c r="Q55" s="145">
        <v>0.5</v>
      </c>
      <c r="R55" s="100"/>
      <c r="S55" s="100"/>
      <c r="T55" s="100"/>
      <c r="U55" s="166" t="s">
        <v>69</v>
      </c>
      <c r="V55" s="100"/>
    </row>
    <row r="56" outlineLevel="1">
      <c r="A56" s="156"/>
      <c r="B56" s="147" t="s">
        <v>131</v>
      </c>
      <c r="C56" s="216" t="s">
        <v>314</v>
      </c>
      <c r="D56" s="107"/>
      <c r="E56" s="216" t="s">
        <v>232</v>
      </c>
      <c r="F56" s="138">
        <v>13.2</v>
      </c>
      <c r="G56" s="139" t="s">
        <v>123</v>
      </c>
      <c r="H56" s="106"/>
      <c r="I56" s="168"/>
      <c r="J56" s="107"/>
      <c r="K56" s="282"/>
      <c r="L56" s="282"/>
      <c r="M56" s="363"/>
      <c r="N56" s="363"/>
      <c r="O56" s="145">
        <v>0.0</v>
      </c>
      <c r="P56" s="145">
        <v>1.4</v>
      </c>
      <c r="Q56" s="145">
        <v>1.0</v>
      </c>
      <c r="R56" s="100"/>
      <c r="S56" s="100"/>
      <c r="T56" s="100"/>
      <c r="U56" s="156"/>
      <c r="V56" s="100"/>
    </row>
    <row r="57">
      <c r="A57" s="118"/>
      <c r="B57" s="176"/>
      <c r="C57" s="118"/>
      <c r="D57" s="118"/>
      <c r="E57" s="118"/>
      <c r="F57" s="177"/>
      <c r="G57" s="177"/>
      <c r="H57" s="118"/>
      <c r="I57" s="118"/>
      <c r="J57" s="118"/>
      <c r="K57" s="118"/>
      <c r="L57" s="118"/>
      <c r="M57" s="118"/>
      <c r="N57" s="118"/>
      <c r="O57" s="118"/>
      <c r="P57" s="118"/>
      <c r="Q57" s="118"/>
      <c r="R57" s="118"/>
      <c r="S57" s="118"/>
      <c r="T57" s="118"/>
      <c r="U57" s="118"/>
      <c r="V57" s="118"/>
    </row>
    <row r="58">
      <c r="A58" s="178" t="s">
        <v>133</v>
      </c>
      <c r="B58" s="104"/>
      <c r="C58" s="179"/>
      <c r="D58" s="179"/>
      <c r="E58" s="179"/>
      <c r="F58" s="180"/>
      <c r="G58" s="179"/>
      <c r="H58" s="180"/>
      <c r="I58" s="180"/>
      <c r="J58" s="181"/>
      <c r="K58" s="180"/>
      <c r="L58" s="180"/>
      <c r="M58" s="180"/>
      <c r="N58" s="180"/>
      <c r="O58" s="180"/>
      <c r="P58" s="180"/>
      <c r="Q58" s="180"/>
      <c r="R58" s="180"/>
      <c r="S58" s="180"/>
      <c r="T58" s="180"/>
      <c r="U58" s="180"/>
      <c r="V58" s="180"/>
    </row>
    <row r="59" outlineLevel="1">
      <c r="A59" s="106"/>
      <c r="B59" s="107"/>
      <c r="C59" s="182" t="s">
        <v>48</v>
      </c>
      <c r="D59" s="183" t="s">
        <v>49</v>
      </c>
      <c r="E59" s="182" t="s">
        <v>50</v>
      </c>
      <c r="F59" s="184" t="s">
        <v>51</v>
      </c>
      <c r="G59" s="184" t="s">
        <v>134</v>
      </c>
      <c r="H59" s="185" t="str">
        <f>'テンプレート'!H56</f>
        <v>ガード硬直</v>
      </c>
      <c r="I59" s="184" t="str">
        <f>'テンプレート'!I56</f>
        <v>着地隙</v>
      </c>
      <c r="J59" s="184" t="s">
        <v>136</v>
      </c>
      <c r="K59" s="184" t="str">
        <f>'テンプレート'!K56</f>
        <v>ベクトル</v>
      </c>
      <c r="L59" s="184" t="str">
        <f>'テンプレート'!L56</f>
        <v>KBG (R.E.)</v>
      </c>
      <c r="M59" s="184" t="str">
        <f>'テンプレート'!M56</f>
        <v>BKB (R.A.)</v>
      </c>
      <c r="N59" s="184" t="str">
        <f>'テンプレート'!N56</f>
        <v>FKB (R.F.)</v>
      </c>
      <c r="O59" s="186" t="str">
        <f>'テンプレート'!O56</f>
        <v>盾削り値</v>
      </c>
      <c r="P59" s="184" t="str">
        <f>'テンプレート'!P56</f>
        <v>ﾋｯﾄｽﾄｯﾌﾟ</v>
      </c>
      <c r="Q59" s="186" t="str">
        <f>'テンプレート'!Q56</f>
        <v>ずらし</v>
      </c>
      <c r="R59" s="372" t="str">
        <f>'テンプレート'!R56</f>
        <v>備考</v>
      </c>
      <c r="S59" s="110"/>
      <c r="T59" s="110"/>
      <c r="U59" s="110"/>
      <c r="V59" s="110"/>
    </row>
    <row r="60" outlineLevel="1">
      <c r="A60" s="213" t="s">
        <v>144</v>
      </c>
      <c r="B60" s="373"/>
      <c r="C60" s="239" t="s">
        <v>2824</v>
      </c>
      <c r="D60" s="774" t="s">
        <v>282</v>
      </c>
      <c r="E60" s="401" t="s">
        <v>80</v>
      </c>
      <c r="F60" s="193">
        <v>9.6</v>
      </c>
      <c r="G60" s="193">
        <v>8.16</v>
      </c>
      <c r="H60" s="138" t="s">
        <v>147</v>
      </c>
      <c r="I60" s="621" t="str">
        <f t="array" ref="I60">INDEX('空中攻撃'!$O$3:$AA$109, MATCH($A$1,'空中攻撃'!$A$3:$A$109,0), MATCH(A60,'空中攻撃'!$O$2:$S$2,0))</f>
        <v>9</v>
      </c>
      <c r="J60" s="467" t="s">
        <v>2087</v>
      </c>
      <c r="K60" s="138"/>
      <c r="L60" s="282"/>
      <c r="M60" s="363"/>
      <c r="N60" s="363"/>
      <c r="O60" s="145">
        <v>0.0</v>
      </c>
      <c r="P60" s="145">
        <v>1.0</v>
      </c>
      <c r="Q60" s="145">
        <v>1.0</v>
      </c>
      <c r="R60" s="622"/>
      <c r="S60" s="110"/>
      <c r="T60" s="110"/>
      <c r="U60" s="110"/>
      <c r="V60" s="109"/>
    </row>
    <row r="61" outlineLevel="1">
      <c r="A61" s="188" t="s">
        <v>151</v>
      </c>
      <c r="B61" s="373"/>
      <c r="C61" s="239" t="s">
        <v>653</v>
      </c>
      <c r="D61" s="452">
        <v>53.0</v>
      </c>
      <c r="E61" s="239" t="s">
        <v>896</v>
      </c>
      <c r="F61" s="138" t="s">
        <v>897</v>
      </c>
      <c r="G61" s="138" t="s">
        <v>4531</v>
      </c>
      <c r="H61" s="138" t="s">
        <v>1766</v>
      </c>
      <c r="I61" s="454" t="str">
        <f t="array" ref="I61">INDEX('空中攻撃'!$O$3:$AA$109, MATCH($A$1,'空中攻撃'!$A$3:$A$109,0), MATCH(A61,'空中攻撃'!$O$2:$S$2,0))</f>
        <v>11</v>
      </c>
      <c r="J61" s="455" t="s">
        <v>154</v>
      </c>
      <c r="K61" s="138"/>
      <c r="L61" s="282"/>
      <c r="M61" s="363"/>
      <c r="N61" s="363"/>
      <c r="O61" s="145">
        <v>0.0</v>
      </c>
      <c r="P61" s="2786" t="s">
        <v>4532</v>
      </c>
      <c r="Q61" s="145">
        <v>1.0</v>
      </c>
      <c r="R61" s="619"/>
      <c r="S61" s="164"/>
      <c r="T61" s="164"/>
      <c r="U61" s="164"/>
      <c r="V61" s="104"/>
    </row>
    <row r="62" outlineLevel="1">
      <c r="A62" s="156"/>
      <c r="B62" s="373" t="s">
        <v>84</v>
      </c>
      <c r="C62" s="239" t="s">
        <v>1942</v>
      </c>
      <c r="D62" s="107"/>
      <c r="E62" s="239" t="s">
        <v>232</v>
      </c>
      <c r="F62" s="138">
        <v>13.2</v>
      </c>
      <c r="G62" s="138">
        <v>11.22</v>
      </c>
      <c r="H62" s="138" t="s">
        <v>147</v>
      </c>
      <c r="I62" s="156"/>
      <c r="J62" s="107"/>
      <c r="K62" s="138"/>
      <c r="L62" s="282"/>
      <c r="M62" s="363"/>
      <c r="N62" s="363"/>
      <c r="O62" s="145">
        <v>0.0</v>
      </c>
      <c r="P62" s="145">
        <v>1.0</v>
      </c>
      <c r="Q62" s="145">
        <v>1.0</v>
      </c>
      <c r="R62" s="106"/>
      <c r="S62" s="168"/>
      <c r="T62" s="168"/>
      <c r="U62" s="168"/>
      <c r="V62" s="107"/>
    </row>
    <row r="63" outlineLevel="1">
      <c r="A63" s="213" t="s">
        <v>157</v>
      </c>
      <c r="B63" s="373"/>
      <c r="C63" s="239" t="s">
        <v>299</v>
      </c>
      <c r="D63" s="380">
        <v>41.0</v>
      </c>
      <c r="E63" s="239" t="s">
        <v>228</v>
      </c>
      <c r="F63" s="138">
        <v>15.6</v>
      </c>
      <c r="G63" s="138">
        <v>13.26</v>
      </c>
      <c r="H63" s="138" t="s">
        <v>75</v>
      </c>
      <c r="I63" s="621">
        <f t="array" ref="I63">INDEX('空中攻撃'!$O$3:$AA$109, MATCH($A$1,'空中攻撃'!$A$3:$A$109,0), MATCH(A63,'空中攻撃'!$O$2:$S$2,0))</f>
        <v>8</v>
      </c>
      <c r="J63" s="467" t="s">
        <v>3634</v>
      </c>
      <c r="K63" s="138"/>
      <c r="L63" s="282"/>
      <c r="M63" s="363"/>
      <c r="N63" s="363"/>
      <c r="O63" s="145">
        <v>0.0</v>
      </c>
      <c r="P63" s="145">
        <v>1.0</v>
      </c>
      <c r="Q63" s="145">
        <v>1.0</v>
      </c>
      <c r="R63" s="622"/>
      <c r="S63" s="110"/>
      <c r="T63" s="110"/>
      <c r="U63" s="110"/>
      <c r="V63" s="109"/>
    </row>
    <row r="64" outlineLevel="1">
      <c r="A64" s="188" t="s">
        <v>162</v>
      </c>
      <c r="B64" s="373"/>
      <c r="C64" s="239" t="s">
        <v>518</v>
      </c>
      <c r="D64" s="374" t="s">
        <v>393</v>
      </c>
      <c r="E64" s="239" t="s">
        <v>232</v>
      </c>
      <c r="F64" s="138">
        <v>13.2</v>
      </c>
      <c r="G64" s="138">
        <v>11.22</v>
      </c>
      <c r="H64" s="138" t="s">
        <v>147</v>
      </c>
      <c r="I64" s="194" t="str">
        <f t="array" ref="I64">INDEX('空中攻撃'!$O$3:$AA$109, MATCH($A$1,'空中攻撃'!$A$3:$A$109,0), MATCH(A64,'空中攻撃'!$O$2:$S$2,0))</f>
        <v>9</v>
      </c>
      <c r="J64" s="195" t="s">
        <v>3945</v>
      </c>
      <c r="K64" s="282"/>
      <c r="L64" s="282"/>
      <c r="M64" s="363"/>
      <c r="N64" s="363"/>
      <c r="O64" s="145">
        <v>0.0</v>
      </c>
      <c r="P64" s="145">
        <v>1.2</v>
      </c>
      <c r="Q64" s="145">
        <v>1.0</v>
      </c>
      <c r="R64" s="619"/>
      <c r="S64" s="164"/>
      <c r="T64" s="164"/>
      <c r="U64" s="164"/>
      <c r="V64" s="104"/>
    </row>
    <row r="65" outlineLevel="1">
      <c r="A65" s="156"/>
      <c r="B65" s="373" t="s">
        <v>84</v>
      </c>
      <c r="C65" s="239" t="s">
        <v>771</v>
      </c>
      <c r="D65" s="107"/>
      <c r="E65" s="239" t="s">
        <v>80</v>
      </c>
      <c r="F65" s="138">
        <v>9.6</v>
      </c>
      <c r="G65" s="138">
        <v>8.16</v>
      </c>
      <c r="H65" s="138" t="s">
        <v>147</v>
      </c>
      <c r="I65" s="156"/>
      <c r="J65" s="107"/>
      <c r="K65" s="282"/>
      <c r="L65" s="282"/>
      <c r="M65" s="363"/>
      <c r="N65" s="363"/>
      <c r="O65" s="145">
        <v>0.0</v>
      </c>
      <c r="P65" s="145">
        <v>1.0</v>
      </c>
      <c r="Q65" s="145">
        <v>1.0</v>
      </c>
      <c r="R65" s="106"/>
      <c r="S65" s="168"/>
      <c r="T65" s="168"/>
      <c r="U65" s="168"/>
      <c r="V65" s="107"/>
    </row>
    <row r="66" outlineLevel="1">
      <c r="A66" s="188" t="s">
        <v>166</v>
      </c>
      <c r="B66" s="373" t="s">
        <v>350</v>
      </c>
      <c r="C66" s="367" t="s">
        <v>382</v>
      </c>
      <c r="D66" s="195" t="s">
        <v>1839</v>
      </c>
      <c r="E66" s="239" t="s">
        <v>228</v>
      </c>
      <c r="F66" s="138">
        <v>15.6</v>
      </c>
      <c r="G66" s="138">
        <v>13.26</v>
      </c>
      <c r="H66" s="138" t="s">
        <v>75</v>
      </c>
      <c r="I66" s="194">
        <f t="array" ref="I66">INDEX('空中攻撃'!$O$3:$AA$109, MATCH($A$1,'空中攻撃'!$A$3:$A$109,0), MATCH(A66,'空中攻撃'!$O$2:$S$2,0))</f>
        <v>16</v>
      </c>
      <c r="J66" s="195" t="s">
        <v>4533</v>
      </c>
      <c r="K66" s="282"/>
      <c r="L66" s="282"/>
      <c r="M66" s="363"/>
      <c r="N66" s="363"/>
      <c r="O66" s="145">
        <v>0.0</v>
      </c>
      <c r="P66" s="2786" t="s">
        <v>4534</v>
      </c>
      <c r="Q66" s="145">
        <v>1.0</v>
      </c>
      <c r="R66" s="163"/>
      <c r="S66" s="164"/>
      <c r="T66" s="164"/>
      <c r="U66" s="164"/>
      <c r="V66" s="104"/>
    </row>
    <row r="67" outlineLevel="1">
      <c r="A67" s="146"/>
      <c r="B67" s="373" t="s">
        <v>356</v>
      </c>
      <c r="C67" s="156"/>
      <c r="D67" s="210"/>
      <c r="E67" s="239" t="s">
        <v>315</v>
      </c>
      <c r="F67" s="138" t="s">
        <v>316</v>
      </c>
      <c r="G67" s="138" t="s">
        <v>317</v>
      </c>
      <c r="H67" s="409"/>
      <c r="I67" s="146"/>
      <c r="J67" s="210"/>
      <c r="K67" s="282"/>
      <c r="L67" s="282"/>
      <c r="M67" s="363"/>
      <c r="N67" s="363"/>
      <c r="O67" s="145"/>
      <c r="P67" s="145"/>
      <c r="Q67" s="145"/>
      <c r="R67" s="212"/>
      <c r="V67" s="210"/>
    </row>
    <row r="68" outlineLevel="1">
      <c r="A68" s="156"/>
      <c r="B68" s="373" t="s">
        <v>84</v>
      </c>
      <c r="C68" s="239" t="s">
        <v>4535</v>
      </c>
      <c r="D68" s="107"/>
      <c r="E68" s="239" t="s">
        <v>80</v>
      </c>
      <c r="F68" s="138">
        <v>9.6</v>
      </c>
      <c r="G68" s="138">
        <v>8.16</v>
      </c>
      <c r="H68" s="138" t="s">
        <v>147</v>
      </c>
      <c r="I68" s="156"/>
      <c r="J68" s="107"/>
      <c r="K68" s="282"/>
      <c r="L68" s="282"/>
      <c r="M68" s="363"/>
      <c r="N68" s="363"/>
      <c r="O68" s="145">
        <v>0.0</v>
      </c>
      <c r="P68" s="145">
        <v>1.2</v>
      </c>
      <c r="Q68" s="145">
        <v>1.0</v>
      </c>
      <c r="R68" s="106"/>
      <c r="S68" s="168"/>
      <c r="T68" s="168"/>
      <c r="U68" s="168"/>
      <c r="V68" s="107"/>
    </row>
    <row r="69">
      <c r="A69" s="223"/>
      <c r="B69" s="224"/>
      <c r="C69" s="225"/>
      <c r="D69" s="225"/>
      <c r="E69" s="226"/>
      <c r="F69" s="226"/>
      <c r="G69" s="226"/>
      <c r="H69" s="227"/>
      <c r="I69" s="227"/>
      <c r="J69" s="228"/>
      <c r="K69" s="228"/>
      <c r="L69" s="228"/>
      <c r="M69" s="228"/>
      <c r="N69" s="228"/>
      <c r="O69" s="228"/>
      <c r="P69" s="228"/>
      <c r="Q69" s="118"/>
      <c r="R69" s="118"/>
      <c r="S69" s="118"/>
      <c r="T69" s="118"/>
      <c r="U69" s="118"/>
      <c r="V69" s="118"/>
    </row>
    <row r="70">
      <c r="A70" s="229" t="s">
        <v>177</v>
      </c>
      <c r="B70" s="109"/>
      <c r="C70" s="225"/>
      <c r="D70" s="225"/>
      <c r="E70" s="226"/>
      <c r="F70" s="226"/>
      <c r="G70" s="226"/>
      <c r="H70" s="227"/>
      <c r="I70" s="227"/>
      <c r="J70" s="228"/>
      <c r="K70" s="228"/>
      <c r="L70" s="228"/>
      <c r="M70" s="228"/>
      <c r="N70" s="228"/>
      <c r="O70" s="228"/>
      <c r="P70" s="228"/>
      <c r="Q70" s="118"/>
      <c r="R70" s="118"/>
      <c r="S70" s="118"/>
      <c r="T70" s="118"/>
      <c r="U70" s="118"/>
      <c r="V70" s="118"/>
    </row>
    <row r="71" outlineLevel="1">
      <c r="A71" s="230" t="s">
        <v>4536</v>
      </c>
      <c r="B71" s="109"/>
      <c r="C71" s="231" t="s">
        <v>48</v>
      </c>
      <c r="D71" s="231" t="s">
        <v>49</v>
      </c>
      <c r="E71" s="232" t="s">
        <v>50</v>
      </c>
      <c r="F71" s="233" t="s">
        <v>51</v>
      </c>
      <c r="G71" s="232" t="s">
        <v>52</v>
      </c>
      <c r="H71" s="382" t="str">
        <f>'テンプレート'!H72</f>
        <v>備考</v>
      </c>
      <c r="I71" s="110"/>
      <c r="J71" s="109"/>
      <c r="K71" s="235" t="str">
        <f>'テンプレート'!K72</f>
        <v>ベクトル</v>
      </c>
      <c r="L71" s="235" t="str">
        <f>'テンプレート'!L72</f>
        <v>KBG (R.E.)</v>
      </c>
      <c r="M71" s="235" t="str">
        <f>'テンプレート'!M72</f>
        <v>BKB (R.A.)</v>
      </c>
      <c r="N71" s="235" t="str">
        <f>'テンプレート'!N72</f>
        <v>FKB (R.F.)</v>
      </c>
      <c r="O71" s="236" t="str">
        <f>'テンプレート'!O72</f>
        <v>盾削り値</v>
      </c>
      <c r="P71" s="235" t="str">
        <f>'テンプレート'!P72</f>
        <v>ﾋｯﾄｽﾄｯﾌﾟ</v>
      </c>
      <c r="Q71" s="236" t="str">
        <f>'テンプレート'!Q72</f>
        <v>ずらし</v>
      </c>
      <c r="R71" s="235" t="str">
        <f>'テンプレート'!R72</f>
        <v>相殺</v>
      </c>
      <c r="S71" s="236" t="str">
        <f>'テンプレート'!S72</f>
        <v>相殺ﾓｰｼｮﾝ</v>
      </c>
      <c r="T71" s="236" t="str">
        <f>'テンプレート'!T72</f>
        <v>飛び道具</v>
      </c>
      <c r="U71" s="236" t="str">
        <f>'テンプレート'!U72</f>
        <v>慣性反転</v>
      </c>
      <c r="V71" s="236" t="str">
        <f>'テンプレート'!V72</f>
        <v>向き反転</v>
      </c>
    </row>
    <row r="72" outlineLevel="1">
      <c r="A72" s="237" t="s">
        <v>397</v>
      </c>
      <c r="B72" s="243" t="s">
        <v>3508</v>
      </c>
      <c r="C72" s="239" t="s">
        <v>454</v>
      </c>
      <c r="D72" s="367" t="s">
        <v>892</v>
      </c>
      <c r="E72" s="239" t="s">
        <v>209</v>
      </c>
      <c r="F72" s="138">
        <v>0.0</v>
      </c>
      <c r="G72" s="409"/>
      <c r="H72" s="163"/>
      <c r="I72" s="164"/>
      <c r="J72" s="104"/>
      <c r="K72" s="282"/>
      <c r="L72" s="282"/>
      <c r="M72" s="363"/>
      <c r="N72" s="363"/>
      <c r="O72" s="138">
        <v>0.0</v>
      </c>
      <c r="P72" s="138">
        <v>0.0</v>
      </c>
      <c r="Q72" s="138">
        <v>0.0</v>
      </c>
      <c r="R72" s="145" t="b">
        <v>0</v>
      </c>
      <c r="S72" s="145" t="b">
        <v>0</v>
      </c>
      <c r="T72" s="145"/>
      <c r="U72" s="166" t="s">
        <v>186</v>
      </c>
      <c r="V72" s="166" t="b">
        <v>1</v>
      </c>
    </row>
    <row r="73" outlineLevel="1">
      <c r="A73" s="146"/>
      <c r="B73" s="663" t="s">
        <v>332</v>
      </c>
      <c r="C73" s="239" t="s">
        <v>4537</v>
      </c>
      <c r="D73" s="146"/>
      <c r="E73" s="239" t="s">
        <v>80</v>
      </c>
      <c r="F73" s="138">
        <v>9.6</v>
      </c>
      <c r="G73" s="239" t="s">
        <v>60</v>
      </c>
      <c r="H73" s="212"/>
      <c r="J73" s="210"/>
      <c r="K73" s="282"/>
      <c r="L73" s="282"/>
      <c r="M73" s="363"/>
      <c r="N73" s="363"/>
      <c r="O73" s="138">
        <v>0.0</v>
      </c>
      <c r="P73" s="138">
        <v>0.5</v>
      </c>
      <c r="Q73" s="138">
        <v>1.0</v>
      </c>
      <c r="R73" s="145" t="b">
        <v>1</v>
      </c>
      <c r="S73" s="145"/>
      <c r="T73" s="145" t="b">
        <v>1</v>
      </c>
      <c r="U73" s="146"/>
      <c r="V73" s="146"/>
    </row>
    <row r="74" outlineLevel="1">
      <c r="A74" s="146"/>
      <c r="B74" s="663" t="s">
        <v>4538</v>
      </c>
      <c r="C74" s="239" t="s">
        <v>4539</v>
      </c>
      <c r="D74" s="156"/>
      <c r="E74" s="239" t="s">
        <v>86</v>
      </c>
      <c r="F74" s="138">
        <v>7.199999999999999</v>
      </c>
      <c r="G74" s="239" t="s">
        <v>60</v>
      </c>
      <c r="H74" s="212"/>
      <c r="J74" s="210"/>
      <c r="K74" s="282"/>
      <c r="L74" s="282"/>
      <c r="M74" s="363"/>
      <c r="N74" s="363"/>
      <c r="O74" s="138">
        <v>0.0</v>
      </c>
      <c r="P74" s="138">
        <v>0.5</v>
      </c>
      <c r="Q74" s="138">
        <v>1.0</v>
      </c>
      <c r="R74" s="145" t="b">
        <v>1</v>
      </c>
      <c r="S74" s="145"/>
      <c r="T74" s="145" t="b">
        <v>1</v>
      </c>
      <c r="U74" s="146"/>
      <c r="V74" s="146"/>
    </row>
    <row r="75" outlineLevel="1">
      <c r="A75" s="146"/>
      <c r="B75" s="243" t="s">
        <v>3508</v>
      </c>
      <c r="C75" s="239" t="s">
        <v>454</v>
      </c>
      <c r="D75" s="367" t="s">
        <v>424</v>
      </c>
      <c r="E75" s="239" t="s">
        <v>209</v>
      </c>
      <c r="F75" s="138">
        <v>0.0</v>
      </c>
      <c r="G75" s="409"/>
      <c r="H75" s="212"/>
      <c r="J75" s="210"/>
      <c r="K75" s="282"/>
      <c r="L75" s="282"/>
      <c r="M75" s="363"/>
      <c r="N75" s="363"/>
      <c r="O75" s="138"/>
      <c r="P75" s="138"/>
      <c r="Q75" s="138"/>
      <c r="R75" s="145" t="b">
        <v>0</v>
      </c>
      <c r="S75" s="145" t="b">
        <v>0</v>
      </c>
      <c r="T75" s="145" t="b">
        <v>0</v>
      </c>
      <c r="U75" s="146"/>
      <c r="V75" s="146"/>
    </row>
    <row r="76" outlineLevel="1">
      <c r="A76" s="146"/>
      <c r="B76" s="663" t="s">
        <v>344</v>
      </c>
      <c r="C76" s="239" t="s">
        <v>4537</v>
      </c>
      <c r="D76" s="146"/>
      <c r="E76" s="239" t="s">
        <v>4540</v>
      </c>
      <c r="F76" s="138">
        <v>7.68</v>
      </c>
      <c r="G76" s="239" t="s">
        <v>60</v>
      </c>
      <c r="H76" s="212"/>
      <c r="J76" s="210"/>
      <c r="K76" s="282"/>
      <c r="L76" s="282"/>
      <c r="M76" s="363"/>
      <c r="N76" s="363"/>
      <c r="O76" s="138">
        <v>0.0</v>
      </c>
      <c r="P76" s="138">
        <v>0.5</v>
      </c>
      <c r="Q76" s="138">
        <v>1.0</v>
      </c>
      <c r="R76" s="145" t="b">
        <v>1</v>
      </c>
      <c r="S76" s="145"/>
      <c r="T76" s="145" t="b">
        <v>1</v>
      </c>
      <c r="U76" s="146"/>
      <c r="V76" s="146"/>
    </row>
    <row r="77" outlineLevel="1">
      <c r="A77" s="156"/>
      <c r="B77" s="663" t="s">
        <v>4541</v>
      </c>
      <c r="C77" s="239" t="s">
        <v>4539</v>
      </c>
      <c r="D77" s="156"/>
      <c r="E77" s="239" t="s">
        <v>74</v>
      </c>
      <c r="F77" s="138">
        <v>5.76</v>
      </c>
      <c r="G77" s="239" t="s">
        <v>60</v>
      </c>
      <c r="H77" s="106"/>
      <c r="I77" s="168"/>
      <c r="J77" s="107"/>
      <c r="K77" s="282"/>
      <c r="L77" s="282"/>
      <c r="M77" s="363"/>
      <c r="N77" s="363"/>
      <c r="O77" s="138">
        <v>0.0</v>
      </c>
      <c r="P77" s="138">
        <v>0.5</v>
      </c>
      <c r="Q77" s="138">
        <v>1.0</v>
      </c>
      <c r="R77" s="145" t="b">
        <v>1</v>
      </c>
      <c r="S77" s="145"/>
      <c r="T77" s="145" t="b">
        <v>1</v>
      </c>
      <c r="U77" s="156"/>
      <c r="V77" s="156"/>
    </row>
    <row r="78" outlineLevel="1">
      <c r="A78" s="237" t="s">
        <v>4542</v>
      </c>
      <c r="B78" s="663" t="s">
        <v>332</v>
      </c>
      <c r="C78" s="239" t="s">
        <v>4543</v>
      </c>
      <c r="D78" s="367" t="s">
        <v>424</v>
      </c>
      <c r="E78" s="239" t="s">
        <v>86</v>
      </c>
      <c r="F78" s="138">
        <v>7.199999999999999</v>
      </c>
      <c r="G78" s="239" t="s">
        <v>60</v>
      </c>
      <c r="H78" s="163" t="s">
        <v>4544</v>
      </c>
      <c r="I78" s="164"/>
      <c r="J78" s="104"/>
      <c r="K78" s="282"/>
      <c r="L78" s="282"/>
      <c r="M78" s="363"/>
      <c r="N78" s="363"/>
      <c r="O78" s="138">
        <v>0.0</v>
      </c>
      <c r="P78" s="138">
        <v>0.5</v>
      </c>
      <c r="Q78" s="138">
        <v>1.0</v>
      </c>
      <c r="R78" s="145"/>
      <c r="S78" s="145"/>
      <c r="T78" s="145" t="b">
        <v>1</v>
      </c>
      <c r="U78" s="166" t="s">
        <v>186</v>
      </c>
      <c r="V78" s="166" t="b">
        <v>1</v>
      </c>
    </row>
    <row r="79" outlineLevel="1">
      <c r="A79" s="146"/>
      <c r="B79" s="663" t="s">
        <v>4545</v>
      </c>
      <c r="C79" s="239" t="s">
        <v>4546</v>
      </c>
      <c r="D79" s="146"/>
      <c r="E79" s="239" t="s">
        <v>176</v>
      </c>
      <c r="F79" s="138">
        <v>2.4</v>
      </c>
      <c r="G79" s="239" t="s">
        <v>170</v>
      </c>
      <c r="H79" s="212"/>
      <c r="J79" s="210"/>
      <c r="K79" s="282"/>
      <c r="L79" s="282"/>
      <c r="M79" s="363"/>
      <c r="N79" s="363"/>
      <c r="O79" s="138">
        <v>0.0</v>
      </c>
      <c r="P79" s="138">
        <v>0.5</v>
      </c>
      <c r="Q79" s="138">
        <v>1.0</v>
      </c>
      <c r="R79" s="145" t="b">
        <v>0</v>
      </c>
      <c r="S79" s="145"/>
      <c r="T79" s="145" t="b">
        <v>1</v>
      </c>
      <c r="U79" s="146"/>
      <c r="V79" s="146"/>
    </row>
    <row r="80" outlineLevel="1">
      <c r="A80" s="146"/>
      <c r="B80" s="663" t="s">
        <v>4547</v>
      </c>
      <c r="C80" s="239" t="s">
        <v>784</v>
      </c>
      <c r="D80" s="146"/>
      <c r="E80" s="239" t="s">
        <v>204</v>
      </c>
      <c r="F80" s="138">
        <v>3.5999999999999996</v>
      </c>
      <c r="G80" s="239" t="s">
        <v>170</v>
      </c>
      <c r="H80" s="212"/>
      <c r="J80" s="210"/>
      <c r="K80" s="282"/>
      <c r="L80" s="282"/>
      <c r="M80" s="363"/>
      <c r="N80" s="363"/>
      <c r="O80" s="138">
        <v>0.0</v>
      </c>
      <c r="P80" s="138">
        <v>0.5</v>
      </c>
      <c r="Q80" s="138">
        <v>1.0</v>
      </c>
      <c r="R80" s="145" t="b">
        <v>0</v>
      </c>
      <c r="S80" s="145"/>
      <c r="T80" s="145" t="b">
        <v>1</v>
      </c>
      <c r="U80" s="146"/>
      <c r="V80" s="146"/>
    </row>
    <row r="81" outlineLevel="1">
      <c r="A81" s="146"/>
      <c r="B81" s="663" t="s">
        <v>344</v>
      </c>
      <c r="C81" s="239" t="s">
        <v>4543</v>
      </c>
      <c r="D81" s="367" t="s">
        <v>424</v>
      </c>
      <c r="E81" s="239" t="s">
        <v>74</v>
      </c>
      <c r="F81" s="138">
        <v>5.76</v>
      </c>
      <c r="G81" s="239" t="s">
        <v>60</v>
      </c>
      <c r="H81" s="212"/>
      <c r="J81" s="210"/>
      <c r="K81" s="282"/>
      <c r="L81" s="282"/>
      <c r="M81" s="363"/>
      <c r="N81" s="363"/>
      <c r="O81" s="138">
        <v>0.0</v>
      </c>
      <c r="P81" s="138">
        <v>0.5</v>
      </c>
      <c r="Q81" s="138">
        <v>1.0</v>
      </c>
      <c r="R81" s="145"/>
      <c r="S81" s="145"/>
      <c r="T81" s="145" t="b">
        <v>1</v>
      </c>
      <c r="U81" s="146"/>
      <c r="V81" s="146"/>
    </row>
    <row r="82" outlineLevel="1">
      <c r="A82" s="146"/>
      <c r="B82" s="663" t="s">
        <v>4548</v>
      </c>
      <c r="C82" s="239" t="s">
        <v>4546</v>
      </c>
      <c r="D82" s="146"/>
      <c r="E82" s="239" t="s">
        <v>381</v>
      </c>
      <c r="F82" s="138">
        <v>1.92</v>
      </c>
      <c r="G82" s="239" t="s">
        <v>170</v>
      </c>
      <c r="H82" s="212"/>
      <c r="J82" s="210"/>
      <c r="K82" s="282"/>
      <c r="L82" s="282"/>
      <c r="M82" s="363"/>
      <c r="N82" s="363"/>
      <c r="O82" s="138">
        <v>0.0</v>
      </c>
      <c r="P82" s="138">
        <v>0.5</v>
      </c>
      <c r="Q82" s="138">
        <v>1.0</v>
      </c>
      <c r="R82" s="145" t="b">
        <v>0</v>
      </c>
      <c r="S82" s="145"/>
      <c r="T82" s="145" t="b">
        <v>1</v>
      </c>
      <c r="U82" s="146"/>
      <c r="V82" s="146"/>
    </row>
    <row r="83" outlineLevel="1">
      <c r="A83" s="156"/>
      <c r="B83" s="663" t="s">
        <v>4549</v>
      </c>
      <c r="C83" s="239" t="s">
        <v>784</v>
      </c>
      <c r="D83" s="146"/>
      <c r="E83" s="239" t="s">
        <v>1823</v>
      </c>
      <c r="F83" s="138">
        <v>2.88</v>
      </c>
      <c r="G83" s="239" t="s">
        <v>170</v>
      </c>
      <c r="H83" s="106"/>
      <c r="I83" s="168"/>
      <c r="J83" s="107"/>
      <c r="K83" s="282"/>
      <c r="L83" s="282"/>
      <c r="M83" s="363"/>
      <c r="N83" s="363"/>
      <c r="O83" s="138">
        <v>0.0</v>
      </c>
      <c r="P83" s="138">
        <v>0.5</v>
      </c>
      <c r="Q83" s="138">
        <v>1.0</v>
      </c>
      <c r="R83" s="145" t="b">
        <v>0</v>
      </c>
      <c r="S83" s="145"/>
      <c r="T83" s="145" t="b">
        <v>1</v>
      </c>
      <c r="U83" s="156"/>
      <c r="V83" s="156"/>
    </row>
    <row r="84" outlineLevel="1">
      <c r="A84" s="230" t="s">
        <v>4550</v>
      </c>
      <c r="B84" s="109"/>
      <c r="C84" s="231" t="s">
        <v>48</v>
      </c>
      <c r="D84" s="231" t="s">
        <v>49</v>
      </c>
      <c r="E84" s="232" t="s">
        <v>50</v>
      </c>
      <c r="F84" s="233" t="s">
        <v>51</v>
      </c>
      <c r="G84" s="232" t="s">
        <v>52</v>
      </c>
      <c r="H84" s="382" t="str">
        <f>'テンプレート'!H75</f>
        <v>備考</v>
      </c>
      <c r="I84" s="110"/>
      <c r="J84" s="109"/>
      <c r="K84" s="235" t="str">
        <f>'テンプレート'!K75</f>
        <v>ベクトル</v>
      </c>
      <c r="L84" s="235" t="str">
        <f>'テンプレート'!L75</f>
        <v>KBG (R.E.)</v>
      </c>
      <c r="M84" s="235" t="str">
        <f>'テンプレート'!M75</f>
        <v>BKB (R.A.)</v>
      </c>
      <c r="N84" s="235" t="str">
        <f>'テンプレート'!N75</f>
        <v>FKB (R.F.)</v>
      </c>
      <c r="O84" s="236" t="str">
        <f>'テンプレート'!O75</f>
        <v>盾削り値</v>
      </c>
      <c r="P84" s="235" t="str">
        <f>'テンプレート'!P75</f>
        <v>ﾋｯﾄｽﾄｯﾌﾟ</v>
      </c>
      <c r="Q84" s="236" t="str">
        <f>'テンプレート'!Q75</f>
        <v>ずらし</v>
      </c>
      <c r="R84" s="235" t="str">
        <f>'テンプレート'!R75</f>
        <v>相殺</v>
      </c>
      <c r="S84" s="236" t="str">
        <f>'テンプレート'!S75</f>
        <v>相殺ﾓｰｼｮﾝ</v>
      </c>
      <c r="T84" s="236" t="str">
        <f>'テンプレート'!T75</f>
        <v>飛び道具</v>
      </c>
      <c r="U84" s="236" t="str">
        <f>'テンプレート'!U75</f>
        <v>慣性反転</v>
      </c>
      <c r="V84" s="236" t="str">
        <f>'テンプレート'!V75</f>
        <v>向き反転</v>
      </c>
    </row>
    <row r="85" outlineLevel="1">
      <c r="A85" s="237" t="s">
        <v>397</v>
      </c>
      <c r="B85" s="243" t="s">
        <v>1787</v>
      </c>
      <c r="C85" s="239" t="s">
        <v>223</v>
      </c>
      <c r="D85" s="113" t="s">
        <v>628</v>
      </c>
      <c r="E85" s="239" t="s">
        <v>73</v>
      </c>
      <c r="F85" s="138">
        <v>4.8</v>
      </c>
      <c r="G85" s="239" t="s">
        <v>75</v>
      </c>
      <c r="H85" s="163" t="s">
        <v>4551</v>
      </c>
      <c r="I85" s="164"/>
      <c r="J85" s="104"/>
      <c r="K85" s="282"/>
      <c r="L85" s="282"/>
      <c r="M85" s="363"/>
      <c r="N85" s="363"/>
      <c r="O85" s="138">
        <v>0.0</v>
      </c>
      <c r="P85" s="2787" t="s">
        <v>4552</v>
      </c>
      <c r="Q85" s="138">
        <v>0.0</v>
      </c>
      <c r="R85" s="145" t="b">
        <v>1</v>
      </c>
      <c r="S85" s="145" t="b">
        <v>1</v>
      </c>
      <c r="T85" s="145" t="b">
        <v>0</v>
      </c>
      <c r="U85" s="166" t="s">
        <v>186</v>
      </c>
      <c r="V85" s="166" t="b">
        <v>1</v>
      </c>
    </row>
    <row r="86" outlineLevel="1">
      <c r="A86" s="146"/>
      <c r="B86" s="243" t="s">
        <v>4553</v>
      </c>
      <c r="C86" s="239" t="s">
        <v>64</v>
      </c>
      <c r="D86" s="113" t="s">
        <v>271</v>
      </c>
      <c r="E86" s="239" t="s">
        <v>204</v>
      </c>
      <c r="F86" s="138">
        <v>3.5999999999999996</v>
      </c>
      <c r="G86" s="239" t="s">
        <v>147</v>
      </c>
      <c r="H86" s="212"/>
      <c r="J86" s="210"/>
      <c r="K86" s="138"/>
      <c r="L86" s="138"/>
      <c r="M86" s="145"/>
      <c r="N86" s="145"/>
      <c r="O86" s="138">
        <v>0.0</v>
      </c>
      <c r="P86" s="138">
        <v>1.2</v>
      </c>
      <c r="Q86" s="138">
        <v>0.0</v>
      </c>
      <c r="R86" s="145" t="b">
        <v>1</v>
      </c>
      <c r="S86" s="145" t="b">
        <v>0</v>
      </c>
      <c r="T86" s="145" t="b">
        <v>0</v>
      </c>
      <c r="U86" s="146"/>
      <c r="V86" s="146"/>
    </row>
    <row r="87" outlineLevel="1">
      <c r="A87" s="146"/>
      <c r="B87" s="243" t="s">
        <v>4554</v>
      </c>
      <c r="C87" s="239" t="s">
        <v>64</v>
      </c>
      <c r="D87" s="279" t="s">
        <v>300</v>
      </c>
      <c r="E87" s="239" t="s">
        <v>204</v>
      </c>
      <c r="F87" s="138">
        <v>3.5999999999999996</v>
      </c>
      <c r="G87" s="239" t="s">
        <v>147</v>
      </c>
      <c r="H87" s="212"/>
      <c r="J87" s="210"/>
      <c r="K87" s="138"/>
      <c r="L87" s="138"/>
      <c r="M87" s="145"/>
      <c r="N87" s="145"/>
      <c r="O87" s="138">
        <v>0.0</v>
      </c>
      <c r="P87" s="138">
        <v>0.0</v>
      </c>
      <c r="Q87" s="138">
        <v>1.0</v>
      </c>
      <c r="R87" s="145" t="b">
        <v>1</v>
      </c>
      <c r="S87" s="145" t="b">
        <v>1</v>
      </c>
      <c r="T87" s="145" t="b">
        <v>0</v>
      </c>
      <c r="U87" s="146"/>
      <c r="V87" s="146"/>
    </row>
    <row r="88" outlineLevel="1">
      <c r="A88" s="146"/>
      <c r="B88" s="243" t="s">
        <v>4555</v>
      </c>
      <c r="C88" s="239" t="s">
        <v>299</v>
      </c>
      <c r="D88" s="146"/>
      <c r="E88" s="239" t="s">
        <v>204</v>
      </c>
      <c r="F88" s="138">
        <v>3.5999999999999996</v>
      </c>
      <c r="G88" s="239" t="s">
        <v>147</v>
      </c>
      <c r="H88" s="212"/>
      <c r="J88" s="210"/>
      <c r="K88" s="138"/>
      <c r="L88" s="138"/>
      <c r="M88" s="145"/>
      <c r="N88" s="145"/>
      <c r="O88" s="138">
        <v>0.0</v>
      </c>
      <c r="P88" s="138">
        <v>0.5</v>
      </c>
      <c r="Q88" s="138">
        <v>1.0</v>
      </c>
      <c r="R88" s="145" t="b">
        <v>1</v>
      </c>
      <c r="S88" s="145" t="b">
        <v>1</v>
      </c>
      <c r="T88" s="145" t="b">
        <v>0</v>
      </c>
      <c r="U88" s="146"/>
      <c r="V88" s="146"/>
    </row>
    <row r="89" outlineLevel="1">
      <c r="A89" s="146"/>
      <c r="B89" s="243" t="s">
        <v>4556</v>
      </c>
      <c r="C89" s="239" t="s">
        <v>610</v>
      </c>
      <c r="D89" s="156"/>
      <c r="E89" s="239" t="s">
        <v>86</v>
      </c>
      <c r="F89" s="138">
        <v>7.199999999999999</v>
      </c>
      <c r="G89" s="239" t="s">
        <v>102</v>
      </c>
      <c r="H89" s="106"/>
      <c r="I89" s="168"/>
      <c r="J89" s="107"/>
      <c r="K89" s="138"/>
      <c r="L89" s="138"/>
      <c r="M89" s="145"/>
      <c r="N89" s="145"/>
      <c r="O89" s="138">
        <v>0.0</v>
      </c>
      <c r="P89" s="138">
        <v>2.5</v>
      </c>
      <c r="Q89" s="138">
        <v>1.0</v>
      </c>
      <c r="R89" s="145" t="b">
        <v>1</v>
      </c>
      <c r="S89" s="145" t="b">
        <v>1</v>
      </c>
      <c r="T89" s="145" t="b">
        <v>0</v>
      </c>
      <c r="U89" s="146"/>
      <c r="V89" s="146"/>
    </row>
    <row r="90" outlineLevel="1">
      <c r="A90" s="237" t="s">
        <v>4542</v>
      </c>
      <c r="B90" s="243" t="s">
        <v>125</v>
      </c>
      <c r="C90" s="239" t="s">
        <v>223</v>
      </c>
      <c r="D90" s="455" t="s">
        <v>424</v>
      </c>
      <c r="E90" s="239" t="s">
        <v>150</v>
      </c>
      <c r="F90" s="138">
        <v>6.0</v>
      </c>
      <c r="G90" s="239" t="s">
        <v>102</v>
      </c>
      <c r="H90" s="163" t="s">
        <v>4557</v>
      </c>
      <c r="I90" s="164"/>
      <c r="J90" s="104"/>
      <c r="K90" s="138"/>
      <c r="L90" s="138"/>
      <c r="M90" s="145"/>
      <c r="N90" s="145"/>
      <c r="O90" s="138">
        <v>0.0</v>
      </c>
      <c r="P90" s="138">
        <v>0.3</v>
      </c>
      <c r="Q90" s="138">
        <v>0.0</v>
      </c>
      <c r="R90" s="145" t="b">
        <v>1</v>
      </c>
      <c r="S90" s="145" t="b">
        <v>0</v>
      </c>
      <c r="T90" s="145" t="b">
        <v>0</v>
      </c>
      <c r="U90" s="166" t="s">
        <v>186</v>
      </c>
      <c r="V90" s="166" t="b">
        <v>1</v>
      </c>
    </row>
    <row r="91" outlineLevel="1">
      <c r="A91" s="146"/>
      <c r="B91" s="243" t="s">
        <v>131</v>
      </c>
      <c r="C91" s="239" t="s">
        <v>561</v>
      </c>
      <c r="D91" s="210"/>
      <c r="E91" s="239" t="s">
        <v>150</v>
      </c>
      <c r="F91" s="138">
        <v>6.0</v>
      </c>
      <c r="G91" s="239" t="s">
        <v>102</v>
      </c>
      <c r="H91" s="212"/>
      <c r="J91" s="210"/>
      <c r="K91" s="138"/>
      <c r="L91" s="138"/>
      <c r="M91" s="145"/>
      <c r="N91" s="145"/>
      <c r="O91" s="138">
        <v>0.0</v>
      </c>
      <c r="P91" s="138">
        <v>0.3</v>
      </c>
      <c r="Q91" s="138">
        <v>0.0</v>
      </c>
      <c r="R91" s="145" t="b">
        <v>1</v>
      </c>
      <c r="S91" s="145" t="b">
        <v>0</v>
      </c>
      <c r="T91" s="145" t="b">
        <v>0</v>
      </c>
      <c r="U91" s="146"/>
      <c r="V91" s="146"/>
    </row>
    <row r="92" outlineLevel="1">
      <c r="A92" s="146"/>
      <c r="B92" s="243" t="s">
        <v>434</v>
      </c>
      <c r="C92" s="239" t="s">
        <v>834</v>
      </c>
      <c r="D92" s="210"/>
      <c r="E92" s="239" t="s">
        <v>204</v>
      </c>
      <c r="F92" s="138">
        <v>3.5999999999999996</v>
      </c>
      <c r="G92" s="239" t="s">
        <v>147</v>
      </c>
      <c r="H92" s="212"/>
      <c r="J92" s="210"/>
      <c r="K92" s="138"/>
      <c r="L92" s="138"/>
      <c r="M92" s="145"/>
      <c r="N92" s="145"/>
      <c r="O92" s="138">
        <v>0.0</v>
      </c>
      <c r="P92" s="138">
        <v>0.3</v>
      </c>
      <c r="Q92" s="138">
        <v>1.0</v>
      </c>
      <c r="R92" s="145" t="b">
        <v>1</v>
      </c>
      <c r="S92" s="145" t="b">
        <v>0</v>
      </c>
      <c r="T92" s="145" t="b">
        <v>0</v>
      </c>
      <c r="U92" s="146"/>
      <c r="V92" s="146"/>
    </row>
    <row r="93" outlineLevel="1">
      <c r="A93" s="146"/>
      <c r="B93" s="243" t="s">
        <v>520</v>
      </c>
      <c r="C93" s="239" t="s">
        <v>593</v>
      </c>
      <c r="D93" s="210"/>
      <c r="E93" s="239" t="s">
        <v>204</v>
      </c>
      <c r="F93" s="138">
        <v>3.5999999999999996</v>
      </c>
      <c r="G93" s="239" t="s">
        <v>147</v>
      </c>
      <c r="H93" s="212"/>
      <c r="J93" s="210"/>
      <c r="K93" s="138"/>
      <c r="L93" s="138"/>
      <c r="M93" s="145"/>
      <c r="N93" s="145"/>
      <c r="O93" s="138">
        <v>0.0</v>
      </c>
      <c r="P93" s="138">
        <v>0.3</v>
      </c>
      <c r="Q93" s="138">
        <v>1.0</v>
      </c>
      <c r="R93" s="145" t="b">
        <v>1</v>
      </c>
      <c r="S93" s="145" t="b">
        <v>0</v>
      </c>
      <c r="T93" s="145" t="b">
        <v>0</v>
      </c>
      <c r="U93" s="146"/>
      <c r="V93" s="146"/>
    </row>
    <row r="94" outlineLevel="1">
      <c r="A94" s="146"/>
      <c r="B94" s="243" t="s">
        <v>521</v>
      </c>
      <c r="C94" s="239" t="s">
        <v>525</v>
      </c>
      <c r="D94" s="107"/>
      <c r="E94" s="239" t="s">
        <v>128</v>
      </c>
      <c r="F94" s="138">
        <v>12.0</v>
      </c>
      <c r="G94" s="239" t="s">
        <v>121</v>
      </c>
      <c r="H94" s="106"/>
      <c r="I94" s="168"/>
      <c r="J94" s="107"/>
      <c r="K94" s="138"/>
      <c r="L94" s="138"/>
      <c r="M94" s="145"/>
      <c r="N94" s="145"/>
      <c r="O94" s="138">
        <v>0.0</v>
      </c>
      <c r="P94" s="138">
        <v>2.5</v>
      </c>
      <c r="Q94" s="138">
        <v>1.0</v>
      </c>
      <c r="R94" s="145" t="b">
        <v>1</v>
      </c>
      <c r="S94" s="145" t="b">
        <v>0</v>
      </c>
      <c r="T94" s="145" t="b">
        <v>0</v>
      </c>
      <c r="U94" s="146"/>
      <c r="V94" s="146"/>
    </row>
    <row r="95" outlineLevel="1">
      <c r="A95" s="230" t="s">
        <v>4558</v>
      </c>
      <c r="B95" s="109"/>
      <c r="C95" s="231" t="s">
        <v>48</v>
      </c>
      <c r="D95" s="231" t="s">
        <v>49</v>
      </c>
      <c r="E95" s="232" t="s">
        <v>50</v>
      </c>
      <c r="F95" s="233" t="s">
        <v>51</v>
      </c>
      <c r="G95" s="232" t="s">
        <v>52</v>
      </c>
      <c r="H95" s="382" t="str">
        <f>'テンプレート'!H80</f>
        <v>備考</v>
      </c>
      <c r="I95" s="110"/>
      <c r="J95" s="109"/>
      <c r="K95" s="235" t="str">
        <f>'テンプレート'!K80</f>
        <v>ベクトル</v>
      </c>
      <c r="L95" s="235" t="str">
        <f>'テンプレート'!L80</f>
        <v>KBG (R.E.)</v>
      </c>
      <c r="M95" s="235" t="str">
        <f>'テンプレート'!M80</f>
        <v>BKB (R.A.)</v>
      </c>
      <c r="N95" s="235" t="str">
        <f>'テンプレート'!N80</f>
        <v>FKB (R.F.)</v>
      </c>
      <c r="O95" s="236" t="str">
        <f>'テンプレート'!O80</f>
        <v>盾削り値</v>
      </c>
      <c r="P95" s="235" t="str">
        <f>'テンプレート'!P80</f>
        <v>ﾋｯﾄｽﾄｯﾌﾟ</v>
      </c>
      <c r="Q95" s="236" t="str">
        <f>'テンプレート'!Q80</f>
        <v>ずらし</v>
      </c>
      <c r="R95" s="235" t="str">
        <f>'テンプレート'!R80</f>
        <v>相殺</v>
      </c>
      <c r="S95" s="236" t="str">
        <f>'テンプレート'!S80</f>
        <v>相殺ﾓｰｼｮﾝ</v>
      </c>
      <c r="T95" s="236" t="str">
        <f>'テンプレート'!T80</f>
        <v>飛び道具</v>
      </c>
      <c r="U95" s="236" t="str">
        <f>'テンプレート'!U80</f>
        <v>慣性反転</v>
      </c>
      <c r="V95" s="236" t="str">
        <f>'テンプレート'!V80</f>
        <v>向き反転</v>
      </c>
    </row>
    <row r="96" ht="21.0" customHeight="1" outlineLevel="1">
      <c r="A96" s="546" t="s">
        <v>397</v>
      </c>
      <c r="B96" s="402" t="s">
        <v>125</v>
      </c>
      <c r="C96" s="239" t="s">
        <v>93</v>
      </c>
      <c r="D96" s="400"/>
      <c r="E96" s="239" t="s">
        <v>204</v>
      </c>
      <c r="F96" s="138">
        <v>3.5999999999999996</v>
      </c>
      <c r="G96" s="239" t="s">
        <v>147</v>
      </c>
      <c r="H96" s="386" t="s">
        <v>4559</v>
      </c>
      <c r="I96" s="164"/>
      <c r="J96" s="104"/>
      <c r="K96" s="138"/>
      <c r="L96" s="138"/>
      <c r="M96" s="145"/>
      <c r="N96" s="145"/>
      <c r="O96" s="138">
        <v>0.0</v>
      </c>
      <c r="P96" s="138">
        <v>2.5</v>
      </c>
      <c r="Q96" s="138">
        <v>1.0</v>
      </c>
      <c r="R96" s="145" t="b">
        <v>1</v>
      </c>
      <c r="S96" s="145" t="b">
        <v>0</v>
      </c>
      <c r="T96" s="145"/>
      <c r="U96" s="166" t="s">
        <v>1009</v>
      </c>
      <c r="V96" s="166" t="b">
        <v>0</v>
      </c>
    </row>
    <row r="97" ht="21.0" customHeight="1" outlineLevel="1">
      <c r="A97" s="146"/>
      <c r="B97" s="402" t="s">
        <v>131</v>
      </c>
      <c r="C97" s="239" t="s">
        <v>128</v>
      </c>
      <c r="D97" s="146"/>
      <c r="E97" s="239" t="s">
        <v>73</v>
      </c>
      <c r="F97" s="138">
        <v>4.8</v>
      </c>
      <c r="G97" s="239" t="s">
        <v>75</v>
      </c>
      <c r="H97" s="212"/>
      <c r="J97" s="210"/>
      <c r="K97" s="138"/>
      <c r="L97" s="138"/>
      <c r="M97" s="145"/>
      <c r="N97" s="145"/>
      <c r="O97" s="138">
        <v>0.0</v>
      </c>
      <c r="P97" s="138">
        <v>1.5</v>
      </c>
      <c r="Q97" s="138">
        <v>1.0</v>
      </c>
      <c r="R97" s="145" t="b">
        <v>1</v>
      </c>
      <c r="S97" s="145" t="b">
        <v>0</v>
      </c>
      <c r="T97" s="145"/>
      <c r="U97" s="146"/>
      <c r="V97" s="146"/>
    </row>
    <row r="98" ht="21.0" customHeight="1" outlineLevel="1">
      <c r="A98" s="146"/>
      <c r="B98" s="402" t="s">
        <v>1235</v>
      </c>
      <c r="C98" s="239" t="s">
        <v>232</v>
      </c>
      <c r="D98" s="146"/>
      <c r="E98" s="239" t="s">
        <v>73</v>
      </c>
      <c r="F98" s="138">
        <v>4.8</v>
      </c>
      <c r="G98" s="239" t="s">
        <v>75</v>
      </c>
      <c r="H98" s="212"/>
      <c r="J98" s="210"/>
      <c r="K98" s="138"/>
      <c r="L98" s="138"/>
      <c r="M98" s="145"/>
      <c r="N98" s="145"/>
      <c r="O98" s="138">
        <v>0.0</v>
      </c>
      <c r="P98" s="138">
        <v>1.5</v>
      </c>
      <c r="Q98" s="138">
        <v>1.0</v>
      </c>
      <c r="R98" s="145" t="b">
        <v>1</v>
      </c>
      <c r="S98" s="145" t="b">
        <v>0</v>
      </c>
      <c r="T98" s="145"/>
      <c r="U98" s="146"/>
      <c r="V98" s="146"/>
    </row>
    <row r="99" ht="21.0" customHeight="1" outlineLevel="1">
      <c r="A99" s="146"/>
      <c r="B99" s="402" t="s">
        <v>1234</v>
      </c>
      <c r="C99" s="239" t="s">
        <v>1128</v>
      </c>
      <c r="D99" s="146"/>
      <c r="E99" s="239" t="s">
        <v>73</v>
      </c>
      <c r="F99" s="138">
        <v>4.8</v>
      </c>
      <c r="G99" s="239" t="s">
        <v>75</v>
      </c>
      <c r="H99" s="212"/>
      <c r="J99" s="210"/>
      <c r="K99" s="138"/>
      <c r="L99" s="138"/>
      <c r="M99" s="145"/>
      <c r="N99" s="145"/>
      <c r="O99" s="138">
        <v>0.0</v>
      </c>
      <c r="P99" s="138">
        <v>1.5</v>
      </c>
      <c r="Q99" s="138">
        <v>1.0</v>
      </c>
      <c r="R99" s="145" t="b">
        <v>1</v>
      </c>
      <c r="S99" s="145" t="b">
        <v>0</v>
      </c>
      <c r="T99" s="145"/>
      <c r="U99" s="146"/>
      <c r="V99" s="146"/>
    </row>
    <row r="100" ht="21.0" customHeight="1" outlineLevel="1">
      <c r="A100" s="146"/>
      <c r="B100" s="402" t="s">
        <v>4560</v>
      </c>
      <c r="C100" s="239" t="s">
        <v>1472</v>
      </c>
      <c r="D100" s="146"/>
      <c r="E100" s="239" t="s">
        <v>1438</v>
      </c>
      <c r="F100" s="138">
        <v>5.3999999999999995</v>
      </c>
      <c r="G100" s="239" t="s">
        <v>75</v>
      </c>
      <c r="H100" s="212"/>
      <c r="J100" s="210"/>
      <c r="K100" s="138"/>
      <c r="L100" s="138"/>
      <c r="M100" s="145"/>
      <c r="N100" s="145"/>
      <c r="O100" s="138">
        <v>0.0</v>
      </c>
      <c r="P100" s="138">
        <v>1.3</v>
      </c>
      <c r="Q100" s="138">
        <v>1.0</v>
      </c>
      <c r="R100" s="145" t="b">
        <v>0</v>
      </c>
      <c r="S100" s="145" t="b">
        <v>0</v>
      </c>
      <c r="T100" s="145"/>
      <c r="U100" s="146"/>
      <c r="V100" s="146"/>
    </row>
    <row r="101" ht="21.0" customHeight="1" outlineLevel="1">
      <c r="A101" s="156"/>
      <c r="B101" s="402" t="s">
        <v>174</v>
      </c>
      <c r="C101" s="239" t="s">
        <v>681</v>
      </c>
      <c r="D101" s="146"/>
      <c r="E101" s="239" t="s">
        <v>651</v>
      </c>
      <c r="F101" s="138">
        <v>4.2</v>
      </c>
      <c r="G101" s="239" t="s">
        <v>147</v>
      </c>
      <c r="H101" s="106"/>
      <c r="I101" s="168"/>
      <c r="J101" s="107"/>
      <c r="K101" s="138"/>
      <c r="L101" s="138"/>
      <c r="M101" s="145"/>
      <c r="N101" s="145"/>
      <c r="O101" s="138">
        <v>0.0</v>
      </c>
      <c r="P101" s="138">
        <v>1.3</v>
      </c>
      <c r="Q101" s="138">
        <v>1.0</v>
      </c>
      <c r="R101" s="145" t="b">
        <v>0</v>
      </c>
      <c r="S101" s="145" t="b">
        <v>0</v>
      </c>
      <c r="T101" s="145"/>
      <c r="U101" s="156"/>
      <c r="V101" s="156"/>
    </row>
    <row r="102" ht="25.5" customHeight="1" outlineLevel="1">
      <c r="A102" s="546" t="s">
        <v>4542</v>
      </c>
      <c r="B102" s="402" t="s">
        <v>125</v>
      </c>
      <c r="C102" s="239" t="s">
        <v>277</v>
      </c>
      <c r="D102" s="146"/>
      <c r="E102" s="239" t="s">
        <v>86</v>
      </c>
      <c r="F102" s="138">
        <v>7.199999999999999</v>
      </c>
      <c r="G102" s="239" t="s">
        <v>102</v>
      </c>
      <c r="H102" s="283" t="s">
        <v>4561</v>
      </c>
      <c r="I102" s="164"/>
      <c r="J102" s="104"/>
      <c r="K102" s="138"/>
      <c r="L102" s="138"/>
      <c r="M102" s="145"/>
      <c r="N102" s="145"/>
      <c r="O102" s="138">
        <v>0.0</v>
      </c>
      <c r="P102" s="138">
        <v>2.5</v>
      </c>
      <c r="Q102" s="138">
        <v>1.0</v>
      </c>
      <c r="R102" s="145" t="b">
        <v>1</v>
      </c>
      <c r="S102" s="145" t="b">
        <v>0</v>
      </c>
      <c r="T102" s="145"/>
      <c r="U102" s="166" t="s">
        <v>1009</v>
      </c>
      <c r="V102" s="166" t="b">
        <v>0</v>
      </c>
    </row>
    <row r="103" ht="25.5" customHeight="1" outlineLevel="1">
      <c r="A103" s="146"/>
      <c r="B103" s="402" t="s">
        <v>131</v>
      </c>
      <c r="C103" s="239" t="s">
        <v>128</v>
      </c>
      <c r="D103" s="146"/>
      <c r="E103" s="239" t="s">
        <v>93</v>
      </c>
      <c r="F103" s="138">
        <v>8.4</v>
      </c>
      <c r="G103" s="239" t="s">
        <v>95</v>
      </c>
      <c r="H103" s="212"/>
      <c r="J103" s="210"/>
      <c r="K103" s="138"/>
      <c r="L103" s="138"/>
      <c r="M103" s="145"/>
      <c r="N103" s="145"/>
      <c r="O103" s="138">
        <v>0.0</v>
      </c>
      <c r="P103" s="138">
        <v>2.5</v>
      </c>
      <c r="Q103" s="138">
        <v>1.0</v>
      </c>
      <c r="R103" s="145" t="b">
        <v>1</v>
      </c>
      <c r="S103" s="145" t="b">
        <v>0</v>
      </c>
      <c r="T103" s="145"/>
      <c r="U103" s="146"/>
      <c r="V103" s="146"/>
    </row>
    <row r="104" ht="25.5" customHeight="1" outlineLevel="1">
      <c r="A104" s="146"/>
      <c r="B104" s="402" t="s">
        <v>1235</v>
      </c>
      <c r="C104" s="239" t="s">
        <v>232</v>
      </c>
      <c r="D104" s="146"/>
      <c r="E104" s="239" t="s">
        <v>93</v>
      </c>
      <c r="F104" s="138">
        <v>8.4</v>
      </c>
      <c r="G104" s="239" t="s">
        <v>95</v>
      </c>
      <c r="H104" s="212"/>
      <c r="J104" s="210"/>
      <c r="K104" s="138"/>
      <c r="L104" s="138"/>
      <c r="M104" s="145"/>
      <c r="N104" s="145"/>
      <c r="O104" s="138"/>
      <c r="P104" s="138"/>
      <c r="Q104" s="138"/>
      <c r="R104" s="145" t="b">
        <v>0</v>
      </c>
      <c r="S104" s="145" t="b">
        <v>0</v>
      </c>
      <c r="T104" s="145" t="b">
        <v>0</v>
      </c>
      <c r="U104" s="146"/>
      <c r="V104" s="146"/>
    </row>
    <row r="105" ht="25.5" customHeight="1" outlineLevel="1">
      <c r="A105" s="146"/>
      <c r="B105" s="402" t="s">
        <v>1234</v>
      </c>
      <c r="C105" s="239" t="s">
        <v>1670</v>
      </c>
      <c r="D105" s="146"/>
      <c r="E105" s="239" t="s">
        <v>93</v>
      </c>
      <c r="F105" s="138">
        <v>8.4</v>
      </c>
      <c r="G105" s="239" t="s">
        <v>95</v>
      </c>
      <c r="H105" s="212"/>
      <c r="J105" s="210"/>
      <c r="K105" s="138"/>
      <c r="L105" s="138"/>
      <c r="M105" s="145"/>
      <c r="N105" s="145"/>
      <c r="O105" s="138">
        <v>0.0</v>
      </c>
      <c r="P105" s="138">
        <v>2.5</v>
      </c>
      <c r="Q105" s="138">
        <v>1.0</v>
      </c>
      <c r="R105" s="145" t="b">
        <v>1</v>
      </c>
      <c r="S105" s="145" t="b">
        <v>0</v>
      </c>
      <c r="T105" s="145"/>
      <c r="U105" s="146"/>
      <c r="V105" s="146"/>
    </row>
    <row r="106" ht="25.5" customHeight="1" outlineLevel="1">
      <c r="A106" s="146"/>
      <c r="B106" s="402" t="s">
        <v>4560</v>
      </c>
      <c r="C106" s="239" t="s">
        <v>1472</v>
      </c>
      <c r="D106" s="146"/>
      <c r="E106" s="239" t="s">
        <v>1438</v>
      </c>
      <c r="F106" s="138">
        <v>5.3999999999999995</v>
      </c>
      <c r="G106" s="239" t="s">
        <v>75</v>
      </c>
      <c r="H106" s="212"/>
      <c r="J106" s="210"/>
      <c r="K106" s="138"/>
      <c r="L106" s="138"/>
      <c r="M106" s="145"/>
      <c r="N106" s="145"/>
      <c r="O106" s="138">
        <v>0.0</v>
      </c>
      <c r="P106" s="138">
        <v>1.3</v>
      </c>
      <c r="Q106" s="138">
        <v>1.0</v>
      </c>
      <c r="R106" s="145" t="b">
        <v>0</v>
      </c>
      <c r="S106" s="145" t="b">
        <v>0</v>
      </c>
      <c r="T106" s="145"/>
      <c r="U106" s="146"/>
      <c r="V106" s="146"/>
    </row>
    <row r="107" ht="25.5" customHeight="1" outlineLevel="1">
      <c r="A107" s="156"/>
      <c r="B107" s="402" t="s">
        <v>174</v>
      </c>
      <c r="C107" s="239" t="s">
        <v>681</v>
      </c>
      <c r="D107" s="156"/>
      <c r="E107" s="239" t="s">
        <v>651</v>
      </c>
      <c r="F107" s="138">
        <v>4.2</v>
      </c>
      <c r="G107" s="239" t="s">
        <v>147</v>
      </c>
      <c r="H107" s="106"/>
      <c r="I107" s="168"/>
      <c r="J107" s="107"/>
      <c r="K107" s="138"/>
      <c r="L107" s="138"/>
      <c r="M107" s="145"/>
      <c r="N107" s="145"/>
      <c r="O107" s="138">
        <v>0.0</v>
      </c>
      <c r="P107" s="138">
        <v>1.3</v>
      </c>
      <c r="Q107" s="138">
        <v>1.0</v>
      </c>
      <c r="R107" s="145" t="b">
        <v>0</v>
      </c>
      <c r="S107" s="145" t="b">
        <v>0</v>
      </c>
      <c r="T107" s="145"/>
      <c r="U107" s="156"/>
      <c r="V107" s="156"/>
    </row>
    <row r="108" outlineLevel="1">
      <c r="A108" s="230" t="s">
        <v>4562</v>
      </c>
      <c r="B108" s="109"/>
      <c r="C108" s="231" t="s">
        <v>48</v>
      </c>
      <c r="D108" s="231" t="s">
        <v>49</v>
      </c>
      <c r="E108" s="232" t="s">
        <v>50</v>
      </c>
      <c r="F108" s="233" t="s">
        <v>51</v>
      </c>
      <c r="G108" s="232" t="s">
        <v>52</v>
      </c>
      <c r="H108" s="382" t="str">
        <f>'テンプレート'!H85</f>
        <v>備考</v>
      </c>
      <c r="I108" s="110"/>
      <c r="J108" s="109"/>
      <c r="K108" s="235" t="str">
        <f>'テンプレート'!K85</f>
        <v>ベクトル</v>
      </c>
      <c r="L108" s="235" t="str">
        <f>'テンプレート'!L85</f>
        <v>KBG (R.E.)</v>
      </c>
      <c r="M108" s="235" t="str">
        <f>'テンプレート'!M85</f>
        <v>BKB (R.A.)</v>
      </c>
      <c r="N108" s="235" t="str">
        <f>'テンプレート'!N85</f>
        <v>FKB (R.F.)</v>
      </c>
      <c r="O108" s="236" t="str">
        <f>'テンプレート'!O85</f>
        <v>盾削り値</v>
      </c>
      <c r="P108" s="235" t="str">
        <f>'テンプレート'!P85</f>
        <v>ﾋｯﾄｽﾄｯﾌﾟ</v>
      </c>
      <c r="Q108" s="236" t="str">
        <f>'テンプレート'!Q85</f>
        <v>ずらし</v>
      </c>
      <c r="R108" s="235" t="str">
        <f>'テンプレート'!R85</f>
        <v>相殺</v>
      </c>
      <c r="S108" s="236" t="str">
        <f>'テンプレート'!S85</f>
        <v>相殺ﾓｰｼｮﾝ</v>
      </c>
      <c r="T108" s="236" t="str">
        <f>'テンプレート'!T85</f>
        <v>飛び道具</v>
      </c>
      <c r="U108" s="236" t="str">
        <f>'テンプレート'!U85</f>
        <v>慣性反転</v>
      </c>
      <c r="V108" s="236" t="str">
        <f>'テンプレート'!V85</f>
        <v>向き反転</v>
      </c>
    </row>
    <row r="109" outlineLevel="1">
      <c r="A109" s="2788" t="s">
        <v>4563</v>
      </c>
      <c r="B109" s="402" t="s">
        <v>3948</v>
      </c>
      <c r="C109" s="409"/>
      <c r="D109" s="467" t="s">
        <v>86</v>
      </c>
      <c r="E109" s="409"/>
      <c r="F109" s="475"/>
      <c r="G109" s="281"/>
      <c r="H109" s="163" t="s">
        <v>4564</v>
      </c>
      <c r="I109" s="164"/>
      <c r="J109" s="104"/>
      <c r="K109" s="476"/>
      <c r="L109" s="476"/>
      <c r="M109" s="476"/>
      <c r="N109" s="476"/>
      <c r="O109" s="2789"/>
      <c r="P109" s="2790"/>
      <c r="Q109" s="2790"/>
      <c r="R109" s="2791"/>
      <c r="S109" s="2792"/>
      <c r="T109" s="2793"/>
      <c r="U109" s="166" t="b">
        <v>0</v>
      </c>
      <c r="V109" s="166" t="b">
        <v>0</v>
      </c>
    </row>
    <row r="110" outlineLevel="1">
      <c r="A110" s="156"/>
      <c r="B110" s="402" t="s">
        <v>4286</v>
      </c>
      <c r="C110" s="409"/>
      <c r="D110" s="216" t="s">
        <v>93</v>
      </c>
      <c r="E110" s="409"/>
      <c r="F110" s="475"/>
      <c r="G110" s="281"/>
      <c r="H110" s="106"/>
      <c r="I110" s="168"/>
      <c r="J110" s="107"/>
      <c r="K110" s="476"/>
      <c r="L110" s="476"/>
      <c r="M110" s="476"/>
      <c r="N110" s="476"/>
      <c r="O110" s="2789"/>
      <c r="P110" s="2790"/>
      <c r="Q110" s="2790"/>
      <c r="R110" s="2791"/>
      <c r="S110" s="2792"/>
      <c r="T110" s="2793"/>
      <c r="U110" s="156"/>
      <c r="V110" s="156"/>
    </row>
    <row r="111" outlineLevel="1">
      <c r="A111" s="546" t="s">
        <v>4565</v>
      </c>
      <c r="B111" s="402" t="s">
        <v>332</v>
      </c>
      <c r="C111" s="365" t="s">
        <v>129</v>
      </c>
      <c r="D111" s="901" t="s">
        <v>1419</v>
      </c>
      <c r="E111" s="239" t="s">
        <v>213</v>
      </c>
      <c r="F111" s="138">
        <v>1.2</v>
      </c>
      <c r="G111" s="239" t="s">
        <v>170</v>
      </c>
      <c r="H111" s="163" t="s">
        <v>4566</v>
      </c>
      <c r="I111" s="164"/>
      <c r="J111" s="104"/>
      <c r="K111" s="138"/>
      <c r="L111" s="138"/>
      <c r="M111" s="145"/>
      <c r="N111" s="145"/>
      <c r="O111" s="1900">
        <v>0.0</v>
      </c>
      <c r="P111" s="2794">
        <v>2.0</v>
      </c>
      <c r="Q111" s="779">
        <v>1.0</v>
      </c>
      <c r="R111" s="1490" t="b">
        <v>1</v>
      </c>
      <c r="S111" s="2795" t="b">
        <v>0</v>
      </c>
      <c r="T111" s="1489"/>
      <c r="U111" s="166" t="b">
        <v>0</v>
      </c>
      <c r="V111" s="166" t="b">
        <v>0</v>
      </c>
    </row>
    <row r="112" outlineLevel="1">
      <c r="A112" s="146"/>
      <c r="B112" s="402" t="s">
        <v>4538</v>
      </c>
      <c r="C112" s="365" t="s">
        <v>721</v>
      </c>
      <c r="D112" s="146"/>
      <c r="E112" s="239" t="s">
        <v>213</v>
      </c>
      <c r="F112" s="138">
        <v>1.2</v>
      </c>
      <c r="G112" s="239" t="s">
        <v>170</v>
      </c>
      <c r="H112" s="212"/>
      <c r="J112" s="210"/>
      <c r="K112" s="138"/>
      <c r="L112" s="282"/>
      <c r="M112" s="363"/>
      <c r="N112" s="363"/>
      <c r="O112" s="1900">
        <v>0.0</v>
      </c>
      <c r="P112" s="2794">
        <v>2.0</v>
      </c>
      <c r="Q112" s="779">
        <v>1.0</v>
      </c>
      <c r="R112" s="1490" t="b">
        <v>1</v>
      </c>
      <c r="S112" s="2795" t="b">
        <v>0</v>
      </c>
      <c r="T112" s="1489"/>
      <c r="U112" s="146"/>
      <c r="V112" s="146"/>
    </row>
    <row r="113" outlineLevel="1">
      <c r="A113" s="146"/>
      <c r="B113" s="402" t="s">
        <v>4567</v>
      </c>
      <c r="C113" s="365" t="s">
        <v>3115</v>
      </c>
      <c r="D113" s="156"/>
      <c r="E113" s="239" t="s">
        <v>209</v>
      </c>
      <c r="F113" s="138">
        <v>0.0</v>
      </c>
      <c r="G113" s="281"/>
      <c r="H113" s="212"/>
      <c r="J113" s="210"/>
      <c r="K113" s="138"/>
      <c r="L113" s="282"/>
      <c r="M113" s="363"/>
      <c r="N113" s="363"/>
      <c r="O113" s="1900">
        <v>0.0</v>
      </c>
      <c r="P113" s="2794">
        <v>0.0</v>
      </c>
      <c r="Q113" s="2794">
        <v>0.0</v>
      </c>
      <c r="R113" s="2577" t="b">
        <v>0</v>
      </c>
      <c r="S113" s="2795" t="b">
        <v>0</v>
      </c>
      <c r="T113" s="1489"/>
      <c r="U113" s="146"/>
      <c r="V113" s="146"/>
    </row>
    <row r="114" outlineLevel="1">
      <c r="A114" s="146"/>
      <c r="B114" s="402" t="s">
        <v>344</v>
      </c>
      <c r="C114" s="365" t="s">
        <v>295</v>
      </c>
      <c r="D114" s="901" t="s">
        <v>4172</v>
      </c>
      <c r="E114" s="239" t="s">
        <v>213</v>
      </c>
      <c r="F114" s="138">
        <v>1.2</v>
      </c>
      <c r="G114" s="239" t="s">
        <v>170</v>
      </c>
      <c r="H114" s="212"/>
      <c r="J114" s="210"/>
      <c r="K114" s="138"/>
      <c r="L114" s="282"/>
      <c r="M114" s="363"/>
      <c r="N114" s="363"/>
      <c r="O114" s="1900">
        <v>0.0</v>
      </c>
      <c r="P114" s="2794">
        <v>2.0</v>
      </c>
      <c r="Q114" s="779">
        <v>1.0</v>
      </c>
      <c r="R114" s="1490" t="b">
        <v>1</v>
      </c>
      <c r="S114" s="2795" t="b">
        <v>0</v>
      </c>
      <c r="T114" s="1489"/>
      <c r="U114" s="146"/>
      <c r="V114" s="146"/>
    </row>
    <row r="115" outlineLevel="1">
      <c r="A115" s="146"/>
      <c r="B115" s="402" t="s">
        <v>4541</v>
      </c>
      <c r="C115" s="365" t="s">
        <v>394</v>
      </c>
      <c r="D115" s="146"/>
      <c r="E115" s="239" t="s">
        <v>213</v>
      </c>
      <c r="F115" s="138">
        <v>1.2</v>
      </c>
      <c r="G115" s="239" t="s">
        <v>170</v>
      </c>
      <c r="H115" s="212"/>
      <c r="J115" s="210"/>
      <c r="K115" s="138"/>
      <c r="L115" s="282"/>
      <c r="M115" s="363"/>
      <c r="N115" s="363"/>
      <c r="O115" s="1900">
        <v>0.0</v>
      </c>
      <c r="P115" s="2794">
        <v>2.0</v>
      </c>
      <c r="Q115" s="779">
        <v>1.0</v>
      </c>
      <c r="R115" s="1490" t="b">
        <v>1</v>
      </c>
      <c r="S115" s="2795" t="b">
        <v>0</v>
      </c>
      <c r="T115" s="1489"/>
      <c r="U115" s="146"/>
      <c r="V115" s="146"/>
    </row>
    <row r="116" outlineLevel="1">
      <c r="A116" s="156"/>
      <c r="B116" s="402" t="s">
        <v>4568</v>
      </c>
      <c r="C116" s="364" t="s">
        <v>847</v>
      </c>
      <c r="D116" s="156"/>
      <c r="E116" s="239" t="s">
        <v>209</v>
      </c>
      <c r="F116" s="138">
        <v>0.0</v>
      </c>
      <c r="G116" s="281"/>
      <c r="H116" s="106"/>
      <c r="I116" s="168"/>
      <c r="J116" s="107"/>
      <c r="K116" s="138"/>
      <c r="L116" s="282"/>
      <c r="M116" s="363"/>
      <c r="N116" s="363"/>
      <c r="O116" s="1900">
        <v>0.0</v>
      </c>
      <c r="P116" s="2794">
        <v>0.0</v>
      </c>
      <c r="Q116" s="2794">
        <v>0.0</v>
      </c>
      <c r="R116" s="2577" t="b">
        <v>0</v>
      </c>
      <c r="S116" s="2795" t="b">
        <v>0</v>
      </c>
      <c r="T116" s="1489"/>
      <c r="U116" s="156"/>
      <c r="V116" s="156"/>
    </row>
    <row r="117">
      <c r="A117" s="223"/>
      <c r="B117" s="224"/>
      <c r="C117" s="225"/>
      <c r="D117" s="225"/>
      <c r="E117" s="226"/>
      <c r="F117" s="226"/>
      <c r="G117" s="226"/>
      <c r="H117" s="227"/>
      <c r="I117" s="227"/>
      <c r="J117" s="228"/>
      <c r="K117" s="228"/>
      <c r="L117" s="228"/>
      <c r="M117" s="228"/>
      <c r="N117" s="228"/>
      <c r="O117" s="228"/>
      <c r="P117" s="228"/>
      <c r="Q117" s="118"/>
      <c r="R117" s="118"/>
      <c r="S117" s="118"/>
      <c r="T117" s="118"/>
      <c r="U117" s="118"/>
      <c r="V117" s="118"/>
    </row>
    <row r="118">
      <c r="A118" s="264" t="s">
        <v>211</v>
      </c>
      <c r="B118" s="104"/>
      <c r="C118" s="227"/>
      <c r="D118" s="227"/>
      <c r="E118" s="228"/>
      <c r="F118" s="265"/>
      <c r="G118" s="265"/>
      <c r="H118" s="228"/>
      <c r="I118" s="228"/>
      <c r="J118" s="228"/>
      <c r="K118" s="228"/>
      <c r="L118" s="228"/>
      <c r="M118" s="228"/>
      <c r="N118" s="118"/>
      <c r="O118" s="118"/>
      <c r="P118" s="118"/>
      <c r="Q118" s="228"/>
      <c r="R118" s="228"/>
      <c r="S118" s="228"/>
      <c r="T118" s="228"/>
      <c r="U118" s="228"/>
      <c r="V118" s="228"/>
    </row>
    <row r="119" outlineLevel="1">
      <c r="A119" s="106"/>
      <c r="B119" s="107"/>
      <c r="C119" s="266" t="s">
        <v>48</v>
      </c>
      <c r="D119" s="266" t="s">
        <v>49</v>
      </c>
      <c r="E119" s="266" t="s">
        <v>50</v>
      </c>
      <c r="F119" s="267" t="s">
        <v>51</v>
      </c>
      <c r="G119" s="227"/>
      <c r="H119" s="227"/>
      <c r="I119" s="227"/>
      <c r="J119" s="228"/>
      <c r="K119" s="228"/>
      <c r="L119" s="228"/>
      <c r="M119" s="228"/>
      <c r="N119" s="228"/>
      <c r="O119" s="228"/>
      <c r="P119" s="228"/>
      <c r="Q119" s="228"/>
      <c r="R119" s="228"/>
      <c r="S119" s="228"/>
      <c r="T119" s="228"/>
      <c r="U119" s="228"/>
      <c r="V119" s="228"/>
    </row>
    <row r="120" outlineLevel="1">
      <c r="A120" s="268" t="s">
        <v>212</v>
      </c>
      <c r="B120" s="269" t="s">
        <v>212</v>
      </c>
      <c r="C120" s="113" t="s">
        <v>213</v>
      </c>
      <c r="D120" s="113" t="s">
        <v>86</v>
      </c>
      <c r="E120" s="113" t="s">
        <v>214</v>
      </c>
      <c r="F120" s="138">
        <v>1.56</v>
      </c>
      <c r="G120" s="227"/>
      <c r="H120" s="227"/>
      <c r="I120" s="227"/>
      <c r="J120" s="228"/>
      <c r="K120" s="228"/>
      <c r="L120" s="228"/>
      <c r="M120" s="228"/>
      <c r="N120" s="228"/>
      <c r="O120" s="228"/>
      <c r="P120" s="228"/>
      <c r="Q120" s="228"/>
      <c r="R120" s="228"/>
      <c r="S120" s="228"/>
      <c r="T120" s="228"/>
      <c r="U120" s="228"/>
      <c r="V120" s="228"/>
    </row>
    <row r="121" outlineLevel="1">
      <c r="A121" s="270" t="s">
        <v>215</v>
      </c>
      <c r="B121" s="269" t="s">
        <v>216</v>
      </c>
      <c r="C121" s="239" t="s">
        <v>220</v>
      </c>
      <c r="D121" s="239" t="s">
        <v>224</v>
      </c>
      <c r="E121" s="271"/>
      <c r="F121" s="272"/>
      <c r="G121" s="272"/>
      <c r="H121" s="227"/>
      <c r="I121" s="227"/>
      <c r="J121" s="228"/>
      <c r="K121" s="228"/>
      <c r="L121" s="228"/>
      <c r="M121" s="228"/>
      <c r="N121" s="228"/>
      <c r="O121" s="228"/>
      <c r="P121" s="228"/>
      <c r="Q121" s="228"/>
      <c r="R121" s="228"/>
      <c r="S121" s="228"/>
      <c r="T121" s="228"/>
      <c r="U121" s="228"/>
      <c r="V121" s="228"/>
    </row>
    <row r="122" outlineLevel="1">
      <c r="A122" s="212"/>
      <c r="B122" s="269" t="s">
        <v>219</v>
      </c>
      <c r="C122" s="239" t="s">
        <v>373</v>
      </c>
      <c r="D122" s="239" t="s">
        <v>393</v>
      </c>
      <c r="E122" s="271"/>
      <c r="F122" s="272"/>
      <c r="G122" s="272"/>
      <c r="H122" s="227"/>
      <c r="I122" s="227"/>
      <c r="J122" s="228"/>
      <c r="K122" s="228"/>
      <c r="L122" s="228"/>
      <c r="M122" s="228"/>
      <c r="N122" s="228"/>
      <c r="O122" s="228"/>
      <c r="P122" s="228"/>
      <c r="Q122" s="228"/>
      <c r="R122" s="228"/>
      <c r="S122" s="228"/>
      <c r="T122" s="228"/>
      <c r="U122" s="228"/>
      <c r="V122" s="228"/>
    </row>
    <row r="123" outlineLevel="1">
      <c r="A123" s="106"/>
      <c r="B123" s="269" t="s">
        <v>222</v>
      </c>
      <c r="C123" s="239" t="s">
        <v>305</v>
      </c>
      <c r="D123" s="239" t="s">
        <v>118</v>
      </c>
      <c r="E123" s="227"/>
      <c r="F123" s="272"/>
      <c r="G123" s="272"/>
      <c r="H123" s="227"/>
      <c r="I123" s="227"/>
      <c r="J123" s="228"/>
      <c r="K123" s="228"/>
      <c r="L123" s="228"/>
      <c r="M123" s="228"/>
      <c r="N123" s="228"/>
      <c r="O123" s="228"/>
      <c r="P123" s="228"/>
      <c r="Q123" s="228"/>
      <c r="R123" s="228"/>
      <c r="S123" s="228"/>
      <c r="T123" s="228"/>
      <c r="U123" s="228"/>
      <c r="V123" s="228"/>
    </row>
    <row r="124" outlineLevel="1">
      <c r="A124" s="273" t="s">
        <v>225</v>
      </c>
      <c r="B124" s="109"/>
      <c r="C124" s="266" t="s">
        <v>48</v>
      </c>
      <c r="D124" s="266" t="s">
        <v>49</v>
      </c>
      <c r="E124" s="266" t="s">
        <v>50</v>
      </c>
      <c r="F124" s="267" t="s">
        <v>51</v>
      </c>
      <c r="G124" s="274" t="s">
        <v>53</v>
      </c>
      <c r="H124" s="110"/>
      <c r="I124" s="110"/>
      <c r="J124" s="109"/>
      <c r="K124" s="275" t="str">
        <f>'テンプレート'!K97</f>
        <v>ベクトル</v>
      </c>
      <c r="L124" s="275" t="str">
        <f>'テンプレート'!L97</f>
        <v>KBG (R.E.)</v>
      </c>
      <c r="M124" s="275" t="str">
        <f>'テンプレート'!M97</f>
        <v>BKB (R.A.)</v>
      </c>
      <c r="N124" s="275" t="str">
        <f>'テンプレート'!N97</f>
        <v>FKB (R.F.)</v>
      </c>
      <c r="O124" s="276" t="str">
        <f>'テンプレート'!O97</f>
        <v>盾削り値</v>
      </c>
      <c r="P124" s="275" t="str">
        <f>'テンプレート'!P97</f>
        <v>ﾋｯﾄｽﾄｯﾌﾟ</v>
      </c>
      <c r="Q124" s="276" t="str">
        <f>'テンプレート'!Q97</f>
        <v>ずらし</v>
      </c>
      <c r="R124" s="277"/>
      <c r="S124" s="277"/>
      <c r="T124" s="277"/>
      <c r="U124" s="277"/>
      <c r="V124" s="277"/>
    </row>
    <row r="125" outlineLevel="1">
      <c r="A125" s="278" t="s">
        <v>226</v>
      </c>
      <c r="B125" s="269" t="s">
        <v>227</v>
      </c>
      <c r="C125" s="113" t="s">
        <v>319</v>
      </c>
      <c r="D125" s="279">
        <v>35.0</v>
      </c>
      <c r="E125" s="239" t="s">
        <v>73</v>
      </c>
      <c r="F125" s="138">
        <v>4.8</v>
      </c>
      <c r="G125" s="416"/>
      <c r="H125" s="164"/>
      <c r="I125" s="164"/>
      <c r="J125" s="104"/>
      <c r="K125" s="282"/>
      <c r="L125" s="282"/>
      <c r="M125" s="363"/>
      <c r="N125" s="363"/>
      <c r="O125" s="145">
        <v>0.0</v>
      </c>
      <c r="P125" s="145">
        <v>1.5</v>
      </c>
      <c r="Q125" s="145">
        <v>0.0</v>
      </c>
      <c r="R125" s="277"/>
      <c r="S125" s="228"/>
      <c r="T125" s="228"/>
      <c r="U125" s="228"/>
      <c r="V125" s="228"/>
    </row>
    <row r="126" outlineLevel="1">
      <c r="A126" s="156"/>
      <c r="B126" s="269" t="s">
        <v>225</v>
      </c>
      <c r="C126" s="113">
        <v>9.0</v>
      </c>
      <c r="D126" s="156"/>
      <c r="E126" s="239" t="s">
        <v>204</v>
      </c>
      <c r="F126" s="138">
        <v>3.5999999999999996</v>
      </c>
      <c r="G126" s="106"/>
      <c r="H126" s="168"/>
      <c r="I126" s="168"/>
      <c r="J126" s="107"/>
      <c r="K126" s="282"/>
      <c r="L126" s="282"/>
      <c r="M126" s="363"/>
      <c r="N126" s="363"/>
      <c r="O126" s="261"/>
      <c r="P126" s="261"/>
      <c r="Q126" s="261"/>
      <c r="R126" s="277"/>
      <c r="S126" s="228"/>
      <c r="T126" s="228"/>
      <c r="U126" s="228"/>
      <c r="V126" s="228"/>
    </row>
    <row r="127" outlineLevel="1">
      <c r="A127" s="278" t="s">
        <v>229</v>
      </c>
      <c r="B127" s="269" t="s">
        <v>227</v>
      </c>
      <c r="C127" s="113" t="s">
        <v>305</v>
      </c>
      <c r="D127" s="279">
        <v>31.0</v>
      </c>
      <c r="E127" s="239" t="s">
        <v>204</v>
      </c>
      <c r="F127" s="138">
        <v>3.5999999999999996</v>
      </c>
      <c r="G127" s="416"/>
      <c r="H127" s="164"/>
      <c r="I127" s="164"/>
      <c r="J127" s="104"/>
      <c r="K127" s="282"/>
      <c r="L127" s="282"/>
      <c r="M127" s="363"/>
      <c r="N127" s="363"/>
      <c r="O127" s="145">
        <v>0.0</v>
      </c>
      <c r="P127" s="145">
        <v>1.5</v>
      </c>
      <c r="Q127" s="145">
        <v>1.0</v>
      </c>
      <c r="R127" s="277"/>
      <c r="S127" s="228"/>
      <c r="T127" s="228"/>
      <c r="U127" s="228"/>
      <c r="V127" s="228"/>
    </row>
    <row r="128" outlineLevel="1">
      <c r="A128" s="156"/>
      <c r="B128" s="269" t="s">
        <v>225</v>
      </c>
      <c r="C128" s="113">
        <v>15.0</v>
      </c>
      <c r="D128" s="156"/>
      <c r="E128" s="239" t="s">
        <v>204</v>
      </c>
      <c r="F128" s="138">
        <v>3.5999999999999996</v>
      </c>
      <c r="G128" s="106"/>
      <c r="H128" s="168"/>
      <c r="I128" s="168"/>
      <c r="J128" s="107"/>
      <c r="K128" s="282"/>
      <c r="L128" s="282"/>
      <c r="M128" s="363"/>
      <c r="N128" s="363"/>
      <c r="O128" s="261"/>
      <c r="P128" s="261"/>
      <c r="Q128" s="261"/>
      <c r="R128" s="277"/>
      <c r="S128" s="228"/>
      <c r="T128" s="228"/>
      <c r="U128" s="228"/>
      <c r="V128" s="228"/>
    </row>
    <row r="129" outlineLevel="1">
      <c r="A129" s="278" t="s">
        <v>233</v>
      </c>
      <c r="B129" s="269" t="s">
        <v>227</v>
      </c>
      <c r="C129" s="113" t="s">
        <v>518</v>
      </c>
      <c r="D129" s="279">
        <v>50.0</v>
      </c>
      <c r="E129" s="239" t="s">
        <v>176</v>
      </c>
      <c r="F129" s="138">
        <v>2.4</v>
      </c>
      <c r="G129" s="416"/>
      <c r="H129" s="164"/>
      <c r="I129" s="164"/>
      <c r="J129" s="104"/>
      <c r="K129" s="282"/>
      <c r="L129" s="282"/>
      <c r="M129" s="363"/>
      <c r="N129" s="363"/>
      <c r="O129" s="145">
        <v>0.0</v>
      </c>
      <c r="P129" s="145">
        <v>1.0</v>
      </c>
      <c r="Q129" s="145">
        <v>1.0</v>
      </c>
      <c r="R129" s="277"/>
      <c r="S129" s="228"/>
      <c r="T129" s="228"/>
      <c r="U129" s="228"/>
      <c r="V129" s="228"/>
    </row>
    <row r="130" outlineLevel="1">
      <c r="A130" s="146"/>
      <c r="B130" s="269" t="s">
        <v>4569</v>
      </c>
      <c r="C130" s="113" t="s">
        <v>305</v>
      </c>
      <c r="D130" s="146"/>
      <c r="E130" s="239" t="s">
        <v>535</v>
      </c>
      <c r="F130" s="138">
        <v>3.0</v>
      </c>
      <c r="G130" s="212"/>
      <c r="J130" s="210"/>
      <c r="K130" s="282"/>
      <c r="L130" s="282"/>
      <c r="M130" s="363"/>
      <c r="N130" s="363"/>
      <c r="O130" s="145">
        <v>0.0</v>
      </c>
      <c r="P130" s="145">
        <v>1.0</v>
      </c>
      <c r="Q130" s="145">
        <v>1.0</v>
      </c>
      <c r="R130" s="277"/>
      <c r="S130" s="117"/>
      <c r="T130" s="117"/>
      <c r="U130" s="117"/>
      <c r="V130" s="117"/>
    </row>
    <row r="131" outlineLevel="1">
      <c r="A131" s="156"/>
      <c r="B131" s="269" t="s">
        <v>225</v>
      </c>
      <c r="C131" s="113">
        <v>15.0</v>
      </c>
      <c r="D131" s="156"/>
      <c r="E131" s="239" t="s">
        <v>73</v>
      </c>
      <c r="F131" s="138">
        <v>4.8</v>
      </c>
      <c r="G131" s="106"/>
      <c r="H131" s="168"/>
      <c r="I131" s="168"/>
      <c r="J131" s="107"/>
      <c r="K131" s="282"/>
      <c r="L131" s="282"/>
      <c r="M131" s="363"/>
      <c r="N131" s="363"/>
      <c r="O131" s="261"/>
      <c r="P131" s="261"/>
      <c r="Q131" s="261"/>
      <c r="R131" s="277"/>
      <c r="S131" s="117"/>
      <c r="T131" s="117"/>
      <c r="U131" s="117"/>
      <c r="V131" s="117"/>
    </row>
    <row r="132" outlineLevel="1">
      <c r="A132" s="278" t="s">
        <v>234</v>
      </c>
      <c r="B132" s="269" t="s">
        <v>227</v>
      </c>
      <c r="C132" s="281"/>
      <c r="D132" s="279">
        <v>43.0</v>
      </c>
      <c r="E132" s="281"/>
      <c r="F132" s="281"/>
      <c r="G132" s="413" t="s">
        <v>4570</v>
      </c>
      <c r="H132" s="164"/>
      <c r="I132" s="164"/>
      <c r="J132" s="104"/>
      <c r="K132" s="281"/>
      <c r="L132" s="281"/>
      <c r="M132" s="281"/>
      <c r="N132" s="281"/>
      <c r="O132" s="145">
        <v>0.0</v>
      </c>
      <c r="P132" s="145">
        <v>1.0</v>
      </c>
      <c r="Q132" s="145">
        <v>1.0</v>
      </c>
      <c r="R132" s="277"/>
      <c r="S132" s="117"/>
      <c r="T132" s="117"/>
      <c r="U132" s="117"/>
      <c r="V132" s="117"/>
    </row>
    <row r="133" outlineLevel="1">
      <c r="A133" s="156"/>
      <c r="B133" s="269" t="s">
        <v>225</v>
      </c>
      <c r="C133" s="113" t="s">
        <v>466</v>
      </c>
      <c r="D133" s="156"/>
      <c r="E133" s="239" t="s">
        <v>93</v>
      </c>
      <c r="F133" s="138">
        <v>8.4</v>
      </c>
      <c r="G133" s="106"/>
      <c r="H133" s="168"/>
      <c r="I133" s="168"/>
      <c r="J133" s="107"/>
      <c r="K133" s="282"/>
      <c r="L133" s="282"/>
      <c r="M133" s="363"/>
      <c r="N133" s="363"/>
      <c r="O133" s="261"/>
      <c r="P133" s="261"/>
      <c r="Q133" s="261"/>
      <c r="R133" s="277"/>
      <c r="S133" s="117"/>
      <c r="T133" s="117"/>
      <c r="U133" s="117"/>
      <c r="V133" s="117"/>
    </row>
    <row r="134">
      <c r="A134" s="223"/>
      <c r="B134" s="224"/>
      <c r="C134" s="225"/>
      <c r="D134" s="225"/>
      <c r="E134" s="227"/>
      <c r="F134" s="177"/>
      <c r="G134" s="177"/>
      <c r="H134" s="227"/>
      <c r="I134" s="227"/>
      <c r="J134" s="228"/>
      <c r="K134" s="228"/>
      <c r="L134" s="111"/>
      <c r="M134" s="111"/>
      <c r="N134" s="111"/>
      <c r="O134" s="117"/>
      <c r="P134" s="117"/>
      <c r="Q134" s="111"/>
      <c r="R134" s="111"/>
      <c r="S134" s="111"/>
      <c r="T134" s="111"/>
      <c r="U134" s="111"/>
      <c r="V134" s="111"/>
    </row>
    <row r="135">
      <c r="A135" s="284" t="s">
        <v>241</v>
      </c>
      <c r="B135" s="104"/>
      <c r="C135" s="265"/>
      <c r="D135" s="111"/>
      <c r="E135" s="111"/>
      <c r="F135" s="111"/>
      <c r="G135" s="111"/>
      <c r="H135" s="111"/>
      <c r="I135" s="111"/>
      <c r="J135" s="118"/>
      <c r="K135" s="111"/>
      <c r="L135" s="111"/>
      <c r="M135" s="111"/>
      <c r="N135" s="111"/>
      <c r="O135" s="111"/>
      <c r="P135" s="111"/>
      <c r="Q135" s="118"/>
      <c r="R135" s="111"/>
      <c r="S135" s="111"/>
      <c r="T135" s="111"/>
      <c r="U135" s="111"/>
      <c r="V135" s="111"/>
    </row>
    <row r="136" outlineLevel="1">
      <c r="A136" s="106"/>
      <c r="B136" s="107"/>
      <c r="C136" s="285" t="s">
        <v>235</v>
      </c>
      <c r="D136" s="285" t="s">
        <v>236</v>
      </c>
      <c r="E136" s="285" t="s">
        <v>49</v>
      </c>
      <c r="F136" s="285" t="s">
        <v>237</v>
      </c>
      <c r="G136" s="286"/>
      <c r="H136" s="227"/>
      <c r="I136" s="227"/>
      <c r="J136" s="228"/>
      <c r="K136" s="228"/>
      <c r="L136" s="111"/>
      <c r="M136" s="111"/>
      <c r="N136" s="111"/>
      <c r="O136" s="111"/>
      <c r="P136" s="111"/>
      <c r="Q136" s="111"/>
      <c r="R136" s="111"/>
      <c r="S136" s="111"/>
      <c r="T136" s="111"/>
      <c r="U136" s="111"/>
      <c r="V136" s="111"/>
    </row>
    <row r="137" outlineLevel="1">
      <c r="A137" s="287" t="s">
        <v>395</v>
      </c>
      <c r="B137" s="288" t="s">
        <v>216</v>
      </c>
      <c r="C137" s="113" t="str">
        <f t="array" ref="C137">INDEX('回避'!$C$3:$U$84, MATCH($A$1,'回避'!$A$3:$A$91,0), MATCH(C136,'回避'!$C$2:$F$2,0))</f>
        <v>3-17</v>
      </c>
      <c r="D137" s="113" t="str">
        <f t="array" ref="D137">INDEX('回避'!$C$3:$U$84, MATCH($A$1,'回避'!$A$3:$A$91,0), MATCH(D136,'回避'!$C$2:$F$2,0))</f>
        <v>6-17</v>
      </c>
      <c r="E137" s="113" t="str">
        <f t="array" ref="E137">INDEX('回避'!$C$3:$U$84, MATCH($A$1,'回避'!$A$3:$A$91,0), MATCH(E136,'回避'!$C$2:$F$2,0))</f>
        <v>25 (20)</v>
      </c>
      <c r="F137" s="113" t="str">
        <f t="array" ref="F137">INDEX('回避'!$C$3:$U$84, MATCH($A$1,'回避'!$A$3:$A$91,0), MATCH(F136,'回避'!$C$2:$F$2,0))</f>
        <v>33 (27)</v>
      </c>
      <c r="G137" s="272"/>
      <c r="H137" s="227"/>
      <c r="I137" s="227"/>
      <c r="J137" s="228"/>
      <c r="K137" s="228"/>
      <c r="L137" s="228"/>
      <c r="M137" s="111"/>
      <c r="N137" s="111"/>
      <c r="O137" s="111"/>
      <c r="P137" s="111"/>
      <c r="Q137" s="111"/>
      <c r="R137" s="111"/>
      <c r="S137" s="111"/>
      <c r="T137" s="111"/>
      <c r="U137" s="111"/>
      <c r="V137" s="111"/>
    </row>
    <row r="138" outlineLevel="1">
      <c r="A138" s="212"/>
      <c r="B138" s="288" t="s">
        <v>245</v>
      </c>
      <c r="C138" s="113" t="str">
        <f t="array" ref="C138">INDEX('回避'!$G$3:$U$84, MATCH($A$1,'回避'!$A$3:$A$91,0), MATCH(C136,'回避'!$G$2:$J$2,0))</f>
        <v>4-15</v>
      </c>
      <c r="D138" s="113" t="str">
        <f t="array" ref="D138">INDEX('回避'!$G$3:$U$84, MATCH($A$1,'回避'!$A$3:$A$91,0), MATCH(D136,'回避'!$G$2:$J$2,0))</f>
        <v>8-14</v>
      </c>
      <c r="E138" s="113" t="str">
        <f t="array" ref="E138">INDEX('回避'!$G$3:$U$84, MATCH($A$1,'回避'!$A$3:$A$91,0), MATCH(E136,'回避'!$G$2:$J$2,0))</f>
        <v>29</v>
      </c>
      <c r="F138" s="113">
        <f t="array" ref="F138">INDEX('回避'!$G$3:$U$84, MATCH($A$1,'回避'!$A$3:$A$91,0), MATCH(F136,'回避'!$G$2:$J$2,0))</f>
        <v>38</v>
      </c>
      <c r="G138" s="289"/>
      <c r="H138" s="227"/>
      <c r="I138" s="227"/>
      <c r="J138" s="228"/>
      <c r="K138" s="228"/>
      <c r="L138" s="228"/>
      <c r="M138" s="228"/>
      <c r="N138" s="228"/>
      <c r="O138" s="111"/>
      <c r="P138" s="111"/>
      <c r="Q138" s="111"/>
      <c r="R138" s="111"/>
      <c r="S138" s="111"/>
      <c r="T138" s="111"/>
      <c r="U138" s="111"/>
      <c r="V138" s="111"/>
    </row>
    <row r="139" outlineLevel="1">
      <c r="A139" s="106"/>
      <c r="B139" s="288" t="s">
        <v>246</v>
      </c>
      <c r="C139" s="113" t="str">
        <f t="array" ref="C139">INDEX('回避'!$K$3:$U$84, MATCH($A$1,'回避'!$A$3:$A$91,0), MATCH(C136,'回避'!$K$2:$N$2,0))</f>
        <v>5-16</v>
      </c>
      <c r="D139" s="113" t="str">
        <f t="array" ref="D139">INDEX('回避'!$K$3:$U$84, MATCH($A$1,'回避'!$A$3:$A$91,0), MATCH(D136,'回避'!$K$2:$N$2,0))</f>
        <v>9-14</v>
      </c>
      <c r="E139" s="113" t="str">
        <f t="array" ref="E139">INDEX('回避'!$K$3:$U$84, MATCH($A$1,'回避'!$A$3:$A$91,0), MATCH(E136,'回避'!$K$2:$N$2,0))</f>
        <v>34</v>
      </c>
      <c r="F139" s="113" t="str">
        <f t="array" ref="F139">INDEX('回避'!$K$3:$U$84, MATCH($A$1,'回避'!$A$3:$A$91,0), MATCH(F136,'回避'!$K$2:$N$2,0))</f>
        <v>51</v>
      </c>
      <c r="G139" s="289"/>
      <c r="H139" s="290"/>
      <c r="I139" s="290"/>
      <c r="J139" s="117"/>
      <c r="K139" s="117"/>
      <c r="L139" s="117"/>
      <c r="M139" s="117"/>
      <c r="N139" s="117"/>
      <c r="O139" s="111"/>
      <c r="P139" s="111"/>
      <c r="Q139" s="111"/>
      <c r="R139" s="111"/>
      <c r="S139" s="111"/>
      <c r="T139" s="111"/>
      <c r="U139" s="111"/>
      <c r="V139" s="111"/>
    </row>
    <row r="140" outlineLevel="1">
      <c r="A140" s="287" t="s">
        <v>396</v>
      </c>
      <c r="B140" s="288" t="s">
        <v>397</v>
      </c>
      <c r="C140" s="113" t="str">
        <f t="array" ref="C140">INDEX('回避'!$O$3:$U$84, MATCH($A$1,'回避'!$A$3:$A$91,0), MATCH(C136,'回避'!$O$2:$R$2,0))</f>
        <v>3-30</v>
      </c>
      <c r="D140" s="113" t="str">
        <f t="array" ref="D140">INDEX('回避'!$O$3:$U$84, MATCH($A$1,'回避'!$A$3:$A$91,0), MATCH(D136,'回避'!$O$2:$R$2,0))</f>
        <v>6-27</v>
      </c>
      <c r="E140" s="113" t="str">
        <f t="array" ref="E140">INDEX('回避'!$O$3:$U$84, MATCH($A$1,'回避'!$A$3:$A$91,0), MATCH(E136,'回避'!$O$2:$R$2,0))</f>
        <v>47</v>
      </c>
      <c r="F140" s="177"/>
      <c r="G140" s="177"/>
      <c r="H140" s="118"/>
      <c r="I140" s="118"/>
      <c r="J140" s="111"/>
      <c r="K140" s="111"/>
      <c r="L140" s="111"/>
      <c r="M140" s="111"/>
      <c r="N140" s="111"/>
      <c r="O140" s="228"/>
      <c r="P140" s="228"/>
      <c r="Q140" s="228"/>
      <c r="R140" s="228"/>
      <c r="S140" s="228"/>
      <c r="T140" s="228"/>
      <c r="U140" s="228"/>
      <c r="V140" s="228"/>
    </row>
    <row r="141" outlineLevel="1">
      <c r="A141" s="106"/>
      <c r="B141" s="288" t="s">
        <v>398</v>
      </c>
      <c r="C141" s="113" t="str">
        <f t="array" ref="C141">INDEX('回避'!$S$3:$U$84, MATCH($A$1,'回避'!$A$3:$A$91,0), MATCH(C136,'回避'!$S$2:$U$2,0))</f>
        <v>3-21</v>
      </c>
      <c r="D141" s="113" t="str">
        <f t="array" ref="D141">INDEX('回避'!$S$3:$U$84, MATCH($A$1,'回避'!$A$3:$A$91,0), MATCH(D136,'回避'!$S$2:$U$2,0))</f>
        <v>6-20</v>
      </c>
      <c r="E141" s="113" t="str">
        <f t="array" ref="E141">INDEX('回避'!$S$3:$U$84, MATCH($A$1,'回避'!$A$3:$A$91,0), MATCH(E136,'回避'!$S$2:$U$2,0))</f>
        <v>真横：79
真上：104
真下：64</v>
      </c>
      <c r="F141" s="289"/>
      <c r="G141" s="289"/>
      <c r="H141" s="118"/>
      <c r="I141" s="118"/>
      <c r="J141" s="117"/>
      <c r="K141" s="117"/>
      <c r="L141" s="117"/>
      <c r="M141" s="117"/>
      <c r="N141" s="111"/>
      <c r="O141" s="118"/>
      <c r="P141" s="118"/>
      <c r="Q141" s="118"/>
      <c r="R141" s="118"/>
      <c r="S141" s="118"/>
      <c r="T141" s="118"/>
      <c r="U141" s="118"/>
      <c r="V141" s="118"/>
    </row>
    <row r="142">
      <c r="A142" s="291"/>
      <c r="B142" s="292"/>
      <c r="C142" s="286"/>
      <c r="D142" s="286"/>
      <c r="E142" s="293"/>
      <c r="F142" s="286"/>
      <c r="G142" s="286"/>
      <c r="H142" s="286"/>
      <c r="I142" s="286"/>
      <c r="J142" s="111"/>
      <c r="K142" s="227"/>
      <c r="L142" s="227"/>
      <c r="M142" s="227"/>
      <c r="N142" s="227"/>
      <c r="O142" s="118"/>
      <c r="P142" s="118"/>
      <c r="Q142" s="118"/>
      <c r="R142" s="118"/>
      <c r="S142" s="118"/>
      <c r="T142" s="118"/>
      <c r="U142" s="118"/>
      <c r="V142" s="118"/>
    </row>
    <row r="143">
      <c r="A143" s="2534" t="s">
        <v>238</v>
      </c>
      <c r="B143" s="104"/>
      <c r="C143" s="2535"/>
      <c r="D143" s="2536"/>
      <c r="E143" s="2535"/>
      <c r="F143" s="2537"/>
      <c r="G143" s="2537"/>
      <c r="H143" s="117"/>
      <c r="I143" s="117"/>
      <c r="J143" s="118"/>
      <c r="K143" s="118"/>
      <c r="L143" s="118"/>
      <c r="M143" s="118"/>
      <c r="N143" s="118"/>
      <c r="O143" s="118"/>
      <c r="P143" s="118"/>
      <c r="Q143" s="118"/>
      <c r="R143" s="118"/>
      <c r="S143" s="118"/>
      <c r="T143" s="118"/>
      <c r="U143" s="118"/>
      <c r="V143" s="118"/>
    </row>
    <row r="144" outlineLevel="1">
      <c r="A144" s="106"/>
      <c r="B144" s="107"/>
      <c r="C144" s="2538" t="s">
        <v>235</v>
      </c>
      <c r="D144" s="2538" t="s">
        <v>49</v>
      </c>
      <c r="E144" s="2538" t="s">
        <v>48</v>
      </c>
      <c r="F144" s="2538" t="s">
        <v>50</v>
      </c>
      <c r="G144" s="2539" t="s">
        <v>51</v>
      </c>
      <c r="H144" s="228"/>
      <c r="I144" s="228"/>
      <c r="J144" s="117"/>
      <c r="K144" s="297" t="str">
        <f>'テンプレート'!K116</f>
        <v>アイテム取得</v>
      </c>
      <c r="L144" s="109"/>
      <c r="M144" s="298" t="str">
        <f>'テンプレート'!M116</f>
        <v>取得フレーム</v>
      </c>
      <c r="N144" s="298" t="str">
        <f>'テンプレート'!N116</f>
        <v>全体フレーム</v>
      </c>
      <c r="O144" s="118"/>
      <c r="P144" s="118"/>
      <c r="Q144" s="118"/>
      <c r="R144" s="118"/>
      <c r="S144" s="118"/>
      <c r="T144" s="118"/>
      <c r="U144" s="118"/>
      <c r="V144" s="118"/>
    </row>
    <row r="145" outlineLevel="1">
      <c r="A145" s="299" t="s">
        <v>239</v>
      </c>
      <c r="B145" s="300" t="s">
        <v>240</v>
      </c>
      <c r="C145" s="1162"/>
      <c r="D145" s="518">
        <f t="array" ref="D145">INDEX('崖行動・受け身'!$C$3:$C148, MATCH($A$1,'崖行動・受け身'!$A$3:$A$115,0), MATCH(D144,'崖行動・受け身'!$C$2,0))</f>
        <v>19</v>
      </c>
      <c r="E145" s="1162"/>
      <c r="F145" s="1162"/>
      <c r="G145" s="1162"/>
      <c r="H145" s="228"/>
      <c r="I145" s="228"/>
      <c r="J145" s="111"/>
      <c r="K145" s="302" t="str">
        <f>'テンプレート'!K117</f>
        <v>小アイテム</v>
      </c>
      <c r="L145" s="303" t="str">
        <f>'テンプレート'!L117</f>
        <v>その場</v>
      </c>
      <c r="M145" s="113" t="s">
        <v>76</v>
      </c>
      <c r="N145" s="113">
        <v>7.0</v>
      </c>
      <c r="O145" s="118"/>
      <c r="P145" s="118"/>
      <c r="Q145" s="118"/>
      <c r="R145" s="118"/>
      <c r="S145" s="118"/>
      <c r="T145" s="118"/>
      <c r="U145" s="118"/>
      <c r="V145" s="118"/>
    </row>
    <row r="146" outlineLevel="1">
      <c r="A146" s="146"/>
      <c r="B146" s="300" t="s">
        <v>216</v>
      </c>
      <c r="C146" s="518" t="str">
        <f t="array" ref="C146">INDEX('崖行動・受け身'!$D$3:$E148, MATCH($A$1,'崖行動・受け身'!$A$3:$A$115,0), MATCH(C144,'崖行動・受け身'!$D$2:$E$2,0))</f>
        <v>1-33</v>
      </c>
      <c r="D146" s="518">
        <f t="array" ref="D146">INDEX('崖行動・受け身'!$D$3:$E148, MATCH($A$1,'崖行動・受け身'!$A$3:$A$115,0), MATCH(D144,'崖行動・受け身'!$D$2:$E$2,0))</f>
        <v>34</v>
      </c>
      <c r="E146" s="1162"/>
      <c r="F146" s="1162"/>
      <c r="G146" s="1162"/>
      <c r="H146" s="228"/>
      <c r="I146" s="228"/>
      <c r="J146" s="117"/>
      <c r="K146" s="156"/>
      <c r="L146" s="303" t="str">
        <f>'テンプレート'!L118</f>
        <v>歩き</v>
      </c>
      <c r="M146" s="113" t="s">
        <v>76</v>
      </c>
      <c r="N146" s="113">
        <v>19.0</v>
      </c>
      <c r="O146" s="118"/>
      <c r="P146" s="118"/>
      <c r="Q146" s="118"/>
      <c r="R146" s="118"/>
      <c r="S146" s="118"/>
      <c r="T146" s="118"/>
      <c r="U146" s="118"/>
      <c r="V146" s="118"/>
    </row>
    <row r="147" outlineLevel="1">
      <c r="A147" s="146"/>
      <c r="B147" s="300" t="s">
        <v>241</v>
      </c>
      <c r="C147" s="518" t="str">
        <f t="array" ref="C147">INDEX('崖行動・受け身'!$F$3:$G$115, MATCH($A$1,'崖行動・受け身'!$A$3:$A$115,0), MATCH(C144,'崖行動・受け身'!$F$2:$G$2,0))</f>
        <v>1-22</v>
      </c>
      <c r="D147" s="518">
        <f t="array" ref="D147">INDEX('崖行動・受け身'!$F$3:$G$115, MATCH($A$1,'崖行動・受け身'!$A$3:$A$115,0), MATCH(D144,'崖行動・受け身'!$F$2:$G$2,0))</f>
        <v>45</v>
      </c>
      <c r="E147" s="1162"/>
      <c r="F147" s="1162"/>
      <c r="G147" s="1162"/>
      <c r="H147" s="228"/>
      <c r="I147" s="228"/>
      <c r="J147" s="111"/>
      <c r="K147" s="304" t="str">
        <f>'テンプレート'!K119</f>
        <v>アイテム投擲</v>
      </c>
      <c r="L147" s="109"/>
      <c r="M147" s="298" t="str">
        <f>'テンプレート'!M119</f>
        <v>投擲フレーム</v>
      </c>
      <c r="N147" s="298" t="str">
        <f>'テンプレート'!N119</f>
        <v>全体フレーム</v>
      </c>
      <c r="O147" s="118"/>
      <c r="P147" s="118"/>
      <c r="Q147" s="118"/>
      <c r="R147" s="118"/>
      <c r="S147" s="118"/>
      <c r="T147" s="118"/>
      <c r="U147" s="118"/>
      <c r="V147" s="118"/>
    </row>
    <row r="148" outlineLevel="1">
      <c r="A148" s="146"/>
      <c r="B148" s="300" t="s">
        <v>242</v>
      </c>
      <c r="C148" s="518" t="str">
        <f t="array" ref="C148">INDEX('崖行動・受け身'!$H$3:$I$115, MATCH($A$1,'崖行動・受け身'!$A$3:$A$115,0), MATCH(C144,'崖行動・受け身'!$H$2:$I$2,0))</f>
        <v>1-12</v>
      </c>
      <c r="D148" s="518">
        <f t="array" ref="D148">INDEX('崖行動・受け身'!$H$3:$I$115, MATCH($A$1,'崖行動・受け身'!$A$3:$A$115,0), MATCH(D144,'崖行動・受け身'!$H$2:$I$2,0))</f>
        <v>14</v>
      </c>
      <c r="E148" s="1162"/>
      <c r="F148" s="1162"/>
      <c r="G148" s="1162"/>
      <c r="H148" s="228"/>
      <c r="I148" s="228"/>
      <c r="J148" s="117"/>
      <c r="K148" s="305" t="str">
        <f>'テンプレート'!K120</f>
        <v>地上投擲</v>
      </c>
      <c r="L148" s="303" t="str">
        <f>'テンプレート'!L120</f>
        <v>前投げ</v>
      </c>
      <c r="M148" s="113" t="s">
        <v>80</v>
      </c>
      <c r="N148" s="113">
        <v>24.0</v>
      </c>
      <c r="O148" s="111"/>
      <c r="P148" s="111"/>
      <c r="Q148" s="111"/>
      <c r="R148" s="111"/>
      <c r="S148" s="111"/>
      <c r="T148" s="111"/>
      <c r="U148" s="111"/>
      <c r="V148" s="111"/>
    </row>
    <row r="149" outlineLevel="1">
      <c r="A149" s="156"/>
      <c r="B149" s="300" t="s">
        <v>243</v>
      </c>
      <c r="C149" s="518" t="str">
        <f t="array" ref="C149">INDEX('崖行動・受け身'!$J$3:$M$115, MATCH($A$1,'崖行動・受け身'!$A$3:$A$115,0), MATCH(C144,'崖行動・受け身'!$J$2:$M$2,0))</f>
        <v>1-22</v>
      </c>
      <c r="D149" s="518">
        <f t="array" ref="D149">INDEX('崖行動・受け身'!$J$3:$M$115, MATCH($A$1,'崖行動・受け身'!$A$3:$A$115,0), MATCH(D144,'崖行動・受け身'!$J$2:$M$2,0))</f>
        <v>55</v>
      </c>
      <c r="E149" s="518" t="str">
        <f t="array" ref="E149">INDEX('崖行動・受け身'!$J$3:$M$115, MATCH($A$1,'崖行動・受け身'!$A$3:$A$115,0), MATCH(E144,'崖行動・受け身'!$J$2:$M$2,0))</f>
        <v>20-22</v>
      </c>
      <c r="F149" s="518">
        <f t="array" ref="F149">INDEX('崖行動・受け身'!$J$3:$M$115, MATCH($A$1,'崖行動・受け身'!$A$3:$A$115,0), MATCH(F144,'崖行動・受け身'!$J$2:$M$2,0))</f>
        <v>10</v>
      </c>
      <c r="G149" s="518">
        <f>F149*1.2</f>
        <v>12</v>
      </c>
      <c r="H149" s="228"/>
      <c r="I149" s="228"/>
      <c r="J149" s="111"/>
      <c r="K149" s="146"/>
      <c r="L149" s="303" t="str">
        <f>'テンプレート'!L121</f>
        <v>後投げ</v>
      </c>
      <c r="M149" s="113" t="s">
        <v>232</v>
      </c>
      <c r="N149" s="113">
        <v>24.0</v>
      </c>
      <c r="O149" s="111"/>
      <c r="P149" s="111"/>
      <c r="Q149" s="111"/>
      <c r="R149" s="111"/>
      <c r="S149" s="111"/>
      <c r="T149" s="111"/>
      <c r="U149" s="111"/>
      <c r="V149" s="111"/>
    </row>
    <row r="150" outlineLevel="1">
      <c r="A150" s="299" t="s">
        <v>244</v>
      </c>
      <c r="B150" s="300" t="s">
        <v>216</v>
      </c>
      <c r="C150" s="518" t="str">
        <f t="array" ref="C150">INDEX('崖行動・受け身'!$N$3:$O$115, MATCH($A$1,'崖行動・受け身'!$A$3:$A$115,0), MATCH(C144,'崖行動・受け身'!$N$2:$O$2,0))</f>
        <v>1-20</v>
      </c>
      <c r="D150" s="518">
        <f t="array" ref="D150">INDEX('崖行動・受け身'!$N$3:$O$115, MATCH($A$1,'崖行動・受け身'!$A$3:$A$115,0), MATCH(D144,'崖行動・受け身'!$N$2:$O$2,0))</f>
        <v>26</v>
      </c>
      <c r="E150" s="1162"/>
      <c r="F150" s="1162"/>
      <c r="G150" s="1162"/>
      <c r="H150" s="228"/>
      <c r="I150" s="228"/>
      <c r="J150" s="117"/>
      <c r="K150" s="146"/>
      <c r="L150" s="303" t="str">
        <f>'テンプレート'!L122</f>
        <v>上投げ</v>
      </c>
      <c r="M150" s="113" t="s">
        <v>129</v>
      </c>
      <c r="N150" s="113">
        <v>23.0</v>
      </c>
      <c r="O150" s="228"/>
      <c r="P150" s="228"/>
      <c r="Q150" s="228"/>
      <c r="R150" s="228"/>
      <c r="S150" s="228"/>
      <c r="T150" s="228"/>
      <c r="U150" s="228"/>
      <c r="V150" s="228"/>
    </row>
    <row r="151" outlineLevel="1">
      <c r="A151" s="146"/>
      <c r="B151" s="300" t="s">
        <v>245</v>
      </c>
      <c r="C151" s="518" t="str">
        <f t="array" ref="C151">INDEX('崖行動・受け身'!$P$3:$Q$115, MATCH($A$1,'崖行動・受け身'!$A$3:$A$115,0), MATCH(C144,'崖行動・受け身'!$P$2:$Q$2,0))</f>
        <v>1-20</v>
      </c>
      <c r="D151" s="518">
        <f t="array" ref="D151">INDEX('崖行動・受け身'!$P$3:$Q$115, MATCH($A$1,'崖行動・受け身'!$A$3:$A$115,0), MATCH(D144,'崖行動・受け身'!$P$2:$Q$2,0))</f>
        <v>40</v>
      </c>
      <c r="E151" s="1162"/>
      <c r="F151" s="1162"/>
      <c r="G151" s="1162"/>
      <c r="H151" s="228"/>
      <c r="I151" s="228"/>
      <c r="J151" s="111"/>
      <c r="K151" s="146"/>
      <c r="L151" s="303" t="str">
        <f>'テンプレート'!L123</f>
        <v>下投げ</v>
      </c>
      <c r="M151" s="113" t="s">
        <v>93</v>
      </c>
      <c r="N151" s="113">
        <v>19.0</v>
      </c>
      <c r="O151" s="118"/>
      <c r="P151" s="118"/>
      <c r="Q151" s="118"/>
      <c r="R151" s="118"/>
      <c r="S151" s="118"/>
      <c r="T151" s="118"/>
      <c r="U151" s="118"/>
      <c r="V151" s="118"/>
    </row>
    <row r="152" outlineLevel="1">
      <c r="A152" s="156"/>
      <c r="B152" s="300" t="s">
        <v>246</v>
      </c>
      <c r="C152" s="518" t="str">
        <f t="array" ref="C152">INDEX('崖行動・受け身'!$R$3:$S$115, MATCH($A$1,'崖行動・受け身'!$A$3:$A$115,0), MATCH(C144,'崖行動・受け身'!$R$2:$S$2,0))</f>
        <v>1-20</v>
      </c>
      <c r="D152" s="518">
        <f t="array" ref="D152">INDEX('崖行動・受け身'!$R$3:$S$115, MATCH($A$1,'崖行動・受け身'!$A$3:$A$115,0), MATCH(D144,'崖行動・受け身'!$R$2:$S$2,0))</f>
        <v>40</v>
      </c>
      <c r="E152" s="1162"/>
      <c r="F152" s="1162"/>
      <c r="G152" s="1162"/>
      <c r="H152" s="228"/>
      <c r="I152" s="228"/>
      <c r="J152" s="117"/>
      <c r="K152" s="146"/>
      <c r="L152" s="306" t="str">
        <f>'テンプレート'!L124</f>
        <v>ダッシュ</v>
      </c>
      <c r="M152" s="113" t="s">
        <v>150</v>
      </c>
      <c r="N152" s="113">
        <v>37.0</v>
      </c>
      <c r="O152" s="118"/>
      <c r="P152" s="118"/>
      <c r="Q152" s="118"/>
      <c r="R152" s="118"/>
      <c r="S152" s="118"/>
      <c r="T152" s="118"/>
      <c r="U152" s="118"/>
      <c r="V152" s="118"/>
    </row>
    <row r="153" outlineLevel="1">
      <c r="A153" s="299" t="s">
        <v>247</v>
      </c>
      <c r="B153" s="300" t="s">
        <v>248</v>
      </c>
      <c r="C153" s="1162"/>
      <c r="D153" s="518" t="str">
        <f t="array" ref="D153">INDEX('起きあがり'!$C$3:$C148, MATCH($A$1,'起きあがり'!$A$3:$A$115,0), MATCH(D144,'起きあがり'!$C$2:$AD$2,0))</f>
        <v>25</v>
      </c>
      <c r="E153" s="1162"/>
      <c r="F153" s="1162"/>
      <c r="G153" s="1162"/>
      <c r="H153" s="228"/>
      <c r="I153" s="228"/>
      <c r="J153" s="111"/>
      <c r="K153" s="156"/>
      <c r="L153" s="306" t="str">
        <f>'テンプレート'!L125</f>
        <v>その場捨て</v>
      </c>
      <c r="M153" s="113" t="s">
        <v>86</v>
      </c>
      <c r="N153" s="113">
        <v>23.0</v>
      </c>
      <c r="O153" s="118"/>
      <c r="P153" s="118"/>
      <c r="Q153" s="118"/>
      <c r="R153" s="118"/>
      <c r="S153" s="118"/>
      <c r="T153" s="118"/>
      <c r="U153" s="118"/>
      <c r="V153" s="118"/>
    </row>
    <row r="154" outlineLevel="1">
      <c r="A154" s="146"/>
      <c r="B154" s="300" t="s">
        <v>216</v>
      </c>
      <c r="C154" s="2540" t="str">
        <f t="array" ref="C154">INDEX('起きあがり'!$D$3:$E148, MATCH($A$1,'起きあがり'!$A$3:$A$115,0), MATCH(C144,'起きあがり'!$D$2:$AD$2,0))</f>
        <v>1-22</v>
      </c>
      <c r="D154" s="2541">
        <f t="array" ref="D154">INDEX('起きあがり'!$D$3:$E148, MATCH($A$1,'起きあがり'!$A$3:$A$115,0), MATCH(D144,'起きあがり'!$D$2:$AD$2,0))</f>
        <v>29</v>
      </c>
      <c r="E154" s="1162"/>
      <c r="F154" s="1162"/>
      <c r="G154" s="1162"/>
      <c r="H154" s="228"/>
      <c r="I154" s="228"/>
      <c r="J154" s="117"/>
      <c r="K154" s="305" t="str">
        <f>'テンプレート'!K126</f>
        <v>空中投擲</v>
      </c>
      <c r="L154" s="303" t="str">
        <f>'テンプレート'!L126</f>
        <v>前投げ</v>
      </c>
      <c r="M154" s="113" t="s">
        <v>80</v>
      </c>
      <c r="N154" s="113">
        <v>24.0</v>
      </c>
      <c r="O154" s="118"/>
      <c r="P154" s="118"/>
      <c r="Q154" s="118"/>
      <c r="R154" s="118"/>
      <c r="S154" s="118"/>
      <c r="T154" s="118"/>
      <c r="U154" s="118"/>
      <c r="V154" s="118"/>
    </row>
    <row r="155" outlineLevel="1">
      <c r="A155" s="146"/>
      <c r="B155" s="300" t="s">
        <v>245</v>
      </c>
      <c r="C155" s="2540" t="str">
        <f t="array" ref="C155">INDEX('起きあがり'!$F$3:$G$115, MATCH($A$1,'起きあがり'!$A$3:$A$115,0), MATCH(C144,'起きあがり'!$F$2:$AD$2,0))</f>
        <v>1-22</v>
      </c>
      <c r="D155" s="2541">
        <f t="array" ref="D155">INDEX('起きあがり'!$F$3:$G$115, MATCH($A$1,'起きあがり'!$A$3:$A$115,0), MATCH(D144,'起きあがり'!$F$2:$AD$2,0))</f>
        <v>35</v>
      </c>
      <c r="E155" s="1162"/>
      <c r="F155" s="1162"/>
      <c r="G155" s="1162"/>
      <c r="H155" s="228"/>
      <c r="I155" s="228"/>
      <c r="J155" s="111"/>
      <c r="K155" s="146"/>
      <c r="L155" s="303" t="str">
        <f>'テンプレート'!L127</f>
        <v>後投げ</v>
      </c>
      <c r="M155" s="113" t="s">
        <v>232</v>
      </c>
      <c r="N155" s="113">
        <v>24.0</v>
      </c>
      <c r="O155" s="118"/>
      <c r="P155" s="118"/>
      <c r="Q155" s="118"/>
      <c r="R155" s="118"/>
      <c r="S155" s="118"/>
      <c r="T155" s="118"/>
      <c r="U155" s="118"/>
      <c r="V155" s="118"/>
    </row>
    <row r="156" outlineLevel="1">
      <c r="A156" s="146"/>
      <c r="B156" s="300" t="s">
        <v>246</v>
      </c>
      <c r="C156" s="518" t="str">
        <f t="array" ref="C156">INDEX('起きあがり'!$H$3:$I$115, MATCH($A$1,'起きあがり'!$A$3:$A$115,0), MATCH(C144,'起きあがり'!$H$2:$AD$2,0))</f>
        <v>1-22</v>
      </c>
      <c r="D156" s="518">
        <f t="array" ref="D156">INDEX('起きあがり'!$H$3:$I$115, MATCH($A$1,'起きあがり'!$A$3:$A$115,0), MATCH(D144,'起きあがり'!$H$2:$AD$2,0))</f>
        <v>35</v>
      </c>
      <c r="E156" s="1162"/>
      <c r="F156" s="1162"/>
      <c r="G156" s="1162"/>
      <c r="H156" s="228"/>
      <c r="I156" s="228"/>
      <c r="J156" s="117"/>
      <c r="K156" s="146"/>
      <c r="L156" s="303" t="str">
        <f>'テンプレート'!L128</f>
        <v>上投げ</v>
      </c>
      <c r="M156" s="113" t="s">
        <v>232</v>
      </c>
      <c r="N156" s="113">
        <v>23.0</v>
      </c>
      <c r="O156" s="118"/>
      <c r="P156" s="118"/>
      <c r="Q156" s="118"/>
      <c r="R156" s="118"/>
      <c r="S156" s="118"/>
      <c r="T156" s="118"/>
      <c r="U156" s="118"/>
      <c r="V156" s="118"/>
    </row>
    <row r="157" outlineLevel="1">
      <c r="A157" s="146"/>
      <c r="B157" s="300" t="s">
        <v>249</v>
      </c>
      <c r="C157" s="2542" t="str">
        <f t="array" ref="C157">INDEX('起きあがり'!$J$3:$M$115, MATCH($A$1,'起きあがり'!$A$3:$A$115,0), MATCH(C144,'起きあがり'!$J$2:$AD$2,0))</f>
        <v>1-25</v>
      </c>
      <c r="D157" s="2543">
        <f t="array" ref="D157">INDEX('起きあがり'!$J$3:$M$115, MATCH($A$1,'起きあがり'!$A$3:$A$115,0), MATCH(D144,'起きあがり'!$J$2:$AD$2,0))</f>
        <v>45</v>
      </c>
      <c r="E157" s="2540" t="str">
        <f t="array" ref="E157">INDEX('起きあがり'!$J$3:$M$115, MATCH($A$1,'起きあがり'!$A$3:$A$115,0), MATCH(E144,'起きあがり'!$J$2:$AD$2,0))</f>
        <v>20-21</v>
      </c>
      <c r="F157" s="2541">
        <f t="array" ref="F157">INDEX('起きあがり'!$J$3:$M$115, MATCH($A$1,'起きあがり'!$A$3:$A$115,0), MATCH(F144,'起きあがり'!$J$2:$AD$2,0))</f>
        <v>7</v>
      </c>
      <c r="G157" s="518">
        <f t="shared" ref="G157:G158" si="1">F157*1.2</f>
        <v>8.4</v>
      </c>
      <c r="H157" s="228"/>
      <c r="I157" s="228"/>
      <c r="J157" s="111"/>
      <c r="K157" s="156"/>
      <c r="L157" s="303" t="str">
        <f>'テンプレート'!L129</f>
        <v>下投げ</v>
      </c>
      <c r="M157" s="113" t="s">
        <v>93</v>
      </c>
      <c r="N157" s="113">
        <v>19.0</v>
      </c>
      <c r="O157" s="111"/>
      <c r="P157" s="111"/>
      <c r="Q157" s="111"/>
      <c r="R157" s="111"/>
      <c r="S157" s="111"/>
      <c r="T157" s="111"/>
      <c r="U157" s="111"/>
      <c r="V157" s="111"/>
    </row>
    <row r="158" outlineLevel="1">
      <c r="A158" s="156"/>
      <c r="B158" s="311" t="s">
        <v>250</v>
      </c>
      <c r="C158" s="107"/>
      <c r="D158" s="107"/>
      <c r="E158" s="2540" t="str">
        <f t="array" ref="E158">INDEX('起きあがり'!$N$3:$O$115, MATCH($A$1,'起きあがり'!$A$3:$A$115,0), MATCH(E144,'起きあがり'!$N$2:$AD$2,0))</f>
        <v>24-25</v>
      </c>
      <c r="F158" s="2541">
        <f t="array" ref="F158">INDEX('起きあがり'!$N$3:$O$115, MATCH($A$1,'起きあがり'!$A$3:$A$115,0), MATCH(F144,'起きあがり'!$N$2:$AD$2,0))</f>
        <v>7</v>
      </c>
      <c r="G158" s="518">
        <f t="shared" si="1"/>
        <v>8.4</v>
      </c>
      <c r="H158" s="228"/>
      <c r="I158" s="228"/>
      <c r="J158" s="111"/>
      <c r="K158" s="312" t="str">
        <f>'テンプレート'!K130</f>
        <v>踏み台ジャンプ</v>
      </c>
      <c r="L158" s="168"/>
      <c r="M158" s="298" t="str">
        <f>'テンプレート'!M130</f>
        <v>全体フレーム</v>
      </c>
      <c r="N158" s="114"/>
      <c r="O158" s="111"/>
      <c r="P158" s="111"/>
      <c r="Q158" s="111"/>
      <c r="R158" s="111"/>
      <c r="S158" s="111"/>
      <c r="T158" s="111"/>
      <c r="U158" s="111"/>
      <c r="V158" s="111"/>
    </row>
    <row r="159" outlineLevel="1">
      <c r="A159" s="299" t="s">
        <v>251</v>
      </c>
      <c r="B159" s="300" t="s">
        <v>248</v>
      </c>
      <c r="C159" s="1162"/>
      <c r="D159" s="2540" t="str">
        <f t="array" ref="D159">INDEX('起きあがり'!$C$3:$C148, MATCH($A$1,'起きあがり'!$A$3:$A$115,0), MATCH(D144,'起きあがり'!$C$2,0))</f>
        <v>25</v>
      </c>
      <c r="E159" s="1162"/>
      <c r="F159" s="1162"/>
      <c r="G159" s="1162"/>
      <c r="H159" s="228"/>
      <c r="I159" s="228"/>
      <c r="J159" s="117"/>
      <c r="K159" s="313" t="str">
        <f>'テンプレート'!K131</f>
        <v>踏み</v>
      </c>
      <c r="L159" s="314" t="str">
        <f>'テンプレート'!L131</f>
        <v>踏み</v>
      </c>
      <c r="M159" s="113">
        <v>8.0</v>
      </c>
      <c r="N159" s="2720"/>
      <c r="O159" s="111"/>
      <c r="P159" s="111"/>
      <c r="Q159" s="111"/>
      <c r="R159" s="111"/>
      <c r="S159" s="111"/>
      <c r="T159" s="111"/>
      <c r="U159" s="111"/>
      <c r="V159" s="111"/>
    </row>
    <row r="160" outlineLevel="1">
      <c r="A160" s="146"/>
      <c r="B160" s="300" t="s">
        <v>216</v>
      </c>
      <c r="C160" s="2540" t="str">
        <f t="array" ref="C160">INDEX('起きあがり'!$P$3:$Q$115, MATCH($A$1,'起きあがり'!$A$3:$A$115,0), MATCH(C144,'起きあがり'!$P$2:$AD$2,0))</f>
        <v>1-22</v>
      </c>
      <c r="D160" s="2541">
        <f t="array" ref="D160">INDEX('起きあがり'!$P$3:$Q$115, MATCH($A$1,'起きあがり'!$A$3:$A$115,0), MATCH(D144,'起きあがり'!$P$2:$AD$2,0))</f>
        <v>29</v>
      </c>
      <c r="E160" s="1162"/>
      <c r="F160" s="1162"/>
      <c r="G160" s="1162"/>
      <c r="H160" s="228"/>
      <c r="I160" s="228"/>
      <c r="J160" s="111"/>
      <c r="K160" s="305" t="str">
        <f>'テンプレート'!K132</f>
        <v>踏まれ</v>
      </c>
      <c r="L160" s="314" t="str">
        <f>'テンプレート'!L132</f>
        <v>地上踏まれ</v>
      </c>
      <c r="M160" s="113" t="s">
        <v>76</v>
      </c>
      <c r="N160" s="2720"/>
      <c r="O160" s="228"/>
      <c r="P160" s="228"/>
      <c r="Q160" s="228"/>
      <c r="R160" s="228"/>
      <c r="S160" s="228"/>
      <c r="T160" s="228"/>
      <c r="U160" s="228"/>
      <c r="V160" s="228"/>
    </row>
    <row r="161" outlineLevel="1">
      <c r="A161" s="146"/>
      <c r="B161" s="300" t="s">
        <v>245</v>
      </c>
      <c r="C161" s="2540" t="str">
        <f t="array" ref="C161">INDEX('起きあがり'!$R$3:$S$115, MATCH($A$1,'起きあがり'!$A$3:$A$115,0), MATCH(C144,'起きあがり'!$R$2:$AD$2,0))</f>
        <v>1-22</v>
      </c>
      <c r="D161" s="2541">
        <f t="array" ref="D161">INDEX('起きあがり'!$R$3:$S$115, MATCH($A$1,'起きあがり'!$A$3:$A$115,0), MATCH(D144,'起きあがり'!$R$2:$AD$2,0))</f>
        <v>35</v>
      </c>
      <c r="E161" s="1162"/>
      <c r="F161" s="1162"/>
      <c r="G161" s="1162"/>
      <c r="H161" s="228"/>
      <c r="I161" s="228"/>
      <c r="J161" s="117"/>
      <c r="K161" s="146"/>
      <c r="L161" s="314" t="str">
        <f>'テンプレート'!L133</f>
        <v>地上硬直</v>
      </c>
      <c r="M161" s="113">
        <v>28.0</v>
      </c>
      <c r="N161" s="102"/>
      <c r="O161" s="118"/>
      <c r="P161" s="118"/>
      <c r="Q161" s="118"/>
      <c r="R161" s="118"/>
      <c r="S161" s="118"/>
      <c r="T161" s="118"/>
      <c r="U161" s="118"/>
      <c r="V161" s="118"/>
    </row>
    <row r="162" outlineLevel="1">
      <c r="A162" s="146"/>
      <c r="B162" s="300" t="s">
        <v>246</v>
      </c>
      <c r="C162" s="2540" t="str">
        <f t="array" ref="C162">INDEX('起きあがり'!$T$3:$U$115, MATCH($A$1,'起きあがり'!$A$3:$A$115,0), MATCH(C144,'起きあがり'!$T$2:$AD$2,0))</f>
        <v>1-22</v>
      </c>
      <c r="D162" s="2541">
        <f t="array" ref="D162">INDEX('起きあがり'!$T$3:$U$115, MATCH($A$1,'起きあがり'!$A$3:$A$115,0), MATCH(D144,'起きあがり'!$T$2:$AD$2,0))</f>
        <v>35</v>
      </c>
      <c r="E162" s="1162"/>
      <c r="F162" s="1162"/>
      <c r="G162" s="1162"/>
      <c r="H162" s="228"/>
      <c r="I162" s="228"/>
      <c r="J162" s="111"/>
      <c r="K162" s="146"/>
      <c r="L162" s="314" t="str">
        <f>'テンプレート'!L134</f>
        <v>空中踏まれ</v>
      </c>
      <c r="M162" s="113">
        <v>8.0</v>
      </c>
      <c r="N162" s="102"/>
      <c r="O162" s="118"/>
      <c r="P162" s="118"/>
      <c r="Q162" s="118"/>
      <c r="R162" s="118"/>
      <c r="S162" s="118"/>
      <c r="T162" s="118"/>
      <c r="U162" s="118"/>
      <c r="V162" s="118"/>
    </row>
    <row r="163" outlineLevel="1">
      <c r="A163" s="146"/>
      <c r="B163" s="300" t="s">
        <v>249</v>
      </c>
      <c r="C163" s="2542" t="str">
        <f t="array" ref="C163">INDEX('起きあがり'!$V$3:$Y$115, MATCH($A$1,'起きあがり'!$A$3:$A$115,0), MATCH(C144,'起きあがり'!$V$2:$AD$2,0))</f>
        <v>1-25</v>
      </c>
      <c r="D163" s="2543">
        <f t="array" ref="D163">INDEX('起きあがり'!$V$3:$Y$115, MATCH($A$1,'起きあがり'!$A$3:$A$115,0), MATCH(D144,'起きあがり'!$V$2:$AD$2,0))</f>
        <v>45</v>
      </c>
      <c r="E163" s="2540" t="str">
        <f t="array" ref="E163">INDEX('起きあがり'!$V$3:$Y$115, MATCH($A$1,'起きあがり'!$A$3:$A$115,0), MATCH(E144,'起きあがり'!$V$2:$AD$2,0))</f>
        <v>20-21</v>
      </c>
      <c r="F163" s="2541">
        <f t="array" ref="F163">INDEX('起きあがり'!$V$3:$Y$115, MATCH($A$1,'起きあがり'!$A$3:$A$115,0), MATCH(F144,'起きあがり'!$V$2:$AD$2,0))</f>
        <v>7</v>
      </c>
      <c r="G163" s="518">
        <f t="shared" ref="G163:G164" si="2">F163*1.2</f>
        <v>8.4</v>
      </c>
      <c r="H163" s="228"/>
      <c r="I163" s="228"/>
      <c r="J163" s="117"/>
      <c r="K163" s="146"/>
      <c r="L163" s="314" t="str">
        <f>'テンプレート'!L135</f>
        <v>空中落下</v>
      </c>
      <c r="M163" s="113">
        <v>34.0</v>
      </c>
      <c r="N163" s="102"/>
      <c r="O163" s="118"/>
      <c r="P163" s="118"/>
      <c r="Q163" s="118"/>
      <c r="R163" s="118"/>
      <c r="S163" s="118"/>
      <c r="T163" s="118"/>
      <c r="U163" s="118"/>
      <c r="V163" s="118"/>
    </row>
    <row r="164" outlineLevel="1">
      <c r="A164" s="156"/>
      <c r="B164" s="311" t="s">
        <v>250</v>
      </c>
      <c r="C164" s="107"/>
      <c r="D164" s="107"/>
      <c r="E164" s="2540" t="str">
        <f t="array" ref="E164">INDEX('起きあがり'!$Z$3:$AA$115, MATCH($A$1,'起きあがり'!$A$3:$A$115,0), MATCH(E144,'起きあがり'!$Z$2:$AD$2,0))</f>
        <v>24-25</v>
      </c>
      <c r="F164" s="2541">
        <f t="array" ref="F164">INDEX('起きあがり'!$Z$3:$AA$115, MATCH($A$1,'起きあがり'!$A$3:$A$115,0), MATCH(F144,'起きあがり'!$Z$2:$AD$2,0))</f>
        <v>7</v>
      </c>
      <c r="G164" s="518">
        <f t="shared" si="2"/>
        <v>8.4</v>
      </c>
      <c r="H164" s="228"/>
      <c r="I164" s="228"/>
      <c r="J164" s="117"/>
      <c r="K164" s="304" t="str">
        <f>'テンプレート'!K136</f>
        <v>倒れダメージ</v>
      </c>
      <c r="L164" s="110"/>
      <c r="M164" s="298" t="str">
        <f>'テンプレート'!M136</f>
        <v>全体フレーム</v>
      </c>
      <c r="N164" s="102"/>
      <c r="O164" s="118"/>
      <c r="P164" s="118"/>
      <c r="Q164" s="118"/>
      <c r="R164" s="118"/>
      <c r="S164" s="118"/>
      <c r="T164" s="118"/>
      <c r="U164" s="118"/>
      <c r="V164" s="118"/>
    </row>
    <row r="165" outlineLevel="1">
      <c r="A165" s="299" t="s">
        <v>252</v>
      </c>
      <c r="B165" s="300" t="s">
        <v>253</v>
      </c>
      <c r="C165" s="2540" t="str">
        <f t="array" ref="C165">INDEX('転倒'!$C$3:$D148, MATCH($A$1,'転倒'!$A$3:$A$115,0), MATCH(C144,'転倒'!$C$2:$AC$2,0))</f>
        <v>1-5</v>
      </c>
      <c r="D165" s="2541">
        <f t="array" ref="D165">INDEX('転倒'!$C$3:$D148, MATCH($A$1,'転倒'!$A$3:$A$115,0), MATCH(D144,'転倒'!$C$2:$AC$2,0))</f>
        <v>29</v>
      </c>
      <c r="E165" s="1162"/>
      <c r="F165" s="1162"/>
      <c r="G165" s="1162"/>
      <c r="H165" s="228"/>
      <c r="I165" s="228"/>
      <c r="J165" s="111"/>
      <c r="K165" s="313" t="str">
        <f>'テンプレート'!K137</f>
        <v>あお向け倒れ</v>
      </c>
      <c r="L165" s="306" t="str">
        <f>'テンプレート'!L137</f>
        <v>モーション大</v>
      </c>
      <c r="M165" s="113">
        <v>39.0</v>
      </c>
      <c r="N165" s="2720"/>
      <c r="O165" s="118"/>
      <c r="P165" s="118"/>
      <c r="Q165" s="118"/>
      <c r="R165" s="118"/>
      <c r="S165" s="118"/>
      <c r="T165" s="118"/>
      <c r="U165" s="118"/>
      <c r="V165" s="118"/>
    </row>
    <row r="166" outlineLevel="1">
      <c r="A166" s="146"/>
      <c r="B166" s="300" t="s">
        <v>254</v>
      </c>
      <c r="C166" s="2540" t="str">
        <f t="array" ref="C166">INDEX('転倒'!$E$3:$F148, MATCH($A$1,'転倒'!$A$3:$A$115,0), MATCH(C144,'転倒'!$E$2:$AC$2,0))</f>
        <v>1-5</v>
      </c>
      <c r="D166" s="2541">
        <f t="array" ref="D166">INDEX('転倒'!$E$3:$F148, MATCH($A$1,'転倒'!$A$3:$A$115,0), MATCH(D144,'転倒'!$E$2:$AC$2,0))</f>
        <v>39</v>
      </c>
      <c r="E166" s="1162"/>
      <c r="F166" s="1162"/>
      <c r="G166" s="1162"/>
      <c r="H166" s="228"/>
      <c r="I166" s="228"/>
      <c r="J166" s="117"/>
      <c r="K166" s="313" t="str">
        <f>'テンプレート'!K138</f>
        <v>うつ伏せ倒れ</v>
      </c>
      <c r="L166" s="306" t="str">
        <f>'テンプレート'!L138</f>
        <v>モーション大</v>
      </c>
      <c r="M166" s="113" t="s">
        <v>118</v>
      </c>
      <c r="N166" s="2720"/>
      <c r="O166" s="118"/>
      <c r="P166" s="118"/>
      <c r="Q166" s="118"/>
      <c r="R166" s="118"/>
      <c r="S166" s="118"/>
      <c r="T166" s="118"/>
      <c r="U166" s="118"/>
      <c r="V166" s="118"/>
    </row>
    <row r="167" outlineLevel="1">
      <c r="A167" s="146"/>
      <c r="B167" s="300" t="s">
        <v>216</v>
      </c>
      <c r="C167" s="2540" t="str">
        <f t="array" ref="C167">INDEX('転倒'!$G$3:$H$115, MATCH($A$1,'転倒'!$A$3:$A$115,0), MATCH(C144,'転倒'!$G$2:$AC$2,0))</f>
        <v>1-16</v>
      </c>
      <c r="D167" s="2541">
        <f t="array" ref="D167">INDEX('転倒'!$G$3:$H$115, MATCH($A$1,'転倒'!$A$3:$A$115,0), MATCH(D144,'転倒'!$G$2:$AC$2,0))</f>
        <v>21</v>
      </c>
      <c r="E167" s="1162"/>
      <c r="F167" s="1162"/>
      <c r="G167" s="1162"/>
      <c r="H167" s="228"/>
      <c r="I167" s="228"/>
      <c r="J167" s="111"/>
      <c r="K167" s="304" t="str">
        <f>'テンプレート'!K139</f>
        <v/>
      </c>
      <c r="L167" s="110"/>
      <c r="M167" s="298" t="str">
        <f>'テンプレート'!M139</f>
        <v/>
      </c>
      <c r="N167" s="102"/>
      <c r="O167" s="118"/>
      <c r="P167" s="118"/>
      <c r="Q167" s="118"/>
      <c r="R167" s="118"/>
      <c r="S167" s="118"/>
      <c r="T167" s="118"/>
      <c r="U167" s="118"/>
      <c r="V167" s="118"/>
    </row>
    <row r="168" outlineLevel="1">
      <c r="A168" s="146"/>
      <c r="B168" s="300" t="s">
        <v>245</v>
      </c>
      <c r="C168" s="2540" t="str">
        <f t="array" ref="C168">INDEX('転倒'!$I$3:$J$115, MATCH($A$1,'転倒'!$A$3:$A$115,0), MATCH(C144,'転倒'!$I$2:$AC$2,0))</f>
        <v>1-9</v>
      </c>
      <c r="D168" s="2541">
        <f t="array" ref="D168">INDEX('転倒'!$I$3:$J$115, MATCH($A$1,'転倒'!$A$3:$A$115,0), MATCH(D144,'転倒'!$I$2:$AC$2,0))</f>
        <v>28</v>
      </c>
      <c r="E168" s="1162"/>
      <c r="F168" s="1162"/>
      <c r="G168" s="1162"/>
      <c r="H168" s="228"/>
      <c r="I168" s="228"/>
      <c r="J168" s="228"/>
      <c r="K168" s="316"/>
      <c r="L168" s="317" t="str">
        <f>'テンプレート'!L140</f>
        <v/>
      </c>
      <c r="M168" s="113" t="s">
        <v>76</v>
      </c>
      <c r="N168" s="102"/>
      <c r="O168" s="118"/>
      <c r="P168" s="118"/>
      <c r="Q168" s="118"/>
      <c r="R168" s="118"/>
      <c r="S168" s="118"/>
      <c r="T168" s="118"/>
      <c r="U168" s="118"/>
      <c r="V168" s="118"/>
    </row>
    <row r="169" outlineLevel="1">
      <c r="A169" s="146"/>
      <c r="B169" s="300" t="s">
        <v>246</v>
      </c>
      <c r="C169" s="2540" t="str">
        <f t="array" ref="C169">INDEX('転倒'!$K$3:$L$115, MATCH($A$1,'転倒'!$A$3:$A$115,0), MATCH(C144,'転倒'!$K$2:$AC$2,0))</f>
        <v>1-9</v>
      </c>
      <c r="D169" s="2541">
        <f t="array" ref="D169">INDEX('転倒'!$K$3:$L$115, MATCH($A$1,'転倒'!$A$3:$A$115,0), MATCH(D144,'転倒'!$K$2:$AC$2,0))</f>
        <v>28</v>
      </c>
      <c r="E169" s="1162"/>
      <c r="F169" s="1162"/>
      <c r="G169" s="1162"/>
      <c r="H169" s="228"/>
      <c r="I169" s="228"/>
      <c r="J169" s="228"/>
      <c r="K169" s="102"/>
      <c r="L169" s="118"/>
      <c r="M169" s="118"/>
      <c r="N169" s="102"/>
      <c r="O169" s="118"/>
      <c r="P169" s="118"/>
      <c r="Q169" s="118"/>
      <c r="R169" s="118"/>
      <c r="S169" s="118"/>
      <c r="T169" s="118"/>
      <c r="U169" s="118"/>
      <c r="V169" s="118"/>
    </row>
    <row r="170" outlineLevel="1">
      <c r="A170" s="146"/>
      <c r="B170" s="300" t="s">
        <v>249</v>
      </c>
      <c r="C170" s="2542" t="str">
        <f t="array" ref="C170">INDEX('転倒'!$M$3:$P$115, MATCH($A$1,'転倒'!$A$3:$A$115,0), MATCH(C144,'転倒'!$M$2:$AC$2,0))</f>
        <v>1-7</v>
      </c>
      <c r="D170" s="2543">
        <f t="array" ref="D170">INDEX('転倒'!$M$3:$P$115, MATCH($A$1,'転倒'!$A$3:$A$115,0), MATCH(D144,'転倒'!$M$2:$AC$2,0))</f>
        <v>49</v>
      </c>
      <c r="E170" s="2540" t="str">
        <f t="array" ref="E170">INDEX('転倒'!$M$3:$P$115, MATCH($A$1,'転倒'!$A$3:$A$115,0), MATCH(E144,'転倒'!$M$2:$AC$2,0))</f>
        <v>20-21</v>
      </c>
      <c r="F170" s="2541">
        <f t="array" ref="F170">INDEX('転倒'!$M$3:$P$115, MATCH($A$1,'転倒'!$A$3:$A$115,0), MATCH(F144,'転倒'!$M$2:$AC$2,0))</f>
        <v>5</v>
      </c>
      <c r="G170" s="518">
        <f t="shared" ref="G170:G171" si="3">F170*1.2</f>
        <v>6</v>
      </c>
      <c r="H170" s="228"/>
      <c r="I170" s="228"/>
      <c r="J170" s="228"/>
      <c r="K170" s="118"/>
      <c r="L170" s="118"/>
      <c r="M170" s="118"/>
      <c r="N170" s="98"/>
      <c r="O170" s="98"/>
      <c r="P170" s="98"/>
      <c r="Q170" s="98"/>
      <c r="R170" s="118"/>
      <c r="S170" s="118"/>
      <c r="T170" s="118"/>
      <c r="U170" s="118"/>
      <c r="V170" s="118"/>
    </row>
    <row r="171" outlineLevel="1">
      <c r="A171" s="156"/>
      <c r="B171" s="311" t="s">
        <v>250</v>
      </c>
      <c r="C171" s="107"/>
      <c r="D171" s="107"/>
      <c r="E171" s="2540" t="str">
        <f t="array" ref="E171">INDEX('転倒'!$Q$3:$R$115, MATCH($A$1,'転倒'!$A$3:$A$115,0), MATCH(E144,'転倒'!$Q$2:$AC$2,0))</f>
        <v>24-25</v>
      </c>
      <c r="F171" s="2541">
        <f t="array" ref="F171">INDEX('転倒'!$Q$3:$R$115, MATCH($A$1,'転倒'!$A$3:$A$115,0), MATCH(F144,'転倒'!$Q$2:$AC$2,0))</f>
        <v>5</v>
      </c>
      <c r="G171" s="518">
        <f t="shared" si="3"/>
        <v>6</v>
      </c>
      <c r="H171" s="228"/>
      <c r="I171" s="228"/>
      <c r="J171" s="228"/>
      <c r="K171" s="118"/>
      <c r="L171" s="118"/>
      <c r="M171" s="118"/>
      <c r="N171" s="98"/>
      <c r="O171" s="98"/>
      <c r="P171" s="98"/>
      <c r="Q171" s="98"/>
      <c r="R171" s="118"/>
      <c r="S171" s="118"/>
      <c r="T171" s="118"/>
      <c r="U171" s="118"/>
      <c r="V171" s="118"/>
    </row>
    <row r="172" outlineLevel="1">
      <c r="A172" s="319"/>
      <c r="B172" s="320"/>
      <c r="C172" s="321"/>
      <c r="D172" s="321"/>
      <c r="E172" s="2544"/>
      <c r="F172" s="2545"/>
      <c r="G172" s="2546"/>
      <c r="H172" s="228"/>
      <c r="I172" s="228"/>
      <c r="J172" s="228"/>
      <c r="K172" s="118"/>
      <c r="L172" s="118"/>
      <c r="M172" s="118"/>
      <c r="N172" s="98"/>
      <c r="O172" s="98"/>
      <c r="P172" s="98"/>
      <c r="Q172" s="98"/>
      <c r="R172" s="118"/>
      <c r="S172" s="118"/>
      <c r="T172" s="118"/>
      <c r="U172" s="118"/>
      <c r="V172" s="118"/>
    </row>
    <row r="173" outlineLevel="1">
      <c r="A173" s="323" t="s">
        <v>255</v>
      </c>
      <c r="B173" s="109"/>
      <c r="C173" s="321"/>
      <c r="D173" s="321"/>
      <c r="E173" s="2544"/>
      <c r="F173" s="2545"/>
      <c r="G173" s="2546"/>
      <c r="H173" s="228"/>
      <c r="I173" s="228"/>
      <c r="J173" s="228"/>
      <c r="K173" s="118"/>
      <c r="L173" s="118"/>
      <c r="M173" s="118"/>
      <c r="N173" s="98"/>
      <c r="O173" s="98"/>
      <c r="P173" s="98"/>
      <c r="Q173" s="98"/>
      <c r="R173" s="118"/>
      <c r="S173" s="118"/>
      <c r="T173" s="118"/>
      <c r="U173" s="118"/>
      <c r="V173" s="118"/>
    </row>
    <row r="174" outlineLevel="1">
      <c r="A174" s="324" t="s">
        <v>256</v>
      </c>
      <c r="B174" s="109"/>
      <c r="C174" s="325" t="s">
        <v>257</v>
      </c>
      <c r="D174" s="325" t="s">
        <v>49</v>
      </c>
      <c r="E174" s="2544"/>
      <c r="F174" s="2545"/>
      <c r="G174" s="2546"/>
      <c r="H174" s="228"/>
      <c r="I174" s="228"/>
      <c r="J174" s="228"/>
      <c r="K174" s="118"/>
      <c r="L174" s="118"/>
      <c r="M174" s="118"/>
      <c r="N174" s="98"/>
      <c r="O174" s="98"/>
      <c r="P174" s="98"/>
      <c r="Q174" s="98"/>
      <c r="R174" s="118"/>
      <c r="S174" s="118"/>
      <c r="T174" s="118"/>
      <c r="U174" s="118"/>
      <c r="V174" s="118"/>
    </row>
    <row r="175" outlineLevel="1">
      <c r="A175" s="326" t="s">
        <v>258</v>
      </c>
      <c r="B175" s="327" t="s">
        <v>216</v>
      </c>
      <c r="C175" s="328" t="str">
        <f t="array" ref="C175">INDEX('アイテム'!$C$3:$D$114, MATCH($A$1,'アイテム'!$A$3:$A$114,0), MATCH(C174,'アイテム'!$C$2:$AQ$2,0))</f>
        <v>3</v>
      </c>
      <c r="D175" s="328">
        <f t="array" ref="D175">INDEX('アイテム'!$C$3:$D$114, MATCH($A$1,'アイテム'!$A$3:$A$114,0), MATCH(D174,'アイテム'!$C$2:$AQ$2,0))</f>
        <v>7</v>
      </c>
      <c r="E175" s="2544"/>
      <c r="F175" s="2545"/>
      <c r="G175" s="2546"/>
      <c r="H175" s="228"/>
      <c r="I175" s="228"/>
      <c r="J175" s="228"/>
      <c r="K175" s="118"/>
      <c r="L175" s="118"/>
      <c r="M175" s="118"/>
      <c r="N175" s="98"/>
      <c r="O175" s="98"/>
      <c r="P175" s="98"/>
      <c r="Q175" s="98"/>
      <c r="R175" s="118"/>
      <c r="S175" s="118"/>
      <c r="T175" s="118"/>
      <c r="U175" s="118"/>
      <c r="V175" s="118"/>
    </row>
    <row r="176" outlineLevel="1">
      <c r="A176" s="156"/>
      <c r="B176" s="327" t="s">
        <v>219</v>
      </c>
      <c r="C176" s="328" t="str">
        <f t="array" ref="C176">INDEX('アイテム'!$E$3:$F$114, MATCH($A$1,'アイテム'!$A$3:$A$114,0), MATCH(C174,'アイテム'!$C$2:$AQ$2,0))</f>
        <v>3</v>
      </c>
      <c r="D176" s="328">
        <f t="array" ref="D176">INDEX('アイテム'!$E$3:$F$114, MATCH($A$1,'アイテム'!$A$3:$A$114,0), MATCH(D174,'アイテム'!$C$2:$AQ$2,0))</f>
        <v>19</v>
      </c>
      <c r="E176" s="2544"/>
      <c r="F176" s="2545"/>
      <c r="G176" s="2546"/>
      <c r="H176" s="228"/>
      <c r="I176" s="228"/>
      <c r="J176" s="228"/>
      <c r="K176" s="118"/>
      <c r="L176" s="118"/>
      <c r="M176" s="118"/>
      <c r="N176" s="98"/>
      <c r="O176" s="98"/>
      <c r="P176" s="98"/>
      <c r="Q176" s="98"/>
      <c r="R176" s="118"/>
      <c r="S176" s="118"/>
      <c r="T176" s="118"/>
      <c r="U176" s="118"/>
      <c r="V176" s="118"/>
    </row>
    <row r="177" outlineLevel="1">
      <c r="A177" s="329" t="s">
        <v>259</v>
      </c>
      <c r="B177" s="327" t="s">
        <v>216</v>
      </c>
      <c r="C177" s="328">
        <f t="array" ref="C177">INDEX('アイテム'!$AA$3:$AB$114, MATCH($A$1,'アイテム'!$A$3:$A$114,0), MATCH(C174,'アイテム'!$C$2:$AQ$2,0))</f>
        <v>3</v>
      </c>
      <c r="D177" s="328" t="str">
        <f t="array" ref="D177">INDEX('アイテム'!$AA$3:$AB$114, MATCH($A$1,'アイテム'!$A$3:$A$114,0), MATCH(D174,'アイテム'!$C$2:$AQ$2,0))</f>
        <v>12</v>
      </c>
      <c r="E177" s="2544"/>
      <c r="F177" s="2545"/>
      <c r="G177" s="2546"/>
      <c r="H177" s="228"/>
      <c r="I177" s="228"/>
      <c r="J177" s="228"/>
      <c r="K177" s="118"/>
      <c r="L177" s="118"/>
      <c r="M177" s="118"/>
      <c r="N177" s="98"/>
      <c r="O177" s="98"/>
      <c r="P177" s="98"/>
      <c r="Q177" s="98"/>
      <c r="R177" s="118"/>
      <c r="S177" s="118"/>
      <c r="T177" s="118"/>
      <c r="U177" s="118"/>
      <c r="V177" s="118"/>
    </row>
    <row r="178" outlineLevel="1">
      <c r="A178" s="324" t="s">
        <v>260</v>
      </c>
      <c r="B178" s="109"/>
      <c r="C178" s="325" t="s">
        <v>261</v>
      </c>
      <c r="D178" s="325" t="s">
        <v>49</v>
      </c>
      <c r="E178" s="2544"/>
      <c r="F178" s="2545"/>
      <c r="G178" s="2546"/>
      <c r="H178" s="228"/>
      <c r="I178" s="228"/>
      <c r="J178" s="228"/>
      <c r="K178" s="118"/>
      <c r="L178" s="118"/>
      <c r="M178" s="118"/>
      <c r="N178" s="98"/>
      <c r="O178" s="98"/>
      <c r="P178" s="98"/>
      <c r="Q178" s="98"/>
      <c r="R178" s="118"/>
      <c r="S178" s="118"/>
      <c r="T178" s="118"/>
      <c r="U178" s="118"/>
      <c r="V178" s="118"/>
    </row>
    <row r="179" outlineLevel="1">
      <c r="A179" s="326" t="s">
        <v>262</v>
      </c>
      <c r="B179" s="327" t="s">
        <v>226</v>
      </c>
      <c r="C179" s="328" t="str">
        <f t="array" ref="C179">INDEX('アイテム'!$G$3:$H$114, MATCH($A$1,'アイテム'!$A$3:$A$114,0), MATCH(C174,'アイテム'!$C$2:$AQ$2,0))</f>
        <v>8</v>
      </c>
      <c r="D179" s="328">
        <f t="array" ref="D179">INDEX('アイテム'!$G$3:$H$114, MATCH($A$1,'アイテム'!$A$3:$A$114,0), MATCH(D174,'アイテム'!$C$2:$AQ$2,0))</f>
        <v>24</v>
      </c>
      <c r="E179" s="2544"/>
      <c r="F179" s="2545"/>
      <c r="G179" s="2546"/>
      <c r="H179" s="228"/>
      <c r="I179" s="228"/>
      <c r="J179" s="228"/>
      <c r="K179" s="118"/>
      <c r="L179" s="118"/>
      <c r="M179" s="118"/>
      <c r="N179" s="98"/>
      <c r="O179" s="98"/>
      <c r="P179" s="98"/>
      <c r="Q179" s="98"/>
      <c r="R179" s="118"/>
      <c r="S179" s="118"/>
      <c r="T179" s="118"/>
      <c r="U179" s="118"/>
      <c r="V179" s="118"/>
    </row>
    <row r="180" outlineLevel="1">
      <c r="A180" s="146"/>
      <c r="B180" s="327" t="s">
        <v>229</v>
      </c>
      <c r="C180" s="328" t="str">
        <f t="array" ref="C180">INDEX('アイテム'!$I$3:$J$114, MATCH($A$1,'アイテム'!$A$3:$A$114,0), MATCH(C174,'アイテム'!$C$2:$AQ$2,0))</f>
        <v>11</v>
      </c>
      <c r="D180" s="328">
        <f t="array" ref="D180">INDEX('アイテム'!$I$3:$J$114, MATCH($A$1,'アイテム'!$A$3:$A$114,0), MATCH(D174,'アイテム'!$C$2:$AQ$2,0))</f>
        <v>24</v>
      </c>
      <c r="E180" s="2544"/>
      <c r="F180" s="2545"/>
      <c r="G180" s="2546"/>
      <c r="H180" s="228"/>
      <c r="I180" s="228"/>
      <c r="J180" s="228"/>
      <c r="K180" s="118"/>
      <c r="L180" s="118"/>
      <c r="M180" s="118"/>
      <c r="N180" s="98"/>
      <c r="O180" s="98"/>
      <c r="P180" s="98"/>
      <c r="Q180" s="98"/>
      <c r="R180" s="118"/>
      <c r="S180" s="118"/>
      <c r="T180" s="118"/>
      <c r="U180" s="118"/>
      <c r="V180" s="118"/>
    </row>
    <row r="181" outlineLevel="1">
      <c r="A181" s="146"/>
      <c r="B181" s="327" t="s">
        <v>233</v>
      </c>
      <c r="C181" s="328" t="str">
        <f t="array" ref="C181">INDEX('アイテム'!$K$3:$L$114, MATCH($A$1,'アイテム'!$A$3:$A$114,0), MATCH(C174,'アイテム'!$C$2:$AQ$2,0))</f>
        <v>12</v>
      </c>
      <c r="D181" s="328">
        <f t="array" ref="D181">INDEX('アイテム'!$K$3:$L$114, MATCH($A$1,'アイテム'!$A$3:$A$114,0), MATCH(D174,'アイテム'!$C$2:$AQ$2,0))</f>
        <v>23</v>
      </c>
      <c r="E181" s="2544"/>
      <c r="F181" s="2545"/>
      <c r="G181" s="2546"/>
      <c r="H181" s="228"/>
      <c r="I181" s="228"/>
      <c r="J181" s="228"/>
      <c r="K181" s="118"/>
      <c r="L181" s="118"/>
      <c r="M181" s="118"/>
      <c r="N181" s="98"/>
      <c r="O181" s="98"/>
      <c r="P181" s="98"/>
      <c r="Q181" s="98"/>
      <c r="R181" s="118"/>
      <c r="S181" s="118"/>
      <c r="T181" s="118"/>
      <c r="U181" s="118"/>
      <c r="V181" s="118"/>
    </row>
    <row r="182" outlineLevel="1">
      <c r="A182" s="146"/>
      <c r="B182" s="327" t="s">
        <v>234</v>
      </c>
      <c r="C182" s="328" t="str">
        <f t="array" ref="C182">INDEX('アイテム'!$M$3:$N$114, MATCH($A$1,'アイテム'!$A$3:$A$114,0), MATCH(C174,'アイテム'!$C$2:$AQ$2,0))</f>
        <v>7</v>
      </c>
      <c r="D182" s="328">
        <f t="array" ref="D182">INDEX('アイテム'!$M$3:$N$114, MATCH($A$1,'アイテム'!$A$3:$A$114,0), MATCH(D174,'アイテム'!$C$2:$AQ$2,0))</f>
        <v>19</v>
      </c>
      <c r="E182" s="2544"/>
      <c r="F182" s="2545"/>
      <c r="G182" s="2546"/>
      <c r="H182" s="228"/>
      <c r="I182" s="228"/>
      <c r="J182" s="228"/>
      <c r="K182" s="118"/>
      <c r="L182" s="118"/>
      <c r="M182" s="118"/>
      <c r="N182" s="98"/>
      <c r="O182" s="98"/>
      <c r="P182" s="98"/>
      <c r="Q182" s="98"/>
      <c r="R182" s="118"/>
      <c r="S182" s="118"/>
      <c r="T182" s="118"/>
      <c r="U182" s="118"/>
      <c r="V182" s="118"/>
    </row>
    <row r="183" outlineLevel="1">
      <c r="A183" s="146"/>
      <c r="B183" s="327" t="s">
        <v>219</v>
      </c>
      <c r="C183" s="328" t="str">
        <f t="array" ref="C183">INDEX('アイテム'!$O$3:$P$114, MATCH($A$1,'アイテム'!$A$3:$A$114,0), MATCH(C174,'アイテム'!$C$2:$AQ$2,0))</f>
        <v>5</v>
      </c>
      <c r="D183" s="328">
        <f t="array" ref="D183">INDEX('アイテム'!$O$3:$P$114, MATCH($A$1,'アイテム'!$A$3:$A$114,0), MATCH(D174,'アイテム'!$C$2:$AQ$2,0))</f>
        <v>29</v>
      </c>
      <c r="E183" s="2544"/>
      <c r="F183" s="2545"/>
      <c r="G183" s="2546"/>
      <c r="H183" s="228"/>
      <c r="I183" s="228"/>
      <c r="J183" s="228"/>
      <c r="K183" s="118"/>
      <c r="L183" s="118"/>
      <c r="M183" s="118"/>
      <c r="N183" s="98"/>
      <c r="O183" s="98"/>
      <c r="P183" s="98"/>
      <c r="Q183" s="98"/>
      <c r="R183" s="118"/>
      <c r="S183" s="118"/>
      <c r="T183" s="118"/>
      <c r="U183" s="118"/>
      <c r="V183" s="118"/>
    </row>
    <row r="184" outlineLevel="1">
      <c r="A184" s="156"/>
      <c r="B184" s="327" t="s">
        <v>263</v>
      </c>
      <c r="C184" s="328" t="str">
        <f t="array" ref="C184">INDEX('アイテム'!$Q$3:$R$114, MATCH($A$1,'アイテム'!$A$3:$A$114,0), MATCH(C174,'アイテム'!$C$2:$AQ$2,0))</f>
        <v>6</v>
      </c>
      <c r="D184" s="328">
        <f t="array" ref="D184">INDEX('アイテム'!$Q$3:$R$114, MATCH($A$1,'アイテム'!$A$3:$A$114,0), MATCH(D174,'アイテム'!$C$2:$AQ$2,0))</f>
        <v>23</v>
      </c>
      <c r="E184" s="2544"/>
      <c r="F184" s="2545"/>
      <c r="G184" s="2546"/>
      <c r="H184" s="228"/>
      <c r="I184" s="228"/>
      <c r="J184" s="228"/>
      <c r="K184" s="118"/>
      <c r="L184" s="118"/>
      <c r="M184" s="118"/>
      <c r="N184" s="98"/>
      <c r="O184" s="98"/>
      <c r="P184" s="98"/>
      <c r="Q184" s="98"/>
      <c r="R184" s="118"/>
      <c r="S184" s="118"/>
      <c r="T184" s="118"/>
      <c r="U184" s="118"/>
      <c r="V184" s="118"/>
    </row>
    <row r="185" outlineLevel="1">
      <c r="A185" s="326" t="s">
        <v>264</v>
      </c>
      <c r="B185" s="327" t="s">
        <v>226</v>
      </c>
      <c r="C185" s="328" t="str">
        <f t="array" ref="C185">INDEX('アイテム'!$S$3:$T$114, MATCH($A$1,'アイテム'!$A$3:$A$114,0), MATCH(C174,'アイテム'!$C$2:$AQ$2,0))</f>
        <v>8</v>
      </c>
      <c r="D185" s="328">
        <f t="array" ref="D185">INDEX('アイテム'!$S$3:$T$114, MATCH($A$1,'アイテム'!$A$3:$A$114,0), MATCH(D174,'アイテム'!$C$2:$AQ$2,0))</f>
        <v>24</v>
      </c>
      <c r="E185" s="2544"/>
      <c r="F185" s="2545"/>
      <c r="G185" s="2546"/>
      <c r="H185" s="228"/>
      <c r="I185" s="228"/>
      <c r="J185" s="228"/>
      <c r="K185" s="118"/>
      <c r="L185" s="118"/>
      <c r="M185" s="118"/>
      <c r="N185" s="98"/>
      <c r="O185" s="98"/>
      <c r="P185" s="98"/>
      <c r="Q185" s="98"/>
      <c r="R185" s="118"/>
      <c r="S185" s="118"/>
      <c r="T185" s="118"/>
      <c r="U185" s="118"/>
      <c r="V185" s="118"/>
    </row>
    <row r="186" outlineLevel="1">
      <c r="A186" s="146"/>
      <c r="B186" s="327" t="s">
        <v>229</v>
      </c>
      <c r="C186" s="328" t="str">
        <f t="array" ref="C186">INDEX('アイテム'!$U$3:$V$114, MATCH($A$1,'アイテム'!$A$3:$A$114,0), MATCH(C174,'アイテム'!$C$2:$AQ$2,0))</f>
        <v>11</v>
      </c>
      <c r="D186" s="328">
        <f t="array" ref="D186">INDEX('アイテム'!$U$3:$V$114, MATCH($A$1,'アイテム'!$A$3:$A$114,0), MATCH(D174,'アイテム'!$C$2:$AQ$2,0))</f>
        <v>24</v>
      </c>
      <c r="E186" s="2544"/>
      <c r="F186" s="2545"/>
      <c r="G186" s="2546"/>
      <c r="H186" s="228"/>
      <c r="I186" s="228"/>
      <c r="J186" s="228"/>
      <c r="K186" s="118"/>
      <c r="L186" s="118"/>
      <c r="M186" s="118"/>
      <c r="N186" s="98"/>
      <c r="O186" s="98"/>
      <c r="P186" s="98"/>
      <c r="Q186" s="98"/>
      <c r="R186" s="118"/>
      <c r="S186" s="118"/>
      <c r="T186" s="118"/>
      <c r="U186" s="118"/>
      <c r="V186" s="118"/>
    </row>
    <row r="187" outlineLevel="1">
      <c r="A187" s="146"/>
      <c r="B187" s="327" t="s">
        <v>233</v>
      </c>
      <c r="C187" s="328" t="str">
        <f t="array" ref="C187">INDEX('アイテム'!$W$3:$X$114, MATCH($A$1,'アイテム'!$A$3:$A$114,0), MATCH(C174,'アイテム'!$C$2:$AQ$2,0))</f>
        <v>12</v>
      </c>
      <c r="D187" s="328">
        <f t="array" ref="D187">INDEX('アイテム'!$W$3:$X$114, MATCH($A$1,'アイテム'!$A$3:$A$114,0), MATCH(D174,'アイテム'!$C$2:$AQ$2,0))</f>
        <v>23</v>
      </c>
      <c r="E187" s="2544"/>
      <c r="F187" s="2545"/>
      <c r="G187" s="2546"/>
      <c r="H187" s="228"/>
      <c r="I187" s="228"/>
      <c r="J187" s="228"/>
      <c r="K187" s="118"/>
      <c r="L187" s="118"/>
      <c r="M187" s="118"/>
      <c r="N187" s="98"/>
      <c r="O187" s="98"/>
      <c r="P187" s="98"/>
      <c r="Q187" s="98"/>
      <c r="R187" s="118"/>
      <c r="S187" s="118"/>
      <c r="T187" s="118"/>
      <c r="U187" s="118"/>
      <c r="V187" s="118"/>
    </row>
    <row r="188" outlineLevel="1">
      <c r="A188" s="156"/>
      <c r="B188" s="327" t="s">
        <v>234</v>
      </c>
      <c r="C188" s="328" t="str">
        <f t="array" ref="C188">INDEX('アイテム'!$Y$3:$Z$114, MATCH($A$1,'アイテム'!$A$3:$A$114,0), MATCH(C174,'アイテム'!$C$2:$AQ$2,0))</f>
        <v>7</v>
      </c>
      <c r="D188" s="328">
        <f t="array" ref="D188">INDEX('アイテム'!$Y$3:$Z$114, MATCH($A$1,'アイテム'!$A$3:$A$114,0), MATCH(D174,'アイテム'!$C$2:$AQ$2,0))</f>
        <v>19</v>
      </c>
      <c r="E188" s="2544"/>
      <c r="F188" s="2545"/>
      <c r="G188" s="2546"/>
      <c r="H188" s="228"/>
      <c r="I188" s="228"/>
      <c r="J188" s="228"/>
      <c r="K188" s="118"/>
      <c r="L188" s="118"/>
      <c r="M188" s="118"/>
      <c r="N188" s="98"/>
      <c r="O188" s="98"/>
      <c r="P188" s="98"/>
      <c r="Q188" s="98"/>
      <c r="R188" s="118"/>
      <c r="S188" s="118"/>
      <c r="T188" s="118"/>
      <c r="U188" s="118"/>
      <c r="V188" s="118"/>
    </row>
    <row r="189" outlineLevel="1">
      <c r="A189" s="326" t="s">
        <v>265</v>
      </c>
      <c r="B189" s="327" t="s">
        <v>226</v>
      </c>
      <c r="C189" s="328">
        <f t="array" ref="C189">INDEX('アイテム'!$AC$3:$AD$114, MATCH($A$1,'アイテム'!$A$3:$A$114,0), MATCH(C174,'アイテム'!$C$2:$AQ$2,0))</f>
        <v>14</v>
      </c>
      <c r="D189" s="328" t="str">
        <f t="array" ref="D189">INDEX('アイテム'!$AC$3:$AD$114, MATCH($A$1,'アイテム'!$A$3:$A$114,0), MATCH(D174,'アイテム'!$C$2:$AQ$2,0))</f>
        <v>30</v>
      </c>
      <c r="E189" s="2544"/>
      <c r="F189" s="2545"/>
      <c r="G189" s="2546"/>
      <c r="H189" s="228"/>
      <c r="I189" s="228"/>
      <c r="J189" s="228"/>
      <c r="K189" s="118"/>
      <c r="L189" s="118"/>
      <c r="M189" s="118"/>
      <c r="N189" s="98"/>
      <c r="O189" s="98"/>
      <c r="P189" s="98"/>
      <c r="Q189" s="98"/>
      <c r="R189" s="118"/>
      <c r="S189" s="118"/>
      <c r="T189" s="118"/>
      <c r="U189" s="118"/>
      <c r="V189" s="118"/>
    </row>
    <row r="190" outlineLevel="1">
      <c r="A190" s="146"/>
      <c r="B190" s="327" t="s">
        <v>229</v>
      </c>
      <c r="C190" s="328">
        <f t="array" ref="C190">INDEX('アイテム'!$AE$3:$AF$114, MATCH($A$1,'アイテム'!$A$3:$A$114,0), MATCH(C174,'アイテム'!$C$2:$AQ$2,0))</f>
        <v>15</v>
      </c>
      <c r="D190" s="328" t="str">
        <f t="array" ref="D190">INDEX('アイテム'!$AE$3:$AF$114, MATCH($A$1,'アイテム'!$A$3:$A$114,0), MATCH(D174,'アイテム'!$C$2:$AQ$2,0))</f>
        <v>30</v>
      </c>
      <c r="E190" s="2544"/>
      <c r="F190" s="2545"/>
      <c r="G190" s="2546"/>
      <c r="H190" s="228"/>
      <c r="I190" s="228"/>
      <c r="J190" s="228"/>
      <c r="K190" s="118"/>
      <c r="L190" s="118"/>
      <c r="M190" s="118"/>
      <c r="N190" s="98"/>
      <c r="O190" s="98"/>
      <c r="P190" s="98"/>
      <c r="Q190" s="98"/>
      <c r="R190" s="118"/>
      <c r="S190" s="118"/>
      <c r="T190" s="118"/>
      <c r="U190" s="118"/>
      <c r="V190" s="118"/>
    </row>
    <row r="191" outlineLevel="1">
      <c r="A191" s="146"/>
      <c r="B191" s="327" t="s">
        <v>233</v>
      </c>
      <c r="C191" s="328">
        <f t="array" ref="C191">INDEX('アイテム'!$AG$3:$AH$114, MATCH($A$1,'アイテム'!$A$3:$A$114,0), MATCH(C174,'アイテム'!$C$2:$AQ$2,0))</f>
        <v>11</v>
      </c>
      <c r="D191" s="328" t="str">
        <f t="array" ref="D191">INDEX('アイテム'!$AG$3:$AH$114, MATCH($A$1,'アイテム'!$A$3:$A$114,0), MATCH(D174,'アイテム'!$C$2:$AQ$2,0))</f>
        <v>22</v>
      </c>
      <c r="E191" s="2544"/>
      <c r="F191" s="2545"/>
      <c r="G191" s="2546"/>
      <c r="H191" s="228"/>
      <c r="I191" s="228"/>
      <c r="J191" s="228"/>
      <c r="K191" s="118"/>
      <c r="L191" s="118"/>
      <c r="M191" s="118"/>
      <c r="N191" s="98"/>
      <c r="O191" s="98"/>
      <c r="P191" s="98"/>
      <c r="Q191" s="98"/>
      <c r="R191" s="118"/>
      <c r="S191" s="118"/>
      <c r="T191" s="118"/>
      <c r="U191" s="118"/>
      <c r="V191" s="118"/>
    </row>
    <row r="192" outlineLevel="1">
      <c r="A192" s="156"/>
      <c r="B192" s="327" t="s">
        <v>234</v>
      </c>
      <c r="C192" s="328">
        <f t="array" ref="C192">INDEX('アイテム'!$AI$3:$AJ$114, MATCH($A$1,'アイテム'!$A$3:$A$114,0), MATCH(C174,'アイテム'!$C$2:$AQ$2,0))</f>
        <v>7</v>
      </c>
      <c r="D192" s="328" t="str">
        <f t="array" ref="D192">INDEX('アイテム'!$AI$3:$AJ$114, MATCH($A$1,'アイテム'!$A$3:$A$114,0), MATCH(D174,'アイテム'!$C$2:$AQ$2,0))</f>
        <v>22</v>
      </c>
      <c r="E192" s="2544"/>
      <c r="F192" s="2545"/>
      <c r="G192" s="2546"/>
      <c r="H192" s="228"/>
      <c r="I192" s="228"/>
      <c r="J192" s="228"/>
      <c r="K192" s="118"/>
      <c r="L192" s="118"/>
      <c r="M192" s="118"/>
      <c r="N192" s="98"/>
      <c r="O192" s="98"/>
      <c r="P192" s="98"/>
      <c r="Q192" s="98"/>
      <c r="R192" s="118"/>
      <c r="S192" s="118"/>
      <c r="T192" s="118"/>
      <c r="U192" s="118"/>
      <c r="V192" s="118"/>
    </row>
  </sheetData>
  <mergeCells count="162">
    <mergeCell ref="H42:J42"/>
    <mergeCell ref="H43:J44"/>
    <mergeCell ref="U43:U44"/>
    <mergeCell ref="H45:J45"/>
    <mergeCell ref="H46:J46"/>
    <mergeCell ref="A47:A48"/>
    <mergeCell ref="D47:D48"/>
    <mergeCell ref="U47:U48"/>
    <mergeCell ref="D49:D51"/>
    <mergeCell ref="U49:U51"/>
    <mergeCell ref="U52:U54"/>
    <mergeCell ref="R59:V59"/>
    <mergeCell ref="R60:V60"/>
    <mergeCell ref="R61:V62"/>
    <mergeCell ref="R63:V63"/>
    <mergeCell ref="R64:V65"/>
    <mergeCell ref="R66:V68"/>
    <mergeCell ref="U55:U56"/>
    <mergeCell ref="U72:U77"/>
    <mergeCell ref="V72:V77"/>
    <mergeCell ref="U78:U83"/>
    <mergeCell ref="V78:V83"/>
    <mergeCell ref="U85:U89"/>
    <mergeCell ref="V85:V89"/>
    <mergeCell ref="U109:U110"/>
    <mergeCell ref="U111:U116"/>
    <mergeCell ref="V111:V116"/>
    <mergeCell ref="U90:U94"/>
    <mergeCell ref="V90:V94"/>
    <mergeCell ref="U96:U101"/>
    <mergeCell ref="V96:V101"/>
    <mergeCell ref="U102:U107"/>
    <mergeCell ref="V102:V107"/>
    <mergeCell ref="V109:V110"/>
    <mergeCell ref="I64:I65"/>
    <mergeCell ref="I66:I68"/>
    <mergeCell ref="J66:J68"/>
    <mergeCell ref="H71:J71"/>
    <mergeCell ref="H72:J77"/>
    <mergeCell ref="H78:J83"/>
    <mergeCell ref="H84:J84"/>
    <mergeCell ref="H85:J89"/>
    <mergeCell ref="H90:J94"/>
    <mergeCell ref="H95:J95"/>
    <mergeCell ref="H96:J101"/>
    <mergeCell ref="H102:J107"/>
    <mergeCell ref="H108:J108"/>
    <mergeCell ref="H109:J110"/>
    <mergeCell ref="K164:L164"/>
    <mergeCell ref="K167:L167"/>
    <mergeCell ref="K145:K146"/>
    <mergeCell ref="K147:L147"/>
    <mergeCell ref="K148:K153"/>
    <mergeCell ref="A150:A152"/>
    <mergeCell ref="K154:K157"/>
    <mergeCell ref="K158:L158"/>
    <mergeCell ref="K160:K163"/>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C24:D24"/>
    <mergeCell ref="A38:B39"/>
    <mergeCell ref="H39:J39"/>
    <mergeCell ref="A40:A42"/>
    <mergeCell ref="H40:J40"/>
    <mergeCell ref="H41:J41"/>
    <mergeCell ref="A43:A44"/>
    <mergeCell ref="D43:D44"/>
    <mergeCell ref="A61:A62"/>
    <mergeCell ref="A64:A65"/>
    <mergeCell ref="A66:A68"/>
    <mergeCell ref="D66:D68"/>
    <mergeCell ref="H47:J48"/>
    <mergeCell ref="H49:J51"/>
    <mergeCell ref="H52:J54"/>
    <mergeCell ref="H55:J56"/>
    <mergeCell ref="I61:I62"/>
    <mergeCell ref="J61:J62"/>
    <mergeCell ref="J64:J65"/>
    <mergeCell ref="H111:J116"/>
    <mergeCell ref="G124:J124"/>
    <mergeCell ref="G125:J126"/>
    <mergeCell ref="G127:J128"/>
    <mergeCell ref="G129:J131"/>
    <mergeCell ref="G132:J133"/>
    <mergeCell ref="K144:L144"/>
    <mergeCell ref="C163:C164"/>
    <mergeCell ref="C170:C171"/>
    <mergeCell ref="A165:A171"/>
    <mergeCell ref="A173:B173"/>
    <mergeCell ref="A174:B174"/>
    <mergeCell ref="A175:A176"/>
    <mergeCell ref="A178:B178"/>
    <mergeCell ref="A179:A184"/>
    <mergeCell ref="A185:A188"/>
    <mergeCell ref="A189:A192"/>
    <mergeCell ref="A145:A149"/>
    <mergeCell ref="A153:A158"/>
    <mergeCell ref="C157:C158"/>
    <mergeCell ref="D157:D158"/>
    <mergeCell ref="A159:A164"/>
    <mergeCell ref="D163:D164"/>
    <mergeCell ref="D170:D171"/>
    <mergeCell ref="A49:A51"/>
    <mergeCell ref="A52:A54"/>
    <mergeCell ref="D52:D54"/>
    <mergeCell ref="A55:A56"/>
    <mergeCell ref="D55:D56"/>
    <mergeCell ref="A58:B59"/>
    <mergeCell ref="D61:D62"/>
    <mergeCell ref="D64:D65"/>
    <mergeCell ref="C66:C67"/>
    <mergeCell ref="A70:B70"/>
    <mergeCell ref="A71:B71"/>
    <mergeCell ref="A72:A77"/>
    <mergeCell ref="D72:D74"/>
    <mergeCell ref="D81:D83"/>
    <mergeCell ref="A78:A83"/>
    <mergeCell ref="A84:B84"/>
    <mergeCell ref="A85:A89"/>
    <mergeCell ref="A90:A94"/>
    <mergeCell ref="A95:B95"/>
    <mergeCell ref="A96:A101"/>
    <mergeCell ref="A108:B108"/>
    <mergeCell ref="D125:D126"/>
    <mergeCell ref="D127:D128"/>
    <mergeCell ref="D129:D131"/>
    <mergeCell ref="D132:D133"/>
    <mergeCell ref="D75:D77"/>
    <mergeCell ref="D78:D80"/>
    <mergeCell ref="D87:D89"/>
    <mergeCell ref="D90:D94"/>
    <mergeCell ref="D96:D107"/>
    <mergeCell ref="D111:D113"/>
    <mergeCell ref="D114:D116"/>
    <mergeCell ref="A102:A107"/>
    <mergeCell ref="A109:A110"/>
    <mergeCell ref="A111:A116"/>
    <mergeCell ref="A118:B119"/>
    <mergeCell ref="A121:A123"/>
    <mergeCell ref="A124:B124"/>
    <mergeCell ref="A125:A126"/>
    <mergeCell ref="A127:A128"/>
    <mergeCell ref="A129:A131"/>
    <mergeCell ref="A132:A133"/>
    <mergeCell ref="A135:B136"/>
    <mergeCell ref="A137:A139"/>
    <mergeCell ref="A140:A141"/>
    <mergeCell ref="A143:B144"/>
  </mergeCells>
  <conditionalFormatting sqref="K1:K15 K17:K131 K133:K168">
    <cfRule type="containsText" dxfId="0" priority="1" operator="containsText" text="361">
      <formula>NOT(ISERROR(SEARCH(("361"),(K1))))</formula>
    </cfRule>
  </conditionalFormatting>
  <conditionalFormatting sqref="K1:K15 K17:K131 K133:K168">
    <cfRule type="containsText" dxfId="1" priority="2" operator="containsText" text="363">
      <formula>NOT(ISERROR(SEARCH(("363"),(K1))))</formula>
    </cfRule>
  </conditionalFormatting>
  <conditionalFormatting sqref="K1:K15 K17:K131 K133:K168">
    <cfRule type="containsText" dxfId="1" priority="3" operator="containsText" text="365">
      <formula>NOT(ISERROR(SEARCH(("365"),(K1))))</formula>
    </cfRule>
  </conditionalFormatting>
  <conditionalFormatting sqref="K1:K15 K17:K131 K133:K168">
    <cfRule type="containsText" dxfId="1" priority="4" operator="containsText" text="366">
      <formula>NOT(ISERROR(SEARCH(("366"),(K1))))</formula>
    </cfRule>
  </conditionalFormatting>
  <conditionalFormatting sqref="K1:K15 K17:K131 K133:K168">
    <cfRule type="containsText" dxfId="1" priority="5" operator="containsText" text="367">
      <formula>NOT(ISERROR(SEARCH(("367"),(K1))))</formula>
    </cfRule>
  </conditionalFormatting>
  <conditionalFormatting sqref="P125:P133">
    <cfRule type="cellIs" dxfId="2" priority="6" operator="equal">
      <formula>"敵のみ"</formula>
    </cfRule>
  </conditionalFormatting>
  <conditionalFormatting sqref="C125:C131 C133">
    <cfRule type="cellIs" dxfId="3" priority="7" operator="equal">
      <formula>"-"</formula>
    </cfRule>
  </conditionalFormatting>
  <conditionalFormatting sqref="O1:O192 P133">
    <cfRule type="cellIs" dxfId="4" priority="8" operator="greaterThan">
      <formula>0</formula>
    </cfRule>
  </conditionalFormatting>
  <conditionalFormatting sqref="P1:Q192">
    <cfRule type="cellIs" dxfId="5" priority="9" operator="lessThan">
      <formula>1</formula>
    </cfRule>
  </conditionalFormatting>
  <conditionalFormatting sqref="P1:Q192">
    <cfRule type="cellIs" dxfId="4" priority="10" operator="greaterThan">
      <formula>1</formula>
    </cfRule>
  </conditionalFormatting>
  <conditionalFormatting sqref="N39:N131 N133">
    <cfRule type="cellIs" dxfId="6" priority="11" operator="greaterThan">
      <formula>0</formula>
    </cfRule>
  </conditionalFormatting>
  <drawing r:id="rId2"/>
  <legacyDrawing r:id="rId3"/>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93C9"/>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796">
        <v>62.0</v>
      </c>
      <c r="B1" s="2797"/>
      <c r="C1" s="2798" t="str">
        <f>IMAGE(VLOOKUP($A$1,Fighters!A2:AI114,12,FALSE),1)</f>
        <v>#REF!</v>
      </c>
      <c r="D1" s="2799"/>
      <c r="E1" s="2799"/>
      <c r="F1" s="2799"/>
      <c r="G1" s="2800"/>
      <c r="H1" s="2801"/>
      <c r="I1" s="2799"/>
      <c r="J1" s="2800"/>
      <c r="K1" s="2802"/>
      <c r="L1" s="2799"/>
      <c r="M1" s="2800"/>
      <c r="N1" s="2803"/>
      <c r="O1" s="2803"/>
      <c r="P1" s="2803"/>
      <c r="Q1" s="2803"/>
      <c r="R1" s="2804"/>
      <c r="S1" s="2804"/>
      <c r="T1" s="2804"/>
      <c r="U1" s="2804"/>
      <c r="V1" s="2804"/>
    </row>
    <row r="2">
      <c r="A2" s="2805" t="str">
        <f>VLOOKUP($A$1,Fighters!$A$2:$AI$81,6,FALSE)</f>
        <v>#7e93c9</v>
      </c>
      <c r="B2" s="2797"/>
      <c r="C2" s="2806"/>
      <c r="G2" s="2807"/>
      <c r="H2" s="2808"/>
      <c r="I2" s="2809"/>
      <c r="J2" s="2810"/>
      <c r="K2" s="2808"/>
      <c r="L2" s="2809"/>
      <c r="M2" s="2810"/>
      <c r="N2" s="2803"/>
      <c r="O2" s="2803"/>
      <c r="P2" s="2803"/>
      <c r="Q2" s="2803"/>
      <c r="R2" s="2804"/>
      <c r="S2" s="2804"/>
      <c r="T2" s="2804"/>
      <c r="U2" s="2804"/>
      <c r="V2" s="2804"/>
    </row>
    <row r="3">
      <c r="A3" s="2805" t="str">
        <f>VLOOKUP($A$1,Fighters!$A$2:$AI$81,14,FALSE)</f>
        <v>62. カムイ</v>
      </c>
      <c r="B3" s="2797"/>
      <c r="C3" s="2806"/>
      <c r="G3" s="2807"/>
      <c r="H3" s="2811"/>
      <c r="I3" s="2811"/>
      <c r="J3" s="2811"/>
      <c r="K3" s="2812"/>
      <c r="L3" s="2812"/>
      <c r="M3" s="2812"/>
      <c r="N3" s="2803"/>
      <c r="O3" s="2803"/>
      <c r="P3" s="2803"/>
      <c r="Q3" s="2803"/>
      <c r="R3" s="2813"/>
      <c r="S3" s="2804"/>
      <c r="T3" s="2804"/>
      <c r="U3" s="2804"/>
      <c r="V3" s="2804"/>
    </row>
    <row r="4">
      <c r="A4" s="2805" t="str">
        <f>VLOOKUP($A$1,Fighters!$A$2:$AI$81,13,FALSE)</f>
        <v>1</v>
      </c>
      <c r="B4" s="2797"/>
      <c r="C4" s="2806"/>
      <c r="G4" s="2807"/>
      <c r="H4" s="2814"/>
      <c r="I4" s="2814"/>
      <c r="J4" s="2811"/>
      <c r="K4" s="2812"/>
      <c r="L4" s="2812"/>
      <c r="M4" s="2812"/>
      <c r="N4" s="2803"/>
      <c r="O4" s="2803"/>
      <c r="P4" s="2803"/>
      <c r="Q4" s="2803"/>
      <c r="R4" s="2813"/>
      <c r="S4" s="2804"/>
      <c r="T4" s="2804"/>
      <c r="U4" s="2804"/>
      <c r="V4" s="2804"/>
    </row>
    <row r="5" ht="16.5" customHeight="1">
      <c r="A5" s="2796"/>
      <c r="B5" s="2797"/>
      <c r="C5" s="2806"/>
      <c r="G5" s="2807"/>
      <c r="H5" s="2815"/>
      <c r="I5" s="2815"/>
      <c r="J5" s="2816"/>
      <c r="K5" s="2817"/>
      <c r="L5" s="2818"/>
      <c r="M5" s="2818"/>
      <c r="N5" s="2803"/>
      <c r="O5" s="2803"/>
      <c r="P5" s="2803"/>
      <c r="Q5" s="2803"/>
      <c r="R5" s="2813"/>
      <c r="S5" s="2804"/>
      <c r="T5" s="2804"/>
      <c r="U5" s="2804"/>
      <c r="V5" s="2804"/>
    </row>
    <row r="6">
      <c r="A6" s="2797"/>
      <c r="B6" s="2797"/>
      <c r="C6" s="2806"/>
      <c r="G6" s="2807"/>
      <c r="H6" s="2814"/>
      <c r="I6" s="2819" t="s">
        <v>39</v>
      </c>
      <c r="J6" s="2817"/>
      <c r="K6" s="2820"/>
      <c r="L6" s="2818"/>
      <c r="M6" s="2818"/>
      <c r="N6" s="2803"/>
      <c r="O6" s="2803"/>
      <c r="P6" s="2803"/>
      <c r="Q6" s="2803"/>
      <c r="R6" s="2813"/>
      <c r="S6" s="2804"/>
      <c r="T6" s="2804"/>
      <c r="U6" s="2804"/>
      <c r="V6" s="2804"/>
    </row>
    <row r="7">
      <c r="A7" s="2797"/>
      <c r="B7" s="2797"/>
      <c r="C7" s="2806"/>
      <c r="G7" s="2807"/>
      <c r="H7" s="2815"/>
      <c r="I7" s="2815"/>
      <c r="J7" s="2817"/>
      <c r="K7" s="2820"/>
      <c r="L7" s="2818"/>
      <c r="M7" s="2818"/>
      <c r="N7" s="2803"/>
      <c r="O7" s="2803"/>
      <c r="P7" s="2803"/>
      <c r="Q7" s="2803"/>
      <c r="R7" s="2813"/>
      <c r="S7" s="2804"/>
      <c r="T7" s="2804"/>
      <c r="U7" s="2804"/>
      <c r="V7" s="2804"/>
    </row>
    <row r="8">
      <c r="A8" s="2797"/>
      <c r="B8" s="2797"/>
      <c r="C8" s="2806"/>
      <c r="G8" s="2807"/>
      <c r="H8" s="2821">
        <v>44489.76041984954</v>
      </c>
      <c r="I8" s="2799"/>
      <c r="J8" s="2800"/>
      <c r="K8" s="2817"/>
      <c r="L8" s="2818"/>
      <c r="M8" s="2818"/>
      <c r="N8" s="2803"/>
      <c r="O8" s="2803"/>
      <c r="P8" s="2803"/>
      <c r="Q8" s="2803"/>
      <c r="R8" s="2813"/>
      <c r="S8" s="2804"/>
      <c r="T8" s="2804"/>
      <c r="U8" s="2804"/>
      <c r="V8" s="2804"/>
    </row>
    <row r="9">
      <c r="A9" s="2797"/>
      <c r="B9" s="2797"/>
      <c r="C9" s="2806"/>
      <c r="G9" s="2807"/>
      <c r="H9" s="2808"/>
      <c r="I9" s="2809"/>
      <c r="J9" s="2810"/>
      <c r="K9" s="2804"/>
      <c r="L9" s="2803"/>
      <c r="M9" s="2803"/>
      <c r="N9" s="2803"/>
      <c r="O9" s="2803"/>
      <c r="P9" s="2803"/>
      <c r="Q9" s="2803"/>
      <c r="R9" s="2813"/>
      <c r="S9" s="2804"/>
      <c r="T9" s="2804"/>
      <c r="U9" s="2804"/>
      <c r="V9" s="2804"/>
    </row>
    <row r="10">
      <c r="A10" s="2797"/>
      <c r="B10" s="2797"/>
      <c r="C10" s="2806"/>
      <c r="G10" s="2807"/>
      <c r="H10" s="2822"/>
      <c r="I10" s="2822"/>
      <c r="J10" s="2804"/>
      <c r="K10" s="2804"/>
      <c r="L10" s="2803"/>
      <c r="M10" s="2803"/>
      <c r="N10" s="2803"/>
      <c r="O10" s="2803"/>
      <c r="P10" s="2803"/>
      <c r="Q10" s="2803"/>
      <c r="R10" s="2813"/>
      <c r="S10" s="2804"/>
      <c r="T10" s="2804"/>
      <c r="U10" s="2804"/>
      <c r="V10" s="2804"/>
    </row>
    <row r="11">
      <c r="A11" s="2823" t="s">
        <v>40</v>
      </c>
      <c r="B11" s="2800"/>
      <c r="C11" s="2806"/>
      <c r="G11" s="2807"/>
      <c r="H11" s="2815"/>
      <c r="I11" s="2815"/>
      <c r="J11" s="2804"/>
      <c r="K11" s="2804"/>
      <c r="L11" s="2803"/>
      <c r="M11" s="2803"/>
      <c r="N11" s="2803"/>
      <c r="O11" s="2803"/>
      <c r="P11" s="2803"/>
      <c r="Q11" s="2803"/>
      <c r="R11" s="2813"/>
      <c r="S11" s="2804"/>
      <c r="T11" s="2804"/>
      <c r="U11" s="2804"/>
      <c r="V11" s="2804"/>
    </row>
    <row r="12">
      <c r="A12" s="2808"/>
      <c r="B12" s="2810"/>
      <c r="C12" s="2808"/>
      <c r="D12" s="2809"/>
      <c r="E12" s="2809"/>
      <c r="F12" s="2809"/>
      <c r="G12" s="2810"/>
      <c r="H12" s="2824"/>
      <c r="I12" s="2824"/>
      <c r="J12" s="2797"/>
      <c r="K12" s="2797"/>
      <c r="L12" s="2803"/>
      <c r="M12" s="2803"/>
      <c r="N12" s="2803"/>
      <c r="O12" s="2803"/>
      <c r="P12" s="2803"/>
      <c r="Q12" s="2803"/>
      <c r="R12" s="2813"/>
      <c r="S12" s="2804"/>
      <c r="T12" s="2804"/>
      <c r="U12" s="2804"/>
      <c r="V12" s="280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98 [33rd]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37F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1.892 [49th]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1.208 [27th]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50F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0.09064 [88th]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 [39th]</v>
      </c>
      <c r="O18" s="99"/>
      <c r="P18" s="99"/>
      <c r="Q18" s="99"/>
      <c r="R18" s="99"/>
      <c r="S18" s="111"/>
      <c r="T18" s="111"/>
      <c r="U18" s="111"/>
      <c r="V18" s="111"/>
    </row>
    <row r="19" outlineLevel="1">
      <c r="A19" s="112" t="str">
        <f>'テンプレート'!A19</f>
        <v>カベジャンプ</v>
      </c>
      <c r="B19" s="115" t="b">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1.595 [60th]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0.129 [11th]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 [45th]</v>
      </c>
      <c r="O19" s="99"/>
      <c r="P19" s="99"/>
      <c r="Q19" s="99"/>
      <c r="R19" s="99"/>
      <c r="S19" s="111"/>
      <c r="T19" s="111"/>
      <c r="U19" s="111"/>
      <c r="V19" s="111"/>
    </row>
    <row r="20" outlineLevel="1">
      <c r="A20" s="112" t="str">
        <f>'テンプレート'!A20</f>
        <v>カベ張りつき</v>
      </c>
      <c r="B20" s="115" t="b">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7F [1st]</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1.019 [52nd]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31 [58th]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1.65 [33rd]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0.009 [52nd]</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2.64 [34th]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0.092 [42nd]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tr">
        <f>'テンプレート'!H25</f>
        <v>備考</v>
      </c>
      <c r="I25" s="110"/>
      <c r="J25" s="110"/>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139" t="s">
        <v>267</v>
      </c>
      <c r="D26" s="139" t="s">
        <v>105</v>
      </c>
      <c r="E26" s="139" t="s">
        <v>4571</v>
      </c>
      <c r="F26" s="138" t="s">
        <v>4572</v>
      </c>
      <c r="G26" s="139" t="s">
        <v>364</v>
      </c>
      <c r="H26" s="140" t="s">
        <v>3457</v>
      </c>
      <c r="I26" s="110"/>
      <c r="J26" s="109"/>
      <c r="K26" s="138"/>
      <c r="L26" s="282"/>
      <c r="M26" s="363"/>
      <c r="N26" s="363"/>
      <c r="O26" s="145">
        <v>0.0</v>
      </c>
      <c r="P26" s="145">
        <v>1.0</v>
      </c>
      <c r="Q26" s="145">
        <v>1.0</v>
      </c>
      <c r="R26" s="100"/>
      <c r="S26" s="100"/>
      <c r="T26" s="100"/>
      <c r="U26" s="145" t="s">
        <v>62</v>
      </c>
      <c r="V26" s="100"/>
    </row>
    <row r="27" outlineLevel="1">
      <c r="A27" s="146"/>
      <c r="B27" s="147" t="s">
        <v>63</v>
      </c>
      <c r="C27" s="216" t="s">
        <v>717</v>
      </c>
      <c r="D27" s="216" t="s">
        <v>99</v>
      </c>
      <c r="E27" s="216" t="s">
        <v>176</v>
      </c>
      <c r="F27" s="138">
        <v>2.4</v>
      </c>
      <c r="G27" s="139" t="s">
        <v>60</v>
      </c>
      <c r="H27" s="140" t="s">
        <v>4573</v>
      </c>
      <c r="I27" s="110"/>
      <c r="J27" s="109"/>
      <c r="K27" s="282"/>
      <c r="L27" s="282"/>
      <c r="M27" s="363"/>
      <c r="N27" s="363"/>
      <c r="O27" s="145">
        <v>0.0</v>
      </c>
      <c r="P27" s="145">
        <v>1.0</v>
      </c>
      <c r="Q27" s="145">
        <v>1.0</v>
      </c>
      <c r="R27" s="100"/>
      <c r="S27" s="100"/>
      <c r="T27" s="100"/>
      <c r="U27" s="145" t="s">
        <v>69</v>
      </c>
      <c r="V27" s="100"/>
    </row>
    <row r="28" outlineLevel="1">
      <c r="A28" s="146"/>
      <c r="B28" s="147" t="s">
        <v>70</v>
      </c>
      <c r="C28" s="216" t="s">
        <v>217</v>
      </c>
      <c r="D28" s="216" t="s">
        <v>164</v>
      </c>
      <c r="E28" s="216" t="s">
        <v>1806</v>
      </c>
      <c r="F28" s="138" t="s">
        <v>1807</v>
      </c>
      <c r="G28" s="139" t="s">
        <v>1808</v>
      </c>
      <c r="H28" s="366"/>
      <c r="I28" s="110"/>
      <c r="J28" s="109"/>
      <c r="K28" s="282"/>
      <c r="L28" s="282"/>
      <c r="M28" s="363"/>
      <c r="N28" s="363"/>
      <c r="O28" s="145">
        <v>0.0</v>
      </c>
      <c r="P28" s="145">
        <v>1.0</v>
      </c>
      <c r="Q28" s="145">
        <v>1.0</v>
      </c>
      <c r="R28" s="100"/>
      <c r="S28" s="100"/>
      <c r="T28" s="100"/>
      <c r="U28" s="145" t="s">
        <v>76</v>
      </c>
      <c r="V28" s="100"/>
    </row>
    <row r="29" outlineLevel="1">
      <c r="A29" s="146"/>
      <c r="B29" s="147" t="s">
        <v>703</v>
      </c>
      <c r="C29" s="659"/>
      <c r="D29" s="467" t="s">
        <v>274</v>
      </c>
      <c r="E29" s="659"/>
      <c r="F29" s="658"/>
      <c r="G29" s="659"/>
      <c r="H29" s="2825"/>
      <c r="I29" s="110"/>
      <c r="J29" s="109"/>
      <c r="K29" s="261"/>
      <c r="L29" s="261"/>
      <c r="M29" s="261"/>
      <c r="N29" s="261"/>
      <c r="O29" s="261"/>
      <c r="P29" s="261"/>
      <c r="Q29" s="261"/>
      <c r="R29" s="100"/>
      <c r="S29" s="100"/>
      <c r="T29" s="100"/>
      <c r="U29" s="145" t="s">
        <v>76</v>
      </c>
      <c r="V29" s="100"/>
    </row>
    <row r="30" outlineLevel="1">
      <c r="A30" s="146"/>
      <c r="B30" s="147" t="s">
        <v>704</v>
      </c>
      <c r="C30" s="216" t="s">
        <v>4574</v>
      </c>
      <c r="D30" s="216" t="s">
        <v>394</v>
      </c>
      <c r="E30" s="216" t="s">
        <v>1098</v>
      </c>
      <c r="F30" s="138">
        <v>0.6</v>
      </c>
      <c r="G30" s="450" t="s">
        <v>75</v>
      </c>
      <c r="H30" s="140" t="s">
        <v>4575</v>
      </c>
      <c r="I30" s="110"/>
      <c r="J30" s="109"/>
      <c r="K30" s="282"/>
      <c r="L30" s="282"/>
      <c r="M30" s="363"/>
      <c r="N30" s="363"/>
      <c r="O30" s="145">
        <v>0.0</v>
      </c>
      <c r="P30" s="145">
        <v>1.0</v>
      </c>
      <c r="Q30" s="145">
        <v>1.0</v>
      </c>
      <c r="R30" s="100"/>
      <c r="S30" s="100"/>
      <c r="T30" s="100"/>
      <c r="U30" s="145" t="s">
        <v>76</v>
      </c>
      <c r="V30" s="100"/>
    </row>
    <row r="31" outlineLevel="1">
      <c r="A31" s="156"/>
      <c r="B31" s="147" t="s">
        <v>708</v>
      </c>
      <c r="C31" s="467" t="s">
        <v>71</v>
      </c>
      <c r="D31" s="467" t="s">
        <v>118</v>
      </c>
      <c r="E31" s="467" t="s">
        <v>204</v>
      </c>
      <c r="F31" s="138">
        <v>3.5999999999999996</v>
      </c>
      <c r="G31" s="467" t="s">
        <v>147</v>
      </c>
      <c r="H31" s="140" t="s">
        <v>411</v>
      </c>
      <c r="I31" s="110"/>
      <c r="J31" s="109"/>
      <c r="K31" s="282"/>
      <c r="L31" s="282"/>
      <c r="M31" s="363"/>
      <c r="N31" s="363"/>
      <c r="O31" s="145">
        <v>0.0</v>
      </c>
      <c r="P31" s="145">
        <v>1.0</v>
      </c>
      <c r="Q31" s="145">
        <v>1.0</v>
      </c>
      <c r="R31" s="100"/>
      <c r="S31" s="100"/>
      <c r="T31" s="100"/>
      <c r="U31" s="145" t="s">
        <v>76</v>
      </c>
      <c r="V31" s="100"/>
    </row>
    <row r="32" outlineLevel="1">
      <c r="A32" s="133" t="s">
        <v>77</v>
      </c>
      <c r="B32" s="147" t="s">
        <v>167</v>
      </c>
      <c r="C32" s="216" t="s">
        <v>4576</v>
      </c>
      <c r="D32" s="195" t="s">
        <v>185</v>
      </c>
      <c r="E32" s="467" t="s">
        <v>176</v>
      </c>
      <c r="F32" s="138">
        <v>2.4</v>
      </c>
      <c r="G32" s="139" t="s">
        <v>60</v>
      </c>
      <c r="H32" s="456"/>
      <c r="I32" s="164"/>
      <c r="J32" s="104"/>
      <c r="K32" s="138"/>
      <c r="L32" s="282"/>
      <c r="M32" s="363"/>
      <c r="N32" s="363"/>
      <c r="O32" s="145">
        <v>0.0</v>
      </c>
      <c r="P32" s="145">
        <v>1.0</v>
      </c>
      <c r="Q32" s="145">
        <v>1.0</v>
      </c>
      <c r="R32" s="100"/>
      <c r="S32" s="100"/>
      <c r="T32" s="100"/>
      <c r="U32" s="166" t="s">
        <v>69</v>
      </c>
      <c r="V32" s="100"/>
    </row>
    <row r="33" outlineLevel="1">
      <c r="A33" s="156"/>
      <c r="B33" s="147" t="s">
        <v>172</v>
      </c>
      <c r="C33" s="216" t="s">
        <v>173</v>
      </c>
      <c r="D33" s="107"/>
      <c r="E33" s="467" t="s">
        <v>204</v>
      </c>
      <c r="F33" s="138">
        <v>3.5999999999999996</v>
      </c>
      <c r="G33" s="139" t="s">
        <v>147</v>
      </c>
      <c r="H33" s="106"/>
      <c r="I33" s="168"/>
      <c r="J33" s="107"/>
      <c r="K33" s="282"/>
      <c r="L33" s="282"/>
      <c r="M33" s="363"/>
      <c r="N33" s="363"/>
      <c r="O33" s="145">
        <v>0.0</v>
      </c>
      <c r="P33" s="145">
        <v>1.0</v>
      </c>
      <c r="Q33" s="145">
        <v>1.0</v>
      </c>
      <c r="R33" s="100"/>
      <c r="S33" s="100"/>
      <c r="T33" s="100"/>
      <c r="U33" s="156"/>
      <c r="V33" s="100"/>
    </row>
    <row r="34" outlineLevel="1">
      <c r="A34" s="170" t="s">
        <v>89</v>
      </c>
      <c r="B34" s="147"/>
      <c r="C34" s="216" t="s">
        <v>518</v>
      </c>
      <c r="D34" s="216" t="s">
        <v>218</v>
      </c>
      <c r="E34" s="467" t="s">
        <v>159</v>
      </c>
      <c r="F34" s="138">
        <v>12.6</v>
      </c>
      <c r="G34" s="139" t="s">
        <v>121</v>
      </c>
      <c r="H34" s="159"/>
      <c r="I34" s="110"/>
      <c r="J34" s="109"/>
      <c r="K34" s="138"/>
      <c r="L34" s="282"/>
      <c r="M34" s="363"/>
      <c r="N34" s="363"/>
      <c r="O34" s="145">
        <v>0.0</v>
      </c>
      <c r="P34" s="145">
        <v>1.0</v>
      </c>
      <c r="Q34" s="145">
        <v>1.0</v>
      </c>
      <c r="R34" s="100"/>
      <c r="S34" s="100"/>
      <c r="T34" s="100"/>
      <c r="U34" s="145" t="s">
        <v>96</v>
      </c>
      <c r="V34" s="100"/>
    </row>
    <row r="35" outlineLevel="1">
      <c r="A35" s="133" t="s">
        <v>97</v>
      </c>
      <c r="B35" s="160"/>
      <c r="C35" s="467" t="s">
        <v>319</v>
      </c>
      <c r="D35" s="455" t="s">
        <v>193</v>
      </c>
      <c r="E35" s="467" t="s">
        <v>274</v>
      </c>
      <c r="F35" s="138">
        <v>10.799999999999999</v>
      </c>
      <c r="G35" s="139" t="s">
        <v>275</v>
      </c>
      <c r="H35" s="456"/>
      <c r="I35" s="164"/>
      <c r="J35" s="104"/>
      <c r="K35" s="282"/>
      <c r="L35" s="282"/>
      <c r="M35" s="363"/>
      <c r="N35" s="363"/>
      <c r="O35" s="145">
        <v>0.0</v>
      </c>
      <c r="P35" s="145">
        <v>1.0</v>
      </c>
      <c r="Q35" s="145">
        <v>1.0</v>
      </c>
      <c r="R35" s="100"/>
      <c r="S35" s="100"/>
      <c r="T35" s="100"/>
      <c r="U35" s="166" t="s">
        <v>62</v>
      </c>
      <c r="V35" s="100"/>
    </row>
    <row r="36" outlineLevel="1">
      <c r="A36" s="156"/>
      <c r="B36" s="147" t="s">
        <v>84</v>
      </c>
      <c r="C36" s="245" t="s">
        <v>321</v>
      </c>
      <c r="D36" s="107"/>
      <c r="E36" s="467" t="s">
        <v>2091</v>
      </c>
      <c r="F36" s="138" t="s">
        <v>2092</v>
      </c>
      <c r="G36" s="139" t="s">
        <v>4577</v>
      </c>
      <c r="H36" s="106"/>
      <c r="I36" s="168"/>
      <c r="J36" s="107"/>
      <c r="K36" s="145"/>
      <c r="L36" s="363"/>
      <c r="M36" s="363"/>
      <c r="N36" s="363"/>
      <c r="O36" s="145">
        <v>0.0</v>
      </c>
      <c r="P36" s="145">
        <v>1.0</v>
      </c>
      <c r="Q36" s="145">
        <v>1.0</v>
      </c>
      <c r="R36" s="100"/>
      <c r="S36" s="100"/>
      <c r="T36" s="100"/>
      <c r="U36" s="156"/>
      <c r="V36" s="100"/>
    </row>
    <row r="37" outlineLevel="1">
      <c r="A37" s="170" t="s">
        <v>103</v>
      </c>
      <c r="B37" s="160"/>
      <c r="C37" s="467" t="s">
        <v>91</v>
      </c>
      <c r="D37" s="467" t="s">
        <v>164</v>
      </c>
      <c r="E37" s="467" t="s">
        <v>1665</v>
      </c>
      <c r="F37" s="138">
        <v>9.0</v>
      </c>
      <c r="G37" s="139" t="s">
        <v>123</v>
      </c>
      <c r="H37" s="159"/>
      <c r="I37" s="110"/>
      <c r="J37" s="109"/>
      <c r="K37" s="145"/>
      <c r="L37" s="363"/>
      <c r="M37" s="363"/>
      <c r="N37" s="363"/>
      <c r="O37" s="145">
        <v>0.0</v>
      </c>
      <c r="P37" s="145">
        <v>1.0</v>
      </c>
      <c r="Q37" s="145">
        <v>1.0</v>
      </c>
      <c r="R37" s="100"/>
      <c r="S37" s="100"/>
      <c r="T37" s="100"/>
      <c r="U37" s="145" t="s">
        <v>62</v>
      </c>
      <c r="V37" s="100"/>
    </row>
    <row r="38" ht="48.75" customHeight="1" outlineLevel="1">
      <c r="A38" s="133" t="s">
        <v>109</v>
      </c>
      <c r="B38" s="147" t="s">
        <v>1043</v>
      </c>
      <c r="C38" s="467" t="s">
        <v>4578</v>
      </c>
      <c r="D38" s="659"/>
      <c r="E38" s="467" t="s">
        <v>1098</v>
      </c>
      <c r="F38" s="138">
        <v>0.6</v>
      </c>
      <c r="G38" s="139" t="s">
        <v>170</v>
      </c>
      <c r="H38" s="163" t="s">
        <v>4579</v>
      </c>
      <c r="I38" s="164"/>
      <c r="J38" s="104"/>
      <c r="K38" s="282"/>
      <c r="L38" s="282"/>
      <c r="M38" s="363"/>
      <c r="N38" s="363"/>
      <c r="O38" s="145">
        <v>0.0</v>
      </c>
      <c r="P38" s="145">
        <v>1.1</v>
      </c>
      <c r="Q38" s="145">
        <v>1.5</v>
      </c>
      <c r="R38" s="100"/>
      <c r="S38" s="100"/>
      <c r="T38" s="100"/>
      <c r="U38" s="166" t="s">
        <v>62</v>
      </c>
      <c r="V38" s="100"/>
    </row>
    <row r="39" ht="48.75" customHeight="1" outlineLevel="1">
      <c r="A39" s="156"/>
      <c r="B39" s="147" t="s">
        <v>90</v>
      </c>
      <c r="C39" s="216" t="s">
        <v>203</v>
      </c>
      <c r="D39" s="467" t="s">
        <v>402</v>
      </c>
      <c r="E39" s="216" t="s">
        <v>4580</v>
      </c>
      <c r="F39" s="138" t="s">
        <v>4581</v>
      </c>
      <c r="G39" s="162" t="s">
        <v>4582</v>
      </c>
      <c r="H39" s="106"/>
      <c r="I39" s="168"/>
      <c r="J39" s="107"/>
      <c r="K39" s="282"/>
      <c r="L39" s="282"/>
      <c r="M39" s="363"/>
      <c r="N39" s="363"/>
      <c r="O39" s="145">
        <v>0.0</v>
      </c>
      <c r="P39" s="145">
        <v>1.0</v>
      </c>
      <c r="Q39" s="145">
        <v>1.0</v>
      </c>
      <c r="R39" s="100"/>
      <c r="S39" s="100"/>
      <c r="T39" s="100"/>
      <c r="U39" s="156"/>
      <c r="V39" s="100"/>
    </row>
    <row r="40" outlineLevel="1">
      <c r="A40" s="170" t="s">
        <v>116</v>
      </c>
      <c r="B40" s="160"/>
      <c r="C40" s="450" t="s">
        <v>1734</v>
      </c>
      <c r="D40" s="467" t="s">
        <v>455</v>
      </c>
      <c r="E40" s="467" t="s">
        <v>4583</v>
      </c>
      <c r="F40" s="138" t="s">
        <v>4584</v>
      </c>
      <c r="G40" s="139" t="s">
        <v>4585</v>
      </c>
      <c r="H40" s="151" t="s">
        <v>1946</v>
      </c>
      <c r="I40" s="110"/>
      <c r="J40" s="109"/>
      <c r="K40" s="363"/>
      <c r="L40" s="363"/>
      <c r="M40" s="363"/>
      <c r="N40" s="363"/>
      <c r="O40" s="145">
        <v>0.0</v>
      </c>
      <c r="P40" s="145">
        <v>1.0</v>
      </c>
      <c r="Q40" s="145">
        <v>1.0</v>
      </c>
      <c r="R40" s="100"/>
      <c r="S40" s="100"/>
      <c r="T40" s="100"/>
      <c r="U40" s="145" t="s">
        <v>62</v>
      </c>
      <c r="V40" s="100"/>
    </row>
    <row r="41" outlineLevel="1">
      <c r="A41" s="170" t="s">
        <v>124</v>
      </c>
      <c r="B41" s="147"/>
      <c r="C41" s="216" t="s">
        <v>721</v>
      </c>
      <c r="D41" s="216" t="s">
        <v>541</v>
      </c>
      <c r="E41" s="467" t="s">
        <v>4586</v>
      </c>
      <c r="F41" s="138" t="s">
        <v>4587</v>
      </c>
      <c r="G41" s="139" t="s">
        <v>4588</v>
      </c>
      <c r="H41" s="151" t="s">
        <v>1170</v>
      </c>
      <c r="I41" s="110"/>
      <c r="J41" s="109"/>
      <c r="K41" s="282"/>
      <c r="L41" s="282"/>
      <c r="M41" s="363"/>
      <c r="N41" s="363"/>
      <c r="O41" s="145">
        <v>0.0</v>
      </c>
      <c r="P41" s="145">
        <v>1.0</v>
      </c>
      <c r="Q41" s="145">
        <v>1.0</v>
      </c>
      <c r="R41" s="100"/>
      <c r="S41" s="100"/>
      <c r="T41" s="100"/>
      <c r="U41" s="145" t="s">
        <v>62</v>
      </c>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tr">
        <f>'テンプレート'!I56</f>
        <v>着地隙</v>
      </c>
      <c r="J44" s="184" t="s">
        <v>136</v>
      </c>
      <c r="K44" s="184" t="str">
        <f>'テンプレート'!K56</f>
        <v>ベクトル</v>
      </c>
      <c r="L44" s="184" t="str">
        <f>'テンプレート'!L56</f>
        <v>KBG (R.E.)</v>
      </c>
      <c r="M44" s="184" t="str">
        <f>'テンプレート'!M56</f>
        <v>BKB (R.A.)</v>
      </c>
      <c r="N44" s="184" t="str">
        <f>'テンプレート'!N56</f>
        <v>FKB (R.F.)</v>
      </c>
      <c r="O44" s="186" t="str">
        <f>'テンプレート'!O56</f>
        <v>盾削り値</v>
      </c>
      <c r="P44" s="184" t="str">
        <f>'テンプレート'!P56</f>
        <v>ﾋｯﾄｽﾄｯﾌﾟ</v>
      </c>
      <c r="Q44" s="186" t="str">
        <f>'テンプレート'!Q56</f>
        <v>ずらし</v>
      </c>
      <c r="R44" s="187" t="str">
        <f>'テンプレート'!R56</f>
        <v>備考</v>
      </c>
      <c r="S44" s="110"/>
      <c r="T44" s="110"/>
      <c r="U44" s="110"/>
      <c r="V44" s="110"/>
    </row>
    <row r="45" outlineLevel="1">
      <c r="A45" s="188" t="s">
        <v>144</v>
      </c>
      <c r="B45" s="373"/>
      <c r="C45" s="244" t="s">
        <v>217</v>
      </c>
      <c r="D45" s="452">
        <v>46.0</v>
      </c>
      <c r="E45" s="401" t="s">
        <v>93</v>
      </c>
      <c r="F45" s="193">
        <v>8.4</v>
      </c>
      <c r="G45" s="193">
        <v>7.140000000000001</v>
      </c>
      <c r="H45" s="138" t="s">
        <v>60</v>
      </c>
      <c r="I45" s="454" t="str">
        <f t="array" ref="I45">INDEX('空中攻撃'!$O$3:$AA$109, MATCH($A$1,'空中攻撃'!$A$3:$A$109,0), MATCH(A45,'空中攻撃'!$O$2:$S$2,0))</f>
        <v>10</v>
      </c>
      <c r="J45" s="379" t="s">
        <v>3157</v>
      </c>
      <c r="K45" s="138"/>
      <c r="L45" s="282"/>
      <c r="M45" s="363"/>
      <c r="N45" s="363"/>
      <c r="O45" s="145">
        <v>0.0</v>
      </c>
      <c r="P45" s="145">
        <v>1.0</v>
      </c>
      <c r="Q45" s="145">
        <v>1.0</v>
      </c>
      <c r="R45" s="619"/>
      <c r="S45" s="164"/>
      <c r="T45" s="164"/>
      <c r="U45" s="164"/>
      <c r="V45" s="104"/>
    </row>
    <row r="46" outlineLevel="1">
      <c r="A46" s="156"/>
      <c r="B46" s="373" t="s">
        <v>84</v>
      </c>
      <c r="C46" s="244" t="s">
        <v>742</v>
      </c>
      <c r="D46" s="107"/>
      <c r="E46" s="239" t="s">
        <v>100</v>
      </c>
      <c r="F46" s="138">
        <v>6.6</v>
      </c>
      <c r="G46" s="138">
        <v>5.61</v>
      </c>
      <c r="H46" s="138" t="s">
        <v>60</v>
      </c>
      <c r="I46" s="156"/>
      <c r="J46" s="107"/>
      <c r="K46" s="138"/>
      <c r="L46" s="282"/>
      <c r="M46" s="363"/>
      <c r="N46" s="363"/>
      <c r="O46" s="145">
        <v>0.0</v>
      </c>
      <c r="P46" s="145">
        <v>1.0</v>
      </c>
      <c r="Q46" s="145">
        <v>1.0</v>
      </c>
      <c r="R46" s="106"/>
      <c r="S46" s="168"/>
      <c r="T46" s="168"/>
      <c r="U46" s="168"/>
      <c r="V46" s="107"/>
    </row>
    <row r="47" outlineLevel="1">
      <c r="A47" s="213" t="s">
        <v>151</v>
      </c>
      <c r="B47" s="373"/>
      <c r="C47" s="239" t="s">
        <v>272</v>
      </c>
      <c r="D47" s="774">
        <v>35.0</v>
      </c>
      <c r="E47" s="365" t="s">
        <v>274</v>
      </c>
      <c r="F47" s="138">
        <f t="shared" ref="F47:F48" si="1">E47*1.2</f>
        <v>10.8</v>
      </c>
      <c r="G47" s="138">
        <f t="shared" ref="G47:G48" si="2">E47*1.2*0.85</f>
        <v>9.18</v>
      </c>
      <c r="H47" s="138" t="s">
        <v>147</v>
      </c>
      <c r="I47" s="621" t="str">
        <f t="array" ref="I47">INDEX('空中攻撃'!$O$3:$AA$109, MATCH($A$1,'空中攻撃'!$A$3:$A$109,0), MATCH(A47,'空中攻撃'!$O$2:$S$2,0))</f>
        <v>8</v>
      </c>
      <c r="J47" s="216" t="s">
        <v>2882</v>
      </c>
      <c r="K47" s="138"/>
      <c r="L47" s="282"/>
      <c r="M47" s="363"/>
      <c r="N47" s="363"/>
      <c r="O47" s="145">
        <v>0.0</v>
      </c>
      <c r="P47" s="145">
        <v>1.0</v>
      </c>
      <c r="Q47" s="145">
        <v>1.0</v>
      </c>
      <c r="R47" s="622"/>
      <c r="S47" s="110"/>
      <c r="T47" s="110"/>
      <c r="U47" s="110"/>
      <c r="V47" s="109"/>
    </row>
    <row r="48" outlineLevel="1">
      <c r="A48" s="188" t="s">
        <v>157</v>
      </c>
      <c r="B48" s="373"/>
      <c r="C48" s="239" t="s">
        <v>228</v>
      </c>
      <c r="D48" s="452">
        <v>41.0</v>
      </c>
      <c r="E48" s="365" t="s">
        <v>129</v>
      </c>
      <c r="F48" s="138">
        <f t="shared" si="1"/>
        <v>14.4</v>
      </c>
      <c r="G48" s="138">
        <f t="shared" si="2"/>
        <v>12.24</v>
      </c>
      <c r="H48" s="138" t="s">
        <v>75</v>
      </c>
      <c r="I48" s="454">
        <f t="array" ref="I48">INDEX('空中攻撃'!$O$3:$AA$109, MATCH($A$1,'空中攻撃'!$A$3:$A$109,0), MATCH(A48,'空中攻撃'!$O$2:$S$2,0))</f>
        <v>13</v>
      </c>
      <c r="J48" s="455" t="s">
        <v>2671</v>
      </c>
      <c r="K48" s="138"/>
      <c r="L48" s="282"/>
      <c r="M48" s="363"/>
      <c r="N48" s="363"/>
      <c r="O48" s="145">
        <v>0.0</v>
      </c>
      <c r="P48" s="145">
        <v>1.0</v>
      </c>
      <c r="Q48" s="145">
        <v>1.0</v>
      </c>
      <c r="R48" s="619"/>
      <c r="S48" s="164"/>
      <c r="T48" s="164"/>
      <c r="U48" s="164"/>
      <c r="V48" s="104"/>
    </row>
    <row r="49" outlineLevel="1">
      <c r="A49" s="156"/>
      <c r="B49" s="373" t="s">
        <v>84</v>
      </c>
      <c r="C49" s="239" t="s">
        <v>325</v>
      </c>
      <c r="D49" s="107"/>
      <c r="E49" s="239" t="s">
        <v>274</v>
      </c>
      <c r="F49" s="138">
        <v>10.799999999999999</v>
      </c>
      <c r="G49" s="138">
        <v>9.18</v>
      </c>
      <c r="H49" s="138" t="s">
        <v>147</v>
      </c>
      <c r="I49" s="156"/>
      <c r="J49" s="107"/>
      <c r="K49" s="138"/>
      <c r="L49" s="282"/>
      <c r="M49" s="363"/>
      <c r="N49" s="363"/>
      <c r="O49" s="145">
        <v>0.0</v>
      </c>
      <c r="P49" s="145">
        <v>1.0</v>
      </c>
      <c r="Q49" s="145">
        <v>1.0</v>
      </c>
      <c r="R49" s="106"/>
      <c r="S49" s="168"/>
      <c r="T49" s="168"/>
      <c r="U49" s="168"/>
      <c r="V49" s="107"/>
    </row>
    <row r="50" outlineLevel="1">
      <c r="A50" s="213" t="s">
        <v>162</v>
      </c>
      <c r="B50" s="373"/>
      <c r="C50" s="239" t="s">
        <v>4589</v>
      </c>
      <c r="D50" s="774" t="s">
        <v>79</v>
      </c>
      <c r="E50" s="365" t="s">
        <v>128</v>
      </c>
      <c r="F50" s="138">
        <f>E50*1.2</f>
        <v>12</v>
      </c>
      <c r="G50" s="138">
        <f>E50*1.2*0.85</f>
        <v>10.2</v>
      </c>
      <c r="H50" s="138" t="s">
        <v>147</v>
      </c>
      <c r="I50" s="621" t="str">
        <f t="array" ref="I50">INDEX('空中攻撃'!$O$3:$AA$109, MATCH($A$1,'空中攻撃'!$A$3:$A$109,0), MATCH(A50,'空中攻撃'!$O$2:$S$2,0))</f>
        <v>9</v>
      </c>
      <c r="J50" s="450" t="s">
        <v>909</v>
      </c>
      <c r="K50" s="282"/>
      <c r="L50" s="282"/>
      <c r="M50" s="363"/>
      <c r="N50" s="363"/>
      <c r="O50" s="145">
        <v>0.0</v>
      </c>
      <c r="P50" s="145">
        <v>1.0</v>
      </c>
      <c r="Q50" s="145">
        <v>1.0</v>
      </c>
      <c r="R50" s="622"/>
      <c r="S50" s="110"/>
      <c r="T50" s="110"/>
      <c r="U50" s="110"/>
      <c r="V50" s="109"/>
    </row>
    <row r="51" outlineLevel="1">
      <c r="A51" s="188" t="s">
        <v>166</v>
      </c>
      <c r="B51" s="373" t="s">
        <v>199</v>
      </c>
      <c r="C51" s="239" t="s">
        <v>4590</v>
      </c>
      <c r="D51" s="452">
        <v>51.0</v>
      </c>
      <c r="E51" s="239" t="s">
        <v>176</v>
      </c>
      <c r="F51" s="138">
        <v>2.4</v>
      </c>
      <c r="G51" s="138">
        <v>2.04</v>
      </c>
      <c r="H51" s="138" t="s">
        <v>170</v>
      </c>
      <c r="I51" s="454">
        <f t="array" ref="I51">INDEX('空中攻撃'!$O$3:$AA$109, MATCH($A$1,'空中攻撃'!$A$3:$A$109,0), MATCH(A51,'空中攻撃'!$O$2:$S$2,0))</f>
        <v>26</v>
      </c>
      <c r="J51" s="455" t="s">
        <v>4591</v>
      </c>
      <c r="K51" s="282"/>
      <c r="L51" s="282"/>
      <c r="M51" s="363"/>
      <c r="N51" s="363"/>
      <c r="O51" s="145">
        <v>0.0</v>
      </c>
      <c r="P51" s="145">
        <v>1.0</v>
      </c>
      <c r="Q51" s="145">
        <v>1.0</v>
      </c>
      <c r="R51" s="163"/>
      <c r="S51" s="164"/>
      <c r="T51" s="164"/>
      <c r="U51" s="164"/>
      <c r="V51" s="104"/>
    </row>
    <row r="52" outlineLevel="1">
      <c r="A52" s="156"/>
      <c r="B52" s="373" t="s">
        <v>174</v>
      </c>
      <c r="C52" s="239" t="s">
        <v>880</v>
      </c>
      <c r="D52" s="107"/>
      <c r="E52" s="239" t="s">
        <v>204</v>
      </c>
      <c r="F52" s="138">
        <v>3.5999999999999996</v>
      </c>
      <c r="G52" s="138">
        <v>3.6</v>
      </c>
      <c r="H52" s="138" t="s">
        <v>147</v>
      </c>
      <c r="I52" s="156"/>
      <c r="J52" s="107"/>
      <c r="K52" s="282"/>
      <c r="L52" s="282"/>
      <c r="M52" s="363"/>
      <c r="N52" s="363"/>
      <c r="O52" s="145">
        <v>0.0</v>
      </c>
      <c r="P52" s="145">
        <v>1.0</v>
      </c>
      <c r="Q52" s="145">
        <v>1.0</v>
      </c>
      <c r="R52" s="106"/>
      <c r="S52" s="168"/>
      <c r="T52" s="168"/>
      <c r="U52" s="168"/>
      <c r="V52" s="107"/>
    </row>
    <row r="53">
      <c r="A53" s="223"/>
      <c r="B53" s="224"/>
      <c r="C53" s="225"/>
      <c r="D53" s="225"/>
      <c r="E53" s="226"/>
      <c r="F53" s="226"/>
      <c r="G53" s="226"/>
      <c r="H53" s="227"/>
      <c r="I53" s="227"/>
      <c r="J53" s="228"/>
      <c r="K53" s="228"/>
      <c r="L53" s="228"/>
      <c r="M53" s="228"/>
      <c r="N53" s="228"/>
      <c r="O53" s="228"/>
      <c r="P53" s="228"/>
      <c r="Q53" s="118"/>
      <c r="R53" s="118"/>
      <c r="S53" s="118"/>
      <c r="T53" s="118"/>
      <c r="U53" s="118"/>
      <c r="V53" s="118"/>
    </row>
    <row r="54">
      <c r="A54" s="229" t="s">
        <v>177</v>
      </c>
      <c r="B54" s="109"/>
      <c r="C54" s="225"/>
      <c r="D54" s="225"/>
      <c r="E54" s="226"/>
      <c r="F54" s="226"/>
      <c r="G54" s="226"/>
      <c r="H54" s="227"/>
      <c r="I54" s="227"/>
      <c r="J54" s="228"/>
      <c r="K54" s="228"/>
      <c r="L54" s="228"/>
      <c r="M54" s="228"/>
      <c r="N54" s="228"/>
      <c r="O54" s="228"/>
      <c r="P54" s="228"/>
      <c r="Q54" s="118"/>
      <c r="R54" s="118"/>
      <c r="S54" s="118"/>
      <c r="T54" s="118"/>
      <c r="U54" s="118"/>
      <c r="V54" s="118"/>
    </row>
    <row r="55" outlineLevel="1">
      <c r="A55" s="230" t="s">
        <v>4592</v>
      </c>
      <c r="B55" s="109"/>
      <c r="C55" s="231" t="s">
        <v>48</v>
      </c>
      <c r="D55" s="231" t="s">
        <v>49</v>
      </c>
      <c r="E55" s="232" t="s">
        <v>50</v>
      </c>
      <c r="F55" s="233" t="s">
        <v>51</v>
      </c>
      <c r="G55" s="232" t="s">
        <v>52</v>
      </c>
      <c r="H55" s="382" t="str">
        <f>'テンプレート'!H72</f>
        <v>備考</v>
      </c>
      <c r="I55" s="110"/>
      <c r="J55" s="109"/>
      <c r="K55" s="235" t="str">
        <f>'テンプレート'!K72</f>
        <v>ベクトル</v>
      </c>
      <c r="L55" s="235" t="str">
        <f>'テンプレート'!L72</f>
        <v>KBG (R.E.)</v>
      </c>
      <c r="M55" s="235" t="str">
        <f>'テンプレート'!M72</f>
        <v>BKB (R.A.)</v>
      </c>
      <c r="N55" s="235" t="str">
        <f>'テンプレート'!N72</f>
        <v>FKB (R.F.)</v>
      </c>
      <c r="O55" s="236" t="str">
        <f>'テンプレート'!O72</f>
        <v>盾削り値</v>
      </c>
      <c r="P55" s="235" t="str">
        <f>'テンプレート'!P72</f>
        <v>ﾋｯﾄｽﾄｯﾌﾟ</v>
      </c>
      <c r="Q55" s="236" t="str">
        <f>'テンプレート'!Q72</f>
        <v>ずらし</v>
      </c>
      <c r="R55" s="235" t="str">
        <f>'テンプレート'!R72</f>
        <v>相殺</v>
      </c>
      <c r="S55" s="236" t="str">
        <f>'テンプレート'!S72</f>
        <v>相殺ﾓｰｼｮﾝ</v>
      </c>
      <c r="T55" s="236" t="str">
        <f>'テンプレート'!T72</f>
        <v>飛び道具</v>
      </c>
      <c r="U55" s="236" t="str">
        <f>'テンプレート'!U72</f>
        <v>慣性反転</v>
      </c>
      <c r="V55" s="236" t="str">
        <f>'テンプレート'!V72</f>
        <v>向き反転</v>
      </c>
    </row>
    <row r="56" ht="32.25" customHeight="1" outlineLevel="1">
      <c r="A56" s="237" t="s">
        <v>184</v>
      </c>
      <c r="B56" s="243" t="s">
        <v>4593</v>
      </c>
      <c r="C56" s="365" t="s">
        <v>4594</v>
      </c>
      <c r="D56" s="367" t="s">
        <v>601</v>
      </c>
      <c r="E56" s="239" t="s">
        <v>4595</v>
      </c>
      <c r="F56" s="138" t="s">
        <v>4596</v>
      </c>
      <c r="G56" s="239" t="s">
        <v>477</v>
      </c>
      <c r="H56" s="163" t="s">
        <v>4597</v>
      </c>
      <c r="I56" s="164"/>
      <c r="J56" s="104"/>
      <c r="K56" s="138">
        <v>55.0</v>
      </c>
      <c r="L56" s="138">
        <v>80.0</v>
      </c>
      <c r="M56" s="145">
        <v>30.0</v>
      </c>
      <c r="N56" s="145">
        <v>0.0</v>
      </c>
      <c r="O56" s="138">
        <v>0.0</v>
      </c>
      <c r="P56" s="138">
        <v>1.0</v>
      </c>
      <c r="Q56" s="138">
        <v>1.0</v>
      </c>
      <c r="R56" s="145" t="b">
        <v>1</v>
      </c>
      <c r="S56" s="145" t="b">
        <v>0</v>
      </c>
      <c r="T56" s="145" t="b">
        <v>1</v>
      </c>
      <c r="U56" s="166" t="s">
        <v>186</v>
      </c>
      <c r="V56" s="166" t="b">
        <v>1</v>
      </c>
    </row>
    <row r="57" ht="32.25" customHeight="1" outlineLevel="1">
      <c r="A57" s="146"/>
      <c r="B57" s="663" t="s">
        <v>4598</v>
      </c>
      <c r="C57" s="239" t="s">
        <v>443</v>
      </c>
      <c r="D57" s="156"/>
      <c r="E57" s="239" t="s">
        <v>4599</v>
      </c>
      <c r="F57" s="138" t="s">
        <v>4600</v>
      </c>
      <c r="G57" s="239" t="s">
        <v>4601</v>
      </c>
      <c r="H57" s="212"/>
      <c r="J57" s="210"/>
      <c r="K57" s="138">
        <v>50.0</v>
      </c>
      <c r="L57" s="138">
        <v>100.0</v>
      </c>
      <c r="M57" s="145">
        <v>50.0</v>
      </c>
      <c r="N57" s="145">
        <v>0.0</v>
      </c>
      <c r="O57" s="138">
        <v>0.0</v>
      </c>
      <c r="P57" s="138">
        <v>1.0</v>
      </c>
      <c r="Q57" s="138">
        <v>1.0</v>
      </c>
      <c r="R57" s="2826" t="s">
        <v>4602</v>
      </c>
      <c r="S57" s="145" t="b">
        <v>0</v>
      </c>
      <c r="T57" s="145" t="b">
        <v>0</v>
      </c>
      <c r="U57" s="146"/>
      <c r="V57" s="146"/>
    </row>
    <row r="58" ht="32.25" customHeight="1" outlineLevel="1">
      <c r="A58" s="146"/>
      <c r="B58" s="663" t="s">
        <v>4603</v>
      </c>
      <c r="C58" s="239" t="s">
        <v>4604</v>
      </c>
      <c r="D58" s="2827" t="s">
        <v>4605</v>
      </c>
      <c r="E58" s="239" t="s">
        <v>232</v>
      </c>
      <c r="F58" s="138">
        <v>13.2</v>
      </c>
      <c r="G58" s="239" t="s">
        <v>147</v>
      </c>
      <c r="H58" s="212"/>
      <c r="J58" s="210"/>
      <c r="K58" s="138">
        <v>55.0</v>
      </c>
      <c r="L58" s="138">
        <v>80.0</v>
      </c>
      <c r="M58" s="145">
        <v>50.0</v>
      </c>
      <c r="N58" s="145">
        <v>0.0</v>
      </c>
      <c r="O58" s="138">
        <v>0.0</v>
      </c>
      <c r="P58" s="138">
        <v>1.0</v>
      </c>
      <c r="Q58" s="138">
        <v>1.0</v>
      </c>
      <c r="R58" s="145" t="b">
        <v>1</v>
      </c>
      <c r="S58" s="145" t="b">
        <v>0</v>
      </c>
      <c r="T58" s="145" t="b">
        <v>1</v>
      </c>
      <c r="U58" s="146"/>
      <c r="V58" s="146"/>
    </row>
    <row r="59" ht="32.25" customHeight="1" outlineLevel="1">
      <c r="A59" s="146"/>
      <c r="B59" s="663" t="s">
        <v>4606</v>
      </c>
      <c r="C59" s="239" t="s">
        <v>4607</v>
      </c>
      <c r="E59" s="239" t="s">
        <v>718</v>
      </c>
      <c r="F59" s="138">
        <v>24.0</v>
      </c>
      <c r="G59" s="239" t="s">
        <v>1008</v>
      </c>
      <c r="H59" s="106"/>
      <c r="I59" s="168"/>
      <c r="J59" s="107"/>
      <c r="K59" s="138">
        <v>50.0</v>
      </c>
      <c r="L59" s="138">
        <v>100.0</v>
      </c>
      <c r="M59" s="145">
        <v>10.0</v>
      </c>
      <c r="N59" s="145">
        <v>0.0</v>
      </c>
      <c r="O59" s="138">
        <v>0.0</v>
      </c>
      <c r="P59" s="138">
        <v>1.0</v>
      </c>
      <c r="Q59" s="138">
        <v>1.0</v>
      </c>
      <c r="R59" s="2826" t="s">
        <v>4602</v>
      </c>
      <c r="S59" s="145" t="b">
        <v>0</v>
      </c>
      <c r="T59" s="145" t="b">
        <v>0</v>
      </c>
      <c r="U59" s="156"/>
      <c r="V59" s="156"/>
    </row>
    <row r="60" outlineLevel="1">
      <c r="A60" s="230" t="s">
        <v>4608</v>
      </c>
      <c r="B60" s="109"/>
      <c r="C60" s="231" t="s">
        <v>48</v>
      </c>
      <c r="D60" s="231" t="s">
        <v>49</v>
      </c>
      <c r="E60" s="232" t="s">
        <v>50</v>
      </c>
      <c r="F60" s="233" t="s">
        <v>51</v>
      </c>
      <c r="G60" s="232" t="s">
        <v>52</v>
      </c>
      <c r="H60" s="382" t="str">
        <f>'テンプレート'!H75</f>
        <v>備考</v>
      </c>
      <c r="I60" s="110"/>
      <c r="J60" s="109"/>
      <c r="K60" s="235" t="str">
        <f>'テンプレート'!K75</f>
        <v>ベクトル</v>
      </c>
      <c r="L60" s="235" t="str">
        <f>'テンプレート'!L75</f>
        <v>KBG (R.E.)</v>
      </c>
      <c r="M60" s="235" t="str">
        <f>'テンプレート'!M75</f>
        <v>BKB (R.A.)</v>
      </c>
      <c r="N60" s="235" t="str">
        <f>'テンプレート'!N75</f>
        <v>FKB (R.F.)</v>
      </c>
      <c r="O60" s="236" t="str">
        <f>'テンプレート'!O75</f>
        <v>盾削り値</v>
      </c>
      <c r="P60" s="235" t="str">
        <f>'テンプレート'!P75</f>
        <v>ﾋｯﾄｽﾄｯﾌﾟ</v>
      </c>
      <c r="Q60" s="236" t="str">
        <f>'テンプレート'!Q75</f>
        <v>ずらし</v>
      </c>
      <c r="R60" s="235" t="str">
        <f>'テンプレート'!R75</f>
        <v>相殺</v>
      </c>
      <c r="S60" s="236" t="str">
        <f>'テンプレート'!S75</f>
        <v>相殺ﾓｰｼｮﾝ</v>
      </c>
      <c r="T60" s="236" t="str">
        <f>'テンプレート'!T75</f>
        <v>飛び道具</v>
      </c>
      <c r="U60" s="236" t="str">
        <f>'テンプレート'!U75</f>
        <v>慣性反転</v>
      </c>
      <c r="V60" s="236" t="str">
        <f>'テンプレート'!V75</f>
        <v>向き反転</v>
      </c>
    </row>
    <row r="61" outlineLevel="1">
      <c r="A61" s="237" t="s">
        <v>332</v>
      </c>
      <c r="B61" s="243" t="s">
        <v>4609</v>
      </c>
      <c r="C61" s="409"/>
      <c r="D61" s="239" t="s">
        <v>777</v>
      </c>
      <c r="E61" s="409"/>
      <c r="F61" s="281"/>
      <c r="G61" s="281"/>
      <c r="H61" s="140" t="s">
        <v>4610</v>
      </c>
      <c r="I61" s="110"/>
      <c r="J61" s="109"/>
      <c r="K61" s="281"/>
      <c r="L61" s="281"/>
      <c r="M61" s="281"/>
      <c r="N61" s="281"/>
      <c r="O61" s="281"/>
      <c r="P61" s="281"/>
      <c r="Q61" s="281"/>
      <c r="R61" s="281"/>
      <c r="S61" s="281"/>
      <c r="T61" s="281"/>
      <c r="U61" s="166" t="b">
        <v>0</v>
      </c>
      <c r="V61" s="166" t="b">
        <v>1</v>
      </c>
    </row>
    <row r="62" outlineLevel="1">
      <c r="A62" s="156"/>
      <c r="B62" s="243" t="s">
        <v>4611</v>
      </c>
      <c r="C62" s="239" t="s">
        <v>4612</v>
      </c>
      <c r="D62" s="365" t="s">
        <v>79</v>
      </c>
      <c r="E62" s="239" t="s">
        <v>4613</v>
      </c>
      <c r="F62" s="138" t="s">
        <v>4614</v>
      </c>
      <c r="G62" s="239" t="s">
        <v>4615</v>
      </c>
      <c r="H62" s="151" t="s">
        <v>4616</v>
      </c>
      <c r="I62" s="110"/>
      <c r="J62" s="109"/>
      <c r="K62" s="138"/>
      <c r="L62" s="138"/>
      <c r="M62" s="145"/>
      <c r="N62" s="145"/>
      <c r="O62" s="138">
        <v>0.0</v>
      </c>
      <c r="P62" s="138">
        <v>1.0</v>
      </c>
      <c r="Q62" s="138">
        <v>1.0</v>
      </c>
      <c r="R62" s="2826" t="s">
        <v>4602</v>
      </c>
      <c r="S62" s="145" t="b">
        <v>0</v>
      </c>
      <c r="T62" s="145" t="b">
        <v>0</v>
      </c>
      <c r="U62" s="146"/>
      <c r="V62" s="146"/>
    </row>
    <row r="63" outlineLevel="1">
      <c r="A63" s="259" t="s">
        <v>344</v>
      </c>
      <c r="B63" s="243" t="s">
        <v>4617</v>
      </c>
      <c r="C63" s="244" t="s">
        <v>128</v>
      </c>
      <c r="D63" s="365" t="s">
        <v>79</v>
      </c>
      <c r="E63" s="239" t="s">
        <v>4618</v>
      </c>
      <c r="F63" s="138" t="s">
        <v>4619</v>
      </c>
      <c r="G63" s="239" t="s">
        <v>4620</v>
      </c>
      <c r="H63" s="151" t="s">
        <v>4621</v>
      </c>
      <c r="I63" s="110"/>
      <c r="J63" s="109"/>
      <c r="K63" s="138"/>
      <c r="L63" s="138"/>
      <c r="M63" s="145"/>
      <c r="N63" s="145"/>
      <c r="O63" s="138">
        <v>0.0</v>
      </c>
      <c r="P63" s="138">
        <v>1.0</v>
      </c>
      <c r="Q63" s="138">
        <v>1.0</v>
      </c>
      <c r="R63" s="2826" t="s">
        <v>4602</v>
      </c>
      <c r="S63" s="145" t="b">
        <v>0</v>
      </c>
      <c r="T63" s="145" t="b">
        <v>0</v>
      </c>
      <c r="U63" s="156"/>
      <c r="V63" s="156"/>
    </row>
    <row r="64" outlineLevel="1">
      <c r="A64" s="259" t="s">
        <v>184</v>
      </c>
      <c r="B64" s="243" t="s">
        <v>4622</v>
      </c>
      <c r="C64" s="409"/>
      <c r="D64" s="901" t="s">
        <v>228</v>
      </c>
      <c r="E64" s="409"/>
      <c r="F64" s="409"/>
      <c r="G64" s="409"/>
      <c r="H64" s="903" t="s">
        <v>4623</v>
      </c>
      <c r="I64" s="110"/>
      <c r="J64" s="109"/>
      <c r="K64" s="138"/>
      <c r="L64" s="138"/>
      <c r="M64" s="145"/>
      <c r="N64" s="145"/>
      <c r="O64" s="138"/>
      <c r="P64" s="138"/>
      <c r="Q64" s="138"/>
      <c r="R64" s="2826"/>
      <c r="S64" s="145" t="b">
        <v>0</v>
      </c>
      <c r="T64" s="145" t="b">
        <v>0</v>
      </c>
      <c r="U64" s="166"/>
      <c r="V64" s="166"/>
    </row>
    <row r="65" outlineLevel="1">
      <c r="A65" s="237" t="s">
        <v>4622</v>
      </c>
      <c r="B65" s="243" t="s">
        <v>2261</v>
      </c>
      <c r="C65" s="239" t="s">
        <v>3533</v>
      </c>
      <c r="D65" s="367" t="s">
        <v>146</v>
      </c>
      <c r="E65" s="239" t="s">
        <v>129</v>
      </c>
      <c r="F65" s="138">
        <v>14.399999999999999</v>
      </c>
      <c r="G65" s="239" t="s">
        <v>88</v>
      </c>
      <c r="H65" s="283" t="s">
        <v>4624</v>
      </c>
      <c r="I65" s="164"/>
      <c r="J65" s="104"/>
      <c r="K65" s="138"/>
      <c r="L65" s="138"/>
      <c r="M65" s="145"/>
      <c r="N65" s="145"/>
      <c r="O65" s="138">
        <v>0.0</v>
      </c>
      <c r="P65" s="138">
        <v>1.0</v>
      </c>
      <c r="Q65" s="138">
        <v>1.0</v>
      </c>
      <c r="R65" s="145" t="b">
        <v>1</v>
      </c>
      <c r="S65" s="145" t="b">
        <v>0</v>
      </c>
      <c r="T65" s="145"/>
      <c r="U65" s="146"/>
      <c r="V65" s="146"/>
    </row>
    <row r="66" outlineLevel="1">
      <c r="A66" s="146"/>
      <c r="B66" s="243" t="s">
        <v>4625</v>
      </c>
      <c r="C66" s="239" t="s">
        <v>1497</v>
      </c>
      <c r="D66" s="146"/>
      <c r="E66" s="239" t="s">
        <v>93</v>
      </c>
      <c r="F66" s="138">
        <v>8.4</v>
      </c>
      <c r="G66" s="239" t="s">
        <v>95</v>
      </c>
      <c r="H66" s="106"/>
      <c r="I66" s="168"/>
      <c r="J66" s="107"/>
      <c r="K66" s="138"/>
      <c r="L66" s="138"/>
      <c r="M66" s="145"/>
      <c r="N66" s="145"/>
      <c r="O66" s="138">
        <v>0.0</v>
      </c>
      <c r="P66" s="138">
        <v>1.0</v>
      </c>
      <c r="Q66" s="138">
        <v>1.0</v>
      </c>
      <c r="R66" s="145" t="b">
        <v>1</v>
      </c>
      <c r="S66" s="145" t="b">
        <v>0</v>
      </c>
      <c r="T66" s="145"/>
      <c r="U66" s="146"/>
      <c r="V66" s="146"/>
    </row>
    <row r="67" outlineLevel="1">
      <c r="A67" s="146"/>
      <c r="B67" s="243" t="s">
        <v>4626</v>
      </c>
      <c r="C67" s="239" t="s">
        <v>86</v>
      </c>
      <c r="D67" s="367" t="s">
        <v>146</v>
      </c>
      <c r="E67" s="239" t="s">
        <v>150</v>
      </c>
      <c r="F67" s="138">
        <v>6.0</v>
      </c>
      <c r="G67" s="239" t="s">
        <v>102</v>
      </c>
      <c r="H67" s="283" t="s">
        <v>4627</v>
      </c>
      <c r="I67" s="164"/>
      <c r="J67" s="104"/>
      <c r="K67" s="138"/>
      <c r="L67" s="138"/>
      <c r="M67" s="145"/>
      <c r="N67" s="145"/>
      <c r="O67" s="138">
        <v>0.0</v>
      </c>
      <c r="P67" s="138">
        <v>1.0</v>
      </c>
      <c r="Q67" s="138">
        <v>1.0</v>
      </c>
      <c r="R67" s="145" t="b">
        <v>1</v>
      </c>
      <c r="S67" s="145" t="b">
        <v>0</v>
      </c>
      <c r="T67" s="145"/>
      <c r="U67" s="146"/>
      <c r="V67" s="146"/>
    </row>
    <row r="68" outlineLevel="1">
      <c r="A68" s="146"/>
      <c r="B68" s="243" t="s">
        <v>2262</v>
      </c>
      <c r="C68" s="239" t="s">
        <v>3545</v>
      </c>
      <c r="D68" s="146"/>
      <c r="E68" s="239" t="s">
        <v>129</v>
      </c>
      <c r="F68" s="138">
        <v>14.399999999999999</v>
      </c>
      <c r="G68" s="239" t="s">
        <v>88</v>
      </c>
      <c r="H68" s="212"/>
      <c r="J68" s="210"/>
      <c r="K68" s="138"/>
      <c r="L68" s="138"/>
      <c r="M68" s="145"/>
      <c r="N68" s="145"/>
      <c r="O68" s="138">
        <v>0.0</v>
      </c>
      <c r="P68" s="138">
        <v>1.0</v>
      </c>
      <c r="Q68" s="138">
        <v>1.0</v>
      </c>
      <c r="R68" s="145" t="b">
        <v>1</v>
      </c>
      <c r="S68" s="145" t="b">
        <v>0</v>
      </c>
      <c r="T68" s="145"/>
      <c r="U68" s="146"/>
      <c r="V68" s="146"/>
    </row>
    <row r="69" outlineLevel="1">
      <c r="A69" s="146"/>
      <c r="B69" s="243" t="s">
        <v>4628</v>
      </c>
      <c r="C69" s="239" t="s">
        <v>1502</v>
      </c>
      <c r="D69" s="156"/>
      <c r="E69" s="239" t="s">
        <v>93</v>
      </c>
      <c r="F69" s="138">
        <v>8.4</v>
      </c>
      <c r="G69" s="239" t="s">
        <v>95</v>
      </c>
      <c r="H69" s="106"/>
      <c r="I69" s="168"/>
      <c r="J69" s="107"/>
      <c r="K69" s="138"/>
      <c r="L69" s="138"/>
      <c r="M69" s="145"/>
      <c r="N69" s="145"/>
      <c r="O69" s="138">
        <v>0.0</v>
      </c>
      <c r="P69" s="138">
        <v>1.0</v>
      </c>
      <c r="Q69" s="138">
        <v>1.0</v>
      </c>
      <c r="R69" s="145" t="b">
        <v>1</v>
      </c>
      <c r="S69" s="145" t="b">
        <v>0</v>
      </c>
      <c r="T69" s="145"/>
      <c r="U69" s="146"/>
      <c r="V69" s="146"/>
    </row>
    <row r="70" outlineLevel="1">
      <c r="A70" s="146"/>
      <c r="B70" s="243" t="s">
        <v>242</v>
      </c>
      <c r="C70" s="409"/>
      <c r="D70" s="365" t="s">
        <v>99</v>
      </c>
      <c r="E70" s="409"/>
      <c r="F70" s="281"/>
      <c r="G70" s="281"/>
      <c r="H70" s="140" t="s">
        <v>4629</v>
      </c>
      <c r="I70" s="110"/>
      <c r="J70" s="109"/>
      <c r="K70" s="281"/>
      <c r="L70" s="281"/>
      <c r="M70" s="281"/>
      <c r="N70" s="281"/>
      <c r="O70" s="281"/>
      <c r="P70" s="281"/>
      <c r="Q70" s="281"/>
      <c r="R70" s="281"/>
      <c r="S70" s="281"/>
      <c r="T70" s="281"/>
      <c r="U70" s="146"/>
      <c r="V70" s="146"/>
    </row>
    <row r="71" outlineLevel="1">
      <c r="A71" s="156"/>
      <c r="B71" s="243" t="s">
        <v>4630</v>
      </c>
      <c r="C71" s="409"/>
      <c r="D71" s="239" t="s">
        <v>296</v>
      </c>
      <c r="E71" s="409"/>
      <c r="F71" s="281"/>
      <c r="G71" s="281"/>
      <c r="H71" s="2046" t="s">
        <v>4631</v>
      </c>
      <c r="K71" s="281"/>
      <c r="L71" s="281"/>
      <c r="M71" s="281"/>
      <c r="N71" s="281"/>
      <c r="O71" s="281"/>
      <c r="P71" s="281"/>
      <c r="Q71" s="281"/>
      <c r="R71" s="281"/>
      <c r="S71" s="281"/>
      <c r="T71" s="281"/>
      <c r="U71" s="156"/>
      <c r="V71" s="156"/>
    </row>
    <row r="72" outlineLevel="1">
      <c r="A72" s="230" t="s">
        <v>4632</v>
      </c>
      <c r="B72" s="109"/>
      <c r="C72" s="231" t="s">
        <v>48</v>
      </c>
      <c r="D72" s="231" t="s">
        <v>49</v>
      </c>
      <c r="E72" s="232" t="s">
        <v>50</v>
      </c>
      <c r="F72" s="233" t="s">
        <v>51</v>
      </c>
      <c r="G72" s="232" t="s">
        <v>52</v>
      </c>
      <c r="H72" s="382" t="str">
        <f>'テンプレート'!H80</f>
        <v>備考</v>
      </c>
      <c r="I72" s="110"/>
      <c r="J72" s="109"/>
      <c r="K72" s="235" t="str">
        <f>'テンプレート'!K80</f>
        <v>ベクトル</v>
      </c>
      <c r="L72" s="235" t="str">
        <f>'テンプレート'!L80</f>
        <v>KBG (R.E.)</v>
      </c>
      <c r="M72" s="235" t="str">
        <f>'テンプレート'!M80</f>
        <v>BKB (R.A.)</v>
      </c>
      <c r="N72" s="235" t="str">
        <f>'テンプレート'!N80</f>
        <v>FKB (R.F.)</v>
      </c>
      <c r="O72" s="236" t="str">
        <f>'テンプレート'!O80</f>
        <v>盾削り値</v>
      </c>
      <c r="P72" s="235" t="str">
        <f>'テンプレート'!P80</f>
        <v>ﾋｯﾄｽﾄｯﾌﾟ</v>
      </c>
      <c r="Q72" s="236" t="str">
        <f>'テンプレート'!Q80</f>
        <v>ずらし</v>
      </c>
      <c r="R72" s="235" t="str">
        <f>'テンプレート'!R80</f>
        <v>相殺</v>
      </c>
      <c r="S72" s="236" t="str">
        <f>'テンプレート'!S80</f>
        <v>相殺ﾓｰｼｮﾝ</v>
      </c>
      <c r="T72" s="236" t="str">
        <f>'テンプレート'!T80</f>
        <v>飛び道具</v>
      </c>
      <c r="U72" s="236" t="str">
        <f>'テンプレート'!U80</f>
        <v>慣性反転</v>
      </c>
      <c r="V72" s="236" t="str">
        <f>'テンプレート'!V80</f>
        <v>向き反転</v>
      </c>
    </row>
    <row r="73" ht="18.75" customHeight="1" outlineLevel="1">
      <c r="A73" s="546" t="s">
        <v>184</v>
      </c>
      <c r="B73" s="402" t="s">
        <v>152</v>
      </c>
      <c r="C73" s="239" t="s">
        <v>653</v>
      </c>
      <c r="D73" s="250"/>
      <c r="E73" s="139" t="s">
        <v>4633</v>
      </c>
      <c r="F73" s="138" t="s">
        <v>4634</v>
      </c>
      <c r="G73" s="239" t="s">
        <v>4635</v>
      </c>
      <c r="H73" s="386" t="s">
        <v>4636</v>
      </c>
      <c r="I73" s="164"/>
      <c r="J73" s="104"/>
      <c r="K73" s="138"/>
      <c r="L73" s="138"/>
      <c r="M73" s="145"/>
      <c r="N73" s="145"/>
      <c r="O73" s="138"/>
      <c r="P73" s="138"/>
      <c r="Q73" s="138"/>
      <c r="R73" s="145"/>
      <c r="S73" s="145"/>
      <c r="T73" s="145"/>
      <c r="U73" s="166" t="s">
        <v>2352</v>
      </c>
      <c r="V73" s="166"/>
    </row>
    <row r="74" outlineLevel="1">
      <c r="A74" s="146"/>
      <c r="B74" s="402" t="s">
        <v>199</v>
      </c>
      <c r="C74" s="239" t="s">
        <v>4637</v>
      </c>
      <c r="D74" s="146"/>
      <c r="E74" s="239" t="s">
        <v>1614</v>
      </c>
      <c r="F74" s="138">
        <v>1.44</v>
      </c>
      <c r="G74" s="239" t="s">
        <v>170</v>
      </c>
      <c r="H74" s="212"/>
      <c r="J74" s="210"/>
      <c r="K74" s="138"/>
      <c r="L74" s="138"/>
      <c r="M74" s="145"/>
      <c r="N74" s="145"/>
      <c r="O74" s="138">
        <v>0.0</v>
      </c>
      <c r="P74" s="138">
        <v>1.0</v>
      </c>
      <c r="Q74" s="138">
        <v>1.0</v>
      </c>
      <c r="R74" s="145" t="b">
        <v>1</v>
      </c>
      <c r="S74" s="145" t="b">
        <v>0</v>
      </c>
      <c r="T74" s="145"/>
      <c r="U74" s="146"/>
      <c r="V74" s="146"/>
    </row>
    <row r="75" ht="18.75" customHeight="1" outlineLevel="1">
      <c r="A75" s="156"/>
      <c r="B75" s="402" t="s">
        <v>202</v>
      </c>
      <c r="C75" s="239" t="s">
        <v>433</v>
      </c>
      <c r="D75" s="156"/>
      <c r="E75" s="239" t="s">
        <v>204</v>
      </c>
      <c r="F75" s="138">
        <v>3.5999999999999996</v>
      </c>
      <c r="G75" s="239" t="s">
        <v>147</v>
      </c>
      <c r="H75" s="106"/>
      <c r="I75" s="168"/>
      <c r="J75" s="107"/>
      <c r="K75" s="138"/>
      <c r="L75" s="138"/>
      <c r="M75" s="145"/>
      <c r="N75" s="145"/>
      <c r="O75" s="138">
        <v>0.0</v>
      </c>
      <c r="P75" s="138">
        <v>1.0</v>
      </c>
      <c r="Q75" s="138">
        <v>1.0</v>
      </c>
      <c r="R75" s="145" t="b">
        <v>1</v>
      </c>
      <c r="S75" s="145" t="b">
        <v>0</v>
      </c>
      <c r="T75" s="145"/>
      <c r="U75" s="156"/>
      <c r="V75" s="156"/>
    </row>
    <row r="76" outlineLevel="1">
      <c r="A76" s="230" t="s">
        <v>4638</v>
      </c>
      <c r="B76" s="109"/>
      <c r="C76" s="231" t="s">
        <v>48</v>
      </c>
      <c r="D76" s="231" t="s">
        <v>49</v>
      </c>
      <c r="E76" s="232" t="s">
        <v>50</v>
      </c>
      <c r="F76" s="233" t="s">
        <v>51</v>
      </c>
      <c r="G76" s="232" t="s">
        <v>52</v>
      </c>
      <c r="H76" s="382" t="str">
        <f>'テンプレート'!H85</f>
        <v>備考</v>
      </c>
      <c r="I76" s="110"/>
      <c r="J76" s="109"/>
      <c r="K76" s="235" t="str">
        <f>'テンプレート'!K85</f>
        <v>ベクトル</v>
      </c>
      <c r="L76" s="235" t="str">
        <f>'テンプレート'!L85</f>
        <v>KBG (R.E.)</v>
      </c>
      <c r="M76" s="235" t="str">
        <f>'テンプレート'!M85</f>
        <v>BKB (R.A.)</v>
      </c>
      <c r="N76" s="235" t="str">
        <f>'テンプレート'!N85</f>
        <v>FKB (R.F.)</v>
      </c>
      <c r="O76" s="236" t="str">
        <f>'テンプレート'!O85</f>
        <v>盾削り値</v>
      </c>
      <c r="P76" s="235" t="str">
        <f>'テンプレート'!P85</f>
        <v>ﾋｯﾄｽﾄｯﾌﾟ</v>
      </c>
      <c r="Q76" s="236" t="str">
        <f>'テンプレート'!Q85</f>
        <v>ずらし</v>
      </c>
      <c r="R76" s="235" t="str">
        <f>'テンプレート'!R85</f>
        <v>相殺</v>
      </c>
      <c r="S76" s="236" t="str">
        <f>'テンプレート'!S85</f>
        <v>相殺ﾓｰｼｮﾝ</v>
      </c>
      <c r="T76" s="236" t="str">
        <f>'テンプレート'!T85</f>
        <v>飛び道具</v>
      </c>
      <c r="U76" s="236" t="str">
        <f>'テンプレート'!U85</f>
        <v>慣性反転</v>
      </c>
      <c r="V76" s="236" t="str">
        <f>'テンプレート'!V85</f>
        <v>向き反転</v>
      </c>
    </row>
    <row r="77" outlineLevel="1">
      <c r="A77" s="546" t="s">
        <v>184</v>
      </c>
      <c r="B77" s="402" t="s">
        <v>1837</v>
      </c>
      <c r="C77" s="239" t="s">
        <v>4639</v>
      </c>
      <c r="D77" s="239" t="s">
        <v>1577</v>
      </c>
      <c r="E77" s="409"/>
      <c r="F77" s="281"/>
      <c r="G77" s="281"/>
      <c r="H77" s="283" t="s">
        <v>4640</v>
      </c>
      <c r="I77" s="164"/>
      <c r="J77" s="164"/>
      <c r="K77" s="281"/>
      <c r="L77" s="281"/>
      <c r="M77" s="281"/>
      <c r="N77" s="281"/>
      <c r="O77" s="281"/>
      <c r="P77" s="281"/>
      <c r="Q77" s="281"/>
      <c r="R77" s="281"/>
      <c r="S77" s="281"/>
      <c r="T77" s="281"/>
      <c r="U77" s="166" t="b">
        <v>0</v>
      </c>
      <c r="V77" s="166" t="b">
        <v>0</v>
      </c>
    </row>
    <row r="78" outlineLevel="1">
      <c r="A78" s="156"/>
      <c r="B78" s="402" t="s">
        <v>243</v>
      </c>
      <c r="C78" s="239" t="s">
        <v>4641</v>
      </c>
      <c r="D78" s="239" t="s">
        <v>208</v>
      </c>
      <c r="E78" s="239" t="s">
        <v>673</v>
      </c>
      <c r="F78" s="138" t="s">
        <v>674</v>
      </c>
      <c r="G78" s="239" t="s">
        <v>675</v>
      </c>
      <c r="H78" s="140" t="s">
        <v>4642</v>
      </c>
      <c r="I78" s="110"/>
      <c r="J78" s="109"/>
      <c r="K78" s="138"/>
      <c r="L78" s="138"/>
      <c r="M78" s="145"/>
      <c r="N78" s="145"/>
      <c r="O78" s="138">
        <v>0.0</v>
      </c>
      <c r="P78" s="138">
        <v>1.0</v>
      </c>
      <c r="Q78" s="138">
        <v>1.0</v>
      </c>
      <c r="R78" s="145" t="b">
        <v>0</v>
      </c>
      <c r="S78" s="145" t="b">
        <v>0</v>
      </c>
      <c r="T78" s="145"/>
      <c r="U78" s="156"/>
      <c r="V78" s="156"/>
    </row>
    <row r="79">
      <c r="A79" s="223"/>
      <c r="B79" s="224"/>
      <c r="C79" s="225"/>
      <c r="D79" s="225"/>
      <c r="E79" s="226"/>
      <c r="F79" s="226"/>
      <c r="G79" s="226"/>
      <c r="H79" s="227"/>
      <c r="I79" s="227"/>
      <c r="J79" s="228"/>
      <c r="K79" s="228"/>
      <c r="L79" s="228"/>
      <c r="M79" s="228"/>
      <c r="N79" s="228"/>
      <c r="O79" s="228"/>
      <c r="P79" s="228"/>
      <c r="Q79" s="118"/>
      <c r="R79" s="118"/>
      <c r="S79" s="118"/>
      <c r="T79" s="118"/>
      <c r="U79" s="118"/>
      <c r="V79" s="118"/>
    </row>
    <row r="80">
      <c r="A80" s="264" t="s">
        <v>211</v>
      </c>
      <c r="B80" s="104"/>
      <c r="C80" s="227"/>
      <c r="D80" s="227"/>
      <c r="E80" s="228"/>
      <c r="F80" s="265"/>
      <c r="G80" s="265"/>
      <c r="H80" s="228"/>
      <c r="I80" s="228"/>
      <c r="J80" s="228"/>
      <c r="K80" s="228"/>
      <c r="L80" s="228"/>
      <c r="M80" s="228"/>
      <c r="N80" s="118"/>
      <c r="O80" s="118"/>
      <c r="P80" s="118"/>
      <c r="Q80" s="228"/>
      <c r="R80" s="228"/>
      <c r="S80" s="228"/>
      <c r="T80" s="228"/>
      <c r="U80" s="228"/>
      <c r="V80" s="228"/>
    </row>
    <row r="81" outlineLevel="1">
      <c r="A81" s="106"/>
      <c r="B81" s="107"/>
      <c r="C81" s="266" t="s">
        <v>48</v>
      </c>
      <c r="D81" s="266" t="s">
        <v>49</v>
      </c>
      <c r="E81" s="266" t="s">
        <v>50</v>
      </c>
      <c r="F81" s="267" t="s">
        <v>51</v>
      </c>
      <c r="G81" s="227"/>
      <c r="H81" s="227"/>
      <c r="I81" s="227"/>
      <c r="J81" s="228"/>
      <c r="K81" s="228"/>
      <c r="L81" s="228"/>
      <c r="M81" s="228"/>
      <c r="N81" s="228"/>
      <c r="O81" s="228"/>
      <c r="P81" s="228"/>
      <c r="Q81" s="228"/>
      <c r="R81" s="228"/>
      <c r="S81" s="228"/>
      <c r="T81" s="228"/>
      <c r="U81" s="228"/>
      <c r="V81" s="228"/>
    </row>
    <row r="82" outlineLevel="1">
      <c r="A82" s="268" t="s">
        <v>212</v>
      </c>
      <c r="B82" s="269" t="s">
        <v>212</v>
      </c>
      <c r="C82" s="239" t="s">
        <v>213</v>
      </c>
      <c r="D82" s="239" t="s">
        <v>86</v>
      </c>
      <c r="E82" s="239" t="s">
        <v>214</v>
      </c>
      <c r="F82" s="138">
        <v>1.56</v>
      </c>
      <c r="G82" s="227"/>
      <c r="H82" s="227"/>
      <c r="I82" s="227"/>
      <c r="J82" s="228"/>
      <c r="K82" s="228"/>
      <c r="L82" s="228"/>
      <c r="M82" s="228"/>
      <c r="N82" s="228"/>
      <c r="O82" s="228"/>
      <c r="P82" s="228"/>
      <c r="Q82" s="228"/>
      <c r="R82" s="228"/>
      <c r="S82" s="228"/>
      <c r="T82" s="228"/>
      <c r="U82" s="228"/>
      <c r="V82" s="228"/>
    </row>
    <row r="83" outlineLevel="1">
      <c r="A83" s="270" t="s">
        <v>215</v>
      </c>
      <c r="B83" s="269" t="s">
        <v>216</v>
      </c>
      <c r="C83" s="239" t="s">
        <v>319</v>
      </c>
      <c r="D83" s="239" t="s">
        <v>224</v>
      </c>
      <c r="E83" s="271"/>
      <c r="F83" s="272"/>
      <c r="G83" s="272"/>
      <c r="H83" s="227"/>
      <c r="I83" s="227"/>
      <c r="J83" s="228"/>
      <c r="K83" s="228"/>
      <c r="L83" s="228"/>
      <c r="M83" s="228"/>
      <c r="N83" s="228"/>
      <c r="O83" s="228"/>
      <c r="P83" s="228"/>
      <c r="Q83" s="228"/>
      <c r="R83" s="228"/>
      <c r="S83" s="228"/>
      <c r="T83" s="228"/>
      <c r="U83" s="228"/>
      <c r="V83" s="228"/>
    </row>
    <row r="84" outlineLevel="1">
      <c r="A84" s="212"/>
      <c r="B84" s="269" t="s">
        <v>219</v>
      </c>
      <c r="C84" s="239" t="s">
        <v>223</v>
      </c>
      <c r="D84" s="239" t="s">
        <v>393</v>
      </c>
      <c r="E84" s="271"/>
      <c r="F84" s="272"/>
      <c r="G84" s="272"/>
      <c r="H84" s="227"/>
      <c r="I84" s="227"/>
      <c r="J84" s="228"/>
      <c r="K84" s="228"/>
      <c r="L84" s="228"/>
      <c r="M84" s="228"/>
      <c r="N84" s="228"/>
      <c r="O84" s="228"/>
      <c r="P84" s="228"/>
      <c r="Q84" s="228"/>
      <c r="R84" s="228"/>
      <c r="S84" s="228"/>
      <c r="T84" s="228"/>
      <c r="U84" s="228"/>
      <c r="V84" s="228"/>
    </row>
    <row r="85" outlineLevel="1">
      <c r="A85" s="106"/>
      <c r="B85" s="269" t="s">
        <v>222</v>
      </c>
      <c r="C85" s="239" t="s">
        <v>299</v>
      </c>
      <c r="D85" s="239" t="s">
        <v>118</v>
      </c>
      <c r="E85" s="227"/>
      <c r="F85" s="272"/>
      <c r="G85" s="272"/>
      <c r="H85" s="227"/>
      <c r="I85" s="227"/>
      <c r="J85" s="228"/>
      <c r="K85" s="228"/>
      <c r="L85" s="228"/>
      <c r="M85" s="228"/>
      <c r="N85" s="228"/>
      <c r="O85" s="228"/>
      <c r="P85" s="228"/>
      <c r="Q85" s="228"/>
      <c r="R85" s="228"/>
      <c r="S85" s="228"/>
      <c r="T85" s="228"/>
      <c r="U85" s="228"/>
      <c r="V85" s="228"/>
    </row>
    <row r="86" outlineLevel="1">
      <c r="A86" s="273" t="s">
        <v>225</v>
      </c>
      <c r="B86" s="109"/>
      <c r="C86" s="266" t="s">
        <v>48</v>
      </c>
      <c r="D86" s="266" t="s">
        <v>49</v>
      </c>
      <c r="E86" s="266" t="s">
        <v>50</v>
      </c>
      <c r="F86" s="267" t="s">
        <v>51</v>
      </c>
      <c r="G86" s="1168" t="s">
        <v>53</v>
      </c>
      <c r="H86" s="110"/>
      <c r="I86" s="110"/>
      <c r="J86" s="109"/>
      <c r="K86" s="275" t="str">
        <f>'テンプレート'!K97</f>
        <v>ベクトル</v>
      </c>
      <c r="L86" s="275" t="str">
        <f>'テンプレート'!L97</f>
        <v>KBG (R.E.)</v>
      </c>
      <c r="M86" s="275" t="str">
        <f>'テンプレート'!M97</f>
        <v>BKB (R.A.)</v>
      </c>
      <c r="N86" s="275" t="str">
        <f>'テンプレート'!N97</f>
        <v>FKB (R.F.)</v>
      </c>
      <c r="O86" s="276" t="str">
        <f>'テンプレート'!O97</f>
        <v>盾削り値</v>
      </c>
      <c r="P86" s="275" t="str">
        <f>'テンプレート'!P97</f>
        <v>ﾋｯﾄｽﾄｯﾌﾟ</v>
      </c>
      <c r="Q86" s="276" t="str">
        <f>'テンプレート'!Q97</f>
        <v>ずらし</v>
      </c>
      <c r="R86" s="277"/>
      <c r="S86" s="277"/>
      <c r="T86" s="277"/>
      <c r="U86" s="277"/>
      <c r="V86" s="277"/>
    </row>
    <row r="87" outlineLevel="1">
      <c r="A87" s="278" t="s">
        <v>226</v>
      </c>
      <c r="B87" s="269" t="s">
        <v>227</v>
      </c>
      <c r="C87" s="239" t="s">
        <v>119</v>
      </c>
      <c r="D87" s="279">
        <v>34.0</v>
      </c>
      <c r="E87" s="239" t="s">
        <v>4446</v>
      </c>
      <c r="F87" s="138" t="s">
        <v>4447</v>
      </c>
      <c r="G87" s="283" t="s">
        <v>4643</v>
      </c>
      <c r="H87" s="164"/>
      <c r="I87" s="164"/>
      <c r="J87" s="104"/>
      <c r="K87" s="282"/>
      <c r="L87" s="282"/>
      <c r="M87" s="363"/>
      <c r="N87" s="363"/>
      <c r="O87" s="145">
        <v>1.0</v>
      </c>
      <c r="P87" s="145">
        <v>1.0</v>
      </c>
      <c r="Q87" s="145">
        <v>1.0</v>
      </c>
      <c r="R87" s="277"/>
      <c r="S87" s="228"/>
      <c r="T87" s="228"/>
      <c r="U87" s="228"/>
      <c r="V87" s="228"/>
    </row>
    <row r="88" outlineLevel="1">
      <c r="A88" s="156"/>
      <c r="B88" s="269" t="s">
        <v>225</v>
      </c>
      <c r="C88" s="239" t="s">
        <v>386</v>
      </c>
      <c r="D88" s="156"/>
      <c r="E88" s="239" t="s">
        <v>176</v>
      </c>
      <c r="F88" s="138">
        <v>2.4</v>
      </c>
      <c r="G88" s="106"/>
      <c r="H88" s="168"/>
      <c r="I88" s="168"/>
      <c r="J88" s="107"/>
      <c r="K88" s="282"/>
      <c r="L88" s="282"/>
      <c r="M88" s="363"/>
      <c r="N88" s="363"/>
      <c r="O88" s="261"/>
      <c r="P88" s="261"/>
      <c r="Q88" s="261"/>
      <c r="R88" s="277"/>
      <c r="S88" s="228"/>
      <c r="T88" s="228"/>
      <c r="U88" s="228"/>
      <c r="V88" s="228"/>
    </row>
    <row r="89" outlineLevel="1">
      <c r="A89" s="278" t="s">
        <v>229</v>
      </c>
      <c r="B89" s="269" t="s">
        <v>227</v>
      </c>
      <c r="C89" s="239" t="s">
        <v>129</v>
      </c>
      <c r="D89" s="279">
        <v>37.0</v>
      </c>
      <c r="E89" s="239" t="s">
        <v>4644</v>
      </c>
      <c r="F89" s="138" t="s">
        <v>4645</v>
      </c>
      <c r="G89" s="283" t="s">
        <v>4646</v>
      </c>
      <c r="H89" s="164"/>
      <c r="I89" s="164"/>
      <c r="J89" s="104"/>
      <c r="K89" s="282"/>
      <c r="L89" s="282"/>
      <c r="M89" s="363"/>
      <c r="N89" s="363"/>
      <c r="O89" s="145">
        <v>1.0</v>
      </c>
      <c r="P89" s="145">
        <v>1.0</v>
      </c>
      <c r="Q89" s="145">
        <v>1.0</v>
      </c>
      <c r="R89" s="277"/>
      <c r="S89" s="228"/>
      <c r="T89" s="228"/>
      <c r="U89" s="228"/>
      <c r="V89" s="228"/>
    </row>
    <row r="90" outlineLevel="1">
      <c r="A90" s="156"/>
      <c r="B90" s="269" t="s">
        <v>225</v>
      </c>
      <c r="C90" s="239" t="s">
        <v>228</v>
      </c>
      <c r="D90" s="156"/>
      <c r="E90" s="239" t="s">
        <v>176</v>
      </c>
      <c r="F90" s="138">
        <v>2.4</v>
      </c>
      <c r="G90" s="106"/>
      <c r="H90" s="168"/>
      <c r="I90" s="168"/>
      <c r="J90" s="107"/>
      <c r="K90" s="282"/>
      <c r="L90" s="282"/>
      <c r="M90" s="363"/>
      <c r="N90" s="363"/>
      <c r="O90" s="261"/>
      <c r="P90" s="261"/>
      <c r="Q90" s="261"/>
      <c r="R90" s="277"/>
      <c r="S90" s="228"/>
      <c r="T90" s="228"/>
      <c r="U90" s="228"/>
      <c r="V90" s="228"/>
    </row>
    <row r="91" outlineLevel="1">
      <c r="A91" s="278" t="s">
        <v>233</v>
      </c>
      <c r="B91" s="269" t="s">
        <v>227</v>
      </c>
      <c r="C91" s="239" t="s">
        <v>129</v>
      </c>
      <c r="D91" s="279">
        <v>51.0</v>
      </c>
      <c r="E91" s="239" t="s">
        <v>2134</v>
      </c>
      <c r="F91" s="138">
        <v>7.8</v>
      </c>
      <c r="G91" s="1170"/>
      <c r="H91" s="164"/>
      <c r="I91" s="164"/>
      <c r="J91" s="104"/>
      <c r="K91" s="282"/>
      <c r="L91" s="282"/>
      <c r="M91" s="363"/>
      <c r="N91" s="363"/>
      <c r="O91" s="145">
        <v>1.0</v>
      </c>
      <c r="P91" s="145">
        <v>1.0</v>
      </c>
      <c r="Q91" s="145">
        <v>1.0</v>
      </c>
      <c r="R91" s="277"/>
      <c r="S91" s="228"/>
      <c r="T91" s="228"/>
      <c r="U91" s="228"/>
      <c r="V91" s="228"/>
    </row>
    <row r="92" outlineLevel="1">
      <c r="A92" s="156"/>
      <c r="B92" s="269" t="s">
        <v>225</v>
      </c>
      <c r="C92" s="239" t="s">
        <v>228</v>
      </c>
      <c r="D92" s="156"/>
      <c r="E92" s="239" t="s">
        <v>204</v>
      </c>
      <c r="F92" s="138">
        <v>3.5999999999999996</v>
      </c>
      <c r="G92" s="106"/>
      <c r="H92" s="168"/>
      <c r="I92" s="168"/>
      <c r="J92" s="107"/>
      <c r="K92" s="282"/>
      <c r="L92" s="282"/>
      <c r="M92" s="363"/>
      <c r="N92" s="363"/>
      <c r="O92" s="261"/>
      <c r="P92" s="261"/>
      <c r="Q92" s="261"/>
      <c r="R92" s="277"/>
      <c r="S92" s="117"/>
      <c r="T92" s="117"/>
      <c r="U92" s="117"/>
      <c r="V92" s="117"/>
    </row>
    <row r="93" outlineLevel="1">
      <c r="A93" s="278" t="s">
        <v>234</v>
      </c>
      <c r="B93" s="269" t="s">
        <v>227</v>
      </c>
      <c r="C93" s="239" t="s">
        <v>876</v>
      </c>
      <c r="D93" s="279">
        <v>54.0</v>
      </c>
      <c r="E93" s="239" t="s">
        <v>2134</v>
      </c>
      <c r="F93" s="138">
        <v>7.8</v>
      </c>
      <c r="G93" s="1170"/>
      <c r="H93" s="164"/>
      <c r="I93" s="164"/>
      <c r="J93" s="104"/>
      <c r="K93" s="282"/>
      <c r="L93" s="282"/>
      <c r="M93" s="363"/>
      <c r="N93" s="363"/>
      <c r="O93" s="145">
        <v>1.0</v>
      </c>
      <c r="P93" s="145">
        <v>1.0</v>
      </c>
      <c r="Q93" s="145">
        <v>1.0</v>
      </c>
      <c r="R93" s="277"/>
      <c r="S93" s="117"/>
      <c r="T93" s="117"/>
      <c r="U93" s="117"/>
      <c r="V93" s="117"/>
    </row>
    <row r="94" outlineLevel="1">
      <c r="A94" s="156"/>
      <c r="B94" s="269" t="s">
        <v>225</v>
      </c>
      <c r="C94" s="239" t="s">
        <v>105</v>
      </c>
      <c r="D94" s="156"/>
      <c r="E94" s="239" t="s">
        <v>204</v>
      </c>
      <c r="F94" s="138">
        <v>3.5999999999999996</v>
      </c>
      <c r="G94" s="106"/>
      <c r="H94" s="168"/>
      <c r="I94" s="168"/>
      <c r="J94" s="107"/>
      <c r="K94" s="282"/>
      <c r="L94" s="282"/>
      <c r="M94" s="363"/>
      <c r="N94" s="363"/>
      <c r="O94" s="261"/>
      <c r="P94" s="261"/>
      <c r="Q94" s="261"/>
      <c r="R94" s="277"/>
      <c r="S94" s="117"/>
      <c r="T94" s="117"/>
      <c r="U94" s="117"/>
      <c r="V94" s="117"/>
    </row>
    <row r="95">
      <c r="A95" s="223"/>
      <c r="B95" s="224"/>
      <c r="C95" s="225"/>
      <c r="D95" s="225"/>
      <c r="E95" s="227"/>
      <c r="F95" s="177"/>
      <c r="G95" s="177"/>
      <c r="H95" s="227"/>
      <c r="I95" s="227"/>
      <c r="J95" s="228"/>
      <c r="K95" s="228"/>
      <c r="L95" s="111"/>
      <c r="M95" s="111"/>
      <c r="N95" s="111"/>
      <c r="O95" s="117"/>
      <c r="P95" s="117"/>
      <c r="Q95" s="111"/>
      <c r="R95" s="111"/>
      <c r="S95" s="111"/>
      <c r="T95" s="111"/>
      <c r="U95" s="111"/>
      <c r="V95" s="111"/>
    </row>
    <row r="96">
      <c r="A96" s="284" t="s">
        <v>241</v>
      </c>
      <c r="B96" s="104"/>
      <c r="C96" s="265"/>
      <c r="D96" s="111"/>
      <c r="E96" s="111"/>
      <c r="F96" s="111"/>
      <c r="G96" s="111"/>
      <c r="H96" s="111"/>
      <c r="I96" s="111"/>
      <c r="J96" s="118"/>
      <c r="K96" s="111"/>
      <c r="L96" s="111"/>
      <c r="M96" s="111"/>
      <c r="N96" s="111"/>
      <c r="O96" s="111"/>
      <c r="P96" s="111"/>
      <c r="Q96" s="118"/>
      <c r="R96" s="111"/>
      <c r="S96" s="111"/>
      <c r="T96" s="111"/>
      <c r="U96" s="111"/>
      <c r="V96" s="111"/>
    </row>
    <row r="97" outlineLevel="1">
      <c r="A97" s="106"/>
      <c r="B97" s="107"/>
      <c r="C97" s="285" t="s">
        <v>235</v>
      </c>
      <c r="D97" s="285" t="s">
        <v>236</v>
      </c>
      <c r="E97" s="285" t="s">
        <v>49</v>
      </c>
      <c r="F97" s="285" t="s">
        <v>237</v>
      </c>
      <c r="G97" s="286"/>
      <c r="H97" s="227"/>
      <c r="I97" s="227"/>
      <c r="J97" s="228"/>
      <c r="K97" s="228"/>
      <c r="L97" s="111"/>
      <c r="M97" s="111"/>
      <c r="N97" s="111"/>
      <c r="O97" s="111"/>
      <c r="P97" s="111"/>
      <c r="Q97" s="111"/>
      <c r="R97" s="111"/>
      <c r="S97" s="111"/>
      <c r="T97" s="111"/>
      <c r="U97" s="111"/>
      <c r="V97" s="111"/>
    </row>
    <row r="98" outlineLevel="1">
      <c r="A98" s="287" t="s">
        <v>395</v>
      </c>
      <c r="B98" s="288" t="s">
        <v>216</v>
      </c>
      <c r="C98" s="113" t="str">
        <f t="array" ref="C98">INDEX('回避'!$C$3:$U$84, MATCH($A$1,'回避'!$A$3:$A$91,0), MATCH(C97,'回避'!$C$2:$F$2,0))</f>
        <v>3-17</v>
      </c>
      <c r="D98" s="113" t="str">
        <f t="array" ref="D98">INDEX('回避'!$C$3:$U$84, MATCH($A$1,'回避'!$A$3:$A$91,0), MATCH(D97,'回避'!$C$2:$F$2,0))</f>
        <v>6-17</v>
      </c>
      <c r="E98" s="113" t="str">
        <f t="array" ref="E98">INDEX('回避'!$C$3:$U$84, MATCH($A$1,'回避'!$A$3:$A$91,0), MATCH(E97,'回避'!$C$2:$F$2,0))</f>
        <v>25 (20)</v>
      </c>
      <c r="F98" s="113" t="str">
        <f t="array" ref="F98">INDEX('回避'!$C$3:$U$84, MATCH($A$1,'回避'!$A$3:$A$91,0), MATCH(F97,'回避'!$C$2:$F$2,0))</f>
        <v>33 (27)</v>
      </c>
      <c r="G98" s="272"/>
      <c r="H98" s="227"/>
      <c r="I98" s="227"/>
      <c r="J98" s="228"/>
      <c r="K98" s="228"/>
      <c r="L98" s="228"/>
      <c r="M98" s="111"/>
      <c r="N98" s="111"/>
      <c r="O98" s="111"/>
      <c r="P98" s="111"/>
      <c r="Q98" s="111"/>
      <c r="R98" s="111"/>
      <c r="S98" s="111"/>
      <c r="T98" s="111"/>
      <c r="U98" s="111"/>
      <c r="V98" s="111"/>
    </row>
    <row r="99" outlineLevel="1">
      <c r="A99" s="212"/>
      <c r="B99" s="288" t="s">
        <v>245</v>
      </c>
      <c r="C99" s="113" t="str">
        <f t="array" ref="C99">INDEX('回避'!$G$3:$U$84, MATCH($A$1,'回避'!$A$3:$A$91,0), MATCH(C97,'回避'!$G$2:$J$2,0))</f>
        <v>4-15</v>
      </c>
      <c r="D99" s="113" t="str">
        <f t="array" ref="D99">INDEX('回避'!$G$3:$U$84, MATCH($A$1,'回避'!$A$3:$A$91,0), MATCH(D97,'回避'!$G$2:$J$2,0))</f>
        <v>8-14</v>
      </c>
      <c r="E99" s="113" t="str">
        <f t="array" ref="E99">INDEX('回避'!$G$3:$U$84, MATCH($A$1,'回避'!$A$3:$A$91,0), MATCH(E97,'回避'!$G$2:$J$2,0))</f>
        <v>29</v>
      </c>
      <c r="F99" s="113">
        <f t="array" ref="F99">INDEX('回避'!$G$3:$U$84, MATCH($A$1,'回避'!$A$3:$A$91,0), MATCH(F97,'回避'!$G$2:$J$2,0))</f>
        <v>38</v>
      </c>
      <c r="G99" s="289"/>
      <c r="H99" s="227"/>
      <c r="I99" s="227"/>
      <c r="J99" s="228"/>
      <c r="K99" s="228"/>
      <c r="L99" s="228"/>
      <c r="M99" s="228"/>
      <c r="N99" s="228"/>
      <c r="O99" s="111"/>
      <c r="P99" s="111"/>
      <c r="Q99" s="111"/>
      <c r="R99" s="111"/>
      <c r="S99" s="111"/>
      <c r="T99" s="111"/>
      <c r="U99" s="111"/>
      <c r="V99" s="111"/>
    </row>
    <row r="100" outlineLevel="1">
      <c r="A100" s="106"/>
      <c r="B100" s="288" t="s">
        <v>246</v>
      </c>
      <c r="C100" s="113" t="str">
        <f t="array" ref="C100">INDEX('回避'!$K$3:$U$84, MATCH($A$1,'回避'!$A$3:$A$91,0), MATCH(C97,'回避'!$K$2:$N$2,0))</f>
        <v>5-16</v>
      </c>
      <c r="D100" s="113" t="str">
        <f t="array" ref="D100">INDEX('回避'!$K$3:$U$84, MATCH($A$1,'回避'!$A$3:$A$91,0), MATCH(D97,'回避'!$K$2:$N$2,0))</f>
        <v>9-14</v>
      </c>
      <c r="E100" s="113" t="str">
        <f t="array" ref="E100">INDEX('回避'!$K$3:$U$84, MATCH($A$1,'回避'!$A$3:$A$91,0), MATCH(E97,'回避'!$K$2:$N$2,0))</f>
        <v>34</v>
      </c>
      <c r="F100" s="113" t="str">
        <f t="array" ref="F100">INDEX('回避'!$K$3:$U$84, MATCH($A$1,'回避'!$A$3:$A$91,0), MATCH(F97,'回避'!$K$2:$N$2,0))</f>
        <v>51</v>
      </c>
      <c r="G100" s="289"/>
      <c r="H100" s="290"/>
      <c r="I100" s="290"/>
      <c r="J100" s="117"/>
      <c r="K100" s="117"/>
      <c r="L100" s="117"/>
      <c r="M100" s="117"/>
      <c r="N100" s="117"/>
      <c r="O100" s="111"/>
      <c r="P100" s="111"/>
      <c r="Q100" s="111"/>
      <c r="R100" s="111"/>
      <c r="S100" s="111"/>
      <c r="T100" s="111"/>
      <c r="U100" s="111"/>
      <c r="V100" s="111"/>
    </row>
    <row r="101" outlineLevel="1">
      <c r="A101" s="287" t="s">
        <v>396</v>
      </c>
      <c r="B101" s="288" t="s">
        <v>397</v>
      </c>
      <c r="C101" s="113" t="str">
        <f t="array" ref="C101">INDEX('回避'!$O$3:$U$84, MATCH($A$1,'回避'!$A$3:$A$91,0), MATCH(C97,'回避'!$O$2:$R$2,0))</f>
        <v>3-29</v>
      </c>
      <c r="D101" s="113" t="str">
        <f t="array" ref="D101">INDEX('回避'!$O$3:$U$84, MATCH($A$1,'回避'!$A$3:$A$91,0), MATCH(D97,'回避'!$O$2:$R$2,0))</f>
        <v>6-27</v>
      </c>
      <c r="E101" s="113" t="str">
        <f t="array" ref="E101">INDEX('回避'!$O$3:$U$84, MATCH($A$1,'回避'!$A$3:$A$91,0), MATCH(E97,'回避'!$O$2:$R$2,0))</f>
        <v>49</v>
      </c>
      <c r="F101" s="177"/>
      <c r="G101" s="177"/>
      <c r="H101" s="118"/>
      <c r="I101" s="118"/>
      <c r="J101" s="111"/>
      <c r="K101" s="111"/>
      <c r="L101" s="111"/>
      <c r="M101" s="111"/>
      <c r="N101" s="111"/>
      <c r="O101" s="228"/>
      <c r="P101" s="228"/>
      <c r="Q101" s="228"/>
      <c r="R101" s="228"/>
      <c r="S101" s="228"/>
      <c r="T101" s="228"/>
      <c r="U101" s="228"/>
      <c r="V101" s="228"/>
    </row>
    <row r="102" outlineLevel="1">
      <c r="A102" s="106"/>
      <c r="B102" s="288" t="s">
        <v>398</v>
      </c>
      <c r="C102" s="113" t="str">
        <f t="array" ref="C102">INDEX('回避'!$S$3:$U$84, MATCH($A$1,'回避'!$A$3:$A$91,0), MATCH(C97,'回避'!$S$2:$U$2,0))</f>
        <v>3-21</v>
      </c>
      <c r="D102" s="113" t="str">
        <f t="array" ref="D102">INDEX('回避'!$S$3:$U$84, MATCH($A$1,'回避'!$A$3:$A$91,0), MATCH(D97,'回避'!$S$2:$U$2,0))</f>
        <v>6-20</v>
      </c>
      <c r="E102" s="113" t="str">
        <f t="array" ref="E102">INDEX('回避'!$S$3:$U$84, MATCH($A$1,'回避'!$A$3:$A$91,0), MATCH(E97,'回避'!$S$2:$U$2,0))</f>
        <v>真横：81
真上：107
真下：67</v>
      </c>
      <c r="F102" s="289"/>
      <c r="G102" s="289"/>
      <c r="H102" s="118"/>
      <c r="I102" s="118"/>
      <c r="J102" s="117"/>
      <c r="K102" s="117"/>
      <c r="L102" s="117"/>
      <c r="M102" s="117"/>
      <c r="N102" s="111"/>
      <c r="O102" s="118"/>
      <c r="P102" s="118"/>
      <c r="Q102" s="118"/>
      <c r="R102" s="118"/>
      <c r="S102" s="118"/>
      <c r="T102" s="118"/>
      <c r="U102" s="118"/>
      <c r="V102" s="118"/>
    </row>
    <row r="103">
      <c r="A103" s="291"/>
      <c r="B103" s="292"/>
      <c r="C103" s="286"/>
      <c r="D103" s="286"/>
      <c r="E103" s="293"/>
      <c r="F103" s="286"/>
      <c r="G103" s="286"/>
      <c r="H103" s="286"/>
      <c r="I103" s="286"/>
      <c r="J103" s="111"/>
      <c r="K103" s="227"/>
      <c r="L103" s="227"/>
      <c r="M103" s="227"/>
      <c r="N103" s="227"/>
      <c r="O103" s="118"/>
      <c r="P103" s="118"/>
      <c r="Q103" s="118"/>
      <c r="R103" s="118"/>
      <c r="S103" s="118"/>
      <c r="T103" s="118"/>
      <c r="U103" s="118"/>
      <c r="V103" s="118"/>
    </row>
    <row r="104">
      <c r="A104" s="2534" t="s">
        <v>238</v>
      </c>
      <c r="B104" s="104"/>
      <c r="C104" s="2535"/>
      <c r="D104" s="2536"/>
      <c r="E104" s="2535"/>
      <c r="F104" s="2537"/>
      <c r="G104" s="2537"/>
      <c r="H104" s="117"/>
      <c r="I104" s="117"/>
      <c r="J104" s="118"/>
      <c r="K104" s="118"/>
      <c r="L104" s="118"/>
      <c r="M104" s="118"/>
      <c r="N104" s="118"/>
      <c r="O104" s="118"/>
      <c r="P104" s="118"/>
      <c r="Q104" s="118"/>
      <c r="R104" s="118"/>
      <c r="S104" s="118"/>
      <c r="T104" s="118"/>
      <c r="U104" s="118"/>
      <c r="V104" s="118"/>
    </row>
    <row r="105" outlineLevel="1">
      <c r="A105" s="106"/>
      <c r="B105" s="107"/>
      <c r="C105" s="2538" t="s">
        <v>235</v>
      </c>
      <c r="D105" s="2538" t="s">
        <v>49</v>
      </c>
      <c r="E105" s="2538" t="s">
        <v>48</v>
      </c>
      <c r="F105" s="2538" t="s">
        <v>50</v>
      </c>
      <c r="G105" s="2539" t="s">
        <v>51</v>
      </c>
      <c r="H105" s="228"/>
      <c r="I105" s="228"/>
      <c r="J105" s="117"/>
      <c r="K105" s="297" t="str">
        <f>'テンプレート'!K116</f>
        <v>アイテム取得</v>
      </c>
      <c r="L105" s="109"/>
      <c r="M105" s="298" t="str">
        <f>'テンプレート'!M116</f>
        <v>取得フレーム</v>
      </c>
      <c r="N105" s="298" t="str">
        <f>'テンプレート'!N116</f>
        <v>全体フレーム</v>
      </c>
      <c r="O105" s="118"/>
      <c r="P105" s="118"/>
      <c r="Q105" s="118"/>
      <c r="R105" s="118"/>
      <c r="S105" s="118"/>
      <c r="T105" s="118"/>
      <c r="U105" s="118"/>
      <c r="V105" s="118"/>
    </row>
    <row r="106" outlineLevel="1">
      <c r="A106" s="299" t="s">
        <v>239</v>
      </c>
      <c r="B106" s="300" t="s">
        <v>240</v>
      </c>
      <c r="C106" s="1162"/>
      <c r="D106" s="518">
        <f t="array" ref="D106">INDEX('崖行動・受け身'!$C$3:$C112, MATCH($A$1,'崖行動・受け身'!$A$3:$A$115,0), MATCH(D105,'崖行動・受け身'!$C$2,0))</f>
        <v>19</v>
      </c>
      <c r="E106" s="1162"/>
      <c r="F106" s="1162"/>
      <c r="G106" s="1162"/>
      <c r="H106" s="228"/>
      <c r="I106" s="228"/>
      <c r="J106" s="111"/>
      <c r="K106" s="302" t="str">
        <f>'テンプレート'!K117</f>
        <v>小アイテム</v>
      </c>
      <c r="L106" s="303" t="str">
        <f>'テンプレート'!L117</f>
        <v>その場</v>
      </c>
      <c r="M106" s="113" t="s">
        <v>76</v>
      </c>
      <c r="N106" s="113">
        <v>7.0</v>
      </c>
      <c r="O106" s="118"/>
      <c r="P106" s="118"/>
      <c r="Q106" s="118"/>
      <c r="R106" s="118"/>
      <c r="S106" s="118"/>
      <c r="T106" s="118"/>
      <c r="U106" s="118"/>
      <c r="V106" s="118"/>
    </row>
    <row r="107" outlineLevel="1">
      <c r="A107" s="146"/>
      <c r="B107" s="300" t="s">
        <v>216</v>
      </c>
      <c r="C107" s="518" t="str">
        <f t="array" ref="C107">INDEX('崖行動・受け身'!$D$3:$E112, MATCH($A$1,'崖行動・受け身'!$A$3:$A$115,0), MATCH(C105,'崖行動・受け身'!$D$2:$E$2,0))</f>
        <v>1-33</v>
      </c>
      <c r="D107" s="518">
        <f t="array" ref="D107">INDEX('崖行動・受け身'!$D$3:$E112, MATCH($A$1,'崖行動・受け身'!$A$3:$A$115,0), MATCH(D105,'崖行動・受け身'!$D$2:$E$2,0))</f>
        <v>34</v>
      </c>
      <c r="E107" s="1162"/>
      <c r="F107" s="1162"/>
      <c r="G107" s="1162"/>
      <c r="H107" s="228"/>
      <c r="I107" s="228"/>
      <c r="J107" s="117"/>
      <c r="K107" s="156"/>
      <c r="L107" s="303" t="str">
        <f>'テンプレート'!L118</f>
        <v>歩き</v>
      </c>
      <c r="M107" s="113" t="s">
        <v>76</v>
      </c>
      <c r="N107" s="113">
        <v>19.0</v>
      </c>
      <c r="O107" s="118"/>
      <c r="P107" s="118"/>
      <c r="Q107" s="118"/>
      <c r="R107" s="118"/>
      <c r="S107" s="118"/>
      <c r="T107" s="118"/>
      <c r="U107" s="118"/>
      <c r="V107" s="118"/>
    </row>
    <row r="108" outlineLevel="1">
      <c r="A108" s="146"/>
      <c r="B108" s="300" t="s">
        <v>241</v>
      </c>
      <c r="C108" s="518" t="str">
        <f t="array" ref="C108">INDEX('崖行動・受け身'!$F$3:$G$115, MATCH($A$1,'崖行動・受け身'!$A$3:$A$115,0), MATCH(C105,'崖行動・受け身'!$F$2:$G$2,0))</f>
        <v>1-25</v>
      </c>
      <c r="D108" s="518">
        <f t="array" ref="D108">INDEX('崖行動・受け身'!$F$3:$G$115, MATCH($A$1,'崖行動・受け身'!$A$3:$A$115,0), MATCH(D105,'崖行動・受け身'!$F$2:$G$2,0))</f>
        <v>45</v>
      </c>
      <c r="E108" s="1162"/>
      <c r="F108" s="1162"/>
      <c r="G108" s="1162"/>
      <c r="H108" s="228"/>
      <c r="I108" s="228"/>
      <c r="J108" s="111"/>
      <c r="K108" s="304" t="str">
        <f>'テンプレート'!K119</f>
        <v>アイテム投擲</v>
      </c>
      <c r="L108" s="109"/>
      <c r="M108" s="298" t="str">
        <f>'テンプレート'!M119</f>
        <v>投擲フレーム</v>
      </c>
      <c r="N108" s="298" t="str">
        <f>'テンプレート'!N119</f>
        <v>全体フレーム</v>
      </c>
      <c r="O108" s="118"/>
      <c r="P108" s="118"/>
      <c r="Q108" s="118"/>
      <c r="R108" s="118"/>
      <c r="S108" s="118"/>
      <c r="T108" s="118"/>
      <c r="U108" s="118"/>
      <c r="V108" s="118"/>
    </row>
    <row r="109" outlineLevel="1">
      <c r="A109" s="146"/>
      <c r="B109" s="300" t="s">
        <v>242</v>
      </c>
      <c r="C109" s="518" t="str">
        <f t="array" ref="C109">INDEX('崖行動・受け身'!$H$3:$I$115, MATCH($A$1,'崖行動・受け身'!$A$3:$A$115,0), MATCH(C105,'崖行動・受け身'!$H$2:$I$2,0))</f>
        <v>1-12</v>
      </c>
      <c r="D109" s="518">
        <f t="array" ref="D109">INDEX('崖行動・受け身'!$H$3:$I$115, MATCH($A$1,'崖行動・受け身'!$A$3:$A$115,0), MATCH(D105,'崖行動・受け身'!$H$2:$I$2,0))</f>
        <v>14</v>
      </c>
      <c r="E109" s="1162"/>
      <c r="F109" s="1162"/>
      <c r="G109" s="1162"/>
      <c r="H109" s="228"/>
      <c r="I109" s="228"/>
      <c r="J109" s="117"/>
      <c r="K109" s="305" t="str">
        <f>'テンプレート'!K120</f>
        <v>地上投擲</v>
      </c>
      <c r="L109" s="303" t="str">
        <f>'テンプレート'!L120</f>
        <v>前投げ</v>
      </c>
      <c r="M109" s="113" t="s">
        <v>93</v>
      </c>
      <c r="N109" s="113">
        <v>24.0</v>
      </c>
      <c r="O109" s="111"/>
      <c r="P109" s="111"/>
      <c r="Q109" s="111"/>
      <c r="R109" s="111"/>
      <c r="S109" s="111"/>
      <c r="T109" s="111"/>
      <c r="U109" s="111"/>
      <c r="V109" s="111"/>
    </row>
    <row r="110" outlineLevel="1">
      <c r="A110" s="156"/>
      <c r="B110" s="300" t="s">
        <v>243</v>
      </c>
      <c r="C110" s="518" t="str">
        <f t="array" ref="C110">INDEX('崖行動・受け身'!$J$3:$M$115, MATCH($A$1,'崖行動・受け身'!$A$3:$A$115,0), MATCH(C105,'崖行動・受け身'!$J$2:$M$2,0))</f>
        <v>1-21</v>
      </c>
      <c r="D110" s="518">
        <f t="array" ref="D110">INDEX('崖行動・受け身'!$J$3:$M$115, MATCH($A$1,'崖行動・受け身'!$A$3:$A$115,0), MATCH(D105,'崖行動・受け身'!$J$2:$M$2,0))</f>
        <v>55</v>
      </c>
      <c r="E110" s="518" t="str">
        <f t="array" ref="E110">INDEX('崖行動・受け身'!$J$3:$M$115, MATCH($A$1,'崖行動・受け身'!$A$3:$A$115,0), MATCH(E105,'崖行動・受け身'!$J$2:$M$2,0))</f>
        <v>19-21</v>
      </c>
      <c r="F110" s="518">
        <f t="array" ref="F110">INDEX('崖行動・受け身'!$J$3:$M$115, MATCH($A$1,'崖行動・受け身'!$A$3:$A$115,0), MATCH(F105,'崖行動・受け身'!$J$2:$M$2,0))</f>
        <v>9</v>
      </c>
      <c r="G110" s="518">
        <f>F110*1.2</f>
        <v>10.8</v>
      </c>
      <c r="H110" s="228"/>
      <c r="I110" s="228"/>
      <c r="J110" s="111"/>
      <c r="K110" s="146"/>
      <c r="L110" s="303" t="str">
        <f>'テンプレート'!L121</f>
        <v>後投げ</v>
      </c>
      <c r="M110" s="113" t="s">
        <v>128</v>
      </c>
      <c r="N110" s="113">
        <v>24.0</v>
      </c>
      <c r="O110" s="111"/>
      <c r="P110" s="111"/>
      <c r="Q110" s="111"/>
      <c r="R110" s="111"/>
      <c r="S110" s="111"/>
      <c r="T110" s="111"/>
      <c r="U110" s="111"/>
      <c r="V110" s="111"/>
    </row>
    <row r="111" outlineLevel="1">
      <c r="A111" s="299" t="s">
        <v>244</v>
      </c>
      <c r="B111" s="300" t="s">
        <v>216</v>
      </c>
      <c r="C111" s="518" t="str">
        <f t="array" ref="C111">INDEX('崖行動・受け身'!$N$3:$O$115, MATCH($A$1,'崖行動・受け身'!$A$3:$A$115,0), MATCH(C105,'崖行動・受け身'!$N$2:$O$2,0))</f>
        <v>1-20</v>
      </c>
      <c r="D111" s="518">
        <f t="array" ref="D111">INDEX('崖行動・受け身'!$N$3:$O$115, MATCH($A$1,'崖行動・受け身'!$A$3:$A$115,0), MATCH(D105,'崖行動・受け身'!$N$2:$O$2,0))</f>
        <v>26</v>
      </c>
      <c r="E111" s="1162"/>
      <c r="F111" s="1162"/>
      <c r="G111" s="1162"/>
      <c r="H111" s="228"/>
      <c r="I111" s="228"/>
      <c r="J111" s="117"/>
      <c r="K111" s="146"/>
      <c r="L111" s="303" t="str">
        <f>'テンプレート'!L122</f>
        <v>上投げ</v>
      </c>
      <c r="M111" s="113" t="s">
        <v>129</v>
      </c>
      <c r="N111" s="113">
        <v>23.0</v>
      </c>
      <c r="O111" s="228"/>
      <c r="P111" s="228"/>
      <c r="Q111" s="228"/>
      <c r="R111" s="228"/>
      <c r="S111" s="228"/>
      <c r="T111" s="228"/>
      <c r="U111" s="228"/>
      <c r="V111" s="228"/>
    </row>
    <row r="112" outlineLevel="1">
      <c r="A112" s="146"/>
      <c r="B112" s="300" t="s">
        <v>245</v>
      </c>
      <c r="C112" s="518" t="str">
        <f t="array" ref="C112">INDEX('崖行動・受け身'!$P$3:$Q$115, MATCH($A$1,'崖行動・受け身'!$A$3:$A$115,0), MATCH(C105,'崖行動・受け身'!$P$2:$Q$2,0))</f>
        <v>1-20</v>
      </c>
      <c r="D112" s="518">
        <f t="array" ref="D112">INDEX('崖行動・受け身'!$P$3:$Q$115, MATCH($A$1,'崖行動・受け身'!$A$3:$A$115,0), MATCH(D105,'崖行動・受け身'!$P$2:$Q$2,0))</f>
        <v>40</v>
      </c>
      <c r="E112" s="1162"/>
      <c r="F112" s="1162"/>
      <c r="G112" s="1162"/>
      <c r="H112" s="228"/>
      <c r="I112" s="228"/>
      <c r="J112" s="111"/>
      <c r="K112" s="146"/>
      <c r="L112" s="303" t="str">
        <f>'テンプレート'!L123</f>
        <v>下投げ</v>
      </c>
      <c r="M112" s="113" t="s">
        <v>93</v>
      </c>
      <c r="N112" s="113">
        <v>19.0</v>
      </c>
      <c r="O112" s="118"/>
      <c r="P112" s="118"/>
      <c r="Q112" s="118"/>
      <c r="R112" s="118"/>
      <c r="S112" s="118"/>
      <c r="T112" s="118"/>
      <c r="U112" s="118"/>
      <c r="V112" s="118"/>
    </row>
    <row r="113" outlineLevel="1">
      <c r="A113" s="156"/>
      <c r="B113" s="300" t="s">
        <v>246</v>
      </c>
      <c r="C113" s="518" t="str">
        <f t="array" ref="C113">INDEX('崖行動・受け身'!$R$3:$S$115, MATCH($A$1,'崖行動・受け身'!$A$3:$A$115,0), MATCH(C105,'崖行動・受け身'!$R$2:$S$2,0))</f>
        <v>1-20</v>
      </c>
      <c r="D113" s="518">
        <f t="array" ref="D113">INDEX('崖行動・受け身'!$R$3:$S$115, MATCH($A$1,'崖行動・受け身'!$A$3:$A$115,0), MATCH(D105,'崖行動・受け身'!$R$2:$S$2,0))</f>
        <v>40</v>
      </c>
      <c r="E113" s="1162"/>
      <c r="F113" s="1162"/>
      <c r="G113" s="1162"/>
      <c r="H113" s="228"/>
      <c r="I113" s="228"/>
      <c r="J113" s="117"/>
      <c r="K113" s="146"/>
      <c r="L113" s="306" t="str">
        <f>'テンプレート'!L124</f>
        <v>ダッシュ</v>
      </c>
      <c r="M113" s="113" t="s">
        <v>150</v>
      </c>
      <c r="N113" s="113">
        <v>37.0</v>
      </c>
      <c r="O113" s="118"/>
      <c r="P113" s="118"/>
      <c r="Q113" s="118"/>
      <c r="R113" s="118"/>
      <c r="S113" s="118"/>
      <c r="T113" s="118"/>
      <c r="U113" s="118"/>
      <c r="V113" s="118"/>
    </row>
    <row r="114" outlineLevel="1">
      <c r="A114" s="299" t="s">
        <v>247</v>
      </c>
      <c r="B114" s="300" t="s">
        <v>248</v>
      </c>
      <c r="C114" s="1162"/>
      <c r="D114" s="518" t="str">
        <f t="array" ref="D114">INDEX('起きあがり'!$C$3:$C112, MATCH($A$1,'起きあがり'!$A$3:$A$115,0), MATCH(D105,'起きあがり'!$C$2:$AD$2,0))</f>
        <v>25</v>
      </c>
      <c r="E114" s="1162"/>
      <c r="F114" s="1162"/>
      <c r="G114" s="1162"/>
      <c r="H114" s="228"/>
      <c r="I114" s="228"/>
      <c r="J114" s="111"/>
      <c r="K114" s="156"/>
      <c r="L114" s="306" t="str">
        <f>'テンプレート'!L125</f>
        <v>その場捨て</v>
      </c>
      <c r="M114" s="113" t="s">
        <v>86</v>
      </c>
      <c r="N114" s="113">
        <v>23.0</v>
      </c>
      <c r="O114" s="118"/>
      <c r="P114" s="118"/>
      <c r="Q114" s="118"/>
      <c r="R114" s="118"/>
      <c r="S114" s="118"/>
      <c r="T114" s="118"/>
      <c r="U114" s="118"/>
      <c r="V114" s="118"/>
    </row>
    <row r="115" outlineLevel="1">
      <c r="A115" s="146"/>
      <c r="B115" s="300" t="s">
        <v>216</v>
      </c>
      <c r="C115" s="2540" t="str">
        <f t="array" ref="C115">INDEX('起きあがり'!$D$3:$E112, MATCH($A$1,'起きあがり'!$A$3:$A$115,0), MATCH(C105,'起きあがり'!$D$2:$AD$2,0))</f>
        <v>1-22</v>
      </c>
      <c r="D115" s="2541">
        <f t="array" ref="D115">INDEX('起きあがり'!$D$3:$E112, MATCH($A$1,'起きあがり'!$A$3:$A$115,0), MATCH(D105,'起きあがり'!$D$2:$AD$2,0))</f>
        <v>29</v>
      </c>
      <c r="E115" s="1162"/>
      <c r="F115" s="1162"/>
      <c r="G115" s="1162"/>
      <c r="H115" s="228"/>
      <c r="I115" s="228"/>
      <c r="J115" s="117"/>
      <c r="K115" s="305" t="str">
        <f>'テンプレート'!K126</f>
        <v>空中投擲</v>
      </c>
      <c r="L115" s="303" t="str">
        <f>'テンプレート'!L126</f>
        <v>前投げ</v>
      </c>
      <c r="M115" s="113" t="s">
        <v>93</v>
      </c>
      <c r="N115" s="113">
        <v>24.0</v>
      </c>
      <c r="O115" s="118"/>
      <c r="P115" s="118"/>
      <c r="Q115" s="118"/>
      <c r="R115" s="118"/>
      <c r="S115" s="118"/>
      <c r="T115" s="118"/>
      <c r="U115" s="118"/>
      <c r="V115" s="118"/>
    </row>
    <row r="116" outlineLevel="1">
      <c r="A116" s="146"/>
      <c r="B116" s="300" t="s">
        <v>245</v>
      </c>
      <c r="C116" s="2540" t="str">
        <f t="array" ref="C116">INDEX('起きあがり'!$F$3:$G$115, MATCH($A$1,'起きあがり'!$A$3:$A$115,0), MATCH(C105,'起きあがり'!$F$2:$AD$2,0))</f>
        <v>1-22</v>
      </c>
      <c r="D116" s="2541">
        <f t="array" ref="D116">INDEX('起きあがり'!$F$3:$G$115, MATCH($A$1,'起きあがり'!$A$3:$A$115,0), MATCH(D105,'起きあがり'!$F$2:$AD$2,0))</f>
        <v>35</v>
      </c>
      <c r="E116" s="1162"/>
      <c r="F116" s="1162"/>
      <c r="G116" s="1162"/>
      <c r="H116" s="228"/>
      <c r="I116" s="228"/>
      <c r="J116" s="111"/>
      <c r="K116" s="146"/>
      <c r="L116" s="303" t="str">
        <f>'テンプレート'!L127</f>
        <v>後投げ</v>
      </c>
      <c r="M116" s="113" t="s">
        <v>232</v>
      </c>
      <c r="N116" s="113">
        <v>24.0</v>
      </c>
      <c r="O116" s="118"/>
      <c r="P116" s="118"/>
      <c r="Q116" s="118"/>
      <c r="R116" s="118"/>
      <c r="S116" s="118"/>
      <c r="T116" s="118"/>
      <c r="U116" s="118"/>
      <c r="V116" s="118"/>
    </row>
    <row r="117" outlineLevel="1">
      <c r="A117" s="146"/>
      <c r="B117" s="300" t="s">
        <v>246</v>
      </c>
      <c r="C117" s="518" t="str">
        <f t="array" ref="C117">INDEX('起きあがり'!$H$3:$I$115, MATCH($A$1,'起きあがり'!$A$3:$A$115,0), MATCH(C105,'起きあがり'!$H$2:$AD$2,0))</f>
        <v>1-22</v>
      </c>
      <c r="D117" s="518">
        <f t="array" ref="D117">INDEX('起きあがり'!$H$3:$I$115, MATCH($A$1,'起きあがり'!$A$3:$A$115,0), MATCH(D105,'起きあがり'!$H$2:$AD$2,0))</f>
        <v>35</v>
      </c>
      <c r="E117" s="1162"/>
      <c r="F117" s="1162"/>
      <c r="G117" s="1162"/>
      <c r="H117" s="228"/>
      <c r="I117" s="228"/>
      <c r="J117" s="117"/>
      <c r="K117" s="146"/>
      <c r="L117" s="303" t="str">
        <f>'テンプレート'!L128</f>
        <v>上投げ</v>
      </c>
      <c r="M117" s="113" t="s">
        <v>129</v>
      </c>
      <c r="N117" s="113">
        <v>23.0</v>
      </c>
      <c r="O117" s="118"/>
      <c r="P117" s="118"/>
      <c r="Q117" s="118"/>
      <c r="R117" s="118"/>
      <c r="S117" s="118"/>
      <c r="T117" s="118"/>
      <c r="U117" s="118"/>
      <c r="V117" s="118"/>
    </row>
    <row r="118" outlineLevel="1">
      <c r="A118" s="146"/>
      <c r="B118" s="300" t="s">
        <v>249</v>
      </c>
      <c r="C118" s="2542" t="str">
        <f t="array" ref="C118">INDEX('起きあがり'!$J$3:$M$115, MATCH($A$1,'起きあがり'!$A$3:$A$115,0), MATCH(C105,'起きあがり'!$J$2:$AD$2,0))</f>
        <v>1-20</v>
      </c>
      <c r="D118" s="2543">
        <f t="array" ref="D118">INDEX('起きあがり'!$J$3:$M$115, MATCH($A$1,'起きあがり'!$A$3:$A$115,0), MATCH(D105,'起きあがり'!$J$2:$AD$2,0))</f>
        <v>45</v>
      </c>
      <c r="E118" s="2540" t="str">
        <f t="array" ref="E118">INDEX('起きあがり'!$J$3:$M$115, MATCH($A$1,'起きあがり'!$A$3:$A$115,0), MATCH(E105,'起きあがり'!$J$2:$AD$2,0))</f>
        <v>14-15</v>
      </c>
      <c r="F118" s="2541">
        <f t="array" ref="F118">INDEX('起きあがり'!$J$3:$M$115, MATCH($A$1,'起きあがり'!$A$3:$A$115,0), MATCH(F105,'起きあがり'!$J$2:$AD$2,0))</f>
        <v>7</v>
      </c>
      <c r="G118" s="518">
        <f t="shared" ref="G118:G119" si="3">F118*1.2</f>
        <v>8.4</v>
      </c>
      <c r="H118" s="228"/>
      <c r="I118" s="228"/>
      <c r="J118" s="111"/>
      <c r="K118" s="156"/>
      <c r="L118" s="303" t="str">
        <f>'テンプレート'!L129</f>
        <v>下投げ</v>
      </c>
      <c r="M118" s="113" t="s">
        <v>93</v>
      </c>
      <c r="N118" s="113">
        <v>19.0</v>
      </c>
      <c r="O118" s="111"/>
      <c r="P118" s="111"/>
      <c r="Q118" s="111"/>
      <c r="R118" s="111"/>
      <c r="S118" s="111"/>
      <c r="T118" s="111"/>
      <c r="U118" s="111"/>
      <c r="V118" s="111"/>
    </row>
    <row r="119" outlineLevel="1">
      <c r="A119" s="156"/>
      <c r="B119" s="311" t="s">
        <v>250</v>
      </c>
      <c r="C119" s="107"/>
      <c r="D119" s="107"/>
      <c r="E119" s="2540" t="str">
        <f t="array" ref="E119">INDEX('起きあがり'!$N$3:$O$115, MATCH($A$1,'起きあがり'!$A$3:$A$115,0), MATCH(E105,'起きあがり'!$N$2:$AD$2,0))</f>
        <v>19-20</v>
      </c>
      <c r="F119" s="2541">
        <f t="array" ref="F119">INDEX('起きあがり'!$N$3:$O$115, MATCH($A$1,'起きあがり'!$A$3:$A$115,0), MATCH(F105,'起きあがり'!$N$2:$AD$2,0))</f>
        <v>7</v>
      </c>
      <c r="G119" s="518">
        <f t="shared" si="3"/>
        <v>8.4</v>
      </c>
      <c r="H119" s="228"/>
      <c r="I119" s="228"/>
      <c r="J119" s="111"/>
      <c r="K119" s="312" t="str">
        <f>'テンプレート'!K130</f>
        <v>踏み台ジャンプ</v>
      </c>
      <c r="L119" s="168"/>
      <c r="M119" s="298" t="str">
        <f>'テンプレート'!M130</f>
        <v>全体フレーム</v>
      </c>
      <c r="N119" s="114"/>
      <c r="O119" s="111"/>
      <c r="P119" s="111"/>
      <c r="Q119" s="111"/>
      <c r="R119" s="111"/>
      <c r="S119" s="111"/>
      <c r="T119" s="111"/>
      <c r="U119" s="111"/>
      <c r="V119" s="111"/>
    </row>
    <row r="120" outlineLevel="1">
      <c r="A120" s="299" t="s">
        <v>251</v>
      </c>
      <c r="B120" s="300" t="s">
        <v>248</v>
      </c>
      <c r="C120" s="1162"/>
      <c r="D120" s="2540" t="str">
        <f t="array" ref="D120">INDEX('起きあがり'!$C$3:$C112, MATCH($A$1,'起きあがり'!$A$3:$A$115,0), MATCH(D105,'起きあがり'!$C$2,0))</f>
        <v>25</v>
      </c>
      <c r="E120" s="1162"/>
      <c r="F120" s="1162"/>
      <c r="G120" s="1162"/>
      <c r="H120" s="228"/>
      <c r="I120" s="228"/>
      <c r="J120" s="117"/>
      <c r="K120" s="313" t="str">
        <f>'テンプレート'!K131</f>
        <v>踏み</v>
      </c>
      <c r="L120" s="314" t="str">
        <f>'テンプレート'!L131</f>
        <v>踏み</v>
      </c>
      <c r="M120" s="113">
        <v>8.0</v>
      </c>
      <c r="N120" s="315"/>
      <c r="O120" s="111"/>
      <c r="P120" s="111"/>
      <c r="Q120" s="111"/>
      <c r="R120" s="111"/>
      <c r="S120" s="111"/>
      <c r="T120" s="111"/>
      <c r="U120" s="111"/>
      <c r="V120" s="111"/>
    </row>
    <row r="121" outlineLevel="1">
      <c r="A121" s="146"/>
      <c r="B121" s="300" t="s">
        <v>216</v>
      </c>
      <c r="C121" s="2540" t="str">
        <f t="array" ref="C121">INDEX('起きあがり'!$P$3:$Q$115, MATCH($A$1,'起きあがり'!$A$3:$A$115,0), MATCH(C105,'起きあがり'!$P$2:$AD$2,0))</f>
        <v>1-22</v>
      </c>
      <c r="D121" s="2541">
        <f t="array" ref="D121">INDEX('起きあがり'!$P$3:$Q$115, MATCH($A$1,'起きあがり'!$A$3:$A$115,0), MATCH(D105,'起きあがり'!$P$2:$AD$2,0))</f>
        <v>29</v>
      </c>
      <c r="E121" s="1162"/>
      <c r="F121" s="1162"/>
      <c r="G121" s="1162"/>
      <c r="H121" s="228"/>
      <c r="I121" s="228"/>
      <c r="J121" s="111"/>
      <c r="K121" s="305" t="str">
        <f>'テンプレート'!K132</f>
        <v>踏まれ</v>
      </c>
      <c r="L121" s="314" t="str">
        <f>'テンプレート'!L132</f>
        <v>地上踏まれ</v>
      </c>
      <c r="M121" s="113" t="s">
        <v>76</v>
      </c>
      <c r="N121" s="315"/>
      <c r="O121" s="228"/>
      <c r="P121" s="228"/>
      <c r="Q121" s="228"/>
      <c r="R121" s="228"/>
      <c r="S121" s="228"/>
      <c r="T121" s="228"/>
      <c r="U121" s="228"/>
      <c r="V121" s="228"/>
    </row>
    <row r="122" outlineLevel="1">
      <c r="A122" s="146"/>
      <c r="B122" s="300" t="s">
        <v>245</v>
      </c>
      <c r="C122" s="2540" t="str">
        <f t="array" ref="C122">INDEX('起きあがり'!$R$3:$S$115, MATCH($A$1,'起きあがり'!$A$3:$A$115,0), MATCH(C105,'起きあがり'!$R$2:$AD$2,0))</f>
        <v>1-22</v>
      </c>
      <c r="D122" s="2541">
        <f t="array" ref="D122">INDEX('起きあがり'!$R$3:$S$115, MATCH($A$1,'起きあがり'!$A$3:$A$115,0), MATCH(D105,'起きあがり'!$R$2:$AD$2,0))</f>
        <v>35</v>
      </c>
      <c r="E122" s="1162"/>
      <c r="F122" s="1162"/>
      <c r="G122" s="1162"/>
      <c r="H122" s="228"/>
      <c r="I122" s="228"/>
      <c r="J122" s="117"/>
      <c r="K122" s="146"/>
      <c r="L122" s="314" t="str">
        <f>'テンプレート'!L133</f>
        <v>地上硬直</v>
      </c>
      <c r="M122" s="113">
        <v>28.0</v>
      </c>
      <c r="N122" s="102"/>
      <c r="O122" s="118"/>
      <c r="P122" s="118"/>
      <c r="Q122" s="118"/>
      <c r="R122" s="118"/>
      <c r="S122" s="118"/>
      <c r="T122" s="118"/>
      <c r="U122" s="118"/>
      <c r="V122" s="118"/>
    </row>
    <row r="123" outlineLevel="1">
      <c r="A123" s="146"/>
      <c r="B123" s="300" t="s">
        <v>246</v>
      </c>
      <c r="C123" s="2540" t="str">
        <f t="array" ref="C123">INDEX('起きあがり'!$T$3:$U$115, MATCH($A$1,'起きあがり'!$A$3:$A$115,0), MATCH(C105,'起きあがり'!$T$2:$AD$2,0))</f>
        <v>1-22</v>
      </c>
      <c r="D123" s="2541">
        <f t="array" ref="D123">INDEX('起きあがり'!$T$3:$U$115, MATCH($A$1,'起きあがり'!$A$3:$A$115,0), MATCH(D105,'起きあがり'!$T$2:$AD$2,0))</f>
        <v>35</v>
      </c>
      <c r="E123" s="1162"/>
      <c r="F123" s="1162"/>
      <c r="G123" s="1162"/>
      <c r="H123" s="228"/>
      <c r="I123" s="228"/>
      <c r="J123" s="111"/>
      <c r="K123" s="146"/>
      <c r="L123" s="314" t="str">
        <f>'テンプレート'!L134</f>
        <v>空中踏まれ</v>
      </c>
      <c r="M123" s="113">
        <v>8.0</v>
      </c>
      <c r="N123" s="102"/>
      <c r="O123" s="118"/>
      <c r="P123" s="118"/>
      <c r="Q123" s="118"/>
      <c r="R123" s="118"/>
      <c r="S123" s="118"/>
      <c r="T123" s="118"/>
      <c r="U123" s="118"/>
      <c r="V123" s="118"/>
    </row>
    <row r="124" outlineLevel="1">
      <c r="A124" s="146"/>
      <c r="B124" s="300" t="s">
        <v>249</v>
      </c>
      <c r="C124" s="2542" t="str">
        <f t="array" ref="C124">INDEX('起きあがり'!$V$3:$Y$115, MATCH($A$1,'起きあがり'!$A$3:$A$115,0), MATCH(C105,'起きあがり'!$V$2:$AD$2,0))</f>
        <v>1-20</v>
      </c>
      <c r="D124" s="2543">
        <f t="array" ref="D124">INDEX('起きあがり'!$V$3:$Y$115, MATCH($A$1,'起きあがり'!$A$3:$A$115,0), MATCH(D105,'起きあがり'!$V$2:$AD$2,0))</f>
        <v>45</v>
      </c>
      <c r="E124" s="2540" t="str">
        <f t="array" ref="E124">INDEX('起きあがり'!$V$3:$Y$115, MATCH($A$1,'起きあがり'!$A$3:$A$115,0), MATCH(E105,'起きあがり'!$V$2:$AD$2,0))</f>
        <v>14-15</v>
      </c>
      <c r="F124" s="2541">
        <f t="array" ref="F124">INDEX('起きあがり'!$V$3:$Y$115, MATCH($A$1,'起きあがり'!$A$3:$A$115,0), MATCH(F105,'起きあがり'!$V$2:$AD$2,0))</f>
        <v>7</v>
      </c>
      <c r="G124" s="518">
        <f t="shared" ref="G124:G125" si="4">F124*1.2</f>
        <v>8.4</v>
      </c>
      <c r="H124" s="228"/>
      <c r="I124" s="228"/>
      <c r="J124" s="117"/>
      <c r="K124" s="146"/>
      <c r="L124" s="314" t="str">
        <f>'テンプレート'!L135</f>
        <v>空中落下</v>
      </c>
      <c r="M124" s="113">
        <v>35.0</v>
      </c>
      <c r="N124" s="102"/>
      <c r="O124" s="118"/>
      <c r="P124" s="118"/>
      <c r="Q124" s="118"/>
      <c r="R124" s="118"/>
      <c r="S124" s="118"/>
      <c r="T124" s="118"/>
      <c r="U124" s="118"/>
      <c r="V124" s="118"/>
    </row>
    <row r="125" outlineLevel="1">
      <c r="A125" s="156"/>
      <c r="B125" s="311" t="s">
        <v>250</v>
      </c>
      <c r="C125" s="107"/>
      <c r="D125" s="107"/>
      <c r="E125" s="2540" t="str">
        <f t="array" ref="E125">INDEX('起きあがり'!$Z$3:$AA$115, MATCH($A$1,'起きあがり'!$A$3:$A$115,0), MATCH(E105,'起きあがり'!$Z$2:$AD$2,0))</f>
        <v>19-20</v>
      </c>
      <c r="F125" s="2541">
        <f t="array" ref="F125">INDEX('起きあがり'!$Z$3:$AA$115, MATCH($A$1,'起きあがり'!$A$3:$A$115,0), MATCH(F105,'起きあがり'!$Z$2:$AD$2,0))</f>
        <v>7</v>
      </c>
      <c r="G125" s="518">
        <f t="shared" si="4"/>
        <v>8.4</v>
      </c>
      <c r="H125" s="228"/>
      <c r="I125" s="228"/>
      <c r="J125" s="117"/>
      <c r="K125" s="304" t="str">
        <f>'テンプレート'!K136</f>
        <v>倒れダメージ</v>
      </c>
      <c r="L125" s="110"/>
      <c r="M125" s="298" t="str">
        <f>'テンプレート'!M136</f>
        <v>全体フレーム</v>
      </c>
      <c r="N125" s="102"/>
      <c r="O125" s="118"/>
      <c r="P125" s="118"/>
      <c r="Q125" s="118"/>
      <c r="R125" s="118"/>
      <c r="S125" s="118"/>
      <c r="T125" s="118"/>
      <c r="U125" s="118"/>
      <c r="V125" s="118"/>
    </row>
    <row r="126" outlineLevel="1">
      <c r="A126" s="299" t="s">
        <v>252</v>
      </c>
      <c r="B126" s="300" t="s">
        <v>253</v>
      </c>
      <c r="C126" s="2540" t="str">
        <f t="array" ref="C126">INDEX('転倒'!$C$3:$D112, MATCH($A$1,'転倒'!$A$3:$A$115,0), MATCH(C105,'転倒'!$C$2:$AC$2,0))</f>
        <v>1-5</v>
      </c>
      <c r="D126" s="2541">
        <f t="array" ref="D126">INDEX('転倒'!$C$3:$D112, MATCH($A$1,'転倒'!$A$3:$A$115,0), MATCH(D105,'転倒'!$C$2:$AC$2,0))</f>
        <v>29</v>
      </c>
      <c r="E126" s="1162"/>
      <c r="F126" s="1162"/>
      <c r="G126" s="1162"/>
      <c r="H126" s="228"/>
      <c r="I126" s="228"/>
      <c r="J126" s="111"/>
      <c r="K126" s="313" t="str">
        <f>'テンプレート'!K137</f>
        <v>あお向け倒れ</v>
      </c>
      <c r="L126" s="306" t="str">
        <f>'テンプレート'!L137</f>
        <v>モーション大</v>
      </c>
      <c r="M126" s="113">
        <v>39.0</v>
      </c>
      <c r="N126" s="315"/>
      <c r="O126" s="118"/>
      <c r="P126" s="118"/>
      <c r="Q126" s="118"/>
      <c r="R126" s="118"/>
      <c r="S126" s="118"/>
      <c r="T126" s="118"/>
      <c r="U126" s="118"/>
      <c r="V126" s="118"/>
    </row>
    <row r="127" outlineLevel="1">
      <c r="A127" s="146"/>
      <c r="B127" s="300" t="s">
        <v>254</v>
      </c>
      <c r="C127" s="2540" t="str">
        <f t="array" ref="C127">INDEX('転倒'!$E$3:$F112, MATCH($A$1,'転倒'!$A$3:$A$115,0), MATCH(C105,'転倒'!$E$2:$AC$2,0))</f>
        <v>1-5</v>
      </c>
      <c r="D127" s="2541">
        <f t="array" ref="D127">INDEX('転倒'!$E$3:$F112, MATCH($A$1,'転倒'!$A$3:$A$115,0), MATCH(D105,'転倒'!$E$2:$AC$2,0))</f>
        <v>39</v>
      </c>
      <c r="E127" s="1162"/>
      <c r="F127" s="1162"/>
      <c r="G127" s="1162"/>
      <c r="H127" s="228"/>
      <c r="I127" s="228"/>
      <c r="J127" s="117"/>
      <c r="K127" s="313" t="str">
        <f>'テンプレート'!K138</f>
        <v>うつ伏せ倒れ</v>
      </c>
      <c r="L127" s="306" t="str">
        <f>'テンプレート'!L138</f>
        <v>モーション大</v>
      </c>
      <c r="M127" s="113" t="s">
        <v>118</v>
      </c>
      <c r="N127" s="315"/>
      <c r="O127" s="118"/>
      <c r="P127" s="118"/>
      <c r="Q127" s="118"/>
      <c r="R127" s="118"/>
      <c r="S127" s="118"/>
      <c r="T127" s="118"/>
      <c r="U127" s="118"/>
      <c r="V127" s="118"/>
    </row>
    <row r="128" outlineLevel="1">
      <c r="A128" s="146"/>
      <c r="B128" s="300" t="s">
        <v>216</v>
      </c>
      <c r="C128" s="2540" t="str">
        <f t="array" ref="C128">INDEX('転倒'!$G$3:$H$115, MATCH($A$1,'転倒'!$A$3:$A$115,0), MATCH(C105,'転倒'!$G$2:$AC$2,0))</f>
        <v>1-16</v>
      </c>
      <c r="D128" s="2541">
        <f t="array" ref="D128">INDEX('転倒'!$G$3:$H$115, MATCH($A$1,'転倒'!$A$3:$A$115,0), MATCH(D105,'転倒'!$G$2:$AC$2,0))</f>
        <v>21</v>
      </c>
      <c r="E128" s="1162"/>
      <c r="F128" s="1162"/>
      <c r="G128" s="1162"/>
      <c r="H128" s="228"/>
      <c r="I128" s="228"/>
      <c r="J128" s="111"/>
      <c r="K128" s="304" t="str">
        <f>'テンプレート'!K139</f>
        <v/>
      </c>
      <c r="L128" s="110"/>
      <c r="M128" s="298" t="str">
        <f>'テンプレート'!M139</f>
        <v/>
      </c>
      <c r="N128" s="102"/>
      <c r="O128" s="118"/>
      <c r="P128" s="118"/>
      <c r="Q128" s="118"/>
      <c r="R128" s="118"/>
      <c r="S128" s="118"/>
      <c r="T128" s="118"/>
      <c r="U128" s="118"/>
      <c r="V128" s="118"/>
    </row>
    <row r="129" outlineLevel="1">
      <c r="A129" s="146"/>
      <c r="B129" s="300" t="s">
        <v>245</v>
      </c>
      <c r="C129" s="2540" t="str">
        <f t="array" ref="C129">INDEX('転倒'!$I$3:$J$115, MATCH($A$1,'転倒'!$A$3:$A$115,0), MATCH(C105,'転倒'!$I$2:$AC$2,0))</f>
        <v>1-9</v>
      </c>
      <c r="D129" s="2541">
        <f t="array" ref="D129">INDEX('転倒'!$I$3:$J$115, MATCH($A$1,'転倒'!$A$3:$A$115,0), MATCH(D105,'転倒'!$I$2:$AC$2,0))</f>
        <v>28</v>
      </c>
      <c r="E129" s="1162"/>
      <c r="F129" s="1162"/>
      <c r="G129" s="1162"/>
      <c r="H129" s="228"/>
      <c r="I129" s="228"/>
      <c r="J129" s="228"/>
      <c r="K129" s="316"/>
      <c r="L129" s="317" t="str">
        <f>'テンプレート'!L140</f>
        <v/>
      </c>
      <c r="M129" s="113" t="s">
        <v>76</v>
      </c>
      <c r="N129" s="102"/>
      <c r="O129" s="118"/>
      <c r="P129" s="118"/>
      <c r="Q129" s="118"/>
      <c r="R129" s="118"/>
      <c r="S129" s="118"/>
      <c r="T129" s="118"/>
      <c r="U129" s="118"/>
      <c r="V129" s="118"/>
    </row>
    <row r="130" outlineLevel="1">
      <c r="A130" s="146"/>
      <c r="B130" s="300" t="s">
        <v>246</v>
      </c>
      <c r="C130" s="2540" t="str">
        <f t="array" ref="C130">INDEX('転倒'!$K$3:$L$115, MATCH($A$1,'転倒'!$A$3:$A$115,0), MATCH(C105,'転倒'!$K$2:$AC$2,0))</f>
        <v>1-9</v>
      </c>
      <c r="D130" s="2541">
        <f t="array" ref="D130">INDEX('転倒'!$K$3:$L$115, MATCH($A$1,'転倒'!$A$3:$A$115,0), MATCH(D105,'転倒'!$K$2:$AC$2,0))</f>
        <v>28</v>
      </c>
      <c r="E130" s="1162"/>
      <c r="F130" s="1162"/>
      <c r="G130" s="1162"/>
      <c r="H130" s="228"/>
      <c r="I130" s="228"/>
      <c r="J130" s="228"/>
      <c r="K130" s="102"/>
      <c r="L130" s="118"/>
      <c r="M130" s="118"/>
      <c r="N130" s="102"/>
      <c r="O130" s="118"/>
      <c r="P130" s="118"/>
      <c r="Q130" s="118"/>
      <c r="R130" s="118"/>
      <c r="S130" s="118"/>
      <c r="T130" s="118"/>
      <c r="U130" s="118"/>
      <c r="V130" s="118"/>
    </row>
    <row r="131" outlineLevel="1">
      <c r="A131" s="146"/>
      <c r="B131" s="300" t="s">
        <v>249</v>
      </c>
      <c r="C131" s="2542" t="str">
        <f t="array" ref="C131">INDEX('転倒'!$M$3:$P$115, MATCH($A$1,'転倒'!$A$3:$A$115,0), MATCH(C105,'転倒'!$M$2:$AC$2,0))</f>
        <v>1-7</v>
      </c>
      <c r="D131" s="2543">
        <f t="array" ref="D131">INDEX('転倒'!$M$3:$P$115, MATCH($A$1,'転倒'!$A$3:$A$115,0), MATCH(D105,'転倒'!$M$2:$AC$2,0))</f>
        <v>49</v>
      </c>
      <c r="E131" s="2540" t="str">
        <f t="array" ref="E131">INDEX('転倒'!$M$3:$P$115, MATCH($A$1,'転倒'!$A$3:$A$115,0), MATCH(E105,'転倒'!$M$2:$AC$2,0))</f>
        <v>19-20</v>
      </c>
      <c r="F131" s="2541">
        <f t="array" ref="F131">INDEX('転倒'!$M$3:$P$115, MATCH($A$1,'転倒'!$A$3:$A$115,0), MATCH(F105,'転倒'!$M$2:$AC$2,0))</f>
        <v>5</v>
      </c>
      <c r="G131" s="518">
        <f t="shared" ref="G131:G132" si="5">F131*1.2</f>
        <v>6</v>
      </c>
      <c r="H131" s="228"/>
      <c r="I131" s="228"/>
      <c r="J131" s="228"/>
      <c r="K131" s="118"/>
      <c r="L131" s="118"/>
      <c r="M131" s="118"/>
      <c r="N131" s="102"/>
      <c r="O131" s="102"/>
      <c r="P131" s="102"/>
      <c r="Q131" s="102"/>
      <c r="R131" s="118"/>
      <c r="S131" s="118"/>
      <c r="T131" s="118"/>
      <c r="U131" s="118"/>
      <c r="V131" s="118"/>
    </row>
    <row r="132" outlineLevel="1">
      <c r="A132" s="156"/>
      <c r="B132" s="311" t="s">
        <v>250</v>
      </c>
      <c r="C132" s="107"/>
      <c r="D132" s="107"/>
      <c r="E132" s="2540" t="str">
        <f t="array" ref="E132">INDEX('転倒'!$Q$3:$R$115, MATCH($A$1,'転倒'!$A$3:$A$115,0), MATCH(E105,'転倒'!$Q$2:$AC$2,0))</f>
        <v>24-25</v>
      </c>
      <c r="F132" s="2541">
        <f t="array" ref="F132">INDEX('転倒'!$Q$3:$R$115, MATCH($A$1,'転倒'!$A$3:$A$115,0), MATCH(F105,'転倒'!$Q$2:$AC$2,0))</f>
        <v>5</v>
      </c>
      <c r="G132" s="518">
        <f t="shared" si="5"/>
        <v>6</v>
      </c>
      <c r="H132" s="228"/>
      <c r="I132" s="228"/>
      <c r="J132" s="228"/>
      <c r="K132" s="118"/>
      <c r="L132" s="118"/>
      <c r="M132" s="118"/>
      <c r="N132" s="102"/>
      <c r="O132" s="102"/>
      <c r="P132" s="102"/>
      <c r="Q132" s="102"/>
      <c r="R132" s="118"/>
      <c r="S132" s="118"/>
      <c r="T132" s="118"/>
      <c r="U132" s="118"/>
      <c r="V132" s="118"/>
    </row>
    <row r="133" outlineLevel="1">
      <c r="A133" s="319"/>
      <c r="B133" s="320"/>
      <c r="C133" s="321"/>
      <c r="D133" s="321"/>
      <c r="E133" s="2544"/>
      <c r="F133" s="2545"/>
      <c r="G133" s="2546"/>
      <c r="H133" s="228"/>
      <c r="I133" s="228"/>
      <c r="J133" s="228"/>
      <c r="K133" s="118"/>
      <c r="L133" s="118"/>
      <c r="M133" s="118"/>
      <c r="N133" s="102"/>
      <c r="O133" s="102"/>
      <c r="P133" s="102"/>
      <c r="Q133" s="102"/>
      <c r="R133" s="118"/>
      <c r="S133" s="118"/>
      <c r="T133" s="118"/>
      <c r="U133" s="118"/>
      <c r="V133" s="118"/>
    </row>
    <row r="134" outlineLevel="1">
      <c r="A134" s="323" t="s">
        <v>255</v>
      </c>
      <c r="B134" s="109"/>
      <c r="C134" s="321"/>
      <c r="D134" s="321"/>
      <c r="E134" s="2544"/>
      <c r="F134" s="2545"/>
      <c r="G134" s="2546"/>
      <c r="H134" s="228"/>
      <c r="I134" s="228"/>
      <c r="J134" s="228"/>
      <c r="K134" s="118"/>
      <c r="L134" s="118"/>
      <c r="M134" s="118"/>
      <c r="N134" s="102"/>
      <c r="O134" s="102"/>
      <c r="P134" s="102"/>
      <c r="Q134" s="102"/>
      <c r="R134" s="118"/>
      <c r="S134" s="118"/>
      <c r="T134" s="118"/>
      <c r="U134" s="118"/>
      <c r="V134" s="118"/>
    </row>
    <row r="135" outlineLevel="1">
      <c r="A135" s="324" t="s">
        <v>256</v>
      </c>
      <c r="B135" s="109"/>
      <c r="C135" s="325" t="s">
        <v>257</v>
      </c>
      <c r="D135" s="325" t="s">
        <v>49</v>
      </c>
      <c r="E135" s="2544"/>
      <c r="F135" s="2545"/>
      <c r="G135" s="2546"/>
      <c r="H135" s="228"/>
      <c r="I135" s="228"/>
      <c r="J135" s="228"/>
      <c r="K135" s="118"/>
      <c r="L135" s="118"/>
      <c r="M135" s="118"/>
      <c r="N135" s="102"/>
      <c r="O135" s="102"/>
      <c r="P135" s="102"/>
      <c r="Q135" s="102"/>
      <c r="R135" s="118"/>
      <c r="S135" s="118"/>
      <c r="T135" s="118"/>
      <c r="U135" s="118"/>
      <c r="V135" s="118"/>
    </row>
    <row r="136" outlineLevel="1">
      <c r="A136" s="326" t="s">
        <v>258</v>
      </c>
      <c r="B136" s="327" t="s">
        <v>216</v>
      </c>
      <c r="C136" s="328" t="str">
        <f t="array" ref="C136">INDEX('アイテム'!$C$3:$D$114, MATCH($A$1,'アイテム'!$A$3:$A$114,0), MATCH(C135,'アイテム'!$C$2:$AQ$2,0))</f>
        <v>3</v>
      </c>
      <c r="D136" s="328">
        <f t="array" ref="D136">INDEX('アイテム'!$C$3:$D$114, MATCH($A$1,'アイテム'!$A$3:$A$114,0), MATCH(D135,'アイテム'!$C$2:$AQ$2,0))</f>
        <v>7</v>
      </c>
      <c r="E136" s="2544"/>
      <c r="F136" s="2545"/>
      <c r="G136" s="2546"/>
      <c r="H136" s="228"/>
      <c r="I136" s="228"/>
      <c r="J136" s="228"/>
      <c r="K136" s="118"/>
      <c r="L136" s="118"/>
      <c r="M136" s="118"/>
      <c r="N136" s="102"/>
      <c r="O136" s="102"/>
      <c r="P136" s="102"/>
      <c r="Q136" s="102"/>
      <c r="R136" s="118"/>
      <c r="S136" s="118"/>
      <c r="T136" s="118"/>
      <c r="U136" s="118"/>
      <c r="V136" s="118"/>
    </row>
    <row r="137" outlineLevel="1">
      <c r="A137" s="156"/>
      <c r="B137" s="327" t="s">
        <v>219</v>
      </c>
      <c r="C137" s="328" t="str">
        <f t="array" ref="C137">INDEX('アイテム'!$E$3:$F$114, MATCH($A$1,'アイテム'!$A$3:$A$114,0), MATCH(C135,'アイテム'!$C$2:$AQ$2,0))</f>
        <v>3</v>
      </c>
      <c r="D137" s="328">
        <f t="array" ref="D137">INDEX('アイテム'!$E$3:$F$114, MATCH($A$1,'アイテム'!$A$3:$A$114,0), MATCH(D135,'アイテム'!$C$2:$AQ$2,0))</f>
        <v>19</v>
      </c>
      <c r="E137" s="2544"/>
      <c r="F137" s="2545"/>
      <c r="G137" s="2546"/>
      <c r="H137" s="228"/>
      <c r="I137" s="228"/>
      <c r="J137" s="228"/>
      <c r="K137" s="118"/>
      <c r="L137" s="118"/>
      <c r="M137" s="118"/>
      <c r="N137" s="102"/>
      <c r="O137" s="102"/>
      <c r="P137" s="102"/>
      <c r="Q137" s="102"/>
      <c r="R137" s="118"/>
      <c r="S137" s="118"/>
      <c r="T137" s="118"/>
      <c r="U137" s="118"/>
      <c r="V137" s="118"/>
    </row>
    <row r="138" outlineLevel="1">
      <c r="A138" s="329" t="s">
        <v>259</v>
      </c>
      <c r="B138" s="327" t="s">
        <v>216</v>
      </c>
      <c r="C138" s="328">
        <f t="array" ref="C138">INDEX('アイテム'!$AA$3:$AB$114, MATCH($A$1,'アイテム'!$A$3:$A$114,0), MATCH(C135,'アイテム'!$C$2:$AQ$2,0))</f>
        <v>3</v>
      </c>
      <c r="D138" s="328" t="str">
        <f t="array" ref="D138">INDEX('アイテム'!$AA$3:$AB$114, MATCH($A$1,'アイテム'!$A$3:$A$114,0), MATCH(D135,'アイテム'!$C$2:$AQ$2,0))</f>
        <v>12</v>
      </c>
      <c r="E138" s="2544"/>
      <c r="F138" s="2545"/>
      <c r="G138" s="2546"/>
      <c r="H138" s="228"/>
      <c r="I138" s="228"/>
      <c r="J138" s="228"/>
      <c r="K138" s="118"/>
      <c r="L138" s="118"/>
      <c r="M138" s="118"/>
      <c r="N138" s="102"/>
      <c r="O138" s="102"/>
      <c r="P138" s="102"/>
      <c r="Q138" s="102"/>
      <c r="R138" s="118"/>
      <c r="S138" s="118"/>
      <c r="T138" s="118"/>
      <c r="U138" s="118"/>
      <c r="V138" s="118"/>
    </row>
    <row r="139" outlineLevel="1">
      <c r="A139" s="324" t="s">
        <v>260</v>
      </c>
      <c r="B139" s="109"/>
      <c r="C139" s="325" t="s">
        <v>261</v>
      </c>
      <c r="D139" s="325" t="s">
        <v>49</v>
      </c>
      <c r="E139" s="2544"/>
      <c r="F139" s="2545"/>
      <c r="G139" s="2546"/>
      <c r="H139" s="228"/>
      <c r="I139" s="228"/>
      <c r="J139" s="228"/>
      <c r="K139" s="118"/>
      <c r="L139" s="118"/>
      <c r="M139" s="118"/>
      <c r="N139" s="102"/>
      <c r="O139" s="102"/>
      <c r="P139" s="102"/>
      <c r="Q139" s="102"/>
      <c r="R139" s="118"/>
      <c r="S139" s="118"/>
      <c r="T139" s="118"/>
      <c r="U139" s="118"/>
      <c r="V139" s="118"/>
    </row>
    <row r="140" outlineLevel="1">
      <c r="A140" s="326" t="s">
        <v>262</v>
      </c>
      <c r="B140" s="327" t="s">
        <v>226</v>
      </c>
      <c r="C140" s="328" t="str">
        <f t="array" ref="C140">INDEX('アイテム'!$G$3:$H$114, MATCH($A$1,'アイテム'!$A$3:$A$114,0), MATCH(C135,'アイテム'!$C$2:$AQ$2,0))</f>
        <v>7</v>
      </c>
      <c r="D140" s="328">
        <f t="array" ref="D140">INDEX('アイテム'!$G$3:$H$114, MATCH($A$1,'アイテム'!$A$3:$A$114,0), MATCH(D135,'アイテム'!$C$2:$AQ$2,0))</f>
        <v>24</v>
      </c>
      <c r="E140" s="2544"/>
      <c r="F140" s="2545"/>
      <c r="G140" s="2546"/>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INDEX('アイテム'!$I$3:$J$114, MATCH($A$1,'アイテム'!$A$3:$A$114,0), MATCH(C135,'アイテム'!$C$2:$AQ$2,0))</f>
        <v>10</v>
      </c>
      <c r="D141" s="328">
        <f t="array" ref="D141">INDEX('アイテム'!$I$3:$J$114, MATCH($A$1,'アイテム'!$A$3:$A$114,0), MATCH(D135,'アイテム'!$C$2:$AQ$2,0))</f>
        <v>24</v>
      </c>
      <c r="E141" s="2544"/>
      <c r="F141" s="2545"/>
      <c r="G141" s="2546"/>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INDEX('アイテム'!$K$3:$L$114, MATCH($A$1,'アイテム'!$A$3:$A$114,0), MATCH(C135,'アイテム'!$C$2:$AQ$2,0))</f>
        <v>12</v>
      </c>
      <c r="D142" s="328">
        <f t="array" ref="D142">INDEX('アイテム'!$K$3:$L$114, MATCH($A$1,'アイテム'!$A$3:$A$114,0), MATCH(D135,'アイテム'!$C$2:$AQ$2,0))</f>
        <v>23</v>
      </c>
      <c r="E142" s="2544"/>
      <c r="F142" s="2545"/>
      <c r="G142" s="2546"/>
      <c r="H142" s="228"/>
      <c r="I142" s="228"/>
      <c r="J142" s="228"/>
      <c r="K142" s="118"/>
      <c r="L142" s="118"/>
      <c r="M142" s="118"/>
      <c r="N142" s="102"/>
      <c r="O142" s="102"/>
      <c r="P142" s="102"/>
      <c r="Q142" s="102"/>
      <c r="R142" s="118"/>
      <c r="S142" s="118"/>
      <c r="T142" s="118"/>
      <c r="U142" s="118"/>
      <c r="V142" s="118"/>
    </row>
    <row r="143" outlineLevel="1">
      <c r="A143" s="146"/>
      <c r="B143" s="327" t="s">
        <v>234</v>
      </c>
      <c r="C143" s="328" t="str">
        <f t="array" ref="C143">INDEX('アイテム'!$M$3:$N$114, MATCH($A$1,'アイテム'!$A$3:$A$114,0), MATCH(C135,'アイテム'!$C$2:$AQ$2,0))</f>
        <v>7</v>
      </c>
      <c r="D143" s="328">
        <f t="array" ref="D143">INDEX('アイテム'!$M$3:$N$114, MATCH($A$1,'アイテム'!$A$3:$A$114,0), MATCH(D135,'アイテム'!$C$2:$AQ$2,0))</f>
        <v>19</v>
      </c>
      <c r="E143" s="2544"/>
      <c r="F143" s="2545"/>
      <c r="G143" s="2546"/>
      <c r="H143" s="228"/>
      <c r="I143" s="228"/>
      <c r="J143" s="228"/>
      <c r="K143" s="118"/>
      <c r="L143" s="118"/>
      <c r="M143" s="118"/>
      <c r="N143" s="102"/>
      <c r="O143" s="102"/>
      <c r="P143" s="102"/>
      <c r="Q143" s="102"/>
      <c r="R143" s="118"/>
      <c r="S143" s="118"/>
      <c r="T143" s="118"/>
      <c r="U143" s="118"/>
      <c r="V143" s="118"/>
    </row>
    <row r="144" outlineLevel="1">
      <c r="A144" s="146"/>
      <c r="B144" s="327" t="s">
        <v>219</v>
      </c>
      <c r="C144" s="328" t="str">
        <f t="array" ref="C144">INDEX('アイテム'!$O$3:$P$114, MATCH($A$1,'アイテム'!$A$3:$A$114,0), MATCH(C135,'アイテム'!$C$2:$AQ$2,0))</f>
        <v>5</v>
      </c>
      <c r="D144" s="328">
        <f t="array" ref="D144">INDEX('アイテム'!$O$3:$P$114, MATCH($A$1,'アイテム'!$A$3:$A$114,0), MATCH(D135,'アイテム'!$C$2:$AQ$2,0))</f>
        <v>29</v>
      </c>
      <c r="E144" s="2544"/>
      <c r="F144" s="2545"/>
      <c r="G144" s="2546"/>
      <c r="H144" s="228"/>
      <c r="I144" s="228"/>
      <c r="J144" s="228"/>
      <c r="K144" s="118"/>
      <c r="L144" s="118"/>
      <c r="M144" s="118"/>
      <c r="N144" s="102"/>
      <c r="O144" s="102"/>
      <c r="P144" s="102"/>
      <c r="Q144" s="102"/>
      <c r="R144" s="118"/>
      <c r="S144" s="118"/>
      <c r="T144" s="118"/>
      <c r="U144" s="118"/>
      <c r="V144" s="118"/>
    </row>
    <row r="145" outlineLevel="1">
      <c r="A145" s="156"/>
      <c r="B145" s="327" t="s">
        <v>263</v>
      </c>
      <c r="C145" s="328" t="str">
        <f t="array" ref="C145">INDEX('アイテム'!$Q$3:$R$114, MATCH($A$1,'アイテム'!$A$3:$A$114,0), MATCH(C135,'アイテム'!$C$2:$AQ$2,0))</f>
        <v>6</v>
      </c>
      <c r="D145" s="328">
        <f t="array" ref="D145">INDEX('アイテム'!$Q$3:$R$114, MATCH($A$1,'アイテム'!$A$3:$A$114,0), MATCH(D135,'アイテム'!$C$2:$AQ$2,0))</f>
        <v>23</v>
      </c>
      <c r="E145" s="2544"/>
      <c r="F145" s="2545"/>
      <c r="G145" s="2546"/>
      <c r="H145" s="228"/>
      <c r="I145" s="228"/>
      <c r="J145" s="228"/>
      <c r="K145" s="118"/>
      <c r="L145" s="118"/>
      <c r="M145" s="118"/>
      <c r="N145" s="102"/>
      <c r="O145" s="102"/>
      <c r="P145" s="102"/>
      <c r="Q145" s="102"/>
      <c r="R145" s="118"/>
      <c r="S145" s="118"/>
      <c r="T145" s="118"/>
      <c r="U145" s="118"/>
      <c r="V145" s="118"/>
    </row>
    <row r="146" outlineLevel="1">
      <c r="A146" s="326" t="s">
        <v>264</v>
      </c>
      <c r="B146" s="327" t="s">
        <v>226</v>
      </c>
      <c r="C146" s="328" t="str">
        <f t="array" ref="C146">INDEX('アイテム'!$S$3:$T$114, MATCH($A$1,'アイテム'!$A$3:$A$114,0), MATCH(C135,'アイテム'!$C$2:$AQ$2,0))</f>
        <v>7</v>
      </c>
      <c r="D146" s="328">
        <f t="array" ref="D146">INDEX('アイテム'!$S$3:$T$114, MATCH($A$1,'アイテム'!$A$3:$A$114,0), MATCH(D135,'アイテム'!$C$2:$AQ$2,0))</f>
        <v>24</v>
      </c>
      <c r="E146" s="2544"/>
      <c r="F146" s="2545"/>
      <c r="G146" s="2546"/>
      <c r="H146" s="228"/>
      <c r="I146" s="228"/>
      <c r="J146" s="228"/>
      <c r="K146" s="118"/>
      <c r="L146" s="118"/>
      <c r="M146" s="118"/>
      <c r="N146" s="102"/>
      <c r="O146" s="102"/>
      <c r="P146" s="102"/>
      <c r="Q146" s="102"/>
      <c r="R146" s="118"/>
      <c r="S146" s="118"/>
      <c r="T146" s="118"/>
      <c r="U146" s="118"/>
      <c r="V146" s="118"/>
    </row>
    <row r="147" outlineLevel="1">
      <c r="A147" s="146"/>
      <c r="B147" s="327" t="s">
        <v>229</v>
      </c>
      <c r="C147" s="328" t="str">
        <f t="array" ref="C147">INDEX('アイテム'!$U$3:$V$114, MATCH($A$1,'アイテム'!$A$3:$A$114,0), MATCH(C135,'アイテム'!$C$2:$AQ$2,0))</f>
        <v>10</v>
      </c>
      <c r="D147" s="328">
        <f t="array" ref="D147">INDEX('アイテム'!$U$3:$V$114, MATCH($A$1,'アイテム'!$A$3:$A$114,0), MATCH(D135,'アイテム'!$C$2:$AQ$2,0))</f>
        <v>24</v>
      </c>
      <c r="E147" s="2544"/>
      <c r="F147" s="2545"/>
      <c r="G147" s="2546"/>
      <c r="H147" s="228"/>
      <c r="I147" s="228"/>
      <c r="J147" s="228"/>
      <c r="K147" s="118"/>
      <c r="L147" s="118"/>
      <c r="M147" s="118"/>
      <c r="N147" s="102"/>
      <c r="O147" s="102"/>
      <c r="P147" s="102"/>
      <c r="Q147" s="102"/>
      <c r="R147" s="118"/>
      <c r="S147" s="118"/>
      <c r="T147" s="118"/>
      <c r="U147" s="118"/>
      <c r="V147" s="118"/>
    </row>
    <row r="148" outlineLevel="1">
      <c r="A148" s="146"/>
      <c r="B148" s="327" t="s">
        <v>233</v>
      </c>
      <c r="C148" s="328" t="str">
        <f t="array" ref="C148">INDEX('アイテム'!$W$3:$X$114, MATCH($A$1,'アイテム'!$A$3:$A$114,0), MATCH(C135,'アイテム'!$C$2:$AQ$2,0))</f>
        <v>12</v>
      </c>
      <c r="D148" s="328">
        <f t="array" ref="D148">INDEX('アイテム'!$W$3:$X$114, MATCH($A$1,'アイテム'!$A$3:$A$114,0), MATCH(D135,'アイテム'!$C$2:$AQ$2,0))</f>
        <v>23</v>
      </c>
      <c r="E148" s="2544"/>
      <c r="F148" s="2545"/>
      <c r="G148" s="2546"/>
      <c r="H148" s="228"/>
      <c r="I148" s="228"/>
      <c r="J148" s="228"/>
      <c r="K148" s="118"/>
      <c r="L148" s="118"/>
      <c r="M148" s="118"/>
      <c r="N148" s="102"/>
      <c r="O148" s="102"/>
      <c r="P148" s="102"/>
      <c r="Q148" s="102"/>
      <c r="R148" s="118"/>
      <c r="S148" s="118"/>
      <c r="T148" s="118"/>
      <c r="U148" s="118"/>
      <c r="V148" s="118"/>
    </row>
    <row r="149" outlineLevel="1">
      <c r="A149" s="156"/>
      <c r="B149" s="327" t="s">
        <v>234</v>
      </c>
      <c r="C149" s="328" t="str">
        <f t="array" ref="C149">INDEX('アイテム'!$Y$3:$Z$114, MATCH($A$1,'アイテム'!$A$3:$A$114,0), MATCH(C135,'アイテム'!$C$2:$AQ$2,0))</f>
        <v>7</v>
      </c>
      <c r="D149" s="328">
        <f t="array" ref="D149">INDEX('アイテム'!$Y$3:$Z$114, MATCH($A$1,'アイテム'!$A$3:$A$114,0), MATCH(D135,'アイテム'!$C$2:$AQ$2,0))</f>
        <v>19</v>
      </c>
      <c r="E149" s="2544"/>
      <c r="F149" s="2545"/>
      <c r="G149" s="2546"/>
      <c r="H149" s="228"/>
      <c r="I149" s="228"/>
      <c r="J149" s="228"/>
      <c r="K149" s="118"/>
      <c r="L149" s="118"/>
      <c r="M149" s="118"/>
      <c r="N149" s="102"/>
      <c r="O149" s="102"/>
      <c r="P149" s="102"/>
      <c r="Q149" s="102"/>
      <c r="R149" s="118"/>
      <c r="S149" s="118"/>
      <c r="T149" s="118"/>
      <c r="U149" s="118"/>
      <c r="V149" s="118"/>
    </row>
    <row r="150" outlineLevel="1">
      <c r="A150" s="326" t="s">
        <v>265</v>
      </c>
      <c r="B150" s="327" t="s">
        <v>226</v>
      </c>
      <c r="C150" s="328">
        <f t="array" ref="C150">INDEX('アイテム'!$AC$3:$AD$114, MATCH($A$1,'アイテム'!$A$3:$A$114,0), MATCH(C135,'アイテム'!$C$2:$AQ$2,0))</f>
        <v>13</v>
      </c>
      <c r="D150" s="328" t="str">
        <f t="array" ref="D150">INDEX('アイテム'!$AC$3:$AD$114, MATCH($A$1,'アイテム'!$A$3:$A$114,0), MATCH(D135,'アイテム'!$C$2:$AQ$2,0))</f>
        <v>30</v>
      </c>
      <c r="E150" s="2544"/>
      <c r="F150" s="2545"/>
      <c r="G150" s="2546"/>
      <c r="H150" s="228"/>
      <c r="I150" s="228"/>
      <c r="J150" s="228"/>
      <c r="K150" s="118"/>
      <c r="L150" s="118"/>
      <c r="M150" s="118"/>
      <c r="N150" s="102"/>
      <c r="O150" s="102"/>
      <c r="P150" s="102"/>
      <c r="Q150" s="102"/>
      <c r="R150" s="118"/>
      <c r="S150" s="118"/>
      <c r="T150" s="118"/>
      <c r="U150" s="118"/>
      <c r="V150" s="118"/>
    </row>
    <row r="151" outlineLevel="1">
      <c r="A151" s="146"/>
      <c r="B151" s="327" t="s">
        <v>229</v>
      </c>
      <c r="C151" s="328">
        <f t="array" ref="C151">INDEX('アイテム'!$AE$3:$AF$114, MATCH($A$1,'アイテム'!$A$3:$A$114,0), MATCH(C135,'アイテム'!$C$2:$AQ$2,0))</f>
        <v>14</v>
      </c>
      <c r="D151" s="328" t="str">
        <f t="array" ref="D151">INDEX('アイテム'!$AE$3:$AF$114, MATCH($A$1,'アイテム'!$A$3:$A$114,0), MATCH(D135,'アイテム'!$C$2:$AQ$2,0))</f>
        <v>30</v>
      </c>
      <c r="E151" s="2544"/>
      <c r="F151" s="2545"/>
      <c r="G151" s="2546"/>
      <c r="H151" s="228"/>
      <c r="I151" s="228"/>
      <c r="J151" s="228"/>
      <c r="K151" s="118"/>
      <c r="L151" s="118"/>
      <c r="M151" s="118"/>
      <c r="N151" s="102"/>
      <c r="O151" s="102"/>
      <c r="P151" s="102"/>
      <c r="Q151" s="102"/>
      <c r="R151" s="118"/>
      <c r="S151" s="118"/>
      <c r="T151" s="118"/>
      <c r="U151" s="118"/>
      <c r="V151" s="118"/>
    </row>
    <row r="152" outlineLevel="1">
      <c r="A152" s="146"/>
      <c r="B152" s="327" t="s">
        <v>233</v>
      </c>
      <c r="C152" s="328">
        <f t="array" ref="C152">INDEX('アイテム'!$AG$3:$AH$114, MATCH($A$1,'アイテム'!$A$3:$A$114,0), MATCH(C135,'アイテム'!$C$2:$AQ$2,0))</f>
        <v>11</v>
      </c>
      <c r="D152" s="328" t="str">
        <f t="array" ref="D152">INDEX('アイテム'!$AG$3:$AH$114, MATCH($A$1,'アイテム'!$A$3:$A$114,0), MATCH(D135,'アイテム'!$C$2:$AQ$2,0))</f>
        <v>22</v>
      </c>
      <c r="E152" s="2544"/>
      <c r="F152" s="2545"/>
      <c r="G152" s="2546"/>
      <c r="H152" s="228"/>
      <c r="I152" s="228"/>
      <c r="J152" s="228"/>
      <c r="K152" s="118"/>
      <c r="L152" s="118"/>
      <c r="M152" s="118"/>
      <c r="N152" s="102"/>
      <c r="O152" s="102"/>
      <c r="P152" s="102"/>
      <c r="Q152" s="102"/>
      <c r="R152" s="118"/>
      <c r="S152" s="118"/>
      <c r="T152" s="118"/>
      <c r="U152" s="118"/>
      <c r="V152" s="118"/>
    </row>
    <row r="153" outlineLevel="1">
      <c r="A153" s="156"/>
      <c r="B153" s="327" t="s">
        <v>234</v>
      </c>
      <c r="C153" s="328">
        <f t="array" ref="C153">INDEX('アイテム'!$AI$3:$AJ$114, MATCH($A$1,'アイテム'!$A$3:$A$114,0), MATCH(C135,'アイテム'!$C$2:$AQ$2,0))</f>
        <v>8</v>
      </c>
      <c r="D153" s="328" t="str">
        <f t="array" ref="D153">INDEX('アイテム'!$AI$3:$AJ$114, MATCH($A$1,'アイテム'!$A$3:$A$114,0), MATCH(D135,'アイテム'!$C$2:$AQ$2,0))</f>
        <v>22</v>
      </c>
      <c r="E153" s="2544"/>
      <c r="F153" s="2545"/>
      <c r="G153" s="2546"/>
      <c r="H153" s="228"/>
      <c r="I153" s="228"/>
      <c r="J153" s="228"/>
      <c r="K153" s="118"/>
      <c r="L153" s="118"/>
      <c r="M153" s="118"/>
      <c r="N153" s="102"/>
      <c r="O153" s="102"/>
      <c r="P153" s="102"/>
      <c r="Q153" s="102"/>
      <c r="R153" s="118"/>
      <c r="S153" s="118"/>
      <c r="T153" s="118"/>
      <c r="U153" s="118"/>
      <c r="V153" s="118"/>
    </row>
  </sheetData>
  <mergeCells count="147">
    <mergeCell ref="I45:I46"/>
    <mergeCell ref="J45:J46"/>
    <mergeCell ref="H32:J33"/>
    <mergeCell ref="H34:J34"/>
    <mergeCell ref="H35:J36"/>
    <mergeCell ref="H37:J37"/>
    <mergeCell ref="H38:J39"/>
    <mergeCell ref="H40:J40"/>
    <mergeCell ref="H41:J41"/>
    <mergeCell ref="D48:D49"/>
    <mergeCell ref="D51:D52"/>
    <mergeCell ref="A43:B44"/>
    <mergeCell ref="A45:A46"/>
    <mergeCell ref="D45:D46"/>
    <mergeCell ref="A48:A49"/>
    <mergeCell ref="I48:I49"/>
    <mergeCell ref="J48:J49"/>
    <mergeCell ref="A51:A52"/>
    <mergeCell ref="H56:J59"/>
    <mergeCell ref="H60:J60"/>
    <mergeCell ref="H64:J64"/>
    <mergeCell ref="A61:A62"/>
    <mergeCell ref="H61:J61"/>
    <mergeCell ref="H62:J62"/>
    <mergeCell ref="A54:B54"/>
    <mergeCell ref="A55:B55"/>
    <mergeCell ref="H55:J55"/>
    <mergeCell ref="A56:A59"/>
    <mergeCell ref="D56:D57"/>
    <mergeCell ref="D58:D59"/>
    <mergeCell ref="A60:B60"/>
    <mergeCell ref="C1:G12"/>
    <mergeCell ref="A11:B12"/>
    <mergeCell ref="A15:B16"/>
    <mergeCell ref="C16:D16"/>
    <mergeCell ref="E16:F16"/>
    <mergeCell ref="G16:H16"/>
    <mergeCell ref="H25:J25"/>
    <mergeCell ref="A24:B25"/>
    <mergeCell ref="A26:A31"/>
    <mergeCell ref="A32:A33"/>
    <mergeCell ref="D32:D33"/>
    <mergeCell ref="A35:A36"/>
    <mergeCell ref="D35:D36"/>
    <mergeCell ref="A38:A39"/>
    <mergeCell ref="U73:U75"/>
    <mergeCell ref="V73:V75"/>
    <mergeCell ref="U38:U39"/>
    <mergeCell ref="U56:U59"/>
    <mergeCell ref="V56:V59"/>
    <mergeCell ref="U61:U63"/>
    <mergeCell ref="V61:V63"/>
    <mergeCell ref="U64:U71"/>
    <mergeCell ref="V64:V71"/>
    <mergeCell ref="A77:A78"/>
    <mergeCell ref="A80:B81"/>
    <mergeCell ref="A83:A85"/>
    <mergeCell ref="A86:B86"/>
    <mergeCell ref="G86:J86"/>
    <mergeCell ref="D87:D88"/>
    <mergeCell ref="G87:J88"/>
    <mergeCell ref="A87:A88"/>
    <mergeCell ref="A89:A90"/>
    <mergeCell ref="D89:D90"/>
    <mergeCell ref="A91:A92"/>
    <mergeCell ref="D91:D92"/>
    <mergeCell ref="A93:A94"/>
    <mergeCell ref="D93:D94"/>
    <mergeCell ref="C118:C119"/>
    <mergeCell ref="D118:D119"/>
    <mergeCell ref="C124:C125"/>
    <mergeCell ref="D124:D125"/>
    <mergeCell ref="C131:C132"/>
    <mergeCell ref="D131:D132"/>
    <mergeCell ref="K115:K118"/>
    <mergeCell ref="K119:L119"/>
    <mergeCell ref="K121:K124"/>
    <mergeCell ref="K125:L125"/>
    <mergeCell ref="K128:L128"/>
    <mergeCell ref="G89:J90"/>
    <mergeCell ref="G91:J92"/>
    <mergeCell ref="G93:J94"/>
    <mergeCell ref="K105:L105"/>
    <mergeCell ref="K106:K107"/>
    <mergeCell ref="K108:L108"/>
    <mergeCell ref="K109:K114"/>
    <mergeCell ref="A96:B97"/>
    <mergeCell ref="A98:A100"/>
    <mergeCell ref="A101:A102"/>
    <mergeCell ref="A104:B105"/>
    <mergeCell ref="A106:A110"/>
    <mergeCell ref="A111:A113"/>
    <mergeCell ref="A114:A119"/>
    <mergeCell ref="A146:A149"/>
    <mergeCell ref="A150:A153"/>
    <mergeCell ref="A120:A125"/>
    <mergeCell ref="A126:A132"/>
    <mergeCell ref="A134:B134"/>
    <mergeCell ref="A135:B135"/>
    <mergeCell ref="A136:A137"/>
    <mergeCell ref="A139:B139"/>
    <mergeCell ref="A140:A145"/>
    <mergeCell ref="H6:H7"/>
    <mergeCell ref="H10:H11"/>
    <mergeCell ref="H1:J2"/>
    <mergeCell ref="K1:M2"/>
    <mergeCell ref="H4:H5"/>
    <mergeCell ref="I4:I5"/>
    <mergeCell ref="I6:I7"/>
    <mergeCell ref="H8:J9"/>
    <mergeCell ref="I10:I11"/>
    <mergeCell ref="K16:N16"/>
    <mergeCell ref="H26:J26"/>
    <mergeCell ref="H27:J27"/>
    <mergeCell ref="H28:J28"/>
    <mergeCell ref="H29:J29"/>
    <mergeCell ref="H30:J30"/>
    <mergeCell ref="H31:J31"/>
    <mergeCell ref="U32:U33"/>
    <mergeCell ref="U35:U36"/>
    <mergeCell ref="R44:V44"/>
    <mergeCell ref="R45:V46"/>
    <mergeCell ref="R47:V47"/>
    <mergeCell ref="R48:V49"/>
    <mergeCell ref="R50:V50"/>
    <mergeCell ref="R51:V52"/>
    <mergeCell ref="H72:J72"/>
    <mergeCell ref="H73:J75"/>
    <mergeCell ref="H76:J76"/>
    <mergeCell ref="H77:J77"/>
    <mergeCell ref="U77:U78"/>
    <mergeCell ref="V77:V78"/>
    <mergeCell ref="H78:J78"/>
    <mergeCell ref="I51:I52"/>
    <mergeCell ref="J51:J52"/>
    <mergeCell ref="H63:J63"/>
    <mergeCell ref="H65:J66"/>
    <mergeCell ref="H67:J69"/>
    <mergeCell ref="H70:J70"/>
    <mergeCell ref="H71:J71"/>
    <mergeCell ref="A65:A71"/>
    <mergeCell ref="D65:D66"/>
    <mergeCell ref="D67:D69"/>
    <mergeCell ref="A72:B72"/>
    <mergeCell ref="A73:A75"/>
    <mergeCell ref="D73:D75"/>
    <mergeCell ref="A76:B76"/>
  </mergeCells>
  <conditionalFormatting sqref="K1:K15 K17:K60 K62:K69 K72:K76 K78:K129">
    <cfRule type="containsText" dxfId="0" priority="1" operator="containsText" text="361">
      <formula>NOT(ISERROR(SEARCH(("361"),(K1))))</formula>
    </cfRule>
  </conditionalFormatting>
  <conditionalFormatting sqref="K1:K15 K17:K60 K62:K69 K72:K76 K78:K129">
    <cfRule type="containsText" dxfId="1" priority="2" operator="containsText" text="363">
      <formula>NOT(ISERROR(SEARCH(("363"),(K1))))</formula>
    </cfRule>
  </conditionalFormatting>
  <conditionalFormatting sqref="K1:K15 K17:K60 K62:K69 K72:K76 K78:K129">
    <cfRule type="containsText" dxfId="1" priority="3" operator="containsText" text="365">
      <formula>NOT(ISERROR(SEARCH(("365"),(K1))))</formula>
    </cfRule>
  </conditionalFormatting>
  <conditionalFormatting sqref="K1:K15 K17:K60 K62:K69 K72:K76 K78:K129">
    <cfRule type="containsText" dxfId="1" priority="4" operator="containsText" text="366">
      <formula>NOT(ISERROR(SEARCH(("366"),(K1))))</formula>
    </cfRule>
  </conditionalFormatting>
  <conditionalFormatting sqref="K1:K15 K17:K60 K62:K69 K72:K76 K78:K129">
    <cfRule type="containsText" dxfId="1" priority="5" operator="containsText" text="367">
      <formula>NOT(ISERROR(SEARCH(("367"),(K1))))</formula>
    </cfRule>
  </conditionalFormatting>
  <conditionalFormatting sqref="P87:P94">
    <cfRule type="cellIs" dxfId="2" priority="6" operator="equal">
      <formula>"敵のみ"</formula>
    </cfRule>
  </conditionalFormatting>
  <conditionalFormatting sqref="C87:C94">
    <cfRule type="cellIs" dxfId="3" priority="7" operator="equal">
      <formula>"-"</formula>
    </cfRule>
  </conditionalFormatting>
  <conditionalFormatting sqref="O1:O60 O62:O69 O72:O76 O78:O153 P94">
    <cfRule type="cellIs" dxfId="4" priority="8" operator="greaterThan">
      <formula>0</formula>
    </cfRule>
  </conditionalFormatting>
  <conditionalFormatting sqref="P1:Q60 P62:Q69 P72:Q76 P78:Q153">
    <cfRule type="cellIs" dxfId="5" priority="9" operator="lessThan">
      <formula>1</formula>
    </cfRule>
  </conditionalFormatting>
  <conditionalFormatting sqref="P1:Q60 P62:Q69 P72:Q76 P78:Q153">
    <cfRule type="cellIs" dxfId="4" priority="10" operator="greaterThan">
      <formula>1</formula>
    </cfRule>
  </conditionalFormatting>
  <conditionalFormatting sqref="N25:N60 N62:N69 N72:N76 N78:N94">
    <cfRule type="cellIs" dxfId="6" priority="11" operator="greaterThan">
      <formula>0</formula>
    </cfRule>
  </conditionalFormatting>
  <conditionalFormatting sqref="N1:N15 N17:N60 N62:N69 N72:N76 N78:N153">
    <cfRule type="containsText" dxfId="6" priority="12" operator="containsText" text="/">
      <formula>NOT(ISERROR(SEARCH(("/"),(N1))))</formula>
    </cfRule>
  </conditionalFormatting>
  <drawing r:id="rId2"/>
  <legacyDrawing r:id="rId3"/>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02020"/>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828">
        <v>63.0</v>
      </c>
      <c r="B1" s="2829"/>
      <c r="C1" s="2830" t="str">
        <f>IMAGE(VLOOKUP($A$1,Fighters!A2:AI114,12,FALSE),1)</f>
        <v>#REF!</v>
      </c>
      <c r="D1" s="2831"/>
      <c r="E1" s="2831"/>
      <c r="F1" s="2831"/>
      <c r="G1" s="2832"/>
      <c r="H1" s="2833"/>
      <c r="I1" s="2831"/>
      <c r="J1" s="2832"/>
      <c r="K1" s="2834"/>
      <c r="L1" s="2831"/>
      <c r="M1" s="2832"/>
      <c r="N1" s="2835"/>
      <c r="O1" s="2835"/>
      <c r="P1" s="2835"/>
      <c r="Q1" s="2835"/>
      <c r="R1" s="2836"/>
      <c r="S1" s="2836"/>
      <c r="T1" s="2836"/>
      <c r="U1" s="2836"/>
      <c r="V1" s="2836"/>
    </row>
    <row r="2">
      <c r="A2" s="2837" t="str">
        <f>VLOOKUP($A$1,Fighters!$A$2:$AI$81,6,FALSE)</f>
        <v>#202020</v>
      </c>
      <c r="B2" s="2829"/>
      <c r="C2" s="2838"/>
      <c r="G2" s="2839"/>
      <c r="H2" s="2840"/>
      <c r="I2" s="2841"/>
      <c r="J2" s="2842"/>
      <c r="K2" s="2840"/>
      <c r="L2" s="2841"/>
      <c r="M2" s="2842"/>
      <c r="N2" s="2835"/>
      <c r="O2" s="2835"/>
      <c r="P2" s="2835"/>
      <c r="Q2" s="2835"/>
      <c r="R2" s="2836"/>
      <c r="S2" s="2836"/>
      <c r="T2" s="2836"/>
      <c r="U2" s="2836"/>
      <c r="V2" s="2836"/>
    </row>
    <row r="3">
      <c r="A3" s="2837" t="str">
        <f>VLOOKUP($A$1,Fighters!$A$2:$AI$81,14,FALSE)</f>
        <v>63. ベヨネッタ</v>
      </c>
      <c r="B3" s="2829"/>
      <c r="C3" s="2838"/>
      <c r="G3" s="2839"/>
      <c r="H3" s="2843"/>
      <c r="I3" s="2843"/>
      <c r="J3" s="2843"/>
      <c r="K3" s="2844"/>
      <c r="L3" s="2844"/>
      <c r="M3" s="2844"/>
      <c r="N3" s="2835"/>
      <c r="O3" s="2835"/>
      <c r="P3" s="2835"/>
      <c r="Q3" s="2835"/>
      <c r="R3" s="2835"/>
      <c r="S3" s="2836"/>
      <c r="T3" s="2836"/>
      <c r="U3" s="2836"/>
      <c r="V3" s="2836"/>
    </row>
    <row r="4">
      <c r="A4" s="2837" t="str">
        <f>VLOOKUP($A$1,Fighters!$A$2:$AI$81,13,FALSE)</f>
        <v>1</v>
      </c>
      <c r="B4" s="2829"/>
      <c r="C4" s="2838"/>
      <c r="G4" s="2839"/>
      <c r="H4" s="2845"/>
      <c r="I4" s="2845"/>
      <c r="J4" s="2843"/>
      <c r="K4" s="2844"/>
      <c r="L4" s="2844"/>
      <c r="M4" s="2844"/>
      <c r="N4" s="2835"/>
      <c r="O4" s="2835"/>
      <c r="P4" s="2835"/>
      <c r="Q4" s="2835"/>
      <c r="R4" s="2835"/>
      <c r="S4" s="2836"/>
      <c r="T4" s="2836"/>
      <c r="U4" s="2836"/>
      <c r="V4" s="2836"/>
    </row>
    <row r="5" ht="16.5" customHeight="1">
      <c r="A5" s="2828"/>
      <c r="B5" s="2829"/>
      <c r="C5" s="2838"/>
      <c r="G5" s="2839"/>
      <c r="H5" s="2846"/>
      <c r="I5" s="2846"/>
      <c r="J5" s="2847"/>
      <c r="K5" s="2848"/>
      <c r="L5" s="2849"/>
      <c r="M5" s="2849"/>
      <c r="N5" s="2835"/>
      <c r="O5" s="2835"/>
      <c r="P5" s="2835"/>
      <c r="Q5" s="2835"/>
      <c r="R5" s="2835"/>
      <c r="S5" s="2836"/>
      <c r="T5" s="2836"/>
      <c r="U5" s="2836"/>
      <c r="V5" s="2836"/>
    </row>
    <row r="6">
      <c r="A6" s="2829"/>
      <c r="B6" s="2829"/>
      <c r="C6" s="2838"/>
      <c r="G6" s="2839"/>
      <c r="H6" s="2845"/>
      <c r="I6" s="2850" t="s">
        <v>39</v>
      </c>
      <c r="J6" s="2848"/>
      <c r="K6" s="2847"/>
      <c r="L6" s="2849"/>
      <c r="M6" s="2849"/>
      <c r="N6" s="2835"/>
      <c r="O6" s="2835"/>
      <c r="P6" s="2835"/>
      <c r="Q6" s="2835"/>
      <c r="R6" s="2835"/>
      <c r="S6" s="2836"/>
      <c r="T6" s="2836"/>
      <c r="U6" s="2836"/>
      <c r="V6" s="2836"/>
    </row>
    <row r="7">
      <c r="A7" s="2829"/>
      <c r="B7" s="2829"/>
      <c r="C7" s="2838"/>
      <c r="G7" s="2839"/>
      <c r="H7" s="2846"/>
      <c r="I7" s="2846"/>
      <c r="J7" s="2848"/>
      <c r="K7" s="2847"/>
      <c r="L7" s="2849"/>
      <c r="M7" s="2849"/>
      <c r="N7" s="2835"/>
      <c r="O7" s="2835"/>
      <c r="P7" s="2835"/>
      <c r="Q7" s="2835"/>
      <c r="R7" s="2835"/>
      <c r="S7" s="2836"/>
      <c r="T7" s="2836"/>
      <c r="U7" s="2836"/>
      <c r="V7" s="2836"/>
    </row>
    <row r="8">
      <c r="A8" s="2829"/>
      <c r="B8" s="2829"/>
      <c r="C8" s="2838"/>
      <c r="G8" s="2839"/>
      <c r="H8" s="2851">
        <v>44380.364834305554</v>
      </c>
      <c r="I8" s="2831"/>
      <c r="J8" s="2832"/>
      <c r="K8" s="2848"/>
      <c r="L8" s="2849"/>
      <c r="M8" s="2849"/>
      <c r="N8" s="2835"/>
      <c r="O8" s="2835"/>
      <c r="P8" s="2835"/>
      <c r="Q8" s="2835"/>
      <c r="R8" s="2835"/>
      <c r="S8" s="2836"/>
      <c r="T8" s="2836"/>
      <c r="U8" s="2836"/>
      <c r="V8" s="2836"/>
    </row>
    <row r="9">
      <c r="A9" s="2829"/>
      <c r="B9" s="2829"/>
      <c r="C9" s="2838"/>
      <c r="G9" s="2839"/>
      <c r="H9" s="2840"/>
      <c r="I9" s="2841"/>
      <c r="J9" s="2842"/>
      <c r="K9" s="2836"/>
      <c r="L9" s="2835"/>
      <c r="M9" s="2835"/>
      <c r="N9" s="2835"/>
      <c r="O9" s="2835"/>
      <c r="P9" s="2835"/>
      <c r="Q9" s="2835"/>
      <c r="R9" s="2835"/>
      <c r="S9" s="2836"/>
      <c r="T9" s="2836"/>
      <c r="U9" s="2836"/>
      <c r="V9" s="2836"/>
    </row>
    <row r="10">
      <c r="A10" s="2852"/>
      <c r="B10" s="2829"/>
      <c r="C10" s="2838"/>
      <c r="G10" s="2839"/>
      <c r="H10" s="2853"/>
      <c r="I10" s="2853"/>
      <c r="J10" s="2836"/>
      <c r="K10" s="2836"/>
      <c r="L10" s="2835"/>
      <c r="M10" s="2835"/>
      <c r="N10" s="2835"/>
      <c r="O10" s="2835"/>
      <c r="P10" s="2835"/>
      <c r="Q10" s="2835"/>
      <c r="R10" s="2835"/>
      <c r="S10" s="2836"/>
      <c r="T10" s="2836"/>
      <c r="U10" s="2836"/>
      <c r="V10" s="2836"/>
    </row>
    <row r="11">
      <c r="A11" s="2854"/>
      <c r="B11" s="2829"/>
      <c r="C11" s="2838"/>
      <c r="G11" s="2839"/>
      <c r="H11" s="2846"/>
      <c r="I11" s="2846"/>
      <c r="J11" s="2836"/>
      <c r="K11" s="2836"/>
      <c r="L11" s="2835"/>
      <c r="M11" s="2835"/>
      <c r="N11" s="2835"/>
      <c r="O11" s="2835"/>
      <c r="P11" s="2835"/>
      <c r="Q11" s="2835"/>
      <c r="R11" s="2835"/>
      <c r="S11" s="2836"/>
      <c r="T11" s="2836"/>
      <c r="U11" s="2836"/>
      <c r="V11" s="2836"/>
    </row>
    <row r="12">
      <c r="A12" s="2846"/>
      <c r="B12" s="2829"/>
      <c r="C12" s="2840"/>
      <c r="D12" s="2841"/>
      <c r="E12" s="2841"/>
      <c r="F12" s="2841"/>
      <c r="G12" s="2842"/>
      <c r="H12" s="2855"/>
      <c r="I12" s="2855"/>
      <c r="J12" s="2829"/>
      <c r="K12" s="2829"/>
      <c r="L12" s="2835"/>
      <c r="M12" s="2835"/>
      <c r="N12" s="2835"/>
      <c r="O12" s="2835"/>
      <c r="P12" s="2835"/>
      <c r="Q12" s="2835"/>
      <c r="R12" s="2835"/>
      <c r="S12" s="2836"/>
      <c r="T12" s="2836"/>
      <c r="U12" s="2836"/>
      <c r="V12" s="2836"/>
    </row>
    <row r="13">
      <c r="A13" s="88"/>
      <c r="B13" s="89"/>
      <c r="C13" s="89"/>
      <c r="D13" s="90"/>
      <c r="E13" s="90"/>
      <c r="F13" s="90"/>
      <c r="G13" s="91"/>
      <c r="H13" s="91"/>
      <c r="I13" s="92"/>
      <c r="J13" s="88"/>
      <c r="K13" s="90"/>
      <c r="L13" s="91"/>
      <c r="M13" s="91"/>
      <c r="N13" s="91"/>
      <c r="O13" s="91"/>
      <c r="P13" s="91"/>
      <c r="Q13" s="91"/>
      <c r="R13" s="91"/>
      <c r="S13" s="88"/>
      <c r="T13" s="88"/>
      <c r="U13" s="88"/>
      <c r="V13" s="88"/>
    </row>
    <row r="14">
      <c r="A14" s="94"/>
      <c r="B14" s="95"/>
      <c r="C14" s="95"/>
      <c r="D14" s="96"/>
      <c r="E14" s="96"/>
      <c r="F14" s="96"/>
      <c r="G14" s="360"/>
      <c r="H14" s="98"/>
      <c r="I14" s="99"/>
      <c r="J14" s="100"/>
      <c r="K14" s="101"/>
      <c r="L14" s="98"/>
      <c r="M14" s="98"/>
      <c r="N14" s="98"/>
      <c r="O14" s="98"/>
      <c r="P14" s="98"/>
      <c r="Q14" s="98"/>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2856"/>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
        <v>45</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81 [76th]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38F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1.936 [38th]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5" t="b">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0.945 [60th]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50F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0.14762 [49th]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39 [7th]</v>
      </c>
      <c r="O18" s="99"/>
      <c r="P18" s="99"/>
      <c r="Q18" s="99"/>
      <c r="R18" s="99"/>
      <c r="S18" s="111"/>
      <c r="T18" s="111"/>
      <c r="U18" s="111"/>
      <c r="V18" s="111"/>
    </row>
    <row r="19" outlineLevel="1">
      <c r="A19" s="112" t="str">
        <f>'テンプレート'!A19</f>
        <v>カベジャンプ</v>
      </c>
      <c r="B19" s="115" t="b">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1.76 [37th]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27F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21.35 [2nd]</v>
      </c>
      <c r="O19" s="99"/>
      <c r="P19" s="99"/>
      <c r="Q19" s="99"/>
      <c r="R19" s="99"/>
      <c r="S19" s="111"/>
      <c r="T19" s="111"/>
      <c r="U19" s="111"/>
      <c r="V19" s="111"/>
    </row>
    <row r="20" outlineLevel="1">
      <c r="A20" s="112" t="str">
        <f>'テンプレート'!A20</f>
        <v>カベ張りつき</v>
      </c>
      <c r="B20" s="115" t="b">
        <v>1</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1.019 [52nd]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0.095 [16th]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42 [9th]</v>
      </c>
      <c r="O20" s="99"/>
      <c r="P20" s="99"/>
      <c r="Q20" s="99"/>
      <c r="R20" s="99"/>
      <c r="S20" s="100"/>
      <c r="T20" s="100"/>
      <c r="U20" s="100"/>
      <c r="V20" s="100"/>
    </row>
    <row r="21" outlineLevel="1">
      <c r="A21" s="112" t="str">
        <f>'テンプレート'!A21</f>
        <v>空中ワイヤー</v>
      </c>
      <c r="B21" s="115" t="b">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1.77 [20th]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2.832 [20th]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 [15th]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361" t="str">
        <f>'テンプレート'!H25</f>
        <v>備考</v>
      </c>
      <c r="I25" s="110"/>
      <c r="J25" s="110"/>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403" t="s">
        <v>272</v>
      </c>
      <c r="D26" s="397" t="s">
        <v>271</v>
      </c>
      <c r="E26" s="397" t="s">
        <v>169</v>
      </c>
      <c r="F26" s="138">
        <v>1.68</v>
      </c>
      <c r="G26" s="139" t="s">
        <v>60</v>
      </c>
      <c r="H26" s="2857" t="s">
        <v>4647</v>
      </c>
      <c r="K26" s="138"/>
      <c r="L26" s="282"/>
      <c r="M26" s="363"/>
      <c r="N26" s="363"/>
      <c r="O26" s="145">
        <v>0.0</v>
      </c>
      <c r="P26" s="145">
        <v>1.0</v>
      </c>
      <c r="Q26" s="145">
        <v>0.2</v>
      </c>
      <c r="R26" s="100"/>
      <c r="S26" s="100"/>
      <c r="T26" s="100"/>
      <c r="U26" s="145" t="s">
        <v>69</v>
      </c>
      <c r="V26" s="100"/>
    </row>
    <row r="27" outlineLevel="1">
      <c r="A27" s="146"/>
      <c r="B27" s="147" t="s">
        <v>63</v>
      </c>
      <c r="C27" s="150" t="s">
        <v>319</v>
      </c>
      <c r="D27" s="157" t="s">
        <v>271</v>
      </c>
      <c r="E27" s="157" t="s">
        <v>169</v>
      </c>
      <c r="F27" s="138">
        <v>1.68</v>
      </c>
      <c r="G27" s="139" t="s">
        <v>60</v>
      </c>
      <c r="H27" s="2858" t="s">
        <v>4648</v>
      </c>
      <c r="I27" s="110"/>
      <c r="J27" s="109"/>
      <c r="K27" s="282"/>
      <c r="L27" s="282"/>
      <c r="M27" s="363"/>
      <c r="N27" s="363"/>
      <c r="O27" s="145">
        <v>0.0</v>
      </c>
      <c r="P27" s="145">
        <v>1.0</v>
      </c>
      <c r="Q27" s="145">
        <v>0.2</v>
      </c>
      <c r="R27" s="100"/>
      <c r="S27" s="100"/>
      <c r="T27" s="100"/>
      <c r="U27" s="145" t="s">
        <v>76</v>
      </c>
      <c r="V27" s="100"/>
    </row>
    <row r="28" outlineLevel="1">
      <c r="A28" s="146"/>
      <c r="B28" s="147" t="s">
        <v>70</v>
      </c>
      <c r="C28" s="150" t="s">
        <v>319</v>
      </c>
      <c r="D28" s="157" t="s">
        <v>118</v>
      </c>
      <c r="E28" s="157" t="s">
        <v>58</v>
      </c>
      <c r="F28" s="138">
        <v>2.64</v>
      </c>
      <c r="G28" s="139" t="s">
        <v>60</v>
      </c>
      <c r="H28" s="2858" t="s">
        <v>4649</v>
      </c>
      <c r="I28" s="110"/>
      <c r="J28" s="109"/>
      <c r="K28" s="282"/>
      <c r="L28" s="282"/>
      <c r="M28" s="363"/>
      <c r="N28" s="363"/>
      <c r="O28" s="145">
        <v>0.0</v>
      </c>
      <c r="P28" s="145">
        <v>1.0</v>
      </c>
      <c r="Q28" s="145">
        <v>0.2</v>
      </c>
      <c r="R28" s="100"/>
      <c r="S28" s="100"/>
      <c r="T28" s="100"/>
      <c r="U28" s="145" t="s">
        <v>76</v>
      </c>
      <c r="V28" s="100"/>
    </row>
    <row r="29" outlineLevel="1">
      <c r="A29" s="146"/>
      <c r="B29" s="147" t="s">
        <v>703</v>
      </c>
      <c r="C29" s="659"/>
      <c r="D29" s="467" t="s">
        <v>204</v>
      </c>
      <c r="E29" s="659"/>
      <c r="F29" s="658"/>
      <c r="G29" s="659"/>
      <c r="H29" s="173"/>
      <c r="I29" s="110"/>
      <c r="J29" s="109"/>
      <c r="K29" s="282"/>
      <c r="L29" s="282"/>
      <c r="M29" s="363"/>
      <c r="N29" s="363"/>
      <c r="O29" s="145"/>
      <c r="P29" s="145"/>
      <c r="Q29" s="145"/>
      <c r="R29" s="100"/>
      <c r="S29" s="100"/>
      <c r="T29" s="100"/>
      <c r="U29" s="145" t="s">
        <v>76</v>
      </c>
      <c r="V29" s="100"/>
    </row>
    <row r="30" outlineLevel="1">
      <c r="A30" s="146"/>
      <c r="B30" s="147" t="s">
        <v>704</v>
      </c>
      <c r="C30" s="148" t="s">
        <v>4574</v>
      </c>
      <c r="D30" s="398" t="s">
        <v>153</v>
      </c>
      <c r="E30" s="157" t="s">
        <v>706</v>
      </c>
      <c r="F30" s="138">
        <v>0.24</v>
      </c>
      <c r="G30" s="450" t="s">
        <v>147</v>
      </c>
      <c r="H30" s="2858" t="s">
        <v>4650</v>
      </c>
      <c r="I30" s="110"/>
      <c r="J30" s="109"/>
      <c r="K30" s="282"/>
      <c r="L30" s="282"/>
      <c r="M30" s="363"/>
      <c r="N30" s="363"/>
      <c r="O30" s="145">
        <v>0.0</v>
      </c>
      <c r="P30" s="145">
        <v>1.0</v>
      </c>
      <c r="Q30" s="145">
        <v>0.2</v>
      </c>
      <c r="R30" s="100"/>
      <c r="S30" s="100"/>
      <c r="T30" s="100"/>
      <c r="U30" s="145" t="s">
        <v>76</v>
      </c>
      <c r="V30" s="100"/>
    </row>
    <row r="31" outlineLevel="1">
      <c r="A31" s="146"/>
      <c r="B31" s="147" t="s">
        <v>4651</v>
      </c>
      <c r="C31" s="148" t="s">
        <v>717</v>
      </c>
      <c r="D31" s="2859" t="s">
        <v>335</v>
      </c>
      <c r="E31" s="157" t="s">
        <v>1098</v>
      </c>
      <c r="F31" s="138">
        <v>0.6</v>
      </c>
      <c r="G31" s="216" t="s">
        <v>170</v>
      </c>
      <c r="H31" s="2860" t="s">
        <v>4652</v>
      </c>
      <c r="I31" s="164"/>
      <c r="J31" s="104"/>
      <c r="K31" s="282"/>
      <c r="L31" s="282"/>
      <c r="M31" s="363"/>
      <c r="N31" s="363"/>
      <c r="O31" s="145">
        <v>0.0</v>
      </c>
      <c r="P31" s="145">
        <v>0.0</v>
      </c>
      <c r="Q31" s="145">
        <v>0.0</v>
      </c>
      <c r="R31" s="100"/>
      <c r="S31" s="100"/>
      <c r="T31" s="100"/>
      <c r="U31" s="166" t="s">
        <v>76</v>
      </c>
      <c r="V31" s="100"/>
    </row>
    <row r="32" outlineLevel="1">
      <c r="A32" s="156"/>
      <c r="B32" s="147" t="s">
        <v>4653</v>
      </c>
      <c r="C32" s="150" t="s">
        <v>299</v>
      </c>
      <c r="D32" s="107"/>
      <c r="E32" s="157" t="s">
        <v>86</v>
      </c>
      <c r="F32" s="138">
        <v>7.199999999999999</v>
      </c>
      <c r="G32" s="467" t="s">
        <v>102</v>
      </c>
      <c r="H32" s="106"/>
      <c r="I32" s="168"/>
      <c r="J32" s="107"/>
      <c r="K32" s="282"/>
      <c r="L32" s="282"/>
      <c r="M32" s="363"/>
      <c r="N32" s="363"/>
      <c r="O32" s="145">
        <v>0.0</v>
      </c>
      <c r="P32" s="145">
        <v>1.0</v>
      </c>
      <c r="Q32" s="145">
        <v>0.7</v>
      </c>
      <c r="R32" s="100"/>
      <c r="S32" s="100"/>
      <c r="T32" s="100"/>
      <c r="U32" s="156"/>
      <c r="V32" s="100"/>
    </row>
    <row r="33" outlineLevel="1">
      <c r="A33" s="133" t="s">
        <v>77</v>
      </c>
      <c r="B33" s="160"/>
      <c r="C33" s="150" t="s">
        <v>1289</v>
      </c>
      <c r="D33" s="161" t="s">
        <v>221</v>
      </c>
      <c r="E33" s="157" t="s">
        <v>128</v>
      </c>
      <c r="F33" s="138">
        <v>12.0</v>
      </c>
      <c r="G33" s="139" t="s">
        <v>121</v>
      </c>
      <c r="H33" s="2861" t="s">
        <v>4654</v>
      </c>
      <c r="I33" s="164"/>
      <c r="J33" s="104"/>
      <c r="K33" s="138"/>
      <c r="L33" s="282"/>
      <c r="M33" s="363"/>
      <c r="N33" s="363"/>
      <c r="O33" s="145">
        <v>1.0</v>
      </c>
      <c r="P33" s="145">
        <v>1.0</v>
      </c>
      <c r="Q33" s="145">
        <v>1.0</v>
      </c>
      <c r="R33" s="100"/>
      <c r="S33" s="100"/>
      <c r="T33" s="100"/>
      <c r="U33" s="166" t="s">
        <v>69</v>
      </c>
      <c r="V33" s="100"/>
    </row>
    <row r="34" outlineLevel="1">
      <c r="A34" s="156"/>
      <c r="B34" s="147" t="s">
        <v>84</v>
      </c>
      <c r="C34" s="158" t="s">
        <v>4655</v>
      </c>
      <c r="D34" s="107"/>
      <c r="E34" s="157" t="s">
        <v>80</v>
      </c>
      <c r="F34" s="138">
        <v>9.6</v>
      </c>
      <c r="G34" s="139" t="s">
        <v>123</v>
      </c>
      <c r="H34" s="106"/>
      <c r="I34" s="168"/>
      <c r="J34" s="107"/>
      <c r="K34" s="282"/>
      <c r="L34" s="282"/>
      <c r="M34" s="363"/>
      <c r="N34" s="363"/>
      <c r="O34" s="145">
        <v>1.0</v>
      </c>
      <c r="P34" s="145">
        <v>1.0</v>
      </c>
      <c r="Q34" s="145">
        <v>1.0</v>
      </c>
      <c r="R34" s="100"/>
      <c r="S34" s="100"/>
      <c r="T34" s="100"/>
      <c r="U34" s="156"/>
      <c r="V34" s="100"/>
    </row>
    <row r="35" outlineLevel="1">
      <c r="A35" s="133" t="s">
        <v>89</v>
      </c>
      <c r="B35" s="147" t="s">
        <v>4656</v>
      </c>
      <c r="C35" s="2862" t="s">
        <v>129</v>
      </c>
      <c r="D35" s="161" t="s">
        <v>271</v>
      </c>
      <c r="E35" s="157" t="s">
        <v>204</v>
      </c>
      <c r="F35" s="138">
        <v>3.5999999999999996</v>
      </c>
      <c r="G35" s="139" t="s">
        <v>147</v>
      </c>
      <c r="H35" s="2861" t="s">
        <v>4657</v>
      </c>
      <c r="I35" s="164"/>
      <c r="J35" s="104"/>
      <c r="K35" s="282"/>
      <c r="L35" s="282"/>
      <c r="M35" s="363"/>
      <c r="N35" s="363"/>
      <c r="O35" s="145">
        <v>0.0</v>
      </c>
      <c r="P35" s="145">
        <v>1.0</v>
      </c>
      <c r="Q35" s="145">
        <v>1.0</v>
      </c>
      <c r="R35" s="100"/>
      <c r="S35" s="100"/>
      <c r="T35" s="100"/>
      <c r="U35" s="166" t="s">
        <v>96</v>
      </c>
      <c r="V35" s="100"/>
    </row>
    <row r="36" outlineLevel="1">
      <c r="A36" s="146"/>
      <c r="B36" s="147" t="s">
        <v>4658</v>
      </c>
      <c r="C36" s="156"/>
      <c r="D36" s="107"/>
      <c r="E36" s="157" t="s">
        <v>204</v>
      </c>
      <c r="F36" s="138">
        <v>3.5999999999999996</v>
      </c>
      <c r="G36" s="659"/>
      <c r="H36" s="106"/>
      <c r="I36" s="168"/>
      <c r="J36" s="107"/>
      <c r="K36" s="282"/>
      <c r="L36" s="282"/>
      <c r="M36" s="363"/>
      <c r="N36" s="363"/>
      <c r="O36" s="145">
        <v>0.0</v>
      </c>
      <c r="P36" s="145">
        <v>1.0</v>
      </c>
      <c r="Q36" s="145">
        <v>1.0</v>
      </c>
      <c r="R36" s="100"/>
      <c r="S36" s="100"/>
      <c r="T36" s="100"/>
      <c r="U36" s="146"/>
      <c r="V36" s="100"/>
    </row>
    <row r="37" outlineLevel="1">
      <c r="A37" s="146"/>
      <c r="B37" s="147" t="s">
        <v>2226</v>
      </c>
      <c r="C37" s="158" t="s">
        <v>129</v>
      </c>
      <c r="D37" s="157" t="s">
        <v>118</v>
      </c>
      <c r="E37" s="157" t="s">
        <v>204</v>
      </c>
      <c r="F37" s="138">
        <v>3.5999999999999996</v>
      </c>
      <c r="G37" s="139" t="s">
        <v>147</v>
      </c>
      <c r="H37" s="2863" t="s">
        <v>4659</v>
      </c>
      <c r="I37" s="110"/>
      <c r="J37" s="109"/>
      <c r="K37" s="282"/>
      <c r="L37" s="282"/>
      <c r="M37" s="363"/>
      <c r="N37" s="363"/>
      <c r="O37" s="145">
        <v>0.0</v>
      </c>
      <c r="P37" s="145">
        <v>1.0</v>
      </c>
      <c r="Q37" s="145">
        <v>1.0</v>
      </c>
      <c r="R37" s="100"/>
      <c r="S37" s="100"/>
      <c r="T37" s="100"/>
      <c r="U37" s="146"/>
      <c r="V37" s="100"/>
    </row>
    <row r="38" outlineLevel="1">
      <c r="A38" s="156"/>
      <c r="B38" s="147" t="s">
        <v>2228</v>
      </c>
      <c r="C38" s="150" t="s">
        <v>295</v>
      </c>
      <c r="D38" s="517" t="s">
        <v>118</v>
      </c>
      <c r="E38" s="157" t="s">
        <v>93</v>
      </c>
      <c r="F38" s="138">
        <v>8.4</v>
      </c>
      <c r="G38" s="139" t="s">
        <v>95</v>
      </c>
      <c r="H38" s="2863" t="s">
        <v>4660</v>
      </c>
      <c r="I38" s="110"/>
      <c r="J38" s="109"/>
      <c r="K38" s="282"/>
      <c r="L38" s="282"/>
      <c r="M38" s="363"/>
      <c r="N38" s="363"/>
      <c r="O38" s="145">
        <v>0.0</v>
      </c>
      <c r="P38" s="145">
        <v>1.0</v>
      </c>
      <c r="Q38" s="145">
        <v>1.0</v>
      </c>
      <c r="R38" s="100"/>
      <c r="S38" s="100"/>
      <c r="T38" s="100"/>
      <c r="U38" s="156"/>
      <c r="V38" s="100"/>
    </row>
    <row r="39" outlineLevel="1">
      <c r="A39" s="133" t="s">
        <v>97</v>
      </c>
      <c r="B39" s="147" t="s">
        <v>125</v>
      </c>
      <c r="C39" s="531" t="s">
        <v>277</v>
      </c>
      <c r="D39" s="2864" t="s">
        <v>99</v>
      </c>
      <c r="E39" s="157" t="s">
        <v>1024</v>
      </c>
      <c r="F39" s="138">
        <v>1.7999999999999998</v>
      </c>
      <c r="G39" s="139" t="s">
        <v>60</v>
      </c>
      <c r="H39" s="2861" t="s">
        <v>4660</v>
      </c>
      <c r="I39" s="164"/>
      <c r="J39" s="104"/>
      <c r="K39" s="282"/>
      <c r="L39" s="282"/>
      <c r="M39" s="363"/>
      <c r="N39" s="363"/>
      <c r="O39" s="145">
        <v>0.0</v>
      </c>
      <c r="P39" s="145">
        <v>1.0</v>
      </c>
      <c r="Q39" s="145">
        <v>0.0</v>
      </c>
      <c r="R39" s="100"/>
      <c r="S39" s="100"/>
      <c r="T39" s="100"/>
      <c r="U39" s="166" t="s">
        <v>69</v>
      </c>
      <c r="V39" s="100"/>
    </row>
    <row r="40" outlineLevel="1">
      <c r="A40" s="146"/>
      <c r="B40" s="147" t="s">
        <v>1028</v>
      </c>
      <c r="C40" s="531" t="s">
        <v>223</v>
      </c>
      <c r="D40" s="210"/>
      <c r="E40" s="157" t="s">
        <v>176</v>
      </c>
      <c r="F40" s="138">
        <v>2.4</v>
      </c>
      <c r="G40" s="659"/>
      <c r="H40" s="212"/>
      <c r="J40" s="210"/>
      <c r="K40" s="145"/>
      <c r="L40" s="363"/>
      <c r="M40" s="363"/>
      <c r="N40" s="363"/>
      <c r="O40" s="145"/>
      <c r="P40" s="145"/>
      <c r="Q40" s="145"/>
      <c r="R40" s="100"/>
      <c r="S40" s="100"/>
      <c r="T40" s="100"/>
      <c r="U40" s="146"/>
      <c r="V40" s="100"/>
    </row>
    <row r="41" outlineLevel="1">
      <c r="A41" s="156"/>
      <c r="B41" s="147" t="s">
        <v>131</v>
      </c>
      <c r="C41" s="531" t="s">
        <v>228</v>
      </c>
      <c r="D41" s="107"/>
      <c r="E41" s="157" t="s">
        <v>86</v>
      </c>
      <c r="F41" s="138">
        <v>7.199999999999999</v>
      </c>
      <c r="G41" s="139" t="s">
        <v>102</v>
      </c>
      <c r="H41" s="106"/>
      <c r="I41" s="168"/>
      <c r="J41" s="107"/>
      <c r="K41" s="145"/>
      <c r="L41" s="363"/>
      <c r="M41" s="363"/>
      <c r="N41" s="363"/>
      <c r="O41" s="145">
        <v>0.0</v>
      </c>
      <c r="P41" s="145">
        <v>1.5</v>
      </c>
      <c r="Q41" s="145">
        <v>1.0</v>
      </c>
      <c r="R41" s="100"/>
      <c r="S41" s="100"/>
      <c r="T41" s="100"/>
      <c r="U41" s="156"/>
      <c r="V41" s="100"/>
    </row>
    <row r="42" outlineLevel="1">
      <c r="A42" s="170" t="s">
        <v>103</v>
      </c>
      <c r="B42" s="160"/>
      <c r="C42" s="150" t="s">
        <v>319</v>
      </c>
      <c r="D42" s="157" t="s">
        <v>593</v>
      </c>
      <c r="E42" s="157" t="s">
        <v>4661</v>
      </c>
      <c r="F42" s="138" t="s">
        <v>4662</v>
      </c>
      <c r="G42" s="139" t="s">
        <v>1955</v>
      </c>
      <c r="H42" s="2863" t="s">
        <v>4663</v>
      </c>
      <c r="I42" s="110"/>
      <c r="J42" s="109"/>
      <c r="K42" s="145"/>
      <c r="L42" s="363"/>
      <c r="M42" s="363"/>
      <c r="N42" s="363"/>
      <c r="O42" s="145">
        <v>0.0</v>
      </c>
      <c r="P42" s="145">
        <v>1.0</v>
      </c>
      <c r="Q42" s="145">
        <v>1.0</v>
      </c>
      <c r="R42" s="100"/>
      <c r="S42" s="100"/>
      <c r="T42" s="100"/>
      <c r="U42" s="145" t="s">
        <v>69</v>
      </c>
      <c r="V42" s="100"/>
    </row>
    <row r="43" outlineLevel="1">
      <c r="A43" s="170" t="s">
        <v>109</v>
      </c>
      <c r="B43" s="147" t="s">
        <v>90</v>
      </c>
      <c r="C43" s="531" t="s">
        <v>1602</v>
      </c>
      <c r="D43" s="149" t="s">
        <v>1577</v>
      </c>
      <c r="E43" s="149" t="s">
        <v>1994</v>
      </c>
      <c r="F43" s="138" t="s">
        <v>1995</v>
      </c>
      <c r="G43" s="139" t="s">
        <v>4664</v>
      </c>
      <c r="H43" s="2865" t="s">
        <v>4665</v>
      </c>
      <c r="K43" s="282"/>
      <c r="L43" s="282"/>
      <c r="M43" s="363"/>
      <c r="N43" s="363"/>
      <c r="O43" s="145">
        <v>0.0</v>
      </c>
      <c r="P43" s="145">
        <v>1.0</v>
      </c>
      <c r="Q43" s="145">
        <v>1.0</v>
      </c>
      <c r="R43" s="100"/>
      <c r="S43" s="100"/>
      <c r="T43" s="100"/>
      <c r="U43" s="145" t="s">
        <v>147</v>
      </c>
      <c r="V43" s="100"/>
    </row>
    <row r="44" ht="29.25" customHeight="1" outlineLevel="1">
      <c r="A44" s="133" t="s">
        <v>116</v>
      </c>
      <c r="B44" s="147"/>
      <c r="C44" s="514" t="s">
        <v>653</v>
      </c>
      <c r="D44" s="2866" t="s">
        <v>1839</v>
      </c>
      <c r="E44" s="518" t="s">
        <v>394</v>
      </c>
      <c r="F44" s="138">
        <v>20.4</v>
      </c>
      <c r="G44" s="139" t="s">
        <v>88</v>
      </c>
      <c r="H44" s="2360" t="s">
        <v>4666</v>
      </c>
      <c r="I44" s="164"/>
      <c r="J44" s="104"/>
      <c r="K44" s="363"/>
      <c r="L44" s="363"/>
      <c r="M44" s="363"/>
      <c r="N44" s="363"/>
      <c r="O44" s="145">
        <v>0.0</v>
      </c>
      <c r="P44" s="145">
        <v>1.0</v>
      </c>
      <c r="Q44" s="145">
        <v>1.0</v>
      </c>
      <c r="R44" s="100"/>
      <c r="S44" s="100"/>
      <c r="T44" s="100"/>
      <c r="U44" s="166" t="s">
        <v>123</v>
      </c>
      <c r="V44" s="100"/>
    </row>
    <row r="45" ht="29.25" customHeight="1" outlineLevel="1">
      <c r="A45" s="146"/>
      <c r="B45" s="147" t="s">
        <v>187</v>
      </c>
      <c r="C45" s="158" t="s">
        <v>351</v>
      </c>
      <c r="D45" s="210"/>
      <c r="E45" s="518" t="s">
        <v>153</v>
      </c>
      <c r="F45" s="138">
        <v>19.2</v>
      </c>
      <c r="G45" s="139" t="s">
        <v>88</v>
      </c>
      <c r="H45" s="212"/>
      <c r="J45" s="210"/>
      <c r="K45" s="363"/>
      <c r="L45" s="363"/>
      <c r="M45" s="363"/>
      <c r="N45" s="363"/>
      <c r="O45" s="145">
        <v>0.0</v>
      </c>
      <c r="P45" s="145">
        <v>1.0</v>
      </c>
      <c r="Q45" s="145">
        <v>1.0</v>
      </c>
      <c r="R45" s="100"/>
      <c r="S45" s="100"/>
      <c r="T45" s="100"/>
      <c r="U45" s="146"/>
      <c r="V45" s="100"/>
    </row>
    <row r="46" ht="29.25" customHeight="1" outlineLevel="1">
      <c r="A46" s="156"/>
      <c r="B46" s="147" t="s">
        <v>189</v>
      </c>
      <c r="C46" s="158" t="s">
        <v>288</v>
      </c>
      <c r="D46" s="107"/>
      <c r="E46" s="518" t="s">
        <v>386</v>
      </c>
      <c r="F46" s="138">
        <v>18.0</v>
      </c>
      <c r="G46" s="139" t="s">
        <v>121</v>
      </c>
      <c r="H46" s="106"/>
      <c r="I46" s="168"/>
      <c r="J46" s="107"/>
      <c r="K46" s="363"/>
      <c r="L46" s="363"/>
      <c r="M46" s="363"/>
      <c r="N46" s="363"/>
      <c r="O46" s="145">
        <v>0.0</v>
      </c>
      <c r="P46" s="145">
        <v>1.0</v>
      </c>
      <c r="Q46" s="145">
        <v>1.0</v>
      </c>
      <c r="R46" s="100"/>
      <c r="S46" s="100"/>
      <c r="T46" s="100"/>
      <c r="U46" s="156"/>
      <c r="V46" s="100"/>
    </row>
    <row r="47" ht="29.25" customHeight="1" outlineLevel="1">
      <c r="A47" s="133" t="s">
        <v>124</v>
      </c>
      <c r="B47" s="147" t="s">
        <v>683</v>
      </c>
      <c r="C47" s="531" t="s">
        <v>203</v>
      </c>
      <c r="D47" s="2864" t="s">
        <v>901</v>
      </c>
      <c r="E47" s="518" t="s">
        <v>150</v>
      </c>
      <c r="F47" s="138">
        <v>6.0</v>
      </c>
      <c r="G47" s="139" t="s">
        <v>147</v>
      </c>
      <c r="H47" s="2360" t="s">
        <v>4667</v>
      </c>
      <c r="I47" s="164"/>
      <c r="J47" s="104"/>
      <c r="K47" s="282"/>
      <c r="L47" s="282"/>
      <c r="M47" s="363"/>
      <c r="N47" s="363"/>
      <c r="O47" s="145">
        <v>0.0</v>
      </c>
      <c r="P47" s="145">
        <v>0.3</v>
      </c>
      <c r="Q47" s="145">
        <v>1.0</v>
      </c>
      <c r="R47" s="100"/>
      <c r="S47" s="100"/>
      <c r="T47" s="100"/>
      <c r="U47" s="166" t="s">
        <v>69</v>
      </c>
      <c r="V47" s="100"/>
    </row>
    <row r="48" ht="29.25" customHeight="1" outlineLevel="1">
      <c r="A48" s="146"/>
      <c r="B48" s="147" t="s">
        <v>131</v>
      </c>
      <c r="C48" s="531" t="s">
        <v>1114</v>
      </c>
      <c r="D48" s="210"/>
      <c r="E48" s="518" t="s">
        <v>153</v>
      </c>
      <c r="F48" s="138">
        <v>19.2</v>
      </c>
      <c r="G48" s="139" t="s">
        <v>88</v>
      </c>
      <c r="H48" s="212"/>
      <c r="J48" s="210"/>
      <c r="K48" s="282"/>
      <c r="L48" s="282"/>
      <c r="M48" s="363"/>
      <c r="N48" s="363"/>
      <c r="O48" s="145">
        <v>0.0</v>
      </c>
      <c r="P48" s="145">
        <v>1.0</v>
      </c>
      <c r="Q48" s="145">
        <v>1.0</v>
      </c>
      <c r="R48" s="100"/>
      <c r="S48" s="100"/>
      <c r="T48" s="100"/>
      <c r="U48" s="146"/>
      <c r="V48" s="100"/>
    </row>
    <row r="49" ht="29.25" customHeight="1" outlineLevel="1">
      <c r="A49" s="156"/>
      <c r="B49" s="147" t="s">
        <v>432</v>
      </c>
      <c r="C49" s="531" t="s">
        <v>1053</v>
      </c>
      <c r="D49" s="107"/>
      <c r="E49" s="518" t="s">
        <v>386</v>
      </c>
      <c r="F49" s="138">
        <v>18.0</v>
      </c>
      <c r="G49" s="139" t="s">
        <v>121</v>
      </c>
      <c r="H49" s="106"/>
      <c r="I49" s="168"/>
      <c r="J49" s="107"/>
      <c r="K49" s="282"/>
      <c r="L49" s="282"/>
      <c r="M49" s="363"/>
      <c r="N49" s="363"/>
      <c r="O49" s="145">
        <v>0.0</v>
      </c>
      <c r="P49" s="145">
        <v>1.0</v>
      </c>
      <c r="Q49" s="145">
        <v>1.0</v>
      </c>
      <c r="R49" s="100"/>
      <c r="S49" s="100"/>
      <c r="T49" s="100"/>
      <c r="U49" s="156"/>
      <c r="V49" s="100"/>
    </row>
    <row r="50">
      <c r="A50" s="118"/>
      <c r="B50" s="176"/>
      <c r="C50" s="118"/>
      <c r="D50" s="118"/>
      <c r="E50" s="118"/>
      <c r="F50" s="118"/>
      <c r="G50" s="177"/>
      <c r="H50" s="118"/>
      <c r="I50" s="118"/>
      <c r="J50" s="118"/>
      <c r="K50" s="118"/>
      <c r="L50" s="118"/>
      <c r="M50" s="118"/>
      <c r="N50" s="118"/>
      <c r="O50" s="118"/>
      <c r="P50" s="118"/>
      <c r="Q50" s="118"/>
      <c r="R50" s="118"/>
      <c r="S50" s="118"/>
      <c r="T50" s="118"/>
      <c r="U50" s="118"/>
      <c r="V50" s="118"/>
    </row>
    <row r="51">
      <c r="A51" s="178" t="s">
        <v>133</v>
      </c>
      <c r="B51" s="104"/>
      <c r="C51" s="179"/>
      <c r="D51" s="179"/>
      <c r="E51" s="179"/>
      <c r="F51" s="180"/>
      <c r="G51" s="179"/>
      <c r="H51" s="180"/>
      <c r="I51" s="180"/>
      <c r="J51" s="181"/>
      <c r="K51" s="180"/>
      <c r="L51" s="180"/>
      <c r="M51" s="180"/>
      <c r="N51" s="180"/>
      <c r="O51" s="180"/>
      <c r="P51" s="180"/>
      <c r="Q51" s="180"/>
      <c r="R51" s="180"/>
      <c r="S51" s="180"/>
      <c r="T51" s="121"/>
      <c r="U51" s="121"/>
      <c r="V51" s="121"/>
    </row>
    <row r="52" outlineLevel="1">
      <c r="A52" s="106"/>
      <c r="B52" s="107"/>
      <c r="C52" s="182" t="s">
        <v>48</v>
      </c>
      <c r="D52" s="183" t="s">
        <v>49</v>
      </c>
      <c r="E52" s="182" t="s">
        <v>50</v>
      </c>
      <c r="F52" s="184" t="s">
        <v>51</v>
      </c>
      <c r="G52" s="184" t="s">
        <v>134</v>
      </c>
      <c r="H52" s="185" t="s">
        <v>52</v>
      </c>
      <c r="I52" s="184" t="str">
        <f>'テンプレート'!I56</f>
        <v>着地隙</v>
      </c>
      <c r="J52" s="184" t="s">
        <v>136</v>
      </c>
      <c r="K52" s="184" t="str">
        <f>'テンプレート'!K56</f>
        <v>ベクトル</v>
      </c>
      <c r="L52" s="184" t="str">
        <f>'テンプレート'!L56</f>
        <v>KBG (R.E.)</v>
      </c>
      <c r="M52" s="184" t="str">
        <f>'テンプレート'!M56</f>
        <v>BKB (R.A.)</v>
      </c>
      <c r="N52" s="184" t="str">
        <f>'テンプレート'!N56</f>
        <v>FKB (R.F.)</v>
      </c>
      <c r="O52" s="186" t="str">
        <f>'テンプレート'!O56</f>
        <v>盾削り値</v>
      </c>
      <c r="P52" s="184" t="str">
        <f>'テンプレート'!P56</f>
        <v>ﾋｯﾄｽﾄｯﾌﾟ</v>
      </c>
      <c r="Q52" s="186" t="str">
        <f>'テンプレート'!Q56</f>
        <v>ずらし</v>
      </c>
      <c r="R52" s="2867" t="str">
        <f>'テンプレート'!R56</f>
        <v>備考</v>
      </c>
      <c r="S52" s="110"/>
      <c r="T52" s="110"/>
      <c r="U52" s="110"/>
      <c r="V52" s="109"/>
    </row>
    <row r="53" outlineLevel="1">
      <c r="A53" s="188" t="s">
        <v>144</v>
      </c>
      <c r="B53" s="373"/>
      <c r="C53" s="137" t="s">
        <v>709</v>
      </c>
      <c r="D53" s="548" t="s">
        <v>964</v>
      </c>
      <c r="E53" s="526" t="s">
        <v>80</v>
      </c>
      <c r="F53" s="193">
        <v>9.6</v>
      </c>
      <c r="G53" s="193">
        <v>8.16</v>
      </c>
      <c r="H53" s="138" t="s">
        <v>147</v>
      </c>
      <c r="I53" s="194" t="s">
        <v>128</v>
      </c>
      <c r="J53" s="195" t="s">
        <v>871</v>
      </c>
      <c r="K53" s="138"/>
      <c r="L53" s="282"/>
      <c r="M53" s="282"/>
      <c r="N53" s="282"/>
      <c r="O53" s="138">
        <v>0.0</v>
      </c>
      <c r="P53" s="138">
        <v>1.0</v>
      </c>
      <c r="Q53" s="138">
        <v>1.0</v>
      </c>
      <c r="R53" s="283" t="s">
        <v>4668</v>
      </c>
      <c r="S53" s="164"/>
      <c r="T53" s="164"/>
      <c r="U53" s="164"/>
      <c r="V53" s="104"/>
    </row>
    <row r="54" outlineLevel="1">
      <c r="A54" s="146"/>
      <c r="B54" s="373" t="s">
        <v>84</v>
      </c>
      <c r="C54" s="526" t="s">
        <v>4669</v>
      </c>
      <c r="D54" s="156"/>
      <c r="E54" s="526" t="s">
        <v>86</v>
      </c>
      <c r="F54" s="193">
        <v>7.199999999999999</v>
      </c>
      <c r="G54" s="193">
        <v>6.12</v>
      </c>
      <c r="H54" s="138" t="s">
        <v>60</v>
      </c>
      <c r="I54" s="156"/>
      <c r="J54" s="210"/>
      <c r="K54" s="138"/>
      <c r="L54" s="282"/>
      <c r="M54" s="282"/>
      <c r="N54" s="282"/>
      <c r="O54" s="138">
        <v>0.0</v>
      </c>
      <c r="P54" s="138">
        <v>1.0</v>
      </c>
      <c r="Q54" s="138">
        <v>1.0</v>
      </c>
      <c r="R54" s="212"/>
      <c r="V54" s="210"/>
    </row>
    <row r="55" outlineLevel="1">
      <c r="A55" s="146"/>
      <c r="B55" s="373" t="s">
        <v>1787</v>
      </c>
      <c r="C55" s="526" t="s">
        <v>4670</v>
      </c>
      <c r="D55" s="526" t="s">
        <v>221</v>
      </c>
      <c r="E55" s="548" t="s">
        <v>204</v>
      </c>
      <c r="F55" s="1201">
        <v>3.5999999999999996</v>
      </c>
      <c r="G55" s="1201">
        <v>3.06</v>
      </c>
      <c r="H55" s="394" t="s">
        <v>170</v>
      </c>
      <c r="I55" s="394">
        <v>18.0</v>
      </c>
      <c r="J55" s="138" t="s">
        <v>832</v>
      </c>
      <c r="K55" s="138"/>
      <c r="L55" s="282"/>
      <c r="M55" s="282"/>
      <c r="N55" s="282"/>
      <c r="O55" s="138">
        <v>0.0</v>
      </c>
      <c r="P55" s="138">
        <v>1.0</v>
      </c>
      <c r="Q55" s="138">
        <v>1.0</v>
      </c>
      <c r="R55" s="212"/>
      <c r="V55" s="210"/>
    </row>
    <row r="56" outlineLevel="1">
      <c r="A56" s="146"/>
      <c r="B56" s="373" t="s">
        <v>4553</v>
      </c>
      <c r="C56" s="526" t="s">
        <v>2243</v>
      </c>
      <c r="D56" s="526" t="s">
        <v>634</v>
      </c>
      <c r="E56" s="146"/>
      <c r="F56" s="146"/>
      <c r="G56" s="146"/>
      <c r="H56" s="146"/>
      <c r="I56" s="146"/>
      <c r="J56" s="138" t="s">
        <v>4671</v>
      </c>
      <c r="K56" s="138"/>
      <c r="L56" s="282"/>
      <c r="M56" s="282"/>
      <c r="N56" s="282"/>
      <c r="O56" s="138">
        <v>0.0</v>
      </c>
      <c r="P56" s="138">
        <v>1.0</v>
      </c>
      <c r="Q56" s="138">
        <v>1.0</v>
      </c>
      <c r="R56" s="212"/>
      <c r="V56" s="210"/>
    </row>
    <row r="57" outlineLevel="1">
      <c r="A57" s="146"/>
      <c r="B57" s="373" t="s">
        <v>4672</v>
      </c>
      <c r="C57" s="526" t="s">
        <v>4673</v>
      </c>
      <c r="D57" s="526" t="s">
        <v>335</v>
      </c>
      <c r="E57" s="146"/>
      <c r="F57" s="146"/>
      <c r="G57" s="146"/>
      <c r="H57" s="146"/>
      <c r="I57" s="146"/>
      <c r="J57" s="138" t="s">
        <v>4674</v>
      </c>
      <c r="K57" s="138"/>
      <c r="L57" s="282"/>
      <c r="M57" s="282"/>
      <c r="N57" s="282"/>
      <c r="O57" s="138">
        <v>0.0</v>
      </c>
      <c r="P57" s="138">
        <v>1.0</v>
      </c>
      <c r="Q57" s="138">
        <v>1.0</v>
      </c>
      <c r="R57" s="212"/>
      <c r="V57" s="210"/>
    </row>
    <row r="58" outlineLevel="1">
      <c r="A58" s="156"/>
      <c r="B58" s="373" t="s">
        <v>4675</v>
      </c>
      <c r="C58" s="526" t="s">
        <v>4676</v>
      </c>
      <c r="D58" s="526" t="s">
        <v>2892</v>
      </c>
      <c r="E58" s="156"/>
      <c r="F58" s="156"/>
      <c r="G58" s="156"/>
      <c r="H58" s="156"/>
      <c r="I58" s="156"/>
      <c r="J58" s="138" t="s">
        <v>4677</v>
      </c>
      <c r="K58" s="138"/>
      <c r="L58" s="282"/>
      <c r="M58" s="282"/>
      <c r="N58" s="282"/>
      <c r="O58" s="138">
        <v>0.0</v>
      </c>
      <c r="P58" s="138">
        <v>1.0</v>
      </c>
      <c r="Q58" s="138">
        <v>1.0</v>
      </c>
      <c r="R58" s="106"/>
      <c r="S58" s="168"/>
      <c r="T58" s="168"/>
      <c r="U58" s="168"/>
      <c r="V58" s="107"/>
    </row>
    <row r="59" outlineLevel="1">
      <c r="A59" s="188" t="s">
        <v>151</v>
      </c>
      <c r="B59" s="373" t="s">
        <v>4678</v>
      </c>
      <c r="C59" s="137" t="s">
        <v>277</v>
      </c>
      <c r="D59" s="526" t="s">
        <v>79</v>
      </c>
      <c r="E59" s="526" t="s">
        <v>73</v>
      </c>
      <c r="F59" s="193">
        <v>4.8</v>
      </c>
      <c r="G59" s="193">
        <v>4.08</v>
      </c>
      <c r="H59" s="138" t="s">
        <v>60</v>
      </c>
      <c r="I59" s="138" t="s">
        <v>4679</v>
      </c>
      <c r="J59" s="195" t="s">
        <v>3250</v>
      </c>
      <c r="K59" s="138"/>
      <c r="L59" s="282"/>
      <c r="M59" s="282"/>
      <c r="N59" s="282"/>
      <c r="O59" s="138">
        <v>0.0</v>
      </c>
      <c r="P59" s="138">
        <v>1.0</v>
      </c>
      <c r="Q59" s="138">
        <v>1.0</v>
      </c>
      <c r="R59" s="140" t="s">
        <v>4680</v>
      </c>
      <c r="S59" s="110"/>
      <c r="T59" s="110"/>
      <c r="U59" s="110"/>
      <c r="V59" s="109"/>
    </row>
    <row r="60" outlineLevel="1">
      <c r="A60" s="146"/>
      <c r="B60" s="373" t="s">
        <v>4681</v>
      </c>
      <c r="C60" s="137" t="s">
        <v>277</v>
      </c>
      <c r="D60" s="526" t="s">
        <v>118</v>
      </c>
      <c r="E60" s="526" t="s">
        <v>4682</v>
      </c>
      <c r="F60" s="193">
        <v>3.9599999999999995</v>
      </c>
      <c r="G60" s="193">
        <v>3.3659999999999997</v>
      </c>
      <c r="H60" s="138" t="s">
        <v>170</v>
      </c>
      <c r="I60" s="138" t="s">
        <v>4679</v>
      </c>
      <c r="J60" s="2868">
        <v>43496.0</v>
      </c>
      <c r="K60" s="138"/>
      <c r="L60" s="282"/>
      <c r="M60" s="282"/>
      <c r="N60" s="282"/>
      <c r="O60" s="138">
        <v>0.0</v>
      </c>
      <c r="P60" s="138">
        <v>1.0</v>
      </c>
      <c r="Q60" s="138">
        <v>1.0</v>
      </c>
      <c r="R60" s="140" t="s">
        <v>4683</v>
      </c>
      <c r="S60" s="110"/>
      <c r="T60" s="110"/>
      <c r="U60" s="110"/>
      <c r="V60" s="109"/>
    </row>
    <row r="61" outlineLevel="1">
      <c r="A61" s="156"/>
      <c r="B61" s="373" t="s">
        <v>4684</v>
      </c>
      <c r="C61" s="137" t="s">
        <v>1128</v>
      </c>
      <c r="D61" s="526" t="s">
        <v>374</v>
      </c>
      <c r="E61" s="526" t="s">
        <v>93</v>
      </c>
      <c r="F61" s="193">
        <v>8.4</v>
      </c>
      <c r="G61" s="193">
        <v>7.140000000000001</v>
      </c>
      <c r="H61" s="138" t="s">
        <v>60</v>
      </c>
      <c r="I61" s="138" t="s">
        <v>4679</v>
      </c>
      <c r="J61" s="138" t="s">
        <v>3436</v>
      </c>
      <c r="K61" s="138"/>
      <c r="L61" s="282"/>
      <c r="M61" s="282"/>
      <c r="N61" s="282"/>
      <c r="O61" s="138">
        <v>0.0</v>
      </c>
      <c r="P61" s="138">
        <v>1.5</v>
      </c>
      <c r="Q61" s="138">
        <v>1.0</v>
      </c>
      <c r="R61" s="140" t="s">
        <v>4685</v>
      </c>
      <c r="S61" s="110"/>
      <c r="T61" s="110"/>
      <c r="U61" s="110"/>
      <c r="V61" s="109"/>
    </row>
    <row r="62" outlineLevel="1">
      <c r="A62" s="213" t="s">
        <v>157</v>
      </c>
      <c r="B62" s="373"/>
      <c r="C62" s="137" t="s">
        <v>580</v>
      </c>
      <c r="D62" s="526" t="s">
        <v>218</v>
      </c>
      <c r="E62" s="526" t="s">
        <v>4686</v>
      </c>
      <c r="F62" s="193" t="s">
        <v>4687</v>
      </c>
      <c r="G62" s="193" t="s">
        <v>4688</v>
      </c>
      <c r="H62" s="138" t="s">
        <v>980</v>
      </c>
      <c r="I62" s="239" t="s">
        <v>4689</v>
      </c>
      <c r="J62" s="216" t="s">
        <v>3062</v>
      </c>
      <c r="K62" s="138"/>
      <c r="L62" s="282"/>
      <c r="M62" s="282"/>
      <c r="N62" s="282"/>
      <c r="O62" s="138">
        <v>0.0</v>
      </c>
      <c r="P62" s="138">
        <v>1.0</v>
      </c>
      <c r="Q62" s="138">
        <v>1.0</v>
      </c>
      <c r="R62" s="140" t="s">
        <v>4690</v>
      </c>
      <c r="S62" s="110"/>
      <c r="T62" s="110"/>
      <c r="U62" s="110"/>
      <c r="V62" s="109"/>
    </row>
    <row r="63" outlineLevel="1">
      <c r="A63" s="188" t="s">
        <v>162</v>
      </c>
      <c r="B63" s="373"/>
      <c r="C63" s="137" t="s">
        <v>2203</v>
      </c>
      <c r="D63" s="526" t="s">
        <v>99</v>
      </c>
      <c r="E63" s="526" t="s">
        <v>1665</v>
      </c>
      <c r="F63" s="193">
        <v>9.0</v>
      </c>
      <c r="G63" s="193">
        <v>7.65</v>
      </c>
      <c r="H63" s="138" t="s">
        <v>60</v>
      </c>
      <c r="I63" s="215" t="s">
        <v>80</v>
      </c>
      <c r="J63" s="195" t="s">
        <v>2697</v>
      </c>
      <c r="K63" s="282"/>
      <c r="L63" s="282"/>
      <c r="M63" s="282"/>
      <c r="N63" s="282"/>
      <c r="O63" s="138">
        <v>0.0</v>
      </c>
      <c r="P63" s="138">
        <v>1.0</v>
      </c>
      <c r="Q63" s="138">
        <v>1.0</v>
      </c>
      <c r="R63" s="283" t="s">
        <v>4691</v>
      </c>
      <c r="S63" s="164"/>
      <c r="T63" s="164"/>
      <c r="U63" s="164"/>
      <c r="V63" s="104"/>
    </row>
    <row r="64" outlineLevel="1">
      <c r="A64" s="146"/>
      <c r="B64" s="373" t="s">
        <v>1787</v>
      </c>
      <c r="C64" s="526" t="s">
        <v>4692</v>
      </c>
      <c r="D64" s="526" t="s">
        <v>628</v>
      </c>
      <c r="E64" s="548" t="s">
        <v>204</v>
      </c>
      <c r="F64" s="1201">
        <v>3.5999999999999996</v>
      </c>
      <c r="G64" s="1201">
        <v>3.06</v>
      </c>
      <c r="H64" s="394" t="s">
        <v>170</v>
      </c>
      <c r="I64" s="394">
        <v>16.0</v>
      </c>
      <c r="J64" s="138" t="s">
        <v>643</v>
      </c>
      <c r="K64" s="282"/>
      <c r="L64" s="282"/>
      <c r="M64" s="282"/>
      <c r="N64" s="282"/>
      <c r="O64" s="138">
        <v>0.0</v>
      </c>
      <c r="P64" s="138">
        <v>1.0</v>
      </c>
      <c r="Q64" s="138">
        <v>1.0</v>
      </c>
      <c r="R64" s="212"/>
      <c r="V64" s="210"/>
    </row>
    <row r="65" outlineLevel="1">
      <c r="A65" s="146"/>
      <c r="B65" s="373" t="s">
        <v>4553</v>
      </c>
      <c r="C65" s="526" t="s">
        <v>4693</v>
      </c>
      <c r="D65" s="526" t="s">
        <v>455</v>
      </c>
      <c r="E65" s="146"/>
      <c r="F65" s="146"/>
      <c r="G65" s="146"/>
      <c r="H65" s="146"/>
      <c r="I65" s="146"/>
      <c r="J65" s="138" t="s">
        <v>1382</v>
      </c>
      <c r="K65" s="282"/>
      <c r="L65" s="282"/>
      <c r="M65" s="282"/>
      <c r="N65" s="282"/>
      <c r="O65" s="138">
        <v>0.0</v>
      </c>
      <c r="P65" s="138">
        <v>1.0</v>
      </c>
      <c r="Q65" s="138">
        <v>1.0</v>
      </c>
      <c r="R65" s="212"/>
      <c r="V65" s="210"/>
    </row>
    <row r="66" outlineLevel="1">
      <c r="A66" s="146"/>
      <c r="B66" s="373" t="s">
        <v>4672</v>
      </c>
      <c r="C66" s="526" t="s">
        <v>4694</v>
      </c>
      <c r="D66" s="526" t="s">
        <v>335</v>
      </c>
      <c r="E66" s="146"/>
      <c r="F66" s="146"/>
      <c r="G66" s="146"/>
      <c r="H66" s="146"/>
      <c r="I66" s="146"/>
      <c r="J66" s="138" t="s">
        <v>4695</v>
      </c>
      <c r="K66" s="282"/>
      <c r="L66" s="282"/>
      <c r="M66" s="282"/>
      <c r="N66" s="282"/>
      <c r="O66" s="138">
        <v>0.0</v>
      </c>
      <c r="P66" s="138">
        <v>1.0</v>
      </c>
      <c r="Q66" s="138">
        <v>1.0</v>
      </c>
      <c r="R66" s="212"/>
      <c r="V66" s="210"/>
    </row>
    <row r="67" outlineLevel="1">
      <c r="A67" s="156"/>
      <c r="B67" s="373" t="s">
        <v>4675</v>
      </c>
      <c r="C67" s="526" t="s">
        <v>4696</v>
      </c>
      <c r="D67" s="526" t="s">
        <v>2456</v>
      </c>
      <c r="E67" s="156"/>
      <c r="F67" s="156"/>
      <c r="G67" s="156"/>
      <c r="H67" s="156"/>
      <c r="I67" s="156"/>
      <c r="J67" s="138" t="s">
        <v>4697</v>
      </c>
      <c r="K67" s="282"/>
      <c r="L67" s="282"/>
      <c r="M67" s="282"/>
      <c r="N67" s="282"/>
      <c r="O67" s="138">
        <v>0.0</v>
      </c>
      <c r="P67" s="138">
        <v>1.0</v>
      </c>
      <c r="Q67" s="138">
        <v>1.0</v>
      </c>
      <c r="R67" s="106"/>
      <c r="S67" s="168"/>
      <c r="T67" s="168"/>
      <c r="U67" s="168"/>
      <c r="V67" s="107"/>
    </row>
    <row r="68" outlineLevel="1">
      <c r="A68" s="188" t="s">
        <v>166</v>
      </c>
      <c r="B68" s="373"/>
      <c r="C68" s="137" t="s">
        <v>1497</v>
      </c>
      <c r="D68" s="548" t="s">
        <v>634</v>
      </c>
      <c r="E68" s="526" t="s">
        <v>4698</v>
      </c>
      <c r="F68" s="193" t="s">
        <v>4699</v>
      </c>
      <c r="G68" s="193" t="s">
        <v>4700</v>
      </c>
      <c r="H68" s="138" t="s">
        <v>3486</v>
      </c>
      <c r="I68" s="194">
        <v>30.0</v>
      </c>
      <c r="J68" s="195" t="s">
        <v>4701</v>
      </c>
      <c r="K68" s="282"/>
      <c r="L68" s="282"/>
      <c r="M68" s="282"/>
      <c r="N68" s="282"/>
      <c r="O68" s="138">
        <v>0.0</v>
      </c>
      <c r="P68" s="138">
        <v>1.0</v>
      </c>
      <c r="Q68" s="138">
        <v>1.0</v>
      </c>
      <c r="R68" s="283" t="s">
        <v>4702</v>
      </c>
      <c r="S68" s="164"/>
      <c r="T68" s="164"/>
      <c r="U68" s="164"/>
      <c r="V68" s="104"/>
    </row>
    <row r="69" outlineLevel="1">
      <c r="A69" s="146"/>
      <c r="B69" s="373" t="s">
        <v>84</v>
      </c>
      <c r="C69" s="526" t="s">
        <v>4703</v>
      </c>
      <c r="D69" s="146"/>
      <c r="E69" s="137" t="s">
        <v>4698</v>
      </c>
      <c r="F69" s="193" t="s">
        <v>4699</v>
      </c>
      <c r="G69" s="193" t="s">
        <v>4700</v>
      </c>
      <c r="H69" s="138" t="s">
        <v>3486</v>
      </c>
      <c r="I69" s="146"/>
      <c r="J69" s="210"/>
      <c r="K69" s="282"/>
      <c r="L69" s="282"/>
      <c r="M69" s="282"/>
      <c r="N69" s="282"/>
      <c r="O69" s="138">
        <v>0.0</v>
      </c>
      <c r="P69" s="138">
        <v>1.0</v>
      </c>
      <c r="Q69" s="138">
        <v>1.0</v>
      </c>
      <c r="R69" s="212"/>
      <c r="V69" s="210"/>
    </row>
    <row r="70" outlineLevel="1">
      <c r="A70" s="156"/>
      <c r="B70" s="373" t="s">
        <v>174</v>
      </c>
      <c r="C70" s="526" t="s">
        <v>175</v>
      </c>
      <c r="D70" s="156"/>
      <c r="E70" s="526" t="s">
        <v>150</v>
      </c>
      <c r="F70" s="193">
        <v>6.0</v>
      </c>
      <c r="G70" s="193">
        <v>6.0</v>
      </c>
      <c r="H70" s="138" t="s">
        <v>102</v>
      </c>
      <c r="I70" s="156"/>
      <c r="J70" s="107"/>
      <c r="K70" s="282"/>
      <c r="L70" s="282"/>
      <c r="M70" s="282"/>
      <c r="N70" s="282"/>
      <c r="O70" s="138">
        <v>0.0</v>
      </c>
      <c r="P70" s="138">
        <v>1.0</v>
      </c>
      <c r="Q70" s="138">
        <v>1.0</v>
      </c>
      <c r="R70" s="106"/>
      <c r="S70" s="168"/>
      <c r="T70" s="168"/>
      <c r="U70" s="168"/>
      <c r="V70" s="107"/>
    </row>
    <row r="71">
      <c r="A71" s="223"/>
      <c r="B71" s="224"/>
      <c r="C71" s="225"/>
      <c r="D71" s="225"/>
      <c r="E71" s="226"/>
      <c r="F71" s="226"/>
      <c r="G71" s="226"/>
      <c r="H71" s="227"/>
      <c r="I71" s="227"/>
      <c r="J71" s="228"/>
      <c r="K71" s="228"/>
      <c r="L71" s="228"/>
      <c r="M71" s="228"/>
      <c r="N71" s="228"/>
      <c r="O71" s="228"/>
      <c r="P71" s="228"/>
      <c r="Q71" s="118"/>
      <c r="R71" s="118"/>
      <c r="S71" s="118"/>
      <c r="T71" s="118"/>
      <c r="U71" s="118"/>
      <c r="V71" s="118"/>
    </row>
    <row r="72">
      <c r="A72" s="229" t="s">
        <v>177</v>
      </c>
      <c r="B72" s="109"/>
      <c r="C72" s="225"/>
      <c r="D72" s="225"/>
      <c r="E72" s="226"/>
      <c r="F72" s="226"/>
      <c r="G72" s="226"/>
      <c r="H72" s="227"/>
      <c r="I72" s="227"/>
      <c r="J72" s="228"/>
      <c r="K72" s="228"/>
      <c r="L72" s="228"/>
      <c r="M72" s="228"/>
      <c r="N72" s="228"/>
      <c r="O72" s="228"/>
      <c r="P72" s="228"/>
      <c r="Q72" s="118"/>
      <c r="R72" s="118"/>
      <c r="S72" s="118"/>
      <c r="T72" s="118"/>
      <c r="U72" s="118"/>
      <c r="V72" s="118"/>
    </row>
    <row r="73" outlineLevel="1">
      <c r="A73" s="230" t="s">
        <v>4704</v>
      </c>
      <c r="B73" s="109"/>
      <c r="C73" s="231" t="s">
        <v>48</v>
      </c>
      <c r="D73" s="231" t="s">
        <v>49</v>
      </c>
      <c r="E73" s="231" t="s">
        <v>50</v>
      </c>
      <c r="F73" s="235" t="s">
        <v>51</v>
      </c>
      <c r="G73" s="232" t="s">
        <v>52</v>
      </c>
      <c r="H73" s="234" t="str">
        <f>'テンプレート'!H72</f>
        <v>備考</v>
      </c>
      <c r="I73" s="110"/>
      <c r="J73" s="109"/>
      <c r="K73" s="235" t="str">
        <f>'テンプレート'!K72</f>
        <v>ベクトル</v>
      </c>
      <c r="L73" s="235" t="str">
        <f>'テンプレート'!L72</f>
        <v>KBG (R.E.)</v>
      </c>
      <c r="M73" s="235" t="str">
        <f>'テンプレート'!M72</f>
        <v>BKB (R.A.)</v>
      </c>
      <c r="N73" s="235" t="str">
        <f>'テンプレート'!N72</f>
        <v>FKB (R.F.)</v>
      </c>
      <c r="O73" s="236" t="str">
        <f>'テンプレート'!O72</f>
        <v>盾削り値</v>
      </c>
      <c r="P73" s="235" t="str">
        <f>'テンプレート'!P72</f>
        <v>ﾋｯﾄｽﾄｯﾌﾟ</v>
      </c>
      <c r="Q73" s="236" t="str">
        <f>'テンプレート'!Q72</f>
        <v>ずらし</v>
      </c>
      <c r="R73" s="235" t="str">
        <f>'テンプレート'!R72</f>
        <v>相殺</v>
      </c>
      <c r="S73" s="236" t="str">
        <f>'テンプレート'!S72</f>
        <v>相殺ﾓｰｼｮﾝ</v>
      </c>
      <c r="T73" s="236" t="str">
        <f>'テンプレート'!T72</f>
        <v>飛び道具</v>
      </c>
      <c r="U73" s="236" t="str">
        <f>'テンプレート'!U72</f>
        <v>慣性反転</v>
      </c>
      <c r="V73" s="236" t="s">
        <v>183</v>
      </c>
    </row>
    <row r="74" outlineLevel="1">
      <c r="A74" s="237" t="s">
        <v>184</v>
      </c>
      <c r="B74" s="243" t="s">
        <v>4705</v>
      </c>
      <c r="C74" s="137" t="s">
        <v>4706</v>
      </c>
      <c r="D74" s="526" t="s">
        <v>2269</v>
      </c>
      <c r="E74" s="526" t="s">
        <v>4707</v>
      </c>
      <c r="F74" s="138">
        <v>1.62</v>
      </c>
      <c r="G74" s="239" t="s">
        <v>170</v>
      </c>
      <c r="H74" s="163" t="s">
        <v>4708</v>
      </c>
      <c r="I74" s="164"/>
      <c r="J74" s="104"/>
      <c r="K74" s="282"/>
      <c r="L74" s="282"/>
      <c r="M74" s="363"/>
      <c r="N74" s="363"/>
      <c r="O74" s="138">
        <v>0.0</v>
      </c>
      <c r="P74" s="138">
        <v>0.8</v>
      </c>
      <c r="Q74" s="138">
        <v>1.0</v>
      </c>
      <c r="R74" s="145" t="b">
        <v>1</v>
      </c>
      <c r="S74" s="145" t="b">
        <v>0</v>
      </c>
      <c r="T74" s="145" t="b">
        <v>1</v>
      </c>
      <c r="U74" s="166" t="s">
        <v>186</v>
      </c>
      <c r="V74" s="166" t="b">
        <v>1</v>
      </c>
    </row>
    <row r="75" outlineLevel="1">
      <c r="A75" s="146"/>
      <c r="B75" s="663" t="s">
        <v>340</v>
      </c>
      <c r="C75" s="281"/>
      <c r="D75" s="281"/>
      <c r="E75" s="526" t="s">
        <v>4709</v>
      </c>
      <c r="F75" s="138">
        <v>3.24</v>
      </c>
      <c r="G75" s="239" t="s">
        <v>170</v>
      </c>
      <c r="H75" s="212"/>
      <c r="J75" s="210"/>
      <c r="K75" s="282"/>
      <c r="L75" s="282"/>
      <c r="M75" s="363"/>
      <c r="N75" s="363"/>
      <c r="O75" s="138"/>
      <c r="P75" s="138"/>
      <c r="Q75" s="138"/>
      <c r="R75" s="145" t="b">
        <v>0</v>
      </c>
      <c r="S75" s="145" t="b">
        <v>0</v>
      </c>
      <c r="T75" s="145" t="b">
        <v>0</v>
      </c>
      <c r="U75" s="146"/>
      <c r="V75" s="146"/>
    </row>
    <row r="76" outlineLevel="1">
      <c r="A76" s="146"/>
      <c r="B76" s="663" t="s">
        <v>677</v>
      </c>
      <c r="C76" s="137" t="s">
        <v>4710</v>
      </c>
      <c r="D76" s="137" t="s">
        <v>424</v>
      </c>
      <c r="E76" s="281"/>
      <c r="F76" s="281"/>
      <c r="G76" s="281"/>
      <c r="H76" s="106"/>
      <c r="I76" s="168"/>
      <c r="J76" s="107"/>
      <c r="K76" s="282"/>
      <c r="L76" s="282"/>
      <c r="M76" s="363"/>
      <c r="N76" s="363"/>
      <c r="O76" s="138">
        <v>0.0</v>
      </c>
      <c r="P76" s="138">
        <v>1.0</v>
      </c>
      <c r="Q76" s="138">
        <v>1.0</v>
      </c>
      <c r="R76" s="145" t="b">
        <v>1</v>
      </c>
      <c r="S76" s="145" t="b">
        <v>0</v>
      </c>
      <c r="T76" s="145" t="b">
        <v>1</v>
      </c>
      <c r="U76" s="156"/>
      <c r="V76" s="156"/>
    </row>
    <row r="77" outlineLevel="1">
      <c r="A77" s="230" t="s">
        <v>4711</v>
      </c>
      <c r="B77" s="109"/>
      <c r="C77" s="231" t="s">
        <v>48</v>
      </c>
      <c r="D77" s="231" t="s">
        <v>49</v>
      </c>
      <c r="E77" s="231" t="s">
        <v>50</v>
      </c>
      <c r="F77" s="235" t="s">
        <v>51</v>
      </c>
      <c r="G77" s="232" t="s">
        <v>52</v>
      </c>
      <c r="H77" s="382" t="str">
        <f>'テンプレート'!H75</f>
        <v>備考</v>
      </c>
      <c r="I77" s="110"/>
      <c r="J77" s="109"/>
      <c r="K77" s="235" t="str">
        <f>'テンプレート'!K75</f>
        <v>ベクトル</v>
      </c>
      <c r="L77" s="235" t="str">
        <f>'テンプレート'!L75</f>
        <v>KBG (R.E.)</v>
      </c>
      <c r="M77" s="235" t="str">
        <f>'テンプレート'!M75</f>
        <v>BKB (R.A.)</v>
      </c>
      <c r="N77" s="235" t="str">
        <f>'テンプレート'!N75</f>
        <v>FKB (R.F.)</v>
      </c>
      <c r="O77" s="236" t="str">
        <f>'テンプレート'!O75</f>
        <v>盾削り値</v>
      </c>
      <c r="P77" s="235" t="str">
        <f>'テンプレート'!P75</f>
        <v>ﾋｯﾄｽﾄｯﾌﾟ</v>
      </c>
      <c r="Q77" s="236" t="str">
        <f>'テンプレート'!Q75</f>
        <v>ずらし</v>
      </c>
      <c r="R77" s="235" t="str">
        <f>'テンプレート'!R75</f>
        <v>相殺</v>
      </c>
      <c r="S77" s="236" t="str">
        <f>'テンプレート'!S75</f>
        <v>相殺ﾓｰｼｮﾝ</v>
      </c>
      <c r="T77" s="236" t="str">
        <f>'テンプレート'!T75</f>
        <v>飛び道具</v>
      </c>
      <c r="U77" s="236" t="str">
        <f>'テンプレート'!U75</f>
        <v>慣性反転</v>
      </c>
      <c r="V77" s="236" t="s">
        <v>183</v>
      </c>
    </row>
    <row r="78" outlineLevel="1">
      <c r="A78" s="237" t="s">
        <v>332</v>
      </c>
      <c r="B78" s="243" t="s">
        <v>4712</v>
      </c>
      <c r="C78" s="137" t="s">
        <v>561</v>
      </c>
      <c r="D78" s="2869" t="s">
        <v>4713</v>
      </c>
      <c r="E78" s="526" t="s">
        <v>80</v>
      </c>
      <c r="F78" s="138">
        <v>9.6</v>
      </c>
      <c r="G78" s="239" t="s">
        <v>123</v>
      </c>
      <c r="H78" s="2870" t="s">
        <v>4714</v>
      </c>
      <c r="J78" s="210"/>
      <c r="K78" s="282"/>
      <c r="L78" s="282"/>
      <c r="M78" s="363"/>
      <c r="N78" s="363"/>
      <c r="O78" s="1900">
        <v>0.0</v>
      </c>
      <c r="P78" s="2794">
        <v>1.2</v>
      </c>
      <c r="Q78" s="779">
        <v>1.0</v>
      </c>
      <c r="R78" s="145" t="b">
        <v>0</v>
      </c>
      <c r="S78" s="145" t="b">
        <v>0</v>
      </c>
      <c r="T78" s="145"/>
      <c r="U78" s="166" t="b">
        <v>0</v>
      </c>
      <c r="V78" s="166" t="b">
        <v>1</v>
      </c>
    </row>
    <row r="79" outlineLevel="1">
      <c r="A79" s="146"/>
      <c r="B79" s="243" t="s">
        <v>4715</v>
      </c>
      <c r="C79" s="137" t="s">
        <v>203</v>
      </c>
      <c r="D79" s="146"/>
      <c r="E79" s="526" t="s">
        <v>80</v>
      </c>
      <c r="F79" s="138">
        <v>9.6</v>
      </c>
      <c r="G79" s="239" t="s">
        <v>123</v>
      </c>
      <c r="J79" s="210"/>
      <c r="K79" s="138"/>
      <c r="L79" s="138"/>
      <c r="M79" s="145"/>
      <c r="N79" s="145"/>
      <c r="O79" s="1900"/>
      <c r="P79" s="2794"/>
      <c r="Q79" s="779"/>
      <c r="R79" s="145" t="b">
        <v>0</v>
      </c>
      <c r="S79" s="145" t="b">
        <v>0</v>
      </c>
      <c r="T79" s="145" t="b">
        <v>0</v>
      </c>
      <c r="U79" s="146"/>
      <c r="V79" s="146"/>
    </row>
    <row r="80" outlineLevel="1">
      <c r="A80" s="146"/>
      <c r="B80" s="243" t="s">
        <v>4716</v>
      </c>
      <c r="C80" s="137" t="s">
        <v>1164</v>
      </c>
      <c r="D80" s="146"/>
      <c r="E80" s="526" t="s">
        <v>1665</v>
      </c>
      <c r="F80" s="138">
        <v>9.0</v>
      </c>
      <c r="G80" s="239" t="s">
        <v>123</v>
      </c>
      <c r="J80" s="210"/>
      <c r="K80" s="138"/>
      <c r="L80" s="138"/>
      <c r="M80" s="145"/>
      <c r="N80" s="145"/>
      <c r="O80" s="1900">
        <v>0.0</v>
      </c>
      <c r="P80" s="2794">
        <v>1.2</v>
      </c>
      <c r="Q80" s="779">
        <v>1.0</v>
      </c>
      <c r="R80" s="145" t="b">
        <v>0</v>
      </c>
      <c r="S80" s="145" t="b">
        <v>0</v>
      </c>
      <c r="T80" s="145"/>
      <c r="U80" s="146"/>
      <c r="V80" s="146"/>
    </row>
    <row r="81" outlineLevel="1">
      <c r="A81" s="146"/>
      <c r="B81" s="243" t="s">
        <v>4717</v>
      </c>
      <c r="C81" s="526" t="s">
        <v>4718</v>
      </c>
      <c r="D81" s="156"/>
      <c r="E81" s="526" t="s">
        <v>93</v>
      </c>
      <c r="F81" s="138">
        <v>8.4</v>
      </c>
      <c r="G81" s="239" t="s">
        <v>95</v>
      </c>
      <c r="J81" s="210"/>
      <c r="K81" s="138"/>
      <c r="L81" s="138"/>
      <c r="M81" s="145"/>
      <c r="N81" s="145"/>
      <c r="O81" s="1900">
        <v>0.0</v>
      </c>
      <c r="P81" s="2794">
        <v>1.2</v>
      </c>
      <c r="Q81" s="779">
        <v>1.0</v>
      </c>
      <c r="R81" s="145" t="b">
        <v>0</v>
      </c>
      <c r="S81" s="145" t="b">
        <v>0</v>
      </c>
      <c r="T81" s="145"/>
      <c r="U81" s="146"/>
      <c r="V81" s="146"/>
    </row>
    <row r="82" outlineLevel="1">
      <c r="A82" s="146"/>
      <c r="B82" s="243" t="s">
        <v>2420</v>
      </c>
      <c r="C82" s="281"/>
      <c r="D82" s="137" t="s">
        <v>268</v>
      </c>
      <c r="E82" s="281"/>
      <c r="F82" s="281"/>
      <c r="G82" s="281"/>
      <c r="J82" s="210"/>
      <c r="K82" s="138"/>
      <c r="L82" s="138"/>
      <c r="M82" s="145"/>
      <c r="N82" s="145"/>
      <c r="O82" s="1900"/>
      <c r="P82" s="2794"/>
      <c r="Q82" s="779"/>
      <c r="R82" s="145" t="b">
        <v>0</v>
      </c>
      <c r="S82" s="145" t="b">
        <v>0</v>
      </c>
      <c r="T82" s="145" t="b">
        <v>0</v>
      </c>
      <c r="U82" s="146"/>
      <c r="V82" s="146"/>
    </row>
    <row r="83" outlineLevel="1">
      <c r="A83" s="146"/>
      <c r="B83" s="243" t="s">
        <v>1787</v>
      </c>
      <c r="C83" s="137" t="s">
        <v>561</v>
      </c>
      <c r="D83" s="2869" t="s">
        <v>208</v>
      </c>
      <c r="E83" s="526" t="s">
        <v>80</v>
      </c>
      <c r="F83" s="138">
        <v>9.6</v>
      </c>
      <c r="G83" s="239" t="s">
        <v>123</v>
      </c>
      <c r="J83" s="210"/>
      <c r="K83" s="138"/>
      <c r="L83" s="138"/>
      <c r="M83" s="145"/>
      <c r="N83" s="145"/>
      <c r="O83" s="1900">
        <v>0.0</v>
      </c>
      <c r="P83" s="2794">
        <v>1.2</v>
      </c>
      <c r="Q83" s="779">
        <v>1.0</v>
      </c>
      <c r="R83" s="145" t="b">
        <v>0</v>
      </c>
      <c r="S83" s="145" t="b">
        <v>0</v>
      </c>
      <c r="T83" s="145"/>
      <c r="U83" s="146"/>
      <c r="V83" s="146"/>
    </row>
    <row r="84" outlineLevel="1">
      <c r="A84" s="146"/>
      <c r="B84" s="243" t="s">
        <v>4553</v>
      </c>
      <c r="C84" s="137" t="s">
        <v>203</v>
      </c>
      <c r="D84" s="146"/>
      <c r="E84" s="526" t="s">
        <v>80</v>
      </c>
      <c r="F84" s="138">
        <v>9.6</v>
      </c>
      <c r="G84" s="239" t="s">
        <v>123</v>
      </c>
      <c r="J84" s="210"/>
      <c r="K84" s="138"/>
      <c r="L84" s="138"/>
      <c r="M84" s="145"/>
      <c r="N84" s="145"/>
      <c r="O84" s="1900"/>
      <c r="P84" s="2794"/>
      <c r="Q84" s="779"/>
      <c r="R84" s="145" t="b">
        <v>0</v>
      </c>
      <c r="S84" s="145" t="b">
        <v>0</v>
      </c>
      <c r="T84" s="145" t="b">
        <v>0</v>
      </c>
      <c r="U84" s="146"/>
      <c r="V84" s="146"/>
    </row>
    <row r="85" outlineLevel="1">
      <c r="A85" s="146"/>
      <c r="B85" s="243" t="s">
        <v>4672</v>
      </c>
      <c r="C85" s="137" t="s">
        <v>1164</v>
      </c>
      <c r="D85" s="146"/>
      <c r="E85" s="526" t="s">
        <v>1665</v>
      </c>
      <c r="F85" s="138">
        <v>9.0</v>
      </c>
      <c r="G85" s="239" t="s">
        <v>123</v>
      </c>
      <c r="J85" s="210"/>
      <c r="K85" s="138"/>
      <c r="L85" s="138"/>
      <c r="M85" s="145"/>
      <c r="N85" s="145"/>
      <c r="O85" s="1900">
        <v>0.0</v>
      </c>
      <c r="P85" s="2794">
        <v>1.2</v>
      </c>
      <c r="Q85" s="779">
        <v>1.0</v>
      </c>
      <c r="R85" s="145" t="b">
        <v>0</v>
      </c>
      <c r="S85" s="145" t="b">
        <v>0</v>
      </c>
      <c r="T85" s="145"/>
      <c r="U85" s="146"/>
      <c r="V85" s="146"/>
    </row>
    <row r="86" outlineLevel="1">
      <c r="A86" s="146"/>
      <c r="B86" s="243" t="s">
        <v>4675</v>
      </c>
      <c r="C86" s="137" t="s">
        <v>4719</v>
      </c>
      <c r="D86" s="146"/>
      <c r="E86" s="526" t="s">
        <v>93</v>
      </c>
      <c r="F86" s="138">
        <v>8.4</v>
      </c>
      <c r="G86" s="239" t="s">
        <v>95</v>
      </c>
      <c r="J86" s="210"/>
      <c r="K86" s="138"/>
      <c r="L86" s="138"/>
      <c r="M86" s="145"/>
      <c r="N86" s="145"/>
      <c r="O86" s="1900">
        <v>0.0</v>
      </c>
      <c r="P86" s="2794">
        <v>1.2</v>
      </c>
      <c r="Q86" s="779">
        <v>1.0</v>
      </c>
      <c r="R86" s="145" t="b">
        <v>0</v>
      </c>
      <c r="S86" s="145" t="b">
        <v>0</v>
      </c>
      <c r="T86" s="145"/>
      <c r="U86" s="146"/>
      <c r="V86" s="146"/>
    </row>
    <row r="87" outlineLevel="1">
      <c r="A87" s="146"/>
      <c r="B87" s="243" t="s">
        <v>4720</v>
      </c>
      <c r="C87" s="137" t="s">
        <v>4721</v>
      </c>
      <c r="D87" s="146"/>
      <c r="E87" s="526" t="s">
        <v>80</v>
      </c>
      <c r="F87" s="138">
        <v>9.6</v>
      </c>
      <c r="G87" s="239" t="s">
        <v>123</v>
      </c>
      <c r="J87" s="210"/>
      <c r="K87" s="138"/>
      <c r="L87" s="138"/>
      <c r="M87" s="145"/>
      <c r="N87" s="145"/>
      <c r="O87" s="1900">
        <v>0.0</v>
      </c>
      <c r="P87" s="2794">
        <v>1.2</v>
      </c>
      <c r="Q87" s="779">
        <v>1.0</v>
      </c>
      <c r="R87" s="145" t="b">
        <v>0</v>
      </c>
      <c r="S87" s="145" t="b">
        <v>0</v>
      </c>
      <c r="T87" s="145"/>
      <c r="U87" s="146"/>
      <c r="V87" s="146"/>
    </row>
    <row r="88" outlineLevel="1">
      <c r="A88" s="146"/>
      <c r="B88" s="243" t="s">
        <v>4722</v>
      </c>
      <c r="C88" s="137" t="s">
        <v>4723</v>
      </c>
      <c r="D88" s="156"/>
      <c r="E88" s="526" t="s">
        <v>150</v>
      </c>
      <c r="F88" s="138">
        <v>6.0</v>
      </c>
      <c r="G88" s="239" t="s">
        <v>102</v>
      </c>
      <c r="H88" s="168"/>
      <c r="I88" s="168"/>
      <c r="J88" s="107"/>
      <c r="K88" s="138"/>
      <c r="L88" s="138"/>
      <c r="M88" s="145"/>
      <c r="N88" s="145"/>
      <c r="O88" s="1900">
        <v>0.0</v>
      </c>
      <c r="P88" s="2794">
        <v>1.2</v>
      </c>
      <c r="Q88" s="779">
        <v>1.0</v>
      </c>
      <c r="R88" s="145" t="b">
        <v>1</v>
      </c>
      <c r="S88" s="145" t="b">
        <v>0</v>
      </c>
      <c r="T88" s="145"/>
      <c r="U88" s="156"/>
      <c r="V88" s="156"/>
    </row>
    <row r="89" outlineLevel="1">
      <c r="A89" s="237" t="s">
        <v>344</v>
      </c>
      <c r="B89" s="243" t="s">
        <v>4724</v>
      </c>
      <c r="C89" s="137" t="s">
        <v>277</v>
      </c>
      <c r="D89" s="2871" t="s">
        <v>271</v>
      </c>
      <c r="E89" s="526" t="s">
        <v>86</v>
      </c>
      <c r="F89" s="138">
        <v>7.199999999999999</v>
      </c>
      <c r="G89" s="239" t="s">
        <v>102</v>
      </c>
      <c r="H89" s="2357" t="s">
        <v>4725</v>
      </c>
      <c r="I89" s="164"/>
      <c r="J89" s="104"/>
      <c r="K89" s="138"/>
      <c r="L89" s="138"/>
      <c r="M89" s="145"/>
      <c r="N89" s="145"/>
      <c r="O89" s="1900">
        <v>0.0</v>
      </c>
      <c r="P89" s="2794">
        <v>2.0</v>
      </c>
      <c r="Q89" s="2794">
        <v>2.0</v>
      </c>
      <c r="R89" s="145" t="b">
        <v>0</v>
      </c>
      <c r="S89" s="145" t="b">
        <v>0</v>
      </c>
      <c r="T89" s="145"/>
      <c r="U89" s="166"/>
      <c r="V89" s="166" t="b">
        <v>1</v>
      </c>
    </row>
    <row r="90" outlineLevel="1">
      <c r="A90" s="146"/>
      <c r="B90" s="243" t="s">
        <v>4726</v>
      </c>
      <c r="C90" s="137" t="s">
        <v>627</v>
      </c>
      <c r="D90" s="146"/>
      <c r="E90" s="526" t="s">
        <v>93</v>
      </c>
      <c r="F90" s="138">
        <v>8.4</v>
      </c>
      <c r="G90" s="239" t="s">
        <v>95</v>
      </c>
      <c r="H90" s="212"/>
      <c r="J90" s="210"/>
      <c r="K90" s="138"/>
      <c r="L90" s="138"/>
      <c r="M90" s="145"/>
      <c r="N90" s="145"/>
      <c r="O90" s="1900">
        <v>0.0</v>
      </c>
      <c r="P90" s="2794">
        <v>2.0</v>
      </c>
      <c r="Q90" s="2794">
        <v>2.0</v>
      </c>
      <c r="R90" s="145" t="b">
        <v>0</v>
      </c>
      <c r="S90" s="145" t="b">
        <v>0</v>
      </c>
      <c r="T90" s="145"/>
      <c r="U90" s="146"/>
      <c r="V90" s="146"/>
    </row>
    <row r="91" outlineLevel="1">
      <c r="A91" s="146"/>
      <c r="B91" s="243" t="s">
        <v>4727</v>
      </c>
      <c r="C91" s="137" t="s">
        <v>305</v>
      </c>
      <c r="D91" s="146"/>
      <c r="E91" s="526" t="s">
        <v>93</v>
      </c>
      <c r="F91" s="138">
        <v>8.4</v>
      </c>
      <c r="G91" s="239" t="s">
        <v>95</v>
      </c>
      <c r="H91" s="212"/>
      <c r="J91" s="210"/>
      <c r="K91" s="138"/>
      <c r="L91" s="138"/>
      <c r="M91" s="145"/>
      <c r="N91" s="145"/>
      <c r="O91" s="1900"/>
      <c r="P91" s="2794"/>
      <c r="Q91" s="2794"/>
      <c r="R91" s="145" t="b">
        <v>0</v>
      </c>
      <c r="S91" s="145" t="b">
        <v>0</v>
      </c>
      <c r="T91" s="145" t="b">
        <v>0</v>
      </c>
      <c r="U91" s="146"/>
      <c r="V91" s="146"/>
    </row>
    <row r="92" outlineLevel="1">
      <c r="A92" s="146"/>
      <c r="B92" s="243" t="s">
        <v>4728</v>
      </c>
      <c r="C92" s="526" t="s">
        <v>943</v>
      </c>
      <c r="D92" s="156"/>
      <c r="E92" s="526" t="s">
        <v>86</v>
      </c>
      <c r="F92" s="138">
        <v>7.199999999999999</v>
      </c>
      <c r="G92" s="239" t="s">
        <v>102</v>
      </c>
      <c r="H92" s="212"/>
      <c r="J92" s="210"/>
      <c r="K92" s="138"/>
      <c r="L92" s="138"/>
      <c r="M92" s="145"/>
      <c r="N92" s="145"/>
      <c r="O92" s="1900">
        <v>0.0</v>
      </c>
      <c r="P92" s="2794">
        <v>2.0</v>
      </c>
      <c r="Q92" s="2794">
        <v>2.0</v>
      </c>
      <c r="R92" s="145" t="b">
        <v>0</v>
      </c>
      <c r="S92" s="145" t="b">
        <v>0</v>
      </c>
      <c r="T92" s="145"/>
      <c r="U92" s="146"/>
      <c r="V92" s="146"/>
    </row>
    <row r="93" outlineLevel="1">
      <c r="A93" s="146"/>
      <c r="B93" s="243" t="s">
        <v>2420</v>
      </c>
      <c r="C93" s="281"/>
      <c r="D93" s="137" t="s">
        <v>268</v>
      </c>
      <c r="E93" s="281"/>
      <c r="F93" s="281"/>
      <c r="G93" s="281"/>
      <c r="H93" s="106"/>
      <c r="I93" s="168"/>
      <c r="J93" s="107"/>
      <c r="K93" s="138"/>
      <c r="L93" s="138"/>
      <c r="M93" s="145"/>
      <c r="N93" s="145"/>
      <c r="O93" s="1900"/>
      <c r="P93" s="2794"/>
      <c r="Q93" s="2794"/>
      <c r="R93" s="145" t="b">
        <v>0</v>
      </c>
      <c r="S93" s="145" t="b">
        <v>0</v>
      </c>
      <c r="T93" s="145" t="b">
        <v>0</v>
      </c>
      <c r="U93" s="156"/>
      <c r="V93" s="156"/>
    </row>
    <row r="94" ht="18.75" customHeight="1" outlineLevel="1">
      <c r="A94" s="146"/>
      <c r="B94" s="243" t="s">
        <v>4729</v>
      </c>
      <c r="C94" s="137" t="s">
        <v>4730</v>
      </c>
      <c r="D94" s="526" t="s">
        <v>127</v>
      </c>
      <c r="E94" s="526" t="s">
        <v>2134</v>
      </c>
      <c r="F94" s="138">
        <v>7.8</v>
      </c>
      <c r="G94" s="239" t="s">
        <v>95</v>
      </c>
      <c r="H94" s="2357" t="s">
        <v>4731</v>
      </c>
      <c r="I94" s="164"/>
      <c r="J94" s="104"/>
      <c r="K94" s="138"/>
      <c r="L94" s="138"/>
      <c r="M94" s="145"/>
      <c r="N94" s="145"/>
      <c r="O94" s="1900">
        <v>0.0</v>
      </c>
      <c r="P94" s="2794">
        <v>1.5</v>
      </c>
      <c r="Q94" s="2794">
        <v>2.0</v>
      </c>
      <c r="R94" s="145" t="b">
        <v>0</v>
      </c>
      <c r="S94" s="145" t="b">
        <v>0</v>
      </c>
      <c r="T94" s="145"/>
      <c r="U94" s="166"/>
      <c r="V94" s="166" t="b">
        <v>1</v>
      </c>
    </row>
    <row r="95" ht="18.75" customHeight="1" outlineLevel="1">
      <c r="A95" s="146"/>
      <c r="B95" s="243" t="s">
        <v>4732</v>
      </c>
      <c r="C95" s="137" t="s">
        <v>175</v>
      </c>
      <c r="D95" s="281"/>
      <c r="E95" s="526" t="s">
        <v>150</v>
      </c>
      <c r="F95" s="138">
        <v>6.0</v>
      </c>
      <c r="G95" s="239" t="s">
        <v>102</v>
      </c>
      <c r="H95" s="212"/>
      <c r="J95" s="210"/>
      <c r="K95" s="138"/>
      <c r="L95" s="138"/>
      <c r="M95" s="145"/>
      <c r="N95" s="145"/>
      <c r="O95" s="1900"/>
      <c r="P95" s="2794"/>
      <c r="Q95" s="2794"/>
      <c r="R95" s="145" t="b">
        <v>0</v>
      </c>
      <c r="S95" s="145" t="b">
        <v>0</v>
      </c>
      <c r="T95" s="145" t="b">
        <v>0</v>
      </c>
      <c r="U95" s="146"/>
      <c r="V95" s="146"/>
    </row>
    <row r="96" ht="18.75" customHeight="1" outlineLevel="1">
      <c r="A96" s="146"/>
      <c r="B96" s="243" t="s">
        <v>2601</v>
      </c>
      <c r="C96" s="281"/>
      <c r="D96" s="137" t="s">
        <v>65</v>
      </c>
      <c r="E96" s="281"/>
      <c r="F96" s="281"/>
      <c r="G96" s="281"/>
      <c r="H96" s="212"/>
      <c r="J96" s="210"/>
      <c r="K96" s="138"/>
      <c r="L96" s="138"/>
      <c r="M96" s="145"/>
      <c r="N96" s="145"/>
      <c r="O96" s="1900"/>
      <c r="P96" s="2794"/>
      <c r="Q96" s="2794"/>
      <c r="R96" s="145" t="b">
        <v>0</v>
      </c>
      <c r="S96" s="145" t="b">
        <v>0</v>
      </c>
      <c r="T96" s="145" t="b">
        <v>0</v>
      </c>
      <c r="U96" s="146"/>
      <c r="V96" s="146"/>
    </row>
    <row r="97" ht="18.75" customHeight="1" outlineLevel="1">
      <c r="A97" s="146"/>
      <c r="B97" s="243" t="s">
        <v>2420</v>
      </c>
      <c r="C97" s="281"/>
      <c r="D97" s="137" t="s">
        <v>268</v>
      </c>
      <c r="E97" s="281"/>
      <c r="F97" s="281"/>
      <c r="G97" s="281"/>
      <c r="H97" s="106"/>
      <c r="I97" s="168"/>
      <c r="J97" s="107"/>
      <c r="K97" s="138"/>
      <c r="L97" s="138"/>
      <c r="M97" s="145"/>
      <c r="N97" s="145"/>
      <c r="O97" s="1900">
        <v>0.0</v>
      </c>
      <c r="P97" s="2794">
        <v>1.5</v>
      </c>
      <c r="Q97" s="2794">
        <v>2.0</v>
      </c>
      <c r="R97" s="145" t="b">
        <v>0</v>
      </c>
      <c r="S97" s="145" t="b">
        <v>0</v>
      </c>
      <c r="T97" s="145"/>
      <c r="U97" s="156"/>
      <c r="V97" s="156"/>
    </row>
    <row r="98" outlineLevel="1">
      <c r="A98" s="230" t="s">
        <v>4733</v>
      </c>
      <c r="B98" s="109"/>
      <c r="C98" s="231" t="s">
        <v>48</v>
      </c>
      <c r="D98" s="231" t="s">
        <v>49</v>
      </c>
      <c r="E98" s="231" t="s">
        <v>50</v>
      </c>
      <c r="F98" s="235" t="s">
        <v>51</v>
      </c>
      <c r="G98" s="232" t="s">
        <v>52</v>
      </c>
      <c r="H98" s="382" t="str">
        <f>'テンプレート'!H80</f>
        <v>備考</v>
      </c>
      <c r="I98" s="110"/>
      <c r="J98" s="109"/>
      <c r="K98" s="235" t="str">
        <f>'テンプレート'!K80</f>
        <v>ベクトル</v>
      </c>
      <c r="L98" s="235" t="str">
        <f>'テンプレート'!L80</f>
        <v>KBG (R.E.)</v>
      </c>
      <c r="M98" s="235" t="str">
        <f>'テンプレート'!M80</f>
        <v>BKB (R.A.)</v>
      </c>
      <c r="N98" s="235" t="str">
        <f>'テンプレート'!N80</f>
        <v>FKB (R.F.)</v>
      </c>
      <c r="O98" s="236" t="str">
        <f>'テンプレート'!O80</f>
        <v>盾削り値</v>
      </c>
      <c r="P98" s="235" t="str">
        <f>'テンプレート'!P80</f>
        <v>ﾋｯﾄｽﾄｯﾌﾟ</v>
      </c>
      <c r="Q98" s="236" t="str">
        <f>'テンプレート'!Q80</f>
        <v>ずらし</v>
      </c>
      <c r="R98" s="235" t="str">
        <f>'テンプレート'!R80</f>
        <v>相殺</v>
      </c>
      <c r="S98" s="236" t="str">
        <f>'テンプレート'!S80</f>
        <v>相殺ﾓｰｼｮﾝ</v>
      </c>
      <c r="T98" s="236" t="str">
        <f>'テンプレート'!T80</f>
        <v>飛び道具</v>
      </c>
      <c r="U98" s="236" t="str">
        <f>'テンプレート'!U80</f>
        <v>慣性反転</v>
      </c>
      <c r="V98" s="236" t="s">
        <v>183</v>
      </c>
    </row>
    <row r="99" outlineLevel="1">
      <c r="A99" s="625" t="s">
        <v>332</v>
      </c>
      <c r="B99" s="402" t="s">
        <v>152</v>
      </c>
      <c r="C99" s="526" t="s">
        <v>86</v>
      </c>
      <c r="D99" s="2043" t="s">
        <v>4734</v>
      </c>
      <c r="E99" s="526" t="s">
        <v>204</v>
      </c>
      <c r="F99" s="138">
        <v>3.5999999999999996</v>
      </c>
      <c r="G99" s="239" t="s">
        <v>147</v>
      </c>
      <c r="H99" s="163" t="s">
        <v>4735</v>
      </c>
      <c r="I99" s="164"/>
      <c r="J99" s="104"/>
      <c r="K99" s="138"/>
      <c r="L99" s="138"/>
      <c r="M99" s="145"/>
      <c r="N99" s="145"/>
      <c r="O99" s="138">
        <v>0.0</v>
      </c>
      <c r="P99" s="138">
        <v>1.0</v>
      </c>
      <c r="Q99" s="138">
        <v>2.0</v>
      </c>
      <c r="R99" s="145" t="b">
        <v>1</v>
      </c>
      <c r="S99" s="145" t="b">
        <v>0</v>
      </c>
      <c r="T99" s="145"/>
      <c r="U99" s="166" t="s">
        <v>186</v>
      </c>
      <c r="V99" s="166" t="b">
        <v>1</v>
      </c>
    </row>
    <row r="100" outlineLevel="1">
      <c r="A100" s="259" t="s">
        <v>344</v>
      </c>
      <c r="B100" s="402" t="s">
        <v>152</v>
      </c>
      <c r="C100" s="526" t="s">
        <v>86</v>
      </c>
      <c r="D100" s="146"/>
      <c r="E100" s="526" t="s">
        <v>176</v>
      </c>
      <c r="F100" s="138">
        <v>2.4</v>
      </c>
      <c r="G100" s="239" t="s">
        <v>60</v>
      </c>
      <c r="H100" s="212"/>
      <c r="J100" s="210"/>
      <c r="K100" s="138"/>
      <c r="L100" s="138"/>
      <c r="M100" s="145"/>
      <c r="N100" s="145"/>
      <c r="O100" s="138">
        <v>0.0</v>
      </c>
      <c r="P100" s="138">
        <v>1.0</v>
      </c>
      <c r="Q100" s="138">
        <v>2.0</v>
      </c>
      <c r="R100" s="145" t="b">
        <v>1</v>
      </c>
      <c r="S100" s="145" t="b">
        <v>0</v>
      </c>
      <c r="T100" s="145"/>
      <c r="U100" s="146"/>
      <c r="V100" s="146"/>
    </row>
    <row r="101" outlineLevel="1">
      <c r="A101" s="546" t="s">
        <v>184</v>
      </c>
      <c r="B101" s="402" t="s">
        <v>4736</v>
      </c>
      <c r="C101" s="137" t="s">
        <v>4737</v>
      </c>
      <c r="D101" s="146"/>
      <c r="E101" s="526" t="s">
        <v>706</v>
      </c>
      <c r="F101" s="138">
        <v>0.24</v>
      </c>
      <c r="G101" s="239" t="s">
        <v>170</v>
      </c>
      <c r="H101" s="212"/>
      <c r="J101" s="210"/>
      <c r="K101" s="138"/>
      <c r="L101" s="138"/>
      <c r="M101" s="145"/>
      <c r="N101" s="145"/>
      <c r="O101" s="138">
        <v>0.0</v>
      </c>
      <c r="P101" s="138">
        <v>1.3</v>
      </c>
      <c r="Q101" s="138">
        <v>2.0</v>
      </c>
      <c r="R101" s="145" t="b">
        <v>1</v>
      </c>
      <c r="S101" s="145" t="b">
        <v>0</v>
      </c>
      <c r="T101" s="145"/>
      <c r="U101" s="146"/>
      <c r="V101" s="146"/>
    </row>
    <row r="102" outlineLevel="1">
      <c r="A102" s="146"/>
      <c r="B102" s="402" t="s">
        <v>4738</v>
      </c>
      <c r="C102" s="137" t="s">
        <v>4739</v>
      </c>
      <c r="D102" s="146"/>
      <c r="E102" s="526" t="s">
        <v>706</v>
      </c>
      <c r="F102" s="138">
        <v>0.24</v>
      </c>
      <c r="G102" s="239" t="s">
        <v>170</v>
      </c>
      <c r="H102" s="212"/>
      <c r="J102" s="210"/>
      <c r="K102" s="138"/>
      <c r="L102" s="138"/>
      <c r="M102" s="145"/>
      <c r="N102" s="145"/>
      <c r="O102" s="138">
        <v>0.0</v>
      </c>
      <c r="P102" s="138">
        <v>1.3</v>
      </c>
      <c r="Q102" s="138">
        <v>2.0</v>
      </c>
      <c r="R102" s="145" t="b">
        <v>1</v>
      </c>
      <c r="S102" s="145"/>
      <c r="T102" s="145"/>
      <c r="U102" s="146"/>
      <c r="V102" s="146"/>
    </row>
    <row r="103" outlineLevel="1">
      <c r="A103" s="146"/>
      <c r="B103" s="402" t="s">
        <v>4740</v>
      </c>
      <c r="C103" s="137" t="s">
        <v>4741</v>
      </c>
      <c r="D103" s="146"/>
      <c r="E103" s="526" t="s">
        <v>706</v>
      </c>
      <c r="F103" s="138">
        <v>0.24</v>
      </c>
      <c r="G103" s="239" t="s">
        <v>170</v>
      </c>
      <c r="H103" s="212"/>
      <c r="J103" s="210"/>
      <c r="K103" s="138"/>
      <c r="L103" s="138"/>
      <c r="M103" s="145"/>
      <c r="N103" s="145"/>
      <c r="O103" s="138">
        <v>0.0</v>
      </c>
      <c r="P103" s="138">
        <v>1.3</v>
      </c>
      <c r="Q103" s="138">
        <v>2.0</v>
      </c>
      <c r="R103" s="145" t="b">
        <v>1</v>
      </c>
      <c r="S103" s="145"/>
      <c r="T103" s="145"/>
      <c r="U103" s="146"/>
      <c r="V103" s="146"/>
    </row>
    <row r="104" outlineLevel="1">
      <c r="A104" s="146"/>
      <c r="B104" s="402" t="s">
        <v>4742</v>
      </c>
      <c r="C104" s="2043" t="s">
        <v>562</v>
      </c>
      <c r="D104" s="146"/>
      <c r="E104" s="526" t="s">
        <v>204</v>
      </c>
      <c r="F104" s="138">
        <v>3.5999999999999996</v>
      </c>
      <c r="G104" s="239" t="s">
        <v>147</v>
      </c>
      <c r="H104" s="212"/>
      <c r="J104" s="210"/>
      <c r="K104" s="138"/>
      <c r="L104" s="138"/>
      <c r="M104" s="145"/>
      <c r="N104" s="145"/>
      <c r="O104" s="138">
        <v>0.0</v>
      </c>
      <c r="P104" s="138">
        <v>1.0</v>
      </c>
      <c r="Q104" s="138">
        <v>2.0</v>
      </c>
      <c r="R104" s="145" t="b">
        <v>1</v>
      </c>
      <c r="S104" s="145"/>
      <c r="T104" s="145"/>
      <c r="U104" s="146"/>
      <c r="V104" s="146"/>
    </row>
    <row r="105" outlineLevel="1">
      <c r="A105" s="156"/>
      <c r="B105" s="402" t="s">
        <v>4743</v>
      </c>
      <c r="C105" s="156"/>
      <c r="D105" s="156"/>
      <c r="E105" s="526" t="s">
        <v>204</v>
      </c>
      <c r="F105" s="138">
        <v>3.5999999999999996</v>
      </c>
      <c r="G105" s="239" t="s">
        <v>147</v>
      </c>
      <c r="H105" s="106"/>
      <c r="I105" s="168"/>
      <c r="J105" s="107"/>
      <c r="K105" s="138"/>
      <c r="L105" s="138"/>
      <c r="M105" s="145"/>
      <c r="N105" s="145"/>
      <c r="O105" s="138">
        <v>0.0</v>
      </c>
      <c r="P105" s="138">
        <v>1.0</v>
      </c>
      <c r="Q105" s="138">
        <v>2.0</v>
      </c>
      <c r="R105" s="145" t="b">
        <v>1</v>
      </c>
      <c r="S105" s="145"/>
      <c r="T105" s="145"/>
      <c r="U105" s="156"/>
      <c r="V105" s="156"/>
    </row>
    <row r="106" outlineLevel="1">
      <c r="A106" s="230" t="s">
        <v>4744</v>
      </c>
      <c r="B106" s="109"/>
      <c r="C106" s="231" t="s">
        <v>48</v>
      </c>
      <c r="D106" s="231" t="s">
        <v>49</v>
      </c>
      <c r="E106" s="231" t="s">
        <v>50</v>
      </c>
      <c r="F106" s="235" t="s">
        <v>51</v>
      </c>
      <c r="G106" s="232" t="s">
        <v>52</v>
      </c>
      <c r="H106" s="382" t="str">
        <f>'テンプレート'!H85</f>
        <v>備考</v>
      </c>
      <c r="I106" s="110"/>
      <c r="J106" s="109"/>
      <c r="K106" s="235" t="str">
        <f>'テンプレート'!K85</f>
        <v>ベクトル</v>
      </c>
      <c r="L106" s="235" t="str">
        <f>'テンプレート'!L85</f>
        <v>KBG (R.E.)</v>
      </c>
      <c r="M106" s="235" t="str">
        <f>'テンプレート'!M85</f>
        <v>BKB (R.A.)</v>
      </c>
      <c r="N106" s="235" t="str">
        <f>'テンプレート'!N85</f>
        <v>FKB (R.F.)</v>
      </c>
      <c r="O106" s="236" t="str">
        <f>'テンプレート'!O85</f>
        <v>盾削り値</v>
      </c>
      <c r="P106" s="235" t="str">
        <f>'テンプレート'!P85</f>
        <v>ﾋｯﾄｽﾄｯﾌﾟ</v>
      </c>
      <c r="Q106" s="236" t="str">
        <f>'テンプレート'!Q85</f>
        <v>ずらし</v>
      </c>
      <c r="R106" s="235" t="str">
        <f>'テンプレート'!R85</f>
        <v>相殺</v>
      </c>
      <c r="S106" s="236" t="str">
        <f>'テンプレート'!S85</f>
        <v>相殺ﾓｰｼｮﾝ</v>
      </c>
      <c r="T106" s="236" t="str">
        <f>'テンプレート'!T85</f>
        <v>飛び道具</v>
      </c>
      <c r="U106" s="236" t="str">
        <f>'テンプレート'!U85</f>
        <v>慣性反転</v>
      </c>
      <c r="V106" s="236" t="s">
        <v>183</v>
      </c>
    </row>
    <row r="107" outlineLevel="1">
      <c r="A107" s="237" t="s">
        <v>184</v>
      </c>
      <c r="B107" s="624" t="s">
        <v>1837</v>
      </c>
      <c r="C107" s="403" t="s">
        <v>4745</v>
      </c>
      <c r="D107" s="526" t="s">
        <v>1577</v>
      </c>
      <c r="E107" s="281"/>
      <c r="F107" s="476"/>
      <c r="G107" s="281"/>
      <c r="H107" s="903" t="s">
        <v>4746</v>
      </c>
      <c r="I107" s="110"/>
      <c r="J107" s="109"/>
      <c r="K107" s="476"/>
      <c r="L107" s="476"/>
      <c r="M107" s="476"/>
      <c r="N107" s="476"/>
      <c r="O107" s="476"/>
      <c r="P107" s="476"/>
      <c r="Q107" s="476"/>
      <c r="R107" s="476"/>
      <c r="S107" s="476"/>
      <c r="T107" s="476"/>
      <c r="U107" s="394" t="b">
        <v>0</v>
      </c>
      <c r="V107" s="394" t="b">
        <v>0</v>
      </c>
    </row>
    <row r="108" outlineLevel="1">
      <c r="A108" s="156"/>
      <c r="B108" s="624" t="s">
        <v>668</v>
      </c>
      <c r="C108" s="281"/>
      <c r="D108" s="137" t="s">
        <v>628</v>
      </c>
      <c r="E108" s="281"/>
      <c r="F108" s="476"/>
      <c r="G108" s="281"/>
      <c r="H108" s="140" t="s">
        <v>4747</v>
      </c>
      <c r="I108" s="110"/>
      <c r="J108" s="109"/>
      <c r="K108" s="476"/>
      <c r="L108" s="476"/>
      <c r="M108" s="476"/>
      <c r="N108" s="476"/>
      <c r="O108" s="476"/>
      <c r="P108" s="476"/>
      <c r="Q108" s="476"/>
      <c r="R108" s="476"/>
      <c r="S108" s="476"/>
      <c r="T108" s="476"/>
      <c r="U108" s="156"/>
      <c r="V108" s="156"/>
    </row>
    <row r="109">
      <c r="A109" s="228"/>
      <c r="B109" s="228"/>
      <c r="C109" s="228"/>
      <c r="D109" s="228"/>
      <c r="E109" s="228"/>
      <c r="F109" s="228"/>
      <c r="G109" s="228"/>
      <c r="H109" s="228"/>
      <c r="I109" s="228"/>
      <c r="J109" s="228"/>
      <c r="K109" s="228"/>
      <c r="L109" s="228"/>
      <c r="M109" s="228"/>
      <c r="N109" s="228"/>
      <c r="O109" s="228"/>
      <c r="P109" s="228"/>
      <c r="Q109" s="118"/>
      <c r="R109" s="118"/>
      <c r="S109" s="118"/>
      <c r="T109" s="118"/>
      <c r="U109" s="118"/>
      <c r="V109" s="118"/>
    </row>
    <row r="110">
      <c r="A110" s="264" t="s">
        <v>211</v>
      </c>
      <c r="B110" s="104"/>
      <c r="C110" s="227"/>
      <c r="D110" s="227"/>
      <c r="E110" s="228"/>
      <c r="F110" s="265"/>
      <c r="G110" s="265"/>
      <c r="H110" s="228"/>
      <c r="I110" s="228"/>
      <c r="J110" s="228"/>
      <c r="K110" s="228"/>
      <c r="L110" s="228"/>
      <c r="M110" s="228"/>
      <c r="N110" s="118"/>
      <c r="O110" s="118"/>
      <c r="P110" s="118"/>
      <c r="Q110" s="228"/>
      <c r="R110" s="228"/>
      <c r="S110" s="228"/>
      <c r="T110" s="228"/>
      <c r="U110" s="228"/>
      <c r="V110" s="228"/>
    </row>
    <row r="111" outlineLevel="1">
      <c r="A111" s="106"/>
      <c r="B111" s="107"/>
      <c r="C111" s="266" t="s">
        <v>48</v>
      </c>
      <c r="D111" s="266" t="s">
        <v>49</v>
      </c>
      <c r="E111" s="266" t="s">
        <v>50</v>
      </c>
      <c r="F111" s="267" t="s">
        <v>51</v>
      </c>
      <c r="G111" s="227"/>
      <c r="H111" s="227"/>
      <c r="I111" s="227"/>
      <c r="J111" s="228"/>
      <c r="K111" s="228"/>
      <c r="L111" s="228"/>
      <c r="M111" s="228"/>
      <c r="N111" s="228"/>
      <c r="O111" s="228"/>
      <c r="P111" s="228"/>
      <c r="Q111" s="228"/>
      <c r="R111" s="228"/>
      <c r="S111" s="228"/>
      <c r="T111" s="228"/>
      <c r="U111" s="228"/>
      <c r="V111" s="228"/>
    </row>
    <row r="112" outlineLevel="1">
      <c r="A112" s="268" t="s">
        <v>212</v>
      </c>
      <c r="B112" s="269" t="s">
        <v>212</v>
      </c>
      <c r="C112" s="585" t="s">
        <v>4748</v>
      </c>
      <c r="D112" s="2080" t="s">
        <v>86</v>
      </c>
      <c r="E112" s="239" t="s">
        <v>4749</v>
      </c>
      <c r="F112" s="138" t="s">
        <v>4750</v>
      </c>
      <c r="G112" s="227"/>
      <c r="H112" s="227"/>
      <c r="I112" s="227"/>
      <c r="J112" s="228"/>
      <c r="K112" s="228"/>
      <c r="L112" s="228"/>
      <c r="M112" s="228"/>
      <c r="N112" s="228"/>
      <c r="O112" s="228"/>
      <c r="P112" s="228"/>
      <c r="Q112" s="228"/>
      <c r="R112" s="228"/>
      <c r="S112" s="228"/>
      <c r="T112" s="228"/>
      <c r="U112" s="228"/>
      <c r="V112" s="228"/>
    </row>
    <row r="113" outlineLevel="1">
      <c r="A113" s="270" t="s">
        <v>215</v>
      </c>
      <c r="B113" s="269" t="s">
        <v>216</v>
      </c>
      <c r="C113" s="551" t="s">
        <v>319</v>
      </c>
      <c r="D113" s="1126" t="s">
        <v>79</v>
      </c>
      <c r="E113" s="271"/>
      <c r="F113" s="272"/>
      <c r="G113" s="272"/>
      <c r="H113" s="227"/>
      <c r="I113" s="227"/>
      <c r="J113" s="228"/>
      <c r="K113" s="228"/>
      <c r="L113" s="228"/>
      <c r="M113" s="228"/>
      <c r="N113" s="228"/>
      <c r="O113" s="228"/>
      <c r="P113" s="228"/>
      <c r="Q113" s="228"/>
      <c r="R113" s="228"/>
      <c r="S113" s="228"/>
      <c r="T113" s="228"/>
      <c r="U113" s="228"/>
      <c r="V113" s="228"/>
    </row>
    <row r="114" outlineLevel="1">
      <c r="A114" s="212"/>
      <c r="B114" s="269" t="s">
        <v>219</v>
      </c>
      <c r="C114" s="458" t="s">
        <v>223</v>
      </c>
      <c r="D114" s="1126" t="s">
        <v>146</v>
      </c>
      <c r="E114" s="271"/>
      <c r="F114" s="272"/>
      <c r="G114" s="272"/>
      <c r="H114" s="227"/>
      <c r="I114" s="227"/>
      <c r="J114" s="228"/>
      <c r="K114" s="228"/>
      <c r="L114" s="228"/>
      <c r="M114" s="228"/>
      <c r="N114" s="228"/>
      <c r="O114" s="228"/>
      <c r="P114" s="228"/>
      <c r="Q114" s="228"/>
      <c r="R114" s="228"/>
      <c r="S114" s="228"/>
      <c r="T114" s="228"/>
      <c r="U114" s="228"/>
      <c r="V114" s="228"/>
    </row>
    <row r="115" outlineLevel="1">
      <c r="A115" s="106"/>
      <c r="B115" s="269" t="s">
        <v>222</v>
      </c>
      <c r="C115" s="458" t="s">
        <v>299</v>
      </c>
      <c r="D115" s="536" t="s">
        <v>628</v>
      </c>
      <c r="E115" s="227"/>
      <c r="F115" s="272"/>
      <c r="G115" s="272"/>
      <c r="H115" s="227"/>
      <c r="I115" s="227"/>
      <c r="J115" s="228"/>
      <c r="K115" s="228"/>
      <c r="L115" s="228"/>
      <c r="M115" s="228"/>
      <c r="N115" s="228"/>
      <c r="O115" s="228"/>
      <c r="P115" s="228"/>
      <c r="Q115" s="228"/>
      <c r="R115" s="228"/>
      <c r="S115" s="228"/>
      <c r="T115" s="228"/>
      <c r="U115" s="228"/>
      <c r="V115" s="228"/>
    </row>
    <row r="116" outlineLevel="1">
      <c r="A116" s="273" t="s">
        <v>225</v>
      </c>
      <c r="B116" s="109"/>
      <c r="C116" s="266" t="s">
        <v>48</v>
      </c>
      <c r="D116" s="266" t="s">
        <v>49</v>
      </c>
      <c r="E116" s="266" t="s">
        <v>50</v>
      </c>
      <c r="F116" s="267" t="s">
        <v>51</v>
      </c>
      <c r="G116" s="274" t="s">
        <v>53</v>
      </c>
      <c r="H116" s="110"/>
      <c r="I116" s="110"/>
      <c r="J116" s="109"/>
      <c r="K116" s="275" t="str">
        <f>'テンプレート'!K97</f>
        <v>ベクトル</v>
      </c>
      <c r="L116" s="275" t="str">
        <f>'テンプレート'!L97</f>
        <v>KBG (R.E.)</v>
      </c>
      <c r="M116" s="275" t="str">
        <f>'テンプレート'!M97</f>
        <v>BKB (R.A.)</v>
      </c>
      <c r="N116" s="275" t="str">
        <f>'テンプレート'!N97</f>
        <v>FKB (R.F.)</v>
      </c>
      <c r="O116" s="276" t="str">
        <f>'テンプレート'!O97</f>
        <v>盾削り値</v>
      </c>
      <c r="P116" s="275" t="str">
        <f>'テンプレート'!P97</f>
        <v>ﾋｯﾄｽﾄｯﾌﾟ</v>
      </c>
      <c r="Q116" s="276" t="str">
        <f>'テンプレート'!Q97</f>
        <v>ずらし</v>
      </c>
      <c r="R116" s="276" t="str">
        <f>'テンプレート'!R97</f>
        <v/>
      </c>
      <c r="S116" s="277"/>
      <c r="T116" s="277"/>
      <c r="U116" s="277"/>
      <c r="V116" s="277"/>
    </row>
    <row r="117" outlineLevel="1">
      <c r="A117" s="278" t="s">
        <v>226</v>
      </c>
      <c r="B117" s="269" t="s">
        <v>227</v>
      </c>
      <c r="C117" s="512" t="s">
        <v>119</v>
      </c>
      <c r="D117" s="734" t="s">
        <v>221</v>
      </c>
      <c r="E117" s="397" t="s">
        <v>93</v>
      </c>
      <c r="F117" s="138">
        <v>8.4</v>
      </c>
      <c r="G117" s="416"/>
      <c r="H117" s="164"/>
      <c r="I117" s="164"/>
      <c r="J117" s="104"/>
      <c r="K117" s="282"/>
      <c r="L117" s="282"/>
      <c r="M117" s="363"/>
      <c r="N117" s="363"/>
      <c r="O117" s="145">
        <v>0.0</v>
      </c>
      <c r="P117" s="145">
        <v>2.0</v>
      </c>
      <c r="Q117" s="145">
        <v>1.0</v>
      </c>
      <c r="R117" s="145" t="b">
        <v>0</v>
      </c>
      <c r="S117" s="228"/>
      <c r="T117" s="228"/>
      <c r="U117" s="228"/>
      <c r="V117" s="228"/>
    </row>
    <row r="118" outlineLevel="1">
      <c r="A118" s="156"/>
      <c r="B118" s="269" t="s">
        <v>225</v>
      </c>
      <c r="C118" s="515">
        <v>15.0</v>
      </c>
      <c r="D118" s="107"/>
      <c r="E118" s="157" t="s">
        <v>204</v>
      </c>
      <c r="F118" s="138">
        <v>3.5999999999999996</v>
      </c>
      <c r="G118" s="106"/>
      <c r="H118" s="168"/>
      <c r="I118" s="168"/>
      <c r="J118" s="107"/>
      <c r="K118" s="282"/>
      <c r="L118" s="282"/>
      <c r="M118" s="363"/>
      <c r="N118" s="363"/>
      <c r="O118" s="261"/>
      <c r="P118" s="261"/>
      <c r="Q118" s="261"/>
      <c r="R118" s="261"/>
      <c r="S118" s="228"/>
      <c r="T118" s="228"/>
      <c r="U118" s="228"/>
      <c r="V118" s="228"/>
    </row>
    <row r="119" outlineLevel="1">
      <c r="A119" s="278" t="s">
        <v>229</v>
      </c>
      <c r="B119" s="269" t="s">
        <v>227</v>
      </c>
      <c r="C119" s="515" t="s">
        <v>119</v>
      </c>
      <c r="D119" s="2866">
        <v>49.0</v>
      </c>
      <c r="E119" s="157" t="s">
        <v>204</v>
      </c>
      <c r="F119" s="138">
        <v>3.5999999999999996</v>
      </c>
      <c r="G119" s="416"/>
      <c r="H119" s="164"/>
      <c r="I119" s="164"/>
      <c r="J119" s="104"/>
      <c r="K119" s="282"/>
      <c r="L119" s="282"/>
      <c r="M119" s="363"/>
      <c r="N119" s="363"/>
      <c r="O119" s="145">
        <v>0.0</v>
      </c>
      <c r="P119" s="145">
        <v>1.0</v>
      </c>
      <c r="Q119" s="145">
        <v>1.0</v>
      </c>
      <c r="R119" s="145" t="b">
        <v>0</v>
      </c>
      <c r="S119" s="228"/>
      <c r="T119" s="228"/>
      <c r="U119" s="228"/>
      <c r="V119" s="228"/>
    </row>
    <row r="120" outlineLevel="1">
      <c r="A120" s="156"/>
      <c r="B120" s="269" t="s">
        <v>225</v>
      </c>
      <c r="C120" s="515">
        <v>15.0</v>
      </c>
      <c r="D120" s="107"/>
      <c r="E120" s="157" t="s">
        <v>86</v>
      </c>
      <c r="F120" s="138">
        <v>7.199999999999999</v>
      </c>
      <c r="G120" s="106"/>
      <c r="H120" s="168"/>
      <c r="I120" s="168"/>
      <c r="J120" s="107"/>
      <c r="K120" s="282"/>
      <c r="L120" s="282"/>
      <c r="M120" s="363"/>
      <c r="N120" s="363"/>
      <c r="O120" s="261"/>
      <c r="P120" s="261"/>
      <c r="Q120" s="261"/>
      <c r="R120" s="261"/>
      <c r="S120" s="228"/>
      <c r="T120" s="228"/>
      <c r="U120" s="228"/>
      <c r="V120" s="228"/>
    </row>
    <row r="121" outlineLevel="1">
      <c r="A121" s="278" t="s">
        <v>233</v>
      </c>
      <c r="B121" s="269" t="s">
        <v>227</v>
      </c>
      <c r="C121" s="514" t="s">
        <v>1886</v>
      </c>
      <c r="D121" s="2866">
        <v>35.0</v>
      </c>
      <c r="E121" s="157" t="s">
        <v>204</v>
      </c>
      <c r="F121" s="138">
        <v>3.5999999999999996</v>
      </c>
      <c r="G121" s="416"/>
      <c r="H121" s="164"/>
      <c r="I121" s="164"/>
      <c r="J121" s="104"/>
      <c r="K121" s="282"/>
      <c r="L121" s="282"/>
      <c r="M121" s="363"/>
      <c r="N121" s="363"/>
      <c r="O121" s="145">
        <v>0.0</v>
      </c>
      <c r="P121" s="145">
        <v>1.0</v>
      </c>
      <c r="Q121" s="145">
        <v>1.0</v>
      </c>
      <c r="R121" s="145" t="b">
        <v>0</v>
      </c>
      <c r="S121" s="228"/>
      <c r="T121" s="228"/>
      <c r="U121" s="228"/>
      <c r="V121" s="228"/>
    </row>
    <row r="122" outlineLevel="1">
      <c r="A122" s="156"/>
      <c r="B122" s="269" t="s">
        <v>225</v>
      </c>
      <c r="C122" s="515">
        <v>10.0</v>
      </c>
      <c r="D122" s="107"/>
      <c r="E122" s="157" t="s">
        <v>1438</v>
      </c>
      <c r="F122" s="138">
        <v>5.3999999999999995</v>
      </c>
      <c r="G122" s="106"/>
      <c r="H122" s="168"/>
      <c r="I122" s="168"/>
      <c r="J122" s="107"/>
      <c r="K122" s="282"/>
      <c r="L122" s="282"/>
      <c r="M122" s="363"/>
      <c r="N122" s="363"/>
      <c r="O122" s="261"/>
      <c r="P122" s="261"/>
      <c r="Q122" s="261"/>
      <c r="R122" s="261"/>
      <c r="S122" s="117"/>
      <c r="T122" s="117"/>
      <c r="U122" s="117"/>
      <c r="V122" s="117"/>
    </row>
    <row r="123" outlineLevel="1">
      <c r="A123" s="278" t="s">
        <v>234</v>
      </c>
      <c r="B123" s="269" t="s">
        <v>227</v>
      </c>
      <c r="C123" s="158" t="s">
        <v>718</v>
      </c>
      <c r="D123" s="2866">
        <v>46.0</v>
      </c>
      <c r="E123" s="157" t="s">
        <v>204</v>
      </c>
      <c r="F123" s="138">
        <v>3.5999999999999996</v>
      </c>
      <c r="G123" s="416"/>
      <c r="H123" s="164"/>
      <c r="I123" s="164"/>
      <c r="J123" s="104"/>
      <c r="K123" s="282"/>
      <c r="L123" s="282"/>
      <c r="M123" s="363"/>
      <c r="N123" s="363"/>
      <c r="O123" s="145">
        <v>0.0</v>
      </c>
      <c r="P123" s="145">
        <v>1.0</v>
      </c>
      <c r="Q123" s="145">
        <v>1.0</v>
      </c>
      <c r="R123" s="145" t="b">
        <v>0</v>
      </c>
      <c r="S123" s="117"/>
      <c r="T123" s="117"/>
      <c r="U123" s="117"/>
      <c r="V123" s="117"/>
    </row>
    <row r="124" outlineLevel="1">
      <c r="A124" s="156"/>
      <c r="B124" s="269" t="s">
        <v>225</v>
      </c>
      <c r="C124" s="515">
        <v>21.0</v>
      </c>
      <c r="D124" s="107"/>
      <c r="E124" s="157" t="s">
        <v>150</v>
      </c>
      <c r="F124" s="138">
        <v>6.0</v>
      </c>
      <c r="G124" s="106"/>
      <c r="H124" s="168"/>
      <c r="I124" s="168"/>
      <c r="J124" s="107"/>
      <c r="K124" s="282"/>
      <c r="L124" s="282"/>
      <c r="M124" s="363"/>
      <c r="N124" s="363"/>
      <c r="O124" s="261"/>
      <c r="P124" s="261"/>
      <c r="Q124" s="261"/>
      <c r="R124" s="261"/>
      <c r="S124" s="117"/>
      <c r="T124" s="117"/>
      <c r="U124" s="117"/>
      <c r="V124" s="117"/>
    </row>
    <row r="125">
      <c r="A125" s="223"/>
      <c r="B125" s="224"/>
      <c r="C125" s="225"/>
      <c r="D125" s="225"/>
      <c r="E125" s="227"/>
      <c r="F125" s="177"/>
      <c r="G125" s="177"/>
      <c r="H125" s="227"/>
      <c r="I125" s="227"/>
      <c r="J125" s="228"/>
      <c r="K125" s="228"/>
      <c r="L125" s="111"/>
      <c r="M125" s="111"/>
      <c r="N125" s="111"/>
      <c r="O125" s="117"/>
      <c r="P125" s="117"/>
      <c r="Q125" s="111"/>
      <c r="R125" s="111"/>
      <c r="S125" s="111"/>
      <c r="T125" s="111"/>
      <c r="U125" s="111"/>
      <c r="V125" s="111"/>
    </row>
    <row r="126">
      <c r="A126" s="284" t="s">
        <v>241</v>
      </c>
      <c r="B126" s="104"/>
      <c r="C126" s="265"/>
      <c r="D126" s="111"/>
      <c r="E126" s="111"/>
      <c r="F126" s="111"/>
      <c r="G126" s="111"/>
      <c r="H126" s="111"/>
      <c r="I126" s="111"/>
      <c r="J126" s="118"/>
      <c r="K126" s="111"/>
      <c r="L126" s="111"/>
      <c r="M126" s="111"/>
      <c r="N126" s="111"/>
      <c r="O126" s="111"/>
      <c r="P126" s="111"/>
      <c r="Q126" s="118"/>
      <c r="R126" s="111"/>
      <c r="S126" s="111"/>
      <c r="T126" s="111"/>
      <c r="U126" s="111"/>
      <c r="V126" s="111"/>
    </row>
    <row r="127" outlineLevel="1">
      <c r="A127" s="106"/>
      <c r="B127" s="107"/>
      <c r="C127" s="285" t="s">
        <v>235</v>
      </c>
      <c r="D127" s="285" t="s">
        <v>236</v>
      </c>
      <c r="E127" s="285" t="s">
        <v>49</v>
      </c>
      <c r="F127" s="285" t="s">
        <v>237</v>
      </c>
      <c r="G127" s="2872" t="s">
        <v>4751</v>
      </c>
      <c r="H127" s="227"/>
      <c r="I127" s="227"/>
      <c r="J127" s="228"/>
      <c r="K127" s="228"/>
      <c r="L127" s="111"/>
      <c r="M127" s="111"/>
      <c r="N127" s="111"/>
      <c r="O127" s="111"/>
      <c r="P127" s="111"/>
      <c r="Q127" s="111"/>
      <c r="R127" s="111"/>
      <c r="S127" s="111"/>
      <c r="T127" s="111"/>
      <c r="U127" s="111"/>
      <c r="V127" s="111"/>
    </row>
    <row r="128" outlineLevel="1">
      <c r="A128" s="287" t="s">
        <v>395</v>
      </c>
      <c r="B128" s="288" t="s">
        <v>216</v>
      </c>
      <c r="C128" s="113" t="str">
        <f t="array" ref="C128">INDEX('回避'!$C$3:$U$84, MATCH($A$1,'回避'!$A$3:$A$91,0), MATCH(C127,'回避'!$C$2:$F$2,0))</f>
        <v>6-17</v>
      </c>
      <c r="D128" s="113" t="str">
        <f t="array" ref="D128">INDEX('回避'!$C$3:$U$84, MATCH($A$1,'回避'!$A$3:$A$91,0), MATCH(D127,'回避'!$C$2:$F$2,0))</f>
        <v>9-18</v>
      </c>
      <c r="E128" s="113" t="str">
        <f t="array" ref="E128">INDEX('回避'!$C$3:$U$84, MATCH($A$1,'回避'!$A$3:$A$91,0), MATCH(E127,'回避'!$C$2:$F$2,0))</f>
        <v>25 (20)</v>
      </c>
      <c r="F128" s="113" t="str">
        <f t="array" ref="F128">INDEX('回避'!$C$3:$U$84, MATCH($A$1,'回避'!$A$3:$A$91,0), MATCH(F127,'回避'!$C$2:$F$2,0))</f>
        <v>33 (27)</v>
      </c>
      <c r="G128" s="397" t="s">
        <v>2297</v>
      </c>
      <c r="H128" s="227"/>
      <c r="I128" s="227"/>
      <c r="J128" s="228"/>
      <c r="K128" s="228"/>
      <c r="L128" s="228"/>
      <c r="M128" s="111"/>
      <c r="N128" s="111"/>
      <c r="O128" s="111"/>
      <c r="P128" s="111"/>
      <c r="Q128" s="111"/>
      <c r="R128" s="111"/>
      <c r="S128" s="111"/>
      <c r="T128" s="111"/>
      <c r="U128" s="111"/>
      <c r="V128" s="111"/>
    </row>
    <row r="129" outlineLevel="1">
      <c r="A129" s="212"/>
      <c r="B129" s="288" t="s">
        <v>245</v>
      </c>
      <c r="C129" s="113" t="str">
        <f t="array" ref="C129">INDEX('回避'!$G$3:$U$84, MATCH($A$1,'回避'!$A$3:$A$91,0), MATCH(C127,'回避'!$G$2:$J$2,0))</f>
        <v>6-15</v>
      </c>
      <c r="D129" s="113" t="str">
        <f t="array" ref="D129">INDEX('回避'!$G$3:$U$84, MATCH($A$1,'回避'!$A$3:$A$91,0), MATCH(D127,'回避'!$G$2:$J$2,0))</f>
        <v>10-15</v>
      </c>
      <c r="E129" s="113" t="str">
        <f t="array" ref="E129">INDEX('回避'!$G$3:$U$84, MATCH($A$1,'回避'!$A$3:$A$91,0), MATCH(E127,'回避'!$G$2:$J$2,0))</f>
        <v>31</v>
      </c>
      <c r="F129" s="113">
        <f t="array" ref="F129">INDEX('回避'!$G$3:$U$84, MATCH($A$1,'回避'!$A$3:$A$91,0), MATCH(F127,'回避'!$G$2:$J$2,0))</f>
        <v>41</v>
      </c>
      <c r="G129" s="157" t="s">
        <v>2297</v>
      </c>
      <c r="H129" s="227"/>
      <c r="I129" s="227"/>
      <c r="J129" s="228"/>
      <c r="K129" s="228"/>
      <c r="L129" s="228"/>
      <c r="M129" s="228"/>
      <c r="N129" s="228"/>
      <c r="O129" s="111"/>
      <c r="P129" s="111"/>
      <c r="Q129" s="111"/>
      <c r="R129" s="111"/>
      <c r="S129" s="111"/>
      <c r="T129" s="111"/>
      <c r="U129" s="111"/>
      <c r="V129" s="111"/>
    </row>
    <row r="130" outlineLevel="1">
      <c r="A130" s="106"/>
      <c r="B130" s="288" t="s">
        <v>246</v>
      </c>
      <c r="C130" s="113" t="str">
        <f t="array" ref="C130">INDEX('回避'!$K$3:$U$84, MATCH($A$1,'回避'!$A$3:$A$91,0), MATCH(C127,'回避'!$K$2:$N$2,0))</f>
        <v>7-16</v>
      </c>
      <c r="D130" s="113" t="str">
        <f t="array" ref="D130">INDEX('回避'!$K$3:$U$84, MATCH($A$1,'回避'!$A$3:$A$91,0), MATCH(D127,'回避'!$K$2:$N$2,0))</f>
        <v>11-15</v>
      </c>
      <c r="E130" s="113" t="str">
        <f t="array" ref="E130">INDEX('回避'!$K$3:$U$84, MATCH($A$1,'回避'!$A$3:$A$91,0), MATCH(E127,'回避'!$K$2:$N$2,0))</f>
        <v>36</v>
      </c>
      <c r="F130" s="113" t="str">
        <f t="array" ref="F130">INDEX('回避'!$K$3:$U$84, MATCH($A$1,'回避'!$A$3:$A$91,0), MATCH(F127,'回避'!$K$2:$N$2,0))</f>
        <v>54</v>
      </c>
      <c r="G130" s="157" t="s">
        <v>1444</v>
      </c>
      <c r="H130" s="290"/>
      <c r="I130" s="290"/>
      <c r="J130" s="117"/>
      <c r="K130" s="117"/>
      <c r="L130" s="117"/>
      <c r="M130" s="117"/>
      <c r="N130" s="117"/>
      <c r="O130" s="111"/>
      <c r="P130" s="111"/>
      <c r="Q130" s="111"/>
      <c r="R130" s="111"/>
      <c r="S130" s="111"/>
      <c r="T130" s="111"/>
      <c r="U130" s="111"/>
      <c r="V130" s="111"/>
    </row>
    <row r="131" outlineLevel="1">
      <c r="A131" s="287" t="s">
        <v>396</v>
      </c>
      <c r="B131" s="288" t="s">
        <v>397</v>
      </c>
      <c r="C131" s="113" t="str">
        <f t="array" ref="C131">INDEX('回避'!$O$3:$U$84, MATCH($A$1,'回避'!$A$3:$A$91,0), MATCH(C127,'回避'!$O$2:$R$2,0))</f>
        <v>5-31</v>
      </c>
      <c r="D131" s="113" t="str">
        <f t="array" ref="D131">INDEX('回避'!$O$3:$U$84, MATCH($A$1,'回避'!$A$3:$A$91,0), MATCH(D127,'回避'!$O$2:$R$2,0))</f>
        <v>8-29</v>
      </c>
      <c r="E131" s="113" t="str">
        <f t="array" ref="E131">INDEX('回避'!$O$3:$U$84, MATCH($A$1,'回避'!$A$3:$A$91,0), MATCH(E127,'回避'!$O$2:$R$2,0))</f>
        <v>45</v>
      </c>
      <c r="F131" s="783"/>
      <c r="G131" s="157" t="s">
        <v>2153</v>
      </c>
      <c r="H131" s="118"/>
      <c r="I131" s="118"/>
      <c r="J131" s="111"/>
      <c r="K131" s="111"/>
      <c r="L131" s="111"/>
      <c r="M131" s="111"/>
      <c r="N131" s="111"/>
      <c r="O131" s="228"/>
      <c r="P131" s="228"/>
      <c r="Q131" s="228"/>
      <c r="R131" s="228"/>
      <c r="S131" s="228"/>
      <c r="T131" s="228"/>
      <c r="U131" s="228"/>
      <c r="V131" s="228"/>
    </row>
    <row r="132" outlineLevel="1">
      <c r="A132" s="106"/>
      <c r="B132" s="288" t="s">
        <v>398</v>
      </c>
      <c r="C132" s="113" t="str">
        <f t="array" ref="C132">INDEX('回避'!$S$3:$U$84, MATCH($A$1,'回避'!$A$3:$A$91,0), MATCH(C127,'回避'!$S$2:$U$2,0))</f>
        <v>5-21</v>
      </c>
      <c r="D132" s="113" t="str">
        <f t="array" ref="D132">INDEX('回避'!$S$3:$U$84, MATCH($A$1,'回避'!$A$3:$A$91,0), MATCH(D127,'回避'!$S$2:$U$2,0))</f>
        <v>8-21</v>
      </c>
      <c r="E132" s="113" t="str">
        <f t="array" ref="E132">INDEX('回避'!$S$3:$U$84, MATCH($A$1,'回避'!$A$3:$A$91,0), MATCH(E127,'回避'!$S$2:$U$2,0))</f>
        <v>真横：74
真上：93
真下：63</v>
      </c>
      <c r="F132" s="783"/>
      <c r="G132" s="526" t="s">
        <v>2153</v>
      </c>
      <c r="H132" s="118"/>
      <c r="I132" s="118"/>
      <c r="J132" s="117"/>
      <c r="K132" s="117"/>
      <c r="L132" s="117"/>
      <c r="M132" s="117"/>
      <c r="N132" s="111"/>
      <c r="O132" s="118"/>
      <c r="P132" s="118"/>
      <c r="Q132" s="118"/>
      <c r="R132" s="118"/>
      <c r="S132" s="118"/>
      <c r="T132" s="118"/>
      <c r="U132" s="118"/>
      <c r="V132" s="118"/>
    </row>
    <row r="133">
      <c r="A133" s="291"/>
      <c r="B133" s="292"/>
      <c r="C133" s="286"/>
      <c r="D133" s="286"/>
      <c r="E133" s="293"/>
      <c r="F133" s="286"/>
      <c r="G133" s="286"/>
      <c r="H133" s="286"/>
      <c r="I133" s="286"/>
      <c r="J133" s="111"/>
      <c r="K133" s="227"/>
      <c r="L133" s="227"/>
      <c r="M133" s="227"/>
      <c r="N133" s="227"/>
      <c r="O133" s="118"/>
      <c r="P133" s="118"/>
      <c r="Q133" s="118"/>
      <c r="R133" s="118"/>
      <c r="S133" s="118"/>
      <c r="T133" s="118"/>
      <c r="U133" s="118"/>
      <c r="V133" s="118"/>
    </row>
    <row r="134">
      <c r="A134" s="2534" t="s">
        <v>238</v>
      </c>
      <c r="B134" s="104"/>
      <c r="C134" s="2535"/>
      <c r="D134" s="2536"/>
      <c r="E134" s="2535"/>
      <c r="F134" s="2537"/>
      <c r="G134" s="2537"/>
      <c r="H134" s="117"/>
      <c r="I134" s="117"/>
      <c r="J134" s="118"/>
      <c r="K134" s="118"/>
      <c r="L134" s="118"/>
      <c r="M134" s="118"/>
      <c r="N134" s="118"/>
      <c r="O134" s="118"/>
      <c r="P134" s="118"/>
      <c r="Q134" s="118"/>
      <c r="R134" s="118"/>
      <c r="S134" s="118"/>
      <c r="T134" s="118"/>
      <c r="U134" s="118"/>
      <c r="V134" s="118"/>
    </row>
    <row r="135" outlineLevel="1">
      <c r="A135" s="106"/>
      <c r="B135" s="107"/>
      <c r="C135" s="2538" t="s">
        <v>235</v>
      </c>
      <c r="D135" s="2538" t="s">
        <v>49</v>
      </c>
      <c r="E135" s="2538" t="s">
        <v>48</v>
      </c>
      <c r="F135" s="2538" t="s">
        <v>50</v>
      </c>
      <c r="G135" s="2539" t="s">
        <v>51</v>
      </c>
      <c r="H135" s="228"/>
      <c r="I135" s="228"/>
      <c r="J135" s="117"/>
      <c r="K135" s="297" t="str">
        <f>'テンプレート'!K116</f>
        <v>アイテム取得</v>
      </c>
      <c r="L135" s="109"/>
      <c r="M135" s="298" t="str">
        <f>'テンプレート'!M116</f>
        <v>取得フレーム</v>
      </c>
      <c r="N135" s="298" t="str">
        <f>'テンプレート'!N116</f>
        <v>全体フレーム</v>
      </c>
      <c r="O135" s="118"/>
      <c r="P135" s="118"/>
      <c r="Q135" s="118"/>
      <c r="R135" s="118"/>
      <c r="S135" s="118"/>
      <c r="T135" s="118"/>
      <c r="U135" s="118"/>
      <c r="V135" s="118"/>
    </row>
    <row r="136" outlineLevel="1">
      <c r="A136" s="299" t="s">
        <v>239</v>
      </c>
      <c r="B136" s="300" t="s">
        <v>240</v>
      </c>
      <c r="C136" s="1162"/>
      <c r="D136" s="518">
        <f t="array" ref="D136">INDEX('崖行動・受け身'!$C$3:$C133, MATCH($A$1,'崖行動・受け身'!$A$3:$A$115,0), MATCH(D135,'崖行動・受け身'!$C$2,0))</f>
        <v>19</v>
      </c>
      <c r="E136" s="1162"/>
      <c r="F136" s="1162"/>
      <c r="G136" s="1162"/>
      <c r="H136" s="228"/>
      <c r="I136" s="228"/>
      <c r="J136" s="111"/>
      <c r="K136" s="302" t="str">
        <f>'テンプレート'!K117</f>
        <v>小アイテム</v>
      </c>
      <c r="L136" s="303" t="str">
        <f>'テンプレート'!L117</f>
        <v>その場</v>
      </c>
      <c r="M136" s="113" t="s">
        <v>76</v>
      </c>
      <c r="N136" s="113">
        <v>7.0</v>
      </c>
      <c r="O136" s="118"/>
      <c r="P136" s="118"/>
      <c r="Q136" s="118"/>
      <c r="R136" s="118"/>
      <c r="S136" s="118"/>
      <c r="T136" s="118"/>
      <c r="U136" s="118"/>
      <c r="V136" s="118"/>
    </row>
    <row r="137" outlineLevel="1">
      <c r="A137" s="146"/>
      <c r="B137" s="300" t="s">
        <v>216</v>
      </c>
      <c r="C137" s="518" t="str">
        <f t="array" ref="C137">INDEX('崖行動・受け身'!$D$3:$E133, MATCH($A$1,'崖行動・受け身'!$A$3:$A$115,0), MATCH(C135,'崖行動・受け身'!$D$2:$E$2,0))</f>
        <v>1-33</v>
      </c>
      <c r="D137" s="518">
        <f t="array" ref="D137">INDEX('崖行動・受け身'!$D$3:$E133, MATCH($A$1,'崖行動・受け身'!$A$3:$A$115,0), MATCH(D135,'崖行動・受け身'!$D$2:$E$2,0))</f>
        <v>34</v>
      </c>
      <c r="E137" s="1162"/>
      <c r="F137" s="1162"/>
      <c r="G137" s="1162"/>
      <c r="H137" s="228"/>
      <c r="I137" s="228"/>
      <c r="J137" s="117"/>
      <c r="K137" s="156"/>
      <c r="L137" s="303" t="str">
        <f>'テンプレート'!L118</f>
        <v>歩き</v>
      </c>
      <c r="M137" s="113" t="s">
        <v>76</v>
      </c>
      <c r="N137" s="113">
        <v>19.0</v>
      </c>
      <c r="O137" s="118"/>
      <c r="P137" s="118"/>
      <c r="Q137" s="118"/>
      <c r="R137" s="118"/>
      <c r="S137" s="118"/>
      <c r="T137" s="118"/>
      <c r="U137" s="118"/>
      <c r="V137" s="118"/>
    </row>
    <row r="138" outlineLevel="1">
      <c r="A138" s="146"/>
      <c r="B138" s="300" t="s">
        <v>241</v>
      </c>
      <c r="C138" s="518" t="str">
        <f t="array" ref="C138">INDEX('崖行動・受け身'!$F$3:$G$115, MATCH($A$1,'崖行動・受け身'!$A$3:$A$115,0), MATCH(C135,'崖行動・受け身'!$F$2:$G$2,0))</f>
        <v>1-21</v>
      </c>
      <c r="D138" s="518">
        <f t="array" ref="D138">INDEX('崖行動・受け身'!$F$3:$G$115, MATCH($A$1,'崖行動・受け身'!$A$3:$A$115,0), MATCH(D135,'崖行動・受け身'!$F$2:$G$2,0))</f>
        <v>45</v>
      </c>
      <c r="E138" s="1162"/>
      <c r="F138" s="1162"/>
      <c r="G138" s="1162"/>
      <c r="H138" s="228"/>
      <c r="I138" s="228"/>
      <c r="J138" s="111"/>
      <c r="K138" s="304" t="str">
        <f>'テンプレート'!K119</f>
        <v>アイテム投擲</v>
      </c>
      <c r="L138" s="109"/>
      <c r="M138" s="298" t="str">
        <f>'テンプレート'!M119</f>
        <v>投擲フレーム</v>
      </c>
      <c r="N138" s="298" t="str">
        <f>'テンプレート'!N119</f>
        <v>全体フレーム</v>
      </c>
      <c r="O138" s="118"/>
      <c r="P138" s="118"/>
      <c r="Q138" s="118"/>
      <c r="R138" s="118"/>
      <c r="S138" s="118"/>
      <c r="T138" s="118"/>
      <c r="U138" s="118"/>
      <c r="V138" s="118"/>
    </row>
    <row r="139" outlineLevel="1">
      <c r="A139" s="146"/>
      <c r="B139" s="300" t="s">
        <v>242</v>
      </c>
      <c r="C139" s="518" t="str">
        <f t="array" ref="C139">INDEX('崖行動・受け身'!$H$3:$I$115, MATCH($A$1,'崖行動・受け身'!$A$3:$A$115,0), MATCH(C135,'崖行動・受け身'!$H$2:$I$2,0))</f>
        <v>1-12</v>
      </c>
      <c r="D139" s="518">
        <f t="array" ref="D139">INDEX('崖行動・受け身'!$H$3:$I$115, MATCH($A$1,'崖行動・受け身'!$A$3:$A$115,0), MATCH(D135,'崖行動・受け身'!$H$2:$I$2,0))</f>
        <v>14</v>
      </c>
      <c r="E139" s="1162"/>
      <c r="F139" s="1162"/>
      <c r="G139" s="1162"/>
      <c r="H139" s="228"/>
      <c r="I139" s="228"/>
      <c r="J139" s="117"/>
      <c r="K139" s="305" t="str">
        <f>'テンプレート'!K120</f>
        <v>地上投擲</v>
      </c>
      <c r="L139" s="303" t="str">
        <f>'テンプレート'!L120</f>
        <v>前投げ</v>
      </c>
      <c r="M139" s="113" t="s">
        <v>128</v>
      </c>
      <c r="N139" s="113">
        <v>24.0</v>
      </c>
      <c r="O139" s="111"/>
      <c r="P139" s="111"/>
      <c r="Q139" s="111"/>
      <c r="R139" s="111"/>
      <c r="S139" s="111"/>
      <c r="T139" s="111"/>
      <c r="U139" s="111"/>
      <c r="V139" s="111"/>
    </row>
    <row r="140" outlineLevel="1">
      <c r="A140" s="156"/>
      <c r="B140" s="300" t="s">
        <v>243</v>
      </c>
      <c r="C140" s="518" t="str">
        <f t="array" ref="C140">INDEX('崖行動・受け身'!$J$3:$M$115, MATCH($A$1,'崖行動・受け身'!$A$3:$A$115,0), MATCH(C135,'崖行動・受け身'!$J$2:$M$2,0))</f>
        <v>1-26</v>
      </c>
      <c r="D140" s="518">
        <f t="array" ref="D140">INDEX('崖行動・受け身'!$J$3:$M$115, MATCH($A$1,'崖行動・受け身'!$A$3:$A$115,0), MATCH(D135,'崖行動・受け身'!$J$2:$M$2,0))</f>
        <v>55</v>
      </c>
      <c r="E140" s="518" t="str">
        <f t="array" ref="E140">INDEX('崖行動・受け身'!$J$3:$M$115, MATCH($A$1,'崖行動・受け身'!$A$3:$A$115,0), MATCH(E135,'崖行動・受け身'!$J$2:$M$2,0))</f>
        <v>24-26</v>
      </c>
      <c r="F140" s="518">
        <f t="array" ref="F140">INDEX('崖行動・受け身'!$J$3:$M$115, MATCH($A$1,'崖行動・受け身'!$A$3:$A$115,0), MATCH(F135,'崖行動・受け身'!$J$2:$M$2,0))</f>
        <v>9</v>
      </c>
      <c r="G140" s="518">
        <f>F140*1.2</f>
        <v>10.8</v>
      </c>
      <c r="H140" s="228"/>
      <c r="I140" s="228"/>
      <c r="J140" s="111"/>
      <c r="K140" s="146"/>
      <c r="L140" s="303" t="str">
        <f>'テンプレート'!L121</f>
        <v>後投げ</v>
      </c>
      <c r="M140" s="113" t="s">
        <v>128</v>
      </c>
      <c r="N140" s="113">
        <v>24.0</v>
      </c>
      <c r="O140" s="111"/>
      <c r="P140" s="111"/>
      <c r="Q140" s="111"/>
      <c r="R140" s="111"/>
      <c r="S140" s="111"/>
      <c r="T140" s="111"/>
      <c r="U140" s="111"/>
      <c r="V140" s="111"/>
    </row>
    <row r="141" outlineLevel="1">
      <c r="A141" s="299" t="s">
        <v>244</v>
      </c>
      <c r="B141" s="300" t="s">
        <v>216</v>
      </c>
      <c r="C141" s="518" t="str">
        <f t="array" ref="C141">INDEX('崖行動・受け身'!$N$3:$O$115, MATCH($A$1,'崖行動・受け身'!$A$3:$A$115,0), MATCH(C135,'崖行動・受け身'!$N$2:$O$2,0))</f>
        <v>1-20</v>
      </c>
      <c r="D141" s="518">
        <f t="array" ref="D141">INDEX('崖行動・受け身'!$N$3:$O$115, MATCH($A$1,'崖行動・受け身'!$A$3:$A$115,0), MATCH(D135,'崖行動・受け身'!$N$2:$O$2,0))</f>
        <v>26</v>
      </c>
      <c r="E141" s="1162"/>
      <c r="F141" s="1162"/>
      <c r="G141" s="1162"/>
      <c r="H141" s="228"/>
      <c r="I141" s="228"/>
      <c r="J141" s="117"/>
      <c r="K141" s="146"/>
      <c r="L141" s="303" t="str">
        <f>'テンプレート'!L122</f>
        <v>上投げ</v>
      </c>
      <c r="M141" s="113" t="s">
        <v>129</v>
      </c>
      <c r="N141" s="113">
        <v>23.0</v>
      </c>
      <c r="O141" s="228"/>
      <c r="P141" s="228"/>
      <c r="Q141" s="228"/>
      <c r="R141" s="228"/>
      <c r="S141" s="228"/>
      <c r="T141" s="228"/>
      <c r="U141" s="228"/>
      <c r="V141" s="228"/>
    </row>
    <row r="142" outlineLevel="1">
      <c r="A142" s="146"/>
      <c r="B142" s="300" t="s">
        <v>245</v>
      </c>
      <c r="C142" s="518" t="str">
        <f t="array" ref="C142">INDEX('崖行動・受け身'!$P$3:$Q$115, MATCH($A$1,'崖行動・受け身'!$A$3:$A$115,0), MATCH(C135,'崖行動・受け身'!$P$2:$Q$2,0))</f>
        <v>1-20</v>
      </c>
      <c r="D142" s="518">
        <f t="array" ref="D142">INDEX('崖行動・受け身'!$P$3:$Q$115, MATCH($A$1,'崖行動・受け身'!$A$3:$A$115,0), MATCH(D135,'崖行動・受け身'!$P$2:$Q$2,0))</f>
        <v>40</v>
      </c>
      <c r="E142" s="1162"/>
      <c r="F142" s="1162"/>
      <c r="G142" s="1162"/>
      <c r="H142" s="228"/>
      <c r="I142" s="228"/>
      <c r="J142" s="111"/>
      <c r="K142" s="146"/>
      <c r="L142" s="303" t="str">
        <f>'テンプレート'!L123</f>
        <v>下投げ</v>
      </c>
      <c r="M142" s="113" t="s">
        <v>93</v>
      </c>
      <c r="N142" s="113">
        <v>19.0</v>
      </c>
      <c r="O142" s="118"/>
      <c r="P142" s="118"/>
      <c r="Q142" s="118"/>
      <c r="R142" s="118"/>
      <c r="S142" s="118"/>
      <c r="T142" s="118"/>
      <c r="U142" s="118"/>
      <c r="V142" s="118"/>
    </row>
    <row r="143" outlineLevel="1">
      <c r="A143" s="156"/>
      <c r="B143" s="300" t="s">
        <v>246</v>
      </c>
      <c r="C143" s="518" t="str">
        <f t="array" ref="C143">INDEX('崖行動・受け身'!$R$3:$S$115, MATCH($A$1,'崖行動・受け身'!$A$3:$A$115,0), MATCH(C135,'崖行動・受け身'!$R$2:$S$2,0))</f>
        <v>1-20</v>
      </c>
      <c r="D143" s="518">
        <f t="array" ref="D143">INDEX('崖行動・受け身'!$R$3:$S$115, MATCH($A$1,'崖行動・受け身'!$A$3:$A$115,0), MATCH(D135,'崖行動・受け身'!$R$2:$S$2,0))</f>
        <v>40</v>
      </c>
      <c r="E143" s="1162"/>
      <c r="F143" s="1162"/>
      <c r="G143" s="1162"/>
      <c r="H143" s="228"/>
      <c r="I143" s="228"/>
      <c r="J143" s="117"/>
      <c r="K143" s="146"/>
      <c r="L143" s="306" t="str">
        <f>'テンプレート'!L124</f>
        <v>ダッシュ</v>
      </c>
      <c r="M143" s="113" t="s">
        <v>150</v>
      </c>
      <c r="N143" s="113">
        <v>37.0</v>
      </c>
      <c r="O143" s="118"/>
      <c r="P143" s="118"/>
      <c r="Q143" s="118"/>
      <c r="R143" s="118"/>
      <c r="S143" s="118"/>
      <c r="T143" s="118"/>
      <c r="U143" s="118"/>
      <c r="V143" s="118"/>
    </row>
    <row r="144" outlineLevel="1">
      <c r="A144" s="299" t="s">
        <v>247</v>
      </c>
      <c r="B144" s="300" t="s">
        <v>248</v>
      </c>
      <c r="C144" s="1162"/>
      <c r="D144" s="518" t="str">
        <f t="array" ref="D144">INDEX('起きあがり'!$C$3:$C133, MATCH($A$1,'起きあがり'!$A$3:$A$115,0), MATCH(D135,'起きあがり'!$C$2:$AD$2,0))</f>
        <v>25</v>
      </c>
      <c r="E144" s="1162"/>
      <c r="F144" s="1162"/>
      <c r="G144" s="1162"/>
      <c r="H144" s="228"/>
      <c r="I144" s="228"/>
      <c r="J144" s="111"/>
      <c r="K144" s="156"/>
      <c r="L144" s="306" t="str">
        <f>'テンプレート'!L125</f>
        <v>その場捨て</v>
      </c>
      <c r="M144" s="113" t="s">
        <v>93</v>
      </c>
      <c r="N144" s="113">
        <v>23.0</v>
      </c>
      <c r="O144" s="118"/>
      <c r="P144" s="118"/>
      <c r="Q144" s="118"/>
      <c r="R144" s="118"/>
      <c r="S144" s="118"/>
      <c r="T144" s="118"/>
      <c r="U144" s="118"/>
      <c r="V144" s="118"/>
    </row>
    <row r="145" outlineLevel="1">
      <c r="A145" s="146"/>
      <c r="B145" s="300" t="s">
        <v>216</v>
      </c>
      <c r="C145" s="2540" t="str">
        <f t="array" ref="C145">INDEX('起きあがり'!$D$3:$E133, MATCH($A$1,'起きあがり'!$A$3:$A$115,0), MATCH(C135,'起きあがり'!$D$2:$AD$2,0))</f>
        <v>1-22</v>
      </c>
      <c r="D145" s="2541">
        <f t="array" ref="D145">INDEX('起きあがり'!$D$3:$E133, MATCH($A$1,'起きあがり'!$A$3:$A$115,0), MATCH(D135,'起きあがり'!$D$2:$AD$2,0))</f>
        <v>29</v>
      </c>
      <c r="E145" s="1162"/>
      <c r="F145" s="1162"/>
      <c r="G145" s="1162"/>
      <c r="H145" s="228"/>
      <c r="I145" s="228"/>
      <c r="J145" s="117"/>
      <c r="K145" s="305" t="str">
        <f>'テンプレート'!K126</f>
        <v>空中投擲</v>
      </c>
      <c r="L145" s="303" t="str">
        <f>'テンプレート'!L126</f>
        <v>前投げ</v>
      </c>
      <c r="M145" s="113" t="s">
        <v>80</v>
      </c>
      <c r="N145" s="113">
        <v>24.0</v>
      </c>
      <c r="O145" s="118"/>
      <c r="P145" s="118"/>
      <c r="Q145" s="118"/>
      <c r="R145" s="118"/>
      <c r="S145" s="118"/>
      <c r="T145" s="118"/>
      <c r="U145" s="118"/>
      <c r="V145" s="118"/>
    </row>
    <row r="146" outlineLevel="1">
      <c r="A146" s="146"/>
      <c r="B146" s="300" t="s">
        <v>245</v>
      </c>
      <c r="C146" s="2540" t="str">
        <f t="array" ref="C146">INDEX('起きあがり'!$F$3:$G$115, MATCH($A$1,'起きあがり'!$A$3:$A$115,0), MATCH(C135,'起きあがり'!$F$2:$AD$2,0))</f>
        <v>1-22</v>
      </c>
      <c r="D146" s="2541">
        <f t="array" ref="D146">INDEX('起きあがり'!$F$3:$G$115, MATCH($A$1,'起きあがり'!$A$3:$A$115,0), MATCH(D135,'起きあがり'!$F$2:$AD$2,0))</f>
        <v>35</v>
      </c>
      <c r="E146" s="1162"/>
      <c r="F146" s="1162"/>
      <c r="G146" s="1162"/>
      <c r="H146" s="228"/>
      <c r="I146" s="228"/>
      <c r="J146" s="111"/>
      <c r="K146" s="146"/>
      <c r="L146" s="303" t="str">
        <f>'テンプレート'!L127</f>
        <v>後投げ</v>
      </c>
      <c r="M146" s="113" t="s">
        <v>232</v>
      </c>
      <c r="N146" s="113">
        <v>24.0</v>
      </c>
      <c r="O146" s="118"/>
      <c r="P146" s="118"/>
      <c r="Q146" s="118"/>
      <c r="R146" s="118"/>
      <c r="S146" s="118"/>
      <c r="T146" s="118"/>
      <c r="U146" s="118"/>
      <c r="V146" s="118"/>
    </row>
    <row r="147" outlineLevel="1">
      <c r="A147" s="146"/>
      <c r="B147" s="300" t="s">
        <v>246</v>
      </c>
      <c r="C147" s="518" t="str">
        <f t="array" ref="C147">INDEX('起きあがり'!$H$3:$I$115, MATCH($A$1,'起きあがり'!$A$3:$A$115,0), MATCH(C135,'起きあがり'!$H$2:$AD$2,0))</f>
        <v>1-22</v>
      </c>
      <c r="D147" s="518">
        <f t="array" ref="D147">INDEX('起きあがり'!$H$3:$I$115, MATCH($A$1,'起きあがり'!$A$3:$A$115,0), MATCH(D135,'起きあがり'!$H$2:$AD$2,0))</f>
        <v>35</v>
      </c>
      <c r="E147" s="1162"/>
      <c r="F147" s="1162"/>
      <c r="G147" s="1162"/>
      <c r="H147" s="228"/>
      <c r="I147" s="228"/>
      <c r="J147" s="117"/>
      <c r="K147" s="146"/>
      <c r="L147" s="303" t="str">
        <f>'テンプレート'!L128</f>
        <v>上投げ</v>
      </c>
      <c r="M147" s="113" t="s">
        <v>129</v>
      </c>
      <c r="N147" s="113">
        <v>23.0</v>
      </c>
      <c r="O147" s="118"/>
      <c r="P147" s="118"/>
      <c r="Q147" s="118"/>
      <c r="R147" s="118"/>
      <c r="S147" s="118"/>
      <c r="T147" s="118"/>
      <c r="U147" s="118"/>
      <c r="V147" s="118"/>
    </row>
    <row r="148" outlineLevel="1">
      <c r="A148" s="146"/>
      <c r="B148" s="300" t="s">
        <v>249</v>
      </c>
      <c r="C148" s="2542" t="str">
        <f t="array" ref="C148">INDEX('起きあがり'!$J$3:$M$115, MATCH($A$1,'起きあがり'!$A$3:$A$115,0), MATCH(C135,'起きあがり'!$J$2:$AD$2,0))</f>
        <v>1-25</v>
      </c>
      <c r="D148" s="2543">
        <f t="array" ref="D148">INDEX('起きあがり'!$J$3:$M$115, MATCH($A$1,'起きあがり'!$A$3:$A$115,0), MATCH(D135,'起きあがり'!$J$2:$AD$2,0))</f>
        <v>45</v>
      </c>
      <c r="E148" s="2540" t="str">
        <f t="array" ref="E148">INDEX('起きあがり'!$J$3:$M$115, MATCH($A$1,'起きあがり'!$A$3:$A$115,0), MATCH(E135,'起きあがり'!$J$2:$AD$2,0))</f>
        <v>16-17</v>
      </c>
      <c r="F148" s="2541">
        <f t="array" ref="F148">INDEX('起きあがり'!$J$3:$M$115, MATCH($A$1,'起きあがり'!$A$3:$A$115,0), MATCH(F135,'起きあがり'!$J$2:$AD$2,0))</f>
        <v>7</v>
      </c>
      <c r="G148" s="518">
        <f t="shared" ref="G148:G149" si="1">F148*1.2</f>
        <v>8.4</v>
      </c>
      <c r="H148" s="228"/>
      <c r="I148" s="228"/>
      <c r="J148" s="111"/>
      <c r="K148" s="156"/>
      <c r="L148" s="303" t="str">
        <f>'テンプレート'!L129</f>
        <v>下投げ</v>
      </c>
      <c r="M148" s="113" t="s">
        <v>93</v>
      </c>
      <c r="N148" s="113">
        <v>19.0</v>
      </c>
      <c r="O148" s="111"/>
      <c r="P148" s="111"/>
      <c r="Q148" s="111"/>
      <c r="R148" s="111"/>
      <c r="S148" s="111"/>
      <c r="T148" s="111"/>
      <c r="U148" s="111"/>
      <c r="V148" s="111"/>
    </row>
    <row r="149" outlineLevel="1">
      <c r="A149" s="156"/>
      <c r="B149" s="311" t="s">
        <v>250</v>
      </c>
      <c r="C149" s="107"/>
      <c r="D149" s="107"/>
      <c r="E149" s="2540" t="str">
        <f t="array" ref="E149">INDEX('起きあがり'!$N$3:$O$115, MATCH($A$1,'起きあがり'!$A$3:$A$115,0), MATCH(E135,'起きあがり'!$N$2:$AD$2,0))</f>
        <v>24-25</v>
      </c>
      <c r="F149" s="2541">
        <f t="array" ref="F149">INDEX('起きあがり'!$N$3:$O$115, MATCH($A$1,'起きあがり'!$A$3:$A$115,0), MATCH(F135,'起きあがり'!$N$2:$AD$2,0))</f>
        <v>7</v>
      </c>
      <c r="G149" s="518">
        <f t="shared" si="1"/>
        <v>8.4</v>
      </c>
      <c r="H149" s="228"/>
      <c r="I149" s="228"/>
      <c r="J149" s="111"/>
      <c r="K149" s="312" t="str">
        <f>'テンプレート'!K130</f>
        <v>踏み台ジャンプ</v>
      </c>
      <c r="L149" s="168"/>
      <c r="M149" s="298" t="str">
        <f>'テンプレート'!M130</f>
        <v>全体フレーム</v>
      </c>
      <c r="N149" s="114"/>
      <c r="O149" s="111"/>
      <c r="P149" s="111"/>
      <c r="Q149" s="111"/>
      <c r="R149" s="111"/>
      <c r="S149" s="111"/>
      <c r="T149" s="111"/>
      <c r="U149" s="111"/>
      <c r="V149" s="111"/>
    </row>
    <row r="150" outlineLevel="1">
      <c r="A150" s="299" t="s">
        <v>251</v>
      </c>
      <c r="B150" s="300" t="s">
        <v>248</v>
      </c>
      <c r="C150" s="1162"/>
      <c r="D150" s="2540" t="str">
        <f t="array" ref="D150">INDEX('起きあがり'!$C$3:$C133, MATCH($A$1,'起きあがり'!$A$3:$A$115,0), MATCH(D135,'起きあがり'!$C$2,0))</f>
        <v>25</v>
      </c>
      <c r="E150" s="1162"/>
      <c r="F150" s="1162"/>
      <c r="G150" s="1162"/>
      <c r="H150" s="228"/>
      <c r="I150" s="228"/>
      <c r="J150" s="117"/>
      <c r="K150" s="313" t="str">
        <f>'テンプレート'!K131</f>
        <v>踏み</v>
      </c>
      <c r="L150" s="314" t="str">
        <f>'テンプレート'!L131</f>
        <v>踏み</v>
      </c>
      <c r="M150" s="113">
        <v>8.0</v>
      </c>
      <c r="N150" s="2720"/>
      <c r="O150" s="111"/>
      <c r="P150" s="111"/>
      <c r="Q150" s="111"/>
      <c r="R150" s="111"/>
      <c r="S150" s="111"/>
      <c r="T150" s="111"/>
      <c r="U150" s="111"/>
      <c r="V150" s="111"/>
    </row>
    <row r="151" outlineLevel="1">
      <c r="A151" s="146"/>
      <c r="B151" s="300" t="s">
        <v>216</v>
      </c>
      <c r="C151" s="2540" t="str">
        <f t="array" ref="C151">INDEX('起きあがり'!$P$3:$Q$115, MATCH($A$1,'起きあがり'!$A$3:$A$115,0), MATCH(C135,'起きあがり'!$P$2:$AD$2,0))</f>
        <v>1-22</v>
      </c>
      <c r="D151" s="2541">
        <f t="array" ref="D151">INDEX('起きあがり'!$P$3:$Q$115, MATCH($A$1,'起きあがり'!$A$3:$A$115,0), MATCH(D135,'起きあがり'!$P$2:$AD$2,0))</f>
        <v>29</v>
      </c>
      <c r="E151" s="1162"/>
      <c r="F151" s="1162"/>
      <c r="G151" s="1162"/>
      <c r="H151" s="228"/>
      <c r="I151" s="228"/>
      <c r="J151" s="111"/>
      <c r="K151" s="305" t="str">
        <f>'テンプレート'!K132</f>
        <v>踏まれ</v>
      </c>
      <c r="L151" s="314" t="str">
        <f>'テンプレート'!L132</f>
        <v>地上踏まれ</v>
      </c>
      <c r="M151" s="113" t="s">
        <v>76</v>
      </c>
      <c r="N151" s="2720"/>
      <c r="O151" s="228"/>
      <c r="P151" s="228"/>
      <c r="Q151" s="228"/>
      <c r="R151" s="228"/>
      <c r="S151" s="228"/>
      <c r="T151" s="228"/>
      <c r="U151" s="228"/>
      <c r="V151" s="228"/>
    </row>
    <row r="152" outlineLevel="1">
      <c r="A152" s="146"/>
      <c r="B152" s="300" t="s">
        <v>245</v>
      </c>
      <c r="C152" s="2540" t="str">
        <f t="array" ref="C152">INDEX('起きあがり'!$R$3:$S$115, MATCH($A$1,'起きあがり'!$A$3:$A$115,0), MATCH(C135,'起きあがり'!$R$2:$AD$2,0))</f>
        <v>1-22</v>
      </c>
      <c r="D152" s="2541">
        <f t="array" ref="D152">INDEX('起きあがり'!$R$3:$S$115, MATCH($A$1,'起きあがり'!$A$3:$A$115,0), MATCH(D135,'起きあがり'!$R$2:$AD$2,0))</f>
        <v>35</v>
      </c>
      <c r="E152" s="1162"/>
      <c r="F152" s="1162"/>
      <c r="G152" s="1162"/>
      <c r="H152" s="228"/>
      <c r="I152" s="228"/>
      <c r="J152" s="117"/>
      <c r="K152" s="146"/>
      <c r="L152" s="314" t="str">
        <f>'テンプレート'!L133</f>
        <v>地上硬直</v>
      </c>
      <c r="M152" s="113">
        <v>28.0</v>
      </c>
      <c r="N152" s="102"/>
      <c r="O152" s="118"/>
      <c r="P152" s="118"/>
      <c r="Q152" s="118"/>
      <c r="R152" s="118"/>
      <c r="S152" s="118"/>
      <c r="T152" s="118"/>
      <c r="U152" s="118"/>
      <c r="V152" s="118"/>
    </row>
    <row r="153" outlineLevel="1">
      <c r="A153" s="146"/>
      <c r="B153" s="300" t="s">
        <v>246</v>
      </c>
      <c r="C153" s="2540" t="str">
        <f t="array" ref="C153">INDEX('起きあがり'!$T$3:$U$115, MATCH($A$1,'起きあがり'!$A$3:$A$115,0), MATCH(C135,'起きあがり'!$T$2:$AD$2,0))</f>
        <v>1-22</v>
      </c>
      <c r="D153" s="2541">
        <f t="array" ref="D153">INDEX('起きあがり'!$T$3:$U$115, MATCH($A$1,'起きあがり'!$A$3:$A$115,0), MATCH(D135,'起きあがり'!$T$2:$AD$2,0))</f>
        <v>35</v>
      </c>
      <c r="E153" s="1162"/>
      <c r="F153" s="1162"/>
      <c r="G153" s="1162"/>
      <c r="H153" s="228"/>
      <c r="I153" s="228"/>
      <c r="J153" s="111"/>
      <c r="K153" s="146"/>
      <c r="L153" s="314" t="str">
        <f>'テンプレート'!L134</f>
        <v>空中踏まれ</v>
      </c>
      <c r="M153" s="113">
        <v>8.0</v>
      </c>
      <c r="N153" s="102"/>
      <c r="O153" s="118"/>
      <c r="P153" s="118"/>
      <c r="Q153" s="118"/>
      <c r="R153" s="118"/>
      <c r="S153" s="118"/>
      <c r="T153" s="118"/>
      <c r="U153" s="118"/>
      <c r="V153" s="118"/>
    </row>
    <row r="154" outlineLevel="1">
      <c r="A154" s="146"/>
      <c r="B154" s="300" t="s">
        <v>249</v>
      </c>
      <c r="C154" s="2542" t="str">
        <f t="array" ref="C154">INDEX('起きあがり'!$V$3:$Y$115, MATCH($A$1,'起きあがり'!$A$3:$A$115,0), MATCH(C135,'起きあがり'!$V$2:$AD$2,0))</f>
        <v>1-25</v>
      </c>
      <c r="D154" s="2543">
        <f t="array" ref="D154">INDEX('起きあがり'!$V$3:$Y$115, MATCH($A$1,'起きあがり'!$A$3:$A$115,0), MATCH(D135,'起きあがり'!$V$2:$AD$2,0))</f>
        <v>45</v>
      </c>
      <c r="E154" s="2540" t="str">
        <f t="array" ref="E154">INDEX('起きあがり'!$V$3:$Y$115, MATCH($A$1,'起きあがり'!$A$3:$A$115,0), MATCH(E135,'起きあがり'!$V$2:$AD$2,0))</f>
        <v>16-17</v>
      </c>
      <c r="F154" s="2541">
        <f t="array" ref="F154">INDEX('起きあがり'!$V$3:$Y$115, MATCH($A$1,'起きあがり'!$A$3:$A$115,0), MATCH(F135,'起きあがり'!$V$2:$AD$2,0))</f>
        <v>7</v>
      </c>
      <c r="G154" s="518">
        <f t="shared" ref="G154:G155" si="2">F154*1.2</f>
        <v>8.4</v>
      </c>
      <c r="H154" s="228"/>
      <c r="I154" s="228"/>
      <c r="J154" s="117"/>
      <c r="K154" s="146"/>
      <c r="L154" s="314" t="str">
        <f>'テンプレート'!L135</f>
        <v>空中落下</v>
      </c>
      <c r="M154" s="113">
        <v>33.0</v>
      </c>
      <c r="N154" s="102"/>
      <c r="O154" s="118"/>
      <c r="P154" s="118"/>
      <c r="Q154" s="118"/>
      <c r="R154" s="118"/>
      <c r="S154" s="118"/>
      <c r="T154" s="118"/>
      <c r="U154" s="118"/>
      <c r="V154" s="118"/>
    </row>
    <row r="155" outlineLevel="1">
      <c r="A155" s="156"/>
      <c r="B155" s="311" t="s">
        <v>250</v>
      </c>
      <c r="C155" s="107"/>
      <c r="D155" s="107"/>
      <c r="E155" s="2540" t="str">
        <f t="array" ref="E155">INDEX('起きあがり'!$Z$3:$AA$115, MATCH($A$1,'起きあがり'!$A$3:$A$115,0), MATCH(E135,'起きあがり'!$Z$2:$AD$2,0))</f>
        <v>24-25</v>
      </c>
      <c r="F155" s="2541">
        <f t="array" ref="F155">INDEX('起きあがり'!$Z$3:$AA$115, MATCH($A$1,'起きあがり'!$A$3:$A$115,0), MATCH(F135,'起きあがり'!$Z$2:$AD$2,0))</f>
        <v>7</v>
      </c>
      <c r="G155" s="518">
        <f t="shared" si="2"/>
        <v>8.4</v>
      </c>
      <c r="H155" s="228"/>
      <c r="I155" s="228"/>
      <c r="J155" s="117"/>
      <c r="K155" s="304" t="str">
        <f>'テンプレート'!K136</f>
        <v>倒れダメージ</v>
      </c>
      <c r="L155" s="110"/>
      <c r="M155" s="298" t="str">
        <f>'テンプレート'!M136</f>
        <v>全体フレーム</v>
      </c>
      <c r="N155" s="102"/>
      <c r="O155" s="118"/>
      <c r="P155" s="118"/>
      <c r="Q155" s="118"/>
      <c r="R155" s="118"/>
      <c r="S155" s="118"/>
      <c r="T155" s="118"/>
      <c r="U155" s="118"/>
      <c r="V155" s="118"/>
    </row>
    <row r="156" outlineLevel="1">
      <c r="A156" s="299" t="s">
        <v>252</v>
      </c>
      <c r="B156" s="300" t="s">
        <v>253</v>
      </c>
      <c r="C156" s="2540" t="str">
        <f t="array" ref="C156">INDEX('転倒'!$C$3:$D133, MATCH($A$1,'転倒'!$A$3:$A$115,0), MATCH(C135,'転倒'!$C$2:$AC$2,0))</f>
        <v>1-5</v>
      </c>
      <c r="D156" s="2541">
        <f t="array" ref="D156">INDEX('転倒'!$C$3:$D133, MATCH($A$1,'転倒'!$A$3:$A$115,0), MATCH(D135,'転倒'!$C$2:$AC$2,0))</f>
        <v>29</v>
      </c>
      <c r="E156" s="1162"/>
      <c r="F156" s="1162"/>
      <c r="G156" s="1162"/>
      <c r="H156" s="228"/>
      <c r="I156" s="228"/>
      <c r="J156" s="111"/>
      <c r="K156" s="313" t="str">
        <f>'テンプレート'!K137</f>
        <v>あお向け倒れ</v>
      </c>
      <c r="L156" s="306" t="str">
        <f>'テンプレート'!L137</f>
        <v>モーション大</v>
      </c>
      <c r="M156" s="113">
        <v>39.0</v>
      </c>
      <c r="N156" s="2720"/>
      <c r="O156" s="118"/>
      <c r="P156" s="118"/>
      <c r="Q156" s="118"/>
      <c r="R156" s="118"/>
      <c r="S156" s="118"/>
      <c r="T156" s="118"/>
      <c r="U156" s="118"/>
      <c r="V156" s="118"/>
    </row>
    <row r="157" outlineLevel="1">
      <c r="A157" s="146"/>
      <c r="B157" s="300" t="s">
        <v>254</v>
      </c>
      <c r="C157" s="2540" t="str">
        <f t="array" ref="C157">INDEX('転倒'!$E$3:$F133, MATCH($A$1,'転倒'!$A$3:$A$115,0), MATCH(C135,'転倒'!$E$2:$AC$2,0))</f>
        <v>1-5</v>
      </c>
      <c r="D157" s="2541">
        <f t="array" ref="D157">INDEX('転倒'!$E$3:$F133, MATCH($A$1,'転倒'!$A$3:$A$115,0), MATCH(D135,'転倒'!$E$2:$AC$2,0))</f>
        <v>39</v>
      </c>
      <c r="E157" s="1162"/>
      <c r="F157" s="1162"/>
      <c r="G157" s="1162"/>
      <c r="H157" s="228"/>
      <c r="I157" s="228"/>
      <c r="J157" s="117"/>
      <c r="K157" s="313" t="str">
        <f>'テンプレート'!K138</f>
        <v>うつ伏せ倒れ</v>
      </c>
      <c r="L157" s="306" t="str">
        <f>'テンプレート'!L138</f>
        <v>モーション大</v>
      </c>
      <c r="M157" s="113" t="s">
        <v>118</v>
      </c>
      <c r="N157" s="2720"/>
      <c r="O157" s="118"/>
      <c r="P157" s="118"/>
      <c r="Q157" s="118"/>
      <c r="R157" s="118"/>
      <c r="S157" s="118"/>
      <c r="T157" s="118"/>
      <c r="U157" s="118"/>
      <c r="V157" s="118"/>
    </row>
    <row r="158" outlineLevel="1">
      <c r="A158" s="146"/>
      <c r="B158" s="300" t="s">
        <v>216</v>
      </c>
      <c r="C158" s="2540" t="str">
        <f t="array" ref="C158">INDEX('転倒'!$G$3:$H$115, MATCH($A$1,'転倒'!$A$3:$A$115,0), MATCH(C135,'転倒'!$G$2:$AC$2,0))</f>
        <v>1-16</v>
      </c>
      <c r="D158" s="2541">
        <f t="array" ref="D158">INDEX('転倒'!$G$3:$H$115, MATCH($A$1,'転倒'!$A$3:$A$115,0), MATCH(D135,'転倒'!$G$2:$AC$2,0))</f>
        <v>21</v>
      </c>
      <c r="E158" s="1162"/>
      <c r="F158" s="1162"/>
      <c r="G158" s="1162"/>
      <c r="H158" s="228"/>
      <c r="I158" s="228"/>
      <c r="J158" s="111"/>
      <c r="K158" s="304" t="str">
        <f>'テンプレート'!K139</f>
        <v/>
      </c>
      <c r="L158" s="110"/>
      <c r="M158" s="298" t="str">
        <f>'テンプレート'!M139</f>
        <v/>
      </c>
      <c r="N158" s="102"/>
      <c r="O158" s="118"/>
      <c r="P158" s="118"/>
      <c r="Q158" s="118"/>
      <c r="R158" s="118"/>
      <c r="S158" s="118"/>
      <c r="T158" s="118"/>
      <c r="U158" s="118"/>
      <c r="V158" s="118"/>
    </row>
    <row r="159" outlineLevel="1">
      <c r="A159" s="146"/>
      <c r="B159" s="300" t="s">
        <v>245</v>
      </c>
      <c r="C159" s="2540" t="str">
        <f t="array" ref="C159">INDEX('転倒'!$I$3:$J$115, MATCH($A$1,'転倒'!$A$3:$A$115,0), MATCH(C135,'転倒'!$I$2:$AC$2,0))</f>
        <v>1-9</v>
      </c>
      <c r="D159" s="2541">
        <f t="array" ref="D159">INDEX('転倒'!$I$3:$J$115, MATCH($A$1,'転倒'!$A$3:$A$115,0), MATCH(D135,'転倒'!$I$2:$AC$2,0))</f>
        <v>28</v>
      </c>
      <c r="E159" s="1162"/>
      <c r="F159" s="1162"/>
      <c r="G159" s="1162"/>
      <c r="H159" s="228"/>
      <c r="I159" s="228"/>
      <c r="J159" s="228"/>
      <c r="K159" s="316"/>
      <c r="L159" s="317" t="str">
        <f>'テンプレート'!L140</f>
        <v/>
      </c>
      <c r="M159" s="113" t="s">
        <v>76</v>
      </c>
      <c r="N159" s="102"/>
      <c r="O159" s="118"/>
      <c r="P159" s="118"/>
      <c r="Q159" s="118"/>
      <c r="R159" s="118"/>
      <c r="S159" s="118"/>
      <c r="T159" s="118"/>
      <c r="U159" s="118"/>
      <c r="V159" s="118"/>
    </row>
    <row r="160" outlineLevel="1">
      <c r="A160" s="146"/>
      <c r="B160" s="300" t="s">
        <v>246</v>
      </c>
      <c r="C160" s="2540" t="str">
        <f t="array" ref="C160">INDEX('転倒'!$K$3:$L$115, MATCH($A$1,'転倒'!$A$3:$A$115,0), MATCH(C135,'転倒'!$K$2:$AC$2,0))</f>
        <v>1-9</v>
      </c>
      <c r="D160" s="2541">
        <f t="array" ref="D160">INDEX('転倒'!$K$3:$L$115, MATCH($A$1,'転倒'!$A$3:$A$115,0), MATCH(D135,'転倒'!$K$2:$AC$2,0))</f>
        <v>28</v>
      </c>
      <c r="E160" s="1162"/>
      <c r="F160" s="1162"/>
      <c r="G160" s="1162"/>
      <c r="H160" s="228"/>
      <c r="I160" s="228"/>
      <c r="J160" s="228"/>
      <c r="K160" s="102"/>
      <c r="L160" s="118"/>
      <c r="M160" s="118"/>
      <c r="N160" s="102"/>
      <c r="O160" s="118"/>
      <c r="P160" s="118"/>
      <c r="Q160" s="118"/>
      <c r="R160" s="118"/>
      <c r="S160" s="118"/>
      <c r="T160" s="118"/>
      <c r="U160" s="118"/>
      <c r="V160" s="118"/>
    </row>
    <row r="161" outlineLevel="1">
      <c r="A161" s="146"/>
      <c r="B161" s="300" t="s">
        <v>249</v>
      </c>
      <c r="C161" s="2542" t="str">
        <f t="array" ref="C161">INDEX('転倒'!$M$3:$P$115, MATCH($A$1,'転倒'!$A$3:$A$115,0), MATCH(C135,'転倒'!$M$2:$AC$2,0))</f>
        <v>1-7</v>
      </c>
      <c r="D161" s="2543">
        <f t="array" ref="D161">INDEX('転倒'!$M$3:$P$115, MATCH($A$1,'転倒'!$A$3:$A$115,0), MATCH(D135,'転倒'!$M$2:$AC$2,0))</f>
        <v>49</v>
      </c>
      <c r="E161" s="2540" t="str">
        <f t="array" ref="E161">INDEX('転倒'!$M$3:$P$115, MATCH($A$1,'転倒'!$A$3:$A$115,0), MATCH(E135,'転倒'!$M$2:$AC$2,0))</f>
        <v>16-17</v>
      </c>
      <c r="F161" s="2541">
        <f t="array" ref="F161">INDEX('転倒'!$M$3:$P$115, MATCH($A$1,'転倒'!$A$3:$A$115,0), MATCH(F135,'転倒'!$M$2:$AC$2,0))</f>
        <v>5</v>
      </c>
      <c r="G161" s="518">
        <f t="shared" ref="G161:G162" si="3">F161*1.2</f>
        <v>6</v>
      </c>
      <c r="H161" s="228"/>
      <c r="I161" s="228"/>
      <c r="J161" s="228"/>
      <c r="K161" s="118"/>
      <c r="L161" s="118"/>
      <c r="M161" s="118"/>
      <c r="N161" s="98"/>
      <c r="O161" s="98"/>
      <c r="P161" s="98"/>
      <c r="Q161" s="98"/>
      <c r="R161" s="118"/>
      <c r="S161" s="118"/>
      <c r="T161" s="118"/>
      <c r="U161" s="118"/>
      <c r="V161" s="118"/>
    </row>
    <row r="162" outlineLevel="1">
      <c r="A162" s="156"/>
      <c r="B162" s="311" t="s">
        <v>250</v>
      </c>
      <c r="C162" s="107"/>
      <c r="D162" s="107"/>
      <c r="E162" s="2540" t="str">
        <f t="array" ref="E162">INDEX('転倒'!$Q$3:$R$115, MATCH($A$1,'転倒'!$A$3:$A$115,0), MATCH(E135,'転倒'!$Q$2:$AC$2,0))</f>
        <v>24-25</v>
      </c>
      <c r="F162" s="2541">
        <f t="array" ref="F162">INDEX('転倒'!$Q$3:$R$115, MATCH($A$1,'転倒'!$A$3:$A$115,0), MATCH(F135,'転倒'!$Q$2:$AC$2,0))</f>
        <v>5</v>
      </c>
      <c r="G162" s="518">
        <f t="shared" si="3"/>
        <v>6</v>
      </c>
      <c r="H162" s="228"/>
      <c r="I162" s="228"/>
      <c r="J162" s="228"/>
      <c r="K162" s="118"/>
      <c r="L162" s="118"/>
      <c r="M162" s="118"/>
      <c r="N162" s="98"/>
      <c r="O162" s="98"/>
      <c r="P162" s="98"/>
      <c r="Q162" s="98"/>
      <c r="R162" s="118"/>
      <c r="S162" s="118"/>
      <c r="T162" s="118"/>
      <c r="U162" s="118"/>
      <c r="V162" s="118"/>
    </row>
    <row r="163" outlineLevel="1">
      <c r="A163" s="319"/>
      <c r="B163" s="320"/>
      <c r="C163" s="321"/>
      <c r="D163" s="321"/>
      <c r="E163" s="2873"/>
      <c r="F163" s="102"/>
      <c r="G163" s="102"/>
      <c r="H163" s="102"/>
      <c r="I163" s="2873"/>
      <c r="J163" s="118"/>
      <c r="K163" s="118"/>
      <c r="L163" s="118"/>
      <c r="M163" s="118"/>
      <c r="N163" s="98"/>
      <c r="O163" s="98"/>
      <c r="P163" s="98"/>
      <c r="Q163" s="98"/>
      <c r="R163" s="118"/>
      <c r="S163" s="118"/>
      <c r="T163" s="118"/>
      <c r="U163" s="118"/>
      <c r="V163" s="118"/>
    </row>
    <row r="164" outlineLevel="1">
      <c r="A164" s="323" t="s">
        <v>255</v>
      </c>
      <c r="B164" s="109"/>
      <c r="C164" s="319"/>
      <c r="D164" s="321"/>
      <c r="E164" s="2873"/>
      <c r="F164" s="102"/>
      <c r="G164" s="102"/>
      <c r="H164" s="102"/>
      <c r="I164" s="2873"/>
      <c r="J164" s="118"/>
      <c r="K164" s="118"/>
      <c r="L164" s="118"/>
      <c r="M164" s="118"/>
      <c r="N164" s="98"/>
      <c r="O164" s="98"/>
      <c r="P164" s="98"/>
      <c r="Q164" s="98"/>
      <c r="R164" s="118"/>
      <c r="S164" s="118"/>
      <c r="T164" s="118"/>
      <c r="U164" s="118"/>
      <c r="V164" s="118"/>
    </row>
    <row r="165" outlineLevel="1">
      <c r="A165" s="324" t="s">
        <v>256</v>
      </c>
      <c r="B165" s="109"/>
      <c r="C165" s="325" t="s">
        <v>257</v>
      </c>
      <c r="D165" s="325" t="s">
        <v>49</v>
      </c>
      <c r="E165" s="2873"/>
      <c r="F165" s="102"/>
      <c r="G165" s="102"/>
      <c r="H165" s="102"/>
      <c r="I165" s="2873"/>
      <c r="J165" s="118"/>
      <c r="K165" s="118"/>
      <c r="L165" s="118"/>
      <c r="M165" s="118"/>
      <c r="N165" s="98"/>
      <c r="O165" s="98"/>
      <c r="P165" s="98"/>
      <c r="Q165" s="98"/>
      <c r="R165" s="118"/>
      <c r="S165" s="118"/>
      <c r="T165" s="118"/>
      <c r="U165" s="118"/>
      <c r="V165" s="118"/>
    </row>
    <row r="166" outlineLevel="1">
      <c r="A166" s="326" t="s">
        <v>258</v>
      </c>
      <c r="B166" s="327" t="s">
        <v>216</v>
      </c>
      <c r="C166" s="328" t="str">
        <f t="array" ref="C166">INDEX('アイテム'!$C$3:$D$114, MATCH($A$1,'アイテム'!$A$3:$A$114,0), MATCH(C165,'アイテム'!$C$2:$AQ$2,0))</f>
        <v>2</v>
      </c>
      <c r="D166" s="328">
        <f t="array" ref="D166">INDEX('アイテム'!$C$3:$D$114, MATCH($A$1,'アイテム'!$A$3:$A$114,0), MATCH(D165,'アイテム'!$C$2:$AQ$2,0))</f>
        <v>7</v>
      </c>
      <c r="E166" s="2873"/>
      <c r="F166" s="102"/>
      <c r="G166" s="102"/>
      <c r="H166" s="102"/>
      <c r="I166" s="2873"/>
      <c r="J166" s="118"/>
      <c r="K166" s="118"/>
      <c r="L166" s="118"/>
      <c r="M166" s="118"/>
      <c r="N166" s="98"/>
      <c r="O166" s="98"/>
      <c r="P166" s="98"/>
      <c r="Q166" s="98"/>
      <c r="R166" s="118"/>
      <c r="S166" s="118"/>
      <c r="T166" s="118"/>
      <c r="U166" s="118"/>
      <c r="V166" s="118"/>
    </row>
    <row r="167" outlineLevel="1">
      <c r="A167" s="156"/>
      <c r="B167" s="327" t="s">
        <v>219</v>
      </c>
      <c r="C167" s="328" t="str">
        <f t="array" ref="C167">INDEX('アイテム'!$E$3:$F$114, MATCH($A$1,'アイテム'!$A$3:$A$114,0), MATCH(C165,'アイテム'!$C$2:$AQ$2,0))</f>
        <v>2</v>
      </c>
      <c r="D167" s="328">
        <f t="array" ref="D167">INDEX('アイテム'!$E$3:$F$114, MATCH($A$1,'アイテム'!$A$3:$A$114,0), MATCH(D165,'アイテム'!$C$2:$AQ$2,0))</f>
        <v>19</v>
      </c>
      <c r="E167" s="2873"/>
      <c r="F167" s="102"/>
      <c r="G167" s="102"/>
      <c r="H167" s="102"/>
      <c r="I167" s="2873"/>
      <c r="J167" s="118"/>
      <c r="K167" s="118"/>
      <c r="L167" s="118"/>
      <c r="M167" s="118"/>
      <c r="N167" s="98"/>
      <c r="O167" s="98"/>
      <c r="P167" s="98"/>
      <c r="Q167" s="98"/>
      <c r="R167" s="118"/>
      <c r="S167" s="118"/>
      <c r="T167" s="118"/>
      <c r="U167" s="118"/>
      <c r="V167" s="118"/>
    </row>
    <row r="168" outlineLevel="1">
      <c r="A168" s="329" t="s">
        <v>259</v>
      </c>
      <c r="B168" s="327" t="s">
        <v>216</v>
      </c>
      <c r="C168" s="328">
        <f t="array" ref="C168">INDEX('アイテム'!$AA$3:$AB$114, MATCH($A$1,'アイテム'!$A$3:$A$114,0), MATCH(C165,'アイテム'!$C$2:$AQ$2,0))</f>
        <v>3</v>
      </c>
      <c r="D168" s="328" t="str">
        <f t="array" ref="D168">INDEX('アイテム'!$AA$3:$AB$114, MATCH($A$1,'アイテム'!$A$3:$A$114,0), MATCH(D165,'アイテム'!$C$2:$AQ$2,0))</f>
        <v>12</v>
      </c>
      <c r="E168" s="2873"/>
      <c r="F168" s="102"/>
      <c r="G168" s="102"/>
      <c r="H168" s="102"/>
      <c r="I168" s="2873"/>
      <c r="J168" s="118"/>
      <c r="K168" s="118"/>
      <c r="L168" s="118"/>
      <c r="M168" s="118"/>
      <c r="N168" s="98"/>
      <c r="O168" s="98"/>
      <c r="P168" s="98"/>
      <c r="Q168" s="98"/>
      <c r="R168" s="118"/>
      <c r="S168" s="118"/>
      <c r="T168" s="118"/>
      <c r="U168" s="118"/>
      <c r="V168" s="118"/>
    </row>
    <row r="169" outlineLevel="1">
      <c r="A169" s="324" t="s">
        <v>260</v>
      </c>
      <c r="B169" s="109"/>
      <c r="C169" s="325" t="s">
        <v>261</v>
      </c>
      <c r="D169" s="325" t="s">
        <v>49</v>
      </c>
      <c r="E169" s="2873"/>
      <c r="F169" s="102"/>
      <c r="G169" s="102"/>
      <c r="H169" s="102"/>
      <c r="I169" s="2873"/>
      <c r="J169" s="118"/>
      <c r="K169" s="118"/>
      <c r="L169" s="118"/>
      <c r="M169" s="118"/>
      <c r="N169" s="98"/>
      <c r="O169" s="98"/>
      <c r="P169" s="98"/>
      <c r="Q169" s="98"/>
      <c r="R169" s="118"/>
      <c r="S169" s="118"/>
      <c r="T169" s="118"/>
      <c r="U169" s="118"/>
      <c r="V169" s="118"/>
    </row>
    <row r="170" outlineLevel="1">
      <c r="A170" s="326" t="s">
        <v>262</v>
      </c>
      <c r="B170" s="327" t="s">
        <v>226</v>
      </c>
      <c r="C170" s="328" t="str">
        <f t="array" ref="C170">INDEX('アイテム'!$G$3:$H$114, MATCH($A$1,'アイテム'!$A$3:$A$114,0), MATCH(C165,'アイテム'!$C$2:$AQ$2,0))</f>
        <v>10</v>
      </c>
      <c r="D170" s="328">
        <f t="array" ref="D170">INDEX('アイテム'!$G$3:$H$114, MATCH($A$1,'アイテム'!$A$3:$A$114,0), MATCH(D165,'アイテム'!$C$2:$AQ$2,0))</f>
        <v>24</v>
      </c>
      <c r="E170" s="2873"/>
      <c r="F170" s="102"/>
      <c r="G170" s="102"/>
      <c r="H170" s="102"/>
      <c r="I170" s="2873"/>
      <c r="J170" s="118"/>
      <c r="K170" s="118"/>
      <c r="L170" s="118"/>
      <c r="M170" s="118"/>
      <c r="N170" s="98"/>
      <c r="O170" s="98"/>
      <c r="P170" s="98"/>
      <c r="Q170" s="98"/>
      <c r="R170" s="118"/>
      <c r="S170" s="118"/>
      <c r="T170" s="118"/>
      <c r="U170" s="118"/>
      <c r="V170" s="118"/>
    </row>
    <row r="171" outlineLevel="1">
      <c r="A171" s="146"/>
      <c r="B171" s="327" t="s">
        <v>229</v>
      </c>
      <c r="C171" s="328" t="str">
        <f t="array" ref="C171">INDEX('アイテム'!$I$3:$J$114, MATCH($A$1,'アイテム'!$A$3:$A$114,0), MATCH(C165,'アイテム'!$C$2:$AQ$2,0))</f>
        <v>10</v>
      </c>
      <c r="D171" s="328">
        <f t="array" ref="D171">INDEX('アイテム'!$I$3:$J$114, MATCH($A$1,'アイテム'!$A$3:$A$114,0), MATCH(D165,'アイテム'!$C$2:$AQ$2,0))</f>
        <v>24</v>
      </c>
      <c r="E171" s="2873"/>
      <c r="F171" s="102"/>
      <c r="G171" s="102"/>
      <c r="H171" s="102"/>
      <c r="I171" s="2873"/>
      <c r="J171" s="118"/>
      <c r="K171" s="118"/>
      <c r="L171" s="118"/>
      <c r="M171" s="118"/>
      <c r="N171" s="98"/>
      <c r="O171" s="98"/>
      <c r="P171" s="98"/>
      <c r="Q171" s="98"/>
      <c r="R171" s="118"/>
      <c r="S171" s="118"/>
      <c r="T171" s="118"/>
      <c r="U171" s="118"/>
      <c r="V171" s="118"/>
    </row>
    <row r="172" outlineLevel="1">
      <c r="A172" s="146"/>
      <c r="B172" s="327" t="s">
        <v>233</v>
      </c>
      <c r="C172" s="328" t="str">
        <f t="array" ref="C172">INDEX('アイテム'!$K$3:$L$114, MATCH($A$1,'アイテム'!$A$3:$A$114,0), MATCH(C165,'アイテム'!$C$2:$AQ$2,0))</f>
        <v>12</v>
      </c>
      <c r="D172" s="328">
        <f t="array" ref="D172">INDEX('アイテム'!$K$3:$L$114, MATCH($A$1,'アイテム'!$A$3:$A$114,0), MATCH(D165,'アイテム'!$C$2:$AQ$2,0))</f>
        <v>23</v>
      </c>
      <c r="E172" s="2873"/>
      <c r="F172" s="102"/>
      <c r="G172" s="102"/>
      <c r="H172" s="102"/>
      <c r="I172" s="2873"/>
      <c r="J172" s="118"/>
      <c r="K172" s="118"/>
      <c r="L172" s="118"/>
      <c r="M172" s="118"/>
      <c r="N172" s="98"/>
      <c r="O172" s="98"/>
      <c r="P172" s="98"/>
      <c r="Q172" s="98"/>
      <c r="R172" s="118"/>
      <c r="S172" s="118"/>
      <c r="T172" s="118"/>
      <c r="U172" s="118"/>
      <c r="V172" s="118"/>
    </row>
    <row r="173" outlineLevel="1">
      <c r="A173" s="146"/>
      <c r="B173" s="327" t="s">
        <v>234</v>
      </c>
      <c r="C173" s="328" t="str">
        <f t="array" ref="C173">INDEX('アイテム'!$M$3:$N$114, MATCH($A$1,'アイテム'!$A$3:$A$114,0), MATCH(C165,'アイテム'!$C$2:$AQ$2,0))</f>
        <v>7</v>
      </c>
      <c r="D173" s="328">
        <f t="array" ref="D173">INDEX('アイテム'!$M$3:$N$114, MATCH($A$1,'アイテム'!$A$3:$A$114,0), MATCH(D165,'アイテム'!$C$2:$AQ$2,0))</f>
        <v>19</v>
      </c>
      <c r="E173" s="2873"/>
      <c r="F173" s="102"/>
      <c r="G173" s="102"/>
      <c r="H173" s="102"/>
      <c r="I173" s="2873"/>
      <c r="J173" s="118"/>
      <c r="K173" s="118"/>
      <c r="L173" s="118"/>
      <c r="M173" s="118"/>
      <c r="N173" s="98"/>
      <c r="O173" s="98"/>
      <c r="P173" s="98"/>
      <c r="Q173" s="98"/>
      <c r="R173" s="118"/>
      <c r="S173" s="118"/>
      <c r="T173" s="118"/>
      <c r="U173" s="118"/>
      <c r="V173" s="118"/>
    </row>
    <row r="174" outlineLevel="1">
      <c r="A174" s="146"/>
      <c r="B174" s="327" t="s">
        <v>219</v>
      </c>
      <c r="C174" s="328" t="str">
        <f t="array" ref="C174">INDEX('アイテム'!$O$3:$P$114, MATCH($A$1,'アイテム'!$A$3:$A$114,0), MATCH(C165,'アイテム'!$C$2:$AQ$2,0))</f>
        <v>5</v>
      </c>
      <c r="D174" s="328">
        <f t="array" ref="D174">INDEX('アイテム'!$O$3:$P$114, MATCH($A$1,'アイテム'!$A$3:$A$114,0), MATCH(D165,'アイテム'!$C$2:$AQ$2,0))</f>
        <v>29</v>
      </c>
      <c r="E174" s="2873"/>
      <c r="F174" s="102"/>
      <c r="G174" s="102"/>
      <c r="H174" s="102"/>
      <c r="I174" s="2873"/>
      <c r="J174" s="118"/>
      <c r="K174" s="118"/>
      <c r="L174" s="118"/>
      <c r="M174" s="118"/>
      <c r="N174" s="98"/>
      <c r="O174" s="98"/>
      <c r="P174" s="98"/>
      <c r="Q174" s="98"/>
      <c r="R174" s="118"/>
      <c r="S174" s="118"/>
      <c r="T174" s="118"/>
      <c r="U174" s="118"/>
      <c r="V174" s="118"/>
    </row>
    <row r="175" outlineLevel="1">
      <c r="A175" s="156"/>
      <c r="B175" s="327" t="s">
        <v>263</v>
      </c>
      <c r="C175" s="328" t="str">
        <f t="array" ref="C175">INDEX('アイテム'!$Q$3:$R$114, MATCH($A$1,'アイテム'!$A$3:$A$114,0), MATCH(C165,'アイテム'!$C$2:$AQ$2,0))</f>
        <v>7</v>
      </c>
      <c r="D175" s="328">
        <f t="array" ref="D175">INDEX('アイテム'!$Q$3:$R$114, MATCH($A$1,'アイテム'!$A$3:$A$114,0), MATCH(D165,'アイテム'!$C$2:$AQ$2,0))</f>
        <v>23</v>
      </c>
      <c r="E175" s="2873"/>
      <c r="F175" s="102"/>
      <c r="G175" s="102"/>
      <c r="H175" s="102"/>
      <c r="I175" s="2873"/>
      <c r="J175" s="118"/>
      <c r="K175" s="118"/>
      <c r="L175" s="118"/>
      <c r="M175" s="118"/>
      <c r="N175" s="98"/>
      <c r="O175" s="98"/>
      <c r="P175" s="98"/>
      <c r="Q175" s="98"/>
      <c r="R175" s="118"/>
      <c r="S175" s="118"/>
      <c r="T175" s="118"/>
      <c r="U175" s="118"/>
      <c r="V175" s="118"/>
    </row>
    <row r="176" outlineLevel="1">
      <c r="A176" s="326" t="s">
        <v>264</v>
      </c>
      <c r="B176" s="327" t="s">
        <v>226</v>
      </c>
      <c r="C176" s="328" t="str">
        <f t="array" ref="C176">INDEX('アイテム'!$S$3:$T$114, MATCH($A$1,'アイテム'!$A$3:$A$114,0), MATCH(C165,'アイテム'!$C$2:$AQ$2,0))</f>
        <v>10</v>
      </c>
      <c r="D176" s="328">
        <f t="array" ref="D176">INDEX('アイテム'!$S$3:$T$114, MATCH($A$1,'アイテム'!$A$3:$A$114,0), MATCH(D165,'アイテム'!$C$2:$AQ$2,0))</f>
        <v>24</v>
      </c>
      <c r="E176" s="2873"/>
      <c r="F176" s="102"/>
      <c r="G176" s="102"/>
      <c r="H176" s="102"/>
      <c r="I176" s="2873"/>
      <c r="J176" s="118"/>
      <c r="K176" s="118"/>
      <c r="L176" s="118"/>
      <c r="M176" s="118"/>
      <c r="N176" s="98"/>
      <c r="O176" s="98"/>
      <c r="P176" s="98"/>
      <c r="Q176" s="98"/>
      <c r="R176" s="118"/>
      <c r="S176" s="118"/>
      <c r="T176" s="118"/>
      <c r="U176" s="118"/>
      <c r="V176" s="118"/>
    </row>
    <row r="177" outlineLevel="1">
      <c r="A177" s="146"/>
      <c r="B177" s="327" t="s">
        <v>229</v>
      </c>
      <c r="C177" s="328" t="str">
        <f t="array" ref="C177">INDEX('アイテム'!$U$3:$V$114, MATCH($A$1,'アイテム'!$A$3:$A$114,0), MATCH(C165,'アイテム'!$C$2:$AQ$2,0))</f>
        <v>11</v>
      </c>
      <c r="D177" s="328">
        <f t="array" ref="D177">INDEX('アイテム'!$U$3:$V$114, MATCH($A$1,'アイテム'!$A$3:$A$114,0), MATCH(D165,'アイテム'!$C$2:$AQ$2,0))</f>
        <v>24</v>
      </c>
      <c r="E177" s="2873"/>
      <c r="F177" s="102"/>
      <c r="G177" s="102"/>
      <c r="H177" s="102"/>
      <c r="I177" s="2873"/>
      <c r="J177" s="118"/>
      <c r="K177" s="118"/>
      <c r="L177" s="118"/>
      <c r="M177" s="118"/>
      <c r="N177" s="98"/>
      <c r="O177" s="98"/>
      <c r="P177" s="98"/>
      <c r="Q177" s="98"/>
      <c r="R177" s="118"/>
      <c r="S177" s="118"/>
      <c r="T177" s="118"/>
      <c r="U177" s="118"/>
      <c r="V177" s="118"/>
    </row>
    <row r="178" outlineLevel="1">
      <c r="A178" s="146"/>
      <c r="B178" s="327" t="s">
        <v>233</v>
      </c>
      <c r="C178" s="328" t="str">
        <f t="array" ref="C178">INDEX('アイテム'!$W$3:$X$114, MATCH($A$1,'アイテム'!$A$3:$A$114,0), MATCH(C165,'アイテム'!$C$2:$AQ$2,0))</f>
        <v>12</v>
      </c>
      <c r="D178" s="328">
        <f t="array" ref="D178">INDEX('アイテム'!$W$3:$X$114, MATCH($A$1,'アイテム'!$A$3:$A$114,0), MATCH(D165,'アイテム'!$C$2:$AQ$2,0))</f>
        <v>23</v>
      </c>
      <c r="E178" s="2873"/>
      <c r="F178" s="102"/>
      <c r="G178" s="102"/>
      <c r="H178" s="102"/>
      <c r="I178" s="2873"/>
      <c r="J178" s="118"/>
      <c r="K178" s="118"/>
      <c r="L178" s="118"/>
      <c r="M178" s="118"/>
      <c r="N178" s="98"/>
      <c r="O178" s="98"/>
      <c r="P178" s="98"/>
      <c r="Q178" s="98"/>
      <c r="R178" s="118"/>
      <c r="S178" s="118"/>
      <c r="T178" s="118"/>
      <c r="U178" s="118"/>
      <c r="V178" s="118"/>
    </row>
    <row r="179" outlineLevel="1">
      <c r="A179" s="156"/>
      <c r="B179" s="327" t="s">
        <v>234</v>
      </c>
      <c r="C179" s="328" t="str">
        <f t="array" ref="C179">INDEX('アイテム'!$Y$3:$Z$114, MATCH($A$1,'アイテム'!$A$3:$A$114,0), MATCH(C165,'アイテム'!$C$2:$AQ$2,0))</f>
        <v>7</v>
      </c>
      <c r="D179" s="328">
        <f t="array" ref="D179">INDEX('アイテム'!$Y$3:$Z$114, MATCH($A$1,'アイテム'!$A$3:$A$114,0), MATCH(D165,'アイテム'!$C$2:$AQ$2,0))</f>
        <v>19</v>
      </c>
      <c r="E179" s="2873"/>
      <c r="F179" s="102"/>
      <c r="G179" s="102"/>
      <c r="H179" s="102"/>
      <c r="I179" s="2873"/>
      <c r="J179" s="118"/>
      <c r="K179" s="118"/>
      <c r="L179" s="118"/>
      <c r="M179" s="118"/>
      <c r="N179" s="98"/>
      <c r="O179" s="98"/>
      <c r="P179" s="98"/>
      <c r="Q179" s="98"/>
      <c r="R179" s="118"/>
      <c r="S179" s="118"/>
      <c r="T179" s="118"/>
      <c r="U179" s="118"/>
      <c r="V179" s="118"/>
    </row>
    <row r="180" outlineLevel="1">
      <c r="A180" s="326" t="s">
        <v>265</v>
      </c>
      <c r="B180" s="327" t="s">
        <v>226</v>
      </c>
      <c r="C180" s="328">
        <f t="array" ref="C180">INDEX('アイテム'!$AC$3:$AD$114, MATCH($A$1,'アイテム'!$A$3:$A$114,0), MATCH(C165,'アイテム'!$C$2:$AQ$2,0))</f>
        <v>14</v>
      </c>
      <c r="D180" s="328" t="str">
        <f t="array" ref="D180">INDEX('アイテム'!$AC$3:$AD$114, MATCH($A$1,'アイテム'!$A$3:$A$114,0), MATCH(D165,'アイテム'!$C$2:$AQ$2,0))</f>
        <v>30</v>
      </c>
      <c r="E180" s="2873"/>
      <c r="F180" s="102"/>
      <c r="G180" s="102"/>
      <c r="H180" s="102"/>
      <c r="I180" s="2873"/>
      <c r="J180" s="118"/>
      <c r="K180" s="118"/>
      <c r="L180" s="118"/>
      <c r="M180" s="118"/>
      <c r="N180" s="98"/>
      <c r="O180" s="98"/>
      <c r="P180" s="98"/>
      <c r="Q180" s="98"/>
      <c r="R180" s="118"/>
      <c r="S180" s="118"/>
      <c r="T180" s="118"/>
      <c r="U180" s="118"/>
      <c r="V180" s="118"/>
    </row>
    <row r="181" outlineLevel="1">
      <c r="A181" s="146"/>
      <c r="B181" s="327" t="s">
        <v>229</v>
      </c>
      <c r="C181" s="328">
        <f t="array" ref="C181">INDEX('アイテム'!$AE$3:$AF$114, MATCH($A$1,'アイテム'!$A$3:$A$114,0), MATCH(C165,'アイテム'!$C$2:$AQ$2,0))</f>
        <v>15</v>
      </c>
      <c r="D181" s="328" t="str">
        <f t="array" ref="D181">INDEX('アイテム'!$AE$3:$AF$114, MATCH($A$1,'アイテム'!$A$3:$A$114,0), MATCH(D165,'アイテム'!$C$2:$AQ$2,0))</f>
        <v>30</v>
      </c>
      <c r="E181" s="2873"/>
      <c r="F181" s="102"/>
      <c r="G181" s="102"/>
      <c r="H181" s="102"/>
      <c r="I181" s="2873"/>
      <c r="J181" s="118"/>
      <c r="K181" s="118"/>
      <c r="L181" s="118"/>
      <c r="M181" s="118"/>
      <c r="N181" s="98"/>
      <c r="O181" s="98"/>
      <c r="P181" s="98"/>
      <c r="Q181" s="98"/>
      <c r="R181" s="118"/>
      <c r="S181" s="118"/>
      <c r="T181" s="118"/>
      <c r="U181" s="118"/>
      <c r="V181" s="118"/>
    </row>
    <row r="182" outlineLevel="1">
      <c r="A182" s="146"/>
      <c r="B182" s="327" t="s">
        <v>233</v>
      </c>
      <c r="C182" s="328">
        <f t="array" ref="C182">INDEX('アイテム'!$AG$3:$AH$114, MATCH($A$1,'アイテム'!$A$3:$A$114,0), MATCH(C165,'アイテム'!$C$2:$AQ$2,0))</f>
        <v>11</v>
      </c>
      <c r="D182" s="328" t="str">
        <f t="array" ref="D182">INDEX('アイテム'!$AG$3:$AH$114, MATCH($A$1,'アイテム'!$A$3:$A$114,0), MATCH(D165,'アイテム'!$C$2:$AQ$2,0))</f>
        <v>22</v>
      </c>
      <c r="E182" s="2873"/>
      <c r="F182" s="102"/>
      <c r="G182" s="102"/>
      <c r="H182" s="102"/>
      <c r="I182" s="2873"/>
      <c r="J182" s="118"/>
      <c r="K182" s="118"/>
      <c r="L182" s="118"/>
      <c r="M182" s="118"/>
      <c r="N182" s="98"/>
      <c r="O182" s="98"/>
      <c r="P182" s="98"/>
      <c r="Q182" s="98"/>
      <c r="R182" s="118"/>
      <c r="S182" s="118"/>
      <c r="T182" s="118"/>
      <c r="U182" s="118"/>
      <c r="V182" s="118"/>
    </row>
    <row r="183" outlineLevel="1">
      <c r="A183" s="156"/>
      <c r="B183" s="327" t="s">
        <v>234</v>
      </c>
      <c r="C183" s="328">
        <f t="array" ref="C183">INDEX('アイテム'!$AI$3:$AJ$114, MATCH($A$1,'アイテム'!$A$3:$A$114,0), MATCH(C165,'アイテム'!$C$2:$AQ$2,0))</f>
        <v>11</v>
      </c>
      <c r="D183" s="328" t="str">
        <f t="array" ref="D183">INDEX('アイテム'!$AI$3:$AJ$114, MATCH($A$1,'アイテム'!$A$3:$A$114,0), MATCH(D165,'アイテム'!$C$2:$AQ$2,0))</f>
        <v>22</v>
      </c>
      <c r="E183" s="2873"/>
      <c r="F183" s="102"/>
      <c r="G183" s="102"/>
      <c r="H183" s="102"/>
      <c r="I183" s="2873"/>
      <c r="J183" s="118"/>
      <c r="K183" s="118"/>
      <c r="L183" s="118"/>
      <c r="M183" s="118"/>
      <c r="N183" s="98"/>
      <c r="O183" s="98"/>
      <c r="P183" s="98"/>
      <c r="Q183" s="98"/>
      <c r="R183" s="118"/>
      <c r="S183" s="118"/>
      <c r="T183" s="118"/>
      <c r="U183" s="118"/>
      <c r="V183" s="118"/>
    </row>
    <row r="184">
      <c r="A184" s="1028"/>
      <c r="B184" s="2874"/>
      <c r="C184" s="2545"/>
      <c r="D184" s="2545"/>
      <c r="E184" s="322"/>
      <c r="F184" s="322"/>
      <c r="G184" s="114"/>
      <c r="H184" s="228"/>
      <c r="I184" s="228"/>
      <c r="J184" s="228"/>
      <c r="K184" s="118"/>
      <c r="L184" s="118"/>
      <c r="M184" s="118"/>
      <c r="N184" s="98"/>
      <c r="O184" s="98"/>
      <c r="P184" s="98"/>
      <c r="Q184" s="98"/>
      <c r="R184" s="118"/>
      <c r="S184" s="118"/>
      <c r="T184" s="118"/>
      <c r="U184" s="118"/>
      <c r="V184" s="118"/>
    </row>
    <row r="185">
      <c r="A185" s="2875" t="s">
        <v>4752</v>
      </c>
      <c r="B185" s="210"/>
      <c r="C185" s="118"/>
      <c r="D185" s="118"/>
      <c r="E185" s="118"/>
      <c r="F185" s="118"/>
      <c r="G185" s="118"/>
      <c r="H185" s="118"/>
      <c r="I185" s="118"/>
      <c r="J185" s="118"/>
      <c r="K185" s="118"/>
      <c r="L185" s="118"/>
      <c r="M185" s="118"/>
      <c r="N185" s="98"/>
      <c r="O185" s="98"/>
      <c r="P185" s="98"/>
      <c r="Q185" s="98"/>
      <c r="R185" s="118"/>
      <c r="S185" s="118"/>
      <c r="T185" s="118"/>
      <c r="U185" s="118"/>
      <c r="V185" s="118"/>
    </row>
    <row r="186" outlineLevel="1">
      <c r="A186" s="168"/>
      <c r="B186" s="107"/>
      <c r="C186" s="2876" t="s">
        <v>4753</v>
      </c>
      <c r="D186" s="2876" t="s">
        <v>4754</v>
      </c>
      <c r="E186" s="2876" t="s">
        <v>4755</v>
      </c>
      <c r="F186" s="2877" t="s">
        <v>4756</v>
      </c>
      <c r="G186" s="110"/>
      <c r="H186" s="109"/>
      <c r="I186" s="2876" t="s">
        <v>4757</v>
      </c>
      <c r="J186" s="118"/>
      <c r="K186" s="118"/>
      <c r="L186" s="118"/>
      <c r="M186" s="118"/>
      <c r="N186" s="98"/>
      <c r="O186" s="98"/>
      <c r="P186" s="98"/>
      <c r="Q186" s="98"/>
      <c r="R186" s="118"/>
      <c r="S186" s="118"/>
      <c r="T186" s="118"/>
      <c r="U186" s="118"/>
      <c r="V186" s="118"/>
    </row>
    <row r="187" outlineLevel="1">
      <c r="A187" s="2878" t="s">
        <v>266</v>
      </c>
      <c r="B187" s="2879" t="s">
        <v>55</v>
      </c>
      <c r="C187" s="2880">
        <v>13.0</v>
      </c>
      <c r="D187" s="2880">
        <v>13.0</v>
      </c>
      <c r="E187" s="2880">
        <v>42.0</v>
      </c>
      <c r="F187" s="2881" t="s">
        <v>4758</v>
      </c>
      <c r="G187" s="110"/>
      <c r="H187" s="109"/>
      <c r="I187" s="328" t="s">
        <v>4759</v>
      </c>
      <c r="J187" s="118"/>
      <c r="K187" s="118"/>
      <c r="L187" s="118"/>
      <c r="M187" s="118"/>
      <c r="N187" s="98"/>
      <c r="O187" s="98"/>
      <c r="P187" s="98"/>
      <c r="Q187" s="98"/>
      <c r="R187" s="118"/>
      <c r="S187" s="118"/>
      <c r="T187" s="118"/>
      <c r="U187" s="118"/>
      <c r="V187" s="118"/>
    </row>
    <row r="188" outlineLevel="1">
      <c r="A188" s="146"/>
      <c r="B188" s="2879" t="s">
        <v>63</v>
      </c>
      <c r="C188" s="2880">
        <v>11.0</v>
      </c>
      <c r="D188" s="2880">
        <v>11.0</v>
      </c>
      <c r="E188" s="2880">
        <v>42.0</v>
      </c>
      <c r="F188" s="2881" t="s">
        <v>4760</v>
      </c>
      <c r="G188" s="110"/>
      <c r="H188" s="109"/>
      <c r="I188" s="328" t="s">
        <v>4759</v>
      </c>
      <c r="J188" s="118"/>
      <c r="K188" s="2688"/>
      <c r="L188" s="118"/>
      <c r="M188" s="118"/>
      <c r="N188" s="98"/>
      <c r="O188" s="98"/>
      <c r="P188" s="98"/>
      <c r="Q188" s="98"/>
      <c r="R188" s="118"/>
      <c r="S188" s="118"/>
      <c r="T188" s="118"/>
      <c r="U188" s="118"/>
      <c r="V188" s="118"/>
    </row>
    <row r="189" outlineLevel="1">
      <c r="A189" s="146"/>
      <c r="B189" s="2879" t="s">
        <v>4761</v>
      </c>
      <c r="C189" s="2882">
        <v>10.0</v>
      </c>
      <c r="D189" s="2880">
        <v>10.0</v>
      </c>
      <c r="E189" s="2882">
        <v>53.0</v>
      </c>
      <c r="F189" s="2881" t="s">
        <v>4762</v>
      </c>
      <c r="G189" s="110"/>
      <c r="H189" s="109"/>
      <c r="I189" s="2882">
        <v>116.0</v>
      </c>
      <c r="J189" s="118"/>
      <c r="K189" s="118"/>
      <c r="L189" s="118"/>
      <c r="M189" s="118"/>
      <c r="N189" s="98"/>
      <c r="O189" s="98"/>
      <c r="P189" s="98"/>
      <c r="Q189" s="98"/>
      <c r="R189" s="118"/>
      <c r="S189" s="118"/>
      <c r="T189" s="118"/>
      <c r="U189" s="118"/>
      <c r="V189" s="118"/>
    </row>
    <row r="190" outlineLevel="1">
      <c r="A190" s="146"/>
      <c r="B190" s="2879" t="s">
        <v>4763</v>
      </c>
      <c r="C190" s="156"/>
      <c r="D190" s="2880">
        <v>13.0</v>
      </c>
      <c r="E190" s="156"/>
      <c r="F190" s="2881" t="s">
        <v>4758</v>
      </c>
      <c r="G190" s="110"/>
      <c r="H190" s="109"/>
      <c r="I190" s="156"/>
      <c r="J190" s="118"/>
      <c r="K190" s="118"/>
      <c r="L190" s="118"/>
      <c r="M190" s="118"/>
      <c r="N190" s="98"/>
      <c r="O190" s="98"/>
      <c r="P190" s="98"/>
      <c r="Q190" s="98"/>
      <c r="R190" s="118"/>
      <c r="S190" s="118"/>
      <c r="T190" s="118"/>
      <c r="U190" s="118"/>
      <c r="V190" s="118"/>
    </row>
    <row r="191" outlineLevel="1">
      <c r="A191" s="156"/>
      <c r="B191" s="2879" t="s">
        <v>708</v>
      </c>
      <c r="C191" s="2880">
        <v>15.0</v>
      </c>
      <c r="D191" s="2883">
        <v>15.0</v>
      </c>
      <c r="E191" s="2883">
        <v>73.0</v>
      </c>
      <c r="F191" s="2884" t="s">
        <v>4764</v>
      </c>
      <c r="G191" s="110"/>
      <c r="H191" s="109"/>
      <c r="I191" s="2885">
        <v>136.0</v>
      </c>
      <c r="J191" s="118"/>
      <c r="K191" s="118"/>
      <c r="L191" s="118"/>
      <c r="M191" s="118"/>
      <c r="N191" s="98"/>
      <c r="O191" s="98"/>
      <c r="P191" s="98"/>
      <c r="Q191" s="98"/>
      <c r="R191" s="118"/>
      <c r="S191" s="118"/>
      <c r="T191" s="118"/>
      <c r="U191" s="118"/>
      <c r="V191" s="118"/>
    </row>
    <row r="192" outlineLevel="1">
      <c r="A192" s="2886" t="s">
        <v>77</v>
      </c>
      <c r="B192" s="2879"/>
      <c r="C192" s="2880">
        <v>28.0</v>
      </c>
      <c r="D192" s="2883">
        <v>28.0</v>
      </c>
      <c r="E192" s="2883">
        <v>53.0</v>
      </c>
      <c r="F192" s="2884" t="s">
        <v>4765</v>
      </c>
      <c r="G192" s="110"/>
      <c r="H192" s="109"/>
      <c r="I192" s="2885">
        <v>116.0</v>
      </c>
      <c r="J192" s="118"/>
      <c r="K192" s="118"/>
      <c r="L192" s="118"/>
      <c r="M192" s="118"/>
      <c r="N192" s="98"/>
      <c r="O192" s="98"/>
      <c r="P192" s="98"/>
      <c r="Q192" s="98"/>
      <c r="R192" s="118"/>
      <c r="S192" s="118"/>
      <c r="T192" s="118"/>
      <c r="U192" s="118"/>
      <c r="V192" s="118"/>
    </row>
    <row r="193" outlineLevel="1">
      <c r="A193" s="2878" t="s">
        <v>89</v>
      </c>
      <c r="B193" s="2879" t="s">
        <v>2224</v>
      </c>
      <c r="C193" s="2880">
        <v>14.0</v>
      </c>
      <c r="D193" s="2880">
        <v>14.0</v>
      </c>
      <c r="E193" s="2880">
        <v>42.0</v>
      </c>
      <c r="F193" s="2881" t="s">
        <v>4766</v>
      </c>
      <c r="G193" s="110"/>
      <c r="H193" s="109"/>
      <c r="I193" s="2885">
        <v>105.0</v>
      </c>
      <c r="J193" s="118"/>
      <c r="K193" s="118"/>
      <c r="L193" s="118"/>
      <c r="M193" s="118"/>
      <c r="N193" s="98"/>
      <c r="O193" s="98"/>
      <c r="P193" s="98"/>
      <c r="Q193" s="98"/>
      <c r="R193" s="118"/>
      <c r="S193" s="118"/>
      <c r="T193" s="118"/>
      <c r="U193" s="118"/>
      <c r="V193" s="118"/>
    </row>
    <row r="194" outlineLevel="1">
      <c r="A194" s="146"/>
      <c r="B194" s="2879" t="s">
        <v>2226</v>
      </c>
      <c r="C194" s="2880">
        <v>13.0</v>
      </c>
      <c r="D194" s="2880">
        <v>13.0</v>
      </c>
      <c r="E194" s="2880">
        <v>50.0</v>
      </c>
      <c r="F194" s="2881" t="s">
        <v>4758</v>
      </c>
      <c r="G194" s="110"/>
      <c r="H194" s="109"/>
      <c r="I194" s="2885">
        <v>113.0</v>
      </c>
      <c r="J194" s="118"/>
      <c r="K194" s="118"/>
      <c r="L194" s="118"/>
      <c r="M194" s="118"/>
      <c r="N194" s="98"/>
      <c r="O194" s="98"/>
      <c r="P194" s="98"/>
      <c r="Q194" s="98"/>
      <c r="R194" s="118"/>
      <c r="S194" s="118"/>
      <c r="T194" s="118"/>
      <c r="U194" s="118"/>
      <c r="V194" s="118"/>
    </row>
    <row r="195" outlineLevel="1">
      <c r="A195" s="156"/>
      <c r="B195" s="2879" t="s">
        <v>2228</v>
      </c>
      <c r="C195" s="2880">
        <v>16.0</v>
      </c>
      <c r="D195" s="2880">
        <v>16.0</v>
      </c>
      <c r="E195" s="2880">
        <v>50.0</v>
      </c>
      <c r="F195" s="2881" t="s">
        <v>4767</v>
      </c>
      <c r="G195" s="110"/>
      <c r="H195" s="109"/>
      <c r="I195" s="2885">
        <v>113.0</v>
      </c>
      <c r="J195" s="118"/>
      <c r="K195" s="118"/>
      <c r="L195" s="118"/>
      <c r="M195" s="118"/>
      <c r="N195" s="98"/>
      <c r="O195" s="98"/>
      <c r="P195" s="98"/>
      <c r="Q195" s="98"/>
      <c r="R195" s="118"/>
      <c r="S195" s="118"/>
      <c r="T195" s="118"/>
      <c r="U195" s="118"/>
      <c r="V195" s="118"/>
    </row>
    <row r="196" outlineLevel="1">
      <c r="A196" s="2887" t="s">
        <v>97</v>
      </c>
      <c r="B196" s="2879"/>
      <c r="C196" s="2880">
        <v>16.0</v>
      </c>
      <c r="D196" s="2880">
        <v>16.0</v>
      </c>
      <c r="E196" s="2880">
        <v>40.0</v>
      </c>
      <c r="F196" s="2881" t="s">
        <v>4767</v>
      </c>
      <c r="G196" s="110"/>
      <c r="H196" s="109"/>
      <c r="I196" s="2885">
        <v>103.0</v>
      </c>
      <c r="J196" s="118"/>
      <c r="K196" s="118"/>
      <c r="L196" s="118"/>
      <c r="M196" s="118"/>
      <c r="N196" s="98"/>
      <c r="O196" s="98"/>
      <c r="P196" s="98"/>
      <c r="Q196" s="98"/>
      <c r="R196" s="118"/>
      <c r="S196" s="118"/>
      <c r="T196" s="118"/>
      <c r="U196" s="118"/>
      <c r="V196" s="118"/>
    </row>
    <row r="197" outlineLevel="1">
      <c r="A197" s="2878" t="s">
        <v>103</v>
      </c>
      <c r="B197" s="2879" t="s">
        <v>4768</v>
      </c>
      <c r="C197" s="2882">
        <v>20.0</v>
      </c>
      <c r="D197" s="2880">
        <v>20.0</v>
      </c>
      <c r="E197" s="2882">
        <v>42.0</v>
      </c>
      <c r="F197" s="2881" t="s">
        <v>4769</v>
      </c>
      <c r="G197" s="110"/>
      <c r="H197" s="109"/>
      <c r="I197" s="2882">
        <v>106.0</v>
      </c>
      <c r="J197" s="118"/>
      <c r="K197" s="118"/>
      <c r="L197" s="118"/>
      <c r="M197" s="118"/>
      <c r="N197" s="98"/>
      <c r="O197" s="98"/>
      <c r="P197" s="98"/>
      <c r="Q197" s="98"/>
      <c r="R197" s="118"/>
      <c r="S197" s="118"/>
      <c r="T197" s="118"/>
      <c r="U197" s="118"/>
      <c r="V197" s="118"/>
    </row>
    <row r="198" outlineLevel="1">
      <c r="A198" s="156"/>
      <c r="B198" s="2879" t="s">
        <v>1054</v>
      </c>
      <c r="C198" s="156"/>
      <c r="D198" s="2880">
        <v>23.0</v>
      </c>
      <c r="E198" s="156"/>
      <c r="F198" s="2881" t="s">
        <v>4770</v>
      </c>
      <c r="G198" s="110"/>
      <c r="H198" s="109"/>
      <c r="I198" s="156"/>
      <c r="J198" s="118"/>
      <c r="K198" s="118"/>
      <c r="L198" s="118"/>
      <c r="M198" s="118"/>
      <c r="N198" s="98"/>
      <c r="O198" s="98"/>
      <c r="P198" s="98"/>
      <c r="Q198" s="98"/>
      <c r="R198" s="118"/>
      <c r="S198" s="118"/>
      <c r="T198" s="118"/>
      <c r="U198" s="118"/>
      <c r="V198" s="118"/>
    </row>
    <row r="199" outlineLevel="1">
      <c r="A199" s="2886" t="s">
        <v>109</v>
      </c>
      <c r="B199" s="2879"/>
      <c r="C199" s="2880">
        <v>23.0</v>
      </c>
      <c r="D199" s="2880">
        <v>23.0</v>
      </c>
      <c r="E199" s="2880">
        <v>72.0</v>
      </c>
      <c r="F199" s="2881" t="s">
        <v>4770</v>
      </c>
      <c r="G199" s="110"/>
      <c r="H199" s="109"/>
      <c r="I199" s="2885">
        <v>135.0</v>
      </c>
      <c r="J199" s="118"/>
      <c r="K199" s="118"/>
      <c r="L199" s="118"/>
      <c r="M199" s="118"/>
      <c r="N199" s="98"/>
      <c r="O199" s="98"/>
      <c r="P199" s="98"/>
      <c r="Q199" s="98"/>
      <c r="R199" s="118"/>
      <c r="S199" s="118"/>
      <c r="T199" s="118"/>
      <c r="U199" s="118"/>
      <c r="V199" s="118"/>
    </row>
    <row r="200" outlineLevel="1">
      <c r="A200" s="2878" t="s">
        <v>116</v>
      </c>
      <c r="B200" s="2879" t="s">
        <v>4771</v>
      </c>
      <c r="C200" s="2882">
        <v>25.0</v>
      </c>
      <c r="D200" s="2880">
        <v>25.0</v>
      </c>
      <c r="E200" s="2882">
        <v>73.0</v>
      </c>
      <c r="F200" s="2881" t="s">
        <v>4772</v>
      </c>
      <c r="G200" s="110"/>
      <c r="H200" s="109"/>
      <c r="I200" s="2882">
        <v>136.0</v>
      </c>
      <c r="J200" s="118"/>
      <c r="K200" s="118"/>
      <c r="L200" s="118"/>
      <c r="M200" s="118"/>
      <c r="N200" s="98"/>
      <c r="O200" s="98"/>
      <c r="P200" s="98"/>
      <c r="Q200" s="98"/>
      <c r="R200" s="118"/>
      <c r="S200" s="118"/>
      <c r="T200" s="118"/>
      <c r="U200" s="118"/>
      <c r="V200" s="118"/>
    </row>
    <row r="201" outlineLevel="1">
      <c r="A201" s="156"/>
      <c r="B201" s="2879" t="s">
        <v>245</v>
      </c>
      <c r="C201" s="156"/>
      <c r="D201" s="2880">
        <v>28.0</v>
      </c>
      <c r="E201" s="156"/>
      <c r="F201" s="2881" t="s">
        <v>4765</v>
      </c>
      <c r="G201" s="110"/>
      <c r="H201" s="109"/>
      <c r="I201" s="156"/>
      <c r="J201" s="118"/>
      <c r="K201" s="118"/>
      <c r="L201" s="118"/>
      <c r="M201" s="118"/>
      <c r="N201" s="98"/>
      <c r="O201" s="98"/>
      <c r="P201" s="98"/>
      <c r="Q201" s="98"/>
      <c r="R201" s="118"/>
      <c r="S201" s="118"/>
      <c r="T201" s="118"/>
      <c r="U201" s="118"/>
      <c r="V201" s="118"/>
    </row>
    <row r="202" outlineLevel="1">
      <c r="A202" s="2878" t="s">
        <v>124</v>
      </c>
      <c r="B202" s="2879" t="s">
        <v>4773</v>
      </c>
      <c r="C202" s="2882">
        <v>28.0</v>
      </c>
      <c r="D202" s="2880">
        <v>28.0</v>
      </c>
      <c r="E202" s="2882">
        <v>77.0</v>
      </c>
      <c r="F202" s="2881" t="s">
        <v>4765</v>
      </c>
      <c r="G202" s="110"/>
      <c r="H202" s="109"/>
      <c r="I202" s="2882">
        <v>140.0</v>
      </c>
      <c r="J202" s="118"/>
      <c r="K202" s="118"/>
      <c r="L202" s="118"/>
      <c r="M202" s="118"/>
      <c r="N202" s="98"/>
      <c r="O202" s="98"/>
      <c r="P202" s="98"/>
      <c r="Q202" s="98"/>
      <c r="R202" s="118"/>
      <c r="S202" s="118"/>
      <c r="T202" s="118"/>
      <c r="U202" s="118"/>
      <c r="V202" s="118"/>
    </row>
    <row r="203" outlineLevel="1">
      <c r="A203" s="156"/>
      <c r="B203" s="2879" t="s">
        <v>4774</v>
      </c>
      <c r="C203" s="156"/>
      <c r="D203" s="2880">
        <v>31.0</v>
      </c>
      <c r="E203" s="156"/>
      <c r="F203" s="2881" t="s">
        <v>4775</v>
      </c>
      <c r="G203" s="110"/>
      <c r="H203" s="109"/>
      <c r="I203" s="156"/>
      <c r="J203" s="118"/>
      <c r="K203" s="118"/>
      <c r="L203" s="118"/>
      <c r="M203" s="118"/>
      <c r="N203" s="98"/>
      <c r="O203" s="98"/>
      <c r="P203" s="98"/>
      <c r="Q203" s="98"/>
      <c r="R203" s="118"/>
      <c r="S203" s="118"/>
      <c r="T203" s="118"/>
      <c r="U203" s="118"/>
      <c r="V203" s="118"/>
    </row>
    <row r="204" outlineLevel="1">
      <c r="A204" s="2878" t="s">
        <v>144</v>
      </c>
      <c r="B204" s="2879" t="s">
        <v>1787</v>
      </c>
      <c r="C204" s="2880">
        <v>26.0</v>
      </c>
      <c r="D204" s="2880" t="s">
        <v>4776</v>
      </c>
      <c r="E204" s="2885">
        <v>42.0</v>
      </c>
      <c r="F204" s="2881" t="s">
        <v>4776</v>
      </c>
      <c r="G204" s="110"/>
      <c r="H204" s="109"/>
      <c r="I204" s="2885">
        <v>42.0</v>
      </c>
      <c r="J204" s="118"/>
      <c r="K204" s="118"/>
      <c r="L204" s="118"/>
      <c r="M204" s="118"/>
      <c r="N204" s="98"/>
      <c r="O204" s="98"/>
      <c r="P204" s="98"/>
      <c r="Q204" s="98"/>
      <c r="R204" s="118"/>
      <c r="S204" s="118"/>
      <c r="T204" s="118"/>
      <c r="U204" s="118"/>
      <c r="V204" s="118"/>
    </row>
    <row r="205" outlineLevel="1">
      <c r="A205" s="146"/>
      <c r="B205" s="2879" t="s">
        <v>4553</v>
      </c>
      <c r="C205" s="2888">
        <v>35.0</v>
      </c>
      <c r="D205" s="2880" t="s">
        <v>4777</v>
      </c>
      <c r="E205" s="2885">
        <v>52.0</v>
      </c>
      <c r="F205" s="2881" t="s">
        <v>4777</v>
      </c>
      <c r="G205" s="110"/>
      <c r="H205" s="109"/>
      <c r="I205" s="2885">
        <v>52.0</v>
      </c>
      <c r="J205" s="118"/>
      <c r="K205" s="118"/>
      <c r="L205" s="118"/>
      <c r="M205" s="118"/>
      <c r="N205" s="98"/>
      <c r="O205" s="98"/>
      <c r="P205" s="98"/>
      <c r="Q205" s="98"/>
      <c r="R205" s="118"/>
      <c r="S205" s="118"/>
      <c r="T205" s="118"/>
      <c r="U205" s="118"/>
      <c r="V205" s="118"/>
    </row>
    <row r="206" outlineLevel="1">
      <c r="A206" s="146"/>
      <c r="B206" s="2879" t="s">
        <v>4672</v>
      </c>
      <c r="C206" s="2888">
        <v>45.0</v>
      </c>
      <c r="D206" s="2880" t="s">
        <v>4778</v>
      </c>
      <c r="E206" s="2885">
        <v>62.0</v>
      </c>
      <c r="F206" s="2881" t="s">
        <v>4779</v>
      </c>
      <c r="G206" s="110"/>
      <c r="H206" s="109"/>
      <c r="I206" s="2885">
        <v>62.0</v>
      </c>
      <c r="J206" s="118"/>
      <c r="K206" s="118"/>
      <c r="L206" s="118"/>
      <c r="M206" s="118"/>
      <c r="N206" s="98"/>
      <c r="O206" s="98"/>
      <c r="P206" s="98"/>
      <c r="Q206" s="98"/>
      <c r="R206" s="118"/>
      <c r="S206" s="118"/>
      <c r="T206" s="118"/>
      <c r="U206" s="118"/>
      <c r="V206" s="118"/>
    </row>
    <row r="207" outlineLevel="1">
      <c r="A207" s="156"/>
      <c r="B207" s="2879" t="s">
        <v>4675</v>
      </c>
      <c r="C207" s="2889">
        <v>55.0</v>
      </c>
      <c r="D207" s="2883" t="s">
        <v>4780</v>
      </c>
      <c r="E207" s="2885">
        <v>72.0</v>
      </c>
      <c r="F207" s="2881" t="s">
        <v>4781</v>
      </c>
      <c r="G207" s="110"/>
      <c r="H207" s="109"/>
      <c r="I207" s="2885">
        <v>72.0</v>
      </c>
      <c r="J207" s="118"/>
      <c r="K207" s="118"/>
      <c r="L207" s="118"/>
      <c r="M207" s="118"/>
      <c r="N207" s="98"/>
      <c r="O207" s="98"/>
      <c r="P207" s="98"/>
      <c r="Q207" s="98"/>
      <c r="R207" s="118"/>
      <c r="S207" s="118"/>
      <c r="T207" s="118"/>
      <c r="U207" s="118"/>
      <c r="V207" s="118"/>
    </row>
    <row r="208" outlineLevel="1">
      <c r="A208" s="2878" t="s">
        <v>151</v>
      </c>
      <c r="B208" s="2879" t="s">
        <v>4678</v>
      </c>
      <c r="C208" s="2883">
        <v>11.0</v>
      </c>
      <c r="D208" s="2883">
        <v>11.0</v>
      </c>
      <c r="E208" s="2880">
        <v>43.0</v>
      </c>
      <c r="F208" s="2881" t="s">
        <v>4782</v>
      </c>
      <c r="G208" s="110"/>
      <c r="H208" s="109"/>
      <c r="I208" s="2885">
        <v>106.0</v>
      </c>
      <c r="J208" s="118"/>
      <c r="K208" s="118"/>
      <c r="L208" s="118"/>
      <c r="M208" s="118"/>
      <c r="N208" s="98"/>
      <c r="O208" s="98"/>
      <c r="P208" s="98"/>
      <c r="Q208" s="98"/>
      <c r="R208" s="118"/>
      <c r="S208" s="118"/>
      <c r="T208" s="118"/>
      <c r="U208" s="118"/>
      <c r="V208" s="118"/>
    </row>
    <row r="209" outlineLevel="1">
      <c r="A209" s="146"/>
      <c r="B209" s="2879" t="s">
        <v>4681</v>
      </c>
      <c r="C209" s="2883">
        <v>11.0</v>
      </c>
      <c r="D209" s="2883">
        <v>11.0</v>
      </c>
      <c r="E209" s="2880">
        <v>45.0</v>
      </c>
      <c r="F209" s="2881" t="s">
        <v>4782</v>
      </c>
      <c r="G209" s="110"/>
      <c r="H209" s="109"/>
      <c r="I209" s="2885">
        <v>108.0</v>
      </c>
      <c r="J209" s="118"/>
      <c r="K209" s="118"/>
      <c r="L209" s="118"/>
      <c r="M209" s="118"/>
      <c r="N209" s="98"/>
      <c r="O209" s="98"/>
      <c r="P209" s="98"/>
      <c r="Q209" s="98"/>
      <c r="R209" s="118"/>
      <c r="S209" s="118"/>
      <c r="T209" s="118"/>
      <c r="U209" s="118"/>
      <c r="V209" s="118"/>
    </row>
    <row r="210" outlineLevel="1">
      <c r="A210" s="146"/>
      <c r="B210" s="2879" t="s">
        <v>4783</v>
      </c>
      <c r="C210" s="2882">
        <v>18.0</v>
      </c>
      <c r="D210" s="2880">
        <v>18.0</v>
      </c>
      <c r="E210" s="2882">
        <v>60.0</v>
      </c>
      <c r="F210" s="2881" t="s">
        <v>4784</v>
      </c>
      <c r="G210" s="110"/>
      <c r="H210" s="109"/>
      <c r="I210" s="2882">
        <v>123.0</v>
      </c>
      <c r="J210" s="118"/>
      <c r="K210" s="118"/>
      <c r="L210" s="118"/>
      <c r="M210" s="118"/>
      <c r="N210" s="98"/>
      <c r="O210" s="98"/>
      <c r="P210" s="98"/>
      <c r="Q210" s="98"/>
      <c r="R210" s="118"/>
      <c r="S210" s="118"/>
      <c r="T210" s="118"/>
      <c r="U210" s="118"/>
      <c r="V210" s="118"/>
    </row>
    <row r="211" outlineLevel="1">
      <c r="A211" s="156"/>
      <c r="B211" s="2879" t="s">
        <v>4785</v>
      </c>
      <c r="C211" s="156"/>
      <c r="D211" s="2880">
        <v>21.0</v>
      </c>
      <c r="E211" s="156"/>
      <c r="F211" s="2881" t="s">
        <v>4786</v>
      </c>
      <c r="G211" s="110"/>
      <c r="H211" s="109"/>
      <c r="I211" s="156"/>
      <c r="J211" s="118"/>
      <c r="K211" s="118"/>
      <c r="L211" s="118"/>
      <c r="M211" s="118"/>
      <c r="N211" s="98"/>
      <c r="O211" s="98"/>
      <c r="P211" s="98"/>
      <c r="Q211" s="98"/>
      <c r="R211" s="118"/>
      <c r="S211" s="118"/>
      <c r="T211" s="118"/>
      <c r="U211" s="118"/>
      <c r="V211" s="118"/>
    </row>
    <row r="212" outlineLevel="1">
      <c r="A212" s="2886" t="s">
        <v>157</v>
      </c>
      <c r="B212" s="2879"/>
      <c r="C212" s="2880">
        <v>15.0</v>
      </c>
      <c r="D212" s="2880">
        <v>15.0</v>
      </c>
      <c r="E212" s="2880">
        <v>45.0</v>
      </c>
      <c r="F212" s="2881" t="s">
        <v>4764</v>
      </c>
      <c r="G212" s="110"/>
      <c r="H212" s="109"/>
      <c r="I212" s="2885">
        <v>108.0</v>
      </c>
      <c r="J212" s="118"/>
      <c r="K212" s="118"/>
      <c r="L212" s="118"/>
      <c r="M212" s="118"/>
      <c r="N212" s="98"/>
      <c r="O212" s="98"/>
      <c r="P212" s="98"/>
      <c r="Q212" s="98"/>
      <c r="R212" s="118"/>
      <c r="S212" s="118"/>
      <c r="T212" s="118"/>
      <c r="U212" s="118"/>
      <c r="V212" s="118"/>
    </row>
    <row r="213" outlineLevel="1">
      <c r="A213" s="2878" t="s">
        <v>162</v>
      </c>
      <c r="B213" s="2879" t="s">
        <v>4787</v>
      </c>
      <c r="C213" s="2882">
        <v>20.0</v>
      </c>
      <c r="D213" s="2880">
        <v>20.0</v>
      </c>
      <c r="E213" s="2882">
        <v>40.0</v>
      </c>
      <c r="F213" s="2881" t="s">
        <v>4788</v>
      </c>
      <c r="G213" s="110"/>
      <c r="H213" s="109"/>
      <c r="I213" s="2882">
        <v>40.0</v>
      </c>
      <c r="J213" s="118"/>
      <c r="K213" s="118"/>
      <c r="L213" s="118"/>
      <c r="M213" s="118"/>
      <c r="N213" s="98"/>
      <c r="O213" s="98"/>
      <c r="P213" s="98"/>
      <c r="Q213" s="98"/>
      <c r="R213" s="118"/>
      <c r="S213" s="118"/>
      <c r="T213" s="118"/>
      <c r="U213" s="118"/>
      <c r="V213" s="118"/>
    </row>
    <row r="214" outlineLevel="1">
      <c r="A214" s="146"/>
      <c r="B214" s="2879" t="s">
        <v>4789</v>
      </c>
      <c r="C214" s="156"/>
      <c r="D214" s="2880" t="s">
        <v>76</v>
      </c>
      <c r="E214" s="156"/>
      <c r="F214" s="2890" t="s">
        <v>173</v>
      </c>
      <c r="G214" s="110"/>
      <c r="H214" s="109"/>
      <c r="I214" s="156"/>
      <c r="J214" s="118"/>
      <c r="K214" s="118"/>
      <c r="L214" s="118"/>
      <c r="M214" s="118"/>
      <c r="N214" s="98"/>
      <c r="O214" s="98"/>
      <c r="P214" s="98"/>
      <c r="Q214" s="98"/>
      <c r="R214" s="118"/>
      <c r="S214" s="118"/>
      <c r="T214" s="118"/>
      <c r="U214" s="118"/>
      <c r="V214" s="118"/>
    </row>
    <row r="215" outlineLevel="1">
      <c r="A215" s="146"/>
      <c r="B215" s="2879" t="s">
        <v>4790</v>
      </c>
      <c r="C215" s="2891">
        <v>30.0</v>
      </c>
      <c r="D215" s="2880" t="s">
        <v>4788</v>
      </c>
      <c r="E215" s="2882">
        <v>51.0</v>
      </c>
      <c r="F215" s="2881" t="s">
        <v>4791</v>
      </c>
      <c r="G215" s="110"/>
      <c r="H215" s="109"/>
      <c r="I215" s="2882">
        <v>51.0</v>
      </c>
      <c r="J215" s="118"/>
      <c r="K215" s="118"/>
      <c r="L215" s="118"/>
      <c r="M215" s="118"/>
      <c r="N215" s="98"/>
      <c r="O215" s="98"/>
      <c r="P215" s="98"/>
      <c r="Q215" s="98"/>
      <c r="R215" s="118"/>
      <c r="S215" s="118"/>
      <c r="T215" s="118"/>
      <c r="U215" s="118"/>
      <c r="V215" s="118"/>
    </row>
    <row r="216" outlineLevel="1">
      <c r="A216" s="146"/>
      <c r="B216" s="2879" t="s">
        <v>4792</v>
      </c>
      <c r="C216" s="156"/>
      <c r="D216" s="2883" t="s">
        <v>4793</v>
      </c>
      <c r="E216" s="156"/>
      <c r="F216" s="2881" t="s">
        <v>4794</v>
      </c>
      <c r="G216" s="110"/>
      <c r="H216" s="109"/>
      <c r="I216" s="156"/>
      <c r="J216" s="118"/>
      <c r="K216" s="118"/>
      <c r="L216" s="118"/>
      <c r="M216" s="118"/>
      <c r="N216" s="98"/>
      <c r="O216" s="98"/>
      <c r="P216" s="98"/>
      <c r="Q216" s="98"/>
      <c r="R216" s="118"/>
      <c r="S216" s="118"/>
      <c r="T216" s="118"/>
      <c r="U216" s="118"/>
      <c r="V216" s="118"/>
    </row>
    <row r="217" outlineLevel="1">
      <c r="A217" s="146"/>
      <c r="B217" s="2879" t="s">
        <v>4795</v>
      </c>
      <c r="C217" s="2892">
        <v>41.0</v>
      </c>
      <c r="D217" s="2883" t="s">
        <v>4796</v>
      </c>
      <c r="E217" s="2882">
        <v>62.0</v>
      </c>
      <c r="F217" s="2881" t="s">
        <v>4797</v>
      </c>
      <c r="G217" s="110"/>
      <c r="H217" s="109"/>
      <c r="I217" s="2882">
        <v>62.0</v>
      </c>
      <c r="J217" s="118"/>
      <c r="K217" s="118"/>
      <c r="L217" s="118"/>
      <c r="M217" s="118"/>
      <c r="N217" s="98"/>
      <c r="O217" s="98"/>
      <c r="P217" s="98"/>
      <c r="Q217" s="98"/>
      <c r="R217" s="118"/>
      <c r="S217" s="118"/>
      <c r="T217" s="118"/>
      <c r="U217" s="118"/>
      <c r="V217" s="118"/>
    </row>
    <row r="218" outlineLevel="1">
      <c r="A218" s="146"/>
      <c r="B218" s="2879" t="s">
        <v>4798</v>
      </c>
      <c r="C218" s="156"/>
      <c r="D218" s="2883" t="s">
        <v>4794</v>
      </c>
      <c r="E218" s="156"/>
      <c r="F218" s="2881" t="s">
        <v>4799</v>
      </c>
      <c r="G218" s="110"/>
      <c r="H218" s="109"/>
      <c r="I218" s="156"/>
      <c r="J218" s="118"/>
      <c r="K218" s="118"/>
      <c r="L218" s="118"/>
      <c r="M218" s="118"/>
      <c r="N218" s="98"/>
      <c r="O218" s="98"/>
      <c r="P218" s="98"/>
      <c r="Q218" s="98"/>
      <c r="R218" s="118"/>
      <c r="S218" s="118"/>
      <c r="T218" s="118"/>
      <c r="U218" s="118"/>
      <c r="V218" s="118"/>
    </row>
    <row r="219" outlineLevel="1">
      <c r="A219" s="146"/>
      <c r="B219" s="2879" t="s">
        <v>4800</v>
      </c>
      <c r="C219" s="2891">
        <v>52.0</v>
      </c>
      <c r="D219" s="2880" t="s">
        <v>4801</v>
      </c>
      <c r="E219" s="2882">
        <v>73.0</v>
      </c>
      <c r="F219" s="2881" t="s">
        <v>4802</v>
      </c>
      <c r="G219" s="110"/>
      <c r="H219" s="109"/>
      <c r="I219" s="2882">
        <v>73.0</v>
      </c>
      <c r="J219" s="118"/>
      <c r="K219" s="118"/>
      <c r="L219" s="118"/>
      <c r="M219" s="118"/>
      <c r="N219" s="98"/>
      <c r="O219" s="98"/>
      <c r="P219" s="98"/>
      <c r="Q219" s="98"/>
      <c r="R219" s="118"/>
      <c r="S219" s="118"/>
      <c r="T219" s="118"/>
      <c r="U219" s="118"/>
      <c r="V219" s="118"/>
    </row>
    <row r="220" outlineLevel="1">
      <c r="A220" s="156"/>
      <c r="B220" s="2879" t="s">
        <v>4803</v>
      </c>
      <c r="C220" s="156"/>
      <c r="D220" s="2880" t="s">
        <v>4804</v>
      </c>
      <c r="E220" s="156"/>
      <c r="F220" s="2881" t="s">
        <v>4805</v>
      </c>
      <c r="G220" s="110"/>
      <c r="H220" s="109"/>
      <c r="I220" s="156"/>
      <c r="J220" s="118"/>
      <c r="K220" s="118"/>
      <c r="L220" s="118"/>
      <c r="M220" s="118"/>
      <c r="N220" s="98"/>
      <c r="O220" s="98"/>
      <c r="P220" s="98"/>
      <c r="Q220" s="98"/>
      <c r="R220" s="118"/>
      <c r="S220" s="118"/>
      <c r="T220" s="118"/>
      <c r="U220" s="118"/>
      <c r="V220" s="118"/>
    </row>
    <row r="221" outlineLevel="1">
      <c r="A221" s="2886" t="s">
        <v>166</v>
      </c>
      <c r="B221" s="2879" t="s">
        <v>174</v>
      </c>
      <c r="C221" s="2880">
        <v>8.0</v>
      </c>
      <c r="D221" s="2880">
        <v>8.0</v>
      </c>
      <c r="E221" s="2880">
        <v>36.0</v>
      </c>
      <c r="F221" s="2881" t="s">
        <v>4806</v>
      </c>
      <c r="G221" s="110"/>
      <c r="H221" s="109"/>
      <c r="I221" s="2885">
        <v>99.0</v>
      </c>
      <c r="J221" s="118"/>
      <c r="K221" s="118"/>
      <c r="L221" s="118"/>
      <c r="M221" s="118"/>
      <c r="N221" s="98"/>
      <c r="O221" s="98"/>
      <c r="P221" s="98"/>
      <c r="Q221" s="98"/>
      <c r="R221" s="118"/>
      <c r="S221" s="118"/>
      <c r="T221" s="118"/>
      <c r="U221" s="118"/>
      <c r="V221" s="118"/>
    </row>
    <row r="222" outlineLevel="1">
      <c r="A222" s="2878" t="s">
        <v>4807</v>
      </c>
      <c r="B222" s="2879" t="s">
        <v>332</v>
      </c>
      <c r="C222" s="2880">
        <v>25.0</v>
      </c>
      <c r="D222" s="2880">
        <v>25.0</v>
      </c>
      <c r="E222" s="2880">
        <v>66.0</v>
      </c>
      <c r="F222" s="2881" t="s">
        <v>4808</v>
      </c>
      <c r="G222" s="110"/>
      <c r="H222" s="109"/>
      <c r="I222" s="2885">
        <v>67.0</v>
      </c>
      <c r="J222" s="118"/>
      <c r="K222" s="118"/>
      <c r="L222" s="118"/>
      <c r="M222" s="118"/>
      <c r="N222" s="98"/>
      <c r="O222" s="98"/>
      <c r="P222" s="98"/>
      <c r="Q222" s="98"/>
      <c r="R222" s="118"/>
      <c r="S222" s="118"/>
      <c r="T222" s="118"/>
      <c r="U222" s="118"/>
      <c r="V222" s="118"/>
    </row>
    <row r="223" outlineLevel="1">
      <c r="A223" s="146"/>
      <c r="B223" s="2893" t="s">
        <v>4809</v>
      </c>
      <c r="C223" s="310">
        <v>18.0</v>
      </c>
      <c r="D223" s="310">
        <v>18.0</v>
      </c>
      <c r="E223" s="2882">
        <v>40.0</v>
      </c>
      <c r="F223" s="2894" t="s">
        <v>4810</v>
      </c>
      <c r="G223" s="164"/>
      <c r="H223" s="104"/>
      <c r="I223" s="2882">
        <v>68.0</v>
      </c>
      <c r="J223" s="118"/>
      <c r="K223" s="118"/>
      <c r="L223" s="118"/>
      <c r="M223" s="118"/>
      <c r="N223" s="98"/>
      <c r="O223" s="98"/>
      <c r="P223" s="98"/>
      <c r="Q223" s="98"/>
      <c r="R223" s="118"/>
      <c r="S223" s="118"/>
      <c r="T223" s="118"/>
      <c r="U223" s="118"/>
      <c r="V223" s="118"/>
    </row>
    <row r="224" outlineLevel="1">
      <c r="A224" s="146"/>
      <c r="B224" s="156"/>
      <c r="C224" s="146"/>
      <c r="D224" s="156"/>
      <c r="E224" s="146"/>
      <c r="F224" s="106"/>
      <c r="G224" s="168"/>
      <c r="H224" s="107"/>
      <c r="I224" s="146"/>
      <c r="J224" s="118"/>
      <c r="K224" s="118"/>
      <c r="L224" s="118"/>
      <c r="M224" s="118"/>
      <c r="N224" s="98"/>
      <c r="O224" s="98"/>
      <c r="P224" s="98"/>
      <c r="Q224" s="98"/>
      <c r="R224" s="118"/>
      <c r="S224" s="118"/>
      <c r="T224" s="118"/>
      <c r="U224" s="118"/>
      <c r="V224" s="118"/>
    </row>
    <row r="225" outlineLevel="1">
      <c r="A225" s="146"/>
      <c r="B225" s="2893" t="s">
        <v>4811</v>
      </c>
      <c r="C225" s="146"/>
      <c r="D225" s="310">
        <v>21.0</v>
      </c>
      <c r="E225" s="146"/>
      <c r="F225" s="2894" t="s">
        <v>4812</v>
      </c>
      <c r="G225" s="164"/>
      <c r="H225" s="104"/>
      <c r="I225" s="146"/>
      <c r="J225" s="118"/>
      <c r="K225" s="118"/>
      <c r="L225" s="118"/>
      <c r="M225" s="118"/>
      <c r="N225" s="98"/>
      <c r="O225" s="98"/>
      <c r="P225" s="98"/>
      <c r="Q225" s="98"/>
      <c r="R225" s="118"/>
      <c r="S225" s="118"/>
      <c r="T225" s="118"/>
      <c r="U225" s="118"/>
      <c r="V225" s="118"/>
    </row>
    <row r="226" outlineLevel="1">
      <c r="A226" s="156"/>
      <c r="B226" s="156"/>
      <c r="C226" s="156"/>
      <c r="D226" s="156"/>
      <c r="E226" s="156"/>
      <c r="F226" s="106"/>
      <c r="G226" s="168"/>
      <c r="H226" s="107"/>
      <c r="I226" s="156"/>
      <c r="J226" s="118"/>
      <c r="K226" s="118"/>
      <c r="L226" s="118"/>
      <c r="M226" s="118"/>
      <c r="N226" s="98"/>
      <c r="O226" s="98"/>
      <c r="P226" s="98"/>
      <c r="Q226" s="98"/>
      <c r="R226" s="118"/>
      <c r="S226" s="118"/>
      <c r="T226" s="118"/>
      <c r="U226" s="118"/>
      <c r="V226" s="118"/>
    </row>
    <row r="227" outlineLevel="1">
      <c r="A227" s="2886" t="s">
        <v>4813</v>
      </c>
      <c r="B227" s="2879" t="s">
        <v>4771</v>
      </c>
      <c r="C227" s="2883">
        <v>11.0</v>
      </c>
      <c r="D227" s="2883">
        <v>11.0</v>
      </c>
      <c r="E227" s="2885">
        <v>44.0</v>
      </c>
      <c r="F227" s="2884" t="s">
        <v>4814</v>
      </c>
      <c r="G227" s="110"/>
      <c r="H227" s="109"/>
      <c r="I227" s="2885">
        <v>44.0</v>
      </c>
      <c r="J227" s="118"/>
      <c r="K227" s="118"/>
      <c r="L227" s="118"/>
      <c r="M227" s="118"/>
      <c r="N227" s="98"/>
      <c r="O227" s="98"/>
      <c r="P227" s="98"/>
      <c r="Q227" s="98"/>
      <c r="R227" s="118"/>
      <c r="S227" s="118"/>
      <c r="T227" s="118"/>
      <c r="U227" s="118"/>
      <c r="V227" s="118"/>
    </row>
  </sheetData>
  <mergeCells count="250">
    <mergeCell ref="U31:U32"/>
    <mergeCell ref="U33:U34"/>
    <mergeCell ref="U35:U38"/>
    <mergeCell ref="U39:U41"/>
    <mergeCell ref="U44:U46"/>
    <mergeCell ref="U47:U49"/>
    <mergeCell ref="R52:V52"/>
    <mergeCell ref="R53:V58"/>
    <mergeCell ref="R59:V59"/>
    <mergeCell ref="R60:V60"/>
    <mergeCell ref="R61:V61"/>
    <mergeCell ref="R62:V62"/>
    <mergeCell ref="R63:V67"/>
    <mergeCell ref="R68:V70"/>
    <mergeCell ref="U94:U97"/>
    <mergeCell ref="U99:U105"/>
    <mergeCell ref="V99:V105"/>
    <mergeCell ref="U107:U108"/>
    <mergeCell ref="V107:V108"/>
    <mergeCell ref="U74:U76"/>
    <mergeCell ref="V74:V76"/>
    <mergeCell ref="U78:U88"/>
    <mergeCell ref="V78:V88"/>
    <mergeCell ref="U89:U93"/>
    <mergeCell ref="V89:V93"/>
    <mergeCell ref="V94:V97"/>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29"/>
    <mergeCell ref="H30:J30"/>
    <mergeCell ref="H31:J32"/>
    <mergeCell ref="H33:J34"/>
    <mergeCell ref="D39:D41"/>
    <mergeCell ref="D44:D46"/>
    <mergeCell ref="E55:E58"/>
    <mergeCell ref="F55:F58"/>
    <mergeCell ref="G55:G58"/>
    <mergeCell ref="H47:J49"/>
    <mergeCell ref="I53:I54"/>
    <mergeCell ref="J53:J54"/>
    <mergeCell ref="H55:H58"/>
    <mergeCell ref="I55:I58"/>
    <mergeCell ref="H35:J36"/>
    <mergeCell ref="H37:J37"/>
    <mergeCell ref="H38:J38"/>
    <mergeCell ref="H39:J41"/>
    <mergeCell ref="H42:J42"/>
    <mergeCell ref="H43:J43"/>
    <mergeCell ref="H44:J46"/>
    <mergeCell ref="A89:A97"/>
    <mergeCell ref="A98:B98"/>
    <mergeCell ref="A101:A105"/>
    <mergeCell ref="C104:C105"/>
    <mergeCell ref="A106:B106"/>
    <mergeCell ref="A107:A108"/>
    <mergeCell ref="A110:B111"/>
    <mergeCell ref="A113:A115"/>
    <mergeCell ref="A116:B116"/>
    <mergeCell ref="A117:A118"/>
    <mergeCell ref="A119:A120"/>
    <mergeCell ref="A121:A122"/>
    <mergeCell ref="A123:A124"/>
    <mergeCell ref="A126:B127"/>
    <mergeCell ref="C161:C162"/>
    <mergeCell ref="A164:B164"/>
    <mergeCell ref="A165:B165"/>
    <mergeCell ref="A169:B169"/>
    <mergeCell ref="A128:A130"/>
    <mergeCell ref="A131:A132"/>
    <mergeCell ref="A134:B135"/>
    <mergeCell ref="A136:A140"/>
    <mergeCell ref="A144:A149"/>
    <mergeCell ref="C148:C149"/>
    <mergeCell ref="C154:C155"/>
    <mergeCell ref="A150:A155"/>
    <mergeCell ref="A156:A162"/>
    <mergeCell ref="A166:A167"/>
    <mergeCell ref="A170:A175"/>
    <mergeCell ref="A176:A179"/>
    <mergeCell ref="A180:A183"/>
    <mergeCell ref="A185:B186"/>
    <mergeCell ref="C200:C201"/>
    <mergeCell ref="C202:C203"/>
    <mergeCell ref="C210:C211"/>
    <mergeCell ref="C213:C214"/>
    <mergeCell ref="C215:C216"/>
    <mergeCell ref="C217:C218"/>
    <mergeCell ref="C219:C220"/>
    <mergeCell ref="C223:C226"/>
    <mergeCell ref="A204:A207"/>
    <mergeCell ref="A208:A211"/>
    <mergeCell ref="A213:A220"/>
    <mergeCell ref="A222:A226"/>
    <mergeCell ref="B223:B224"/>
    <mergeCell ref="B225:B226"/>
    <mergeCell ref="A187:A191"/>
    <mergeCell ref="C189:C190"/>
    <mergeCell ref="A193:A195"/>
    <mergeCell ref="A197:A198"/>
    <mergeCell ref="C197:C198"/>
    <mergeCell ref="A200:A201"/>
    <mergeCell ref="A202:A203"/>
    <mergeCell ref="D121:D122"/>
    <mergeCell ref="D123:D124"/>
    <mergeCell ref="D161:D162"/>
    <mergeCell ref="D68:D70"/>
    <mergeCell ref="D78:D81"/>
    <mergeCell ref="D83:D88"/>
    <mergeCell ref="D89:D92"/>
    <mergeCell ref="D99:D105"/>
    <mergeCell ref="D117:D118"/>
    <mergeCell ref="D119:D120"/>
    <mergeCell ref="G117:J118"/>
    <mergeCell ref="G119:J120"/>
    <mergeCell ref="G121:J122"/>
    <mergeCell ref="G123:J124"/>
    <mergeCell ref="K135:L135"/>
    <mergeCell ref="K136:K137"/>
    <mergeCell ref="K138:L138"/>
    <mergeCell ref="K139:K144"/>
    <mergeCell ref="K145:K148"/>
    <mergeCell ref="D148:D149"/>
    <mergeCell ref="K149:L149"/>
    <mergeCell ref="K151:K154"/>
    <mergeCell ref="K155:L155"/>
    <mergeCell ref="K158:L158"/>
    <mergeCell ref="A24:B25"/>
    <mergeCell ref="A26:A32"/>
    <mergeCell ref="D31:D32"/>
    <mergeCell ref="A33:A34"/>
    <mergeCell ref="D33:D34"/>
    <mergeCell ref="C35:C36"/>
    <mergeCell ref="D35:D36"/>
    <mergeCell ref="A35:A38"/>
    <mergeCell ref="A39:A41"/>
    <mergeCell ref="A44:A46"/>
    <mergeCell ref="A47:A49"/>
    <mergeCell ref="D47:D49"/>
    <mergeCell ref="A51:B52"/>
    <mergeCell ref="D53:D54"/>
    <mergeCell ref="A53:A58"/>
    <mergeCell ref="A59:A61"/>
    <mergeCell ref="E64:E67"/>
    <mergeCell ref="F64:F67"/>
    <mergeCell ref="G64:G67"/>
    <mergeCell ref="H64:H67"/>
    <mergeCell ref="I64:I67"/>
    <mergeCell ref="A63:A67"/>
    <mergeCell ref="A68:A70"/>
    <mergeCell ref="A72:B72"/>
    <mergeCell ref="A73:B73"/>
    <mergeCell ref="A74:A76"/>
    <mergeCell ref="A77:B77"/>
    <mergeCell ref="A78:A88"/>
    <mergeCell ref="A141:A143"/>
    <mergeCell ref="I68:I70"/>
    <mergeCell ref="J68:J70"/>
    <mergeCell ref="H73:J73"/>
    <mergeCell ref="H74:J76"/>
    <mergeCell ref="H77:J77"/>
    <mergeCell ref="H78:J88"/>
    <mergeCell ref="H89:J93"/>
    <mergeCell ref="H94:J97"/>
    <mergeCell ref="H98:J98"/>
    <mergeCell ref="H99:J105"/>
    <mergeCell ref="H106:J106"/>
    <mergeCell ref="H107:J107"/>
    <mergeCell ref="H108:J108"/>
    <mergeCell ref="G116:J116"/>
    <mergeCell ref="D154:D155"/>
    <mergeCell ref="F186:H186"/>
    <mergeCell ref="F187:H187"/>
    <mergeCell ref="F188:H188"/>
    <mergeCell ref="E189:E190"/>
    <mergeCell ref="F189:H189"/>
    <mergeCell ref="I189:I190"/>
    <mergeCell ref="E219:E220"/>
    <mergeCell ref="E223:E226"/>
    <mergeCell ref="E197:E198"/>
    <mergeCell ref="E200:E201"/>
    <mergeCell ref="E202:E203"/>
    <mergeCell ref="E210:E211"/>
    <mergeCell ref="E213:E214"/>
    <mergeCell ref="E215:E216"/>
    <mergeCell ref="E217:E218"/>
    <mergeCell ref="F190:H190"/>
    <mergeCell ref="F191:H191"/>
    <mergeCell ref="F192:H192"/>
    <mergeCell ref="F193:H193"/>
    <mergeCell ref="F194:H194"/>
    <mergeCell ref="F195:H195"/>
    <mergeCell ref="F199:H199"/>
    <mergeCell ref="F200:H200"/>
    <mergeCell ref="F196:H196"/>
    <mergeCell ref="F197:H197"/>
    <mergeCell ref="I197:I198"/>
    <mergeCell ref="F198:H198"/>
    <mergeCell ref="I200:I201"/>
    <mergeCell ref="F201:H201"/>
    <mergeCell ref="I202:I203"/>
    <mergeCell ref="F202:H202"/>
    <mergeCell ref="F203:H203"/>
    <mergeCell ref="F204:H204"/>
    <mergeCell ref="F205:H205"/>
    <mergeCell ref="F206:H206"/>
    <mergeCell ref="F207:H207"/>
    <mergeCell ref="F208:H208"/>
    <mergeCell ref="F209:H209"/>
    <mergeCell ref="F210:H210"/>
    <mergeCell ref="I210:I211"/>
    <mergeCell ref="F211:H211"/>
    <mergeCell ref="F212:H212"/>
    <mergeCell ref="F213:H213"/>
    <mergeCell ref="I213:I214"/>
    <mergeCell ref="I217:I218"/>
    <mergeCell ref="I219:I220"/>
    <mergeCell ref="I223:I226"/>
    <mergeCell ref="F220:H220"/>
    <mergeCell ref="F221:H221"/>
    <mergeCell ref="F222:H222"/>
    <mergeCell ref="D223:D224"/>
    <mergeCell ref="F223:H224"/>
    <mergeCell ref="D225:D226"/>
    <mergeCell ref="F225:H226"/>
    <mergeCell ref="F227:H227"/>
    <mergeCell ref="F214:H214"/>
    <mergeCell ref="F215:H215"/>
    <mergeCell ref="I215:I216"/>
    <mergeCell ref="F216:H216"/>
    <mergeCell ref="F217:H217"/>
    <mergeCell ref="F218:H218"/>
    <mergeCell ref="F219:H219"/>
  </mergeCells>
  <conditionalFormatting sqref="K1:K15 K17:K108 K110:K159">
    <cfRule type="containsText" dxfId="0" priority="1" operator="containsText" text="361">
      <formula>NOT(ISERROR(SEARCH(("361"),(K1))))</formula>
    </cfRule>
  </conditionalFormatting>
  <conditionalFormatting sqref="K1:K15 K17:K108 K110:K159">
    <cfRule type="containsText" dxfId="1" priority="2" operator="containsText" text="363">
      <formula>NOT(ISERROR(SEARCH(("363"),(K1))))</formula>
    </cfRule>
  </conditionalFormatting>
  <conditionalFormatting sqref="K1:K15 K17:K108 K110:K159">
    <cfRule type="containsText" dxfId="1" priority="3" operator="containsText" text="365">
      <formula>NOT(ISERROR(SEARCH(("365"),(K1))))</formula>
    </cfRule>
  </conditionalFormatting>
  <conditionalFormatting sqref="K1:K15 K17:K108 K110:K159">
    <cfRule type="containsText" dxfId="1" priority="4" operator="containsText" text="366">
      <formula>NOT(ISERROR(SEARCH(("366"),(K1))))</formula>
    </cfRule>
  </conditionalFormatting>
  <conditionalFormatting sqref="K1:K15 K17:K108 K110:K159">
    <cfRule type="containsText" dxfId="1" priority="5" operator="containsText" text="367">
      <formula>NOT(ISERROR(SEARCH(("367"),(K1))))</formula>
    </cfRule>
  </conditionalFormatting>
  <conditionalFormatting sqref="P117:P124">
    <cfRule type="cellIs" dxfId="2" priority="6" operator="equal">
      <formula>"敵のみ"</formula>
    </cfRule>
  </conditionalFormatting>
  <conditionalFormatting sqref="C117:C124">
    <cfRule type="cellIs" dxfId="3" priority="7" operator="equal">
      <formula>"-"</formula>
    </cfRule>
  </conditionalFormatting>
  <conditionalFormatting sqref="O1:O227">
    <cfRule type="cellIs" dxfId="4" priority="8" operator="greaterThan">
      <formula>0.1</formula>
    </cfRule>
  </conditionalFormatting>
  <conditionalFormatting sqref="P1:Q227">
    <cfRule type="cellIs" dxfId="5" priority="9" operator="lessThan">
      <formula>1</formula>
    </cfRule>
  </conditionalFormatting>
  <conditionalFormatting sqref="P1:Q227">
    <cfRule type="cellIs" dxfId="4" priority="10" operator="greaterThan">
      <formula>1</formula>
    </cfRule>
  </conditionalFormatting>
  <drawing r:id="rId2"/>
  <legacyDrawing r:id="rId3"/>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9426"/>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895">
        <v>64.0</v>
      </c>
      <c r="B1" s="2896"/>
      <c r="C1" s="2897" t="str">
        <f>IMAGE(VLOOKUP($A$1,Fighters!A2:AI114,12,FALSE),1)</f>
        <v>#REF!</v>
      </c>
      <c r="D1" s="2898"/>
      <c r="E1" s="2898"/>
      <c r="F1" s="2898"/>
      <c r="G1" s="2899"/>
      <c r="H1" s="2900"/>
      <c r="I1" s="2898"/>
      <c r="J1" s="2899"/>
      <c r="K1" s="2901"/>
      <c r="L1" s="2898"/>
      <c r="M1" s="2899"/>
      <c r="N1" s="2902"/>
      <c r="O1" s="2902"/>
      <c r="P1" s="2902"/>
      <c r="Q1" s="2902"/>
      <c r="R1" s="2903"/>
      <c r="S1" s="2903"/>
      <c r="T1" s="2903"/>
      <c r="U1" s="2903"/>
      <c r="V1" s="2903"/>
    </row>
    <row r="2">
      <c r="A2" s="2904" t="str">
        <f>VLOOKUP($A$1,Fighters!$A$2:$AI$81,6,FALSE)</f>
        <v>#ee9426</v>
      </c>
      <c r="B2" s="2896"/>
      <c r="C2" s="2905"/>
      <c r="G2" s="2906"/>
      <c r="H2" s="2907"/>
      <c r="I2" s="2908"/>
      <c r="J2" s="2909"/>
      <c r="K2" s="2907"/>
      <c r="L2" s="2908"/>
      <c r="M2" s="2909"/>
      <c r="N2" s="2902"/>
      <c r="O2" s="2902"/>
      <c r="P2" s="2902"/>
      <c r="Q2" s="2902"/>
      <c r="R2" s="2903"/>
      <c r="S2" s="2903"/>
      <c r="T2" s="2903"/>
      <c r="U2" s="2903"/>
      <c r="V2" s="2903"/>
    </row>
    <row r="3">
      <c r="A3" s="2904" t="str">
        <f>VLOOKUP($A$1,Fighters!$A$2:$AI$81,14,FALSE)</f>
        <v>64. インクリング</v>
      </c>
      <c r="B3" s="2896"/>
      <c r="C3" s="2905"/>
      <c r="G3" s="2906"/>
      <c r="H3" s="2910"/>
      <c r="I3" s="2910"/>
      <c r="J3" s="2910"/>
      <c r="K3" s="2911"/>
      <c r="L3" s="2911"/>
      <c r="M3" s="2911"/>
      <c r="N3" s="2902"/>
      <c r="O3" s="2902"/>
      <c r="P3" s="2902"/>
      <c r="Q3" s="2902"/>
      <c r="R3" s="2912"/>
      <c r="S3" s="2903"/>
      <c r="T3" s="2903"/>
      <c r="U3" s="2903"/>
      <c r="V3" s="2903"/>
    </row>
    <row r="4">
      <c r="A4" s="2904" t="str">
        <f>VLOOKUP($A$1,Fighters!$A$2:$AI$81,13,FALSE)</f>
        <v>0</v>
      </c>
      <c r="B4" s="2896"/>
      <c r="C4" s="2905"/>
      <c r="G4" s="2906"/>
      <c r="H4" s="2913"/>
      <c r="I4" s="2913"/>
      <c r="J4" s="2910"/>
      <c r="K4" s="2911"/>
      <c r="L4" s="2911"/>
      <c r="M4" s="2911"/>
      <c r="N4" s="2902"/>
      <c r="O4" s="2902"/>
      <c r="P4" s="2902"/>
      <c r="Q4" s="2902"/>
      <c r="R4" s="2912"/>
      <c r="S4" s="2903"/>
      <c r="T4" s="2903"/>
      <c r="U4" s="2903"/>
      <c r="V4" s="2903"/>
    </row>
    <row r="5" ht="16.5" customHeight="1">
      <c r="A5" s="2895"/>
      <c r="B5" s="2896"/>
      <c r="C5" s="2905"/>
      <c r="G5" s="2906"/>
      <c r="H5" s="2914"/>
      <c r="I5" s="2914"/>
      <c r="J5" s="2915"/>
      <c r="K5" s="2916"/>
      <c r="L5" s="2917"/>
      <c r="M5" s="2917"/>
      <c r="N5" s="2902"/>
      <c r="O5" s="2902"/>
      <c r="P5" s="2902"/>
      <c r="Q5" s="2902"/>
      <c r="R5" s="2912"/>
      <c r="S5" s="2903"/>
      <c r="T5" s="2903"/>
      <c r="U5" s="2903"/>
      <c r="V5" s="2903"/>
    </row>
    <row r="6">
      <c r="A6" s="2896"/>
      <c r="B6" s="2896"/>
      <c r="C6" s="2905"/>
      <c r="G6" s="2906"/>
      <c r="H6" s="2913"/>
      <c r="I6" s="2918" t="s">
        <v>39</v>
      </c>
      <c r="J6" s="2916"/>
      <c r="K6" s="2919"/>
      <c r="L6" s="2917"/>
      <c r="M6" s="2917"/>
      <c r="N6" s="2902"/>
      <c r="O6" s="2902"/>
      <c r="P6" s="2902"/>
      <c r="Q6" s="2902"/>
      <c r="R6" s="2912"/>
      <c r="S6" s="2903"/>
      <c r="T6" s="2903"/>
      <c r="U6" s="2903"/>
      <c r="V6" s="2903"/>
    </row>
    <row r="7">
      <c r="A7" s="2896"/>
      <c r="B7" s="2896"/>
      <c r="C7" s="2905"/>
      <c r="G7" s="2906"/>
      <c r="H7" s="2914"/>
      <c r="I7" s="2914"/>
      <c r="J7" s="2916"/>
      <c r="K7" s="2919"/>
      <c r="L7" s="2917"/>
      <c r="M7" s="2917"/>
      <c r="N7" s="2902"/>
      <c r="O7" s="2902"/>
      <c r="P7" s="2902"/>
      <c r="Q7" s="2902"/>
      <c r="R7" s="2912"/>
      <c r="S7" s="2903"/>
      <c r="T7" s="2903"/>
      <c r="U7" s="2903"/>
      <c r="V7" s="2903"/>
    </row>
    <row r="8">
      <c r="A8" s="2896"/>
      <c r="B8" s="2896"/>
      <c r="C8" s="2905"/>
      <c r="G8" s="2906"/>
      <c r="H8" s="2920">
        <v>44552.42987978009</v>
      </c>
      <c r="I8" s="2898"/>
      <c r="J8" s="2899"/>
      <c r="K8" s="2916"/>
      <c r="L8" s="2917"/>
      <c r="M8" s="2917"/>
      <c r="N8" s="2902"/>
      <c r="O8" s="2902"/>
      <c r="P8" s="2902"/>
      <c r="Q8" s="2902"/>
      <c r="R8" s="2912"/>
      <c r="S8" s="2903"/>
      <c r="T8" s="2903"/>
      <c r="U8" s="2903"/>
      <c r="V8" s="2903"/>
    </row>
    <row r="9">
      <c r="A9" s="2896"/>
      <c r="B9" s="2896"/>
      <c r="C9" s="2905"/>
      <c r="G9" s="2906"/>
      <c r="H9" s="2907"/>
      <c r="I9" s="2908"/>
      <c r="J9" s="2909"/>
      <c r="K9" s="2903"/>
      <c r="L9" s="2902"/>
      <c r="M9" s="2902"/>
      <c r="N9" s="2902"/>
      <c r="O9" s="2902"/>
      <c r="P9" s="2902"/>
      <c r="Q9" s="2902"/>
      <c r="R9" s="2912"/>
      <c r="S9" s="2903"/>
      <c r="T9" s="2903"/>
      <c r="U9" s="2903"/>
      <c r="V9" s="2903"/>
    </row>
    <row r="10">
      <c r="A10" s="2896"/>
      <c r="B10" s="2896"/>
      <c r="C10" s="2905"/>
      <c r="G10" s="2906"/>
      <c r="H10" s="2921"/>
      <c r="I10" s="2921"/>
      <c r="J10" s="2903"/>
      <c r="K10" s="2903"/>
      <c r="L10" s="2902"/>
      <c r="M10" s="2902"/>
      <c r="N10" s="2902"/>
      <c r="O10" s="2902"/>
      <c r="P10" s="2902"/>
      <c r="Q10" s="2902"/>
      <c r="R10" s="2912"/>
      <c r="S10" s="2903"/>
      <c r="T10" s="2903"/>
      <c r="U10" s="2903"/>
      <c r="V10" s="2903"/>
    </row>
    <row r="11">
      <c r="A11" s="2922" t="s">
        <v>40</v>
      </c>
      <c r="B11" s="2899"/>
      <c r="C11" s="2905"/>
      <c r="G11" s="2906"/>
      <c r="H11" s="2914"/>
      <c r="I11" s="2914"/>
      <c r="J11" s="2903"/>
      <c r="K11" s="2903"/>
      <c r="L11" s="2902"/>
      <c r="M11" s="2902"/>
      <c r="N11" s="2902"/>
      <c r="O11" s="2902"/>
      <c r="P11" s="2902"/>
      <c r="Q11" s="2902"/>
      <c r="R11" s="2912"/>
      <c r="S11" s="2903"/>
      <c r="T11" s="2903"/>
      <c r="U11" s="2903"/>
      <c r="V11" s="2903"/>
    </row>
    <row r="12">
      <c r="A12" s="2907"/>
      <c r="B12" s="2909"/>
      <c r="C12" s="2907"/>
      <c r="D12" s="2908"/>
      <c r="E12" s="2908"/>
      <c r="F12" s="2908"/>
      <c r="G12" s="2909"/>
      <c r="H12" s="2923"/>
      <c r="I12" s="2923"/>
      <c r="J12" s="2896"/>
      <c r="K12" s="2896"/>
      <c r="L12" s="2902"/>
      <c r="M12" s="2902"/>
      <c r="N12" s="2902"/>
      <c r="O12" s="2902"/>
      <c r="P12" s="2902"/>
      <c r="Q12" s="2902"/>
      <c r="R12" s="2912"/>
      <c r="S12" s="2903"/>
      <c r="T12" s="2903"/>
      <c r="U12" s="2903"/>
      <c r="V12" s="290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94 [48th]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2.118 [17th]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1.134 [40th]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 [39th]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1.925 [25th]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27F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0.102 [61st]</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17.54 [16th]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1.208 [13th]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36.33 [22nd]</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1.58 [48th]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2.528 [45th]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0.087 [54th]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71</v>
      </c>
      <c r="D26" s="701" t="s">
        <v>57</v>
      </c>
      <c r="E26" s="139" t="s">
        <v>176</v>
      </c>
      <c r="F26" s="138">
        <v>2.4</v>
      </c>
      <c r="G26" s="139" t="s">
        <v>60</v>
      </c>
      <c r="H26" s="151" t="s">
        <v>2445</v>
      </c>
      <c r="I26" s="110"/>
      <c r="J26" s="109"/>
      <c r="K26" s="138"/>
      <c r="L26" s="282"/>
      <c r="M26" s="363"/>
      <c r="N26" s="363"/>
      <c r="O26" s="145">
        <v>0.0</v>
      </c>
      <c r="P26" s="145">
        <v>1.0</v>
      </c>
      <c r="Q26" s="145">
        <v>1.0</v>
      </c>
      <c r="R26" s="100"/>
      <c r="S26" s="100"/>
      <c r="T26" s="100"/>
      <c r="U26" s="145" t="s">
        <v>62</v>
      </c>
      <c r="V26" s="100"/>
    </row>
    <row r="27" outlineLevel="1">
      <c r="A27" s="146"/>
      <c r="B27" s="147" t="s">
        <v>63</v>
      </c>
      <c r="C27" s="467" t="s">
        <v>64</v>
      </c>
      <c r="D27" s="467" t="s">
        <v>65</v>
      </c>
      <c r="E27" s="216" t="s">
        <v>176</v>
      </c>
      <c r="F27" s="138">
        <v>2.4</v>
      </c>
      <c r="G27" s="216" t="s">
        <v>60</v>
      </c>
      <c r="H27" s="151" t="s">
        <v>4815</v>
      </c>
      <c r="I27" s="110"/>
      <c r="J27" s="109"/>
      <c r="K27" s="282"/>
      <c r="L27" s="282"/>
      <c r="M27" s="363"/>
      <c r="N27" s="363"/>
      <c r="O27" s="145">
        <v>0.0</v>
      </c>
      <c r="P27" s="145">
        <v>1.0</v>
      </c>
      <c r="Q27" s="145">
        <v>1.0</v>
      </c>
      <c r="R27" s="100"/>
      <c r="S27" s="100"/>
      <c r="T27" s="100"/>
      <c r="U27" s="145" t="s">
        <v>69</v>
      </c>
      <c r="V27" s="100"/>
    </row>
    <row r="28" outlineLevel="1">
      <c r="A28" s="146"/>
      <c r="B28" s="147" t="s">
        <v>70</v>
      </c>
      <c r="C28" s="467" t="s">
        <v>717</v>
      </c>
      <c r="D28" s="467" t="s">
        <v>99</v>
      </c>
      <c r="E28" s="216" t="s">
        <v>651</v>
      </c>
      <c r="F28" s="138">
        <v>4.2</v>
      </c>
      <c r="G28" s="216" t="s">
        <v>147</v>
      </c>
      <c r="H28" s="151"/>
      <c r="I28" s="110"/>
      <c r="J28" s="109"/>
      <c r="K28" s="282"/>
      <c r="L28" s="282"/>
      <c r="M28" s="363"/>
      <c r="N28" s="363"/>
      <c r="O28" s="145">
        <v>0.0</v>
      </c>
      <c r="P28" s="145">
        <v>1.0</v>
      </c>
      <c r="Q28" s="145">
        <v>1.0</v>
      </c>
      <c r="R28" s="100"/>
      <c r="S28" s="100"/>
      <c r="T28" s="100"/>
      <c r="U28" s="145" t="s">
        <v>76</v>
      </c>
      <c r="V28" s="100"/>
    </row>
    <row r="29" outlineLevel="1">
      <c r="A29" s="146"/>
      <c r="B29" s="147" t="s">
        <v>703</v>
      </c>
      <c r="C29" s="659"/>
      <c r="D29" s="467" t="s">
        <v>213</v>
      </c>
      <c r="E29" s="659"/>
      <c r="F29" s="658"/>
      <c r="G29" s="659"/>
      <c r="H29" s="151"/>
      <c r="I29" s="110"/>
      <c r="J29" s="109"/>
      <c r="K29" s="261"/>
      <c r="L29" s="261"/>
      <c r="M29" s="261"/>
      <c r="N29" s="261"/>
      <c r="O29" s="261"/>
      <c r="P29" s="261"/>
      <c r="Q29" s="261"/>
      <c r="R29" s="100"/>
      <c r="S29" s="100"/>
      <c r="T29" s="100"/>
      <c r="U29" s="145" t="s">
        <v>76</v>
      </c>
      <c r="V29" s="100"/>
    </row>
    <row r="30" outlineLevel="1">
      <c r="A30" s="146"/>
      <c r="B30" s="147" t="s">
        <v>704</v>
      </c>
      <c r="C30" s="467" t="s">
        <v>1663</v>
      </c>
      <c r="D30" s="467" t="s">
        <v>394</v>
      </c>
      <c r="E30" s="216" t="s">
        <v>3647</v>
      </c>
      <c r="F30" s="138">
        <v>0.48</v>
      </c>
      <c r="G30" s="450" t="s">
        <v>60</v>
      </c>
      <c r="H30" s="151" t="s">
        <v>4816</v>
      </c>
      <c r="I30" s="110"/>
      <c r="J30" s="109"/>
      <c r="K30" s="282"/>
      <c r="L30" s="282"/>
      <c r="M30" s="363"/>
      <c r="N30" s="363"/>
      <c r="O30" s="145">
        <v>0.0</v>
      </c>
      <c r="P30" s="145">
        <v>1.0</v>
      </c>
      <c r="Q30" s="145">
        <v>1.0</v>
      </c>
      <c r="R30" s="100"/>
      <c r="S30" s="100"/>
      <c r="T30" s="100"/>
      <c r="U30" s="145" t="s">
        <v>76</v>
      </c>
      <c r="V30" s="100"/>
    </row>
    <row r="31" outlineLevel="1">
      <c r="A31" s="156"/>
      <c r="B31" s="147" t="s">
        <v>708</v>
      </c>
      <c r="C31" s="467" t="s">
        <v>217</v>
      </c>
      <c r="D31" s="467" t="s">
        <v>541</v>
      </c>
      <c r="E31" s="216" t="s">
        <v>535</v>
      </c>
      <c r="F31" s="138">
        <v>3.0</v>
      </c>
      <c r="G31" s="467" t="s">
        <v>147</v>
      </c>
      <c r="H31" s="151" t="s">
        <v>4817</v>
      </c>
      <c r="I31" s="110"/>
      <c r="J31" s="109"/>
      <c r="K31" s="282"/>
      <c r="L31" s="282"/>
      <c r="M31" s="363"/>
      <c r="N31" s="363"/>
      <c r="O31" s="145">
        <v>0.0</v>
      </c>
      <c r="P31" s="145">
        <v>1.0</v>
      </c>
      <c r="Q31" s="145">
        <v>1.0</v>
      </c>
      <c r="R31" s="100"/>
      <c r="S31" s="100"/>
      <c r="T31" s="100"/>
      <c r="U31" s="145" t="s">
        <v>76</v>
      </c>
      <c r="V31" s="100"/>
    </row>
    <row r="32" outlineLevel="1">
      <c r="A32" s="133" t="s">
        <v>77</v>
      </c>
      <c r="B32" s="160"/>
      <c r="C32" s="467" t="s">
        <v>518</v>
      </c>
      <c r="D32" s="455" t="s">
        <v>193</v>
      </c>
      <c r="E32" s="467" t="s">
        <v>80</v>
      </c>
      <c r="F32" s="138">
        <v>9.6</v>
      </c>
      <c r="G32" s="450" t="s">
        <v>88</v>
      </c>
      <c r="H32" s="163" t="s">
        <v>1433</v>
      </c>
      <c r="I32" s="164"/>
      <c r="J32" s="104"/>
      <c r="K32" s="138"/>
      <c r="L32" s="282"/>
      <c r="M32" s="363"/>
      <c r="N32" s="363"/>
      <c r="O32" s="145">
        <v>0.0</v>
      </c>
      <c r="P32" s="145">
        <v>1.0</v>
      </c>
      <c r="Q32" s="145">
        <v>1.0</v>
      </c>
      <c r="R32" s="100"/>
      <c r="S32" s="100"/>
      <c r="T32" s="100"/>
      <c r="U32" s="166" t="s">
        <v>69</v>
      </c>
      <c r="V32" s="100"/>
    </row>
    <row r="33" outlineLevel="1">
      <c r="A33" s="156"/>
      <c r="B33" s="147" t="s">
        <v>84</v>
      </c>
      <c r="C33" s="467" t="s">
        <v>309</v>
      </c>
      <c r="D33" s="107"/>
      <c r="E33" s="467" t="s">
        <v>86</v>
      </c>
      <c r="F33" s="138">
        <v>7.199999999999999</v>
      </c>
      <c r="G33" s="450" t="s">
        <v>275</v>
      </c>
      <c r="H33" s="106"/>
      <c r="I33" s="168"/>
      <c r="J33" s="107"/>
      <c r="K33" s="282"/>
      <c r="L33" s="282"/>
      <c r="M33" s="363"/>
      <c r="N33" s="363"/>
      <c r="O33" s="145">
        <v>0.0</v>
      </c>
      <c r="P33" s="145">
        <v>1.0</v>
      </c>
      <c r="Q33" s="145">
        <v>1.0</v>
      </c>
      <c r="R33" s="100"/>
      <c r="S33" s="100"/>
      <c r="T33" s="100"/>
      <c r="U33" s="156"/>
      <c r="V33" s="100"/>
    </row>
    <row r="34" outlineLevel="1">
      <c r="A34" s="170" t="s">
        <v>89</v>
      </c>
      <c r="B34" s="147"/>
      <c r="C34" s="467" t="s">
        <v>161</v>
      </c>
      <c r="D34" s="467" t="s">
        <v>218</v>
      </c>
      <c r="E34" s="467" t="s">
        <v>274</v>
      </c>
      <c r="F34" s="138">
        <v>10.799999999999999</v>
      </c>
      <c r="G34" s="467" t="s">
        <v>275</v>
      </c>
      <c r="H34" s="151"/>
      <c r="I34" s="110"/>
      <c r="J34" s="109"/>
      <c r="K34" s="138"/>
      <c r="L34" s="282"/>
      <c r="M34" s="363"/>
      <c r="N34" s="363"/>
      <c r="O34" s="145">
        <v>0.0</v>
      </c>
      <c r="P34" s="145">
        <v>1.0</v>
      </c>
      <c r="Q34" s="145">
        <v>1.0</v>
      </c>
      <c r="R34" s="100"/>
      <c r="S34" s="100"/>
      <c r="T34" s="100"/>
      <c r="U34" s="145" t="s">
        <v>96</v>
      </c>
      <c r="V34" s="100"/>
    </row>
    <row r="35" outlineLevel="1">
      <c r="A35" s="170" t="s">
        <v>97</v>
      </c>
      <c r="B35" s="160"/>
      <c r="C35" s="467" t="s">
        <v>4589</v>
      </c>
      <c r="D35" s="467" t="s">
        <v>99</v>
      </c>
      <c r="E35" s="467" t="s">
        <v>86</v>
      </c>
      <c r="F35" s="138">
        <v>7.199999999999999</v>
      </c>
      <c r="G35" s="467" t="s">
        <v>102</v>
      </c>
      <c r="H35" s="151"/>
      <c r="I35" s="110"/>
      <c r="J35" s="109"/>
      <c r="K35" s="282"/>
      <c r="L35" s="282"/>
      <c r="M35" s="363"/>
      <c r="N35" s="363"/>
      <c r="O35" s="145">
        <v>0.0</v>
      </c>
      <c r="P35" s="145">
        <v>1.0</v>
      </c>
      <c r="Q35" s="145">
        <v>1.0</v>
      </c>
      <c r="R35" s="100"/>
      <c r="S35" s="100"/>
      <c r="T35" s="100"/>
      <c r="U35" s="145" t="s">
        <v>62</v>
      </c>
      <c r="V35" s="100"/>
    </row>
    <row r="36" outlineLevel="1">
      <c r="A36" s="133" t="s">
        <v>103</v>
      </c>
      <c r="B36" s="147" t="s">
        <v>125</v>
      </c>
      <c r="C36" s="467" t="s">
        <v>713</v>
      </c>
      <c r="D36" s="455" t="s">
        <v>271</v>
      </c>
      <c r="E36" s="467" t="s">
        <v>204</v>
      </c>
      <c r="F36" s="138">
        <v>3.5999999999999996</v>
      </c>
      <c r="G36" s="467" t="s">
        <v>147</v>
      </c>
      <c r="H36" s="163"/>
      <c r="I36" s="164"/>
      <c r="J36" s="104"/>
      <c r="K36" s="145"/>
      <c r="L36" s="363"/>
      <c r="M36" s="363"/>
      <c r="N36" s="363"/>
      <c r="O36" s="145">
        <v>0.0</v>
      </c>
      <c r="P36" s="145">
        <v>1.0</v>
      </c>
      <c r="Q36" s="145">
        <v>1.0</v>
      </c>
      <c r="R36" s="100"/>
      <c r="S36" s="100"/>
      <c r="T36" s="100"/>
      <c r="U36" s="166" t="s">
        <v>62</v>
      </c>
      <c r="V36" s="100"/>
    </row>
    <row r="37" outlineLevel="1">
      <c r="A37" s="156"/>
      <c r="B37" s="147" t="s">
        <v>131</v>
      </c>
      <c r="C37" s="467" t="s">
        <v>1128</v>
      </c>
      <c r="D37" s="107"/>
      <c r="E37" s="467" t="s">
        <v>86</v>
      </c>
      <c r="F37" s="138">
        <v>7.199999999999999</v>
      </c>
      <c r="G37" s="467" t="s">
        <v>102</v>
      </c>
      <c r="H37" s="106"/>
      <c r="I37" s="168"/>
      <c r="J37" s="107"/>
      <c r="K37" s="363"/>
      <c r="L37" s="363"/>
      <c r="M37" s="363"/>
      <c r="N37" s="363"/>
      <c r="O37" s="145">
        <v>0.0</v>
      </c>
      <c r="P37" s="145">
        <v>1.0</v>
      </c>
      <c r="Q37" s="145">
        <v>1.0</v>
      </c>
      <c r="R37" s="100"/>
      <c r="S37" s="100"/>
      <c r="T37" s="100"/>
      <c r="U37" s="156"/>
      <c r="V37" s="100"/>
    </row>
    <row r="38" ht="20.25" customHeight="1" outlineLevel="1">
      <c r="A38" s="133" t="s">
        <v>109</v>
      </c>
      <c r="B38" s="147"/>
      <c r="C38" s="455" t="s">
        <v>454</v>
      </c>
      <c r="D38" s="455" t="s">
        <v>455</v>
      </c>
      <c r="E38" s="216" t="s">
        <v>1994</v>
      </c>
      <c r="F38" s="138" t="s">
        <v>1995</v>
      </c>
      <c r="G38" s="467" t="s">
        <v>4664</v>
      </c>
      <c r="H38" s="163" t="s">
        <v>4818</v>
      </c>
      <c r="I38" s="164"/>
      <c r="J38" s="104"/>
      <c r="K38" s="282"/>
      <c r="L38" s="282"/>
      <c r="M38" s="363"/>
      <c r="N38" s="363"/>
      <c r="O38" s="145">
        <v>0.0</v>
      </c>
      <c r="P38" s="145">
        <v>1.0</v>
      </c>
      <c r="Q38" s="145">
        <v>1.0</v>
      </c>
      <c r="R38" s="100"/>
      <c r="S38" s="100"/>
      <c r="T38" s="100"/>
      <c r="U38" s="166" t="s">
        <v>95</v>
      </c>
      <c r="V38" s="100"/>
    </row>
    <row r="39" ht="20.25" customHeight="1" outlineLevel="1">
      <c r="A39" s="156"/>
      <c r="B39" s="147" t="s">
        <v>4819</v>
      </c>
      <c r="C39" s="107"/>
      <c r="D39" s="107"/>
      <c r="E39" s="2924" t="s">
        <v>129</v>
      </c>
      <c r="F39" s="2925">
        <v>14.399999999999999</v>
      </c>
      <c r="G39" s="2924" t="s">
        <v>123</v>
      </c>
      <c r="H39" s="106"/>
      <c r="I39" s="168"/>
      <c r="J39" s="107"/>
      <c r="K39" s="282"/>
      <c r="L39" s="282"/>
      <c r="M39" s="363"/>
      <c r="N39" s="363"/>
      <c r="O39" s="145">
        <v>0.0</v>
      </c>
      <c r="P39" s="145">
        <v>1.0</v>
      </c>
      <c r="Q39" s="145">
        <v>1.0</v>
      </c>
      <c r="R39" s="100"/>
      <c r="S39" s="100"/>
      <c r="T39" s="100"/>
      <c r="U39" s="156"/>
      <c r="V39" s="100"/>
    </row>
    <row r="40" outlineLevel="1">
      <c r="A40" s="133" t="s">
        <v>116</v>
      </c>
      <c r="B40" s="147" t="s">
        <v>125</v>
      </c>
      <c r="C40" s="467" t="s">
        <v>220</v>
      </c>
      <c r="D40" s="455" t="s">
        <v>600</v>
      </c>
      <c r="E40" s="467" t="s">
        <v>73</v>
      </c>
      <c r="F40" s="138">
        <v>4.8</v>
      </c>
      <c r="G40" s="467" t="s">
        <v>147</v>
      </c>
      <c r="H40" s="163" t="s">
        <v>4820</v>
      </c>
      <c r="I40" s="164"/>
      <c r="J40" s="104"/>
      <c r="K40" s="363"/>
      <c r="L40" s="363"/>
      <c r="M40" s="363"/>
      <c r="N40" s="363"/>
      <c r="O40" s="145">
        <v>0.0</v>
      </c>
      <c r="P40" s="145">
        <v>1.0</v>
      </c>
      <c r="Q40" s="145">
        <v>1.0</v>
      </c>
      <c r="R40" s="100"/>
      <c r="S40" s="100"/>
      <c r="T40" s="100"/>
      <c r="U40" s="166" t="s">
        <v>75</v>
      </c>
      <c r="V40" s="100"/>
    </row>
    <row r="41" outlineLevel="1">
      <c r="A41" s="146"/>
      <c r="B41" s="147" t="s">
        <v>131</v>
      </c>
      <c r="C41" s="195" t="s">
        <v>312</v>
      </c>
      <c r="D41" s="210"/>
      <c r="E41" s="216" t="s">
        <v>4008</v>
      </c>
      <c r="F41" s="138" t="s">
        <v>4009</v>
      </c>
      <c r="G41" s="467" t="s">
        <v>1550</v>
      </c>
      <c r="H41" s="212"/>
      <c r="J41" s="210"/>
      <c r="K41" s="363"/>
      <c r="L41" s="363"/>
      <c r="M41" s="363"/>
      <c r="N41" s="363"/>
      <c r="O41" s="145">
        <v>0.0</v>
      </c>
      <c r="P41" s="145">
        <v>1.0</v>
      </c>
      <c r="Q41" s="145">
        <v>1.0</v>
      </c>
      <c r="R41" s="100"/>
      <c r="S41" s="100"/>
      <c r="T41" s="100"/>
      <c r="U41" s="146"/>
      <c r="V41" s="100"/>
    </row>
    <row r="42" outlineLevel="1">
      <c r="A42" s="156"/>
      <c r="B42" s="147" t="s">
        <v>4819</v>
      </c>
      <c r="C42" s="107"/>
      <c r="D42" s="107"/>
      <c r="E42" s="2924" t="s">
        <v>4821</v>
      </c>
      <c r="F42" s="2925" t="s">
        <v>4822</v>
      </c>
      <c r="G42" s="2924" t="s">
        <v>4823</v>
      </c>
      <c r="H42" s="106"/>
      <c r="I42" s="168"/>
      <c r="J42" s="107"/>
      <c r="K42" s="363"/>
      <c r="L42" s="363"/>
      <c r="M42" s="363"/>
      <c r="N42" s="363"/>
      <c r="O42" s="145">
        <v>0.0</v>
      </c>
      <c r="P42" s="145">
        <v>1.0</v>
      </c>
      <c r="Q42" s="145">
        <v>1.0</v>
      </c>
      <c r="R42" s="100"/>
      <c r="S42" s="100"/>
      <c r="T42" s="100"/>
      <c r="U42" s="156"/>
      <c r="V42" s="100"/>
    </row>
    <row r="43" outlineLevel="1">
      <c r="A43" s="133" t="s">
        <v>124</v>
      </c>
      <c r="B43" s="147" t="s">
        <v>125</v>
      </c>
      <c r="C43" s="195" t="s">
        <v>299</v>
      </c>
      <c r="D43" s="455" t="s">
        <v>185</v>
      </c>
      <c r="E43" s="216" t="s">
        <v>2764</v>
      </c>
      <c r="F43" s="138">
        <v>15.0</v>
      </c>
      <c r="G43" s="467" t="s">
        <v>275</v>
      </c>
      <c r="H43" s="163" t="s">
        <v>4824</v>
      </c>
      <c r="I43" s="164"/>
      <c r="J43" s="104"/>
      <c r="K43" s="282"/>
      <c r="L43" s="282"/>
      <c r="M43" s="363"/>
      <c r="N43" s="363"/>
      <c r="O43" s="145">
        <v>0.0</v>
      </c>
      <c r="P43" s="145">
        <v>1.0</v>
      </c>
      <c r="Q43" s="145">
        <v>1.0</v>
      </c>
      <c r="R43" s="100"/>
      <c r="S43" s="100"/>
      <c r="T43" s="100"/>
      <c r="U43" s="166" t="s">
        <v>62</v>
      </c>
      <c r="V43" s="100"/>
    </row>
    <row r="44" outlineLevel="1">
      <c r="A44" s="146"/>
      <c r="B44" s="147" t="s">
        <v>4819</v>
      </c>
      <c r="C44" s="107"/>
      <c r="D44" s="210"/>
      <c r="E44" s="2924" t="s">
        <v>128</v>
      </c>
      <c r="F44" s="2925">
        <v>12.0</v>
      </c>
      <c r="G44" s="2924" t="s">
        <v>95</v>
      </c>
      <c r="H44" s="212"/>
      <c r="J44" s="210"/>
      <c r="K44" s="282"/>
      <c r="L44" s="282"/>
      <c r="M44" s="363"/>
      <c r="N44" s="363"/>
      <c r="O44" s="145">
        <v>0.0</v>
      </c>
      <c r="P44" s="145">
        <v>1.0</v>
      </c>
      <c r="Q44" s="145">
        <v>1.0</v>
      </c>
      <c r="R44" s="100"/>
      <c r="S44" s="100"/>
      <c r="T44" s="100"/>
      <c r="U44" s="146"/>
      <c r="V44" s="100"/>
    </row>
    <row r="45" outlineLevel="1">
      <c r="A45" s="146"/>
      <c r="B45" s="147" t="s">
        <v>430</v>
      </c>
      <c r="C45" s="195" t="s">
        <v>721</v>
      </c>
      <c r="D45" s="210"/>
      <c r="E45" s="216" t="s">
        <v>93</v>
      </c>
      <c r="F45" s="138">
        <v>8.4</v>
      </c>
      <c r="G45" s="467" t="s">
        <v>102</v>
      </c>
      <c r="H45" s="212"/>
      <c r="J45" s="210"/>
      <c r="K45" s="282"/>
      <c r="L45" s="282"/>
      <c r="M45" s="363"/>
      <c r="N45" s="363"/>
      <c r="O45" s="145">
        <v>0.0</v>
      </c>
      <c r="P45" s="145">
        <v>1.0</v>
      </c>
      <c r="Q45" s="145">
        <v>1.0</v>
      </c>
      <c r="R45" s="100"/>
      <c r="S45" s="100"/>
      <c r="T45" s="100"/>
      <c r="U45" s="146"/>
      <c r="V45" s="100"/>
    </row>
    <row r="46" outlineLevel="1">
      <c r="A46" s="146"/>
      <c r="B46" s="147" t="s">
        <v>4819</v>
      </c>
      <c r="C46" s="107"/>
      <c r="D46" s="210"/>
      <c r="E46" s="2924" t="s">
        <v>150</v>
      </c>
      <c r="F46" s="2925">
        <v>6.0</v>
      </c>
      <c r="G46" s="2924" t="s">
        <v>147</v>
      </c>
      <c r="H46" s="212"/>
      <c r="J46" s="210"/>
      <c r="K46" s="282"/>
      <c r="L46" s="282"/>
      <c r="M46" s="363"/>
      <c r="N46" s="363"/>
      <c r="O46" s="145">
        <v>0.0</v>
      </c>
      <c r="P46" s="145">
        <v>1.0</v>
      </c>
      <c r="Q46" s="145">
        <v>1.0</v>
      </c>
      <c r="R46" s="100"/>
      <c r="S46" s="100"/>
      <c r="T46" s="100"/>
      <c r="U46" s="146"/>
      <c r="V46" s="100"/>
    </row>
    <row r="47" outlineLevel="1">
      <c r="A47" s="146"/>
      <c r="B47" s="147" t="s">
        <v>131</v>
      </c>
      <c r="C47" s="195" t="s">
        <v>351</v>
      </c>
      <c r="D47" s="210"/>
      <c r="E47" s="216" t="s">
        <v>232</v>
      </c>
      <c r="F47" s="138">
        <v>13.2</v>
      </c>
      <c r="G47" s="467" t="s">
        <v>123</v>
      </c>
      <c r="H47" s="212"/>
      <c r="J47" s="210"/>
      <c r="K47" s="282"/>
      <c r="L47" s="282"/>
      <c r="M47" s="363"/>
      <c r="N47" s="363"/>
      <c r="O47" s="145">
        <v>0.0</v>
      </c>
      <c r="P47" s="145">
        <v>1.0</v>
      </c>
      <c r="Q47" s="145">
        <v>1.0</v>
      </c>
      <c r="R47" s="100"/>
      <c r="S47" s="100"/>
      <c r="T47" s="100"/>
      <c r="U47" s="146"/>
      <c r="V47" s="100"/>
    </row>
    <row r="48" outlineLevel="1">
      <c r="A48" s="146"/>
      <c r="B48" s="147" t="s">
        <v>4819</v>
      </c>
      <c r="C48" s="107"/>
      <c r="D48" s="210"/>
      <c r="E48" s="2924" t="s">
        <v>274</v>
      </c>
      <c r="F48" s="2925">
        <v>10.799999999999999</v>
      </c>
      <c r="G48" s="2924" t="s">
        <v>95</v>
      </c>
      <c r="H48" s="212"/>
      <c r="J48" s="210"/>
      <c r="K48" s="282"/>
      <c r="L48" s="282"/>
      <c r="M48" s="363"/>
      <c r="N48" s="363"/>
      <c r="O48" s="145">
        <v>0.0</v>
      </c>
      <c r="P48" s="145">
        <v>1.0</v>
      </c>
      <c r="Q48" s="145">
        <v>1.0</v>
      </c>
      <c r="R48" s="100"/>
      <c r="S48" s="100"/>
      <c r="T48" s="100"/>
      <c r="U48" s="146"/>
      <c r="V48" s="100"/>
    </row>
    <row r="49" outlineLevel="1">
      <c r="A49" s="146"/>
      <c r="B49" s="147" t="s">
        <v>432</v>
      </c>
      <c r="C49" s="195" t="s">
        <v>1918</v>
      </c>
      <c r="D49" s="210"/>
      <c r="E49" s="216" t="s">
        <v>86</v>
      </c>
      <c r="F49" s="138">
        <v>7.199999999999999</v>
      </c>
      <c r="G49" s="467" t="s">
        <v>75</v>
      </c>
      <c r="H49" s="212"/>
      <c r="J49" s="210"/>
      <c r="K49" s="282"/>
      <c r="L49" s="282"/>
      <c r="M49" s="363"/>
      <c r="N49" s="363"/>
      <c r="O49" s="145">
        <v>0.0</v>
      </c>
      <c r="P49" s="145">
        <v>1.0</v>
      </c>
      <c r="Q49" s="145">
        <v>1.0</v>
      </c>
      <c r="R49" s="100"/>
      <c r="S49" s="100"/>
      <c r="T49" s="100"/>
      <c r="U49" s="146"/>
      <c r="V49" s="100"/>
    </row>
    <row r="50" outlineLevel="1">
      <c r="A50" s="156"/>
      <c r="B50" s="147" t="s">
        <v>4819</v>
      </c>
      <c r="C50" s="107"/>
      <c r="D50" s="107"/>
      <c r="E50" s="2924" t="s">
        <v>73</v>
      </c>
      <c r="F50" s="2925">
        <v>4.8</v>
      </c>
      <c r="G50" s="2924" t="s">
        <v>147</v>
      </c>
      <c r="H50" s="106"/>
      <c r="I50" s="168"/>
      <c r="J50" s="107"/>
      <c r="K50" s="282"/>
      <c r="L50" s="282"/>
      <c r="M50" s="363"/>
      <c r="N50" s="363"/>
      <c r="O50" s="145">
        <v>0.0</v>
      </c>
      <c r="P50" s="145">
        <v>1.0</v>
      </c>
      <c r="Q50" s="145">
        <v>1.0</v>
      </c>
      <c r="R50" s="100"/>
      <c r="S50" s="100"/>
      <c r="T50" s="100"/>
      <c r="U50" s="156"/>
      <c r="V50" s="100"/>
    </row>
    <row r="51" outlineLevel="1">
      <c r="A51" s="771" t="s">
        <v>4825</v>
      </c>
      <c r="B51" s="109"/>
      <c r="C51" s="127" t="s">
        <v>48</v>
      </c>
      <c r="D51" s="128" t="s">
        <v>49</v>
      </c>
      <c r="E51" s="128" t="s">
        <v>50</v>
      </c>
      <c r="F51" s="129" t="s">
        <v>51</v>
      </c>
      <c r="G51" s="128" t="s">
        <v>52</v>
      </c>
      <c r="H51" s="361" t="s">
        <v>53</v>
      </c>
      <c r="I51" s="110"/>
      <c r="J51" s="109"/>
      <c r="K51" s="131" t="s">
        <v>137</v>
      </c>
      <c r="L51" s="131" t="s">
        <v>138</v>
      </c>
      <c r="M51" s="131" t="s">
        <v>139</v>
      </c>
      <c r="N51" s="131" t="s">
        <v>140</v>
      </c>
      <c r="O51" s="132" t="s">
        <v>141</v>
      </c>
      <c r="P51" s="131" t="s">
        <v>142</v>
      </c>
      <c r="Q51" s="132" t="s">
        <v>143</v>
      </c>
      <c r="R51" s="100"/>
      <c r="S51" s="100"/>
      <c r="T51" s="100"/>
      <c r="U51" s="127" t="s">
        <v>54</v>
      </c>
      <c r="V51" s="100"/>
    </row>
    <row r="52" ht="31.5" customHeight="1" outlineLevel="1">
      <c r="A52" s="133" t="s">
        <v>4825</v>
      </c>
      <c r="B52" s="134" t="s">
        <v>860</v>
      </c>
      <c r="C52" s="216" t="s">
        <v>4826</v>
      </c>
      <c r="D52" s="365" t="s">
        <v>282</v>
      </c>
      <c r="E52" s="659"/>
      <c r="F52" s="659"/>
      <c r="G52" s="659"/>
      <c r="H52" s="163" t="s">
        <v>4827</v>
      </c>
      <c r="I52" s="164"/>
      <c r="J52" s="104"/>
      <c r="K52" s="261"/>
      <c r="L52" s="261"/>
      <c r="M52" s="261"/>
      <c r="N52" s="261"/>
      <c r="O52" s="261"/>
      <c r="P52" s="261"/>
      <c r="Q52" s="261"/>
      <c r="R52" s="100"/>
      <c r="S52" s="100"/>
      <c r="T52" s="100"/>
      <c r="U52" s="166" t="s">
        <v>76</v>
      </c>
      <c r="V52" s="100"/>
    </row>
    <row r="53" ht="31.5" customHeight="1" outlineLevel="1">
      <c r="A53" s="156"/>
      <c r="B53" s="134" t="s">
        <v>677</v>
      </c>
      <c r="C53" s="659"/>
      <c r="D53" s="365" t="s">
        <v>268</v>
      </c>
      <c r="E53" s="659"/>
      <c r="F53" s="659"/>
      <c r="G53" s="659"/>
      <c r="H53" s="106"/>
      <c r="I53" s="168"/>
      <c r="J53" s="107"/>
      <c r="K53" s="261"/>
      <c r="L53" s="261"/>
      <c r="M53" s="261"/>
      <c r="N53" s="261"/>
      <c r="O53" s="261"/>
      <c r="P53" s="261"/>
      <c r="Q53" s="261"/>
      <c r="R53" s="100"/>
      <c r="S53" s="100"/>
      <c r="T53" s="100"/>
      <c r="U53" s="156"/>
      <c r="V53" s="100"/>
    </row>
    <row r="54">
      <c r="A54" s="118"/>
      <c r="B54" s="176"/>
      <c r="C54" s="118"/>
      <c r="D54" s="2688"/>
      <c r="E54" s="118"/>
      <c r="F54" s="177"/>
      <c r="G54" s="177"/>
      <c r="H54" s="118"/>
      <c r="I54" s="118"/>
      <c r="J54" s="118"/>
      <c r="K54" s="118"/>
      <c r="L54" s="118"/>
      <c r="M54" s="118"/>
      <c r="N54" s="118"/>
      <c r="O54" s="118"/>
      <c r="P54" s="118"/>
      <c r="Q54" s="118"/>
      <c r="R54" s="118"/>
      <c r="S54" s="118"/>
      <c r="T54" s="118"/>
      <c r="U54" s="118"/>
      <c r="V54" s="118"/>
    </row>
    <row r="55">
      <c r="A55" s="178" t="s">
        <v>133</v>
      </c>
      <c r="B55" s="104"/>
      <c r="C55" s="179"/>
      <c r="D55" s="179"/>
      <c r="E55" s="179"/>
      <c r="F55" s="180"/>
      <c r="G55" s="179"/>
      <c r="H55" s="180"/>
      <c r="I55" s="180"/>
      <c r="J55" s="181"/>
      <c r="K55" s="180"/>
      <c r="L55" s="180"/>
      <c r="M55" s="180"/>
      <c r="N55" s="180"/>
      <c r="O55" s="180"/>
      <c r="P55" s="180"/>
      <c r="Q55" s="180"/>
      <c r="R55" s="180"/>
      <c r="S55" s="180"/>
      <c r="T55" s="180"/>
      <c r="U55" s="180"/>
      <c r="V55" s="180"/>
    </row>
    <row r="56" outlineLevel="1">
      <c r="A56" s="106"/>
      <c r="B56" s="107"/>
      <c r="C56" s="182" t="s">
        <v>48</v>
      </c>
      <c r="D56" s="183" t="s">
        <v>49</v>
      </c>
      <c r="E56" s="182" t="s">
        <v>50</v>
      </c>
      <c r="F56" s="184" t="s">
        <v>51</v>
      </c>
      <c r="G56" s="184" t="s">
        <v>134</v>
      </c>
      <c r="H56" s="185" t="str">
        <f>'テンプレート'!H56</f>
        <v>ガード硬直</v>
      </c>
      <c r="I56" s="184" t="str">
        <f>'テンプレート'!I56</f>
        <v>着地隙</v>
      </c>
      <c r="J56" s="184" t="s">
        <v>136</v>
      </c>
      <c r="K56" s="184" t="str">
        <f>'テンプレート'!K56</f>
        <v>ベクトル</v>
      </c>
      <c r="L56" s="184" t="str">
        <f>'テンプレート'!L56</f>
        <v>KBG (R.E.)</v>
      </c>
      <c r="M56" s="184" t="str">
        <f>'テンプレート'!M56</f>
        <v>BKB (R.A.)</v>
      </c>
      <c r="N56" s="184" t="str">
        <f>'テンプレート'!N56</f>
        <v>FKB (R.F.)</v>
      </c>
      <c r="O56" s="186" t="str">
        <f>'テンプレート'!O56</f>
        <v>盾削り値</v>
      </c>
      <c r="P56" s="184" t="str">
        <f>'テンプレート'!P56</f>
        <v>ﾋｯﾄｽﾄｯﾌﾟ</v>
      </c>
      <c r="Q56" s="186" t="str">
        <f>'テンプレート'!Q56</f>
        <v>ずらし</v>
      </c>
      <c r="R56" s="187" t="str">
        <f>'テンプレート'!R56</f>
        <v>備考</v>
      </c>
      <c r="S56" s="110"/>
      <c r="T56" s="110"/>
      <c r="U56" s="110"/>
      <c r="V56" s="110"/>
    </row>
    <row r="57" outlineLevel="1">
      <c r="A57" s="213" t="s">
        <v>144</v>
      </c>
      <c r="B57" s="373"/>
      <c r="C57" s="239" t="s">
        <v>543</v>
      </c>
      <c r="D57" s="467" t="s">
        <v>271</v>
      </c>
      <c r="E57" s="401" t="s">
        <v>93</v>
      </c>
      <c r="F57" s="193">
        <v>8.4</v>
      </c>
      <c r="G57" s="193">
        <v>7.140000000000001</v>
      </c>
      <c r="H57" s="138" t="s">
        <v>60</v>
      </c>
      <c r="I57" s="774" t="str">
        <f t="array" ref="I57">INDEX('空中攻撃'!$O$3:$AB$109, MATCH($A$1,'空中攻撃'!$A$3:$A$109,0), MATCH(A57,'空中攻撃'!$O$2:$S$2,0))</f>
        <v>5</v>
      </c>
      <c r="J57" s="467" t="s">
        <v>4828</v>
      </c>
      <c r="K57" s="138"/>
      <c r="L57" s="282"/>
      <c r="M57" s="363"/>
      <c r="N57" s="363"/>
      <c r="O57" s="145">
        <v>0.0</v>
      </c>
      <c r="P57" s="145">
        <v>1.0</v>
      </c>
      <c r="Q57" s="145">
        <v>1.0</v>
      </c>
      <c r="R57" s="622"/>
      <c r="S57" s="110"/>
      <c r="T57" s="110"/>
      <c r="U57" s="110"/>
      <c r="V57" s="109"/>
    </row>
    <row r="58" outlineLevel="1">
      <c r="A58" s="188" t="s">
        <v>151</v>
      </c>
      <c r="B58" s="373"/>
      <c r="C58" s="239" t="s">
        <v>223</v>
      </c>
      <c r="D58" s="455" t="s">
        <v>384</v>
      </c>
      <c r="E58" s="239" t="s">
        <v>1222</v>
      </c>
      <c r="F58" s="138" t="s">
        <v>1223</v>
      </c>
      <c r="G58" s="138" t="s">
        <v>2324</v>
      </c>
      <c r="H58" s="138" t="s">
        <v>1808</v>
      </c>
      <c r="I58" s="452" t="str">
        <f t="array" ref="I58">INDEX('空中攻撃'!$O$3:$AB$109, MATCH($A$1,'空中攻撃'!$A$3:$A$109,0), MATCH(A58,'空中攻撃'!$O$2:$S$2,0))</f>
        <v>12</v>
      </c>
      <c r="J58" s="455" t="s">
        <v>2883</v>
      </c>
      <c r="K58" s="138"/>
      <c r="L58" s="282"/>
      <c r="M58" s="363"/>
      <c r="N58" s="363"/>
      <c r="O58" s="145">
        <v>0.0</v>
      </c>
      <c r="P58" s="145">
        <v>1.0</v>
      </c>
      <c r="Q58" s="145">
        <v>1.0</v>
      </c>
      <c r="R58" s="619"/>
      <c r="S58" s="164"/>
      <c r="T58" s="164"/>
      <c r="U58" s="164"/>
      <c r="V58" s="104"/>
    </row>
    <row r="59" outlineLevel="1">
      <c r="A59" s="156"/>
      <c r="B59" s="373" t="s">
        <v>84</v>
      </c>
      <c r="C59" s="239" t="s">
        <v>4829</v>
      </c>
      <c r="D59" s="107"/>
      <c r="E59" s="239" t="s">
        <v>93</v>
      </c>
      <c r="F59" s="138">
        <v>8.4</v>
      </c>
      <c r="G59" s="138">
        <v>7.140000000000001</v>
      </c>
      <c r="H59" s="138" t="s">
        <v>60</v>
      </c>
      <c r="I59" s="107"/>
      <c r="J59" s="107"/>
      <c r="K59" s="138"/>
      <c r="L59" s="282"/>
      <c r="M59" s="363"/>
      <c r="N59" s="363"/>
      <c r="O59" s="145">
        <v>0.0</v>
      </c>
      <c r="P59" s="145">
        <v>1.0</v>
      </c>
      <c r="Q59" s="145">
        <v>1.0</v>
      </c>
      <c r="R59" s="106"/>
      <c r="S59" s="168"/>
      <c r="T59" s="168"/>
      <c r="U59" s="168"/>
      <c r="V59" s="107"/>
    </row>
    <row r="60" outlineLevel="1">
      <c r="A60" s="213" t="s">
        <v>157</v>
      </c>
      <c r="B60" s="373"/>
      <c r="C60" s="239" t="s">
        <v>733</v>
      </c>
      <c r="D60" s="467" t="s">
        <v>224</v>
      </c>
      <c r="E60" s="239" t="s">
        <v>4830</v>
      </c>
      <c r="F60" s="138" t="s">
        <v>1509</v>
      </c>
      <c r="G60" s="138" t="s">
        <v>4831</v>
      </c>
      <c r="H60" s="138" t="s">
        <v>1969</v>
      </c>
      <c r="I60" s="774">
        <f t="array" ref="I60">INDEX('空中攻撃'!$O$3:$AB$109, MATCH($A$1,'空中攻撃'!$A$3:$A$109,0), MATCH(A60,'空中攻撃'!$O$2:$S$2,0))</f>
        <v>6</v>
      </c>
      <c r="J60" s="467" t="s">
        <v>4832</v>
      </c>
      <c r="K60" s="138"/>
      <c r="L60" s="282"/>
      <c r="M60" s="363"/>
      <c r="N60" s="363"/>
      <c r="O60" s="145">
        <v>0.0</v>
      </c>
      <c r="P60" s="145">
        <v>1.0</v>
      </c>
      <c r="Q60" s="145">
        <v>1.0</v>
      </c>
      <c r="R60" s="622"/>
      <c r="S60" s="110"/>
      <c r="T60" s="110"/>
      <c r="U60" s="110"/>
      <c r="V60" s="109"/>
    </row>
    <row r="61" outlineLevel="1">
      <c r="A61" s="188" t="s">
        <v>162</v>
      </c>
      <c r="B61" s="373" t="s">
        <v>125</v>
      </c>
      <c r="C61" s="239" t="s">
        <v>1128</v>
      </c>
      <c r="D61" s="455" t="s">
        <v>127</v>
      </c>
      <c r="E61" s="239" t="s">
        <v>1438</v>
      </c>
      <c r="F61" s="138">
        <v>5.3999999999999995</v>
      </c>
      <c r="G61" s="138">
        <v>4.59</v>
      </c>
      <c r="H61" s="138" t="s">
        <v>60</v>
      </c>
      <c r="I61" s="452" t="str">
        <f t="array" ref="I61">INDEX('空中攻撃'!$O$3:$AB$109, MATCH($A$1,'空中攻撃'!$A$3:$A$109,0), MATCH(A61,'空中攻撃'!$O$2:$S$2,0))</f>
        <v>6</v>
      </c>
      <c r="J61" s="455" t="s">
        <v>2468</v>
      </c>
      <c r="K61" s="282"/>
      <c r="L61" s="282"/>
      <c r="M61" s="363"/>
      <c r="N61" s="363"/>
      <c r="O61" s="145">
        <v>0.0</v>
      </c>
      <c r="P61" s="145">
        <v>1.0</v>
      </c>
      <c r="Q61" s="145">
        <v>1.0</v>
      </c>
      <c r="R61" s="619"/>
      <c r="S61" s="164"/>
      <c r="T61" s="164"/>
      <c r="U61" s="164"/>
      <c r="V61" s="104"/>
    </row>
    <row r="62" outlineLevel="1">
      <c r="A62" s="156"/>
      <c r="B62" s="373" t="s">
        <v>131</v>
      </c>
      <c r="C62" s="239" t="s">
        <v>156</v>
      </c>
      <c r="D62" s="107"/>
      <c r="E62" s="239" t="s">
        <v>2134</v>
      </c>
      <c r="F62" s="138">
        <v>7.8</v>
      </c>
      <c r="G62" s="138">
        <v>6.63</v>
      </c>
      <c r="H62" s="138" t="s">
        <v>60</v>
      </c>
      <c r="I62" s="107"/>
      <c r="J62" s="107"/>
      <c r="K62" s="282"/>
      <c r="L62" s="282"/>
      <c r="M62" s="363"/>
      <c r="N62" s="363"/>
      <c r="O62" s="145">
        <v>0.0</v>
      </c>
      <c r="P62" s="145">
        <v>1.0</v>
      </c>
      <c r="Q62" s="145">
        <v>1.0</v>
      </c>
      <c r="R62" s="106"/>
      <c r="S62" s="168"/>
      <c r="T62" s="168"/>
      <c r="U62" s="168"/>
      <c r="V62" s="107"/>
    </row>
    <row r="63" outlineLevel="1">
      <c r="A63" s="213" t="s">
        <v>166</v>
      </c>
      <c r="B63" s="373"/>
      <c r="C63" s="239" t="s">
        <v>454</v>
      </c>
      <c r="D63" s="467" t="s">
        <v>601</v>
      </c>
      <c r="E63" s="239" t="s">
        <v>1222</v>
      </c>
      <c r="F63" s="138" t="s">
        <v>1223</v>
      </c>
      <c r="G63" s="138" t="s">
        <v>2324</v>
      </c>
      <c r="H63" s="138" t="s">
        <v>1808</v>
      </c>
      <c r="I63" s="774">
        <f t="array" ref="I63">INDEX('空中攻撃'!$O$3:$AB$109, MATCH($A$1,'空中攻撃'!$A$3:$A$109,0), MATCH(A63,'空中攻撃'!$O$2:$S$2,0))</f>
        <v>10</v>
      </c>
      <c r="J63" s="467" t="s">
        <v>171</v>
      </c>
      <c r="K63" s="282"/>
      <c r="L63" s="282"/>
      <c r="M63" s="363"/>
      <c r="N63" s="363"/>
      <c r="O63" s="145">
        <v>0.0</v>
      </c>
      <c r="P63" s="145">
        <v>1.0</v>
      </c>
      <c r="Q63" s="145">
        <v>1.0</v>
      </c>
      <c r="R63" s="151"/>
      <c r="S63" s="110"/>
      <c r="T63" s="110"/>
      <c r="U63" s="110"/>
      <c r="V63" s="109"/>
    </row>
    <row r="64">
      <c r="A64" s="223"/>
      <c r="B64" s="224"/>
      <c r="C64" s="225"/>
      <c r="D64" s="225"/>
      <c r="E64" s="226"/>
      <c r="F64" s="226"/>
      <c r="G64" s="226"/>
      <c r="H64" s="227"/>
      <c r="I64" s="227"/>
      <c r="J64" s="228"/>
      <c r="K64" s="228"/>
      <c r="L64" s="228"/>
      <c r="M64" s="228"/>
      <c r="N64" s="228"/>
      <c r="O64" s="228"/>
      <c r="P64" s="228"/>
      <c r="Q64" s="118"/>
      <c r="R64" s="118"/>
      <c r="S64" s="118"/>
      <c r="T64" s="118"/>
      <c r="U64" s="118"/>
      <c r="V64" s="118"/>
    </row>
    <row r="65">
      <c r="A65" s="229" t="s">
        <v>177</v>
      </c>
      <c r="B65" s="109"/>
      <c r="C65" s="225"/>
      <c r="D65" s="225"/>
      <c r="E65" s="226"/>
      <c r="F65" s="226"/>
      <c r="G65" s="226"/>
      <c r="H65" s="227"/>
      <c r="I65" s="227"/>
      <c r="J65" s="228"/>
      <c r="K65" s="228"/>
      <c r="L65" s="228"/>
      <c r="M65" s="228"/>
      <c r="N65" s="228"/>
      <c r="O65" s="228"/>
      <c r="P65" s="228"/>
      <c r="Q65" s="118"/>
      <c r="R65" s="118"/>
      <c r="S65" s="118"/>
      <c r="T65" s="118"/>
      <c r="U65" s="118"/>
      <c r="V65" s="118"/>
    </row>
    <row r="66" outlineLevel="1">
      <c r="A66" s="230" t="s">
        <v>4833</v>
      </c>
      <c r="B66" s="109"/>
      <c r="C66" s="231" t="s">
        <v>48</v>
      </c>
      <c r="D66" s="231" t="s">
        <v>49</v>
      </c>
      <c r="E66" s="232" t="s">
        <v>50</v>
      </c>
      <c r="F66" s="233" t="s">
        <v>51</v>
      </c>
      <c r="G66" s="232" t="s">
        <v>52</v>
      </c>
      <c r="H66" s="382"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236" t="s">
        <v>183</v>
      </c>
    </row>
    <row r="67" outlineLevel="1">
      <c r="A67" s="237" t="s">
        <v>184</v>
      </c>
      <c r="B67" s="243" t="s">
        <v>860</v>
      </c>
      <c r="C67" s="365" t="s">
        <v>4834</v>
      </c>
      <c r="D67" s="239" t="s">
        <v>224</v>
      </c>
      <c r="E67" s="239" t="s">
        <v>1431</v>
      </c>
      <c r="F67" s="138">
        <v>0.36</v>
      </c>
      <c r="G67" s="239" t="s">
        <v>170</v>
      </c>
      <c r="H67" s="163" t="s">
        <v>4835</v>
      </c>
      <c r="I67" s="164"/>
      <c r="J67" s="104"/>
      <c r="K67" s="282"/>
      <c r="L67" s="282"/>
      <c r="M67" s="363"/>
      <c r="N67" s="363"/>
      <c r="O67" s="138">
        <v>0.0</v>
      </c>
      <c r="P67" s="138">
        <v>1.0</v>
      </c>
      <c r="Q67" s="138">
        <v>1.0</v>
      </c>
      <c r="R67" s="145" t="b">
        <v>0</v>
      </c>
      <c r="S67" s="145" t="b">
        <v>0</v>
      </c>
      <c r="T67" s="145" t="b">
        <v>1</v>
      </c>
      <c r="U67" s="166" t="s">
        <v>186</v>
      </c>
      <c r="V67" s="166" t="b">
        <v>1</v>
      </c>
    </row>
    <row r="68" outlineLevel="1">
      <c r="A68" s="156"/>
      <c r="B68" s="663" t="s">
        <v>677</v>
      </c>
      <c r="C68" s="281"/>
      <c r="D68" s="239" t="s">
        <v>228</v>
      </c>
      <c r="E68" s="281"/>
      <c r="F68" s="281"/>
      <c r="G68" s="281"/>
      <c r="H68" s="212"/>
      <c r="J68" s="210"/>
      <c r="K68" s="281"/>
      <c r="L68" s="281"/>
      <c r="M68" s="281"/>
      <c r="N68" s="281"/>
      <c r="O68" s="281"/>
      <c r="P68" s="281"/>
      <c r="Q68" s="281"/>
      <c r="R68" s="281"/>
      <c r="S68" s="281"/>
      <c r="T68" s="281"/>
      <c r="U68" s="146"/>
      <c r="V68" s="146"/>
    </row>
    <row r="69" outlineLevel="1">
      <c r="A69" s="259" t="s">
        <v>344</v>
      </c>
      <c r="B69" s="663" t="s">
        <v>4819</v>
      </c>
      <c r="C69" s="281"/>
      <c r="D69" s="239" t="s">
        <v>173</v>
      </c>
      <c r="E69" s="281"/>
      <c r="F69" s="281"/>
      <c r="G69" s="281"/>
      <c r="H69" s="106"/>
      <c r="I69" s="168"/>
      <c r="J69" s="107"/>
      <c r="K69" s="281"/>
      <c r="L69" s="281"/>
      <c r="M69" s="281"/>
      <c r="N69" s="281"/>
      <c r="O69" s="281"/>
      <c r="P69" s="281"/>
      <c r="Q69" s="281"/>
      <c r="R69" s="281"/>
      <c r="S69" s="281"/>
      <c r="T69" s="281"/>
      <c r="U69" s="156"/>
      <c r="V69" s="156"/>
    </row>
    <row r="70" outlineLevel="1">
      <c r="A70" s="230" t="s">
        <v>4836</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236" t="s">
        <v>183</v>
      </c>
    </row>
    <row r="71" ht="19.5" customHeight="1" outlineLevel="1">
      <c r="A71" s="237" t="s">
        <v>332</v>
      </c>
      <c r="B71" s="243" t="s">
        <v>4837</v>
      </c>
      <c r="C71" s="367" t="s">
        <v>4838</v>
      </c>
      <c r="D71" s="281"/>
      <c r="E71" s="239" t="s">
        <v>3142</v>
      </c>
      <c r="F71" s="138" t="s">
        <v>3143</v>
      </c>
      <c r="G71" s="215" t="s">
        <v>1273</v>
      </c>
      <c r="H71" s="163" t="s">
        <v>4839</v>
      </c>
      <c r="I71" s="164"/>
      <c r="J71" s="104"/>
      <c r="K71" s="282"/>
      <c r="L71" s="282"/>
      <c r="M71" s="363"/>
      <c r="N71" s="363"/>
      <c r="O71" s="138">
        <v>0.0</v>
      </c>
      <c r="P71" s="138">
        <v>1.0</v>
      </c>
      <c r="Q71" s="138">
        <v>1.0</v>
      </c>
      <c r="R71" s="145" t="b">
        <v>1</v>
      </c>
      <c r="S71" s="145" t="b">
        <v>1</v>
      </c>
      <c r="T71" s="145"/>
      <c r="U71" s="166" t="b">
        <v>0</v>
      </c>
      <c r="V71" s="166" t="b">
        <v>1</v>
      </c>
    </row>
    <row r="72" ht="19.5" customHeight="1" outlineLevel="1">
      <c r="A72" s="146"/>
      <c r="B72" s="243" t="s">
        <v>4819</v>
      </c>
      <c r="C72" s="146"/>
      <c r="D72" s="281"/>
      <c r="E72" s="2926" t="s">
        <v>1925</v>
      </c>
      <c r="F72" s="2925" t="s">
        <v>1926</v>
      </c>
      <c r="G72" s="2926" t="s">
        <v>1266</v>
      </c>
      <c r="H72" s="212"/>
      <c r="J72" s="210"/>
      <c r="K72" s="282"/>
      <c r="L72" s="282"/>
      <c r="M72" s="363"/>
      <c r="N72" s="363"/>
      <c r="O72" s="138"/>
      <c r="P72" s="138"/>
      <c r="Q72" s="138"/>
      <c r="R72" s="145" t="b">
        <v>0</v>
      </c>
      <c r="S72" s="145" t="b">
        <v>0</v>
      </c>
      <c r="T72" s="145" t="b">
        <v>0</v>
      </c>
      <c r="U72" s="146"/>
      <c r="V72" s="146"/>
    </row>
    <row r="73" ht="19.5" customHeight="1" outlineLevel="1">
      <c r="A73" s="146"/>
      <c r="B73" s="243" t="s">
        <v>4840</v>
      </c>
      <c r="C73" s="146"/>
      <c r="D73" s="281"/>
      <c r="E73" s="239" t="s">
        <v>232</v>
      </c>
      <c r="F73" s="138">
        <v>13.2</v>
      </c>
      <c r="G73" s="215" t="s">
        <v>121</v>
      </c>
      <c r="H73" s="212"/>
      <c r="J73" s="210"/>
      <c r="K73" s="282"/>
      <c r="L73" s="282"/>
      <c r="M73" s="363"/>
      <c r="N73" s="363"/>
      <c r="O73" s="138"/>
      <c r="P73" s="138"/>
      <c r="Q73" s="138"/>
      <c r="R73" s="145" t="b">
        <v>0</v>
      </c>
      <c r="S73" s="145" t="b">
        <v>0</v>
      </c>
      <c r="T73" s="145" t="b">
        <v>0</v>
      </c>
      <c r="U73" s="146"/>
      <c r="V73" s="146"/>
    </row>
    <row r="74" ht="19.5" customHeight="1" outlineLevel="1">
      <c r="A74" s="146"/>
      <c r="B74" s="243" t="s">
        <v>4819</v>
      </c>
      <c r="C74" s="146"/>
      <c r="D74" s="281"/>
      <c r="E74" s="2926" t="s">
        <v>80</v>
      </c>
      <c r="F74" s="2926" t="s">
        <v>81</v>
      </c>
      <c r="G74" s="2926" t="s">
        <v>123</v>
      </c>
      <c r="H74" s="212"/>
      <c r="J74" s="210"/>
      <c r="K74" s="281"/>
      <c r="L74" s="281"/>
      <c r="M74" s="281"/>
      <c r="N74" s="281"/>
      <c r="O74" s="281"/>
      <c r="P74" s="281"/>
      <c r="Q74" s="281"/>
      <c r="R74" s="281"/>
      <c r="S74" s="281"/>
      <c r="T74" s="281"/>
      <c r="U74" s="146"/>
      <c r="V74" s="146"/>
    </row>
    <row r="75" ht="19.5" customHeight="1" outlineLevel="1">
      <c r="A75" s="146"/>
      <c r="B75" s="243" t="s">
        <v>219</v>
      </c>
      <c r="C75" s="146"/>
      <c r="D75" s="281"/>
      <c r="E75" s="239" t="s">
        <v>80</v>
      </c>
      <c r="F75" s="239" t="s">
        <v>81</v>
      </c>
      <c r="G75" s="215" t="s">
        <v>123</v>
      </c>
      <c r="H75" s="212"/>
      <c r="J75" s="210"/>
      <c r="K75" s="281"/>
      <c r="L75" s="281"/>
      <c r="M75" s="281"/>
      <c r="N75" s="281"/>
      <c r="O75" s="281"/>
      <c r="P75" s="281"/>
      <c r="Q75" s="281"/>
      <c r="R75" s="281"/>
      <c r="S75" s="281"/>
      <c r="T75" s="281"/>
      <c r="U75" s="146"/>
      <c r="V75" s="146"/>
    </row>
    <row r="76" ht="19.5" customHeight="1" outlineLevel="1">
      <c r="A76" s="156"/>
      <c r="B76" s="243" t="s">
        <v>4819</v>
      </c>
      <c r="C76" s="146"/>
      <c r="D76" s="281"/>
      <c r="E76" s="2926" t="s">
        <v>150</v>
      </c>
      <c r="F76" s="2926" t="s">
        <v>86</v>
      </c>
      <c r="G76" s="2927" t="s">
        <v>75</v>
      </c>
      <c r="H76" s="212"/>
      <c r="J76" s="210"/>
      <c r="K76" s="281"/>
      <c r="L76" s="281"/>
      <c r="M76" s="281"/>
      <c r="N76" s="281"/>
      <c r="O76" s="281"/>
      <c r="P76" s="281"/>
      <c r="Q76" s="281"/>
      <c r="R76" s="281"/>
      <c r="S76" s="281"/>
      <c r="T76" s="281"/>
      <c r="U76" s="146"/>
      <c r="V76" s="146"/>
    </row>
    <row r="77" ht="19.5" customHeight="1" outlineLevel="1">
      <c r="A77" s="237" t="s">
        <v>344</v>
      </c>
      <c r="B77" s="243" t="s">
        <v>4837</v>
      </c>
      <c r="C77" s="146"/>
      <c r="D77" s="281"/>
      <c r="E77" s="239" t="s">
        <v>3142</v>
      </c>
      <c r="F77" s="239" t="s">
        <v>3143</v>
      </c>
      <c r="G77" s="239" t="s">
        <v>1273</v>
      </c>
      <c r="H77" s="212"/>
      <c r="J77" s="210"/>
      <c r="K77" s="281"/>
      <c r="L77" s="281"/>
      <c r="M77" s="281"/>
      <c r="N77" s="281"/>
      <c r="O77" s="281"/>
      <c r="P77" s="281"/>
      <c r="Q77" s="281"/>
      <c r="R77" s="281"/>
      <c r="S77" s="281"/>
      <c r="T77" s="281"/>
      <c r="U77" s="146"/>
      <c r="V77" s="146"/>
    </row>
    <row r="78" ht="19.5" customHeight="1" outlineLevel="1">
      <c r="A78" s="146"/>
      <c r="B78" s="243" t="s">
        <v>4841</v>
      </c>
      <c r="C78" s="146"/>
      <c r="D78" s="281"/>
      <c r="E78" s="239" t="s">
        <v>232</v>
      </c>
      <c r="F78" s="239" t="s">
        <v>1830</v>
      </c>
      <c r="G78" s="215" t="s">
        <v>121</v>
      </c>
      <c r="H78" s="212"/>
      <c r="J78" s="210"/>
      <c r="K78" s="281"/>
      <c r="L78" s="281"/>
      <c r="M78" s="281"/>
      <c r="N78" s="281"/>
      <c r="O78" s="281"/>
      <c r="P78" s="281"/>
      <c r="Q78" s="281"/>
      <c r="R78" s="281"/>
      <c r="S78" s="281"/>
      <c r="T78" s="281"/>
      <c r="U78" s="146"/>
      <c r="V78" s="146"/>
    </row>
    <row r="79" ht="19.5" customHeight="1" outlineLevel="1">
      <c r="A79" s="156"/>
      <c r="B79" s="243" t="s">
        <v>219</v>
      </c>
      <c r="C79" s="156"/>
      <c r="D79" s="281"/>
      <c r="E79" s="239" t="s">
        <v>119</v>
      </c>
      <c r="F79" s="239" t="s">
        <v>120</v>
      </c>
      <c r="G79" s="215" t="s">
        <v>297</v>
      </c>
      <c r="H79" s="212"/>
      <c r="J79" s="210"/>
      <c r="K79" s="281"/>
      <c r="L79" s="281"/>
      <c r="M79" s="281"/>
      <c r="N79" s="281"/>
      <c r="O79" s="281"/>
      <c r="P79" s="281"/>
      <c r="Q79" s="281"/>
      <c r="R79" s="281"/>
      <c r="S79" s="281"/>
      <c r="T79" s="281"/>
      <c r="U79" s="146"/>
      <c r="V79" s="146"/>
    </row>
    <row r="80" ht="19.5" customHeight="1" outlineLevel="1">
      <c r="A80" s="237" t="s">
        <v>184</v>
      </c>
      <c r="B80" s="243" t="s">
        <v>677</v>
      </c>
      <c r="C80" s="281"/>
      <c r="D80" s="239" t="s">
        <v>4842</v>
      </c>
      <c r="E80" s="281"/>
      <c r="F80" s="281"/>
      <c r="G80" s="281"/>
      <c r="H80" s="212"/>
      <c r="J80" s="210"/>
      <c r="K80" s="281"/>
      <c r="L80" s="281"/>
      <c r="M80" s="281"/>
      <c r="N80" s="281"/>
      <c r="O80" s="281"/>
      <c r="P80" s="281"/>
      <c r="Q80" s="281"/>
      <c r="R80" s="281"/>
      <c r="S80" s="281"/>
      <c r="T80" s="281"/>
      <c r="U80" s="146"/>
      <c r="V80" s="146"/>
    </row>
    <row r="81" ht="19.5" customHeight="1" outlineLevel="1">
      <c r="A81" s="146"/>
      <c r="B81" s="243" t="s">
        <v>242</v>
      </c>
      <c r="C81" s="281"/>
      <c r="D81" s="239" t="s">
        <v>4843</v>
      </c>
      <c r="E81" s="281"/>
      <c r="F81" s="281"/>
      <c r="G81" s="281"/>
      <c r="H81" s="212"/>
      <c r="J81" s="210"/>
      <c r="K81" s="281"/>
      <c r="L81" s="281"/>
      <c r="M81" s="281"/>
      <c r="N81" s="281"/>
      <c r="O81" s="281"/>
      <c r="P81" s="281"/>
      <c r="Q81" s="281"/>
      <c r="R81" s="281"/>
      <c r="S81" s="281"/>
      <c r="T81" s="281"/>
      <c r="U81" s="146"/>
      <c r="V81" s="146"/>
    </row>
    <row r="82" ht="19.5" customHeight="1" outlineLevel="1">
      <c r="A82" s="156"/>
      <c r="B82" s="243" t="s">
        <v>2420</v>
      </c>
      <c r="C82" s="281"/>
      <c r="D82" s="239" t="s">
        <v>72</v>
      </c>
      <c r="E82" s="541"/>
      <c r="F82" s="541"/>
      <c r="G82" s="541"/>
      <c r="H82" s="106"/>
      <c r="I82" s="168"/>
      <c r="J82" s="107"/>
      <c r="K82" s="281"/>
      <c r="L82" s="281"/>
      <c r="M82" s="281"/>
      <c r="N82" s="281"/>
      <c r="O82" s="281"/>
      <c r="P82" s="281"/>
      <c r="Q82" s="281"/>
      <c r="R82" s="281"/>
      <c r="S82" s="281"/>
      <c r="T82" s="281"/>
      <c r="U82" s="156"/>
      <c r="V82" s="156"/>
    </row>
    <row r="83" outlineLevel="1">
      <c r="A83" s="230" t="s">
        <v>4844</v>
      </c>
      <c r="B83" s="109"/>
      <c r="C83" s="231" t="s">
        <v>48</v>
      </c>
      <c r="D83" s="231" t="s">
        <v>49</v>
      </c>
      <c r="E83" s="232" t="s">
        <v>50</v>
      </c>
      <c r="F83" s="233" t="s">
        <v>51</v>
      </c>
      <c r="G83" s="232" t="s">
        <v>52</v>
      </c>
      <c r="H83" s="382" t="s">
        <v>53</v>
      </c>
      <c r="I83" s="110"/>
      <c r="J83" s="109"/>
      <c r="K83" s="235" t="s">
        <v>137</v>
      </c>
      <c r="L83" s="235" t="s">
        <v>138</v>
      </c>
      <c r="M83" s="235" t="s">
        <v>139</v>
      </c>
      <c r="N83" s="235" t="s">
        <v>140</v>
      </c>
      <c r="O83" s="236" t="s">
        <v>141</v>
      </c>
      <c r="P83" s="235" t="s">
        <v>142</v>
      </c>
      <c r="Q83" s="236" t="s">
        <v>143</v>
      </c>
      <c r="R83" s="235" t="s">
        <v>179</v>
      </c>
      <c r="S83" s="236" t="s">
        <v>180</v>
      </c>
      <c r="T83" s="236" t="s">
        <v>181</v>
      </c>
      <c r="U83" s="236" t="s">
        <v>182</v>
      </c>
      <c r="V83" s="236" t="s">
        <v>183</v>
      </c>
    </row>
    <row r="84" ht="24.75" customHeight="1" outlineLevel="1">
      <c r="A84" s="237" t="s">
        <v>184</v>
      </c>
      <c r="B84" s="624" t="s">
        <v>152</v>
      </c>
      <c r="C84" s="239" t="s">
        <v>383</v>
      </c>
      <c r="D84" s="250"/>
      <c r="E84" s="239" t="s">
        <v>80</v>
      </c>
      <c r="F84" s="138">
        <v>9.6</v>
      </c>
      <c r="G84" s="239" t="s">
        <v>60</v>
      </c>
      <c r="H84" s="163" t="s">
        <v>4845</v>
      </c>
      <c r="I84" s="164"/>
      <c r="J84" s="104"/>
      <c r="K84" s="138"/>
      <c r="L84" s="138"/>
      <c r="M84" s="145"/>
      <c r="N84" s="145"/>
      <c r="O84" s="138">
        <v>0.0</v>
      </c>
      <c r="P84" s="138">
        <v>1.0</v>
      </c>
      <c r="Q84" s="138">
        <v>1.0</v>
      </c>
      <c r="R84" s="145" t="b">
        <v>0</v>
      </c>
      <c r="S84" s="145" t="b">
        <v>0</v>
      </c>
      <c r="T84" s="145" t="b">
        <v>1</v>
      </c>
      <c r="U84" s="166" t="s">
        <v>186</v>
      </c>
      <c r="V84" s="166" t="b">
        <v>1</v>
      </c>
    </row>
    <row r="85" ht="24.75" customHeight="1" outlineLevel="1">
      <c r="A85" s="146"/>
      <c r="B85" s="624" t="s">
        <v>4846</v>
      </c>
      <c r="C85" s="239" t="s">
        <v>1749</v>
      </c>
      <c r="D85" s="146"/>
      <c r="E85" s="239" t="s">
        <v>86</v>
      </c>
      <c r="F85" s="138">
        <v>7.199999999999999</v>
      </c>
      <c r="G85" s="239" t="s">
        <v>60</v>
      </c>
      <c r="H85" s="212"/>
      <c r="J85" s="210"/>
      <c r="K85" s="138"/>
      <c r="L85" s="138"/>
      <c r="M85" s="145"/>
      <c r="N85" s="145"/>
      <c r="O85" s="138">
        <v>0.0</v>
      </c>
      <c r="P85" s="138">
        <v>1.0</v>
      </c>
      <c r="Q85" s="138">
        <v>1.0</v>
      </c>
      <c r="R85" s="145" t="b">
        <v>0</v>
      </c>
      <c r="S85" s="145" t="b">
        <v>0</v>
      </c>
      <c r="T85" s="145" t="b">
        <v>1</v>
      </c>
      <c r="U85" s="146"/>
      <c r="V85" s="146"/>
    </row>
    <row r="86" ht="24.75" customHeight="1" outlineLevel="1">
      <c r="A86" s="146"/>
      <c r="B86" s="624" t="s">
        <v>174</v>
      </c>
      <c r="C86" s="239" t="s">
        <v>681</v>
      </c>
      <c r="D86" s="367" t="s">
        <v>628</v>
      </c>
      <c r="E86" s="239" t="s">
        <v>80</v>
      </c>
      <c r="F86" s="138">
        <v>9.6</v>
      </c>
      <c r="G86" s="239" t="s">
        <v>60</v>
      </c>
      <c r="H86" s="212"/>
      <c r="J86" s="210"/>
      <c r="K86" s="138"/>
      <c r="L86" s="138"/>
      <c r="M86" s="145"/>
      <c r="N86" s="145"/>
      <c r="O86" s="138">
        <v>0.0</v>
      </c>
      <c r="P86" s="138">
        <v>1.0</v>
      </c>
      <c r="Q86" s="138">
        <v>1.0</v>
      </c>
      <c r="R86" s="145" t="b">
        <v>0</v>
      </c>
      <c r="S86" s="145" t="b">
        <v>0</v>
      </c>
      <c r="T86" s="145" t="b">
        <v>1</v>
      </c>
      <c r="U86" s="146"/>
      <c r="V86" s="146"/>
    </row>
    <row r="87" ht="24.75" customHeight="1" outlineLevel="1">
      <c r="A87" s="156"/>
      <c r="B87" s="624" t="s">
        <v>4847</v>
      </c>
      <c r="C87" s="139" t="s">
        <v>3510</v>
      </c>
      <c r="D87" s="156"/>
      <c r="E87" s="139" t="s">
        <v>86</v>
      </c>
      <c r="F87" s="138">
        <v>7.199999999999999</v>
      </c>
      <c r="G87" s="139" t="s">
        <v>60</v>
      </c>
      <c r="H87" s="106"/>
      <c r="I87" s="168"/>
      <c r="J87" s="107"/>
      <c r="K87" s="138"/>
      <c r="L87" s="138"/>
      <c r="M87" s="145"/>
      <c r="N87" s="145"/>
      <c r="O87" s="138"/>
      <c r="P87" s="138"/>
      <c r="Q87" s="138"/>
      <c r="R87" s="145" t="b">
        <v>0</v>
      </c>
      <c r="S87" s="145" t="b">
        <v>0</v>
      </c>
      <c r="T87" s="145" t="b">
        <v>1</v>
      </c>
      <c r="U87" s="156"/>
      <c r="V87" s="156"/>
    </row>
    <row r="88" outlineLevel="1">
      <c r="A88" s="230" t="s">
        <v>4848</v>
      </c>
      <c r="B88" s="109"/>
      <c r="C88" s="231" t="s">
        <v>48</v>
      </c>
      <c r="D88" s="231" t="s">
        <v>49</v>
      </c>
      <c r="E88" s="232" t="s">
        <v>50</v>
      </c>
      <c r="F88" s="233" t="s">
        <v>51</v>
      </c>
      <c r="G88" s="232" t="s">
        <v>52</v>
      </c>
      <c r="H88" s="382" t="s">
        <v>53</v>
      </c>
      <c r="I88" s="110"/>
      <c r="J88" s="109"/>
      <c r="K88" s="235" t="s">
        <v>137</v>
      </c>
      <c r="L88" s="235" t="s">
        <v>138</v>
      </c>
      <c r="M88" s="235" t="s">
        <v>139</v>
      </c>
      <c r="N88" s="235" t="s">
        <v>140</v>
      </c>
      <c r="O88" s="236" t="s">
        <v>141</v>
      </c>
      <c r="P88" s="235" t="s">
        <v>142</v>
      </c>
      <c r="Q88" s="236" t="s">
        <v>143</v>
      </c>
      <c r="R88" s="235" t="s">
        <v>179</v>
      </c>
      <c r="S88" s="236" t="s">
        <v>180</v>
      </c>
      <c r="T88" s="236" t="s">
        <v>181</v>
      </c>
      <c r="U88" s="236" t="s">
        <v>182</v>
      </c>
      <c r="V88" s="236" t="s">
        <v>183</v>
      </c>
    </row>
    <row r="89" outlineLevel="1">
      <c r="A89" s="396" t="s">
        <v>332</v>
      </c>
      <c r="B89" s="402" t="s">
        <v>333</v>
      </c>
      <c r="C89" s="239" t="s">
        <v>296</v>
      </c>
      <c r="D89" s="113" t="s">
        <v>111</v>
      </c>
      <c r="E89" s="281"/>
      <c r="F89" s="476"/>
      <c r="G89" s="281"/>
      <c r="H89" s="163" t="s">
        <v>4849</v>
      </c>
      <c r="I89" s="164"/>
      <c r="J89" s="104"/>
      <c r="K89" s="541"/>
      <c r="L89" s="541"/>
      <c r="M89" s="541"/>
      <c r="N89" s="541"/>
      <c r="O89" s="541"/>
      <c r="P89" s="541"/>
      <c r="Q89" s="541"/>
      <c r="R89" s="541"/>
      <c r="S89" s="541"/>
      <c r="T89" s="541"/>
      <c r="U89" s="166" t="s">
        <v>186</v>
      </c>
      <c r="V89" s="166" t="b">
        <v>1</v>
      </c>
    </row>
    <row r="90" outlineLevel="1">
      <c r="A90" s="146"/>
      <c r="B90" s="402" t="s">
        <v>1554</v>
      </c>
      <c r="C90" s="239" t="s">
        <v>778</v>
      </c>
      <c r="D90" s="145" t="s">
        <v>4850</v>
      </c>
      <c r="E90" s="281"/>
      <c r="F90" s="476"/>
      <c r="G90" s="281"/>
      <c r="H90" s="212"/>
      <c r="J90" s="210"/>
      <c r="K90" s="541"/>
      <c r="L90" s="541"/>
      <c r="M90" s="541"/>
      <c r="N90" s="541"/>
      <c r="O90" s="541"/>
      <c r="P90" s="541"/>
      <c r="Q90" s="541"/>
      <c r="R90" s="541"/>
      <c r="S90" s="541"/>
      <c r="T90" s="541"/>
      <c r="U90" s="146"/>
      <c r="V90" s="146"/>
    </row>
    <row r="91" outlineLevel="1">
      <c r="A91" s="146"/>
      <c r="B91" s="402" t="s">
        <v>1557</v>
      </c>
      <c r="C91" s="239" t="s">
        <v>4851</v>
      </c>
      <c r="D91" s="145" t="s">
        <v>4852</v>
      </c>
      <c r="E91" s="281"/>
      <c r="F91" s="476"/>
      <c r="G91" s="281"/>
      <c r="H91" s="212"/>
      <c r="J91" s="210"/>
      <c r="K91" s="541"/>
      <c r="L91" s="541"/>
      <c r="M91" s="541"/>
      <c r="N91" s="541"/>
      <c r="O91" s="541"/>
      <c r="P91" s="541"/>
      <c r="Q91" s="541"/>
      <c r="R91" s="541"/>
      <c r="S91" s="541"/>
      <c r="T91" s="541"/>
      <c r="U91" s="146"/>
      <c r="V91" s="146"/>
    </row>
    <row r="92" outlineLevel="1">
      <c r="A92" s="146"/>
      <c r="B92" s="402" t="s">
        <v>4436</v>
      </c>
      <c r="C92" s="239" t="s">
        <v>4853</v>
      </c>
      <c r="D92" s="145" t="s">
        <v>4854</v>
      </c>
      <c r="E92" s="281"/>
      <c r="F92" s="476"/>
      <c r="G92" s="281"/>
      <c r="H92" s="212"/>
      <c r="J92" s="210"/>
      <c r="K92" s="541"/>
      <c r="L92" s="541"/>
      <c r="M92" s="541"/>
      <c r="N92" s="541"/>
      <c r="O92" s="541"/>
      <c r="P92" s="541"/>
      <c r="Q92" s="541"/>
      <c r="R92" s="541"/>
      <c r="S92" s="541"/>
      <c r="T92" s="541"/>
      <c r="U92" s="146"/>
      <c r="V92" s="146"/>
    </row>
    <row r="93" outlineLevel="1">
      <c r="A93" s="146"/>
      <c r="B93" s="402" t="s">
        <v>340</v>
      </c>
      <c r="C93" s="239" t="s">
        <v>4855</v>
      </c>
      <c r="D93" s="145">
        <v>65.0</v>
      </c>
      <c r="E93" s="281"/>
      <c r="F93" s="476"/>
      <c r="G93" s="281"/>
      <c r="H93" s="212"/>
      <c r="J93" s="210"/>
      <c r="K93" s="541"/>
      <c r="L93" s="541"/>
      <c r="M93" s="541"/>
      <c r="N93" s="541"/>
      <c r="O93" s="541"/>
      <c r="P93" s="541"/>
      <c r="Q93" s="541"/>
      <c r="R93" s="541"/>
      <c r="S93" s="541"/>
      <c r="T93" s="541"/>
      <c r="U93" s="146"/>
      <c r="V93" s="146"/>
    </row>
    <row r="94" outlineLevel="1">
      <c r="A94" s="146"/>
      <c r="B94" s="402" t="s">
        <v>618</v>
      </c>
      <c r="C94" s="239" t="s">
        <v>2297</v>
      </c>
      <c r="D94" s="476"/>
      <c r="E94" s="239" t="s">
        <v>4856</v>
      </c>
      <c r="F94" s="138" t="s">
        <v>4857</v>
      </c>
      <c r="G94" s="239" t="s">
        <v>4858</v>
      </c>
      <c r="H94" s="212"/>
      <c r="J94" s="210"/>
      <c r="K94" s="138"/>
      <c r="L94" s="138"/>
      <c r="M94" s="145"/>
      <c r="N94" s="145"/>
      <c r="O94" s="138"/>
      <c r="P94" s="138"/>
      <c r="Q94" s="138"/>
      <c r="R94" s="145" t="b">
        <v>0</v>
      </c>
      <c r="S94" s="145" t="b">
        <v>0</v>
      </c>
      <c r="T94" s="145" t="b">
        <v>1</v>
      </c>
      <c r="U94" s="146"/>
      <c r="V94" s="146"/>
    </row>
    <row r="95" outlineLevel="1">
      <c r="A95" s="156"/>
      <c r="B95" s="402" t="s">
        <v>4819</v>
      </c>
      <c r="C95" s="281"/>
      <c r="D95" s="145">
        <v>44.0</v>
      </c>
      <c r="E95" s="281"/>
      <c r="F95" s="281"/>
      <c r="G95" s="541"/>
      <c r="H95" s="212"/>
      <c r="J95" s="210"/>
      <c r="K95" s="541"/>
      <c r="L95" s="541"/>
      <c r="M95" s="541"/>
      <c r="N95" s="541"/>
      <c r="O95" s="541"/>
      <c r="P95" s="541"/>
      <c r="Q95" s="541"/>
      <c r="R95" s="541"/>
      <c r="S95" s="541"/>
      <c r="T95" s="541"/>
      <c r="U95" s="146"/>
      <c r="V95" s="146"/>
    </row>
    <row r="96" outlineLevel="1">
      <c r="A96" s="396" t="s">
        <v>344</v>
      </c>
      <c r="B96" s="402" t="s">
        <v>333</v>
      </c>
      <c r="C96" s="239" t="s">
        <v>4859</v>
      </c>
      <c r="D96" s="113" t="s">
        <v>413</v>
      </c>
      <c r="E96" s="281"/>
      <c r="F96" s="476"/>
      <c r="G96" s="541"/>
      <c r="H96" s="212"/>
      <c r="J96" s="210"/>
      <c r="K96" s="541"/>
      <c r="L96" s="541"/>
      <c r="M96" s="541"/>
      <c r="N96" s="541"/>
      <c r="O96" s="541"/>
      <c r="P96" s="541"/>
      <c r="Q96" s="541"/>
      <c r="R96" s="541"/>
      <c r="S96" s="541"/>
      <c r="T96" s="541"/>
      <c r="U96" s="146"/>
      <c r="V96" s="146"/>
    </row>
    <row r="97" outlineLevel="1">
      <c r="A97" s="146"/>
      <c r="B97" s="402" t="s">
        <v>1554</v>
      </c>
      <c r="C97" s="239" t="s">
        <v>76</v>
      </c>
      <c r="D97" s="145" t="s">
        <v>4850</v>
      </c>
      <c r="E97" s="281"/>
      <c r="F97" s="476"/>
      <c r="G97" s="541"/>
      <c r="H97" s="212"/>
      <c r="J97" s="210"/>
      <c r="K97" s="541"/>
      <c r="L97" s="541"/>
      <c r="M97" s="541"/>
      <c r="N97" s="541"/>
      <c r="O97" s="541"/>
      <c r="P97" s="541"/>
      <c r="Q97" s="541"/>
      <c r="R97" s="541"/>
      <c r="S97" s="541"/>
      <c r="T97" s="541"/>
      <c r="U97" s="146"/>
      <c r="V97" s="146"/>
    </row>
    <row r="98" outlineLevel="1">
      <c r="A98" s="146"/>
      <c r="B98" s="402" t="s">
        <v>1557</v>
      </c>
      <c r="C98" s="239" t="s">
        <v>76</v>
      </c>
      <c r="D98" s="145" t="s">
        <v>4860</v>
      </c>
      <c r="E98" s="281"/>
      <c r="F98" s="476"/>
      <c r="G98" s="541"/>
      <c r="H98" s="212"/>
      <c r="J98" s="210"/>
      <c r="K98" s="541"/>
      <c r="L98" s="541"/>
      <c r="M98" s="541"/>
      <c r="N98" s="541"/>
      <c r="O98" s="541"/>
      <c r="P98" s="541"/>
      <c r="Q98" s="541"/>
      <c r="R98" s="541"/>
      <c r="S98" s="541"/>
      <c r="T98" s="541"/>
      <c r="U98" s="146"/>
      <c r="V98" s="146"/>
    </row>
    <row r="99" outlineLevel="1">
      <c r="A99" s="146"/>
      <c r="B99" s="402" t="s">
        <v>4436</v>
      </c>
      <c r="C99" s="239" t="s">
        <v>4861</v>
      </c>
      <c r="D99" s="145" t="s">
        <v>4862</v>
      </c>
      <c r="E99" s="281"/>
      <c r="F99" s="476"/>
      <c r="G99" s="541"/>
      <c r="H99" s="212"/>
      <c r="J99" s="210"/>
      <c r="K99" s="541"/>
      <c r="L99" s="541"/>
      <c r="M99" s="541"/>
      <c r="N99" s="541"/>
      <c r="O99" s="541"/>
      <c r="P99" s="541"/>
      <c r="Q99" s="541"/>
      <c r="R99" s="541"/>
      <c r="S99" s="541"/>
      <c r="T99" s="541"/>
      <c r="U99" s="146"/>
      <c r="V99" s="146"/>
    </row>
    <row r="100" outlineLevel="1">
      <c r="A100" s="146"/>
      <c r="B100" s="402" t="s">
        <v>340</v>
      </c>
      <c r="C100" s="239" t="s">
        <v>4855</v>
      </c>
      <c r="D100" s="145">
        <v>68.0</v>
      </c>
      <c r="E100" s="281"/>
      <c r="F100" s="476"/>
      <c r="G100" s="541"/>
      <c r="H100" s="212"/>
      <c r="J100" s="210"/>
      <c r="K100" s="541"/>
      <c r="L100" s="541"/>
      <c r="M100" s="541"/>
      <c r="N100" s="541"/>
      <c r="O100" s="541"/>
      <c r="P100" s="541"/>
      <c r="Q100" s="541"/>
      <c r="R100" s="541"/>
      <c r="S100" s="541"/>
      <c r="T100" s="541"/>
      <c r="U100" s="146"/>
      <c r="V100" s="146"/>
    </row>
    <row r="101" outlineLevel="1">
      <c r="A101" s="146"/>
      <c r="B101" s="402" t="s">
        <v>618</v>
      </c>
      <c r="C101" s="239" t="s">
        <v>2297</v>
      </c>
      <c r="D101" s="476"/>
      <c r="E101" s="239" t="s">
        <v>4856</v>
      </c>
      <c r="F101" s="138" t="s">
        <v>4857</v>
      </c>
      <c r="G101" s="239" t="s">
        <v>4858</v>
      </c>
      <c r="H101" s="212"/>
      <c r="J101" s="210"/>
      <c r="K101" s="138"/>
      <c r="L101" s="282"/>
      <c r="M101" s="363"/>
      <c r="N101" s="363"/>
      <c r="O101" s="138"/>
      <c r="P101" s="138"/>
      <c r="Q101" s="138"/>
      <c r="R101" s="145" t="b">
        <v>0</v>
      </c>
      <c r="S101" s="145" t="b">
        <v>0</v>
      </c>
      <c r="T101" s="145" t="b">
        <v>1</v>
      </c>
      <c r="U101" s="146"/>
      <c r="V101" s="146"/>
    </row>
    <row r="102" outlineLevel="1">
      <c r="A102" s="156"/>
      <c r="B102" s="402" t="s">
        <v>4819</v>
      </c>
      <c r="C102" s="281"/>
      <c r="D102" s="145">
        <v>38.0</v>
      </c>
      <c r="E102" s="281"/>
      <c r="F102" s="281"/>
      <c r="G102" s="281"/>
      <c r="H102" s="106"/>
      <c r="I102" s="168"/>
      <c r="J102" s="107"/>
      <c r="K102" s="281"/>
      <c r="L102" s="281"/>
      <c r="M102" s="281"/>
      <c r="N102" s="281"/>
      <c r="O102" s="281"/>
      <c r="P102" s="281"/>
      <c r="Q102" s="281"/>
      <c r="R102" s="281"/>
      <c r="S102" s="281"/>
      <c r="T102" s="281"/>
      <c r="U102" s="156"/>
      <c r="V102" s="156"/>
    </row>
    <row r="103">
      <c r="A103" s="223"/>
      <c r="B103" s="224"/>
      <c r="C103" s="225"/>
      <c r="D103" s="225"/>
      <c r="E103" s="226"/>
      <c r="F103" s="226"/>
      <c r="G103" s="226"/>
      <c r="H103" s="227"/>
      <c r="I103" s="227"/>
      <c r="J103" s="228"/>
      <c r="K103" s="228"/>
      <c r="L103" s="228"/>
      <c r="M103" s="228"/>
      <c r="N103" s="228"/>
      <c r="O103" s="228"/>
      <c r="P103" s="228"/>
      <c r="Q103" s="118"/>
      <c r="R103" s="118"/>
      <c r="S103" s="118"/>
      <c r="T103" s="118"/>
      <c r="U103" s="118"/>
      <c r="V103" s="118"/>
    </row>
    <row r="104">
      <c r="A104" s="264" t="s">
        <v>211</v>
      </c>
      <c r="B104" s="104"/>
      <c r="C104" s="227"/>
      <c r="D104" s="227"/>
      <c r="E104" s="228"/>
      <c r="F104" s="265"/>
      <c r="G104" s="265"/>
      <c r="H104" s="228"/>
      <c r="I104" s="228"/>
      <c r="J104" s="228"/>
      <c r="K104" s="228"/>
      <c r="L104" s="228"/>
      <c r="M104" s="228"/>
      <c r="N104" s="118"/>
      <c r="O104" s="118"/>
      <c r="P104" s="118"/>
      <c r="Q104" s="228"/>
      <c r="R104" s="228"/>
      <c r="S104" s="228"/>
      <c r="T104" s="228"/>
      <c r="U104" s="228"/>
      <c r="V104" s="228"/>
    </row>
    <row r="105" outlineLevel="1">
      <c r="A105" s="106"/>
      <c r="B105" s="107"/>
      <c r="C105" s="266" t="s">
        <v>48</v>
      </c>
      <c r="D105" s="266" t="s">
        <v>49</v>
      </c>
      <c r="E105" s="266" t="s">
        <v>50</v>
      </c>
      <c r="F105" s="267" t="s">
        <v>51</v>
      </c>
      <c r="G105" s="227"/>
      <c r="H105" s="227"/>
      <c r="I105" s="227"/>
      <c r="J105" s="228"/>
      <c r="K105" s="228"/>
      <c r="L105" s="228"/>
      <c r="M105" s="228"/>
      <c r="N105" s="228"/>
      <c r="O105" s="228"/>
      <c r="P105" s="228"/>
      <c r="Q105" s="228"/>
      <c r="R105" s="228"/>
      <c r="S105" s="228"/>
      <c r="T105" s="228"/>
      <c r="U105" s="228"/>
      <c r="V105" s="228"/>
    </row>
    <row r="106" outlineLevel="1">
      <c r="A106" s="268" t="s">
        <v>212</v>
      </c>
      <c r="B106" s="269" t="s">
        <v>212</v>
      </c>
      <c r="C106" s="113" t="s">
        <v>213</v>
      </c>
      <c r="D106" s="113" t="s">
        <v>86</v>
      </c>
      <c r="E106" s="113" t="s">
        <v>214</v>
      </c>
      <c r="F106" s="138">
        <v>1.56</v>
      </c>
      <c r="G106" s="227"/>
      <c r="H106" s="227"/>
      <c r="I106" s="227"/>
      <c r="J106" s="228"/>
      <c r="K106" s="228"/>
      <c r="L106" s="228"/>
      <c r="M106" s="228"/>
      <c r="N106" s="228"/>
      <c r="O106" s="228"/>
      <c r="P106" s="228"/>
      <c r="Q106" s="228"/>
      <c r="R106" s="228"/>
      <c r="S106" s="228"/>
      <c r="T106" s="228"/>
      <c r="U106" s="228"/>
      <c r="V106" s="228"/>
    </row>
    <row r="107" outlineLevel="1">
      <c r="A107" s="270" t="s">
        <v>215</v>
      </c>
      <c r="B107" s="269" t="s">
        <v>216</v>
      </c>
      <c r="C107" s="113" t="s">
        <v>518</v>
      </c>
      <c r="D107" s="113" t="s">
        <v>218</v>
      </c>
      <c r="E107" s="271"/>
      <c r="F107" s="272"/>
      <c r="G107" s="272"/>
      <c r="H107" s="227"/>
      <c r="I107" s="227"/>
      <c r="J107" s="228"/>
      <c r="K107" s="228"/>
      <c r="L107" s="228"/>
      <c r="M107" s="228"/>
      <c r="N107" s="228"/>
      <c r="O107" s="228"/>
      <c r="P107" s="228"/>
      <c r="Q107" s="228"/>
      <c r="R107" s="228"/>
      <c r="S107" s="228"/>
      <c r="T107" s="228"/>
      <c r="U107" s="228"/>
      <c r="V107" s="228"/>
    </row>
    <row r="108" outlineLevel="1">
      <c r="A108" s="212"/>
      <c r="B108" s="269" t="s">
        <v>219</v>
      </c>
      <c r="C108" s="113" t="s">
        <v>220</v>
      </c>
      <c r="D108" s="113" t="s">
        <v>384</v>
      </c>
      <c r="E108" s="271"/>
      <c r="F108" s="272"/>
      <c r="G108" s="272"/>
      <c r="H108" s="227"/>
      <c r="I108" s="227"/>
      <c r="J108" s="228"/>
      <c r="K108" s="228"/>
      <c r="L108" s="228"/>
      <c r="M108" s="228"/>
      <c r="N108" s="228"/>
      <c r="O108" s="228"/>
      <c r="P108" s="228"/>
      <c r="Q108" s="228"/>
      <c r="R108" s="228"/>
      <c r="S108" s="228"/>
      <c r="T108" s="228"/>
      <c r="U108" s="228"/>
      <c r="V108" s="228"/>
    </row>
    <row r="109" outlineLevel="1">
      <c r="A109" s="106"/>
      <c r="B109" s="269" t="s">
        <v>222</v>
      </c>
      <c r="C109" s="113" t="s">
        <v>223</v>
      </c>
      <c r="D109" s="113" t="s">
        <v>79</v>
      </c>
      <c r="E109" s="227"/>
      <c r="F109" s="272"/>
      <c r="G109" s="272"/>
      <c r="H109" s="227"/>
      <c r="I109" s="227"/>
      <c r="J109" s="228"/>
      <c r="K109" s="228"/>
      <c r="L109" s="228"/>
      <c r="M109" s="228"/>
      <c r="N109" s="228"/>
      <c r="O109" s="228"/>
      <c r="P109" s="228"/>
      <c r="Q109" s="228"/>
      <c r="R109" s="228"/>
      <c r="S109" s="228"/>
      <c r="T109" s="228"/>
      <c r="U109" s="228"/>
      <c r="V109" s="228"/>
    </row>
    <row r="110" outlineLevel="1">
      <c r="A110" s="273" t="s">
        <v>225</v>
      </c>
      <c r="B110" s="109"/>
      <c r="C110" s="266" t="s">
        <v>48</v>
      </c>
      <c r="D110" s="266" t="s">
        <v>49</v>
      </c>
      <c r="E110" s="266" t="s">
        <v>50</v>
      </c>
      <c r="F110" s="267" t="s">
        <v>51</v>
      </c>
      <c r="G110" s="1168" t="s">
        <v>53</v>
      </c>
      <c r="H110" s="110"/>
      <c r="I110" s="110"/>
      <c r="J110" s="109"/>
      <c r="K110" s="275" t="str">
        <f>'テンプレート'!K97</f>
        <v>ベクトル</v>
      </c>
      <c r="L110" s="275" t="str">
        <f>'テンプレート'!L97</f>
        <v>KBG (R.E.)</v>
      </c>
      <c r="M110" s="275" t="str">
        <f>'テンプレート'!M97</f>
        <v>BKB (R.A.)</v>
      </c>
      <c r="N110" s="275" t="str">
        <f>'テンプレート'!N97</f>
        <v>FKB (R.F.)</v>
      </c>
      <c r="O110" s="276" t="str">
        <f>'テンプレート'!O97</f>
        <v>盾削り値</v>
      </c>
      <c r="P110" s="275" t="str">
        <f>'テンプレート'!P97</f>
        <v>ﾋｯﾄｽﾄｯﾌﾟ</v>
      </c>
      <c r="Q110" s="276" t="str">
        <f>'テンプレート'!Q97</f>
        <v>ずらし</v>
      </c>
      <c r="R110" s="277"/>
      <c r="S110" s="277"/>
      <c r="T110" s="277"/>
      <c r="U110" s="277"/>
      <c r="V110" s="277"/>
    </row>
    <row r="111" ht="20.25" customHeight="1" outlineLevel="1">
      <c r="A111" s="278" t="s">
        <v>226</v>
      </c>
      <c r="B111" s="269" t="s">
        <v>227</v>
      </c>
      <c r="C111" s="113" t="s">
        <v>1114</v>
      </c>
      <c r="D111" s="279" t="s">
        <v>118</v>
      </c>
      <c r="E111" s="239" t="s">
        <v>150</v>
      </c>
      <c r="F111" s="138">
        <v>6.0</v>
      </c>
      <c r="G111" s="283" t="s">
        <v>4863</v>
      </c>
      <c r="H111" s="164"/>
      <c r="I111" s="164"/>
      <c r="J111" s="104"/>
      <c r="K111" s="282"/>
      <c r="L111" s="282"/>
      <c r="M111" s="363"/>
      <c r="N111" s="363"/>
      <c r="O111" s="145">
        <v>0.0</v>
      </c>
      <c r="P111" s="145">
        <v>1.0</v>
      </c>
      <c r="Q111" s="145">
        <v>1.0</v>
      </c>
      <c r="R111" s="277"/>
      <c r="S111" s="228"/>
      <c r="T111" s="228"/>
      <c r="U111" s="228"/>
      <c r="V111" s="228"/>
    </row>
    <row r="112" ht="20.25" customHeight="1" outlineLevel="1">
      <c r="A112" s="156"/>
      <c r="B112" s="269" t="s">
        <v>225</v>
      </c>
      <c r="C112" s="113" t="s">
        <v>173</v>
      </c>
      <c r="D112" s="156"/>
      <c r="E112" s="239" t="s">
        <v>204</v>
      </c>
      <c r="F112" s="138">
        <v>3.5999999999999996</v>
      </c>
      <c r="G112" s="106"/>
      <c r="H112" s="168"/>
      <c r="I112" s="168"/>
      <c r="J112" s="107"/>
      <c r="K112" s="282"/>
      <c r="L112" s="282"/>
      <c r="M112" s="363"/>
      <c r="N112" s="363"/>
      <c r="O112" s="261"/>
      <c r="P112" s="261"/>
      <c r="Q112" s="261"/>
      <c r="R112" s="277"/>
      <c r="S112" s="228"/>
      <c r="T112" s="228"/>
      <c r="U112" s="228"/>
      <c r="V112" s="228"/>
    </row>
    <row r="113" outlineLevel="1">
      <c r="A113" s="278" t="s">
        <v>229</v>
      </c>
      <c r="B113" s="269" t="s">
        <v>227</v>
      </c>
      <c r="C113" s="261"/>
      <c r="D113" s="279" t="s">
        <v>224</v>
      </c>
      <c r="E113" s="261"/>
      <c r="F113" s="261"/>
      <c r="G113" s="1170"/>
      <c r="H113" s="164"/>
      <c r="I113" s="164"/>
      <c r="J113" s="104"/>
      <c r="K113" s="261"/>
      <c r="L113" s="261"/>
      <c r="M113" s="261"/>
      <c r="N113" s="261"/>
      <c r="O113" s="261"/>
      <c r="P113" s="261"/>
      <c r="Q113" s="261"/>
      <c r="R113" s="277"/>
      <c r="S113" s="228"/>
      <c r="T113" s="228"/>
      <c r="U113" s="228"/>
      <c r="V113" s="228"/>
    </row>
    <row r="114" outlineLevel="1">
      <c r="A114" s="156"/>
      <c r="B114" s="269" t="s">
        <v>225</v>
      </c>
      <c r="C114" s="113" t="s">
        <v>394</v>
      </c>
      <c r="D114" s="156"/>
      <c r="E114" s="239" t="s">
        <v>274</v>
      </c>
      <c r="F114" s="138">
        <v>10.799999999999999</v>
      </c>
      <c r="G114" s="106"/>
      <c r="H114" s="168"/>
      <c r="I114" s="168"/>
      <c r="J114" s="107"/>
      <c r="K114" s="282"/>
      <c r="L114" s="282"/>
      <c r="M114" s="363"/>
      <c r="N114" s="363"/>
      <c r="O114" s="261"/>
      <c r="P114" s="261"/>
      <c r="Q114" s="261"/>
      <c r="R114" s="277"/>
      <c r="S114" s="228"/>
      <c r="T114" s="228"/>
      <c r="U114" s="228"/>
      <c r="V114" s="228"/>
    </row>
    <row r="115" outlineLevel="1">
      <c r="A115" s="278" t="s">
        <v>233</v>
      </c>
      <c r="B115" s="269" t="s">
        <v>227</v>
      </c>
      <c r="C115" s="113" t="s">
        <v>65</v>
      </c>
      <c r="D115" s="279" t="s">
        <v>224</v>
      </c>
      <c r="E115" s="239" t="s">
        <v>204</v>
      </c>
      <c r="F115" s="138">
        <v>3.5999999999999996</v>
      </c>
      <c r="G115" s="1170"/>
      <c r="H115" s="164"/>
      <c r="I115" s="164"/>
      <c r="J115" s="104"/>
      <c r="K115" s="282"/>
      <c r="L115" s="282"/>
      <c r="M115" s="363"/>
      <c r="N115" s="363"/>
      <c r="O115" s="145">
        <v>0.0</v>
      </c>
      <c r="P115" s="145">
        <v>1.0</v>
      </c>
      <c r="Q115" s="145">
        <v>1.0</v>
      </c>
      <c r="R115" s="277"/>
      <c r="S115" s="228"/>
      <c r="T115" s="228"/>
      <c r="U115" s="228"/>
      <c r="V115" s="228"/>
    </row>
    <row r="116" outlineLevel="1">
      <c r="A116" s="156"/>
      <c r="B116" s="269" t="s">
        <v>225</v>
      </c>
      <c r="C116" s="113" t="s">
        <v>1114</v>
      </c>
      <c r="D116" s="156"/>
      <c r="E116" s="239" t="s">
        <v>204</v>
      </c>
      <c r="F116" s="138">
        <v>3.5999999999999996</v>
      </c>
      <c r="G116" s="106"/>
      <c r="H116" s="168"/>
      <c r="I116" s="168"/>
      <c r="J116" s="107"/>
      <c r="K116" s="282"/>
      <c r="L116" s="282"/>
      <c r="M116" s="363"/>
      <c r="N116" s="363"/>
      <c r="O116" s="261"/>
      <c r="P116" s="261"/>
      <c r="Q116" s="261"/>
      <c r="R116" s="277"/>
      <c r="S116" s="117"/>
      <c r="T116" s="117"/>
      <c r="U116" s="117"/>
      <c r="V116" s="117"/>
    </row>
    <row r="117" outlineLevel="1">
      <c r="A117" s="278" t="s">
        <v>234</v>
      </c>
      <c r="B117" s="269" t="s">
        <v>227</v>
      </c>
      <c r="C117" s="261"/>
      <c r="D117" s="279" t="s">
        <v>218</v>
      </c>
      <c r="E117" s="261"/>
      <c r="F117" s="261"/>
      <c r="G117" s="283" t="s">
        <v>4864</v>
      </c>
      <c r="H117" s="164"/>
      <c r="I117" s="164"/>
      <c r="J117" s="104"/>
      <c r="K117" s="261"/>
      <c r="L117" s="261"/>
      <c r="M117" s="261"/>
      <c r="N117" s="261"/>
      <c r="O117" s="261"/>
      <c r="P117" s="261"/>
      <c r="Q117" s="261"/>
      <c r="R117" s="277"/>
      <c r="S117" s="117"/>
      <c r="T117" s="117"/>
      <c r="U117" s="117"/>
      <c r="V117" s="117"/>
    </row>
    <row r="118" outlineLevel="1">
      <c r="A118" s="156"/>
      <c r="B118" s="269" t="s">
        <v>225</v>
      </c>
      <c r="C118" s="113" t="s">
        <v>119</v>
      </c>
      <c r="D118" s="156"/>
      <c r="E118" s="239" t="s">
        <v>93</v>
      </c>
      <c r="F118" s="138">
        <v>8.4</v>
      </c>
      <c r="G118" s="106"/>
      <c r="H118" s="168"/>
      <c r="I118" s="168"/>
      <c r="J118" s="107"/>
      <c r="K118" s="282"/>
      <c r="L118" s="282"/>
      <c r="M118" s="363"/>
      <c r="N118" s="363"/>
      <c r="O118" s="261"/>
      <c r="P118" s="261"/>
      <c r="Q118" s="261"/>
      <c r="R118" s="277"/>
      <c r="S118" s="117"/>
      <c r="T118" s="117"/>
      <c r="U118" s="117"/>
      <c r="V118" s="117"/>
    </row>
    <row r="119">
      <c r="A119" s="223"/>
      <c r="B119" s="224"/>
      <c r="C119" s="225"/>
      <c r="D119" s="225"/>
      <c r="E119" s="227"/>
      <c r="F119" s="177"/>
      <c r="G119" s="177"/>
      <c r="H119" s="227"/>
      <c r="I119" s="227"/>
      <c r="J119" s="228"/>
      <c r="K119" s="228"/>
      <c r="L119" s="111"/>
      <c r="M119" s="111"/>
      <c r="N119" s="111"/>
      <c r="O119" s="117"/>
      <c r="P119" s="117"/>
      <c r="Q119" s="111"/>
      <c r="R119" s="111"/>
      <c r="S119" s="111"/>
      <c r="T119" s="111"/>
      <c r="U119" s="111"/>
      <c r="V119" s="111"/>
    </row>
    <row r="120">
      <c r="A120" s="284" t="s">
        <v>241</v>
      </c>
      <c r="B120" s="104"/>
      <c r="C120" s="265"/>
      <c r="D120" s="111"/>
      <c r="E120" s="111"/>
      <c r="F120" s="111"/>
      <c r="G120" s="111"/>
      <c r="H120" s="111"/>
      <c r="I120" s="111"/>
      <c r="J120" s="118"/>
      <c r="K120" s="111"/>
      <c r="L120" s="111"/>
      <c r="M120" s="111"/>
      <c r="N120" s="111"/>
      <c r="O120" s="111"/>
      <c r="P120" s="111"/>
      <c r="Q120" s="118"/>
      <c r="R120" s="111"/>
      <c r="S120" s="111"/>
      <c r="T120" s="111"/>
      <c r="U120" s="111"/>
      <c r="V120" s="111"/>
    </row>
    <row r="121" outlineLevel="1">
      <c r="A121" s="106"/>
      <c r="B121" s="107"/>
      <c r="C121" s="285" t="s">
        <v>235</v>
      </c>
      <c r="D121" s="285" t="s">
        <v>236</v>
      </c>
      <c r="E121" s="285" t="s">
        <v>49</v>
      </c>
      <c r="F121" s="285" t="s">
        <v>237</v>
      </c>
      <c r="G121" s="286"/>
      <c r="H121" s="227"/>
      <c r="I121" s="227"/>
      <c r="J121" s="228"/>
      <c r="K121" s="228"/>
      <c r="L121" s="111"/>
      <c r="M121" s="111"/>
      <c r="N121" s="111"/>
      <c r="O121" s="111"/>
      <c r="P121" s="111"/>
      <c r="Q121" s="111"/>
      <c r="R121" s="111"/>
      <c r="S121" s="111"/>
      <c r="T121" s="111"/>
      <c r="U121" s="111"/>
      <c r="V121" s="111"/>
    </row>
    <row r="122" outlineLevel="1">
      <c r="A122" s="287" t="s">
        <v>395</v>
      </c>
      <c r="B122" s="288" t="s">
        <v>216</v>
      </c>
      <c r="C122" s="113" t="str">
        <f t="array" ref="C122">INDEX('回避'!$C$3:$U$84, MATCH($A$1,'回避'!$A$3:$A$91,0), MATCH(C121,'回避'!$C$2:$F$2,0))</f>
        <v>3-17</v>
      </c>
      <c r="D122" s="113" t="str">
        <f t="array" ref="D122">INDEX('回避'!$C$3:$U$84, MATCH($A$1,'回避'!$A$3:$A$91,0), MATCH(D121,'回避'!$C$2:$F$2,0))</f>
        <v>6-17</v>
      </c>
      <c r="E122" s="113" t="str">
        <f t="array" ref="E122">INDEX('回避'!$C$3:$U$84, MATCH($A$1,'回避'!$A$3:$A$91,0), MATCH(E121,'回避'!$C$2:$F$2,0))</f>
        <v>25 (20)</v>
      </c>
      <c r="F122" s="113" t="str">
        <f t="array" ref="F122">INDEX('回避'!$C$3:$U$84, MATCH($A$1,'回避'!$A$3:$A$91,0), MATCH(F121,'回避'!$C$2:$F$2,0))</f>
        <v>33 (27)</v>
      </c>
      <c r="G122" s="272"/>
      <c r="H122" s="227"/>
      <c r="I122" s="227"/>
      <c r="J122" s="228"/>
      <c r="K122" s="228"/>
      <c r="L122" s="228"/>
      <c r="M122" s="111"/>
      <c r="N122" s="111"/>
      <c r="O122" s="111"/>
      <c r="P122" s="111"/>
      <c r="Q122" s="111"/>
      <c r="R122" s="111"/>
      <c r="S122" s="111"/>
      <c r="T122" s="111"/>
      <c r="U122" s="111"/>
      <c r="V122" s="111"/>
    </row>
    <row r="123" outlineLevel="1">
      <c r="A123" s="212"/>
      <c r="B123" s="288" t="s">
        <v>245</v>
      </c>
      <c r="C123" s="113" t="str">
        <f t="array" ref="C123">INDEX('回避'!$G$3:$U$84, MATCH($A$1,'回避'!$A$3:$A$91,0), MATCH(C121,'回避'!$G$2:$J$2,0))</f>
        <v>4-15</v>
      </c>
      <c r="D123" s="113" t="str">
        <f t="array" ref="D123">INDEX('回避'!$G$3:$U$84, MATCH($A$1,'回避'!$A$3:$A$91,0), MATCH(D121,'回避'!$G$2:$J$2,0))</f>
        <v>8-14</v>
      </c>
      <c r="E123" s="113" t="str">
        <f t="array" ref="E123">INDEX('回避'!$G$3:$U$84, MATCH($A$1,'回避'!$A$3:$A$91,0), MATCH(E121,'回避'!$G$2:$J$2,0))</f>
        <v>29</v>
      </c>
      <c r="F123" s="113">
        <f t="array" ref="F123">INDEX('回避'!$G$3:$U$84, MATCH($A$1,'回避'!$A$3:$A$91,0), MATCH(F121,'回避'!$G$2:$J$2,0))</f>
        <v>38</v>
      </c>
      <c r="G123" s="289"/>
      <c r="H123" s="227"/>
      <c r="I123" s="227"/>
      <c r="J123" s="228"/>
      <c r="K123" s="228"/>
      <c r="L123" s="228"/>
      <c r="M123" s="228"/>
      <c r="N123" s="228"/>
      <c r="O123" s="111"/>
      <c r="P123" s="111"/>
      <c r="Q123" s="111"/>
      <c r="R123" s="111"/>
      <c r="S123" s="111"/>
      <c r="T123" s="111"/>
      <c r="U123" s="111"/>
      <c r="V123" s="111"/>
    </row>
    <row r="124" outlineLevel="1">
      <c r="A124" s="106"/>
      <c r="B124" s="288" t="s">
        <v>246</v>
      </c>
      <c r="C124" s="113" t="str">
        <f t="array" ref="C124">INDEX('回避'!$K$3:$U$84, MATCH($A$1,'回避'!$A$3:$A$91,0), MATCH(C121,'回避'!$K$2:$N$2,0))</f>
        <v>5-16</v>
      </c>
      <c r="D124" s="113" t="str">
        <f t="array" ref="D124">INDEX('回避'!$K$3:$U$84, MATCH($A$1,'回避'!$A$3:$A$91,0), MATCH(D121,'回避'!$K$2:$N$2,0))</f>
        <v>9-14</v>
      </c>
      <c r="E124" s="113" t="str">
        <f t="array" ref="E124">INDEX('回避'!$K$3:$U$84, MATCH($A$1,'回避'!$A$3:$A$91,0), MATCH(E121,'回避'!$K$2:$N$2,0))</f>
        <v>34</v>
      </c>
      <c r="F124" s="113" t="str">
        <f t="array" ref="F124">INDEX('回避'!$K$3:$U$84, MATCH($A$1,'回避'!$A$3:$A$91,0), MATCH(F121,'回避'!$K$2:$N$2,0))</f>
        <v>51</v>
      </c>
      <c r="G124" s="289"/>
      <c r="H124" s="290"/>
      <c r="I124" s="290"/>
      <c r="J124" s="117"/>
      <c r="K124" s="117"/>
      <c r="L124" s="117"/>
      <c r="M124" s="117"/>
      <c r="N124" s="117"/>
      <c r="O124" s="111"/>
      <c r="P124" s="111"/>
      <c r="Q124" s="111"/>
      <c r="R124" s="111"/>
      <c r="S124" s="111"/>
      <c r="T124" s="111"/>
      <c r="U124" s="111"/>
      <c r="V124" s="111"/>
    </row>
    <row r="125" outlineLevel="1">
      <c r="A125" s="287" t="s">
        <v>396</v>
      </c>
      <c r="B125" s="288" t="s">
        <v>397</v>
      </c>
      <c r="C125" s="113" t="str">
        <f t="array" ref="C125">INDEX('回避'!$O$3:$U$84, MATCH($A$1,'回避'!$A$3:$A$91,0), MATCH(C121,'回避'!$O$2:$R$2,0))</f>
        <v>3-29</v>
      </c>
      <c r="D125" s="113" t="str">
        <f t="array" ref="D125">INDEX('回避'!$O$3:$U$84, MATCH($A$1,'回避'!$A$3:$A$91,0), MATCH(D121,'回避'!$O$2:$R$2,0))</f>
        <v>6-27</v>
      </c>
      <c r="E125" s="113" t="str">
        <f t="array" ref="E125">INDEX('回避'!$O$3:$U$84, MATCH($A$1,'回避'!$A$3:$A$91,0), MATCH(E121,'回避'!$O$2:$R$2,0))</f>
        <v>50</v>
      </c>
      <c r="F125" s="177"/>
      <c r="G125" s="177"/>
      <c r="H125" s="118"/>
      <c r="I125" s="118"/>
      <c r="J125" s="111"/>
      <c r="K125" s="111"/>
      <c r="L125" s="111"/>
      <c r="M125" s="111"/>
      <c r="N125" s="111"/>
      <c r="O125" s="228"/>
      <c r="P125" s="228"/>
      <c r="Q125" s="228"/>
      <c r="R125" s="228"/>
      <c r="S125" s="228"/>
      <c r="T125" s="228"/>
      <c r="U125" s="228"/>
      <c r="V125" s="228"/>
    </row>
    <row r="126" outlineLevel="1">
      <c r="A126" s="106"/>
      <c r="B126" s="288" t="s">
        <v>398</v>
      </c>
      <c r="C126" s="113" t="str">
        <f t="array" ref="C126">INDEX('回避'!$S$3:$U$84, MATCH($A$1,'回避'!$A$3:$A$91,0), MATCH(C121,'回避'!$S$2:$U$2,0))</f>
        <v>3-21</v>
      </c>
      <c r="D126" s="113" t="str">
        <f t="array" ref="D126">INDEX('回避'!$S$3:$U$84, MATCH($A$1,'回避'!$A$3:$A$91,0), MATCH(D121,'回避'!$S$2:$U$2,0))</f>
        <v>6-20</v>
      </c>
      <c r="E126" s="113" t="str">
        <f t="array" ref="E126">INDEX('回避'!$S$3:$U$84, MATCH($A$1,'回避'!$A$3:$A$91,0), MATCH(E121,'回避'!$S$2:$U$2,0))</f>
        <v>真横：84
真上：112
真下：68</v>
      </c>
      <c r="F126" s="289"/>
      <c r="G126" s="289"/>
      <c r="H126" s="118"/>
      <c r="I126" s="118"/>
      <c r="J126" s="117"/>
      <c r="K126" s="117"/>
      <c r="L126" s="117"/>
      <c r="M126" s="117"/>
      <c r="N126" s="111"/>
      <c r="O126" s="118"/>
      <c r="P126" s="118"/>
      <c r="Q126" s="118"/>
      <c r="R126" s="118"/>
      <c r="S126" s="118"/>
      <c r="T126" s="118"/>
      <c r="U126" s="118"/>
      <c r="V126" s="118"/>
    </row>
    <row r="127">
      <c r="A127" s="291"/>
      <c r="B127" s="292"/>
      <c r="C127" s="286"/>
      <c r="D127" s="286"/>
      <c r="E127" s="293"/>
      <c r="F127" s="286"/>
      <c r="G127" s="286"/>
      <c r="H127" s="286"/>
      <c r="I127" s="286"/>
      <c r="J127" s="111"/>
      <c r="K127" s="227"/>
      <c r="L127" s="227"/>
      <c r="M127" s="227"/>
      <c r="N127" s="227"/>
      <c r="O127" s="118"/>
      <c r="P127" s="118"/>
      <c r="Q127" s="118"/>
      <c r="R127" s="118"/>
      <c r="S127" s="118"/>
      <c r="T127" s="118"/>
      <c r="U127" s="118"/>
      <c r="V127" s="118"/>
    </row>
    <row r="128">
      <c r="A128" s="2534" t="s">
        <v>238</v>
      </c>
      <c r="B128" s="104"/>
      <c r="C128" s="2535"/>
      <c r="D128" s="2536"/>
      <c r="E128" s="2535"/>
      <c r="F128" s="2537"/>
      <c r="G128" s="2537"/>
      <c r="H128" s="117"/>
      <c r="I128" s="117"/>
      <c r="J128" s="118"/>
      <c r="K128" s="118"/>
      <c r="L128" s="118"/>
      <c r="M128" s="118"/>
      <c r="N128" s="118"/>
      <c r="O128" s="118"/>
      <c r="P128" s="118"/>
      <c r="Q128" s="118"/>
      <c r="R128" s="118"/>
      <c r="S128" s="118"/>
      <c r="T128" s="118"/>
      <c r="U128" s="118"/>
      <c r="V128" s="118"/>
    </row>
    <row r="129" outlineLevel="1">
      <c r="A129" s="106"/>
      <c r="B129" s="107"/>
      <c r="C129" s="2538" t="s">
        <v>235</v>
      </c>
      <c r="D129" s="2538" t="s">
        <v>49</v>
      </c>
      <c r="E129" s="2538" t="s">
        <v>48</v>
      </c>
      <c r="F129" s="2538" t="s">
        <v>50</v>
      </c>
      <c r="G129" s="2539" t="s">
        <v>51</v>
      </c>
      <c r="H129" s="228"/>
      <c r="I129" s="228"/>
      <c r="J129" s="117"/>
      <c r="K129" s="297" t="str">
        <f>'テンプレート'!K116</f>
        <v>アイテム取得</v>
      </c>
      <c r="L129" s="109"/>
      <c r="M129" s="298" t="str">
        <f>'テンプレート'!M116</f>
        <v>取得フレーム</v>
      </c>
      <c r="N129" s="298" t="str">
        <f>'テンプレート'!N116</f>
        <v>全体フレーム</v>
      </c>
      <c r="O129" s="118"/>
      <c r="P129" s="118"/>
      <c r="Q129" s="118"/>
      <c r="R129" s="118"/>
      <c r="S129" s="118"/>
      <c r="T129" s="118"/>
      <c r="U129" s="118"/>
      <c r="V129" s="118"/>
    </row>
    <row r="130" outlineLevel="1">
      <c r="A130" s="299" t="s">
        <v>239</v>
      </c>
      <c r="B130" s="300" t="s">
        <v>240</v>
      </c>
      <c r="C130" s="1162"/>
      <c r="D130" s="518">
        <f t="array" ref="D130">INDEX('崖行動・受け身'!$C$3:$C137, MATCH($A$1,'崖行動・受け身'!$A$3:$A$115,0), MATCH(D129,'崖行動・受け身'!$C$2,0))</f>
        <v>19</v>
      </c>
      <c r="E130" s="1162"/>
      <c r="F130" s="1162"/>
      <c r="G130" s="1162"/>
      <c r="H130" s="228"/>
      <c r="I130" s="228"/>
      <c r="J130" s="111"/>
      <c r="K130" s="302" t="str">
        <f>'テンプレート'!K117</f>
        <v>小アイテム</v>
      </c>
      <c r="L130" s="303" t="str">
        <f>'テンプレート'!L117</f>
        <v>その場</v>
      </c>
      <c r="M130" s="113" t="str">
        <f t="array" ref="M130">INDEX('アイテム'!$C$3:$D$115, MATCH($A$1,'アイテム'!$A$3:$A$115,0), MATCH(M$129,'アイテム'!$C$2:$AK$2,0))</f>
        <v>2</v>
      </c>
      <c r="N130" s="113">
        <f t="array" ref="N130">INDEX('アイテム'!$C$3:$D$115, MATCH($A$1,'アイテム'!$A$3:$A$115,0), MATCH(N$129,'アイテム'!$C$2:$AK$2,0))</f>
        <v>7</v>
      </c>
      <c r="O130" s="118"/>
      <c r="P130" s="118"/>
      <c r="Q130" s="118"/>
      <c r="R130" s="118"/>
      <c r="S130" s="118"/>
      <c r="T130" s="118"/>
      <c r="U130" s="118"/>
      <c r="V130" s="118"/>
    </row>
    <row r="131" outlineLevel="1">
      <c r="A131" s="146"/>
      <c r="B131" s="300" t="s">
        <v>216</v>
      </c>
      <c r="C131" s="518" t="str">
        <f t="array" ref="C131">INDEX('崖行動・受け身'!$D$3:$E137, MATCH($A$1,'崖行動・受け身'!$A$3:$A$115,0), MATCH(C129,'崖行動・受け身'!$D$2:$E$2,0))</f>
        <v>1-33</v>
      </c>
      <c r="D131" s="518">
        <f t="array" ref="D131">INDEX('崖行動・受け身'!$D$3:$E137, MATCH($A$1,'崖行動・受け身'!$A$3:$A$115,0), MATCH(D129,'崖行動・受け身'!$D$2:$E$2,0))</f>
        <v>34</v>
      </c>
      <c r="E131" s="1162"/>
      <c r="F131" s="1162"/>
      <c r="G131" s="1162"/>
      <c r="H131" s="228"/>
      <c r="I131" s="228"/>
      <c r="J131" s="117"/>
      <c r="K131" s="156"/>
      <c r="L131" s="303" t="str">
        <f>'テンプレート'!L118</f>
        <v>歩き</v>
      </c>
      <c r="M131" s="113" t="str">
        <f t="array" ref="M131">INDEX('アイテム'!$E$3:$F$115, MATCH($A$1,'アイテム'!$A$3:$A$115,0), MATCH(M$129,'アイテム'!$E$2:$AK$2,0))</f>
        <v>2</v>
      </c>
      <c r="N131" s="113">
        <f t="array" ref="N131">INDEX('アイテム'!$E$3:$F$115, MATCH($A$1,'アイテム'!$A$3:$A$115,0), MATCH(N$129,'アイテム'!$E$2:$AK$2,0))</f>
        <v>19</v>
      </c>
      <c r="O131" s="118"/>
      <c r="P131" s="118"/>
      <c r="Q131" s="118"/>
      <c r="R131" s="118"/>
      <c r="S131" s="118"/>
      <c r="T131" s="118"/>
      <c r="U131" s="118"/>
      <c r="V131" s="118"/>
    </row>
    <row r="132" outlineLevel="1">
      <c r="A132" s="146"/>
      <c r="B132" s="300" t="s">
        <v>241</v>
      </c>
      <c r="C132" s="518" t="str">
        <f t="array" ref="C132">INDEX('崖行動・受け身'!$F$3:$G$115, MATCH($A$1,'崖行動・受け身'!$A$3:$A$115,0), MATCH(C129,'崖行動・受け身'!$F$2:$G$2,0))</f>
        <v>1-26</v>
      </c>
      <c r="D132" s="518">
        <f t="array" ref="D132">INDEX('崖行動・受け身'!$F$3:$G$115, MATCH($A$1,'崖行動・受け身'!$A$3:$A$115,0), MATCH(D129,'崖行動・受け身'!$F$2:$G$2,0))</f>
        <v>45</v>
      </c>
      <c r="E132" s="1162"/>
      <c r="F132" s="1162"/>
      <c r="G132" s="1162"/>
      <c r="H132" s="228"/>
      <c r="I132" s="228"/>
      <c r="J132" s="111"/>
      <c r="K132" s="304" t="str">
        <f>'テンプレート'!K119</f>
        <v>アイテム投擲</v>
      </c>
      <c r="L132" s="109"/>
      <c r="M132" s="298" t="str">
        <f>'テンプレート'!M119</f>
        <v>投擲フレーム</v>
      </c>
      <c r="N132" s="298" t="str">
        <f>'テンプレート'!N119</f>
        <v>全体フレーム</v>
      </c>
      <c r="O132" s="118"/>
      <c r="P132" s="118"/>
      <c r="Q132" s="118"/>
      <c r="R132" s="118"/>
      <c r="S132" s="118"/>
      <c r="T132" s="118"/>
      <c r="U132" s="118"/>
      <c r="V132" s="118"/>
    </row>
    <row r="133" outlineLevel="1">
      <c r="A133" s="146"/>
      <c r="B133" s="300" t="s">
        <v>242</v>
      </c>
      <c r="C133" s="518" t="str">
        <f t="array" ref="C133">INDEX('崖行動・受け身'!$H$3:$I$115, MATCH($A$1,'崖行動・受け身'!$A$3:$A$115,0), MATCH(C129,'崖行動・受け身'!$H$2:$I$2,0))</f>
        <v>1-12</v>
      </c>
      <c r="D133" s="518">
        <f t="array" ref="D133">INDEX('崖行動・受け身'!$H$3:$I$115, MATCH($A$1,'崖行動・受け身'!$A$3:$A$115,0), MATCH(D129,'崖行動・受け身'!$H$2:$I$2,0))</f>
        <v>14</v>
      </c>
      <c r="E133" s="1162"/>
      <c r="F133" s="1162"/>
      <c r="G133" s="1162"/>
      <c r="H133" s="228"/>
      <c r="I133" s="228"/>
      <c r="J133" s="117"/>
      <c r="K133" s="1030" t="str">
        <f>'テンプレート'!K120</f>
        <v>地上投擲</v>
      </c>
      <c r="L133" s="303" t="str">
        <f>'テンプレート'!L120</f>
        <v>前投げ</v>
      </c>
      <c r="M133" s="113" t="str">
        <f t="array" ref="M133">INDEX('アイテム'!$G$3:$H$115, MATCH($A$1,'アイテム'!$A$3:$A$115,0), MATCH(M$132,'アイテム'!$G$2:$AK$2,0))</f>
        <v>8</v>
      </c>
      <c r="N133" s="113">
        <f t="array" ref="N133">INDEX('アイテム'!$G$3:$H$115, MATCH($A$1,'アイテム'!$A$3:$A$115,0), MATCH(N$132,'アイテム'!$G$2:$AK$2,0))</f>
        <v>24</v>
      </c>
      <c r="O133" s="111"/>
      <c r="P133" s="111"/>
      <c r="Q133" s="111"/>
      <c r="R133" s="111"/>
      <c r="S133" s="111"/>
      <c r="T133" s="111"/>
      <c r="U133" s="111"/>
      <c r="V133" s="111"/>
    </row>
    <row r="134" outlineLevel="1">
      <c r="A134" s="156"/>
      <c r="B134" s="300" t="s">
        <v>243</v>
      </c>
      <c r="C134" s="518" t="str">
        <f t="array" ref="C134">INDEX('崖行動・受け身'!$J$3:$M$115, MATCH($A$1,'崖行動・受け身'!$A$3:$A$115,0), MATCH(C129,'崖行動・受け身'!$J$2:$M$2,0))</f>
        <v>1-20</v>
      </c>
      <c r="D134" s="518">
        <f t="array" ref="D134">INDEX('崖行動・受け身'!$J$3:$M$115, MATCH($A$1,'崖行動・受け身'!$A$3:$A$115,0), MATCH(D129,'崖行動・受け身'!$J$2:$M$2,0))</f>
        <v>55</v>
      </c>
      <c r="E134" s="518" t="str">
        <f t="array" ref="E134">INDEX('崖行動・受け身'!$J$3:$M$115, MATCH($A$1,'崖行動・受け身'!$A$3:$A$115,0), MATCH(E129,'崖行動・受け身'!$J$2:$M$2,0))</f>
        <v>18-20</v>
      </c>
      <c r="F134" s="518">
        <f t="array" ref="F134">INDEX('崖行動・受け身'!$J$3:$M$115, MATCH($A$1,'崖行動・受け身'!$A$3:$A$115,0), MATCH(F129,'崖行動・受け身'!$J$2:$M$2,0))</f>
        <v>9</v>
      </c>
      <c r="G134" s="518">
        <f>F134*1.2</f>
        <v>10.8</v>
      </c>
      <c r="H134" s="228"/>
      <c r="I134" s="228"/>
      <c r="J134" s="111"/>
      <c r="K134" s="146"/>
      <c r="L134" s="303" t="str">
        <f>'テンプレート'!L121</f>
        <v>後投げ</v>
      </c>
      <c r="M134" s="113" t="str">
        <f t="array" ref="M134">INDEX('アイテム'!$I$3:$J$115, MATCH($A$1,'アイテム'!$A$3:$A$115,0), MATCH(M$132,'アイテム'!$I$2:$AK$2,0))</f>
        <v>11</v>
      </c>
      <c r="N134" s="113">
        <f t="array" ref="N134">INDEX('アイテム'!$I$3:$J$115, MATCH($A$1,'アイテム'!$A$3:$A$115,0), MATCH(N$132,'アイテム'!$I$2:$AK$2,0))</f>
        <v>24</v>
      </c>
      <c r="O134" s="111"/>
      <c r="P134" s="111"/>
      <c r="Q134" s="111"/>
      <c r="R134" s="111"/>
      <c r="S134" s="111"/>
      <c r="T134" s="111"/>
      <c r="U134" s="111"/>
      <c r="V134" s="111"/>
    </row>
    <row r="135" outlineLevel="1">
      <c r="A135" s="299" t="s">
        <v>244</v>
      </c>
      <c r="B135" s="300" t="s">
        <v>216</v>
      </c>
      <c r="C135" s="518" t="str">
        <f t="array" ref="C135">INDEX('崖行動・受け身'!$N$3:$O$115, MATCH($A$1,'崖行動・受け身'!$A$3:$A$115,0), MATCH(C129,'崖行動・受け身'!$N$2:$O$2,0))</f>
        <v>1-20</v>
      </c>
      <c r="D135" s="518">
        <f t="array" ref="D135">INDEX('崖行動・受け身'!$N$3:$O$115, MATCH($A$1,'崖行動・受け身'!$A$3:$A$115,0), MATCH(D129,'崖行動・受け身'!$N$2:$O$2,0))</f>
        <v>26</v>
      </c>
      <c r="E135" s="1162"/>
      <c r="F135" s="1162"/>
      <c r="G135" s="1162"/>
      <c r="H135" s="228"/>
      <c r="I135" s="228"/>
      <c r="J135" s="117"/>
      <c r="K135" s="146"/>
      <c r="L135" s="303" t="str">
        <f>'テンプレート'!L122</f>
        <v>上投げ</v>
      </c>
      <c r="M135" s="113" t="str">
        <f t="array" ref="M135">INDEX('アイテム'!$K$3:$L$115, MATCH($A$1,'アイテム'!$A$3:$A$115,0), MATCH(M$132,'アイテム'!$K$2:$AK$2,0))</f>
        <v>12</v>
      </c>
      <c r="N135" s="113">
        <f t="array" ref="N135">INDEX('アイテム'!$K$3:$L$115, MATCH($A$1,'アイテム'!$A$3:$A$115,0), MATCH(N$132,'アイテム'!$K$2:$AK$2,0))</f>
        <v>23</v>
      </c>
      <c r="O135" s="228"/>
      <c r="P135" s="228"/>
      <c r="Q135" s="228"/>
      <c r="R135" s="228"/>
      <c r="S135" s="228"/>
      <c r="T135" s="228"/>
      <c r="U135" s="228"/>
      <c r="V135" s="228"/>
    </row>
    <row r="136" outlineLevel="1">
      <c r="A136" s="146"/>
      <c r="B136" s="300" t="s">
        <v>245</v>
      </c>
      <c r="C136" s="518" t="str">
        <f t="array" ref="C136">INDEX('崖行動・受け身'!$P$3:$Q$115, MATCH($A$1,'崖行動・受け身'!$A$3:$A$115,0), MATCH(C129,'崖行動・受け身'!$P$2:$Q$2,0))</f>
        <v>1-20</v>
      </c>
      <c r="D136" s="518">
        <f t="array" ref="D136">INDEX('崖行動・受け身'!$P$3:$Q$115, MATCH($A$1,'崖行動・受け身'!$A$3:$A$115,0), MATCH(D129,'崖行動・受け身'!$P$2:$Q$2,0))</f>
        <v>40</v>
      </c>
      <c r="E136" s="1162"/>
      <c r="F136" s="1162"/>
      <c r="G136" s="1162"/>
      <c r="H136" s="228"/>
      <c r="I136" s="228"/>
      <c r="J136" s="111"/>
      <c r="K136" s="146"/>
      <c r="L136" s="303" t="str">
        <f>'テンプレート'!L123</f>
        <v>下投げ</v>
      </c>
      <c r="M136" s="113" t="str">
        <f t="array" ref="M136">INDEX('アイテム'!$M$3:$N$115, MATCH($A$1,'アイテム'!$A$3:$A$115,0), MATCH(M$132,'アイテム'!$M$2:$AK$2,0))</f>
        <v>7</v>
      </c>
      <c r="N136" s="113">
        <f t="array" ref="N136">INDEX('アイテム'!$M$3:$N$115, MATCH($A$1,'アイテム'!$A$3:$A$115,0), MATCH(N$132,'アイテム'!$M$2:$AK$2,0))</f>
        <v>19</v>
      </c>
      <c r="O136" s="118"/>
      <c r="P136" s="118"/>
      <c r="Q136" s="118"/>
      <c r="R136" s="118"/>
      <c r="S136" s="118"/>
      <c r="T136" s="118"/>
      <c r="U136" s="118"/>
      <c r="V136" s="118"/>
    </row>
    <row r="137" outlineLevel="1">
      <c r="A137" s="156"/>
      <c r="B137" s="300" t="s">
        <v>246</v>
      </c>
      <c r="C137" s="518" t="str">
        <f t="array" ref="C137">INDEX('崖行動・受け身'!$R$3:$S$115, MATCH($A$1,'崖行動・受け身'!$A$3:$A$115,0), MATCH(C129,'崖行動・受け身'!$R$2:$S$2,0))</f>
        <v>1-20</v>
      </c>
      <c r="D137" s="518">
        <f t="array" ref="D137">INDEX('崖行動・受け身'!$R$3:$S$115, MATCH($A$1,'崖行動・受け身'!$A$3:$A$115,0), MATCH(D129,'崖行動・受け身'!$R$2:$S$2,0))</f>
        <v>40</v>
      </c>
      <c r="E137" s="1162"/>
      <c r="F137" s="1162"/>
      <c r="G137" s="1162"/>
      <c r="H137" s="228"/>
      <c r="I137" s="228"/>
      <c r="J137" s="117"/>
      <c r="K137" s="146"/>
      <c r="L137" s="306" t="str">
        <f>'テンプレート'!L124</f>
        <v>ダッシュ</v>
      </c>
      <c r="M137" s="113" t="str">
        <f t="array" ref="M137">INDEX('アイテム'!$O$3:$P$115, MATCH($A$1,'アイテム'!$A$3:$A$115,0), MATCH(M$132,'アイテム'!$O$2:$AK$2,0))</f>
        <v>5</v>
      </c>
      <c r="N137" s="113">
        <f t="array" ref="N137">INDEX('アイテム'!$O$3:$P$115, MATCH($A$1,'アイテム'!$A$3:$A$115,0), MATCH(N$132,'アイテム'!$O$2:$AK$2,0))</f>
        <v>29</v>
      </c>
      <c r="O137" s="118"/>
      <c r="P137" s="118"/>
      <c r="Q137" s="118"/>
      <c r="R137" s="118"/>
      <c r="S137" s="118"/>
      <c r="T137" s="118"/>
      <c r="U137" s="118"/>
      <c r="V137" s="118"/>
    </row>
    <row r="138" outlineLevel="1">
      <c r="A138" s="299" t="s">
        <v>247</v>
      </c>
      <c r="B138" s="300" t="s">
        <v>248</v>
      </c>
      <c r="C138" s="1162"/>
      <c r="D138" s="518" t="str">
        <f t="array" ref="D138">INDEX('起きあがり'!$C$3:$C137, MATCH($A$1,'起きあがり'!$A$3:$A$115,0), MATCH(D129,'起きあがり'!$C$2:$AD$2,0))</f>
        <v>25</v>
      </c>
      <c r="E138" s="1162"/>
      <c r="F138" s="1162"/>
      <c r="G138" s="1162"/>
      <c r="H138" s="228"/>
      <c r="I138" s="228"/>
      <c r="J138" s="111"/>
      <c r="K138" s="156"/>
      <c r="L138" s="306" t="str">
        <f>'テンプレート'!L125</f>
        <v>その場捨て</v>
      </c>
      <c r="M138" s="113" t="str">
        <f t="array" ref="M138">INDEX('アイテム'!$Q$3:$R$115, MATCH($A$1,'アイテム'!$A$3:$A$115,0), MATCH(M$132,'アイテム'!$Q$2:$AK$2,0))</f>
        <v>6</v>
      </c>
      <c r="N138" s="113">
        <f t="array" ref="N138">INDEX('アイテム'!$Q$3:$R$115, MATCH($A$1,'アイテム'!$A$3:$A$115,0), MATCH(N$132,'アイテム'!$Q$2:$AK$2,0))</f>
        <v>23</v>
      </c>
      <c r="O138" s="118"/>
      <c r="P138" s="118"/>
      <c r="Q138" s="118"/>
      <c r="R138" s="118"/>
      <c r="S138" s="118"/>
      <c r="T138" s="118"/>
      <c r="U138" s="118"/>
      <c r="V138" s="118"/>
    </row>
    <row r="139" outlineLevel="1">
      <c r="A139" s="146"/>
      <c r="B139" s="300" t="s">
        <v>216</v>
      </c>
      <c r="C139" s="2540" t="str">
        <f t="array" ref="C139">INDEX('起きあがり'!$D$3:$E137, MATCH($A$1,'起きあがり'!$A$3:$A$115,0), MATCH(C129,'起きあがり'!$D$2:$AD$2,0))</f>
        <v>1-22</v>
      </c>
      <c r="D139" s="2541">
        <f t="array" ref="D139">INDEX('起きあがり'!$D$3:$E137, MATCH($A$1,'起きあがり'!$A$3:$A$115,0), MATCH(D129,'起きあがり'!$D$2:$AD$2,0))</f>
        <v>29</v>
      </c>
      <c r="E139" s="1162"/>
      <c r="F139" s="1162"/>
      <c r="G139" s="1162"/>
      <c r="H139" s="228"/>
      <c r="I139" s="228"/>
      <c r="J139" s="117"/>
      <c r="K139" s="1030" t="str">
        <f>'テンプレート'!K126</f>
        <v>空中投擲</v>
      </c>
      <c r="L139" s="303" t="str">
        <f>'テンプレート'!L126</f>
        <v>前投げ</v>
      </c>
      <c r="M139" s="113" t="str">
        <f t="array" ref="M139">INDEX('アイテム'!$S$3:$T$115, MATCH($A$1,'アイテム'!$A$3:$A$115,0), MATCH(M$132,'アイテム'!$S$2:$AK$2,0))</f>
        <v>8</v>
      </c>
      <c r="N139" s="113">
        <f t="array" ref="N139">INDEX('アイテム'!$S$3:$T$115, MATCH($A$1,'アイテム'!$A$3:$A$115,0), MATCH(N$132,'アイテム'!$S$2:$AK$2,0))</f>
        <v>24</v>
      </c>
      <c r="O139" s="118"/>
      <c r="P139" s="118"/>
      <c r="Q139" s="118"/>
      <c r="R139" s="118"/>
      <c r="S139" s="118"/>
      <c r="T139" s="118"/>
      <c r="U139" s="118"/>
      <c r="V139" s="118"/>
    </row>
    <row r="140" outlineLevel="1">
      <c r="A140" s="146"/>
      <c r="B140" s="300" t="s">
        <v>245</v>
      </c>
      <c r="C140" s="2540" t="str">
        <f t="array" ref="C140">INDEX('起きあがり'!$F$3:$G$115, MATCH($A$1,'起きあがり'!$A$3:$A$115,0), MATCH(C129,'起きあがり'!$F$2:$AD$2,0))</f>
        <v>1-21</v>
      </c>
      <c r="D140" s="2541">
        <f t="array" ref="D140">INDEX('起きあがり'!$F$3:$G$115, MATCH($A$1,'起きあがり'!$A$3:$A$115,0), MATCH(D129,'起きあがり'!$F$2:$AD$2,0))</f>
        <v>35</v>
      </c>
      <c r="E140" s="1162"/>
      <c r="F140" s="1162"/>
      <c r="G140" s="1162"/>
      <c r="H140" s="228"/>
      <c r="I140" s="228"/>
      <c r="J140" s="111"/>
      <c r="K140" s="146"/>
      <c r="L140" s="303" t="str">
        <f>'テンプレート'!L127</f>
        <v>後投げ</v>
      </c>
      <c r="M140" s="113" t="str">
        <f t="array" ref="M140">INDEX('アイテム'!$U$3:$V$115, MATCH($A$1,'アイテム'!$A$3:$A$115,0), MATCH(M$132,'アイテム'!$U$2:$AK$2,0))</f>
        <v>11</v>
      </c>
      <c r="N140" s="113">
        <f t="array" ref="N140">INDEX('アイテム'!$U$3:$V$115, MATCH($A$1,'アイテム'!$A$3:$A$115,0), MATCH(N$132,'アイテム'!$U$2:$AK$2,0))</f>
        <v>24</v>
      </c>
      <c r="O140" s="118"/>
      <c r="P140" s="118"/>
      <c r="Q140" s="118"/>
      <c r="R140" s="118"/>
      <c r="S140" s="118"/>
      <c r="T140" s="118"/>
      <c r="U140" s="118"/>
      <c r="V140" s="118"/>
    </row>
    <row r="141" outlineLevel="1">
      <c r="A141" s="146"/>
      <c r="B141" s="300" t="s">
        <v>246</v>
      </c>
      <c r="C141" s="518" t="str">
        <f t="array" ref="C141">INDEX('起きあがり'!$H$3:$I$115, MATCH($A$1,'起きあがり'!$A$3:$A$115,0), MATCH(C129,'起きあがり'!$H$2:$AD$2,0))</f>
        <v>1-22</v>
      </c>
      <c r="D141" s="518">
        <f t="array" ref="D141">INDEX('起きあがり'!$H$3:$I$115, MATCH($A$1,'起きあがり'!$A$3:$A$115,0), MATCH(D129,'起きあがり'!$H$2:$AD$2,0))</f>
        <v>35</v>
      </c>
      <c r="E141" s="1162"/>
      <c r="F141" s="1162"/>
      <c r="G141" s="1162"/>
      <c r="H141" s="228"/>
      <c r="I141" s="228"/>
      <c r="J141" s="117"/>
      <c r="K141" s="146"/>
      <c r="L141" s="303" t="str">
        <f>'テンプレート'!L128</f>
        <v>上投げ</v>
      </c>
      <c r="M141" s="113" t="str">
        <f t="array" ref="M141">INDEX('アイテム'!$W$3:$X$115, MATCH($A$1,'アイテム'!$A$3:$A$115,0), MATCH(M$132,'アイテム'!$W$2:$AK$2,0))</f>
        <v>12</v>
      </c>
      <c r="N141" s="113">
        <f t="array" ref="N141">INDEX('アイテム'!$W$3:$X$115, MATCH($A$1,'アイテム'!$A$3:$A$115,0), MATCH(N$132,'アイテム'!$W$2:$AK$2,0))</f>
        <v>23</v>
      </c>
      <c r="O141" s="118"/>
      <c r="P141" s="118"/>
      <c r="Q141" s="118"/>
      <c r="R141" s="118"/>
      <c r="S141" s="118"/>
      <c r="T141" s="118"/>
      <c r="U141" s="118"/>
      <c r="V141" s="118"/>
    </row>
    <row r="142" outlineLevel="1">
      <c r="A142" s="146"/>
      <c r="B142" s="300" t="s">
        <v>249</v>
      </c>
      <c r="C142" s="2542" t="str">
        <f t="array" ref="C142">INDEX('起きあがり'!$J$3:$M$115, MATCH($A$1,'起きあがり'!$A$3:$A$115,0), MATCH(C129,'起きあがり'!$J$2:$AD$2,0))</f>
        <v>1-26</v>
      </c>
      <c r="D142" s="2543">
        <f t="array" ref="D142">INDEX('起きあがり'!$J$3:$M$115, MATCH($A$1,'起きあがり'!$A$3:$A$115,0), MATCH(D129,'起きあがり'!$J$2:$AD$2,0))</f>
        <v>45</v>
      </c>
      <c r="E142" s="2540" t="str">
        <f t="array" ref="E142">INDEX('起きあがり'!$J$3:$M$115, MATCH($A$1,'起きあがり'!$A$3:$A$115,0), MATCH(E129,'起きあがり'!$J$2:$AD$2,0))</f>
        <v>15-16</v>
      </c>
      <c r="F142" s="2541">
        <f t="array" ref="F142">INDEX('起きあがり'!$J$3:$M$115, MATCH($A$1,'起きあがり'!$A$3:$A$115,0), MATCH(F129,'起きあがり'!$J$2:$AD$2,0))</f>
        <v>7</v>
      </c>
      <c r="G142" s="518">
        <f t="shared" ref="G142:G143" si="1">F142*1.2</f>
        <v>8.4</v>
      </c>
      <c r="H142" s="228"/>
      <c r="I142" s="228"/>
      <c r="J142" s="111"/>
      <c r="K142" s="156"/>
      <c r="L142" s="303" t="str">
        <f>'テンプレート'!L129</f>
        <v>下投げ</v>
      </c>
      <c r="M142" s="113" t="str">
        <f t="array" ref="M142">INDEX('アイテム'!$Y$3:$Z$115, MATCH($A$1,'アイテム'!$A$3:$A$115,0), MATCH(M$132,'アイテム'!$Y$2:$AK$2,0))</f>
        <v>7</v>
      </c>
      <c r="N142" s="113">
        <f t="array" ref="N142">INDEX('アイテム'!$Y$3:$Z$115, MATCH($A$1,'アイテム'!$A$3:$A$115,0), MATCH(N$132,'アイテム'!$Y$2:$AK$2,0))</f>
        <v>19</v>
      </c>
      <c r="O142" s="111"/>
      <c r="P142" s="111"/>
      <c r="Q142" s="111"/>
      <c r="R142" s="111"/>
      <c r="S142" s="111"/>
      <c r="T142" s="111"/>
      <c r="U142" s="111"/>
      <c r="V142" s="111"/>
    </row>
    <row r="143" outlineLevel="1">
      <c r="A143" s="156"/>
      <c r="B143" s="311" t="s">
        <v>250</v>
      </c>
      <c r="C143" s="107"/>
      <c r="D143" s="107"/>
      <c r="E143" s="2540" t="str">
        <f t="array" ref="E143">INDEX('起きあがり'!$N$3:$O$115, MATCH($A$1,'起きあがり'!$A$3:$A$115,0), MATCH(E129,'起きあがり'!$N$2:$AD$2,0))</f>
        <v>25-26</v>
      </c>
      <c r="F143" s="2541">
        <f t="array" ref="F143">INDEX('起きあがり'!$N$3:$O$115, MATCH($A$1,'起きあがり'!$A$3:$A$115,0), MATCH(F129,'起きあがり'!$N$2:$AD$2,0))</f>
        <v>7</v>
      </c>
      <c r="G143" s="518">
        <f t="shared" si="1"/>
        <v>8.4</v>
      </c>
      <c r="H143" s="228"/>
      <c r="I143" s="228"/>
      <c r="J143" s="111"/>
      <c r="K143" s="312" t="str">
        <f>'テンプレート'!K130</f>
        <v>踏み台ジャンプ</v>
      </c>
      <c r="L143" s="168"/>
      <c r="M143" s="298" t="str">
        <f>'テンプレート'!M130</f>
        <v>全体フレーム</v>
      </c>
      <c r="N143" s="114"/>
      <c r="O143" s="111"/>
      <c r="P143" s="111"/>
      <c r="Q143" s="111"/>
      <c r="R143" s="111"/>
      <c r="S143" s="111"/>
      <c r="T143" s="111"/>
      <c r="U143" s="111"/>
      <c r="V143" s="111"/>
    </row>
    <row r="144" outlineLevel="1">
      <c r="A144" s="299" t="s">
        <v>251</v>
      </c>
      <c r="B144" s="300" t="s">
        <v>248</v>
      </c>
      <c r="C144" s="1162"/>
      <c r="D144" s="2540" t="str">
        <f t="array" ref="D144">INDEX('起きあがり'!$C$3:$C137, MATCH($A$1,'起きあがり'!$A$3:$A$115,0), MATCH(D129,'起きあがり'!$C$2,0))</f>
        <v>25</v>
      </c>
      <c r="E144" s="1162"/>
      <c r="F144" s="1162"/>
      <c r="G144" s="1162"/>
      <c r="H144" s="228"/>
      <c r="I144" s="228"/>
      <c r="J144" s="117"/>
      <c r="K144" s="313" t="str">
        <f>'テンプレート'!K131</f>
        <v>踏み</v>
      </c>
      <c r="L144" s="314" t="str">
        <f>'テンプレート'!L131</f>
        <v>踏み</v>
      </c>
      <c r="M144" s="113" t="str">
        <f t="array" ref="M144">INDEX('共通動作その他'!$C$3:$C$102, MATCH($A$1,'共通動作その他'!$A$3:$A$102,0), MATCH(M$143,'共通動作その他'!$C$2:$AA$2,0))</f>
        <v>-</v>
      </c>
      <c r="N144" s="315"/>
      <c r="O144" s="111"/>
      <c r="P144" s="111"/>
      <c r="Q144" s="111"/>
      <c r="R144" s="111"/>
      <c r="S144" s="111"/>
      <c r="T144" s="111"/>
      <c r="U144" s="111"/>
      <c r="V144" s="111"/>
    </row>
    <row r="145" outlineLevel="1">
      <c r="A145" s="146"/>
      <c r="B145" s="300" t="s">
        <v>216</v>
      </c>
      <c r="C145" s="2540" t="str">
        <f t="array" ref="C145">INDEX('起きあがり'!$P$3:$Q$115, MATCH($A$1,'起きあがり'!$A$3:$A$115,0), MATCH(C129,'起きあがり'!$P$2:$AD$2,0))</f>
        <v>1-22</v>
      </c>
      <c r="D145" s="2541">
        <f t="array" ref="D145">INDEX('起きあがり'!$P$3:$Q$115, MATCH($A$1,'起きあがり'!$A$3:$A$115,0), MATCH(D129,'起きあがり'!$P$2:$AD$2,0))</f>
        <v>29</v>
      </c>
      <c r="E145" s="1162"/>
      <c r="F145" s="1162"/>
      <c r="G145" s="1162"/>
      <c r="H145" s="228"/>
      <c r="I145" s="228"/>
      <c r="J145" s="111"/>
      <c r="K145" s="305" t="str">
        <f>'テンプレート'!K132</f>
        <v>踏まれ</v>
      </c>
      <c r="L145" s="314" t="str">
        <f>'テンプレート'!L132</f>
        <v>地上踏まれ</v>
      </c>
      <c r="M145" s="113" t="str">
        <f t="array" ref="M145">INDEX('共通動作その他'!$D$3:$D$102, MATCH($A$1,'共通動作その他'!$A$3:$A$102,0), MATCH(M$143,'共通動作その他'!$D$2:$AA$2,0))</f>
        <v>{oldValue=-}</v>
      </c>
      <c r="N145" s="315"/>
      <c r="O145" s="228"/>
      <c r="P145" s="228"/>
      <c r="Q145" s="228"/>
      <c r="R145" s="228"/>
      <c r="S145" s="228"/>
      <c r="T145" s="228"/>
      <c r="U145" s="228"/>
      <c r="V145" s="228"/>
    </row>
    <row r="146" outlineLevel="1">
      <c r="A146" s="146"/>
      <c r="B146" s="300" t="s">
        <v>245</v>
      </c>
      <c r="C146" s="2540" t="str">
        <f t="array" ref="C146">INDEX('起きあがり'!$R$3:$S$115, MATCH($A$1,'起きあがり'!$A$3:$A$115,0), MATCH(C129,'起きあがり'!$R$2:$AD$2,0))</f>
        <v>1-19</v>
      </c>
      <c r="D146" s="2541">
        <f t="array" ref="D146">INDEX('起きあがり'!$R$3:$S$115, MATCH($A$1,'起きあがり'!$A$3:$A$115,0), MATCH(D129,'起きあがり'!$R$2:$AD$2,0))</f>
        <v>35</v>
      </c>
      <c r="E146" s="1162"/>
      <c r="F146" s="1162"/>
      <c r="G146" s="1162"/>
      <c r="H146" s="228"/>
      <c r="I146" s="228"/>
      <c r="J146" s="117"/>
      <c r="K146" s="146"/>
      <c r="L146" s="314" t="str">
        <f>'テンプレート'!L133</f>
        <v>地上硬直</v>
      </c>
      <c r="M146" s="113" t="str">
        <f t="array" ref="M146">INDEX('共通動作その他'!$E$3:$E$102, MATCH($A$1,'共通動作その他'!$A$3:$A$102,0), MATCH(M$143,'共通動作その他'!$E$2:$AA$2,0))</f>
        <v>-</v>
      </c>
      <c r="N146" s="102"/>
      <c r="O146" s="118"/>
      <c r="P146" s="118"/>
      <c r="Q146" s="118"/>
      <c r="R146" s="118"/>
      <c r="S146" s="118"/>
      <c r="T146" s="118"/>
      <c r="U146" s="118"/>
      <c r="V146" s="118"/>
    </row>
    <row r="147" outlineLevel="1">
      <c r="A147" s="146"/>
      <c r="B147" s="300" t="s">
        <v>246</v>
      </c>
      <c r="C147" s="2540" t="str">
        <f t="array" ref="C147">INDEX('起きあがり'!$T$3:$U$115, MATCH($A$1,'起きあがり'!$A$3:$A$115,0), MATCH(C129,'起きあがり'!$T$2:$AD$2,0))</f>
        <v>1-24</v>
      </c>
      <c r="D147" s="2541">
        <f t="array" ref="D147">INDEX('起きあがり'!$T$3:$U$115, MATCH($A$1,'起きあがり'!$A$3:$A$115,0), MATCH(D129,'起きあがり'!$T$2:$AD$2,0))</f>
        <v>35</v>
      </c>
      <c r="E147" s="1162"/>
      <c r="F147" s="1162"/>
      <c r="G147" s="1162"/>
      <c r="H147" s="228"/>
      <c r="I147" s="228"/>
      <c r="J147" s="111"/>
      <c r="K147" s="146"/>
      <c r="L147" s="314" t="str">
        <f>'テンプレート'!L134</f>
        <v>空中踏まれ</v>
      </c>
      <c r="M147" s="113" t="str">
        <f t="array" ref="M147">INDEX('共通動作その他'!$F$3:$F$102, MATCH($A$1,'共通動作その他'!$A$3:$A$102,0), MATCH(M$143,'共通動作その他'!$F$2:$AA$2,0))</f>
        <v>-</v>
      </c>
      <c r="N147" s="102"/>
      <c r="O147" s="118"/>
      <c r="P147" s="118"/>
      <c r="Q147" s="118"/>
      <c r="R147" s="118"/>
      <c r="S147" s="118"/>
      <c r="T147" s="118"/>
      <c r="U147" s="118"/>
      <c r="V147" s="118"/>
    </row>
    <row r="148" outlineLevel="1">
      <c r="A148" s="146"/>
      <c r="B148" s="300" t="s">
        <v>249</v>
      </c>
      <c r="C148" s="2542" t="str">
        <f t="array" ref="C148">INDEX('起きあがり'!$V$3:$Y$115, MATCH($A$1,'起きあがり'!$A$3:$A$115,0), MATCH(C129,'起きあがり'!$V$2:$AD$2,0))</f>
        <v>1-26</v>
      </c>
      <c r="D148" s="2543">
        <f t="array" ref="D148">INDEX('起きあがり'!$V$3:$Y$115, MATCH($A$1,'起きあがり'!$A$3:$A$115,0), MATCH(D129,'起きあがり'!$V$2:$AD$2,0))</f>
        <v>45</v>
      </c>
      <c r="E148" s="2540" t="str">
        <f t="array" ref="E148">INDEX('起きあがり'!$V$3:$Y$115, MATCH($A$1,'起きあがり'!$A$3:$A$115,0), MATCH(E129,'起きあがり'!$V$2:$AD$2,0))</f>
        <v>15-16</v>
      </c>
      <c r="F148" s="2541">
        <f t="array" ref="F148">INDEX('起きあがり'!$V$3:$Y$115, MATCH($A$1,'起きあがり'!$A$3:$A$115,0), MATCH(F129,'起きあがり'!$V$2:$AD$2,0))</f>
        <v>7</v>
      </c>
      <c r="G148" s="518">
        <f t="shared" ref="G148:G149" si="2">F148*1.2</f>
        <v>8.4</v>
      </c>
      <c r="H148" s="228"/>
      <c r="I148" s="228"/>
      <c r="J148" s="117"/>
      <c r="K148" s="146"/>
      <c r="L148" s="314" t="str">
        <f>'テンプレート'!L135</f>
        <v>空中落下</v>
      </c>
      <c r="M148" s="113" t="str">
        <f t="array" ref="M148">INDEX('共通動作その他'!$G$3:$G$102, MATCH($A$1,'共通動作その他'!$A$3:$A$102,0), MATCH(M$143,'共通動作その他'!$G$2:$AA$2,0))</f>
        <v>-</v>
      </c>
      <c r="N148" s="102"/>
      <c r="O148" s="118"/>
      <c r="P148" s="118"/>
      <c r="Q148" s="118"/>
      <c r="R148" s="118"/>
      <c r="S148" s="118"/>
      <c r="T148" s="118"/>
      <c r="U148" s="118"/>
      <c r="V148" s="118"/>
    </row>
    <row r="149" outlineLevel="1">
      <c r="A149" s="156"/>
      <c r="B149" s="311" t="s">
        <v>250</v>
      </c>
      <c r="C149" s="107"/>
      <c r="D149" s="107"/>
      <c r="E149" s="2540" t="str">
        <f t="array" ref="E149">INDEX('起きあがり'!$Z$3:$AA$115, MATCH($A$1,'起きあがり'!$A$3:$A$115,0), MATCH(E129,'起きあがり'!$Z$2:$AD$2,0))</f>
        <v>25-26</v>
      </c>
      <c r="F149" s="2541">
        <f t="array" ref="F149">INDEX('起きあがり'!$Z$3:$AA$115, MATCH($A$1,'起きあがり'!$A$3:$A$115,0), MATCH(F129,'起きあがり'!$Z$2:$AD$2,0))</f>
        <v>7</v>
      </c>
      <c r="G149" s="518">
        <f t="shared" si="2"/>
        <v>8.4</v>
      </c>
      <c r="H149" s="228"/>
      <c r="I149" s="228"/>
      <c r="J149" s="117"/>
      <c r="K149" s="304" t="str">
        <f>'テンプレート'!K136</f>
        <v>倒れダメージ</v>
      </c>
      <c r="L149" s="110"/>
      <c r="M149" s="298" t="str">
        <f>'テンプレート'!M136</f>
        <v>全体フレーム</v>
      </c>
      <c r="N149" s="102"/>
      <c r="O149" s="118"/>
      <c r="P149" s="118"/>
      <c r="Q149" s="118"/>
      <c r="R149" s="118"/>
      <c r="S149" s="118"/>
      <c r="T149" s="118"/>
      <c r="U149" s="118"/>
      <c r="V149" s="118"/>
    </row>
    <row r="150" outlineLevel="1">
      <c r="A150" s="299" t="s">
        <v>252</v>
      </c>
      <c r="B150" s="300" t="s">
        <v>253</v>
      </c>
      <c r="C150" s="2540" t="str">
        <f t="array" ref="C150">INDEX('転倒'!$C$3:$D137, MATCH($A$1,'転倒'!$A$3:$A$115,0), MATCH(C129,'転倒'!$C$2:$AC$2,0))</f>
        <v>1-5</v>
      </c>
      <c r="D150" s="2541">
        <f t="array" ref="D150">INDEX('転倒'!$C$3:$D137, MATCH($A$1,'転倒'!$A$3:$A$115,0), MATCH(D129,'転倒'!$C$2:$AC$2,0))</f>
        <v>29</v>
      </c>
      <c r="E150" s="1162"/>
      <c r="F150" s="1162"/>
      <c r="G150" s="1162"/>
      <c r="H150" s="228"/>
      <c r="I150" s="228"/>
      <c r="J150" s="111"/>
      <c r="K150" s="313" t="str">
        <f>'テンプレート'!K137</f>
        <v>あお向け倒れ</v>
      </c>
      <c r="L150" s="306" t="str">
        <f>'テンプレート'!L137</f>
        <v>モーション大</v>
      </c>
      <c r="M150" s="113" t="str">
        <f t="array" ref="M150">INDEX('共通動作その他'!$H$3:$H$102, MATCH($A$1,'共通動作その他'!$A$3:$A$102,0), MATCH(M$149,'共通動作その他'!$H$2:$AA$2,0))</f>
        <v>-</v>
      </c>
      <c r="N150" s="315"/>
      <c r="O150" s="118"/>
      <c r="P150" s="118"/>
      <c r="Q150" s="118"/>
      <c r="R150" s="118"/>
      <c r="S150" s="118"/>
      <c r="T150" s="118"/>
      <c r="U150" s="118"/>
      <c r="V150" s="118"/>
    </row>
    <row r="151" outlineLevel="1">
      <c r="A151" s="146"/>
      <c r="B151" s="300" t="s">
        <v>254</v>
      </c>
      <c r="C151" s="2540" t="str">
        <f t="array" ref="C151">INDEX('転倒'!$E$3:$F137, MATCH($A$1,'転倒'!$A$3:$A$115,0), MATCH(C129,'転倒'!$E$2:$AC$2,0))</f>
        <v>1-5</v>
      </c>
      <c r="D151" s="2541">
        <f t="array" ref="D151">INDEX('転倒'!$E$3:$F137, MATCH($A$1,'転倒'!$A$3:$A$115,0), MATCH(D129,'転倒'!$E$2:$AC$2,0))</f>
        <v>39</v>
      </c>
      <c r="E151" s="1162"/>
      <c r="F151" s="1162"/>
      <c r="G151" s="1162"/>
      <c r="H151" s="228"/>
      <c r="I151" s="228"/>
      <c r="J151" s="117"/>
      <c r="K151" s="313" t="str">
        <f>'テンプレート'!K138</f>
        <v>うつ伏せ倒れ</v>
      </c>
      <c r="L151" s="306" t="str">
        <f>'テンプレート'!L138</f>
        <v>モーション大</v>
      </c>
      <c r="M151" s="113" t="str">
        <f t="array" ref="M151">INDEX('共通動作その他'!$I$3:$I$102, MATCH($A$1,'共通動作その他'!$A$3:$A$102,0), MATCH(M$149,'共通動作その他'!$I$2:$AA$2,0))</f>
        <v>-</v>
      </c>
      <c r="N151" s="315"/>
      <c r="O151" s="118"/>
      <c r="P151" s="118"/>
      <c r="Q151" s="118"/>
      <c r="R151" s="118"/>
      <c r="S151" s="118"/>
      <c r="T151" s="118"/>
      <c r="U151" s="118"/>
      <c r="V151" s="118"/>
    </row>
    <row r="152" outlineLevel="1">
      <c r="A152" s="146"/>
      <c r="B152" s="300" t="s">
        <v>216</v>
      </c>
      <c r="C152" s="2540" t="str">
        <f t="array" ref="C152">INDEX('転倒'!$G$3:$H$115, MATCH($A$1,'転倒'!$A$3:$A$115,0), MATCH(C129,'転倒'!$G$2:$AC$2,0))</f>
        <v>1-16</v>
      </c>
      <c r="D152" s="2541">
        <f t="array" ref="D152">INDEX('転倒'!$G$3:$H$115, MATCH($A$1,'転倒'!$A$3:$A$115,0), MATCH(D129,'転倒'!$G$2:$AC$2,0))</f>
        <v>21</v>
      </c>
      <c r="E152" s="1162"/>
      <c r="F152" s="1162"/>
      <c r="G152" s="1162"/>
      <c r="H152" s="228"/>
      <c r="I152" s="228"/>
      <c r="J152" s="111"/>
      <c r="K152" s="304" t="str">
        <f>'テンプレート'!K139</f>
        <v/>
      </c>
      <c r="L152" s="110"/>
      <c r="M152" s="298" t="str">
        <f>'テンプレート'!M139</f>
        <v/>
      </c>
      <c r="N152" s="102"/>
      <c r="O152" s="118"/>
      <c r="P152" s="118"/>
      <c r="Q152" s="118"/>
      <c r="R152" s="118"/>
      <c r="S152" s="118"/>
      <c r="T152" s="118"/>
      <c r="U152" s="118"/>
      <c r="V152" s="118"/>
    </row>
    <row r="153" outlineLevel="1">
      <c r="A153" s="146"/>
      <c r="B153" s="300" t="s">
        <v>245</v>
      </c>
      <c r="C153" s="2540" t="str">
        <f t="array" ref="C153">INDEX('転倒'!$I$3:$J$115, MATCH($A$1,'転倒'!$A$3:$A$115,0), MATCH(C129,'転倒'!$I$2:$AC$2,0))</f>
        <v>1-9</v>
      </c>
      <c r="D153" s="2541">
        <f t="array" ref="D153">INDEX('転倒'!$I$3:$J$115, MATCH($A$1,'転倒'!$A$3:$A$115,0), MATCH(D129,'転倒'!$I$2:$AC$2,0))</f>
        <v>28</v>
      </c>
      <c r="E153" s="1162"/>
      <c r="F153" s="1162"/>
      <c r="G153" s="1162"/>
      <c r="H153" s="228"/>
      <c r="I153" s="228"/>
      <c r="J153" s="228"/>
      <c r="K153" s="316" t="str">
        <f>'テンプレート'!K140</f>
        <v/>
      </c>
      <c r="L153" s="317" t="str">
        <f>'テンプレート'!L140</f>
        <v/>
      </c>
      <c r="M153" s="113" t="str">
        <f t="array" ref="M153">INDEX('共通動作その他'!$J$3:$J$102, MATCH($A$1,'共通動作その他'!$A$3:$A$102,0), MATCH(M$152,'共通動作その他'!$J$2:$AA$2,0))</f>
        <v>#N/A</v>
      </c>
      <c r="N153" s="102"/>
      <c r="O153" s="118"/>
      <c r="P153" s="118"/>
      <c r="Q153" s="118"/>
      <c r="R153" s="118"/>
      <c r="S153" s="118"/>
      <c r="T153" s="118"/>
      <c r="U153" s="118"/>
      <c r="V153" s="118"/>
    </row>
    <row r="154" outlineLevel="1">
      <c r="A154" s="146"/>
      <c r="B154" s="300" t="s">
        <v>246</v>
      </c>
      <c r="C154" s="2540" t="str">
        <f t="array" ref="C154">INDEX('転倒'!$K$3:$L$115, MATCH($A$1,'転倒'!$A$3:$A$115,0), MATCH(C129,'転倒'!$K$2:$AC$2,0))</f>
        <v>1-9</v>
      </c>
      <c r="D154" s="2541">
        <f t="array" ref="D154">INDEX('転倒'!$K$3:$L$115, MATCH($A$1,'転倒'!$A$3:$A$115,0), MATCH(D129,'転倒'!$K$2:$AC$2,0))</f>
        <v>28</v>
      </c>
      <c r="E154" s="1162"/>
      <c r="F154" s="1162"/>
      <c r="G154" s="1162"/>
      <c r="H154" s="228"/>
      <c r="I154" s="228"/>
      <c r="J154" s="228"/>
      <c r="K154" s="102"/>
      <c r="L154" s="118"/>
      <c r="M154" s="118"/>
      <c r="N154" s="102"/>
      <c r="O154" s="118"/>
      <c r="P154" s="118"/>
      <c r="Q154" s="118"/>
      <c r="R154" s="118"/>
      <c r="S154" s="118"/>
      <c r="T154" s="118"/>
      <c r="U154" s="118"/>
      <c r="V154" s="118"/>
    </row>
    <row r="155" outlineLevel="1">
      <c r="A155" s="146"/>
      <c r="B155" s="300" t="s">
        <v>249</v>
      </c>
      <c r="C155" s="2542" t="str">
        <f t="array" ref="C155">INDEX('転倒'!$M$3:$P$115, MATCH($A$1,'転倒'!$A$3:$A$115,0), MATCH(C129,'転倒'!$M$2:$AC$2,0))</f>
        <v>1-7</v>
      </c>
      <c r="D155" s="2543">
        <f t="array" ref="D155">INDEX('転倒'!$M$3:$P$115, MATCH($A$1,'転倒'!$A$3:$A$115,0), MATCH(D129,'転倒'!$M$2:$AC$2,0))</f>
        <v>49</v>
      </c>
      <c r="E155" s="2540" t="str">
        <f t="array" ref="E155">INDEX('転倒'!$M$3:$P$115, MATCH($A$1,'転倒'!$A$3:$A$115,0), MATCH(E129,'転倒'!$M$2:$AC$2,0))</f>
        <v>19-20</v>
      </c>
      <c r="F155" s="2541">
        <f t="array" ref="F155">INDEX('転倒'!$M$3:$P$115, MATCH($A$1,'転倒'!$A$3:$A$115,0), MATCH(F129,'転倒'!$M$2:$AC$2,0))</f>
        <v>5</v>
      </c>
      <c r="G155" s="518">
        <f t="shared" ref="G155:G156" si="3">F155*1.2</f>
        <v>6</v>
      </c>
      <c r="H155" s="228"/>
      <c r="I155" s="228"/>
      <c r="J155" s="228"/>
      <c r="K155" s="118"/>
      <c r="L155" s="118"/>
      <c r="M155" s="118"/>
      <c r="N155" s="102"/>
      <c r="O155" s="102"/>
      <c r="P155" s="102"/>
      <c r="Q155" s="102"/>
      <c r="R155" s="118"/>
      <c r="S155" s="118"/>
      <c r="T155" s="118"/>
      <c r="U155" s="118"/>
      <c r="V155" s="118"/>
    </row>
    <row r="156" outlineLevel="1">
      <c r="A156" s="156"/>
      <c r="B156" s="311" t="s">
        <v>250</v>
      </c>
      <c r="C156" s="107"/>
      <c r="D156" s="107"/>
      <c r="E156" s="2540" t="str">
        <f t="array" ref="E156">INDEX('転倒'!$Q$3:$R$115, MATCH($A$1,'転倒'!$A$3:$A$115,0), MATCH(E129,'転倒'!$Q$2:$AC$2,0))</f>
        <v>31-32</v>
      </c>
      <c r="F156" s="2541">
        <f t="array" ref="F156">INDEX('転倒'!$Q$3:$R$115, MATCH($A$1,'転倒'!$A$3:$A$115,0), MATCH(F129,'転倒'!$Q$2:$AC$2,0))</f>
        <v>5</v>
      </c>
      <c r="G156" s="518">
        <f t="shared" si="3"/>
        <v>6</v>
      </c>
      <c r="H156" s="228"/>
      <c r="I156" s="228"/>
      <c r="J156" s="228"/>
      <c r="K156" s="118"/>
      <c r="L156" s="118"/>
      <c r="M156" s="118"/>
      <c r="N156" s="102"/>
      <c r="O156" s="102"/>
      <c r="P156" s="102"/>
      <c r="Q156" s="102"/>
      <c r="R156" s="118"/>
      <c r="S156" s="118"/>
      <c r="T156" s="118"/>
      <c r="U156" s="118"/>
      <c r="V156" s="118"/>
    </row>
    <row r="157" outlineLevel="1">
      <c r="A157" s="319"/>
      <c r="B157" s="320"/>
      <c r="C157" s="321"/>
      <c r="D157" s="321"/>
      <c r="E157" s="2544"/>
      <c r="F157" s="2545"/>
      <c r="G157" s="2546"/>
      <c r="H157" s="228"/>
      <c r="I157" s="228"/>
      <c r="J157" s="228"/>
      <c r="K157" s="118"/>
      <c r="L157" s="118"/>
      <c r="M157" s="118"/>
      <c r="N157" s="102"/>
      <c r="O157" s="102"/>
      <c r="P157" s="102"/>
      <c r="Q157" s="102"/>
      <c r="R157" s="118"/>
      <c r="S157" s="118"/>
      <c r="T157" s="118"/>
      <c r="U157" s="118"/>
      <c r="V157" s="118"/>
    </row>
    <row r="158" outlineLevel="1">
      <c r="A158" s="323" t="s">
        <v>255</v>
      </c>
      <c r="B158" s="109"/>
      <c r="C158" s="321"/>
      <c r="D158" s="321"/>
      <c r="E158" s="2544"/>
      <c r="F158" s="2545"/>
      <c r="G158" s="2546"/>
      <c r="H158" s="228"/>
      <c r="I158" s="228"/>
      <c r="J158" s="228"/>
      <c r="K158" s="118"/>
      <c r="L158" s="118"/>
      <c r="M158" s="118"/>
      <c r="N158" s="102"/>
      <c r="O158" s="102"/>
      <c r="P158" s="102"/>
      <c r="Q158" s="102"/>
      <c r="R158" s="118"/>
      <c r="S158" s="118"/>
      <c r="T158" s="118"/>
      <c r="U158" s="118"/>
      <c r="V158" s="118"/>
    </row>
    <row r="159" outlineLevel="1">
      <c r="A159" s="324" t="s">
        <v>256</v>
      </c>
      <c r="B159" s="109"/>
      <c r="C159" s="325" t="s">
        <v>257</v>
      </c>
      <c r="D159" s="325" t="s">
        <v>49</v>
      </c>
      <c r="E159" s="2544"/>
      <c r="F159" s="2545"/>
      <c r="G159" s="2546"/>
      <c r="H159" s="228"/>
      <c r="I159" s="228"/>
      <c r="J159" s="228"/>
      <c r="K159" s="118"/>
      <c r="L159" s="118"/>
      <c r="M159" s="118"/>
      <c r="N159" s="102"/>
      <c r="O159" s="102"/>
      <c r="P159" s="102"/>
      <c r="Q159" s="102"/>
      <c r="R159" s="118"/>
      <c r="S159" s="118"/>
      <c r="T159" s="118"/>
      <c r="U159" s="118"/>
      <c r="V159" s="118"/>
    </row>
    <row r="160" outlineLevel="1">
      <c r="A160" s="326" t="s">
        <v>258</v>
      </c>
      <c r="B160" s="327" t="s">
        <v>216</v>
      </c>
      <c r="C160" s="328" t="str">
        <f t="array" ref="C160">INDEX('アイテム'!$C$3:$D$114, MATCH($A$1,'アイテム'!$A$3:$A$114,0), MATCH(C159,'アイテム'!$C$2:$AQ$2,0))</f>
        <v>2</v>
      </c>
      <c r="D160" s="328">
        <f t="array" ref="D160">INDEX('アイテム'!$C$3:$D$114, MATCH($A$1,'アイテム'!$A$3:$A$114,0), MATCH(D159,'アイテム'!$C$2:$AQ$2,0))</f>
        <v>7</v>
      </c>
      <c r="E160" s="2544"/>
      <c r="F160" s="2545"/>
      <c r="G160" s="2546"/>
      <c r="H160" s="228"/>
      <c r="I160" s="228"/>
      <c r="J160" s="228"/>
      <c r="K160" s="118"/>
      <c r="L160" s="118"/>
      <c r="M160" s="118"/>
      <c r="N160" s="102"/>
      <c r="O160" s="102"/>
      <c r="P160" s="102"/>
      <c r="Q160" s="102"/>
      <c r="R160" s="118"/>
      <c r="S160" s="118"/>
      <c r="T160" s="118"/>
      <c r="U160" s="118"/>
      <c r="V160" s="118"/>
    </row>
    <row r="161" outlineLevel="1">
      <c r="A161" s="156"/>
      <c r="B161" s="327" t="s">
        <v>219</v>
      </c>
      <c r="C161" s="328" t="str">
        <f t="array" ref="C161">INDEX('アイテム'!$E$3:$F$114, MATCH($A$1,'アイテム'!$A$3:$A$114,0), MATCH(C159,'アイテム'!$C$2:$AQ$2,0))</f>
        <v>2</v>
      </c>
      <c r="D161" s="328">
        <f t="array" ref="D161">INDEX('アイテム'!$E$3:$F$114, MATCH($A$1,'アイテム'!$A$3:$A$114,0), MATCH(D159,'アイテム'!$C$2:$AQ$2,0))</f>
        <v>19</v>
      </c>
      <c r="E161" s="2544"/>
      <c r="F161" s="2545"/>
      <c r="G161" s="2546"/>
      <c r="H161" s="228"/>
      <c r="I161" s="228"/>
      <c r="J161" s="228"/>
      <c r="K161" s="118"/>
      <c r="L161" s="118"/>
      <c r="M161" s="118"/>
      <c r="N161" s="102"/>
      <c r="O161" s="102"/>
      <c r="P161" s="102"/>
      <c r="Q161" s="102"/>
      <c r="R161" s="118"/>
      <c r="S161" s="118"/>
      <c r="T161" s="118"/>
      <c r="U161" s="118"/>
      <c r="V161" s="118"/>
    </row>
    <row r="162" outlineLevel="1">
      <c r="A162" s="329" t="s">
        <v>259</v>
      </c>
      <c r="B162" s="327" t="s">
        <v>216</v>
      </c>
      <c r="C162" s="328">
        <f t="array" ref="C162">INDEX('アイテム'!$AA$3:$AB$114, MATCH($A$1,'アイテム'!$A$3:$A$114,0), MATCH(C159,'アイテム'!$C$2:$AQ$2,0))</f>
        <v>3</v>
      </c>
      <c r="D162" s="328" t="str">
        <f t="array" ref="D162">INDEX('アイテム'!$AA$3:$AB$114, MATCH($A$1,'アイテム'!$A$3:$A$114,0), MATCH(D159,'アイテム'!$C$2:$AQ$2,0))</f>
        <v>12</v>
      </c>
      <c r="E162" s="2544"/>
      <c r="F162" s="2545"/>
      <c r="G162" s="2546"/>
      <c r="H162" s="228"/>
      <c r="I162" s="228"/>
      <c r="J162" s="228"/>
      <c r="K162" s="118"/>
      <c r="L162" s="118"/>
      <c r="M162" s="118"/>
      <c r="N162" s="102"/>
      <c r="O162" s="102"/>
      <c r="P162" s="102"/>
      <c r="Q162" s="102"/>
      <c r="R162" s="118"/>
      <c r="S162" s="118"/>
      <c r="T162" s="118"/>
      <c r="U162" s="118"/>
      <c r="V162" s="118"/>
    </row>
    <row r="163" outlineLevel="1">
      <c r="A163" s="324" t="s">
        <v>260</v>
      </c>
      <c r="B163" s="109"/>
      <c r="C163" s="325" t="s">
        <v>261</v>
      </c>
      <c r="D163" s="325" t="s">
        <v>49</v>
      </c>
      <c r="E163" s="2544"/>
      <c r="F163" s="2545"/>
      <c r="G163" s="2546"/>
      <c r="H163" s="228"/>
      <c r="I163" s="228"/>
      <c r="J163" s="228"/>
      <c r="K163" s="118"/>
      <c r="L163" s="118"/>
      <c r="M163" s="118"/>
      <c r="N163" s="102"/>
      <c r="O163" s="102"/>
      <c r="P163" s="102"/>
      <c r="Q163" s="102"/>
      <c r="R163" s="118"/>
      <c r="S163" s="118"/>
      <c r="T163" s="118"/>
      <c r="U163" s="118"/>
      <c r="V163" s="118"/>
    </row>
    <row r="164" outlineLevel="1">
      <c r="A164" s="326" t="s">
        <v>262</v>
      </c>
      <c r="B164" s="327" t="s">
        <v>226</v>
      </c>
      <c r="C164" s="328" t="str">
        <f t="array" ref="C164">INDEX('アイテム'!$G$3:$H$114, MATCH($A$1,'アイテム'!$A$3:$A$114,0), MATCH(C159,'アイテム'!$C$2:$AQ$2,0))</f>
        <v>8</v>
      </c>
      <c r="D164" s="328">
        <f t="array" ref="D164">INDEX('アイテム'!$G$3:$H$114, MATCH($A$1,'アイテム'!$A$3:$A$114,0), MATCH(D159,'アイテム'!$C$2:$AQ$2,0))</f>
        <v>24</v>
      </c>
      <c r="E164" s="2544"/>
      <c r="F164" s="2545"/>
      <c r="G164" s="2546"/>
      <c r="H164" s="228"/>
      <c r="I164" s="228"/>
      <c r="J164" s="228"/>
      <c r="K164" s="118"/>
      <c r="L164" s="118"/>
      <c r="M164" s="118"/>
      <c r="N164" s="102"/>
      <c r="O164" s="102"/>
      <c r="P164" s="102"/>
      <c r="Q164" s="102"/>
      <c r="R164" s="118"/>
      <c r="S164" s="118"/>
      <c r="T164" s="118"/>
      <c r="U164" s="118"/>
      <c r="V164" s="118"/>
    </row>
    <row r="165" outlineLevel="1">
      <c r="A165" s="146"/>
      <c r="B165" s="327" t="s">
        <v>229</v>
      </c>
      <c r="C165" s="328" t="str">
        <f t="array" ref="C165">INDEX('アイテム'!$I$3:$J$114, MATCH($A$1,'アイテム'!$A$3:$A$114,0), MATCH(C159,'アイテム'!$C$2:$AQ$2,0))</f>
        <v>11</v>
      </c>
      <c r="D165" s="328">
        <f t="array" ref="D165">INDEX('アイテム'!$I$3:$J$114, MATCH($A$1,'アイテム'!$A$3:$A$114,0), MATCH(D159,'アイテム'!$C$2:$AQ$2,0))</f>
        <v>24</v>
      </c>
      <c r="E165" s="2544"/>
      <c r="F165" s="2545"/>
      <c r="G165" s="2546"/>
      <c r="H165" s="228"/>
      <c r="I165" s="228"/>
      <c r="J165" s="228"/>
      <c r="K165" s="118"/>
      <c r="L165" s="118"/>
      <c r="M165" s="118"/>
      <c r="N165" s="102"/>
      <c r="O165" s="102"/>
      <c r="P165" s="102"/>
      <c r="Q165" s="102"/>
      <c r="R165" s="118"/>
      <c r="S165" s="118"/>
      <c r="T165" s="118"/>
      <c r="U165" s="118"/>
      <c r="V165" s="118"/>
    </row>
    <row r="166" outlineLevel="1">
      <c r="A166" s="146"/>
      <c r="B166" s="327" t="s">
        <v>233</v>
      </c>
      <c r="C166" s="328" t="str">
        <f t="array" ref="C166">INDEX('アイテム'!$K$3:$L$114, MATCH($A$1,'アイテム'!$A$3:$A$114,0), MATCH(C159,'アイテム'!$C$2:$AQ$2,0))</f>
        <v>12</v>
      </c>
      <c r="D166" s="328">
        <f t="array" ref="D166">INDEX('アイテム'!$K$3:$L$114, MATCH($A$1,'アイテム'!$A$3:$A$114,0), MATCH(D159,'アイテム'!$C$2:$AQ$2,0))</f>
        <v>23</v>
      </c>
      <c r="E166" s="2544"/>
      <c r="F166" s="2545"/>
      <c r="G166" s="2546"/>
      <c r="H166" s="228"/>
      <c r="I166" s="228"/>
      <c r="J166" s="228"/>
      <c r="K166" s="118"/>
      <c r="L166" s="118"/>
      <c r="M166" s="118"/>
      <c r="N166" s="102"/>
      <c r="O166" s="102"/>
      <c r="P166" s="102"/>
      <c r="Q166" s="102"/>
      <c r="R166" s="118"/>
      <c r="S166" s="118"/>
      <c r="T166" s="118"/>
      <c r="U166" s="118"/>
      <c r="V166" s="118"/>
    </row>
    <row r="167" outlineLevel="1">
      <c r="A167" s="146"/>
      <c r="B167" s="327" t="s">
        <v>234</v>
      </c>
      <c r="C167" s="328" t="str">
        <f t="array" ref="C167">INDEX('アイテム'!$M$3:$N$114, MATCH($A$1,'アイテム'!$A$3:$A$114,0), MATCH(C159,'アイテム'!$C$2:$AQ$2,0))</f>
        <v>7</v>
      </c>
      <c r="D167" s="328">
        <f t="array" ref="D167">INDEX('アイテム'!$M$3:$N$114, MATCH($A$1,'アイテム'!$A$3:$A$114,0), MATCH(D159,'アイテム'!$C$2:$AQ$2,0))</f>
        <v>19</v>
      </c>
      <c r="E167" s="2544"/>
      <c r="F167" s="2545"/>
      <c r="G167" s="2546"/>
      <c r="H167" s="228"/>
      <c r="I167" s="228"/>
      <c r="J167" s="228"/>
      <c r="K167" s="118"/>
      <c r="L167" s="118"/>
      <c r="M167" s="118"/>
      <c r="N167" s="102"/>
      <c r="O167" s="102"/>
      <c r="P167" s="102"/>
      <c r="Q167" s="102"/>
      <c r="R167" s="118"/>
      <c r="S167" s="118"/>
      <c r="T167" s="118"/>
      <c r="U167" s="118"/>
      <c r="V167" s="118"/>
    </row>
    <row r="168" outlineLevel="1">
      <c r="A168" s="146"/>
      <c r="B168" s="327" t="s">
        <v>219</v>
      </c>
      <c r="C168" s="328" t="str">
        <f t="array" ref="C168">INDEX('アイテム'!$O$3:$P$114, MATCH($A$1,'アイテム'!$A$3:$A$114,0), MATCH(C159,'アイテム'!$C$2:$AQ$2,0))</f>
        <v>5</v>
      </c>
      <c r="D168" s="328">
        <f t="array" ref="D168">INDEX('アイテム'!$O$3:$P$114, MATCH($A$1,'アイテム'!$A$3:$A$114,0), MATCH(D159,'アイテム'!$C$2:$AQ$2,0))</f>
        <v>29</v>
      </c>
      <c r="E168" s="2544"/>
      <c r="F168" s="2545"/>
      <c r="G168" s="2546"/>
      <c r="H168" s="228"/>
      <c r="I168" s="228"/>
      <c r="J168" s="228"/>
      <c r="K168" s="118"/>
      <c r="L168" s="118"/>
      <c r="M168" s="118"/>
      <c r="N168" s="102"/>
      <c r="O168" s="102"/>
      <c r="P168" s="102"/>
      <c r="Q168" s="102"/>
      <c r="R168" s="118"/>
      <c r="S168" s="118"/>
      <c r="T168" s="118"/>
      <c r="U168" s="118"/>
      <c r="V168" s="118"/>
    </row>
    <row r="169" outlineLevel="1">
      <c r="A169" s="156"/>
      <c r="B169" s="327" t="s">
        <v>263</v>
      </c>
      <c r="C169" s="328" t="str">
        <f t="array" ref="C169">INDEX('アイテム'!$Q$3:$R$114, MATCH($A$1,'アイテム'!$A$3:$A$114,0), MATCH(C159,'アイテム'!$C$2:$AQ$2,0))</f>
        <v>6</v>
      </c>
      <c r="D169" s="328">
        <f t="array" ref="D169">INDEX('アイテム'!$Q$3:$R$114, MATCH($A$1,'アイテム'!$A$3:$A$114,0), MATCH(D159,'アイテム'!$C$2:$AQ$2,0))</f>
        <v>23</v>
      </c>
      <c r="E169" s="2544"/>
      <c r="F169" s="2545"/>
      <c r="G169" s="2546"/>
      <c r="H169" s="228"/>
      <c r="I169" s="228"/>
      <c r="J169" s="228"/>
      <c r="K169" s="118"/>
      <c r="L169" s="118"/>
      <c r="M169" s="118"/>
      <c r="N169" s="102"/>
      <c r="O169" s="102"/>
      <c r="P169" s="102"/>
      <c r="Q169" s="102"/>
      <c r="R169" s="118"/>
      <c r="S169" s="118"/>
      <c r="T169" s="118"/>
      <c r="U169" s="118"/>
      <c r="V169" s="118"/>
    </row>
    <row r="170" outlineLevel="1">
      <c r="A170" s="326" t="s">
        <v>264</v>
      </c>
      <c r="B170" s="327" t="s">
        <v>226</v>
      </c>
      <c r="C170" s="328" t="str">
        <f t="array" ref="C170">INDEX('アイテム'!$S$3:$T$114, MATCH($A$1,'アイテム'!$A$3:$A$114,0), MATCH(C159,'アイテム'!$C$2:$AQ$2,0))</f>
        <v>8</v>
      </c>
      <c r="D170" s="328">
        <f t="array" ref="D170">INDEX('アイテム'!$S$3:$T$114, MATCH($A$1,'アイテム'!$A$3:$A$114,0), MATCH(D159,'アイテム'!$C$2:$AQ$2,0))</f>
        <v>24</v>
      </c>
      <c r="E170" s="2544"/>
      <c r="F170" s="2545"/>
      <c r="G170" s="2546"/>
      <c r="H170" s="228"/>
      <c r="I170" s="228"/>
      <c r="J170" s="228"/>
      <c r="K170" s="118"/>
      <c r="L170" s="118"/>
      <c r="M170" s="118"/>
      <c r="N170" s="102"/>
      <c r="O170" s="102"/>
      <c r="P170" s="102"/>
      <c r="Q170" s="102"/>
      <c r="R170" s="118"/>
      <c r="S170" s="118"/>
      <c r="T170" s="118"/>
      <c r="U170" s="118"/>
      <c r="V170" s="118"/>
    </row>
    <row r="171" outlineLevel="1">
      <c r="A171" s="146"/>
      <c r="B171" s="327" t="s">
        <v>229</v>
      </c>
      <c r="C171" s="328" t="str">
        <f t="array" ref="C171">INDEX('アイテム'!$U$3:$V$114, MATCH($A$1,'アイテム'!$A$3:$A$114,0), MATCH(C159,'アイテム'!$C$2:$AQ$2,0))</f>
        <v>11</v>
      </c>
      <c r="D171" s="328">
        <f t="array" ref="D171">INDEX('アイテム'!$U$3:$V$114, MATCH($A$1,'アイテム'!$A$3:$A$114,0), MATCH(D159,'アイテム'!$C$2:$AQ$2,0))</f>
        <v>24</v>
      </c>
      <c r="E171" s="2544"/>
      <c r="F171" s="2545"/>
      <c r="G171" s="2546"/>
      <c r="H171" s="228"/>
      <c r="I171" s="228"/>
      <c r="J171" s="228"/>
      <c r="K171" s="118"/>
      <c r="L171" s="118"/>
      <c r="M171" s="118"/>
      <c r="N171" s="102"/>
      <c r="O171" s="102"/>
      <c r="P171" s="102"/>
      <c r="Q171" s="102"/>
      <c r="R171" s="118"/>
      <c r="S171" s="118"/>
      <c r="T171" s="118"/>
      <c r="U171" s="118"/>
      <c r="V171" s="118"/>
    </row>
    <row r="172" outlineLevel="1">
      <c r="A172" s="146"/>
      <c r="B172" s="327" t="s">
        <v>233</v>
      </c>
      <c r="C172" s="328" t="str">
        <f t="array" ref="C172">INDEX('アイテム'!$W$3:$X$114, MATCH($A$1,'アイテム'!$A$3:$A$114,0), MATCH(C159,'アイテム'!$C$2:$AQ$2,0))</f>
        <v>12</v>
      </c>
      <c r="D172" s="328">
        <f t="array" ref="D172">INDEX('アイテム'!$W$3:$X$114, MATCH($A$1,'アイテム'!$A$3:$A$114,0), MATCH(D159,'アイテム'!$C$2:$AQ$2,0))</f>
        <v>23</v>
      </c>
      <c r="E172" s="2544"/>
      <c r="F172" s="2545"/>
      <c r="G172" s="2546"/>
      <c r="H172" s="228"/>
      <c r="I172" s="228"/>
      <c r="J172" s="228"/>
      <c r="K172" s="118"/>
      <c r="L172" s="118"/>
      <c r="M172" s="118"/>
      <c r="N172" s="102"/>
      <c r="O172" s="102"/>
      <c r="P172" s="102"/>
      <c r="Q172" s="102"/>
      <c r="R172" s="118"/>
      <c r="S172" s="118"/>
      <c r="T172" s="118"/>
      <c r="U172" s="118"/>
      <c r="V172" s="118"/>
    </row>
    <row r="173" outlineLevel="1">
      <c r="A173" s="156"/>
      <c r="B173" s="327" t="s">
        <v>234</v>
      </c>
      <c r="C173" s="328" t="str">
        <f t="array" ref="C173">INDEX('アイテム'!$Y$3:$Z$114, MATCH($A$1,'アイテム'!$A$3:$A$114,0), MATCH(C159,'アイテム'!$C$2:$AQ$2,0))</f>
        <v>7</v>
      </c>
      <c r="D173" s="328">
        <f t="array" ref="D173">INDEX('アイテム'!$Y$3:$Z$114, MATCH($A$1,'アイテム'!$A$3:$A$114,0), MATCH(D159,'アイテム'!$C$2:$AQ$2,0))</f>
        <v>19</v>
      </c>
      <c r="E173" s="2544"/>
      <c r="F173" s="2545"/>
      <c r="G173" s="2546"/>
      <c r="H173" s="228"/>
      <c r="I173" s="228"/>
      <c r="J173" s="228"/>
      <c r="K173" s="118"/>
      <c r="L173" s="118"/>
      <c r="M173" s="118"/>
      <c r="N173" s="102"/>
      <c r="O173" s="102"/>
      <c r="P173" s="102"/>
      <c r="Q173" s="102"/>
      <c r="R173" s="118"/>
      <c r="S173" s="118"/>
      <c r="T173" s="118"/>
      <c r="U173" s="118"/>
      <c r="V173" s="118"/>
    </row>
    <row r="174" outlineLevel="1">
      <c r="A174" s="326" t="s">
        <v>265</v>
      </c>
      <c r="B174" s="327" t="s">
        <v>226</v>
      </c>
      <c r="C174" s="328">
        <f t="array" ref="C174">INDEX('アイテム'!$AC$3:$AD$114, MATCH($A$1,'アイテム'!$A$3:$A$114,0), MATCH(C159,'アイテム'!$C$2:$AQ$2,0))</f>
        <v>14</v>
      </c>
      <c r="D174" s="328" t="str">
        <f t="array" ref="D174">INDEX('アイテム'!$AC$3:$AD$114, MATCH($A$1,'アイテム'!$A$3:$A$114,0), MATCH(D159,'アイテム'!$C$2:$AQ$2,0))</f>
        <v>30</v>
      </c>
      <c r="E174" s="2544"/>
      <c r="F174" s="2545"/>
      <c r="G174" s="2546"/>
      <c r="H174" s="228"/>
      <c r="I174" s="228"/>
      <c r="J174" s="228"/>
      <c r="K174" s="118"/>
      <c r="L174" s="118"/>
      <c r="M174" s="118"/>
      <c r="N174" s="102"/>
      <c r="O174" s="102"/>
      <c r="P174" s="102"/>
      <c r="Q174" s="102"/>
      <c r="R174" s="118"/>
      <c r="S174" s="118"/>
      <c r="T174" s="118"/>
      <c r="U174" s="118"/>
      <c r="V174" s="118"/>
    </row>
    <row r="175" outlineLevel="1">
      <c r="A175" s="146"/>
      <c r="B175" s="327" t="s">
        <v>229</v>
      </c>
      <c r="C175" s="328">
        <f t="array" ref="C175">INDEX('アイテム'!$AE$3:$AF$114, MATCH($A$1,'アイテム'!$A$3:$A$114,0), MATCH(C159,'アイテム'!$C$2:$AQ$2,0))</f>
        <v>15</v>
      </c>
      <c r="D175" s="328" t="str">
        <f t="array" ref="D175">INDEX('アイテム'!$AE$3:$AF$114, MATCH($A$1,'アイテム'!$A$3:$A$114,0), MATCH(D159,'アイテム'!$C$2:$AQ$2,0))</f>
        <v>30</v>
      </c>
      <c r="E175" s="2544"/>
      <c r="F175" s="2545"/>
      <c r="G175" s="2546"/>
      <c r="H175" s="228"/>
      <c r="I175" s="228"/>
      <c r="J175" s="228"/>
      <c r="K175" s="118"/>
      <c r="L175" s="118"/>
      <c r="M175" s="118"/>
      <c r="N175" s="102"/>
      <c r="O175" s="102"/>
      <c r="P175" s="102"/>
      <c r="Q175" s="102"/>
      <c r="R175" s="118"/>
      <c r="S175" s="118"/>
      <c r="T175" s="118"/>
      <c r="U175" s="118"/>
      <c r="V175" s="118"/>
    </row>
    <row r="176" outlineLevel="1">
      <c r="A176" s="146"/>
      <c r="B176" s="327" t="s">
        <v>233</v>
      </c>
      <c r="C176" s="328">
        <f t="array" ref="C176">INDEX('アイテム'!$AG$3:$AH$114, MATCH($A$1,'アイテム'!$A$3:$A$114,0), MATCH(C159,'アイテム'!$C$2:$AQ$2,0))</f>
        <v>11</v>
      </c>
      <c r="D176" s="328" t="str">
        <f t="array" ref="D176">INDEX('アイテム'!$AG$3:$AH$114, MATCH($A$1,'アイテム'!$A$3:$A$114,0), MATCH(D159,'アイテム'!$C$2:$AQ$2,0))</f>
        <v>22</v>
      </c>
      <c r="E176" s="2544"/>
      <c r="F176" s="2545"/>
      <c r="G176" s="2546"/>
      <c r="H176" s="228"/>
      <c r="I176" s="228"/>
      <c r="J176" s="228"/>
      <c r="K176" s="118"/>
      <c r="L176" s="118"/>
      <c r="M176" s="118"/>
      <c r="N176" s="102"/>
      <c r="O176" s="102"/>
      <c r="P176" s="102"/>
      <c r="Q176" s="102"/>
      <c r="R176" s="118"/>
      <c r="S176" s="118"/>
      <c r="T176" s="118"/>
      <c r="U176" s="118"/>
      <c r="V176" s="118"/>
    </row>
    <row r="177" outlineLevel="1">
      <c r="A177" s="156"/>
      <c r="B177" s="327" t="s">
        <v>234</v>
      </c>
      <c r="C177" s="328">
        <f t="array" ref="C177">INDEX('アイテム'!$AI$3:$AJ$114, MATCH($A$1,'アイテム'!$A$3:$A$114,0), MATCH(C159,'アイテム'!$C$2:$AQ$2,0))</f>
        <v>9</v>
      </c>
      <c r="D177" s="328" t="str">
        <f t="array" ref="D177">INDEX('アイテム'!$AI$3:$AJ$114, MATCH($A$1,'アイテム'!$A$3:$A$114,0), MATCH(D159,'アイテム'!$C$2:$AQ$2,0))</f>
        <v>22</v>
      </c>
      <c r="E177" s="2544"/>
      <c r="F177" s="2545"/>
      <c r="G177" s="2546"/>
      <c r="H177" s="228"/>
      <c r="I177" s="228"/>
      <c r="J177" s="228"/>
      <c r="K177" s="118"/>
      <c r="L177" s="118"/>
      <c r="M177" s="118"/>
      <c r="N177" s="102"/>
      <c r="O177" s="102"/>
      <c r="P177" s="102"/>
      <c r="Q177" s="102"/>
      <c r="R177" s="118"/>
      <c r="S177" s="118"/>
      <c r="T177" s="118"/>
      <c r="U177" s="118"/>
      <c r="V177" s="118"/>
    </row>
  </sheetData>
  <mergeCells count="151">
    <mergeCell ref="U36:U37"/>
    <mergeCell ref="U38:U39"/>
    <mergeCell ref="U40:U42"/>
    <mergeCell ref="U43:U50"/>
    <mergeCell ref="U52:U53"/>
    <mergeCell ref="R56:V56"/>
    <mergeCell ref="R57:V57"/>
    <mergeCell ref="U67:U69"/>
    <mergeCell ref="U89:U102"/>
    <mergeCell ref="V89:V102"/>
    <mergeCell ref="R58:V59"/>
    <mergeCell ref="R60:V60"/>
    <mergeCell ref="R61:V62"/>
    <mergeCell ref="R63:V63"/>
    <mergeCell ref="V67:V69"/>
    <mergeCell ref="V71:V82"/>
    <mergeCell ref="V84:V87"/>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2:J33"/>
    <mergeCell ref="H34:J34"/>
    <mergeCell ref="H35:J35"/>
    <mergeCell ref="H36:J37"/>
    <mergeCell ref="H38:J39"/>
    <mergeCell ref="H40:J42"/>
    <mergeCell ref="C38:C39"/>
    <mergeCell ref="D38:D39"/>
    <mergeCell ref="H26:J26"/>
    <mergeCell ref="H27:J27"/>
    <mergeCell ref="H28:J28"/>
    <mergeCell ref="H29:J29"/>
    <mergeCell ref="H30:J30"/>
    <mergeCell ref="H31:J31"/>
    <mergeCell ref="U32:U33"/>
    <mergeCell ref="U71:U82"/>
    <mergeCell ref="U84:U87"/>
    <mergeCell ref="H84:J87"/>
    <mergeCell ref="H88:J88"/>
    <mergeCell ref="H89:J102"/>
    <mergeCell ref="I58:I59"/>
    <mergeCell ref="I61:I62"/>
    <mergeCell ref="J61:J62"/>
    <mergeCell ref="H67:J69"/>
    <mergeCell ref="H70:J70"/>
    <mergeCell ref="H71:J82"/>
    <mergeCell ref="H83:J83"/>
    <mergeCell ref="A83:B83"/>
    <mergeCell ref="D84:D85"/>
    <mergeCell ref="D86:D87"/>
    <mergeCell ref="A84:A87"/>
    <mergeCell ref="A89:A95"/>
    <mergeCell ref="A96:A102"/>
    <mergeCell ref="A104:B105"/>
    <mergeCell ref="A107:A109"/>
    <mergeCell ref="A110:B110"/>
    <mergeCell ref="G110:J110"/>
    <mergeCell ref="A111:A112"/>
    <mergeCell ref="D111:D112"/>
    <mergeCell ref="G111:J112"/>
    <mergeCell ref="A113:A114"/>
    <mergeCell ref="D113:D114"/>
    <mergeCell ref="A115:A116"/>
    <mergeCell ref="A117:A118"/>
    <mergeCell ref="G117:J118"/>
    <mergeCell ref="K133:K138"/>
    <mergeCell ref="K139:K142"/>
    <mergeCell ref="K145:K148"/>
    <mergeCell ref="K149:L149"/>
    <mergeCell ref="K152:L152"/>
    <mergeCell ref="G113:J114"/>
    <mergeCell ref="G115:J116"/>
    <mergeCell ref="K129:L129"/>
    <mergeCell ref="K130:K131"/>
    <mergeCell ref="K132:L132"/>
    <mergeCell ref="A135:A137"/>
    <mergeCell ref="A138:A143"/>
    <mergeCell ref="K143:L143"/>
    <mergeCell ref="C155:C156"/>
    <mergeCell ref="A158:B158"/>
    <mergeCell ref="A159:B159"/>
    <mergeCell ref="A160:A161"/>
    <mergeCell ref="A163:B163"/>
    <mergeCell ref="A164:A169"/>
    <mergeCell ref="A170:A173"/>
    <mergeCell ref="A174:A177"/>
    <mergeCell ref="C142:C143"/>
    <mergeCell ref="D142:D143"/>
    <mergeCell ref="A144:A149"/>
    <mergeCell ref="C148:C149"/>
    <mergeCell ref="D148:D149"/>
    <mergeCell ref="A150:A156"/>
    <mergeCell ref="D155:D156"/>
    <mergeCell ref="C43:C44"/>
    <mergeCell ref="C45:C46"/>
    <mergeCell ref="C47:C48"/>
    <mergeCell ref="C49:C50"/>
    <mergeCell ref="D58:D59"/>
    <mergeCell ref="D61:D62"/>
    <mergeCell ref="A24:B25"/>
    <mergeCell ref="A26:A31"/>
    <mergeCell ref="A32:A33"/>
    <mergeCell ref="D32:D33"/>
    <mergeCell ref="A36:A37"/>
    <mergeCell ref="A38:A39"/>
    <mergeCell ref="C41:C42"/>
    <mergeCell ref="D36:D37"/>
    <mergeCell ref="D40:D42"/>
    <mergeCell ref="D43:D50"/>
    <mergeCell ref="H43:J50"/>
    <mergeCell ref="H51:J51"/>
    <mergeCell ref="H52:J53"/>
    <mergeCell ref="J58:J59"/>
    <mergeCell ref="A65:B65"/>
    <mergeCell ref="A66:B66"/>
    <mergeCell ref="H66:J66"/>
    <mergeCell ref="A40:A42"/>
    <mergeCell ref="A43:A50"/>
    <mergeCell ref="A51:B51"/>
    <mergeCell ref="A52:A53"/>
    <mergeCell ref="A55:B56"/>
    <mergeCell ref="A58:A59"/>
    <mergeCell ref="A61:A62"/>
    <mergeCell ref="A67:A68"/>
    <mergeCell ref="A70:B70"/>
    <mergeCell ref="A71:A76"/>
    <mergeCell ref="C71:C79"/>
    <mergeCell ref="A77:A79"/>
    <mergeCell ref="A80:A82"/>
    <mergeCell ref="A88:B88"/>
    <mergeCell ref="D115:D116"/>
    <mergeCell ref="D117:D118"/>
    <mergeCell ref="A120:B121"/>
    <mergeCell ref="A122:A124"/>
    <mergeCell ref="A125:A126"/>
    <mergeCell ref="A128:B129"/>
    <mergeCell ref="A130:A134"/>
  </mergeCells>
  <conditionalFormatting sqref="K1:K15 K17:K67 K70:K73 K83:K88 K94 K101 K103:K153 C113 E113:F113 C117 E117:F117 L117:Q117">
    <cfRule type="containsText" dxfId="0" priority="1" operator="containsText" text="361">
      <formula>NOT(ISERROR(SEARCH(("361"),(K1))))</formula>
    </cfRule>
  </conditionalFormatting>
  <conditionalFormatting sqref="K1:K15 K17:K67 K70:K73 K83:K88 K94 K101 K103:K153 C113 E113:F113 C117 E117:F117 L117:Q117">
    <cfRule type="containsText" dxfId="1" priority="2" operator="containsText" text="363">
      <formula>NOT(ISERROR(SEARCH(("363"),(K1))))</formula>
    </cfRule>
  </conditionalFormatting>
  <conditionalFormatting sqref="K1:K15 K17:K67 K70:K73 K83:K88 K94 K101 K103:K153 C113 E113:F113 C117 E117:F117 L117:Q117">
    <cfRule type="containsText" dxfId="1" priority="3" operator="containsText" text="365">
      <formula>NOT(ISERROR(SEARCH(("365"),(K1))))</formula>
    </cfRule>
  </conditionalFormatting>
  <conditionalFormatting sqref="K1:K15 K17:K67 K70:K73 K83:K88 K94 K101 K103:K153 C113 E113:F113 C117 E117:F117 L117:Q117">
    <cfRule type="containsText" dxfId="1" priority="4" operator="containsText" text="366">
      <formula>NOT(ISERROR(SEARCH(("366"),(K1))))</formula>
    </cfRule>
  </conditionalFormatting>
  <conditionalFormatting sqref="K1:K15 K17:K67 K70:K73 K83:K88 K94 K101 K103:K153 C113 E113:F113 C117 E117:F117 L117:Q117">
    <cfRule type="containsText" dxfId="1" priority="5" operator="containsText" text="367">
      <formula>NOT(ISERROR(SEARCH(("367"),(K1))))</formula>
    </cfRule>
  </conditionalFormatting>
  <conditionalFormatting sqref="P111:P118">
    <cfRule type="cellIs" dxfId="2" priority="6" operator="equal">
      <formula>"敵のみ"</formula>
    </cfRule>
  </conditionalFormatting>
  <conditionalFormatting sqref="C111:C118">
    <cfRule type="cellIs" dxfId="3" priority="7" operator="equal">
      <formula>"-"</formula>
    </cfRule>
  </conditionalFormatting>
  <conditionalFormatting sqref="O1:O67 K51:K53 N51:N53 O70:O73 O83:O88 O94 O101 O103:O177 C113 E113:F113 K113:N113 P113:Q113 C117 E117:F117 K117:N117 P117:P118 Q117">
    <cfRule type="cellIs" dxfId="4" priority="8" operator="greaterThan">
      <formula>0</formula>
    </cfRule>
  </conditionalFormatting>
  <conditionalFormatting sqref="P1:Q67 L51:M53 O51:O53 P70:Q73 P83:Q88 P94:Q94 P101:Q101 P103:Q177">
    <cfRule type="cellIs" dxfId="5" priority="9" operator="lessThan">
      <formula>1</formula>
    </cfRule>
  </conditionalFormatting>
  <conditionalFormatting sqref="P1:Q67 L51:M53 O51:O53 P70:Q73 P83:Q88 P94:Q94 P101:Q101 P103:Q177">
    <cfRule type="cellIs" dxfId="4" priority="10" operator="greaterThan">
      <formula>1</formula>
    </cfRule>
  </conditionalFormatting>
  <conditionalFormatting sqref="N25:N67 N70:N73 N83:N88 N94 N101 N103:N118">
    <cfRule type="cellIs" dxfId="6" priority="11" operator="greaterThan">
      <formula>0</formula>
    </cfRule>
  </conditionalFormatting>
  <conditionalFormatting sqref="N1:N15 N17:N67 N70:N73 N83:N88 N94 N101 N103:N177">
    <cfRule type="containsText" dxfId="6" priority="12" operator="containsText" text="/">
      <formula>NOT(ISERROR(SEARCH(("/"),(N1))))</formula>
    </cfRule>
  </conditionalFormatting>
  <drawing r:id="rId2"/>
  <legacyDrawing r:id="rId3"/>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3849"/>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928">
        <v>65.0</v>
      </c>
      <c r="B1" s="2929"/>
      <c r="C1" s="2930" t="str">
        <f>IMAGE(VLOOKUP($A$1,Fighters!A2:AI114,12,FALSE),1)</f>
        <v>#REF!</v>
      </c>
      <c r="D1" s="2931"/>
      <c r="E1" s="2931"/>
      <c r="F1" s="2931"/>
      <c r="G1" s="2932"/>
      <c r="H1" s="2933"/>
      <c r="I1" s="2931"/>
      <c r="J1" s="2932"/>
      <c r="K1" s="2934"/>
      <c r="L1" s="2931"/>
      <c r="M1" s="2932"/>
      <c r="N1" s="2935"/>
      <c r="O1" s="2935"/>
      <c r="P1" s="2935"/>
      <c r="Q1" s="2935"/>
      <c r="R1" s="2936"/>
      <c r="S1" s="2936"/>
      <c r="T1" s="2936"/>
      <c r="U1" s="2936"/>
      <c r="V1" s="2936"/>
    </row>
    <row r="2">
      <c r="A2" s="2937" t="str">
        <f>VLOOKUP($A$1,Fighters!$A$2:$AI$81,6,FALSE)</f>
        <v>#483849</v>
      </c>
      <c r="B2" s="2929"/>
      <c r="C2" s="2938"/>
      <c r="G2" s="2939"/>
      <c r="H2" s="2940"/>
      <c r="I2" s="2941"/>
      <c r="J2" s="2942"/>
      <c r="K2" s="2940"/>
      <c r="L2" s="2941"/>
      <c r="M2" s="2942"/>
      <c r="N2" s="2935"/>
      <c r="O2" s="2935"/>
      <c r="P2" s="2935"/>
      <c r="Q2" s="2935"/>
      <c r="R2" s="2936"/>
      <c r="S2" s="2936"/>
      <c r="T2" s="2936"/>
      <c r="U2" s="2936"/>
      <c r="V2" s="2936"/>
    </row>
    <row r="3">
      <c r="A3" s="2937" t="str">
        <f>VLOOKUP($A$1,Fighters!$A$2:$AI$81,14,FALSE)</f>
        <v>65. リドリー</v>
      </c>
      <c r="B3" s="2929"/>
      <c r="C3" s="2938"/>
      <c r="G3" s="2939"/>
      <c r="H3" s="2943"/>
      <c r="I3" s="2943"/>
      <c r="J3" s="2943"/>
      <c r="K3" s="2944"/>
      <c r="L3" s="2944"/>
      <c r="M3" s="2944"/>
      <c r="N3" s="2935"/>
      <c r="O3" s="2935"/>
      <c r="P3" s="2935"/>
      <c r="Q3" s="2935"/>
      <c r="R3" s="2945"/>
      <c r="S3" s="2936"/>
      <c r="T3" s="2936"/>
      <c r="U3" s="2936"/>
      <c r="V3" s="2936"/>
    </row>
    <row r="4">
      <c r="A4" s="2937" t="str">
        <f>VLOOKUP($A$1,Fighters!$A$2:$AI$81,13,FALSE)</f>
        <v>1</v>
      </c>
      <c r="B4" s="2929"/>
      <c r="C4" s="2938"/>
      <c r="G4" s="2939"/>
      <c r="H4" s="2946"/>
      <c r="I4" s="2946"/>
      <c r="J4" s="2943"/>
      <c r="K4" s="2944"/>
      <c r="L4" s="2944"/>
      <c r="M4" s="2944"/>
      <c r="N4" s="2935"/>
      <c r="O4" s="2935"/>
      <c r="P4" s="2935"/>
      <c r="Q4" s="2935"/>
      <c r="R4" s="2945"/>
      <c r="S4" s="2936"/>
      <c r="T4" s="2936"/>
      <c r="U4" s="2936"/>
      <c r="V4" s="2936"/>
    </row>
    <row r="5" ht="16.5" customHeight="1">
      <c r="A5" s="2928"/>
      <c r="B5" s="2929"/>
      <c r="C5" s="2938"/>
      <c r="G5" s="2939"/>
      <c r="H5" s="2947"/>
      <c r="I5" s="2947"/>
      <c r="J5" s="2948"/>
      <c r="K5" s="2949"/>
      <c r="L5" s="2950"/>
      <c r="M5" s="2950"/>
      <c r="N5" s="2935"/>
      <c r="O5" s="2935"/>
      <c r="P5" s="2935"/>
      <c r="Q5" s="2935"/>
      <c r="R5" s="2945"/>
      <c r="S5" s="2936"/>
      <c r="T5" s="2936"/>
      <c r="U5" s="2936"/>
      <c r="V5" s="2936"/>
    </row>
    <row r="6">
      <c r="A6" s="2929"/>
      <c r="B6" s="2929"/>
      <c r="C6" s="2938"/>
      <c r="G6" s="2939"/>
      <c r="H6" s="2946"/>
      <c r="I6" s="2951" t="s">
        <v>39</v>
      </c>
      <c r="J6" s="2949"/>
      <c r="K6" s="2952"/>
      <c r="L6" s="2950"/>
      <c r="M6" s="2950"/>
      <c r="N6" s="2935"/>
      <c r="O6" s="2935"/>
      <c r="P6" s="2935"/>
      <c r="Q6" s="2935"/>
      <c r="R6" s="2945"/>
      <c r="S6" s="2936"/>
      <c r="T6" s="2936"/>
      <c r="U6" s="2936"/>
      <c r="V6" s="2936"/>
    </row>
    <row r="7">
      <c r="A7" s="2929"/>
      <c r="B7" s="2929"/>
      <c r="C7" s="2938"/>
      <c r="G7" s="2939"/>
      <c r="H7" s="2947"/>
      <c r="I7" s="2947"/>
      <c r="J7" s="2949"/>
      <c r="K7" s="2952"/>
      <c r="L7" s="2950"/>
      <c r="M7" s="2950"/>
      <c r="N7" s="2935"/>
      <c r="O7" s="2935"/>
      <c r="P7" s="2935"/>
      <c r="Q7" s="2935"/>
      <c r="R7" s="2945"/>
      <c r="S7" s="2936"/>
      <c r="T7" s="2936"/>
      <c r="U7" s="2936"/>
      <c r="V7" s="2936"/>
    </row>
    <row r="8">
      <c r="A8" s="2929"/>
      <c r="B8" s="2929"/>
      <c r="C8" s="2938"/>
      <c r="G8" s="2939"/>
      <c r="H8" s="2953">
        <v>44533.43392217593</v>
      </c>
      <c r="I8" s="2931"/>
      <c r="J8" s="2932"/>
      <c r="K8" s="2949"/>
      <c r="L8" s="2950"/>
      <c r="M8" s="2950"/>
      <c r="N8" s="2935"/>
      <c r="O8" s="2935"/>
      <c r="P8" s="2935"/>
      <c r="Q8" s="2935"/>
      <c r="R8" s="2945"/>
      <c r="S8" s="2936"/>
      <c r="T8" s="2936"/>
      <c r="U8" s="2936"/>
      <c r="V8" s="2936"/>
    </row>
    <row r="9">
      <c r="A9" s="2929"/>
      <c r="B9" s="2929"/>
      <c r="C9" s="2938"/>
      <c r="G9" s="2939"/>
      <c r="H9" s="2940"/>
      <c r="I9" s="2941"/>
      <c r="J9" s="2942"/>
      <c r="K9" s="2936"/>
      <c r="L9" s="2935"/>
      <c r="M9" s="2935"/>
      <c r="N9" s="2935"/>
      <c r="O9" s="2935"/>
      <c r="P9" s="2935"/>
      <c r="Q9" s="2935"/>
      <c r="R9" s="2945"/>
      <c r="S9" s="2936"/>
      <c r="T9" s="2936"/>
      <c r="U9" s="2936"/>
      <c r="V9" s="2936"/>
    </row>
    <row r="10">
      <c r="A10" s="2929"/>
      <c r="B10" s="2929"/>
      <c r="C10" s="2938"/>
      <c r="G10" s="2939"/>
      <c r="H10" s="2954"/>
      <c r="I10" s="2954"/>
      <c r="J10" s="2936"/>
      <c r="K10" s="2936"/>
      <c r="L10" s="2935"/>
      <c r="M10" s="2935"/>
      <c r="N10" s="2935"/>
      <c r="O10" s="2935"/>
      <c r="P10" s="2935"/>
      <c r="Q10" s="2935"/>
      <c r="R10" s="2945"/>
      <c r="S10" s="2936"/>
      <c r="T10" s="2936"/>
      <c r="U10" s="2936"/>
      <c r="V10" s="2936"/>
    </row>
    <row r="11">
      <c r="A11" s="2955" t="s">
        <v>40</v>
      </c>
      <c r="B11" s="2932"/>
      <c r="C11" s="2938"/>
      <c r="G11" s="2939"/>
      <c r="H11" s="2947"/>
      <c r="I11" s="2947"/>
      <c r="J11" s="2936"/>
      <c r="K11" s="2936"/>
      <c r="L11" s="2935"/>
      <c r="M11" s="2935"/>
      <c r="N11" s="2935"/>
      <c r="O11" s="2935"/>
      <c r="P11" s="2935"/>
      <c r="Q11" s="2935"/>
      <c r="R11" s="2945"/>
      <c r="S11" s="2936"/>
      <c r="T11" s="2936"/>
      <c r="U11" s="2936"/>
      <c r="V11" s="2936"/>
    </row>
    <row r="12">
      <c r="A12" s="2940"/>
      <c r="B12" s="2942"/>
      <c r="C12" s="2940"/>
      <c r="D12" s="2941"/>
      <c r="E12" s="2941"/>
      <c r="F12" s="2941"/>
      <c r="G12" s="2942"/>
      <c r="H12" s="2956"/>
      <c r="I12" s="2956"/>
      <c r="J12" s="2929"/>
      <c r="K12" s="2929"/>
      <c r="L12" s="2935"/>
      <c r="M12" s="2935"/>
      <c r="N12" s="2935"/>
      <c r="O12" s="2935"/>
      <c r="P12" s="2935"/>
      <c r="Q12" s="2935"/>
      <c r="R12" s="2945"/>
      <c r="S12" s="2936"/>
      <c r="T12" s="2936"/>
      <c r="U12" s="2936"/>
      <c r="V12" s="293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t="s">
        <v>4865</v>
      </c>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3回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107 [14th]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35F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 [69th]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 [48th]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0.1398 [56th]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34 [29th]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2.2 [10th]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 [85th]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14.2 [70th]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1.05 [43rd]</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 [49th]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25.8 [82nd]</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1.78 [19th]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2.848 [19th]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 [45th]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717</v>
      </c>
      <c r="D26" s="701" t="s">
        <v>173</v>
      </c>
      <c r="E26" s="139" t="s">
        <v>176</v>
      </c>
      <c r="F26" s="138">
        <v>2.4</v>
      </c>
      <c r="G26" s="139" t="s">
        <v>60</v>
      </c>
      <c r="H26" s="151" t="s">
        <v>4866</v>
      </c>
      <c r="I26" s="110"/>
      <c r="J26" s="109"/>
      <c r="K26" s="2957">
        <v>361.0</v>
      </c>
      <c r="L26" s="138" t="s">
        <v>3218</v>
      </c>
      <c r="M26" s="145" t="s">
        <v>4867</v>
      </c>
      <c r="N26" s="145">
        <v>0.0</v>
      </c>
      <c r="O26" s="138">
        <v>0.0</v>
      </c>
      <c r="P26" s="138">
        <v>1.6</v>
      </c>
      <c r="Q26" s="138">
        <v>1.0</v>
      </c>
      <c r="R26" s="100"/>
      <c r="S26" s="100"/>
      <c r="T26" s="100"/>
      <c r="U26" s="145" t="s">
        <v>69</v>
      </c>
      <c r="V26" s="100"/>
    </row>
    <row r="27" outlineLevel="1">
      <c r="A27" s="146"/>
      <c r="B27" s="147" t="s">
        <v>63</v>
      </c>
      <c r="C27" s="467" t="s">
        <v>267</v>
      </c>
      <c r="D27" s="467" t="s">
        <v>876</v>
      </c>
      <c r="E27" s="216" t="s">
        <v>1024</v>
      </c>
      <c r="F27" s="138">
        <v>1.8</v>
      </c>
      <c r="G27" s="216" t="s">
        <v>60</v>
      </c>
      <c r="H27" s="151" t="s">
        <v>4868</v>
      </c>
      <c r="I27" s="110"/>
      <c r="J27" s="109"/>
      <c r="K27" s="2957">
        <v>361.0</v>
      </c>
      <c r="L27" s="138">
        <v>20.0</v>
      </c>
      <c r="M27" s="145" t="s">
        <v>4867</v>
      </c>
      <c r="N27" s="145">
        <v>0.0</v>
      </c>
      <c r="O27" s="138">
        <v>0.0</v>
      </c>
      <c r="P27" s="138">
        <v>1.2</v>
      </c>
      <c r="Q27" s="138">
        <v>1.0</v>
      </c>
      <c r="R27" s="100"/>
      <c r="S27" s="100"/>
      <c r="T27" s="100"/>
      <c r="U27" s="145" t="s">
        <v>76</v>
      </c>
      <c r="V27" s="100"/>
    </row>
    <row r="28" outlineLevel="1">
      <c r="A28" s="146"/>
      <c r="B28" s="147" t="s">
        <v>70</v>
      </c>
      <c r="C28" s="467" t="s">
        <v>717</v>
      </c>
      <c r="D28" s="467" t="s">
        <v>193</v>
      </c>
      <c r="E28" s="216" t="s">
        <v>150</v>
      </c>
      <c r="F28" s="138">
        <v>6.0</v>
      </c>
      <c r="G28" s="216" t="s">
        <v>102</v>
      </c>
      <c r="H28" s="151"/>
      <c r="I28" s="110"/>
      <c r="J28" s="109"/>
      <c r="K28" s="138">
        <v>42.0</v>
      </c>
      <c r="L28" s="138">
        <v>128.0</v>
      </c>
      <c r="M28" s="145">
        <v>50.0</v>
      </c>
      <c r="N28" s="145">
        <v>0.0</v>
      </c>
      <c r="O28" s="138">
        <v>0.0</v>
      </c>
      <c r="P28" s="138">
        <v>2.0</v>
      </c>
      <c r="Q28" s="138">
        <v>1.0</v>
      </c>
      <c r="R28" s="100"/>
      <c r="S28" s="100"/>
      <c r="T28" s="100"/>
      <c r="U28" s="145" t="s">
        <v>76</v>
      </c>
      <c r="V28" s="100"/>
    </row>
    <row r="29" outlineLevel="1">
      <c r="A29" s="146"/>
      <c r="B29" s="147" t="s">
        <v>703</v>
      </c>
      <c r="C29" s="659"/>
      <c r="D29" s="467" t="s">
        <v>213</v>
      </c>
      <c r="E29" s="659"/>
      <c r="F29" s="2958"/>
      <c r="G29" s="2279"/>
      <c r="H29" s="151"/>
      <c r="I29" s="110"/>
      <c r="J29" s="109"/>
      <c r="K29" s="261"/>
      <c r="L29" s="261"/>
      <c r="M29" s="261"/>
      <c r="N29" s="261"/>
      <c r="O29" s="261"/>
      <c r="P29" s="261"/>
      <c r="Q29" s="261"/>
      <c r="R29" s="100"/>
      <c r="S29" s="100"/>
      <c r="T29" s="100"/>
      <c r="U29" s="145" t="s">
        <v>76</v>
      </c>
      <c r="V29" s="100"/>
    </row>
    <row r="30" outlineLevel="1">
      <c r="A30" s="146"/>
      <c r="B30" s="147" t="s">
        <v>704</v>
      </c>
      <c r="C30" s="467" t="s">
        <v>4869</v>
      </c>
      <c r="D30" s="467" t="s">
        <v>296</v>
      </c>
      <c r="E30" s="467" t="s">
        <v>2278</v>
      </c>
      <c r="F30" s="138">
        <v>0.84</v>
      </c>
      <c r="G30" s="450" t="s">
        <v>147</v>
      </c>
      <c r="H30" s="151" t="s">
        <v>4870</v>
      </c>
      <c r="I30" s="110"/>
      <c r="J30" s="109"/>
      <c r="K30" s="2957">
        <v>361.0</v>
      </c>
      <c r="L30" s="138">
        <v>10.0</v>
      </c>
      <c r="M30" s="2959">
        <v>41981.0</v>
      </c>
      <c r="N30" s="145">
        <v>0.0</v>
      </c>
      <c r="O30" s="138">
        <v>0.0</v>
      </c>
      <c r="P30" s="138">
        <v>0.5</v>
      </c>
      <c r="Q30" s="138">
        <v>0.7</v>
      </c>
      <c r="R30" s="100"/>
      <c r="S30" s="100"/>
      <c r="T30" s="100"/>
      <c r="U30" s="145" t="s">
        <v>76</v>
      </c>
      <c r="V30" s="100"/>
    </row>
    <row r="31" outlineLevel="1">
      <c r="A31" s="156"/>
      <c r="B31" s="147" t="s">
        <v>708</v>
      </c>
      <c r="C31" s="467" t="s">
        <v>717</v>
      </c>
      <c r="D31" s="467" t="s">
        <v>146</v>
      </c>
      <c r="E31" s="467" t="s">
        <v>176</v>
      </c>
      <c r="F31" s="138">
        <v>2.4</v>
      </c>
      <c r="G31" s="467" t="s">
        <v>60</v>
      </c>
      <c r="H31" s="151"/>
      <c r="I31" s="110"/>
      <c r="J31" s="109"/>
      <c r="K31" s="138">
        <v>50.0</v>
      </c>
      <c r="L31" s="138">
        <v>60.0</v>
      </c>
      <c r="M31" s="145">
        <v>110.0</v>
      </c>
      <c r="N31" s="145">
        <v>0.0</v>
      </c>
      <c r="O31" s="138">
        <v>0.0</v>
      </c>
      <c r="P31" s="138">
        <v>2.0</v>
      </c>
      <c r="Q31" s="138">
        <v>1.0</v>
      </c>
      <c r="R31" s="100"/>
      <c r="S31" s="100"/>
      <c r="T31" s="100"/>
      <c r="U31" s="145" t="s">
        <v>76</v>
      </c>
      <c r="V31" s="100"/>
    </row>
    <row r="32" outlineLevel="1">
      <c r="A32" s="170" t="s">
        <v>77</v>
      </c>
      <c r="B32" s="160"/>
      <c r="C32" s="467" t="s">
        <v>373</v>
      </c>
      <c r="D32" s="467" t="s">
        <v>118</v>
      </c>
      <c r="E32" s="450" t="s">
        <v>1217</v>
      </c>
      <c r="F32" s="138">
        <v>16.2</v>
      </c>
      <c r="G32" s="467" t="s">
        <v>407</v>
      </c>
      <c r="H32" s="151"/>
      <c r="I32" s="110"/>
      <c r="J32" s="109"/>
      <c r="K32" s="138">
        <v>42.0</v>
      </c>
      <c r="L32" s="138">
        <v>70.0</v>
      </c>
      <c r="M32" s="145">
        <v>70.0</v>
      </c>
      <c r="N32" s="145">
        <v>0.0</v>
      </c>
      <c r="O32" s="138">
        <v>0.0</v>
      </c>
      <c r="P32" s="138">
        <v>1.2</v>
      </c>
      <c r="Q32" s="138">
        <v>1.0</v>
      </c>
      <c r="R32" s="100"/>
      <c r="S32" s="100"/>
      <c r="T32" s="100"/>
      <c r="U32" s="145" t="s">
        <v>69</v>
      </c>
      <c r="V32" s="100"/>
    </row>
    <row r="33" outlineLevel="1">
      <c r="A33" s="170" t="s">
        <v>89</v>
      </c>
      <c r="B33" s="147" t="s">
        <v>90</v>
      </c>
      <c r="C33" s="467" t="s">
        <v>223</v>
      </c>
      <c r="D33" s="467" t="s">
        <v>964</v>
      </c>
      <c r="E33" s="467" t="s">
        <v>4871</v>
      </c>
      <c r="F33" s="138" t="s">
        <v>4872</v>
      </c>
      <c r="G33" s="467" t="s">
        <v>4873</v>
      </c>
      <c r="H33" s="151"/>
      <c r="I33" s="110"/>
      <c r="J33" s="109"/>
      <c r="K33" s="138">
        <v>361.0</v>
      </c>
      <c r="L33" s="138">
        <v>71.0</v>
      </c>
      <c r="M33" s="145" t="s">
        <v>4874</v>
      </c>
      <c r="N33" s="145">
        <v>0.0</v>
      </c>
      <c r="O33" s="138">
        <v>0.0</v>
      </c>
      <c r="P33" s="138" t="s">
        <v>4875</v>
      </c>
      <c r="Q33" s="138">
        <v>1.0</v>
      </c>
      <c r="R33" s="100"/>
      <c r="S33" s="100"/>
      <c r="T33" s="100"/>
      <c r="U33" s="145" t="s">
        <v>96</v>
      </c>
      <c r="V33" s="100"/>
    </row>
    <row r="34" outlineLevel="1">
      <c r="A34" s="170" t="s">
        <v>97</v>
      </c>
      <c r="B34" s="160"/>
      <c r="C34" s="467" t="s">
        <v>410</v>
      </c>
      <c r="D34" s="467" t="s">
        <v>99</v>
      </c>
      <c r="E34" s="467" t="s">
        <v>4876</v>
      </c>
      <c r="F34" s="138" t="s">
        <v>4877</v>
      </c>
      <c r="G34" s="467" t="s">
        <v>4878</v>
      </c>
      <c r="H34" s="151" t="s">
        <v>4879</v>
      </c>
      <c r="I34" s="110"/>
      <c r="J34" s="109"/>
      <c r="K34" s="138">
        <v>88.0</v>
      </c>
      <c r="L34" s="138" t="s">
        <v>4880</v>
      </c>
      <c r="M34" s="145">
        <v>30.0</v>
      </c>
      <c r="N34" s="145">
        <v>0.0</v>
      </c>
      <c r="O34" s="138">
        <v>0.0</v>
      </c>
      <c r="P34" s="138">
        <v>1.0</v>
      </c>
      <c r="Q34" s="138">
        <v>1.0</v>
      </c>
      <c r="R34" s="100"/>
      <c r="S34" s="100"/>
      <c r="T34" s="100"/>
      <c r="U34" s="145" t="s">
        <v>62</v>
      </c>
      <c r="V34" s="100"/>
    </row>
    <row r="35" outlineLevel="1">
      <c r="A35" s="170" t="s">
        <v>103</v>
      </c>
      <c r="B35" s="160"/>
      <c r="C35" s="467" t="s">
        <v>835</v>
      </c>
      <c r="D35" s="467" t="s">
        <v>164</v>
      </c>
      <c r="E35" s="467" t="s">
        <v>4881</v>
      </c>
      <c r="F35" s="138" t="s">
        <v>4882</v>
      </c>
      <c r="G35" s="467" t="s">
        <v>4883</v>
      </c>
      <c r="H35" s="151"/>
      <c r="I35" s="110"/>
      <c r="J35" s="109"/>
      <c r="K35" s="145" t="s">
        <v>4884</v>
      </c>
      <c r="L35" s="145">
        <v>80.0</v>
      </c>
      <c r="M35" s="145">
        <v>65.0</v>
      </c>
      <c r="N35" s="145">
        <v>0.0</v>
      </c>
      <c r="O35" s="138">
        <v>0.0</v>
      </c>
      <c r="P35" s="138">
        <v>1.0</v>
      </c>
      <c r="Q35" s="138">
        <v>1.0</v>
      </c>
      <c r="R35" s="100"/>
      <c r="S35" s="100"/>
      <c r="T35" s="100"/>
      <c r="U35" s="145" t="s">
        <v>62</v>
      </c>
      <c r="V35" s="100"/>
    </row>
    <row r="36" outlineLevel="1">
      <c r="A36" s="170" t="s">
        <v>109</v>
      </c>
      <c r="B36" s="147"/>
      <c r="C36" s="467" t="s">
        <v>2670</v>
      </c>
      <c r="D36" s="467" t="s">
        <v>892</v>
      </c>
      <c r="E36" s="467" t="s">
        <v>718</v>
      </c>
      <c r="F36" s="138">
        <v>24.0</v>
      </c>
      <c r="G36" s="467" t="s">
        <v>297</v>
      </c>
      <c r="H36" s="151" t="s">
        <v>4885</v>
      </c>
      <c r="I36" s="110"/>
      <c r="J36" s="109"/>
      <c r="K36" s="138">
        <v>361.0</v>
      </c>
      <c r="L36" s="138">
        <v>80.0</v>
      </c>
      <c r="M36" s="145">
        <v>58.0</v>
      </c>
      <c r="N36" s="145">
        <v>0.0</v>
      </c>
      <c r="O36" s="138">
        <v>0.0</v>
      </c>
      <c r="P36" s="138">
        <v>1.0</v>
      </c>
      <c r="Q36" s="138">
        <v>1.0</v>
      </c>
      <c r="R36" s="100"/>
      <c r="S36" s="100"/>
      <c r="T36" s="100"/>
      <c r="U36" s="145" t="s">
        <v>95</v>
      </c>
      <c r="V36" s="100"/>
    </row>
    <row r="37" outlineLevel="1">
      <c r="A37" s="170" t="s">
        <v>116</v>
      </c>
      <c r="B37" s="160"/>
      <c r="C37" s="450" t="s">
        <v>1378</v>
      </c>
      <c r="D37" s="467" t="s">
        <v>111</v>
      </c>
      <c r="E37" s="467" t="s">
        <v>394</v>
      </c>
      <c r="F37" s="138">
        <v>20.4</v>
      </c>
      <c r="G37" s="467" t="s">
        <v>88</v>
      </c>
      <c r="H37" s="903" t="s">
        <v>4886</v>
      </c>
      <c r="I37" s="110"/>
      <c r="J37" s="109"/>
      <c r="K37" s="145">
        <v>82.0</v>
      </c>
      <c r="L37" s="145">
        <v>76.0</v>
      </c>
      <c r="M37" s="145">
        <v>58.0</v>
      </c>
      <c r="N37" s="145">
        <v>0.0</v>
      </c>
      <c r="O37" s="138">
        <v>0.0</v>
      </c>
      <c r="P37" s="138">
        <v>1.0</v>
      </c>
      <c r="Q37" s="138">
        <v>1.0</v>
      </c>
      <c r="R37" s="100"/>
      <c r="S37" s="100"/>
      <c r="T37" s="100"/>
      <c r="U37" s="145" t="s">
        <v>123</v>
      </c>
      <c r="V37" s="100"/>
    </row>
    <row r="38" outlineLevel="1">
      <c r="A38" s="170" t="s">
        <v>124</v>
      </c>
      <c r="B38" s="147"/>
      <c r="C38" s="216" t="s">
        <v>1299</v>
      </c>
      <c r="D38" s="467" t="s">
        <v>600</v>
      </c>
      <c r="E38" s="467" t="s">
        <v>153</v>
      </c>
      <c r="F38" s="138">
        <v>19.2</v>
      </c>
      <c r="G38" s="467" t="s">
        <v>88</v>
      </c>
      <c r="H38" s="151" t="s">
        <v>130</v>
      </c>
      <c r="I38" s="110"/>
      <c r="J38" s="109"/>
      <c r="K38" s="138">
        <v>85.0</v>
      </c>
      <c r="L38" s="138">
        <v>76.0</v>
      </c>
      <c r="M38" s="145">
        <v>69.0</v>
      </c>
      <c r="N38" s="145">
        <v>0.0</v>
      </c>
      <c r="O38" s="138">
        <v>0.0</v>
      </c>
      <c r="P38" s="138">
        <v>1.0</v>
      </c>
      <c r="Q38" s="138">
        <v>1.0</v>
      </c>
      <c r="R38" s="100"/>
      <c r="S38" s="100"/>
      <c r="T38" s="100"/>
      <c r="U38" s="145" t="s">
        <v>62</v>
      </c>
      <c r="V38" s="100"/>
    </row>
    <row r="39">
      <c r="A39" s="118"/>
      <c r="B39" s="176"/>
      <c r="C39" s="118"/>
      <c r="D39" s="118"/>
      <c r="E39" s="118"/>
      <c r="F39" s="177"/>
      <c r="G39" s="177"/>
      <c r="H39" s="118"/>
      <c r="I39" s="118"/>
      <c r="J39" s="118"/>
      <c r="K39" s="118"/>
      <c r="L39" s="118"/>
      <c r="M39" s="118"/>
      <c r="N39" s="118"/>
      <c r="O39" s="118"/>
      <c r="P39" s="118"/>
      <c r="Q39" s="118"/>
      <c r="R39" s="118"/>
      <c r="S39" s="118"/>
      <c r="T39" s="118"/>
      <c r="U39" s="118"/>
      <c r="V39" s="118"/>
    </row>
    <row r="40">
      <c r="A40" s="178" t="s">
        <v>133</v>
      </c>
      <c r="B40" s="104"/>
      <c r="C40" s="179"/>
      <c r="D40" s="179"/>
      <c r="E40" s="179"/>
      <c r="F40" s="180"/>
      <c r="G40" s="179"/>
      <c r="H40" s="180"/>
      <c r="I40" s="180"/>
      <c r="J40" s="181"/>
      <c r="K40" s="180"/>
      <c r="L40" s="180"/>
      <c r="M40" s="180"/>
      <c r="N40" s="180"/>
      <c r="O40" s="180"/>
      <c r="P40" s="180"/>
      <c r="Q40" s="180"/>
      <c r="R40" s="180"/>
      <c r="S40" s="180"/>
      <c r="T40" s="180"/>
      <c r="U40" s="180"/>
      <c r="V40" s="180"/>
    </row>
    <row r="41" outlineLevel="1">
      <c r="A41" s="106"/>
      <c r="B41" s="107"/>
      <c r="C41" s="182" t="s">
        <v>48</v>
      </c>
      <c r="D41" s="183" t="s">
        <v>49</v>
      </c>
      <c r="E41" s="182" t="s">
        <v>50</v>
      </c>
      <c r="F41" s="184" t="s">
        <v>51</v>
      </c>
      <c r="G41" s="184" t="s">
        <v>134</v>
      </c>
      <c r="H41" s="185" t="s">
        <v>52</v>
      </c>
      <c r="I41" s="184" t="str">
        <f>'テンプレート'!I56</f>
        <v>着地隙</v>
      </c>
      <c r="J41" s="184" t="s">
        <v>136</v>
      </c>
      <c r="K41" s="184" t="str">
        <f>'テンプレート'!K56</f>
        <v>ベクトル</v>
      </c>
      <c r="L41" s="184" t="str">
        <f>'テンプレート'!L56</f>
        <v>KBG (R.E.)</v>
      </c>
      <c r="M41" s="184" t="str">
        <f>'テンプレート'!M56</f>
        <v>BKB (R.A.)</v>
      </c>
      <c r="N41" s="184" t="str">
        <f>'テンプレート'!N56</f>
        <v>FKB (R.F.)</v>
      </c>
      <c r="O41" s="186" t="str">
        <f>'テンプレート'!O56</f>
        <v>盾削り値</v>
      </c>
      <c r="P41" s="184" t="str">
        <f>'テンプレート'!P56</f>
        <v>ﾋｯﾄｽﾄｯﾌﾟ</v>
      </c>
      <c r="Q41" s="186" t="str">
        <f>'テンプレート'!Q56</f>
        <v>ずらし</v>
      </c>
      <c r="R41" s="187" t="str">
        <f>'テンプレート'!R56</f>
        <v>備考</v>
      </c>
      <c r="S41" s="110"/>
      <c r="T41" s="110"/>
      <c r="U41" s="110"/>
      <c r="V41" s="110"/>
    </row>
    <row r="42" outlineLevel="1">
      <c r="A42" s="188" t="s">
        <v>144</v>
      </c>
      <c r="B42" s="373"/>
      <c r="C42" s="239" t="s">
        <v>2218</v>
      </c>
      <c r="D42" s="455" t="s">
        <v>118</v>
      </c>
      <c r="E42" s="401" t="s">
        <v>4887</v>
      </c>
      <c r="F42" s="193" t="s">
        <v>4888</v>
      </c>
      <c r="G42" s="193" t="s">
        <v>4889</v>
      </c>
      <c r="H42" s="138" t="s">
        <v>1801</v>
      </c>
      <c r="I42" s="452" t="str">
        <f t="array" ref="I42">INDEX('空中攻撃'!$O$3:$AB$109, MATCH($A$1,'空中攻撃'!$A$3:$A$109,0), MATCH(A42,'空中攻撃'!$O$2:$S$2,0))</f>
        <v>12</v>
      </c>
      <c r="J42" s="455" t="s">
        <v>4890</v>
      </c>
      <c r="K42" s="138">
        <v>44.0</v>
      </c>
      <c r="L42" s="138">
        <v>62.0</v>
      </c>
      <c r="M42" s="145">
        <v>55.0</v>
      </c>
      <c r="N42" s="145">
        <v>0.0</v>
      </c>
      <c r="O42" s="138">
        <v>0.0</v>
      </c>
      <c r="P42" s="138" t="s">
        <v>4891</v>
      </c>
      <c r="Q42" s="138">
        <v>1.0</v>
      </c>
      <c r="R42" s="163"/>
      <c r="S42" s="164"/>
      <c r="T42" s="164"/>
      <c r="U42" s="164"/>
      <c r="V42" s="104"/>
    </row>
    <row r="43" outlineLevel="1">
      <c r="A43" s="156"/>
      <c r="B43" s="373" t="s">
        <v>84</v>
      </c>
      <c r="C43" s="239" t="s">
        <v>1289</v>
      </c>
      <c r="D43" s="107"/>
      <c r="E43" s="239" t="s">
        <v>4892</v>
      </c>
      <c r="F43" s="138" t="s">
        <v>4893</v>
      </c>
      <c r="G43" s="138" t="s">
        <v>4894</v>
      </c>
      <c r="H43" s="138" t="s">
        <v>4895</v>
      </c>
      <c r="I43" s="107"/>
      <c r="J43" s="107"/>
      <c r="K43" s="138">
        <v>44.0</v>
      </c>
      <c r="L43" s="138">
        <v>62.0</v>
      </c>
      <c r="M43" s="145">
        <v>55.0</v>
      </c>
      <c r="N43" s="145">
        <v>0.0</v>
      </c>
      <c r="O43" s="138">
        <v>0.0</v>
      </c>
      <c r="P43" s="138">
        <v>1.0</v>
      </c>
      <c r="Q43" s="138">
        <v>1.0</v>
      </c>
      <c r="R43" s="106"/>
      <c r="S43" s="168"/>
      <c r="T43" s="168"/>
      <c r="U43" s="168"/>
      <c r="V43" s="107"/>
    </row>
    <row r="44" outlineLevel="1">
      <c r="A44" s="188" t="s">
        <v>151</v>
      </c>
      <c r="B44" s="373" t="s">
        <v>125</v>
      </c>
      <c r="C44" s="239" t="s">
        <v>223</v>
      </c>
      <c r="D44" s="455" t="s">
        <v>384</v>
      </c>
      <c r="E44" s="239" t="s">
        <v>2123</v>
      </c>
      <c r="F44" s="138" t="s">
        <v>2124</v>
      </c>
      <c r="G44" s="138" t="s">
        <v>4896</v>
      </c>
      <c r="H44" s="138" t="s">
        <v>887</v>
      </c>
      <c r="I44" s="452" t="str">
        <f t="array" ref="I44">INDEX('空中攻撃'!$O$3:$AB$109, MATCH($A$1,'空中攻撃'!$A$3:$A$109,0), MATCH(A44,'空中攻撃'!$O$2:$S$2,0))</f>
        <v>16</v>
      </c>
      <c r="J44" s="455" t="s">
        <v>154</v>
      </c>
      <c r="K44" s="2957">
        <v>367.0</v>
      </c>
      <c r="L44" s="138">
        <v>100.0</v>
      </c>
      <c r="M44" s="138">
        <v>0.0</v>
      </c>
      <c r="N44" s="138" t="s">
        <v>4897</v>
      </c>
      <c r="O44" s="138">
        <v>0.0</v>
      </c>
      <c r="P44" s="138">
        <v>0.8</v>
      </c>
      <c r="Q44" s="138">
        <v>1.0</v>
      </c>
      <c r="R44" s="163"/>
      <c r="S44" s="164"/>
      <c r="T44" s="164"/>
      <c r="U44" s="164"/>
      <c r="V44" s="104"/>
    </row>
    <row r="45" outlineLevel="1">
      <c r="A45" s="146"/>
      <c r="B45" s="373" t="s">
        <v>131</v>
      </c>
      <c r="C45" s="239" t="s">
        <v>305</v>
      </c>
      <c r="D45" s="210"/>
      <c r="E45" s="239" t="s">
        <v>2123</v>
      </c>
      <c r="F45" s="138" t="s">
        <v>2124</v>
      </c>
      <c r="G45" s="138" t="s">
        <v>4896</v>
      </c>
      <c r="H45" s="138" t="s">
        <v>887</v>
      </c>
      <c r="I45" s="210"/>
      <c r="J45" s="210"/>
      <c r="K45" s="138">
        <v>367.0</v>
      </c>
      <c r="L45" s="138">
        <v>100.0</v>
      </c>
      <c r="M45" s="138">
        <v>0.0</v>
      </c>
      <c r="N45" s="138" t="s">
        <v>4898</v>
      </c>
      <c r="O45" s="138">
        <v>0.0</v>
      </c>
      <c r="P45" s="138">
        <v>0.8</v>
      </c>
      <c r="Q45" s="138">
        <v>1.0</v>
      </c>
      <c r="R45" s="212"/>
      <c r="V45" s="210"/>
    </row>
    <row r="46" outlineLevel="1">
      <c r="A46" s="156"/>
      <c r="B46" s="373" t="s">
        <v>434</v>
      </c>
      <c r="C46" s="239" t="s">
        <v>454</v>
      </c>
      <c r="D46" s="107"/>
      <c r="E46" s="239" t="s">
        <v>2815</v>
      </c>
      <c r="F46" s="138" t="s">
        <v>2816</v>
      </c>
      <c r="G46" s="138" t="s">
        <v>4899</v>
      </c>
      <c r="H46" s="138" t="s">
        <v>914</v>
      </c>
      <c r="I46" s="107"/>
      <c r="J46" s="107"/>
      <c r="K46" s="138">
        <v>361.0</v>
      </c>
      <c r="L46" s="138" t="s">
        <v>4900</v>
      </c>
      <c r="M46" s="145">
        <v>45.0</v>
      </c>
      <c r="N46" s="145">
        <v>0.0</v>
      </c>
      <c r="O46" s="138">
        <v>0.0</v>
      </c>
      <c r="P46" s="138" t="s">
        <v>4901</v>
      </c>
      <c r="Q46" s="138">
        <v>1.0</v>
      </c>
      <c r="R46" s="106"/>
      <c r="S46" s="168"/>
      <c r="T46" s="168"/>
      <c r="U46" s="168"/>
      <c r="V46" s="107"/>
    </row>
    <row r="47" outlineLevel="1">
      <c r="A47" s="213" t="s">
        <v>157</v>
      </c>
      <c r="B47" s="373"/>
      <c r="C47" s="239" t="s">
        <v>627</v>
      </c>
      <c r="D47" s="467" t="s">
        <v>127</v>
      </c>
      <c r="E47" s="365" t="s">
        <v>153</v>
      </c>
      <c r="F47" s="138">
        <v>19.2</v>
      </c>
      <c r="G47" s="138">
        <v>16.32</v>
      </c>
      <c r="H47" s="138" t="s">
        <v>102</v>
      </c>
      <c r="I47" s="774">
        <f t="array" ref="I47">INDEX('空中攻撃'!$O$3:$AB$109, MATCH($A$1,'空中攻撃'!$A$3:$A$109,0), MATCH(A47,'空中攻撃'!$O$2:$S$2,0))</f>
        <v>17</v>
      </c>
      <c r="J47" s="467" t="s">
        <v>4902</v>
      </c>
      <c r="K47" s="138">
        <v>361.0</v>
      </c>
      <c r="L47" s="138">
        <v>83.0</v>
      </c>
      <c r="M47" s="145">
        <v>35.0</v>
      </c>
      <c r="N47" s="145">
        <v>0.0</v>
      </c>
      <c r="O47" s="138">
        <v>0.0</v>
      </c>
      <c r="P47" s="138">
        <v>1.0</v>
      </c>
      <c r="Q47" s="138">
        <v>1.0</v>
      </c>
      <c r="R47" s="151"/>
      <c r="S47" s="110"/>
      <c r="T47" s="110"/>
      <c r="U47" s="110"/>
      <c r="V47" s="109"/>
    </row>
    <row r="48" outlineLevel="1">
      <c r="A48" s="188" t="s">
        <v>162</v>
      </c>
      <c r="B48" s="373"/>
      <c r="C48" s="239" t="s">
        <v>299</v>
      </c>
      <c r="D48" s="455" t="s">
        <v>118</v>
      </c>
      <c r="E48" s="365" t="s">
        <v>967</v>
      </c>
      <c r="F48" s="138" t="s">
        <v>968</v>
      </c>
      <c r="G48" s="138" t="s">
        <v>4903</v>
      </c>
      <c r="H48" s="138" t="s">
        <v>318</v>
      </c>
      <c r="I48" s="452" t="str">
        <f t="array" ref="I48">INDEX('空中攻撃'!$O$3:$AB$109, MATCH($A$1,'空中攻撃'!$A$3:$A$109,0), MATCH(A48,'空中攻撃'!$O$2:$S$2,0))</f>
        <v>14</v>
      </c>
      <c r="J48" s="455" t="s">
        <v>1177</v>
      </c>
      <c r="K48" s="138" t="s">
        <v>4904</v>
      </c>
      <c r="L48" s="138" t="s">
        <v>4905</v>
      </c>
      <c r="M48" s="145">
        <v>70.0</v>
      </c>
      <c r="N48" s="145">
        <v>0.0</v>
      </c>
      <c r="O48" s="138">
        <v>0.0</v>
      </c>
      <c r="P48" s="138" t="s">
        <v>4906</v>
      </c>
      <c r="Q48" s="138">
        <v>1.0</v>
      </c>
      <c r="R48" s="163"/>
      <c r="S48" s="164"/>
      <c r="T48" s="164"/>
      <c r="U48" s="164"/>
      <c r="V48" s="104"/>
    </row>
    <row r="49" outlineLevel="1">
      <c r="A49" s="156"/>
      <c r="B49" s="373" t="s">
        <v>84</v>
      </c>
      <c r="C49" s="239" t="s">
        <v>228</v>
      </c>
      <c r="D49" s="107"/>
      <c r="E49" s="239" t="s">
        <v>129</v>
      </c>
      <c r="F49" s="138">
        <v>14.4</v>
      </c>
      <c r="G49" s="138">
        <v>12.24</v>
      </c>
      <c r="H49" s="138" t="s">
        <v>75</v>
      </c>
      <c r="I49" s="107"/>
      <c r="J49" s="107"/>
      <c r="K49" s="138">
        <v>90.0</v>
      </c>
      <c r="L49" s="138">
        <v>64.0</v>
      </c>
      <c r="M49" s="145">
        <v>70.0</v>
      </c>
      <c r="N49" s="145">
        <v>0.0</v>
      </c>
      <c r="O49" s="138">
        <v>0.0</v>
      </c>
      <c r="P49" s="138">
        <v>1.4</v>
      </c>
      <c r="Q49" s="138">
        <v>1.0</v>
      </c>
      <c r="R49" s="106"/>
      <c r="S49" s="168"/>
      <c r="T49" s="168"/>
      <c r="U49" s="168"/>
      <c r="V49" s="107"/>
    </row>
    <row r="50" outlineLevel="1">
      <c r="A50" s="188" t="s">
        <v>166</v>
      </c>
      <c r="B50" s="373" t="s">
        <v>155</v>
      </c>
      <c r="C50" s="239" t="s">
        <v>4000</v>
      </c>
      <c r="D50" s="455" t="s">
        <v>300</v>
      </c>
      <c r="E50" s="239" t="s">
        <v>119</v>
      </c>
      <c r="F50" s="138">
        <v>16.8</v>
      </c>
      <c r="G50" s="138">
        <v>14.28</v>
      </c>
      <c r="H50" s="138" t="s">
        <v>75</v>
      </c>
      <c r="I50" s="452">
        <f t="array" ref="I50">INDEX('空中攻撃'!$O$3:$AB$109, MATCH($A$1,'空中攻撃'!$A$3:$A$109,0), MATCH(A50,'空中攻撃'!$O$2:$S$2,0))</f>
        <v>32</v>
      </c>
      <c r="J50" s="455" t="s">
        <v>2326</v>
      </c>
      <c r="K50" s="138">
        <v>275.0</v>
      </c>
      <c r="L50" s="138">
        <v>75.0</v>
      </c>
      <c r="M50" s="145">
        <v>55.0</v>
      </c>
      <c r="N50" s="145">
        <v>0.0</v>
      </c>
      <c r="O50" s="138">
        <v>0.0</v>
      </c>
      <c r="P50" s="138">
        <v>1.2</v>
      </c>
      <c r="Q50" s="138">
        <v>1.0</v>
      </c>
      <c r="R50" s="163"/>
      <c r="S50" s="164"/>
      <c r="T50" s="164"/>
      <c r="U50" s="164"/>
      <c r="V50" s="104"/>
    </row>
    <row r="51" outlineLevel="1">
      <c r="A51" s="156"/>
      <c r="B51" s="373" t="s">
        <v>84</v>
      </c>
      <c r="C51" s="239" t="s">
        <v>4907</v>
      </c>
      <c r="D51" s="107"/>
      <c r="E51" s="239" t="s">
        <v>129</v>
      </c>
      <c r="F51" s="138">
        <v>14.4</v>
      </c>
      <c r="G51" s="138">
        <v>12.24</v>
      </c>
      <c r="H51" s="138" t="s">
        <v>75</v>
      </c>
      <c r="I51" s="107"/>
      <c r="J51" s="107"/>
      <c r="K51" s="138">
        <v>50.0</v>
      </c>
      <c r="L51" s="138">
        <v>95.0</v>
      </c>
      <c r="M51" s="145">
        <v>45.0</v>
      </c>
      <c r="N51" s="145">
        <v>0.0</v>
      </c>
      <c r="O51" s="138">
        <v>0.0</v>
      </c>
      <c r="P51" s="138">
        <v>1.0</v>
      </c>
      <c r="Q51" s="138">
        <v>1.0</v>
      </c>
      <c r="R51" s="106"/>
      <c r="S51" s="168"/>
      <c r="T51" s="168"/>
      <c r="U51" s="168"/>
      <c r="V51" s="107"/>
    </row>
    <row r="52">
      <c r="A52" s="223"/>
      <c r="B52" s="224"/>
      <c r="C52" s="225"/>
      <c r="D52" s="225"/>
      <c r="E52" s="226"/>
      <c r="F52" s="226"/>
      <c r="G52" s="226"/>
      <c r="H52" s="227"/>
      <c r="I52" s="227"/>
      <c r="J52" s="228"/>
      <c r="K52" s="228"/>
      <c r="L52" s="228"/>
      <c r="M52" s="228"/>
      <c r="N52" s="228"/>
      <c r="O52" s="228"/>
      <c r="P52" s="228"/>
      <c r="Q52" s="118"/>
      <c r="R52" s="118"/>
      <c r="S52" s="118"/>
      <c r="T52" s="118"/>
      <c r="U52" s="118"/>
      <c r="V52" s="118"/>
    </row>
    <row r="53">
      <c r="A53" s="229" t="s">
        <v>177</v>
      </c>
      <c r="B53" s="109"/>
      <c r="C53" s="225"/>
      <c r="D53" s="225"/>
      <c r="E53" s="226"/>
      <c r="F53" s="226"/>
      <c r="G53" s="226"/>
      <c r="H53" s="227"/>
      <c r="I53" s="227"/>
      <c r="J53" s="228"/>
      <c r="K53" s="228"/>
      <c r="L53" s="228"/>
      <c r="M53" s="228"/>
      <c r="N53" s="228"/>
      <c r="O53" s="228"/>
      <c r="P53" s="228"/>
      <c r="Q53" s="118"/>
      <c r="R53" s="118"/>
      <c r="S53" s="118"/>
      <c r="T53" s="118"/>
      <c r="U53" s="118"/>
      <c r="V53" s="118"/>
    </row>
    <row r="54" outlineLevel="1">
      <c r="A54" s="230" t="s">
        <v>4908</v>
      </c>
      <c r="B54" s="109"/>
      <c r="C54" s="231" t="s">
        <v>48</v>
      </c>
      <c r="D54" s="231" t="s">
        <v>49</v>
      </c>
      <c r="E54" s="232" t="s">
        <v>50</v>
      </c>
      <c r="F54" s="233" t="s">
        <v>51</v>
      </c>
      <c r="G54" s="232" t="s">
        <v>52</v>
      </c>
      <c r="H54" s="382" t="s">
        <v>53</v>
      </c>
      <c r="I54" s="110"/>
      <c r="J54" s="109"/>
      <c r="K54" s="235" t="s">
        <v>137</v>
      </c>
      <c r="L54" s="235" t="s">
        <v>138</v>
      </c>
      <c r="M54" s="235" t="s">
        <v>139</v>
      </c>
      <c r="N54" s="235" t="s">
        <v>140</v>
      </c>
      <c r="O54" s="236" t="s">
        <v>141</v>
      </c>
      <c r="P54" s="235" t="s">
        <v>142</v>
      </c>
      <c r="Q54" s="236" t="s">
        <v>143</v>
      </c>
      <c r="R54" s="235" t="s">
        <v>179</v>
      </c>
      <c r="S54" s="236" t="s">
        <v>180</v>
      </c>
      <c r="T54" s="236" t="s">
        <v>181</v>
      </c>
      <c r="U54" s="236" t="s">
        <v>182</v>
      </c>
      <c r="V54" s="236" t="s">
        <v>183</v>
      </c>
    </row>
    <row r="55" outlineLevel="1">
      <c r="A55" s="237" t="s">
        <v>184</v>
      </c>
      <c r="B55" s="243" t="s">
        <v>333</v>
      </c>
      <c r="C55" s="239" t="s">
        <v>2900</v>
      </c>
      <c r="D55" s="367" t="s">
        <v>300</v>
      </c>
      <c r="E55" s="239" t="s">
        <v>1438</v>
      </c>
      <c r="F55" s="138">
        <v>5.3999999999999995</v>
      </c>
      <c r="G55" s="239" t="s">
        <v>60</v>
      </c>
      <c r="H55" s="283" t="s">
        <v>4909</v>
      </c>
      <c r="I55" s="164"/>
      <c r="J55" s="104"/>
      <c r="K55" s="138">
        <v>361.0</v>
      </c>
      <c r="L55" s="138">
        <v>48.0</v>
      </c>
      <c r="M55" s="145">
        <v>25.0</v>
      </c>
      <c r="N55" s="145">
        <v>0.0</v>
      </c>
      <c r="O55" s="1360">
        <v>-2.0</v>
      </c>
      <c r="P55" s="138">
        <v>1.0</v>
      </c>
      <c r="Q55" s="138">
        <v>1.0</v>
      </c>
      <c r="R55" s="145" t="b">
        <v>1</v>
      </c>
      <c r="S55" s="145" t="b">
        <v>1</v>
      </c>
      <c r="T55" s="145" t="b">
        <v>1</v>
      </c>
      <c r="U55" s="166" t="s">
        <v>186</v>
      </c>
      <c r="V55" s="166" t="b">
        <v>1</v>
      </c>
    </row>
    <row r="56" outlineLevel="1">
      <c r="A56" s="146"/>
      <c r="B56" s="663" t="s">
        <v>4910</v>
      </c>
      <c r="C56" s="239" t="s">
        <v>4911</v>
      </c>
      <c r="D56" s="156"/>
      <c r="E56" s="239" t="s">
        <v>651</v>
      </c>
      <c r="F56" s="138">
        <v>4.2</v>
      </c>
      <c r="G56" s="239" t="s">
        <v>170</v>
      </c>
      <c r="H56" s="212"/>
      <c r="J56" s="210"/>
      <c r="K56" s="138">
        <v>361.0</v>
      </c>
      <c r="L56" s="138">
        <v>48.0</v>
      </c>
      <c r="M56" s="145">
        <v>25.0</v>
      </c>
      <c r="N56" s="145">
        <v>0.0</v>
      </c>
      <c r="O56" s="1360">
        <v>-2.0</v>
      </c>
      <c r="P56" s="138">
        <v>1.0</v>
      </c>
      <c r="Q56" s="138">
        <v>1.0</v>
      </c>
      <c r="R56" s="145" t="b">
        <v>0</v>
      </c>
      <c r="S56" s="145" t="b">
        <v>0</v>
      </c>
      <c r="T56" s="145" t="b">
        <v>1</v>
      </c>
      <c r="U56" s="146"/>
      <c r="V56" s="146"/>
    </row>
    <row r="57" outlineLevel="1">
      <c r="A57" s="146"/>
      <c r="B57" s="663" t="s">
        <v>340</v>
      </c>
      <c r="C57" s="239" t="s">
        <v>4912</v>
      </c>
      <c r="D57" s="367" t="s">
        <v>358</v>
      </c>
      <c r="E57" s="239" t="s">
        <v>4913</v>
      </c>
      <c r="F57" s="138">
        <v>6.80192304</v>
      </c>
      <c r="G57" s="239" t="s">
        <v>60</v>
      </c>
      <c r="H57" s="212"/>
      <c r="J57" s="210"/>
      <c r="K57" s="138">
        <v>361.0</v>
      </c>
      <c r="L57" s="138">
        <v>48.0</v>
      </c>
      <c r="M57" s="145">
        <v>25.0</v>
      </c>
      <c r="N57" s="145">
        <v>0.0</v>
      </c>
      <c r="O57" s="1360">
        <v>-2.0</v>
      </c>
      <c r="P57" s="138">
        <v>1.0</v>
      </c>
      <c r="Q57" s="138">
        <v>1.0</v>
      </c>
      <c r="R57" s="145" t="b">
        <v>0</v>
      </c>
      <c r="S57" s="145" t="b">
        <v>0</v>
      </c>
      <c r="T57" s="145" t="b">
        <v>1</v>
      </c>
      <c r="U57" s="146"/>
      <c r="V57" s="146"/>
    </row>
    <row r="58" outlineLevel="1">
      <c r="A58" s="146"/>
      <c r="B58" s="663" t="s">
        <v>4228</v>
      </c>
      <c r="C58" s="239" t="s">
        <v>4914</v>
      </c>
      <c r="D58" s="156"/>
      <c r="E58" s="239" t="s">
        <v>4915</v>
      </c>
      <c r="F58" s="138">
        <v>5.290385039999999</v>
      </c>
      <c r="G58" s="239" t="s">
        <v>60</v>
      </c>
      <c r="H58" s="212"/>
      <c r="J58" s="210"/>
      <c r="K58" s="138">
        <v>361.0</v>
      </c>
      <c r="L58" s="138">
        <v>48.0</v>
      </c>
      <c r="M58" s="145">
        <v>25.0</v>
      </c>
      <c r="N58" s="145">
        <v>0.0</v>
      </c>
      <c r="O58" s="1360">
        <v>-2.0</v>
      </c>
      <c r="P58" s="138">
        <v>1.0</v>
      </c>
      <c r="Q58" s="138">
        <v>1.0</v>
      </c>
      <c r="R58" s="145" t="b">
        <v>0</v>
      </c>
      <c r="S58" s="145" t="b">
        <v>0</v>
      </c>
      <c r="T58" s="145" t="b">
        <v>1</v>
      </c>
      <c r="U58" s="146"/>
      <c r="V58" s="146"/>
    </row>
    <row r="59" outlineLevel="1">
      <c r="A59" s="146"/>
      <c r="B59" s="663" t="s">
        <v>4916</v>
      </c>
      <c r="C59" s="261"/>
      <c r="D59" s="239" t="s">
        <v>300</v>
      </c>
      <c r="E59" s="261"/>
      <c r="F59" s="261"/>
      <c r="G59" s="261"/>
      <c r="H59" s="106"/>
      <c r="I59" s="168"/>
      <c r="J59" s="107"/>
      <c r="K59" s="261"/>
      <c r="L59" s="261"/>
      <c r="M59" s="261"/>
      <c r="N59" s="261"/>
      <c r="O59" s="261"/>
      <c r="P59" s="261"/>
      <c r="Q59" s="261"/>
      <c r="R59" s="261"/>
      <c r="S59" s="261"/>
      <c r="T59" s="261"/>
      <c r="U59" s="156"/>
      <c r="V59" s="156"/>
    </row>
    <row r="60" outlineLevel="1">
      <c r="A60" s="230" t="s">
        <v>4917</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236" t="s">
        <v>183</v>
      </c>
    </row>
    <row r="61" outlineLevel="1">
      <c r="A61" s="259" t="s">
        <v>332</v>
      </c>
      <c r="B61" s="243" t="s">
        <v>1152</v>
      </c>
      <c r="C61" s="367" t="s">
        <v>4918</v>
      </c>
      <c r="D61" s="239" t="s">
        <v>2533</v>
      </c>
      <c r="E61" s="261"/>
      <c r="F61" s="261"/>
      <c r="G61" s="261"/>
      <c r="H61" s="163" t="s">
        <v>4919</v>
      </c>
      <c r="I61" s="164"/>
      <c r="J61" s="104"/>
      <c r="K61" s="261"/>
      <c r="L61" s="261"/>
      <c r="M61" s="261"/>
      <c r="N61" s="261"/>
      <c r="O61" s="261"/>
      <c r="P61" s="261"/>
      <c r="Q61" s="261"/>
      <c r="R61" s="261"/>
      <c r="S61" s="261"/>
      <c r="T61" s="261"/>
      <c r="U61" s="166" t="s">
        <v>186</v>
      </c>
      <c r="V61" s="166" t="b">
        <v>1</v>
      </c>
    </row>
    <row r="62" outlineLevel="1">
      <c r="A62" s="259" t="s">
        <v>344</v>
      </c>
      <c r="B62" s="243" t="s">
        <v>1152</v>
      </c>
      <c r="C62" s="156"/>
      <c r="D62" s="239" t="s">
        <v>424</v>
      </c>
      <c r="E62" s="261"/>
      <c r="F62" s="261"/>
      <c r="G62" s="261"/>
      <c r="H62" s="212"/>
      <c r="J62" s="210"/>
      <c r="K62" s="261"/>
      <c r="L62" s="261"/>
      <c r="M62" s="261"/>
      <c r="N62" s="261"/>
      <c r="O62" s="261"/>
      <c r="P62" s="261"/>
      <c r="Q62" s="261"/>
      <c r="R62" s="261"/>
      <c r="S62" s="261"/>
      <c r="T62" s="261"/>
      <c r="U62" s="146"/>
      <c r="V62" s="146"/>
    </row>
    <row r="63" outlineLevel="1">
      <c r="A63" s="237" t="s">
        <v>184</v>
      </c>
      <c r="B63" s="243" t="s">
        <v>4920</v>
      </c>
      <c r="C63" s="239" t="s">
        <v>204</v>
      </c>
      <c r="D63" s="2960"/>
      <c r="E63" s="239" t="s">
        <v>73</v>
      </c>
      <c r="F63" s="138">
        <v>4.8</v>
      </c>
      <c r="G63" s="138" t="s">
        <v>75</v>
      </c>
      <c r="H63" s="212"/>
      <c r="J63" s="210"/>
      <c r="K63" s="138">
        <v>75.0</v>
      </c>
      <c r="L63" s="138">
        <v>100.0</v>
      </c>
      <c r="M63" s="138">
        <v>90.0</v>
      </c>
      <c r="N63" s="138">
        <v>0.0</v>
      </c>
      <c r="O63" s="138">
        <v>0.0</v>
      </c>
      <c r="P63" s="138">
        <v>0.8</v>
      </c>
      <c r="Q63" s="138">
        <v>1.0</v>
      </c>
      <c r="R63" s="145" t="b">
        <v>0</v>
      </c>
      <c r="S63" s="145" t="b">
        <v>0</v>
      </c>
      <c r="T63" s="145"/>
      <c r="U63" s="146"/>
      <c r="V63" s="146"/>
    </row>
    <row r="64" outlineLevel="1">
      <c r="A64" s="146"/>
      <c r="B64" s="243" t="s">
        <v>4921</v>
      </c>
      <c r="C64" s="239" t="s">
        <v>4922</v>
      </c>
      <c r="D64" s="156"/>
      <c r="E64" s="239" t="s">
        <v>176</v>
      </c>
      <c r="F64" s="138">
        <v>2.4</v>
      </c>
      <c r="G64" s="138" t="s">
        <v>60</v>
      </c>
      <c r="H64" s="212"/>
      <c r="J64" s="210"/>
      <c r="K64" s="138">
        <v>100.0</v>
      </c>
      <c r="L64" s="138">
        <v>100.0</v>
      </c>
      <c r="M64" s="138">
        <v>50.0</v>
      </c>
      <c r="N64" s="138">
        <v>100.0</v>
      </c>
      <c r="O64" s="138">
        <v>0.0</v>
      </c>
      <c r="P64" s="138">
        <v>0.0</v>
      </c>
      <c r="Q64" s="138">
        <v>0.0</v>
      </c>
      <c r="R64" s="145" t="b">
        <v>0</v>
      </c>
      <c r="S64" s="145" t="b">
        <v>0</v>
      </c>
      <c r="T64" s="145"/>
      <c r="U64" s="146"/>
      <c r="V64" s="146"/>
    </row>
    <row r="65" outlineLevel="1">
      <c r="A65" s="146"/>
      <c r="B65" s="243" t="s">
        <v>4923</v>
      </c>
      <c r="C65" s="239" t="s">
        <v>93</v>
      </c>
      <c r="D65" s="239" t="s">
        <v>221</v>
      </c>
      <c r="E65" s="239" t="s">
        <v>93</v>
      </c>
      <c r="F65" s="138">
        <v>8.4</v>
      </c>
      <c r="G65" s="261"/>
      <c r="H65" s="212"/>
      <c r="J65" s="210"/>
      <c r="K65" s="138">
        <v>50.0</v>
      </c>
      <c r="L65" s="138">
        <v>83.0</v>
      </c>
      <c r="M65" s="145">
        <v>75.0</v>
      </c>
      <c r="N65" s="145">
        <v>0.0</v>
      </c>
      <c r="O65" s="261"/>
      <c r="P65" s="261"/>
      <c r="Q65" s="261"/>
      <c r="R65" s="261"/>
      <c r="S65" s="261"/>
      <c r="T65" s="261"/>
      <c r="U65" s="146"/>
      <c r="V65" s="146"/>
    </row>
    <row r="66" outlineLevel="1">
      <c r="A66" s="146"/>
      <c r="B66" s="243" t="s">
        <v>4924</v>
      </c>
      <c r="C66" s="239" t="s">
        <v>150</v>
      </c>
      <c r="D66" s="239" t="s">
        <v>146</v>
      </c>
      <c r="E66" s="239" t="s">
        <v>129</v>
      </c>
      <c r="F66" s="138">
        <v>14.399999999999999</v>
      </c>
      <c r="G66" s="261"/>
      <c r="H66" s="212"/>
      <c r="J66" s="210"/>
      <c r="K66" s="138">
        <v>145.0</v>
      </c>
      <c r="L66" s="138">
        <v>65.0</v>
      </c>
      <c r="M66" s="145">
        <v>100.0</v>
      </c>
      <c r="N66" s="145">
        <v>0.0</v>
      </c>
      <c r="O66" s="261"/>
      <c r="P66" s="261"/>
      <c r="Q66" s="261"/>
      <c r="R66" s="261"/>
      <c r="S66" s="261"/>
      <c r="T66" s="261"/>
      <c r="U66" s="146"/>
      <c r="V66" s="146"/>
    </row>
    <row r="67" outlineLevel="1">
      <c r="A67" s="146"/>
      <c r="B67" s="243" t="s">
        <v>242</v>
      </c>
      <c r="C67" s="239" t="s">
        <v>176</v>
      </c>
      <c r="D67" s="365" t="s">
        <v>282</v>
      </c>
      <c r="E67" s="239" t="s">
        <v>93</v>
      </c>
      <c r="F67" s="138">
        <v>8.4</v>
      </c>
      <c r="G67" s="261"/>
      <c r="H67" s="212"/>
      <c r="J67" s="210"/>
      <c r="K67" s="138">
        <v>45.0</v>
      </c>
      <c r="L67" s="138">
        <v>46.0</v>
      </c>
      <c r="M67" s="145">
        <v>85.0</v>
      </c>
      <c r="N67" s="145">
        <v>0.0</v>
      </c>
      <c r="O67" s="261"/>
      <c r="P67" s="261"/>
      <c r="Q67" s="261"/>
      <c r="R67" s="261"/>
      <c r="S67" s="261"/>
      <c r="T67" s="261"/>
      <c r="U67" s="146"/>
      <c r="V67" s="146"/>
    </row>
    <row r="68" outlineLevel="1">
      <c r="A68" s="156"/>
      <c r="B68" s="243" t="s">
        <v>4925</v>
      </c>
      <c r="C68" s="261"/>
      <c r="D68" s="239" t="s">
        <v>99</v>
      </c>
      <c r="E68" s="261"/>
      <c r="F68" s="261"/>
      <c r="G68" s="261"/>
      <c r="H68" s="106"/>
      <c r="I68" s="168"/>
      <c r="J68" s="107"/>
      <c r="K68" s="261"/>
      <c r="L68" s="261"/>
      <c r="M68" s="261"/>
      <c r="N68" s="261"/>
      <c r="O68" s="261"/>
      <c r="P68" s="261"/>
      <c r="Q68" s="261"/>
      <c r="R68" s="261"/>
      <c r="S68" s="261"/>
      <c r="T68" s="261"/>
      <c r="U68" s="156"/>
      <c r="V68" s="156"/>
    </row>
    <row r="69" outlineLevel="1">
      <c r="A69" s="230" t="s">
        <v>4926</v>
      </c>
      <c r="B69" s="109"/>
      <c r="C69" s="231" t="s">
        <v>48</v>
      </c>
      <c r="D69" s="231" t="s">
        <v>49</v>
      </c>
      <c r="E69" s="232" t="s">
        <v>50</v>
      </c>
      <c r="F69" s="233" t="s">
        <v>51</v>
      </c>
      <c r="G69" s="232" t="s">
        <v>52</v>
      </c>
      <c r="H69" s="382" t="s">
        <v>53</v>
      </c>
      <c r="I69" s="110"/>
      <c r="J69" s="109"/>
      <c r="K69" s="235" t="s">
        <v>137</v>
      </c>
      <c r="L69" s="235" t="s">
        <v>138</v>
      </c>
      <c r="M69" s="235" t="s">
        <v>139</v>
      </c>
      <c r="N69" s="235" t="s">
        <v>140</v>
      </c>
      <c r="O69" s="236" t="s">
        <v>141</v>
      </c>
      <c r="P69" s="235" t="s">
        <v>142</v>
      </c>
      <c r="Q69" s="236" t="s">
        <v>143</v>
      </c>
      <c r="R69" s="235" t="s">
        <v>179</v>
      </c>
      <c r="S69" s="236" t="s">
        <v>180</v>
      </c>
      <c r="T69" s="236" t="s">
        <v>181</v>
      </c>
      <c r="U69" s="236" t="s">
        <v>182</v>
      </c>
      <c r="V69" s="236" t="s">
        <v>183</v>
      </c>
    </row>
    <row r="70" ht="27.75" customHeight="1" outlineLevel="1">
      <c r="A70" s="237" t="s">
        <v>184</v>
      </c>
      <c r="B70" s="402" t="s">
        <v>4927</v>
      </c>
      <c r="C70" s="239" t="s">
        <v>3976</v>
      </c>
      <c r="D70" s="250"/>
      <c r="E70" s="239" t="s">
        <v>153</v>
      </c>
      <c r="F70" s="138">
        <v>19.2</v>
      </c>
      <c r="G70" s="239" t="s">
        <v>82</v>
      </c>
      <c r="H70" s="163" t="s">
        <v>4928</v>
      </c>
      <c r="I70" s="164"/>
      <c r="J70" s="104"/>
      <c r="K70" s="138"/>
      <c r="L70" s="138"/>
      <c r="M70" s="145"/>
      <c r="N70" s="145"/>
      <c r="O70" s="138">
        <v>0.0</v>
      </c>
      <c r="P70" s="138">
        <v>1.0</v>
      </c>
      <c r="Q70" s="138">
        <v>1.0</v>
      </c>
      <c r="R70" s="145" t="b">
        <v>1</v>
      </c>
      <c r="S70" s="145" t="b">
        <v>0</v>
      </c>
      <c r="T70" s="145"/>
      <c r="U70" s="166" t="b">
        <v>0</v>
      </c>
      <c r="V70" s="166" t="b">
        <v>0</v>
      </c>
    </row>
    <row r="71" ht="27.75" customHeight="1" outlineLevel="1">
      <c r="A71" s="146"/>
      <c r="B71" s="402" t="s">
        <v>4929</v>
      </c>
      <c r="C71" s="261"/>
      <c r="D71" s="138">
        <v>39.0</v>
      </c>
      <c r="E71" s="261"/>
      <c r="F71" s="261"/>
      <c r="G71" s="261"/>
      <c r="H71" s="212"/>
      <c r="J71" s="210"/>
      <c r="K71" s="261"/>
      <c r="L71" s="261"/>
      <c r="M71" s="261"/>
      <c r="N71" s="261"/>
      <c r="O71" s="261"/>
      <c r="P71" s="261"/>
      <c r="Q71" s="261"/>
      <c r="R71" s="261"/>
      <c r="S71" s="261"/>
      <c r="T71" s="261"/>
      <c r="U71" s="146"/>
      <c r="V71" s="146"/>
    </row>
    <row r="72" ht="27.75" customHeight="1" outlineLevel="1">
      <c r="A72" s="146"/>
      <c r="B72" s="402" t="s">
        <v>4930</v>
      </c>
      <c r="C72" s="239" t="s">
        <v>3976</v>
      </c>
      <c r="D72" s="1295"/>
      <c r="E72" s="239" t="s">
        <v>153</v>
      </c>
      <c r="F72" s="138">
        <v>19.2</v>
      </c>
      <c r="G72" s="239" t="s">
        <v>82</v>
      </c>
      <c r="H72" s="212"/>
      <c r="J72" s="210"/>
      <c r="K72" s="138"/>
      <c r="L72" s="138"/>
      <c r="M72" s="145"/>
      <c r="N72" s="145"/>
      <c r="O72" s="138">
        <v>0.0</v>
      </c>
      <c r="P72" s="138">
        <v>1.0</v>
      </c>
      <c r="Q72" s="138">
        <v>1.0</v>
      </c>
      <c r="R72" s="145" t="b">
        <v>1</v>
      </c>
      <c r="S72" s="145" t="b">
        <v>0</v>
      </c>
      <c r="T72" s="145"/>
      <c r="U72" s="146"/>
      <c r="V72" s="146"/>
    </row>
    <row r="73" ht="27.75" customHeight="1" outlineLevel="1">
      <c r="A73" s="146"/>
      <c r="B73" s="402" t="s">
        <v>4931</v>
      </c>
      <c r="C73" s="239" t="s">
        <v>4932</v>
      </c>
      <c r="D73" s="1295"/>
      <c r="E73" s="239" t="s">
        <v>466</v>
      </c>
      <c r="F73" s="138">
        <v>21.599999999999998</v>
      </c>
      <c r="G73" s="239" t="s">
        <v>294</v>
      </c>
      <c r="H73" s="212"/>
      <c r="J73" s="210"/>
      <c r="K73" s="138">
        <v>64.0</v>
      </c>
      <c r="L73" s="138">
        <v>46.0</v>
      </c>
      <c r="M73" s="145">
        <v>85.0</v>
      </c>
      <c r="N73" s="145">
        <v>0.0</v>
      </c>
      <c r="O73" s="138">
        <v>0.0</v>
      </c>
      <c r="P73" s="138">
        <v>1.0</v>
      </c>
      <c r="Q73" s="138">
        <v>1.0</v>
      </c>
      <c r="R73" s="145" t="b">
        <v>1</v>
      </c>
      <c r="S73" s="145" t="b">
        <v>0</v>
      </c>
      <c r="T73" s="145" t="b">
        <v>0</v>
      </c>
      <c r="U73" s="146"/>
      <c r="V73" s="146"/>
    </row>
    <row r="74" ht="27.75" customHeight="1" outlineLevel="1">
      <c r="A74" s="146"/>
      <c r="B74" s="402" t="s">
        <v>4933</v>
      </c>
      <c r="C74" s="239" t="s">
        <v>4934</v>
      </c>
      <c r="D74" s="2961"/>
      <c r="E74" s="239" t="s">
        <v>386</v>
      </c>
      <c r="F74" s="138">
        <v>18.0</v>
      </c>
      <c r="G74" s="239" t="s">
        <v>82</v>
      </c>
      <c r="H74" s="212"/>
      <c r="J74" s="210"/>
      <c r="K74" s="138" t="s">
        <v>4935</v>
      </c>
      <c r="L74" s="138" t="s">
        <v>4936</v>
      </c>
      <c r="M74" s="145" t="s">
        <v>4937</v>
      </c>
      <c r="N74" s="145">
        <v>0.0</v>
      </c>
      <c r="O74" s="138">
        <v>0.0</v>
      </c>
      <c r="P74" s="138" t="s">
        <v>4938</v>
      </c>
      <c r="Q74" s="138">
        <v>1.0</v>
      </c>
      <c r="R74" s="145" t="b">
        <v>1</v>
      </c>
      <c r="S74" s="145" t="b">
        <v>0</v>
      </c>
      <c r="T74" s="145" t="b">
        <v>0</v>
      </c>
      <c r="U74" s="146"/>
      <c r="V74" s="146"/>
    </row>
    <row r="75" ht="27.75" customHeight="1" outlineLevel="1">
      <c r="A75" s="156"/>
      <c r="B75" s="402" t="s">
        <v>4939</v>
      </c>
      <c r="C75" s="239" t="s">
        <v>175</v>
      </c>
      <c r="D75" s="138">
        <v>35.0</v>
      </c>
      <c r="E75" s="239" t="s">
        <v>150</v>
      </c>
      <c r="F75" s="138">
        <v>6.0</v>
      </c>
      <c r="G75" s="239" t="s">
        <v>102</v>
      </c>
      <c r="H75" s="106"/>
      <c r="I75" s="168"/>
      <c r="J75" s="107"/>
      <c r="K75" s="138">
        <v>42.0</v>
      </c>
      <c r="L75" s="138">
        <v>70.0</v>
      </c>
      <c r="M75" s="145">
        <v>80.0</v>
      </c>
      <c r="N75" s="145">
        <v>0.0</v>
      </c>
      <c r="O75" s="138">
        <v>0.0</v>
      </c>
      <c r="P75" s="138">
        <v>1.0</v>
      </c>
      <c r="Q75" s="138">
        <v>1.0</v>
      </c>
      <c r="R75" s="145" t="b">
        <v>1</v>
      </c>
      <c r="S75" s="145" t="b">
        <v>0</v>
      </c>
      <c r="T75" s="145" t="b">
        <v>0</v>
      </c>
      <c r="U75" s="156"/>
      <c r="V75" s="156"/>
    </row>
    <row r="76" outlineLevel="1">
      <c r="A76" s="230" t="s">
        <v>4940</v>
      </c>
      <c r="B76" s="109"/>
      <c r="C76" s="231" t="s">
        <v>48</v>
      </c>
      <c r="D76" s="231" t="s">
        <v>49</v>
      </c>
      <c r="E76" s="232" t="s">
        <v>50</v>
      </c>
      <c r="F76" s="233" t="s">
        <v>51</v>
      </c>
      <c r="G76" s="232"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236" t="s">
        <v>183</v>
      </c>
    </row>
    <row r="77" ht="18.0" customHeight="1" outlineLevel="1">
      <c r="A77" s="546" t="s">
        <v>184</v>
      </c>
      <c r="B77" s="402" t="s">
        <v>666</v>
      </c>
      <c r="C77" s="239" t="s">
        <v>574</v>
      </c>
      <c r="D77" s="113" t="s">
        <v>208</v>
      </c>
      <c r="E77" s="239" t="s">
        <v>150</v>
      </c>
      <c r="F77" s="138">
        <v>6.0</v>
      </c>
      <c r="G77" s="239" t="s">
        <v>102</v>
      </c>
      <c r="H77" s="163" t="s">
        <v>4941</v>
      </c>
      <c r="I77" s="164"/>
      <c r="J77" s="104"/>
      <c r="K77" s="138">
        <v>361.0</v>
      </c>
      <c r="L77" s="138">
        <v>50.0</v>
      </c>
      <c r="M77" s="145">
        <v>30.0</v>
      </c>
      <c r="N77" s="145">
        <v>0.0</v>
      </c>
      <c r="O77" s="138">
        <v>0.0</v>
      </c>
      <c r="P77" s="138">
        <v>1.0</v>
      </c>
      <c r="Q77" s="138">
        <v>1.0</v>
      </c>
      <c r="R77" s="145" t="b">
        <v>0</v>
      </c>
      <c r="S77" s="145" t="b">
        <v>0</v>
      </c>
      <c r="T77" s="145"/>
      <c r="U77" s="166" t="s">
        <v>186</v>
      </c>
      <c r="V77" s="166" t="b">
        <v>1</v>
      </c>
    </row>
    <row r="78" ht="18.0" customHeight="1" outlineLevel="1">
      <c r="A78" s="146"/>
      <c r="B78" s="402" t="s">
        <v>4942</v>
      </c>
      <c r="C78" s="239" t="s">
        <v>164</v>
      </c>
      <c r="D78" s="279" t="s">
        <v>4943</v>
      </c>
      <c r="E78" s="365" t="s">
        <v>146</v>
      </c>
      <c r="F78" s="1360">
        <v>54.0</v>
      </c>
      <c r="G78" s="365" t="s">
        <v>123</v>
      </c>
      <c r="H78" s="212"/>
      <c r="J78" s="210"/>
      <c r="K78" s="138">
        <v>361.0</v>
      </c>
      <c r="L78" s="138">
        <v>30.0</v>
      </c>
      <c r="M78" s="145">
        <v>50.0</v>
      </c>
      <c r="N78" s="145">
        <v>0.0</v>
      </c>
      <c r="O78" s="1360">
        <v>-37.0</v>
      </c>
      <c r="P78" s="138">
        <v>0.6</v>
      </c>
      <c r="Q78" s="138">
        <v>1.0</v>
      </c>
      <c r="R78" s="145" t="b">
        <v>0</v>
      </c>
      <c r="S78" s="145" t="b">
        <v>0</v>
      </c>
      <c r="T78" s="145"/>
      <c r="U78" s="146"/>
      <c r="V78" s="146"/>
    </row>
    <row r="79" ht="18.0" customHeight="1" outlineLevel="1">
      <c r="A79" s="156"/>
      <c r="B79" s="402" t="s">
        <v>4944</v>
      </c>
      <c r="C79" s="239" t="s">
        <v>1839</v>
      </c>
      <c r="D79" s="156"/>
      <c r="E79" s="239" t="s">
        <v>128</v>
      </c>
      <c r="F79" s="138">
        <v>12.0</v>
      </c>
      <c r="G79" s="261"/>
      <c r="H79" s="106"/>
      <c r="I79" s="168"/>
      <c r="J79" s="107"/>
      <c r="K79" s="138">
        <v>57.0</v>
      </c>
      <c r="L79" s="138">
        <v>100.0</v>
      </c>
      <c r="M79" s="145">
        <v>0.0</v>
      </c>
      <c r="N79" s="145">
        <v>150.0</v>
      </c>
      <c r="O79" s="138">
        <v>0.0</v>
      </c>
      <c r="P79" s="138">
        <v>1.0</v>
      </c>
      <c r="Q79" s="138">
        <v>1.0</v>
      </c>
      <c r="R79" s="145" t="b">
        <v>0</v>
      </c>
      <c r="S79" s="145" t="b">
        <v>0</v>
      </c>
      <c r="T79" s="145"/>
      <c r="U79" s="156"/>
      <c r="V79" s="156"/>
    </row>
    <row r="80">
      <c r="A80" s="223"/>
      <c r="B80" s="224"/>
      <c r="C80" s="225"/>
      <c r="D80" s="225"/>
      <c r="E80" s="226"/>
      <c r="F80" s="226"/>
      <c r="G80" s="226"/>
      <c r="H80" s="227"/>
      <c r="I80" s="227"/>
      <c r="J80" s="228"/>
      <c r="K80" s="228"/>
      <c r="L80" s="228"/>
      <c r="M80" s="228"/>
      <c r="N80" s="228"/>
      <c r="O80" s="228"/>
      <c r="P80" s="228"/>
      <c r="Q80" s="118"/>
      <c r="R80" s="118"/>
      <c r="S80" s="118"/>
      <c r="T80" s="118"/>
      <c r="U80" s="118"/>
      <c r="V80" s="118"/>
    </row>
    <row r="81">
      <c r="A81" s="264" t="s">
        <v>211</v>
      </c>
      <c r="B81" s="104"/>
      <c r="C81" s="227"/>
      <c r="D81" s="227"/>
      <c r="E81" s="228"/>
      <c r="F81" s="265"/>
      <c r="G81" s="265"/>
      <c r="H81" s="228"/>
      <c r="I81" s="228"/>
      <c r="J81" s="228"/>
      <c r="K81" s="228"/>
      <c r="L81" s="228"/>
      <c r="M81" s="228"/>
      <c r="N81" s="118"/>
      <c r="O81" s="118"/>
      <c r="P81" s="118"/>
      <c r="Q81" s="228"/>
      <c r="R81" s="228"/>
      <c r="S81" s="228"/>
      <c r="T81" s="228"/>
      <c r="U81" s="228"/>
      <c r="V81" s="228"/>
    </row>
    <row r="82" outlineLevel="1">
      <c r="A82" s="106"/>
      <c r="B82" s="107"/>
      <c r="C82" s="266" t="s">
        <v>48</v>
      </c>
      <c r="D82" s="266" t="s">
        <v>49</v>
      </c>
      <c r="E82" s="266" t="s">
        <v>50</v>
      </c>
      <c r="F82" s="267" t="s">
        <v>51</v>
      </c>
      <c r="G82" s="227"/>
      <c r="H82" s="227"/>
      <c r="I82" s="227"/>
      <c r="J82" s="228"/>
      <c r="K82" s="228"/>
      <c r="L82" s="228"/>
      <c r="M82" s="228"/>
      <c r="N82" s="228"/>
      <c r="O82" s="228"/>
      <c r="P82" s="228"/>
      <c r="Q82" s="228"/>
      <c r="R82" s="228"/>
      <c r="S82" s="228"/>
      <c r="T82" s="228"/>
      <c r="U82" s="228"/>
      <c r="V82" s="228"/>
    </row>
    <row r="83" outlineLevel="1">
      <c r="A83" s="268" t="s">
        <v>212</v>
      </c>
      <c r="B83" s="269" t="s">
        <v>212</v>
      </c>
      <c r="C83" s="113" t="s">
        <v>176</v>
      </c>
      <c r="D83" s="113" t="s">
        <v>93</v>
      </c>
      <c r="E83" s="113" t="s">
        <v>381</v>
      </c>
      <c r="F83" s="138">
        <v>1.92</v>
      </c>
      <c r="G83" s="227"/>
      <c r="H83" s="227"/>
      <c r="I83" s="227"/>
      <c r="J83" s="228"/>
      <c r="K83" s="228"/>
      <c r="L83" s="228"/>
      <c r="M83" s="228"/>
      <c r="N83" s="228"/>
      <c r="O83" s="228"/>
      <c r="P83" s="228"/>
      <c r="Q83" s="228"/>
      <c r="R83" s="228"/>
      <c r="S83" s="228"/>
      <c r="T83" s="228"/>
      <c r="U83" s="228"/>
      <c r="V83" s="228"/>
    </row>
    <row r="84" outlineLevel="1">
      <c r="A84" s="270" t="s">
        <v>215</v>
      </c>
      <c r="B84" s="269" t="s">
        <v>216</v>
      </c>
      <c r="C84" s="113" t="s">
        <v>161</v>
      </c>
      <c r="D84" s="113" t="s">
        <v>218</v>
      </c>
      <c r="E84" s="271"/>
      <c r="F84" s="272"/>
      <c r="G84" s="272"/>
      <c r="H84" s="227"/>
      <c r="I84" s="227"/>
      <c r="J84" s="228"/>
      <c r="K84" s="228"/>
      <c r="L84" s="228"/>
      <c r="M84" s="228"/>
      <c r="N84" s="228"/>
      <c r="O84" s="228"/>
      <c r="P84" s="228"/>
      <c r="Q84" s="228"/>
      <c r="R84" s="228"/>
      <c r="S84" s="228"/>
      <c r="T84" s="228"/>
      <c r="U84" s="228"/>
      <c r="V84" s="228"/>
    </row>
    <row r="85" outlineLevel="1">
      <c r="A85" s="212"/>
      <c r="B85" s="269" t="s">
        <v>219</v>
      </c>
      <c r="C85" s="113" t="s">
        <v>382</v>
      </c>
      <c r="D85" s="113" t="s">
        <v>221</v>
      </c>
      <c r="E85" s="271"/>
      <c r="F85" s="272"/>
      <c r="G85" s="272"/>
      <c r="H85" s="227"/>
      <c r="I85" s="227"/>
      <c r="J85" s="228"/>
      <c r="K85" s="228"/>
      <c r="L85" s="228"/>
      <c r="M85" s="228"/>
      <c r="N85" s="228"/>
      <c r="O85" s="228"/>
      <c r="P85" s="228"/>
      <c r="Q85" s="228"/>
      <c r="R85" s="228"/>
      <c r="S85" s="228"/>
      <c r="T85" s="228"/>
      <c r="U85" s="228"/>
      <c r="V85" s="228"/>
    </row>
    <row r="86" outlineLevel="1">
      <c r="A86" s="106"/>
      <c r="B86" s="269" t="s">
        <v>222</v>
      </c>
      <c r="C86" s="113" t="s">
        <v>383</v>
      </c>
      <c r="D86" s="113" t="s">
        <v>118</v>
      </c>
      <c r="E86" s="227"/>
      <c r="F86" s="272"/>
      <c r="G86" s="272"/>
      <c r="H86" s="227"/>
      <c r="I86" s="227"/>
      <c r="J86" s="228"/>
      <c r="K86" s="228"/>
      <c r="L86" s="228"/>
      <c r="M86" s="228"/>
      <c r="N86" s="228"/>
      <c r="O86" s="228"/>
      <c r="P86" s="228"/>
      <c r="Q86" s="228"/>
      <c r="R86" s="228"/>
      <c r="S86" s="228"/>
      <c r="T86" s="228"/>
      <c r="U86" s="228"/>
      <c r="V86" s="228"/>
    </row>
    <row r="87" outlineLevel="1">
      <c r="A87" s="273" t="s">
        <v>225</v>
      </c>
      <c r="B87" s="109"/>
      <c r="C87" s="266" t="s">
        <v>48</v>
      </c>
      <c r="D87" s="266" t="s">
        <v>49</v>
      </c>
      <c r="E87" s="266" t="s">
        <v>50</v>
      </c>
      <c r="F87" s="267" t="s">
        <v>51</v>
      </c>
      <c r="G87" s="1168" t="s">
        <v>53</v>
      </c>
      <c r="H87" s="110"/>
      <c r="I87" s="110"/>
      <c r="J87" s="109"/>
      <c r="K87" s="275" t="str">
        <f>'テンプレート'!K97</f>
        <v>ベクトル</v>
      </c>
      <c r="L87" s="275" t="str">
        <f>'テンプレート'!L97</f>
        <v>KBG (R.E.)</v>
      </c>
      <c r="M87" s="275" t="str">
        <f>'テンプレート'!M97</f>
        <v>BKB (R.A.)</v>
      </c>
      <c r="N87" s="275" t="str">
        <f>'テンプレート'!N97</f>
        <v>FKB (R.F.)</v>
      </c>
      <c r="O87" s="276" t="str">
        <f>'テンプレート'!O97</f>
        <v>盾削り値</v>
      </c>
      <c r="P87" s="275" t="str">
        <f>'テンプレート'!P97</f>
        <v>ﾋｯﾄｽﾄｯﾌﾟ</v>
      </c>
      <c r="Q87" s="276" t="str">
        <f>'テンプレート'!Q97</f>
        <v>ずらし</v>
      </c>
      <c r="R87" s="277"/>
      <c r="S87" s="277"/>
      <c r="T87" s="277"/>
      <c r="U87" s="277"/>
      <c r="V87" s="277"/>
    </row>
    <row r="88" outlineLevel="1">
      <c r="A88" s="278" t="s">
        <v>226</v>
      </c>
      <c r="B88" s="269" t="s">
        <v>227</v>
      </c>
      <c r="C88" s="659"/>
      <c r="D88" s="279" t="s">
        <v>79</v>
      </c>
      <c r="E88" s="659"/>
      <c r="F88" s="659"/>
      <c r="G88" s="1170"/>
      <c r="H88" s="164"/>
      <c r="I88" s="164"/>
      <c r="J88" s="104"/>
      <c r="K88" s="659"/>
      <c r="L88" s="659"/>
      <c r="M88" s="659"/>
      <c r="N88" s="659"/>
      <c r="O88" s="659"/>
      <c r="P88" s="659"/>
      <c r="Q88" s="659"/>
      <c r="R88" s="277"/>
      <c r="S88" s="228"/>
      <c r="T88" s="228"/>
      <c r="U88" s="228"/>
      <c r="V88" s="228"/>
    </row>
    <row r="89" outlineLevel="1">
      <c r="A89" s="156"/>
      <c r="B89" s="269" t="s">
        <v>225</v>
      </c>
      <c r="C89" s="113" t="s">
        <v>228</v>
      </c>
      <c r="D89" s="156"/>
      <c r="E89" s="239" t="s">
        <v>274</v>
      </c>
      <c r="F89" s="138">
        <v>10.799999999999999</v>
      </c>
      <c r="G89" s="106"/>
      <c r="H89" s="168"/>
      <c r="I89" s="168"/>
      <c r="J89" s="107"/>
      <c r="K89" s="138">
        <v>42.0</v>
      </c>
      <c r="L89" s="138">
        <v>56.0</v>
      </c>
      <c r="M89" s="145">
        <v>60.0</v>
      </c>
      <c r="N89" s="145">
        <v>0.0</v>
      </c>
      <c r="O89" s="261"/>
      <c r="P89" s="261"/>
      <c r="Q89" s="261"/>
      <c r="R89" s="277"/>
      <c r="S89" s="228"/>
      <c r="T89" s="228"/>
      <c r="U89" s="228"/>
      <c r="V89" s="228"/>
    </row>
    <row r="90" outlineLevel="1">
      <c r="A90" s="278" t="s">
        <v>229</v>
      </c>
      <c r="B90" s="269" t="s">
        <v>227</v>
      </c>
      <c r="C90" s="659"/>
      <c r="D90" s="279" t="s">
        <v>146</v>
      </c>
      <c r="E90" s="659"/>
      <c r="F90" s="659"/>
      <c r="G90" s="1170"/>
      <c r="H90" s="164"/>
      <c r="I90" s="164"/>
      <c r="J90" s="104"/>
      <c r="K90" s="659"/>
      <c r="L90" s="659"/>
      <c r="M90" s="659"/>
      <c r="N90" s="659"/>
      <c r="O90" s="659"/>
      <c r="P90" s="659"/>
      <c r="Q90" s="659"/>
      <c r="R90" s="277"/>
      <c r="S90" s="228"/>
      <c r="T90" s="228"/>
      <c r="U90" s="228"/>
      <c r="V90" s="228"/>
    </row>
    <row r="91" outlineLevel="1">
      <c r="A91" s="156"/>
      <c r="B91" s="269" t="s">
        <v>225</v>
      </c>
      <c r="C91" s="113" t="s">
        <v>466</v>
      </c>
      <c r="D91" s="156"/>
      <c r="E91" s="239" t="s">
        <v>232</v>
      </c>
      <c r="F91" s="138">
        <v>13.2</v>
      </c>
      <c r="G91" s="106"/>
      <c r="H91" s="168"/>
      <c r="I91" s="168"/>
      <c r="J91" s="107"/>
      <c r="K91" s="138">
        <v>47.0</v>
      </c>
      <c r="L91" s="138">
        <v>48.0</v>
      </c>
      <c r="M91" s="145">
        <v>70.0</v>
      </c>
      <c r="N91" s="145">
        <v>0.0</v>
      </c>
      <c r="O91" s="261"/>
      <c r="P91" s="261"/>
      <c r="Q91" s="261"/>
      <c r="R91" s="277"/>
      <c r="S91" s="228"/>
      <c r="T91" s="228"/>
      <c r="U91" s="228"/>
      <c r="V91" s="228"/>
    </row>
    <row r="92" outlineLevel="1">
      <c r="A92" s="278" t="s">
        <v>233</v>
      </c>
      <c r="B92" s="269" t="s">
        <v>227</v>
      </c>
      <c r="C92" s="113" t="s">
        <v>295</v>
      </c>
      <c r="D92" s="279" t="s">
        <v>127</v>
      </c>
      <c r="E92" s="239" t="s">
        <v>80</v>
      </c>
      <c r="F92" s="138">
        <v>9.6</v>
      </c>
      <c r="G92" s="1170"/>
      <c r="H92" s="164"/>
      <c r="I92" s="164"/>
      <c r="J92" s="104"/>
      <c r="K92" s="138">
        <v>89.0</v>
      </c>
      <c r="L92" s="138">
        <v>100.0</v>
      </c>
      <c r="M92" s="145">
        <v>55.0</v>
      </c>
      <c r="N92" s="145">
        <v>0.0</v>
      </c>
      <c r="O92" s="145">
        <v>0.0</v>
      </c>
      <c r="P92" s="145">
        <v>0.0</v>
      </c>
      <c r="Q92" s="145">
        <v>1.0</v>
      </c>
      <c r="R92" s="277"/>
      <c r="S92" s="228"/>
      <c r="T92" s="228"/>
      <c r="U92" s="228"/>
      <c r="V92" s="228"/>
    </row>
    <row r="93" outlineLevel="1">
      <c r="A93" s="156"/>
      <c r="B93" s="269" t="s">
        <v>225</v>
      </c>
      <c r="C93" s="113" t="s">
        <v>296</v>
      </c>
      <c r="D93" s="156"/>
      <c r="E93" s="239" t="s">
        <v>73</v>
      </c>
      <c r="F93" s="138">
        <v>4.8</v>
      </c>
      <c r="G93" s="106"/>
      <c r="H93" s="168"/>
      <c r="I93" s="168"/>
      <c r="J93" s="107"/>
      <c r="K93" s="138">
        <v>89.0</v>
      </c>
      <c r="L93" s="138">
        <v>120.0</v>
      </c>
      <c r="M93" s="145">
        <v>55.0</v>
      </c>
      <c r="N93" s="145">
        <v>0.0</v>
      </c>
      <c r="O93" s="261"/>
      <c r="P93" s="261"/>
      <c r="Q93" s="261"/>
      <c r="R93" s="277"/>
      <c r="S93" s="117"/>
      <c r="T93" s="117"/>
      <c r="U93" s="117"/>
      <c r="V93" s="117"/>
    </row>
    <row r="94" outlineLevel="1">
      <c r="A94" s="278" t="s">
        <v>234</v>
      </c>
      <c r="B94" s="269" t="s">
        <v>227</v>
      </c>
      <c r="C94" s="659"/>
      <c r="D94" s="279" t="s">
        <v>193</v>
      </c>
      <c r="E94" s="659"/>
      <c r="F94" s="659"/>
      <c r="G94" s="283" t="s">
        <v>4945</v>
      </c>
      <c r="H94" s="164"/>
      <c r="I94" s="164"/>
      <c r="J94" s="104"/>
      <c r="K94" s="659"/>
      <c r="L94" s="659"/>
      <c r="M94" s="659"/>
      <c r="N94" s="659"/>
      <c r="O94" s="659"/>
      <c r="P94" s="659"/>
      <c r="Q94" s="659"/>
      <c r="R94" s="277"/>
      <c r="S94" s="117"/>
      <c r="T94" s="117"/>
      <c r="U94" s="117"/>
      <c r="V94" s="117"/>
    </row>
    <row r="95" outlineLevel="1">
      <c r="A95" s="156"/>
      <c r="B95" s="269" t="s">
        <v>225</v>
      </c>
      <c r="C95" s="113" t="s">
        <v>1114</v>
      </c>
      <c r="D95" s="156"/>
      <c r="E95" s="239" t="s">
        <v>93</v>
      </c>
      <c r="F95" s="138">
        <v>8.4</v>
      </c>
      <c r="G95" s="106"/>
      <c r="H95" s="168"/>
      <c r="I95" s="168"/>
      <c r="J95" s="107"/>
      <c r="K95" s="138">
        <v>74.0</v>
      </c>
      <c r="L95" s="138">
        <v>115.0</v>
      </c>
      <c r="M95" s="145">
        <v>40.0</v>
      </c>
      <c r="N95" s="145">
        <v>0.0</v>
      </c>
      <c r="O95" s="261"/>
      <c r="P95" s="261"/>
      <c r="Q95" s="261"/>
      <c r="R95" s="277"/>
      <c r="S95" s="117"/>
      <c r="T95" s="117"/>
      <c r="U95" s="117"/>
      <c r="V95" s="117"/>
    </row>
    <row r="96">
      <c r="A96" s="223"/>
      <c r="B96" s="224"/>
      <c r="C96" s="225"/>
      <c r="D96" s="225"/>
      <c r="E96" s="227"/>
      <c r="F96" s="177"/>
      <c r="G96" s="177"/>
      <c r="H96" s="227"/>
      <c r="I96" s="227"/>
      <c r="J96" s="228"/>
      <c r="K96" s="228"/>
      <c r="L96" s="111"/>
      <c r="M96" s="111"/>
      <c r="N96" s="111"/>
      <c r="O96" s="117"/>
      <c r="P96" s="117"/>
      <c r="Q96" s="111"/>
      <c r="R96" s="111"/>
      <c r="S96" s="111"/>
      <c r="T96" s="111"/>
      <c r="U96" s="111"/>
      <c r="V96" s="111"/>
    </row>
    <row r="97">
      <c r="A97" s="284" t="s">
        <v>241</v>
      </c>
      <c r="B97" s="104"/>
      <c r="C97" s="265"/>
      <c r="D97" s="111"/>
      <c r="E97" s="111"/>
      <c r="F97" s="111"/>
      <c r="G97" s="111"/>
      <c r="H97" s="111"/>
      <c r="I97" s="111"/>
      <c r="J97" s="118"/>
      <c r="K97" s="111"/>
      <c r="L97" s="111"/>
      <c r="M97" s="111"/>
      <c r="N97" s="111"/>
      <c r="O97" s="111"/>
      <c r="P97" s="111"/>
      <c r="Q97" s="118"/>
      <c r="R97" s="111"/>
      <c r="S97" s="111"/>
      <c r="T97" s="111"/>
      <c r="U97" s="111"/>
      <c r="V97" s="111"/>
    </row>
    <row r="98" outlineLevel="1">
      <c r="A98" s="106"/>
      <c r="B98" s="107"/>
      <c r="C98" s="285" t="s">
        <v>235</v>
      </c>
      <c r="D98" s="285" t="s">
        <v>236</v>
      </c>
      <c r="E98" s="285" t="s">
        <v>49</v>
      </c>
      <c r="F98" s="285" t="s">
        <v>237</v>
      </c>
      <c r="G98" s="286"/>
      <c r="H98" s="227"/>
      <c r="I98" s="227"/>
      <c r="J98" s="228"/>
      <c r="K98" s="228"/>
      <c r="L98" s="111"/>
      <c r="M98" s="111"/>
      <c r="N98" s="111"/>
      <c r="O98" s="111"/>
      <c r="P98" s="111"/>
      <c r="Q98" s="111"/>
      <c r="R98" s="111"/>
      <c r="S98" s="111"/>
      <c r="T98" s="111"/>
      <c r="U98" s="111"/>
      <c r="V98" s="111"/>
    </row>
    <row r="99" outlineLevel="1">
      <c r="A99" s="287" t="s">
        <v>395</v>
      </c>
      <c r="B99" s="288" t="s">
        <v>216</v>
      </c>
      <c r="C99" s="113" t="str">
        <f t="array" ref="C99">INDEX('回避'!$C$3:$U$84, MATCH($A$1,'回避'!$A$3:$A$91,0), MATCH(C98,'回避'!$C$2:$F$2,0))</f>
        <v>3-18</v>
      </c>
      <c r="D99" s="113" t="str">
        <f t="array" ref="D99">INDEX('回避'!$C$3:$U$84, MATCH($A$1,'回避'!$A$3:$A$91,0), MATCH(D98,'回避'!$C$2:$F$2,0))</f>
        <v>6-18</v>
      </c>
      <c r="E99" s="113" t="str">
        <f t="array" ref="E99">INDEX('回避'!$C$3:$U$84, MATCH($A$1,'回避'!$A$3:$A$91,0), MATCH(E98,'回避'!$C$2:$F$2,0))</f>
        <v>28 (23)</v>
      </c>
      <c r="F99" s="113" t="str">
        <f t="array" ref="F99">INDEX('回避'!$C$3:$U$84, MATCH($A$1,'回避'!$A$3:$A$91,0), MATCH(F98,'回避'!$C$2:$F$2,0))</f>
        <v>37 (31)</v>
      </c>
      <c r="G99" s="272"/>
      <c r="H99" s="227"/>
      <c r="I99" s="227"/>
      <c r="J99" s="228"/>
      <c r="K99" s="228"/>
      <c r="L99" s="228"/>
      <c r="M99" s="111"/>
      <c r="N99" s="111"/>
      <c r="O99" s="111"/>
      <c r="P99" s="111"/>
      <c r="Q99" s="111"/>
      <c r="R99" s="111"/>
      <c r="S99" s="111"/>
      <c r="T99" s="111"/>
      <c r="U99" s="111"/>
      <c r="V99" s="111"/>
    </row>
    <row r="100" outlineLevel="1">
      <c r="A100" s="212"/>
      <c r="B100" s="288" t="s">
        <v>245</v>
      </c>
      <c r="C100" s="113" t="str">
        <f t="array" ref="C100">INDEX('回避'!$G$3:$U$84, MATCH($A$1,'回避'!$A$3:$A$91,0), MATCH(C98,'回避'!$G$2:$J$2,0))</f>
        <v>4-16</v>
      </c>
      <c r="D100" s="113" t="str">
        <f t="array" ref="D100">INDEX('回避'!$G$3:$U$84, MATCH($A$1,'回避'!$A$3:$A$91,0), MATCH(D98,'回避'!$G$2:$J$2,0))</f>
        <v>8-15</v>
      </c>
      <c r="E100" s="113" t="str">
        <f t="array" ref="E100">INDEX('回避'!$G$3:$U$84, MATCH($A$1,'回避'!$A$3:$A$91,0), MATCH(E98,'回避'!$G$2:$J$2,0))</f>
        <v>32</v>
      </c>
      <c r="F100" s="113">
        <f t="array" ref="F100">INDEX('回避'!$G$3:$U$84, MATCH($A$1,'回避'!$A$3:$A$91,0), MATCH(F98,'回避'!$G$2:$J$2,0))</f>
        <v>42</v>
      </c>
      <c r="G100" s="289"/>
      <c r="H100" s="227"/>
      <c r="I100" s="227"/>
      <c r="J100" s="228"/>
      <c r="K100" s="228"/>
      <c r="L100" s="228"/>
      <c r="M100" s="228"/>
      <c r="N100" s="228"/>
      <c r="O100" s="111"/>
      <c r="P100" s="111"/>
      <c r="Q100" s="111"/>
      <c r="R100" s="111"/>
      <c r="S100" s="111"/>
      <c r="T100" s="111"/>
      <c r="U100" s="111"/>
      <c r="V100" s="111"/>
    </row>
    <row r="101" outlineLevel="1">
      <c r="A101" s="106"/>
      <c r="B101" s="288" t="s">
        <v>246</v>
      </c>
      <c r="C101" s="113" t="str">
        <f t="array" ref="C101">INDEX('回避'!$K$3:$U$84, MATCH($A$1,'回避'!$A$3:$A$91,0), MATCH(C98,'回避'!$K$2:$N$2,0))</f>
        <v>5-17</v>
      </c>
      <c r="D101" s="113" t="str">
        <f t="array" ref="D101">INDEX('回避'!$K$3:$U$84, MATCH($A$1,'回避'!$A$3:$A$91,0), MATCH(D98,'回避'!$K$2:$N$2,0))</f>
        <v>9-15</v>
      </c>
      <c r="E101" s="113" t="str">
        <f t="array" ref="E101">INDEX('回避'!$K$3:$U$84, MATCH($A$1,'回避'!$A$3:$A$91,0), MATCH(E98,'回避'!$K$2:$N$2,0))</f>
        <v>37</v>
      </c>
      <c r="F101" s="113" t="str">
        <f t="array" ref="F101">INDEX('回避'!$K$3:$U$84, MATCH($A$1,'回避'!$A$3:$A$91,0), MATCH(F98,'回避'!$K$2:$N$2,0))</f>
        <v>56</v>
      </c>
      <c r="G101" s="289"/>
      <c r="H101" s="290"/>
      <c r="I101" s="290"/>
      <c r="J101" s="117"/>
      <c r="K101" s="117"/>
      <c r="L101" s="117"/>
      <c r="M101" s="117"/>
      <c r="N101" s="117"/>
      <c r="O101" s="111"/>
      <c r="P101" s="111"/>
      <c r="Q101" s="111"/>
      <c r="R101" s="111"/>
      <c r="S101" s="111"/>
      <c r="T101" s="111"/>
      <c r="U101" s="111"/>
      <c r="V101" s="111"/>
    </row>
    <row r="102" outlineLevel="1">
      <c r="A102" s="287" t="s">
        <v>396</v>
      </c>
      <c r="B102" s="288" t="s">
        <v>397</v>
      </c>
      <c r="C102" s="113" t="str">
        <f t="array" ref="C102">INDEX('回避'!$O$3:$U$84, MATCH($A$1,'回避'!$A$3:$A$91,0), MATCH(C98,'回避'!$O$2:$R$2,0))</f>
        <v>3-31</v>
      </c>
      <c r="D102" s="113" t="str">
        <f t="array" ref="D102">INDEX('回避'!$O$3:$U$84, MATCH($A$1,'回避'!$A$3:$A$91,0), MATCH(D98,'回避'!$O$2:$R$2,0))</f>
        <v>6-28</v>
      </c>
      <c r="E102" s="113" t="str">
        <f t="array" ref="E102">INDEX('回避'!$O$3:$U$84, MATCH($A$1,'回避'!$A$3:$A$91,0), MATCH(E98,'回避'!$O$2:$R$2,0))</f>
        <v>46</v>
      </c>
      <c r="F102" s="177"/>
      <c r="G102" s="177"/>
      <c r="H102" s="118"/>
      <c r="I102" s="118"/>
      <c r="J102" s="111"/>
      <c r="K102" s="111"/>
      <c r="L102" s="111"/>
      <c r="M102" s="111"/>
      <c r="N102" s="111"/>
      <c r="O102" s="228"/>
      <c r="P102" s="228"/>
      <c r="Q102" s="228"/>
      <c r="R102" s="228"/>
      <c r="S102" s="228"/>
      <c r="T102" s="228"/>
      <c r="U102" s="228"/>
      <c r="V102" s="228"/>
    </row>
    <row r="103" outlineLevel="1">
      <c r="A103" s="106"/>
      <c r="B103" s="288" t="s">
        <v>398</v>
      </c>
      <c r="C103" s="113" t="str">
        <f t="array" ref="C103">INDEX('回避'!$S$3:$U$84, MATCH($A$1,'回避'!$A$3:$A$91,0), MATCH(C98,'回避'!$S$2:$U$2,0))</f>
        <v>3-22</v>
      </c>
      <c r="D103" s="113" t="str">
        <f t="array" ref="D103">INDEX('回避'!$S$3:$U$84, MATCH($A$1,'回避'!$A$3:$A$91,0), MATCH(D98,'回避'!$S$2:$U$2,0))</f>
        <v>6-21</v>
      </c>
      <c r="E103" s="113" t="str">
        <f t="array" ref="E103">INDEX('回避'!$S$3:$U$84, MATCH($A$1,'回避'!$A$3:$A$91,0), MATCH(E98,'回避'!$S$2:$U$2,0))</f>
        <v>真横：78
真上：103
真下：64</v>
      </c>
      <c r="F103" s="289"/>
      <c r="G103" s="289"/>
      <c r="H103" s="118"/>
      <c r="I103" s="118"/>
      <c r="J103" s="117"/>
      <c r="K103" s="117"/>
      <c r="L103" s="117"/>
      <c r="M103" s="117"/>
      <c r="N103" s="111"/>
      <c r="O103" s="118"/>
      <c r="P103" s="118"/>
      <c r="Q103" s="118"/>
      <c r="R103" s="118"/>
      <c r="S103" s="118"/>
      <c r="T103" s="118"/>
      <c r="U103" s="118"/>
      <c r="V103" s="118"/>
    </row>
    <row r="104">
      <c r="A104" s="291"/>
      <c r="B104" s="292"/>
      <c r="C104" s="286"/>
      <c r="D104" s="286"/>
      <c r="E104" s="293"/>
      <c r="F104" s="286"/>
      <c r="G104" s="286"/>
      <c r="H104" s="286"/>
      <c r="I104" s="286"/>
      <c r="J104" s="111"/>
      <c r="K104" s="227"/>
      <c r="L104" s="227"/>
      <c r="M104" s="227"/>
      <c r="N104" s="227"/>
      <c r="O104" s="118"/>
      <c r="P104" s="118"/>
      <c r="Q104" s="118"/>
      <c r="R104" s="118"/>
      <c r="S104" s="118"/>
      <c r="T104" s="118"/>
      <c r="U104" s="118"/>
      <c r="V104" s="118"/>
    </row>
    <row r="105">
      <c r="A105" s="2534" t="s">
        <v>238</v>
      </c>
      <c r="B105" s="104"/>
      <c r="C105" s="2535"/>
      <c r="D105" s="2536"/>
      <c r="E105" s="2535"/>
      <c r="F105" s="2537"/>
      <c r="G105" s="2537"/>
      <c r="H105" s="117"/>
      <c r="I105" s="117"/>
      <c r="J105" s="118"/>
      <c r="K105" s="118"/>
      <c r="L105" s="118"/>
      <c r="M105" s="118"/>
      <c r="N105" s="118"/>
      <c r="O105" s="118"/>
      <c r="P105" s="118"/>
      <c r="Q105" s="118"/>
      <c r="R105" s="118"/>
      <c r="S105" s="118"/>
      <c r="T105" s="118"/>
      <c r="U105" s="118"/>
      <c r="V105" s="118"/>
    </row>
    <row r="106" outlineLevel="1">
      <c r="A106" s="106"/>
      <c r="B106" s="107"/>
      <c r="C106" s="2538" t="s">
        <v>235</v>
      </c>
      <c r="D106" s="2538" t="s">
        <v>49</v>
      </c>
      <c r="E106" s="2538" t="s">
        <v>48</v>
      </c>
      <c r="F106" s="2538" t="s">
        <v>50</v>
      </c>
      <c r="G106" s="2539" t="s">
        <v>51</v>
      </c>
      <c r="H106" s="228"/>
      <c r="I106" s="228"/>
      <c r="J106" s="117"/>
      <c r="K106" s="297" t="str">
        <f>'テンプレート'!K116</f>
        <v>アイテム取得</v>
      </c>
      <c r="L106" s="109"/>
      <c r="M106" s="298" t="str">
        <f>'テンプレート'!M116</f>
        <v>取得フレーム</v>
      </c>
      <c r="N106" s="298" t="str">
        <f>'テンプレート'!N116</f>
        <v>全体フレーム</v>
      </c>
      <c r="O106" s="118"/>
      <c r="P106" s="118"/>
      <c r="Q106" s="118"/>
      <c r="R106" s="118"/>
      <c r="S106" s="118"/>
      <c r="T106" s="118"/>
      <c r="U106" s="118"/>
      <c r="V106" s="118"/>
    </row>
    <row r="107" outlineLevel="1">
      <c r="A107" s="299" t="s">
        <v>239</v>
      </c>
      <c r="B107" s="300" t="s">
        <v>240</v>
      </c>
      <c r="C107" s="1162"/>
      <c r="D107" s="518">
        <f t="array" ref="D107">INDEX('崖行動・受け身'!$C$3:$C113, MATCH($A$1,'崖行動・受け身'!$A$3:$A$115,0), MATCH(D106,'崖行動・受け身'!$C$2,0))</f>
        <v>19</v>
      </c>
      <c r="E107" s="1162"/>
      <c r="F107" s="1162"/>
      <c r="G107" s="1162"/>
      <c r="H107" s="228"/>
      <c r="I107" s="228"/>
      <c r="J107" s="111"/>
      <c r="K107" s="302" t="str">
        <f>'テンプレート'!K117</f>
        <v>小アイテム</v>
      </c>
      <c r="L107" s="303" t="str">
        <f>'テンプレート'!L117</f>
        <v>その場</v>
      </c>
      <c r="M107" s="113" t="str">
        <f t="array" ref="M107">INDEX('アイテム'!$C$3:$D$115, MATCH($A$1,'アイテム'!$A$3:$A$115,0), MATCH(M$106,'アイテム'!$C$2:$AK$2,0))</f>
        <v>2</v>
      </c>
      <c r="N107" s="113">
        <f t="array" ref="N107">INDEX('アイテム'!$C$3:$D$115, MATCH($A$1,'アイテム'!$A$3:$A$115,0), MATCH(N$106,'アイテム'!$C$2:$AK$2,0))</f>
        <v>7</v>
      </c>
      <c r="O107" s="118"/>
      <c r="P107" s="118"/>
      <c r="Q107" s="118"/>
      <c r="R107" s="118"/>
      <c r="S107" s="118"/>
      <c r="T107" s="118"/>
      <c r="U107" s="118"/>
      <c r="V107" s="118"/>
    </row>
    <row r="108" outlineLevel="1">
      <c r="A108" s="146"/>
      <c r="B108" s="300" t="s">
        <v>216</v>
      </c>
      <c r="C108" s="518" t="str">
        <f t="array" ref="C108">INDEX('崖行動・受け身'!$D$3:$E113, MATCH($A$1,'崖行動・受け身'!$A$3:$A$115,0), MATCH(C106,'崖行動・受け身'!$D$2:$E$2,0))</f>
        <v>1-33</v>
      </c>
      <c r="D108" s="518">
        <f t="array" ref="D108">INDEX('崖行動・受け身'!$D$3:$E113, MATCH($A$1,'崖行動・受け身'!$A$3:$A$115,0), MATCH(D106,'崖行動・受け身'!$D$2:$E$2,0))</f>
        <v>34</v>
      </c>
      <c r="E108" s="1162"/>
      <c r="F108" s="1162"/>
      <c r="G108" s="1162"/>
      <c r="H108" s="228"/>
      <c r="I108" s="228"/>
      <c r="J108" s="117"/>
      <c r="K108" s="156"/>
      <c r="L108" s="303" t="str">
        <f>'テンプレート'!L118</f>
        <v>歩き</v>
      </c>
      <c r="M108" s="113" t="str">
        <f t="array" ref="M108">INDEX('アイテム'!$E$3:$F$115, MATCH($A$1,'アイテム'!$A$3:$A$115,0), MATCH(M$106,'アイテム'!$E$2:$AK$2,0))</f>
        <v>2</v>
      </c>
      <c r="N108" s="113">
        <f t="array" ref="N108">INDEX('アイテム'!$E$3:$F$115, MATCH($A$1,'アイテム'!$A$3:$A$115,0), MATCH(N$106,'アイテム'!$E$2:$AK$2,0))</f>
        <v>19</v>
      </c>
      <c r="O108" s="118"/>
      <c r="P108" s="118"/>
      <c r="Q108" s="118"/>
      <c r="R108" s="118"/>
      <c r="S108" s="118"/>
      <c r="T108" s="118"/>
      <c r="U108" s="118"/>
      <c r="V108" s="118"/>
    </row>
    <row r="109" outlineLevel="1">
      <c r="A109" s="146"/>
      <c r="B109" s="300" t="s">
        <v>241</v>
      </c>
      <c r="C109" s="518" t="str">
        <f t="array" ref="C109">INDEX('崖行動・受け身'!$F$3:$G$115, MATCH($A$1,'崖行動・受け身'!$A$3:$A$115,0), MATCH(C106,'崖行動・受け身'!$F$2:$G$2,0))</f>
        <v>1-19</v>
      </c>
      <c r="D109" s="518">
        <f t="array" ref="D109">INDEX('崖行動・受け身'!$F$3:$G$115, MATCH($A$1,'崖行動・受け身'!$A$3:$A$115,0), MATCH(D106,'崖行動・受け身'!$F$2:$G$2,0))</f>
        <v>45</v>
      </c>
      <c r="E109" s="1162"/>
      <c r="F109" s="1162"/>
      <c r="G109" s="1162"/>
      <c r="H109" s="228"/>
      <c r="I109" s="228"/>
      <c r="J109" s="111"/>
      <c r="K109" s="304" t="str">
        <f>'テンプレート'!K119</f>
        <v>アイテム投擲</v>
      </c>
      <c r="L109" s="109"/>
      <c r="M109" s="298" t="str">
        <f>'テンプレート'!M119</f>
        <v>投擲フレーム</v>
      </c>
      <c r="N109" s="298" t="str">
        <f>'テンプレート'!N119</f>
        <v>全体フレーム</v>
      </c>
      <c r="O109" s="118"/>
      <c r="P109" s="118"/>
      <c r="Q109" s="118"/>
      <c r="R109" s="118"/>
      <c r="S109" s="118"/>
      <c r="T109" s="118"/>
      <c r="U109" s="118"/>
      <c r="V109" s="118"/>
    </row>
    <row r="110" outlineLevel="1">
      <c r="A110" s="146"/>
      <c r="B110" s="300" t="s">
        <v>242</v>
      </c>
      <c r="C110" s="518" t="str">
        <f t="array" ref="C110">INDEX('崖行動・受け身'!$H$3:$I$115, MATCH($A$1,'崖行動・受け身'!$A$3:$A$115,0), MATCH(C106,'崖行動・受け身'!$H$2:$I$2,0))</f>
        <v>1-12</v>
      </c>
      <c r="D110" s="518">
        <f t="array" ref="D110">INDEX('崖行動・受け身'!$H$3:$I$115, MATCH($A$1,'崖行動・受け身'!$A$3:$A$115,0), MATCH(D106,'崖行動・受け身'!$H$2:$I$2,0))</f>
        <v>14</v>
      </c>
      <c r="E110" s="1162"/>
      <c r="F110" s="1162"/>
      <c r="G110" s="1162"/>
      <c r="H110" s="228"/>
      <c r="I110" s="228"/>
      <c r="J110" s="117"/>
      <c r="K110" s="1030" t="str">
        <f>'テンプレート'!K120</f>
        <v>地上投擲</v>
      </c>
      <c r="L110" s="303" t="str">
        <f>'テンプレート'!L120</f>
        <v>前投げ</v>
      </c>
      <c r="M110" s="113" t="str">
        <f t="array" ref="M110">INDEX('アイテム'!$G$3:$H$115, MATCH($A$1,'アイテム'!$A$3:$A$115,0), MATCH(M$109,'アイテム'!$G$2:$AK$2,0))</f>
        <v>8</v>
      </c>
      <c r="N110" s="113">
        <f t="array" ref="N110">INDEX('アイテム'!$G$3:$H$115, MATCH($A$1,'アイテム'!$A$3:$A$115,0), MATCH(N$109,'アイテム'!$G$2:$AK$2,0))</f>
        <v>24</v>
      </c>
      <c r="O110" s="111"/>
      <c r="P110" s="111"/>
      <c r="Q110" s="111"/>
      <c r="R110" s="111"/>
      <c r="S110" s="111"/>
      <c r="T110" s="111"/>
      <c r="U110" s="111"/>
      <c r="V110" s="111"/>
    </row>
    <row r="111" outlineLevel="1">
      <c r="A111" s="156"/>
      <c r="B111" s="300" t="s">
        <v>243</v>
      </c>
      <c r="C111" s="518" t="str">
        <f t="array" ref="C111">INDEX('崖行動・受け身'!$J$3:$M$115, MATCH($A$1,'崖行動・受け身'!$A$3:$A$115,0), MATCH(C106,'崖行動・受け身'!$J$2:$M$2,0))</f>
        <v>1-23</v>
      </c>
      <c r="D111" s="518">
        <f t="array" ref="D111">INDEX('崖行動・受け身'!$J$3:$M$115, MATCH($A$1,'崖行動・受け身'!$A$3:$A$115,0), MATCH(D106,'崖行動・受け身'!$J$2:$M$2,0))</f>
        <v>55</v>
      </c>
      <c r="E111" s="518" t="str">
        <f t="array" ref="E111">INDEX('崖行動・受け身'!$J$3:$M$115, MATCH($A$1,'崖行動・受け身'!$A$3:$A$115,0), MATCH(E106,'崖行動・受け身'!$J$2:$M$2,0))</f>
        <v>21-23</v>
      </c>
      <c r="F111" s="518">
        <f t="array" ref="F111">INDEX('崖行動・受け身'!$J$3:$M$115, MATCH($A$1,'崖行動・受け身'!$A$3:$A$115,0), MATCH(F106,'崖行動・受け身'!$J$2:$M$2,0))</f>
        <v>10</v>
      </c>
      <c r="G111" s="518">
        <f>F111*1.2</f>
        <v>12</v>
      </c>
      <c r="H111" s="228"/>
      <c r="I111" s="228"/>
      <c r="J111" s="111"/>
      <c r="K111" s="146"/>
      <c r="L111" s="303" t="str">
        <f>'テンプレート'!L121</f>
        <v>後投げ</v>
      </c>
      <c r="M111" s="113" t="str">
        <f t="array" ref="M111">INDEX('アイテム'!$I$3:$J$115, MATCH($A$1,'アイテム'!$A$3:$A$115,0), MATCH(M$109,'アイテム'!$I$2:$AK$2,0))</f>
        <v>11</v>
      </c>
      <c r="N111" s="113">
        <f t="array" ref="N111">INDEX('アイテム'!$I$3:$J$115, MATCH($A$1,'アイテム'!$A$3:$A$115,0), MATCH(N$109,'アイテム'!$I$2:$AK$2,0))</f>
        <v>24</v>
      </c>
      <c r="O111" s="111"/>
      <c r="P111" s="111"/>
      <c r="Q111" s="111"/>
      <c r="R111" s="111"/>
      <c r="S111" s="111"/>
      <c r="T111" s="111"/>
      <c r="U111" s="111"/>
      <c r="V111" s="111"/>
    </row>
    <row r="112" outlineLevel="1">
      <c r="A112" s="299" t="s">
        <v>244</v>
      </c>
      <c r="B112" s="300" t="s">
        <v>216</v>
      </c>
      <c r="C112" s="518" t="str">
        <f t="array" ref="C112">INDEX('崖行動・受け身'!$N$3:$O$115, MATCH($A$1,'崖行動・受け身'!$A$3:$A$115,0), MATCH(C106,'崖行動・受け身'!$N$2:$O$2,0))</f>
        <v>1-20</v>
      </c>
      <c r="D112" s="518">
        <f t="array" ref="D112">INDEX('崖行動・受け身'!$N$3:$O$115, MATCH($A$1,'崖行動・受け身'!$A$3:$A$115,0), MATCH(D106,'崖行動・受け身'!$N$2:$O$2,0))</f>
        <v>26</v>
      </c>
      <c r="E112" s="1162"/>
      <c r="F112" s="1162"/>
      <c r="G112" s="1162"/>
      <c r="H112" s="228"/>
      <c r="I112" s="228"/>
      <c r="J112" s="117"/>
      <c r="K112" s="146"/>
      <c r="L112" s="303" t="str">
        <f>'テンプレート'!L122</f>
        <v>上投げ</v>
      </c>
      <c r="M112" s="113" t="str">
        <f t="array" ref="M112">INDEX('アイテム'!$K$3:$L$115, MATCH($A$1,'アイテム'!$A$3:$A$115,0), MATCH(M$109,'アイテム'!$K$2:$AK$2,0))</f>
        <v>12</v>
      </c>
      <c r="N112" s="113">
        <f t="array" ref="N112">INDEX('アイテム'!$K$3:$L$115, MATCH($A$1,'アイテム'!$A$3:$A$115,0), MATCH(N$109,'アイテム'!$K$2:$AK$2,0))</f>
        <v>23</v>
      </c>
      <c r="O112" s="228"/>
      <c r="P112" s="228"/>
      <c r="Q112" s="228"/>
      <c r="R112" s="228"/>
      <c r="S112" s="228"/>
      <c r="T112" s="228"/>
      <c r="U112" s="228"/>
      <c r="V112" s="228"/>
    </row>
    <row r="113" outlineLevel="1">
      <c r="A113" s="146"/>
      <c r="B113" s="300" t="s">
        <v>245</v>
      </c>
      <c r="C113" s="518" t="str">
        <f t="array" ref="C113">INDEX('崖行動・受け身'!$P$3:$Q$115, MATCH($A$1,'崖行動・受け身'!$A$3:$A$115,0), MATCH(C106,'崖行動・受け身'!$P$2:$Q$2,0))</f>
        <v>1-20</v>
      </c>
      <c r="D113" s="518">
        <f t="array" ref="D113">INDEX('崖行動・受け身'!$P$3:$Q$115, MATCH($A$1,'崖行動・受け身'!$A$3:$A$115,0), MATCH(D106,'崖行動・受け身'!$P$2:$Q$2,0))</f>
        <v>40</v>
      </c>
      <c r="E113" s="1162"/>
      <c r="F113" s="1162"/>
      <c r="G113" s="1162"/>
      <c r="H113" s="228"/>
      <c r="I113" s="228"/>
      <c r="J113" s="111"/>
      <c r="K113" s="146"/>
      <c r="L113" s="303" t="str">
        <f>'テンプレート'!L123</f>
        <v>下投げ</v>
      </c>
      <c r="M113" s="113" t="str">
        <f t="array" ref="M113">INDEX('アイテム'!$M$3:$N$115, MATCH($A$1,'アイテム'!$A$3:$A$115,0), MATCH(M$109,'アイテム'!$M$2:$AK$2,0))</f>
        <v>7</v>
      </c>
      <c r="N113" s="113">
        <f t="array" ref="N113">INDEX('アイテム'!$M$3:$N$115, MATCH($A$1,'アイテム'!$A$3:$A$115,0), MATCH(N$109,'アイテム'!$M$2:$AK$2,0))</f>
        <v>19</v>
      </c>
      <c r="O113" s="118"/>
      <c r="P113" s="118"/>
      <c r="Q113" s="118"/>
      <c r="R113" s="118"/>
      <c r="S113" s="118"/>
      <c r="T113" s="118"/>
      <c r="U113" s="118"/>
      <c r="V113" s="118"/>
    </row>
    <row r="114" outlineLevel="1">
      <c r="A114" s="156"/>
      <c r="B114" s="300" t="s">
        <v>246</v>
      </c>
      <c r="C114" s="518" t="str">
        <f t="array" ref="C114">INDEX('崖行動・受け身'!$R$3:$S$115, MATCH($A$1,'崖行動・受け身'!$A$3:$A$115,0), MATCH(C106,'崖行動・受け身'!$R$2:$S$2,0))</f>
        <v>1-20</v>
      </c>
      <c r="D114" s="518">
        <f t="array" ref="D114">INDEX('崖行動・受け身'!$R$3:$S$115, MATCH($A$1,'崖行動・受け身'!$A$3:$A$115,0), MATCH(D106,'崖行動・受け身'!$R$2:$S$2,0))</f>
        <v>40</v>
      </c>
      <c r="E114" s="1162"/>
      <c r="F114" s="1162"/>
      <c r="G114" s="1162"/>
      <c r="H114" s="228"/>
      <c r="I114" s="228"/>
      <c r="J114" s="117"/>
      <c r="K114" s="146"/>
      <c r="L114" s="306" t="str">
        <f>'テンプレート'!L124</f>
        <v>ダッシュ</v>
      </c>
      <c r="M114" s="113" t="str">
        <f t="array" ref="M114">INDEX('アイテム'!$O$3:$P$115, MATCH($A$1,'アイテム'!$A$3:$A$115,0), MATCH(M$109,'アイテム'!$O$2:$AK$2,0))</f>
        <v>5</v>
      </c>
      <c r="N114" s="113">
        <f t="array" ref="N114">INDEX('アイテム'!$O$3:$P$115, MATCH($A$1,'アイテム'!$A$3:$A$115,0), MATCH(N$109,'アイテム'!$O$2:$AK$2,0))</f>
        <v>29</v>
      </c>
      <c r="O114" s="118"/>
      <c r="P114" s="118"/>
      <c r="Q114" s="118"/>
      <c r="R114" s="118"/>
      <c r="S114" s="118"/>
      <c r="T114" s="118"/>
      <c r="U114" s="118"/>
      <c r="V114" s="118"/>
    </row>
    <row r="115" outlineLevel="1">
      <c r="A115" s="299" t="s">
        <v>247</v>
      </c>
      <c r="B115" s="300" t="s">
        <v>248</v>
      </c>
      <c r="C115" s="1162"/>
      <c r="D115" s="518" t="str">
        <f t="array" ref="D115">INDEX('起きあがり'!$C$3:$C113, MATCH($A$1,'起きあがり'!$A$3:$A$115,0), MATCH(D106,'起きあがり'!$C$2:$AD$2,0))</f>
        <v>25</v>
      </c>
      <c r="E115" s="1162"/>
      <c r="F115" s="1162"/>
      <c r="G115" s="1162"/>
      <c r="H115" s="228"/>
      <c r="I115" s="228"/>
      <c r="J115" s="111"/>
      <c r="K115" s="156"/>
      <c r="L115" s="306" t="str">
        <f>'テンプレート'!L125</f>
        <v>その場捨て</v>
      </c>
      <c r="M115" s="113" t="str">
        <f t="array" ref="M115">INDEX('アイテム'!$Q$3:$R$115, MATCH($A$1,'アイテム'!$A$3:$A$115,0), MATCH(M$109,'アイテム'!$Q$2:$AK$2,0))</f>
        <v>6</v>
      </c>
      <c r="N115" s="113">
        <f t="array" ref="N115">INDEX('アイテム'!$Q$3:$R$115, MATCH($A$1,'アイテム'!$A$3:$A$115,0), MATCH(N$109,'アイテム'!$Q$2:$AK$2,0))</f>
        <v>23</v>
      </c>
      <c r="O115" s="118"/>
      <c r="P115" s="118"/>
      <c r="Q115" s="118"/>
      <c r="R115" s="118"/>
      <c r="S115" s="118"/>
      <c r="T115" s="118"/>
      <c r="U115" s="118"/>
      <c r="V115" s="118"/>
    </row>
    <row r="116" outlineLevel="1">
      <c r="A116" s="146"/>
      <c r="B116" s="300" t="s">
        <v>216</v>
      </c>
      <c r="C116" s="2540" t="str">
        <f t="array" ref="C116">INDEX('起きあがり'!$D$3:$E113, MATCH($A$1,'起きあがり'!$A$3:$A$115,0), MATCH(C106,'起きあがり'!$D$2:$AD$2,0))</f>
        <v>1-22</v>
      </c>
      <c r="D116" s="2541">
        <f t="array" ref="D116">INDEX('起きあがり'!$D$3:$E113, MATCH($A$1,'起きあがり'!$A$3:$A$115,0), MATCH(D106,'起きあがり'!$D$2:$AD$2,0))</f>
        <v>29</v>
      </c>
      <c r="E116" s="1162"/>
      <c r="F116" s="1162"/>
      <c r="G116" s="1162"/>
      <c r="H116" s="228"/>
      <c r="I116" s="228"/>
      <c r="J116" s="117"/>
      <c r="K116" s="1030" t="str">
        <f>'テンプレート'!K126</f>
        <v>空中投擲</v>
      </c>
      <c r="L116" s="303" t="str">
        <f>'テンプレート'!L126</f>
        <v>前投げ</v>
      </c>
      <c r="M116" s="113" t="str">
        <f t="array" ref="M116">INDEX('アイテム'!$S$3:$T$115, MATCH($A$1,'アイテム'!$A$3:$A$115,0), MATCH(M$109,'アイテム'!$S$2:$AK$2,0))</f>
        <v>8</v>
      </c>
      <c r="N116" s="113">
        <f t="array" ref="N116">INDEX('アイテム'!$S$3:$T$115, MATCH($A$1,'アイテム'!$A$3:$A$115,0), MATCH(N$109,'アイテム'!$S$2:$AK$2,0))</f>
        <v>24</v>
      </c>
      <c r="O116" s="118"/>
      <c r="P116" s="118"/>
      <c r="Q116" s="118"/>
      <c r="R116" s="118"/>
      <c r="S116" s="118"/>
      <c r="T116" s="118"/>
      <c r="U116" s="118"/>
      <c r="V116" s="118"/>
    </row>
    <row r="117" outlineLevel="1">
      <c r="A117" s="146"/>
      <c r="B117" s="300" t="s">
        <v>245</v>
      </c>
      <c r="C117" s="2540" t="str">
        <f t="array" ref="C117">INDEX('起きあがり'!$F$3:$G$115, MATCH($A$1,'起きあがり'!$A$3:$A$115,0), MATCH(C106,'起きあがり'!$F$2:$AD$2,0))</f>
        <v>1-21</v>
      </c>
      <c r="D117" s="2541">
        <f t="array" ref="D117">INDEX('起きあがり'!$F$3:$G$115, MATCH($A$1,'起きあがり'!$A$3:$A$115,0), MATCH(D106,'起きあがり'!$F$2:$AD$2,0))</f>
        <v>35</v>
      </c>
      <c r="E117" s="1162"/>
      <c r="F117" s="1162"/>
      <c r="G117" s="1162"/>
      <c r="H117" s="228"/>
      <c r="I117" s="228"/>
      <c r="J117" s="111"/>
      <c r="K117" s="146"/>
      <c r="L117" s="303" t="str">
        <f>'テンプレート'!L127</f>
        <v>後投げ</v>
      </c>
      <c r="M117" s="113" t="str">
        <f t="array" ref="M117">INDEX('アイテム'!$U$3:$V$115, MATCH($A$1,'アイテム'!$A$3:$A$115,0), MATCH(M$109,'アイテム'!$U$2:$AK$2,0))</f>
        <v>11</v>
      </c>
      <c r="N117" s="113">
        <f t="array" ref="N117">INDEX('アイテム'!$U$3:$V$115, MATCH($A$1,'アイテム'!$A$3:$A$115,0), MATCH(N$109,'アイテム'!$U$2:$AK$2,0))</f>
        <v>24</v>
      </c>
      <c r="O117" s="118"/>
      <c r="P117" s="118"/>
      <c r="Q117" s="118"/>
      <c r="R117" s="118"/>
      <c r="S117" s="118"/>
      <c r="T117" s="118"/>
      <c r="U117" s="118"/>
      <c r="V117" s="118"/>
    </row>
    <row r="118" outlineLevel="1">
      <c r="A118" s="146"/>
      <c r="B118" s="300" t="s">
        <v>246</v>
      </c>
      <c r="C118" s="518" t="str">
        <f t="array" ref="C118">INDEX('起きあがり'!$H$3:$I$115, MATCH($A$1,'起きあがり'!$A$3:$A$115,0), MATCH(C106,'起きあがり'!$H$2:$AD$2,0))</f>
        <v>1-22</v>
      </c>
      <c r="D118" s="518">
        <f t="array" ref="D118">INDEX('起きあがり'!$H$3:$I$115, MATCH($A$1,'起きあがり'!$A$3:$A$115,0), MATCH(D106,'起きあがり'!$H$2:$AD$2,0))</f>
        <v>35</v>
      </c>
      <c r="E118" s="1162"/>
      <c r="F118" s="1162"/>
      <c r="G118" s="1162"/>
      <c r="H118" s="228"/>
      <c r="I118" s="228"/>
      <c r="J118" s="117"/>
      <c r="K118" s="146"/>
      <c r="L118" s="303" t="str">
        <f>'テンプレート'!L128</f>
        <v>上投げ</v>
      </c>
      <c r="M118" s="113" t="str">
        <f t="array" ref="M118">INDEX('アイテム'!$W$3:$X$115, MATCH($A$1,'アイテム'!$A$3:$A$115,0), MATCH(M$109,'アイテム'!$W$2:$AK$2,0))</f>
        <v>12</v>
      </c>
      <c r="N118" s="113">
        <f t="array" ref="N118">INDEX('アイテム'!$W$3:$X$115, MATCH($A$1,'アイテム'!$A$3:$A$115,0), MATCH(N$109,'アイテム'!$W$2:$AK$2,0))</f>
        <v>23</v>
      </c>
      <c r="O118" s="118"/>
      <c r="P118" s="118"/>
      <c r="Q118" s="118"/>
      <c r="R118" s="118"/>
      <c r="S118" s="118"/>
      <c r="T118" s="118"/>
      <c r="U118" s="118"/>
      <c r="V118" s="118"/>
    </row>
    <row r="119" outlineLevel="1">
      <c r="A119" s="146"/>
      <c r="B119" s="300" t="s">
        <v>249</v>
      </c>
      <c r="C119" s="2542" t="str">
        <f t="array" ref="C119">INDEX('起きあがり'!$J$3:$M$115, MATCH($A$1,'起きあがり'!$A$3:$A$115,0), MATCH(C106,'起きあがり'!$J$2:$AD$2,0))</f>
        <v>1-25</v>
      </c>
      <c r="D119" s="2543">
        <f t="array" ref="D119">INDEX('起きあがり'!$J$3:$M$115, MATCH($A$1,'起きあがり'!$A$3:$A$115,0), MATCH(D106,'起きあがり'!$J$2:$AD$2,0))</f>
        <v>45</v>
      </c>
      <c r="E119" s="2540" t="str">
        <f t="array" ref="E119">INDEX('起きあがり'!$J$3:$M$115, MATCH($A$1,'起きあがり'!$A$3:$A$115,0), MATCH(E106,'起きあがり'!$J$2:$AD$2,0))</f>
        <v>19-20</v>
      </c>
      <c r="F119" s="2541">
        <f t="array" ref="F119">INDEX('起きあがり'!$J$3:$M$115, MATCH($A$1,'起きあがり'!$A$3:$A$115,0), MATCH(F106,'起きあがり'!$J$2:$AD$2,0))</f>
        <v>7</v>
      </c>
      <c r="G119" s="518">
        <f t="shared" ref="G119:G120" si="1">F119*1.2</f>
        <v>8.4</v>
      </c>
      <c r="H119" s="228"/>
      <c r="I119" s="228"/>
      <c r="J119" s="111"/>
      <c r="K119" s="156"/>
      <c r="L119" s="303" t="str">
        <f>'テンプレート'!L129</f>
        <v>下投げ</v>
      </c>
      <c r="M119" s="113" t="str">
        <f t="array" ref="M119">INDEX('アイテム'!$Y$3:$Z$115, MATCH($A$1,'アイテム'!$A$3:$A$115,0), MATCH(M$109,'アイテム'!$Y$2:$AK$2,0))</f>
        <v>7</v>
      </c>
      <c r="N119" s="113">
        <f t="array" ref="N119">INDEX('アイテム'!$Y$3:$Z$115, MATCH($A$1,'アイテム'!$A$3:$A$115,0), MATCH(N$109,'アイテム'!$Y$2:$AK$2,0))</f>
        <v>19</v>
      </c>
      <c r="O119" s="111"/>
      <c r="P119" s="111"/>
      <c r="Q119" s="111"/>
      <c r="R119" s="111"/>
      <c r="S119" s="111"/>
      <c r="T119" s="111"/>
      <c r="U119" s="111"/>
      <c r="V119" s="111"/>
    </row>
    <row r="120" outlineLevel="1">
      <c r="A120" s="156"/>
      <c r="B120" s="311" t="s">
        <v>250</v>
      </c>
      <c r="C120" s="107"/>
      <c r="D120" s="107"/>
      <c r="E120" s="2540" t="str">
        <f t="array" ref="E120">INDEX('起きあがり'!$N$3:$O$115, MATCH($A$1,'起きあがり'!$A$3:$A$115,0), MATCH(E106,'起きあがり'!$N$2:$AD$2,0))</f>
        <v>24-25</v>
      </c>
      <c r="F120" s="2541">
        <f t="array" ref="F120">INDEX('起きあがり'!$N$3:$O$115, MATCH($A$1,'起きあがり'!$A$3:$A$115,0), MATCH(F106,'起きあがり'!$N$2:$AD$2,0))</f>
        <v>7</v>
      </c>
      <c r="G120" s="518">
        <f t="shared" si="1"/>
        <v>8.4</v>
      </c>
      <c r="H120" s="228"/>
      <c r="I120" s="228"/>
      <c r="J120" s="111"/>
      <c r="K120" s="312" t="str">
        <f>'テンプレート'!K130</f>
        <v>踏み台ジャンプ</v>
      </c>
      <c r="L120" s="168"/>
      <c r="M120" s="298" t="str">
        <f>'テンプレート'!M130</f>
        <v>全体フレーム</v>
      </c>
      <c r="N120" s="114"/>
      <c r="O120" s="111"/>
      <c r="P120" s="111"/>
      <c r="Q120" s="111"/>
      <c r="R120" s="111"/>
      <c r="S120" s="111"/>
      <c r="T120" s="111"/>
      <c r="U120" s="111"/>
      <c r="V120" s="111"/>
    </row>
    <row r="121" outlineLevel="1">
      <c r="A121" s="299" t="s">
        <v>251</v>
      </c>
      <c r="B121" s="300" t="s">
        <v>248</v>
      </c>
      <c r="C121" s="1162"/>
      <c r="D121" s="2540" t="str">
        <f t="array" ref="D121">INDEX('起きあがり'!$C$3:$C113, MATCH($A$1,'起きあがり'!$A$3:$A$115,0), MATCH(D106,'起きあがり'!$C$2,0))</f>
        <v>25</v>
      </c>
      <c r="E121" s="1162"/>
      <c r="F121" s="1162"/>
      <c r="G121" s="1162"/>
      <c r="H121" s="228"/>
      <c r="I121" s="228"/>
      <c r="J121" s="117"/>
      <c r="K121" s="313" t="str">
        <f>'テンプレート'!K131</f>
        <v>踏み</v>
      </c>
      <c r="L121" s="314" t="str">
        <f>'テンプレート'!L131</f>
        <v>踏み</v>
      </c>
      <c r="M121" s="113" t="str">
        <f t="array" ref="M121">INDEX('共通動作その他'!$C$3:$C$102, MATCH($A$1,'共通動作その他'!$A$3:$A$102,0), MATCH(M$120,'共通動作その他'!$C$2:$AA$2,0))</f>
        <v>-</v>
      </c>
      <c r="N121" s="315"/>
      <c r="O121" s="111"/>
      <c r="P121" s="111"/>
      <c r="Q121" s="111"/>
      <c r="R121" s="111"/>
      <c r="S121" s="111"/>
      <c r="T121" s="111"/>
      <c r="U121" s="111"/>
      <c r="V121" s="111"/>
    </row>
    <row r="122" outlineLevel="1">
      <c r="A122" s="146"/>
      <c r="B122" s="300" t="s">
        <v>216</v>
      </c>
      <c r="C122" s="2540" t="str">
        <f t="array" ref="C122">INDEX('起きあがり'!$P$3:$Q$115, MATCH($A$1,'起きあがり'!$A$3:$A$115,0), MATCH(C106,'起きあがり'!$P$2:$AD$2,0))</f>
        <v>1-22</v>
      </c>
      <c r="D122" s="2541">
        <f t="array" ref="D122">INDEX('起きあがり'!$P$3:$Q$115, MATCH($A$1,'起きあがり'!$A$3:$A$115,0), MATCH(D106,'起きあがり'!$P$2:$AD$2,0))</f>
        <v>29</v>
      </c>
      <c r="E122" s="1162"/>
      <c r="F122" s="1162"/>
      <c r="G122" s="1162"/>
      <c r="H122" s="228"/>
      <c r="I122" s="228"/>
      <c r="J122" s="111"/>
      <c r="K122" s="305" t="str">
        <f>'テンプレート'!K132</f>
        <v>踏まれ</v>
      </c>
      <c r="L122" s="314" t="str">
        <f>'テンプレート'!L132</f>
        <v>地上踏まれ</v>
      </c>
      <c r="M122" s="113" t="str">
        <f t="array" ref="M122">INDEX('共通動作その他'!$D$3:$D$102, MATCH($A$1,'共通動作その他'!$A$3:$A$102,0), MATCH(M$120,'共通動作その他'!$D$2:$AA$2,0))</f>
        <v>-</v>
      </c>
      <c r="N122" s="315"/>
      <c r="O122" s="228"/>
      <c r="P122" s="228"/>
      <c r="Q122" s="228"/>
      <c r="R122" s="228"/>
      <c r="S122" s="228"/>
      <c r="T122" s="228"/>
      <c r="U122" s="228"/>
      <c r="V122" s="228"/>
    </row>
    <row r="123" outlineLevel="1">
      <c r="A123" s="146"/>
      <c r="B123" s="300" t="s">
        <v>245</v>
      </c>
      <c r="C123" s="2540" t="str">
        <f t="array" ref="C123">INDEX('起きあがり'!$R$3:$S$115, MATCH($A$1,'起きあがり'!$A$3:$A$115,0), MATCH(C106,'起きあがり'!$R$2:$AD$2,0))</f>
        <v>1-19</v>
      </c>
      <c r="D123" s="2541">
        <f t="array" ref="D123">INDEX('起きあがり'!$R$3:$S$115, MATCH($A$1,'起きあがり'!$A$3:$A$115,0), MATCH(D106,'起きあがり'!$R$2:$AD$2,0))</f>
        <v>35</v>
      </c>
      <c r="E123" s="1162"/>
      <c r="F123" s="1162"/>
      <c r="G123" s="1162"/>
      <c r="H123" s="228"/>
      <c r="I123" s="228"/>
      <c r="J123" s="117"/>
      <c r="K123" s="146"/>
      <c r="L123" s="314" t="str">
        <f>'テンプレート'!L133</f>
        <v>地上硬直</v>
      </c>
      <c r="M123" s="113" t="str">
        <f t="array" ref="M123">INDEX('共通動作その他'!$E$3:$E$102, MATCH($A$1,'共通動作その他'!$A$3:$A$102,0), MATCH(M$120,'共通動作その他'!$E$2:$AA$2,0))</f>
        <v>-</v>
      </c>
      <c r="N123" s="102"/>
      <c r="O123" s="118"/>
      <c r="P123" s="118"/>
      <c r="Q123" s="118"/>
      <c r="R123" s="118"/>
      <c r="S123" s="118"/>
      <c r="T123" s="118"/>
      <c r="U123" s="118"/>
      <c r="V123" s="118"/>
    </row>
    <row r="124" outlineLevel="1">
      <c r="A124" s="146"/>
      <c r="B124" s="300" t="s">
        <v>246</v>
      </c>
      <c r="C124" s="2540" t="str">
        <f t="array" ref="C124">INDEX('起きあがり'!$T$3:$U$115, MATCH($A$1,'起きあがり'!$A$3:$A$115,0), MATCH(C106,'起きあがり'!$T$2:$AD$2,0))</f>
        <v>1-24</v>
      </c>
      <c r="D124" s="2541">
        <f t="array" ref="D124">INDEX('起きあがり'!$T$3:$U$115, MATCH($A$1,'起きあがり'!$A$3:$A$115,0), MATCH(D106,'起きあがり'!$T$2:$AD$2,0))</f>
        <v>35</v>
      </c>
      <c r="E124" s="1162"/>
      <c r="F124" s="1162"/>
      <c r="G124" s="1162"/>
      <c r="H124" s="228"/>
      <c r="I124" s="228"/>
      <c r="J124" s="111"/>
      <c r="K124" s="146"/>
      <c r="L124" s="314" t="str">
        <f>'テンプレート'!L134</f>
        <v>空中踏まれ</v>
      </c>
      <c r="M124" s="113" t="str">
        <f t="array" ref="M124">INDEX('共通動作その他'!$F$3:$F$102, MATCH($A$1,'共通動作その他'!$A$3:$A$102,0), MATCH(M$120,'共通動作その他'!$F$2:$AA$2,0))</f>
        <v>-</v>
      </c>
      <c r="N124" s="102"/>
      <c r="O124" s="118"/>
      <c r="P124" s="118"/>
      <c r="Q124" s="118"/>
      <c r="R124" s="118"/>
      <c r="S124" s="118"/>
      <c r="T124" s="118"/>
      <c r="U124" s="118"/>
      <c r="V124" s="118"/>
    </row>
    <row r="125" outlineLevel="1">
      <c r="A125" s="146"/>
      <c r="B125" s="300" t="s">
        <v>249</v>
      </c>
      <c r="C125" s="2542" t="str">
        <f t="array" ref="C125">INDEX('起きあがり'!$V$3:$Y$115, MATCH($A$1,'起きあがり'!$A$3:$A$115,0), MATCH(C106,'起きあがり'!$V$2:$AD$2,0))</f>
        <v>1-25</v>
      </c>
      <c r="D125" s="2543">
        <f t="array" ref="D125">INDEX('起きあがり'!$V$3:$Y$115, MATCH($A$1,'起きあがり'!$A$3:$A$115,0), MATCH(D106,'起きあがり'!$V$2:$AD$2,0))</f>
        <v>45</v>
      </c>
      <c r="E125" s="2540" t="str">
        <f t="array" ref="E125">INDEX('起きあがり'!$V$3:$Y$115, MATCH($A$1,'起きあがり'!$A$3:$A$115,0), MATCH(E106,'起きあがり'!$V$2:$AD$2,0))</f>
        <v>19-20</v>
      </c>
      <c r="F125" s="2541">
        <f t="array" ref="F125">INDEX('起きあがり'!$V$3:$Y$115, MATCH($A$1,'起きあがり'!$A$3:$A$115,0), MATCH(F106,'起きあがり'!$V$2:$AD$2,0))</f>
        <v>7</v>
      </c>
      <c r="G125" s="518">
        <f t="shared" ref="G125:G126" si="2">F125*1.2</f>
        <v>8.4</v>
      </c>
      <c r="H125" s="228"/>
      <c r="I125" s="228"/>
      <c r="J125" s="117"/>
      <c r="K125" s="146"/>
      <c r="L125" s="314" t="str">
        <f>'テンプレート'!L135</f>
        <v>空中落下</v>
      </c>
      <c r="M125" s="113" t="str">
        <f t="array" ref="M125">INDEX('共通動作その他'!$G$3:$G$102, MATCH($A$1,'共通動作その他'!$A$3:$A$102,0), MATCH(M$120,'共通動作その他'!$G$2:$AA$2,0))</f>
        <v>-</v>
      </c>
      <c r="N125" s="102"/>
      <c r="O125" s="118"/>
      <c r="P125" s="118"/>
      <c r="Q125" s="118"/>
      <c r="R125" s="118"/>
      <c r="S125" s="118"/>
      <c r="T125" s="118"/>
      <c r="U125" s="118"/>
      <c r="V125" s="118"/>
    </row>
    <row r="126" outlineLevel="1">
      <c r="A126" s="156"/>
      <c r="B126" s="311" t="s">
        <v>250</v>
      </c>
      <c r="C126" s="107"/>
      <c r="D126" s="107"/>
      <c r="E126" s="2540" t="str">
        <f t="array" ref="E126">INDEX('起きあがり'!$Z$3:$AA$115, MATCH($A$1,'起きあがり'!$A$3:$A$115,0), MATCH(E106,'起きあがり'!$Z$2:$AD$2,0))</f>
        <v>24-25</v>
      </c>
      <c r="F126" s="2541">
        <f t="array" ref="F126">INDEX('起きあがり'!$Z$3:$AA$115, MATCH($A$1,'起きあがり'!$A$3:$A$115,0), MATCH(F106,'起きあがり'!$Z$2:$AD$2,0))</f>
        <v>7</v>
      </c>
      <c r="G126" s="518">
        <f t="shared" si="2"/>
        <v>8.4</v>
      </c>
      <c r="H126" s="228"/>
      <c r="I126" s="228"/>
      <c r="J126" s="117"/>
      <c r="K126" s="304" t="str">
        <f>'テンプレート'!K136</f>
        <v>倒れダメージ</v>
      </c>
      <c r="L126" s="110"/>
      <c r="M126" s="298" t="str">
        <f>'テンプレート'!M136</f>
        <v>全体フレーム</v>
      </c>
      <c r="N126" s="102"/>
      <c r="O126" s="118"/>
      <c r="P126" s="118"/>
      <c r="Q126" s="118"/>
      <c r="R126" s="118"/>
      <c r="S126" s="118"/>
      <c r="T126" s="118"/>
      <c r="U126" s="118"/>
      <c r="V126" s="118"/>
    </row>
    <row r="127" outlineLevel="1">
      <c r="A127" s="299" t="s">
        <v>252</v>
      </c>
      <c r="B127" s="300" t="s">
        <v>253</v>
      </c>
      <c r="C127" s="2540" t="str">
        <f t="array" ref="C127">INDEX('転倒'!$C$3:$D113, MATCH($A$1,'転倒'!$A$3:$A$115,0), MATCH(C106,'転倒'!$C$2:$AC$2,0))</f>
        <v>1-5</v>
      </c>
      <c r="D127" s="2541">
        <f t="array" ref="D127">INDEX('転倒'!$C$3:$D113, MATCH($A$1,'転倒'!$A$3:$A$115,0), MATCH(D106,'転倒'!$C$2:$AC$2,0))</f>
        <v>29</v>
      </c>
      <c r="E127" s="1162"/>
      <c r="F127" s="1162"/>
      <c r="G127" s="1162"/>
      <c r="H127" s="228"/>
      <c r="I127" s="228"/>
      <c r="J127" s="111"/>
      <c r="K127" s="313" t="str">
        <f>'テンプレート'!K137</f>
        <v>あお向け倒れ</v>
      </c>
      <c r="L127" s="306" t="str">
        <f>'テンプレート'!L137</f>
        <v>モーション大</v>
      </c>
      <c r="M127" s="113" t="str">
        <f t="array" ref="M127">INDEX('共通動作その他'!$H$3:$H$102, MATCH($A$1,'共通動作その他'!$A$3:$A$102,0), MATCH(M$126,'共通動作その他'!$H$2:$AA$2,0))</f>
        <v>-</v>
      </c>
      <c r="N127" s="315"/>
      <c r="O127" s="118"/>
      <c r="P127" s="118"/>
      <c r="Q127" s="118"/>
      <c r="R127" s="118"/>
      <c r="S127" s="118"/>
      <c r="T127" s="118"/>
      <c r="U127" s="118"/>
      <c r="V127" s="118"/>
    </row>
    <row r="128" outlineLevel="1">
      <c r="A128" s="146"/>
      <c r="B128" s="300" t="s">
        <v>254</v>
      </c>
      <c r="C128" s="2540" t="str">
        <f t="array" ref="C128">INDEX('転倒'!$E$3:$F113, MATCH($A$1,'転倒'!$A$3:$A$115,0), MATCH(C106,'転倒'!$E$2:$AC$2,0))</f>
        <v>1-5</v>
      </c>
      <c r="D128" s="2541">
        <f t="array" ref="D128">INDEX('転倒'!$E$3:$F113, MATCH($A$1,'転倒'!$A$3:$A$115,0), MATCH(D106,'転倒'!$E$2:$AC$2,0))</f>
        <v>39</v>
      </c>
      <c r="E128" s="1162"/>
      <c r="F128" s="1162"/>
      <c r="G128" s="1162"/>
      <c r="H128" s="228"/>
      <c r="I128" s="228"/>
      <c r="J128" s="117"/>
      <c r="K128" s="313" t="str">
        <f>'テンプレート'!K138</f>
        <v>うつ伏せ倒れ</v>
      </c>
      <c r="L128" s="306" t="str">
        <f>'テンプレート'!L138</f>
        <v>モーション大</v>
      </c>
      <c r="M128" s="113" t="str">
        <f t="array" ref="M128">INDEX('共通動作その他'!$I$3:$I$102, MATCH($A$1,'共通動作その他'!$A$3:$A$102,0), MATCH(M$126,'共通動作その他'!$I$2:$AA$2,0))</f>
        <v>-</v>
      </c>
      <c r="N128" s="315"/>
      <c r="O128" s="118"/>
      <c r="P128" s="118"/>
      <c r="Q128" s="118"/>
      <c r="R128" s="118"/>
      <c r="S128" s="118"/>
      <c r="T128" s="118"/>
      <c r="U128" s="118"/>
      <c r="V128" s="118"/>
    </row>
    <row r="129" outlineLevel="1">
      <c r="A129" s="146"/>
      <c r="B129" s="300" t="s">
        <v>216</v>
      </c>
      <c r="C129" s="2540" t="str">
        <f t="array" ref="C129">INDEX('転倒'!$G$3:$H$115, MATCH($A$1,'転倒'!$A$3:$A$115,0), MATCH(C106,'転倒'!$G$2:$AC$2,0))</f>
        <v>1-16</v>
      </c>
      <c r="D129" s="2541">
        <f t="array" ref="D129">INDEX('転倒'!$G$3:$H$115, MATCH($A$1,'転倒'!$A$3:$A$115,0), MATCH(D106,'転倒'!$G$2:$AC$2,0))</f>
        <v>21</v>
      </c>
      <c r="E129" s="1162"/>
      <c r="F129" s="1162"/>
      <c r="G129" s="1162"/>
      <c r="H129" s="228"/>
      <c r="I129" s="228"/>
      <c r="J129" s="111"/>
      <c r="K129" s="304" t="str">
        <f>'テンプレート'!K139</f>
        <v/>
      </c>
      <c r="L129" s="110"/>
      <c r="M129" s="298" t="str">
        <f>'テンプレート'!M139</f>
        <v/>
      </c>
      <c r="N129" s="102"/>
      <c r="O129" s="118"/>
      <c r="P129" s="118"/>
      <c r="Q129" s="118"/>
      <c r="R129" s="118"/>
      <c r="S129" s="118"/>
      <c r="T129" s="118"/>
      <c r="U129" s="118"/>
      <c r="V129" s="118"/>
    </row>
    <row r="130" outlineLevel="1">
      <c r="A130" s="146"/>
      <c r="B130" s="300" t="s">
        <v>245</v>
      </c>
      <c r="C130" s="2540" t="str">
        <f t="array" ref="C130">INDEX('転倒'!$I$3:$J$115, MATCH($A$1,'転倒'!$A$3:$A$115,0), MATCH(C106,'転倒'!$I$2:$AC$2,0))</f>
        <v>1-9</v>
      </c>
      <c r="D130" s="2541">
        <f t="array" ref="D130">INDEX('転倒'!$I$3:$J$115, MATCH($A$1,'転倒'!$A$3:$A$115,0), MATCH(D106,'転倒'!$I$2:$AC$2,0))</f>
        <v>28</v>
      </c>
      <c r="E130" s="1162"/>
      <c r="F130" s="1162"/>
      <c r="G130" s="1162"/>
      <c r="H130" s="228"/>
      <c r="I130" s="228"/>
      <c r="J130" s="228"/>
      <c r="K130" s="316" t="str">
        <f>'テンプレート'!K140</f>
        <v/>
      </c>
      <c r="L130" s="317" t="str">
        <f>'テンプレート'!L140</f>
        <v/>
      </c>
      <c r="M130" s="113" t="str">
        <f t="array" ref="M130">INDEX('共通動作その他'!$J$3:$J$102, MATCH($A$1,'共通動作その他'!$A$3:$A$102,0), MATCH(M$129,'共通動作その他'!$J$2:$AA$2,0))</f>
        <v>#N/A</v>
      </c>
      <c r="N130" s="102"/>
      <c r="O130" s="118"/>
      <c r="P130" s="118"/>
      <c r="Q130" s="118"/>
      <c r="R130" s="118"/>
      <c r="S130" s="118"/>
      <c r="T130" s="118"/>
      <c r="U130" s="118"/>
      <c r="V130" s="118"/>
    </row>
    <row r="131" outlineLevel="1">
      <c r="A131" s="146"/>
      <c r="B131" s="300" t="s">
        <v>246</v>
      </c>
      <c r="C131" s="2540" t="str">
        <f t="array" ref="C131">INDEX('転倒'!$K$3:$L$115, MATCH($A$1,'転倒'!$A$3:$A$115,0), MATCH(C106,'転倒'!$K$2:$AC$2,0))</f>
        <v>1-9</v>
      </c>
      <c r="D131" s="2541">
        <f t="array" ref="D131">INDEX('転倒'!$K$3:$L$115, MATCH($A$1,'転倒'!$A$3:$A$115,0), MATCH(D106,'転倒'!$K$2:$AC$2,0))</f>
        <v>28</v>
      </c>
      <c r="E131" s="1162"/>
      <c r="F131" s="1162"/>
      <c r="G131" s="1162"/>
      <c r="H131" s="228"/>
      <c r="I131" s="228"/>
      <c r="J131" s="228"/>
      <c r="K131" s="102"/>
      <c r="L131" s="118"/>
      <c r="M131" s="118"/>
      <c r="N131" s="102"/>
      <c r="O131" s="118"/>
      <c r="P131" s="118"/>
      <c r="Q131" s="118"/>
      <c r="R131" s="118"/>
      <c r="S131" s="118"/>
      <c r="T131" s="118"/>
      <c r="U131" s="118"/>
      <c r="V131" s="118"/>
    </row>
    <row r="132" outlineLevel="1">
      <c r="A132" s="146"/>
      <c r="B132" s="300" t="s">
        <v>249</v>
      </c>
      <c r="C132" s="2542" t="str">
        <f t="array" ref="C132">INDEX('転倒'!$M$3:$P$115, MATCH($A$1,'転倒'!$A$3:$A$115,0), MATCH(C106,'転倒'!$M$2:$AC$2,0))</f>
        <v>1-7</v>
      </c>
      <c r="D132" s="2543">
        <f t="array" ref="D132">INDEX('転倒'!$M$3:$P$115, MATCH($A$1,'転倒'!$A$3:$A$115,0), MATCH(D106,'転倒'!$M$2:$AC$2,0))</f>
        <v>49</v>
      </c>
      <c r="E132" s="2540" t="str">
        <f t="array" ref="E132">INDEX('転倒'!$M$3:$P$115, MATCH($A$1,'転倒'!$A$3:$A$115,0), MATCH(E106,'転倒'!$M$2:$AC$2,0))</f>
        <v>19-20</v>
      </c>
      <c r="F132" s="2541">
        <f t="array" ref="F132">INDEX('転倒'!$M$3:$P$115, MATCH($A$1,'転倒'!$A$3:$A$115,0), MATCH(F106,'転倒'!$M$2:$AC$2,0))</f>
        <v>5</v>
      </c>
      <c r="G132" s="518">
        <f t="shared" ref="G132:G133" si="3">F132*1.2</f>
        <v>6</v>
      </c>
      <c r="H132" s="228"/>
      <c r="I132" s="228"/>
      <c r="J132" s="228"/>
      <c r="K132" s="118"/>
      <c r="L132" s="118"/>
      <c r="M132" s="118"/>
      <c r="N132" s="102"/>
      <c r="O132" s="102"/>
      <c r="P132" s="102"/>
      <c r="Q132" s="102"/>
      <c r="R132" s="118"/>
      <c r="S132" s="118"/>
      <c r="T132" s="118"/>
      <c r="U132" s="118"/>
      <c r="V132" s="118"/>
    </row>
    <row r="133" outlineLevel="1">
      <c r="A133" s="156"/>
      <c r="B133" s="311" t="s">
        <v>250</v>
      </c>
      <c r="C133" s="107"/>
      <c r="D133" s="107"/>
      <c r="E133" s="2540" t="str">
        <f t="array" ref="E133">INDEX('転倒'!$Q$3:$R$115, MATCH($A$1,'転倒'!$A$3:$A$115,0), MATCH(E106,'転倒'!$Q$2:$AC$2,0))</f>
        <v>24-25</v>
      </c>
      <c r="F133" s="2541">
        <f t="array" ref="F133">INDEX('転倒'!$Q$3:$R$115, MATCH($A$1,'転倒'!$A$3:$A$115,0), MATCH(F106,'転倒'!$Q$2:$AC$2,0))</f>
        <v>5</v>
      </c>
      <c r="G133" s="518">
        <f t="shared" si="3"/>
        <v>6</v>
      </c>
      <c r="H133" s="228"/>
      <c r="I133" s="228"/>
      <c r="J133" s="228"/>
      <c r="K133" s="118"/>
      <c r="L133" s="118"/>
      <c r="M133" s="118"/>
      <c r="N133" s="102"/>
      <c r="O133" s="102"/>
      <c r="P133" s="102"/>
      <c r="Q133" s="102"/>
      <c r="R133" s="118"/>
      <c r="S133" s="118"/>
      <c r="T133" s="118"/>
      <c r="U133" s="118"/>
      <c r="V133" s="118"/>
    </row>
    <row r="134" outlineLevel="1">
      <c r="A134" s="319"/>
      <c r="B134" s="320"/>
      <c r="C134" s="321"/>
      <c r="D134" s="321"/>
      <c r="E134" s="2544"/>
      <c r="F134" s="2545"/>
      <c r="G134" s="2546"/>
      <c r="H134" s="228"/>
      <c r="I134" s="228"/>
      <c r="J134" s="228"/>
      <c r="K134" s="118"/>
      <c r="L134" s="118"/>
      <c r="M134" s="118"/>
      <c r="N134" s="102"/>
      <c r="O134" s="102"/>
      <c r="P134" s="102"/>
      <c r="Q134" s="102"/>
      <c r="R134" s="118"/>
      <c r="S134" s="118"/>
      <c r="T134" s="118"/>
      <c r="U134" s="118"/>
      <c r="V134" s="118"/>
    </row>
    <row r="135" outlineLevel="1">
      <c r="A135" s="323" t="s">
        <v>255</v>
      </c>
      <c r="B135" s="109"/>
      <c r="C135" s="321"/>
      <c r="D135" s="321"/>
      <c r="E135" s="2544"/>
      <c r="F135" s="2545"/>
      <c r="G135" s="2546"/>
      <c r="H135" s="228"/>
      <c r="I135" s="228"/>
      <c r="J135" s="228"/>
      <c r="K135" s="118"/>
      <c r="L135" s="118"/>
      <c r="M135" s="118"/>
      <c r="N135" s="102"/>
      <c r="O135" s="102"/>
      <c r="P135" s="102"/>
      <c r="Q135" s="102"/>
      <c r="R135" s="118"/>
      <c r="S135" s="118"/>
      <c r="T135" s="118"/>
      <c r="U135" s="118"/>
      <c r="V135" s="118"/>
    </row>
    <row r="136" outlineLevel="1">
      <c r="A136" s="324" t="s">
        <v>256</v>
      </c>
      <c r="B136" s="109"/>
      <c r="C136" s="325" t="s">
        <v>257</v>
      </c>
      <c r="D136" s="325" t="s">
        <v>49</v>
      </c>
      <c r="E136" s="2544"/>
      <c r="F136" s="2545"/>
      <c r="G136" s="2546"/>
      <c r="H136" s="228"/>
      <c r="I136" s="228"/>
      <c r="J136" s="228"/>
      <c r="K136" s="118"/>
      <c r="L136" s="118"/>
      <c r="M136" s="118"/>
      <c r="N136" s="102"/>
      <c r="O136" s="102"/>
      <c r="P136" s="102"/>
      <c r="Q136" s="102"/>
      <c r="R136" s="118"/>
      <c r="S136" s="118"/>
      <c r="T136" s="118"/>
      <c r="U136" s="118"/>
      <c r="V136" s="118"/>
    </row>
    <row r="137" outlineLevel="1">
      <c r="A137" s="326" t="s">
        <v>258</v>
      </c>
      <c r="B137" s="327" t="s">
        <v>216</v>
      </c>
      <c r="C137" s="328" t="str">
        <f t="array" ref="C137">INDEX('アイテム'!$C$3:$D$114, MATCH($A$1,'アイテム'!$A$3:$A$114,0), MATCH(C136,'アイテム'!$C$2:$AQ$2,0))</f>
        <v>2</v>
      </c>
      <c r="D137" s="328">
        <f t="array" ref="D137">INDEX('アイテム'!$C$3:$D$114, MATCH($A$1,'アイテム'!$A$3:$A$114,0), MATCH(D136,'アイテム'!$C$2:$AQ$2,0))</f>
        <v>7</v>
      </c>
      <c r="E137" s="2544"/>
      <c r="F137" s="2545"/>
      <c r="G137" s="2546"/>
      <c r="H137" s="228"/>
      <c r="I137" s="228"/>
      <c r="J137" s="228"/>
      <c r="K137" s="118"/>
      <c r="L137" s="118"/>
      <c r="M137" s="118"/>
      <c r="N137" s="102"/>
      <c r="O137" s="102"/>
      <c r="P137" s="102"/>
      <c r="Q137" s="102"/>
      <c r="R137" s="118"/>
      <c r="S137" s="118"/>
      <c r="T137" s="118"/>
      <c r="U137" s="118"/>
      <c r="V137" s="118"/>
    </row>
    <row r="138" outlineLevel="1">
      <c r="A138" s="156"/>
      <c r="B138" s="327" t="s">
        <v>219</v>
      </c>
      <c r="C138" s="328" t="str">
        <f t="array" ref="C138">INDEX('アイテム'!$E$3:$F$114, MATCH($A$1,'アイテム'!$A$3:$A$114,0), MATCH(C136,'アイテム'!$C$2:$AQ$2,0))</f>
        <v>2</v>
      </c>
      <c r="D138" s="328">
        <f t="array" ref="D138">INDEX('アイテム'!$E$3:$F$114, MATCH($A$1,'アイテム'!$A$3:$A$114,0), MATCH(D136,'アイテム'!$C$2:$AQ$2,0))</f>
        <v>19</v>
      </c>
      <c r="E138" s="2544"/>
      <c r="F138" s="2545"/>
      <c r="G138" s="2546"/>
      <c r="H138" s="228"/>
      <c r="I138" s="228"/>
      <c r="J138" s="228"/>
      <c r="K138" s="118"/>
      <c r="L138" s="118"/>
      <c r="M138" s="118"/>
      <c r="N138" s="102"/>
      <c r="O138" s="102"/>
      <c r="P138" s="102"/>
      <c r="Q138" s="102"/>
      <c r="R138" s="118"/>
      <c r="S138" s="118"/>
      <c r="T138" s="118"/>
      <c r="U138" s="118"/>
      <c r="V138" s="118"/>
    </row>
    <row r="139" outlineLevel="1">
      <c r="A139" s="329" t="s">
        <v>259</v>
      </c>
      <c r="B139" s="327" t="s">
        <v>216</v>
      </c>
      <c r="C139" s="328">
        <f t="array" ref="C139">INDEX('アイテム'!$AA$3:$AB$114, MATCH($A$1,'アイテム'!$A$3:$A$114,0), MATCH(C136,'アイテム'!$C$2:$AQ$2,0))</f>
        <v>3</v>
      </c>
      <c r="D139" s="328" t="str">
        <f t="array" ref="D139">INDEX('アイテム'!$AA$3:$AB$114, MATCH($A$1,'アイテム'!$A$3:$A$114,0), MATCH(D136,'アイテム'!$C$2:$AQ$2,0))</f>
        <v>12</v>
      </c>
      <c r="E139" s="2544"/>
      <c r="F139" s="2545"/>
      <c r="G139" s="2546"/>
      <c r="H139" s="228"/>
      <c r="I139" s="228"/>
      <c r="J139" s="228"/>
      <c r="K139" s="118"/>
      <c r="L139" s="118"/>
      <c r="M139" s="118"/>
      <c r="N139" s="102"/>
      <c r="O139" s="102"/>
      <c r="P139" s="102"/>
      <c r="Q139" s="102"/>
      <c r="R139" s="118"/>
      <c r="S139" s="118"/>
      <c r="T139" s="118"/>
      <c r="U139" s="118"/>
      <c r="V139" s="118"/>
    </row>
    <row r="140" outlineLevel="1">
      <c r="A140" s="324" t="s">
        <v>260</v>
      </c>
      <c r="B140" s="109"/>
      <c r="C140" s="325" t="s">
        <v>261</v>
      </c>
      <c r="D140" s="325" t="s">
        <v>49</v>
      </c>
      <c r="E140" s="2544"/>
      <c r="F140" s="2545"/>
      <c r="G140" s="2546"/>
      <c r="H140" s="228"/>
      <c r="I140" s="228"/>
      <c r="J140" s="228"/>
      <c r="K140" s="118"/>
      <c r="L140" s="118"/>
      <c r="M140" s="118"/>
      <c r="N140" s="102"/>
      <c r="O140" s="102"/>
      <c r="P140" s="102"/>
      <c r="Q140" s="102"/>
      <c r="R140" s="118"/>
      <c r="S140" s="118"/>
      <c r="T140" s="118"/>
      <c r="U140" s="118"/>
      <c r="V140" s="118"/>
    </row>
    <row r="141" outlineLevel="1">
      <c r="A141" s="326" t="s">
        <v>262</v>
      </c>
      <c r="B141" s="327" t="s">
        <v>226</v>
      </c>
      <c r="C141" s="328" t="str">
        <f t="array" ref="C141">INDEX('アイテム'!$G$3:$H$114, MATCH($A$1,'アイテム'!$A$3:$A$114,0), MATCH(C136,'アイテム'!$C$2:$AQ$2,0))</f>
        <v>8</v>
      </c>
      <c r="D141" s="328">
        <f t="array" ref="D141">INDEX('アイテム'!$G$3:$H$114, MATCH($A$1,'アイテム'!$A$3:$A$114,0), MATCH(D136,'アイテム'!$C$2:$AQ$2,0))</f>
        <v>24</v>
      </c>
      <c r="E141" s="2544"/>
      <c r="F141" s="2545"/>
      <c r="G141" s="2546"/>
      <c r="H141" s="228"/>
      <c r="I141" s="228"/>
      <c r="J141" s="228"/>
      <c r="K141" s="118"/>
      <c r="L141" s="118"/>
      <c r="M141" s="118"/>
      <c r="N141" s="102"/>
      <c r="O141" s="102"/>
      <c r="P141" s="102"/>
      <c r="Q141" s="102"/>
      <c r="R141" s="118"/>
      <c r="S141" s="118"/>
      <c r="T141" s="118"/>
      <c r="U141" s="118"/>
      <c r="V141" s="118"/>
    </row>
    <row r="142" outlineLevel="1">
      <c r="A142" s="146"/>
      <c r="B142" s="327" t="s">
        <v>229</v>
      </c>
      <c r="C142" s="328" t="str">
        <f t="array" ref="C142">INDEX('アイテム'!$I$3:$J$114, MATCH($A$1,'アイテム'!$A$3:$A$114,0), MATCH(C136,'アイテム'!$C$2:$AQ$2,0))</f>
        <v>11</v>
      </c>
      <c r="D142" s="328">
        <f t="array" ref="D142">INDEX('アイテム'!$I$3:$J$114, MATCH($A$1,'アイテム'!$A$3:$A$114,0), MATCH(D136,'アイテム'!$C$2:$AQ$2,0))</f>
        <v>24</v>
      </c>
      <c r="E142" s="2544"/>
      <c r="F142" s="2545"/>
      <c r="G142" s="2546"/>
      <c r="H142" s="228"/>
      <c r="I142" s="228"/>
      <c r="J142" s="228"/>
      <c r="K142" s="118"/>
      <c r="L142" s="118"/>
      <c r="M142" s="118"/>
      <c r="N142" s="102"/>
      <c r="O142" s="102"/>
      <c r="P142" s="102"/>
      <c r="Q142" s="102"/>
      <c r="R142" s="118"/>
      <c r="S142" s="118"/>
      <c r="T142" s="118"/>
      <c r="U142" s="118"/>
      <c r="V142" s="118"/>
    </row>
    <row r="143" outlineLevel="1">
      <c r="A143" s="146"/>
      <c r="B143" s="327" t="s">
        <v>233</v>
      </c>
      <c r="C143" s="328" t="str">
        <f t="array" ref="C143">INDEX('アイテム'!$K$3:$L$114, MATCH($A$1,'アイテム'!$A$3:$A$114,0), MATCH(C136,'アイテム'!$C$2:$AQ$2,0))</f>
        <v>12</v>
      </c>
      <c r="D143" s="328">
        <f t="array" ref="D143">INDEX('アイテム'!$K$3:$L$114, MATCH($A$1,'アイテム'!$A$3:$A$114,0), MATCH(D136,'アイテム'!$C$2:$AQ$2,0))</f>
        <v>23</v>
      </c>
      <c r="E143" s="2544"/>
      <c r="F143" s="2545"/>
      <c r="G143" s="2546"/>
      <c r="H143" s="228"/>
      <c r="I143" s="228"/>
      <c r="J143" s="228"/>
      <c r="K143" s="118"/>
      <c r="L143" s="118"/>
      <c r="M143" s="118"/>
      <c r="N143" s="102"/>
      <c r="O143" s="102"/>
      <c r="P143" s="102"/>
      <c r="Q143" s="102"/>
      <c r="R143" s="118"/>
      <c r="S143" s="118"/>
      <c r="T143" s="118"/>
      <c r="U143" s="118"/>
      <c r="V143" s="118"/>
    </row>
    <row r="144" outlineLevel="1">
      <c r="A144" s="146"/>
      <c r="B144" s="327" t="s">
        <v>234</v>
      </c>
      <c r="C144" s="328" t="str">
        <f t="array" ref="C144">INDEX('アイテム'!$M$3:$N$114, MATCH($A$1,'アイテム'!$A$3:$A$114,0), MATCH(C136,'アイテム'!$C$2:$AQ$2,0))</f>
        <v>7</v>
      </c>
      <c r="D144" s="328">
        <f t="array" ref="D144">INDEX('アイテム'!$M$3:$N$114, MATCH($A$1,'アイテム'!$A$3:$A$114,0), MATCH(D136,'アイテム'!$C$2:$AQ$2,0))</f>
        <v>19</v>
      </c>
      <c r="E144" s="2544"/>
      <c r="F144" s="2545"/>
      <c r="G144" s="2546"/>
      <c r="H144" s="228"/>
      <c r="I144" s="228"/>
      <c r="J144" s="228"/>
      <c r="K144" s="118"/>
      <c r="L144" s="118"/>
      <c r="M144" s="118"/>
      <c r="N144" s="102"/>
      <c r="O144" s="102"/>
      <c r="P144" s="102"/>
      <c r="Q144" s="102"/>
      <c r="R144" s="118"/>
      <c r="S144" s="118"/>
      <c r="T144" s="118"/>
      <c r="U144" s="118"/>
      <c r="V144" s="118"/>
    </row>
    <row r="145" outlineLevel="1">
      <c r="A145" s="146"/>
      <c r="B145" s="327" t="s">
        <v>219</v>
      </c>
      <c r="C145" s="328" t="str">
        <f t="array" ref="C145">INDEX('アイテム'!$O$3:$P$114, MATCH($A$1,'アイテム'!$A$3:$A$114,0), MATCH(C136,'アイテム'!$C$2:$AQ$2,0))</f>
        <v>5</v>
      </c>
      <c r="D145" s="328">
        <f t="array" ref="D145">INDEX('アイテム'!$O$3:$P$114, MATCH($A$1,'アイテム'!$A$3:$A$114,0), MATCH(D136,'アイテム'!$C$2:$AQ$2,0))</f>
        <v>29</v>
      </c>
      <c r="E145" s="2544"/>
      <c r="F145" s="2545"/>
      <c r="G145" s="2546"/>
      <c r="H145" s="228"/>
      <c r="I145" s="228"/>
      <c r="J145" s="228"/>
      <c r="K145" s="118"/>
      <c r="L145" s="118"/>
      <c r="M145" s="118"/>
      <c r="N145" s="102"/>
      <c r="O145" s="102"/>
      <c r="P145" s="102"/>
      <c r="Q145" s="102"/>
      <c r="R145" s="118"/>
      <c r="S145" s="118"/>
      <c r="T145" s="118"/>
      <c r="U145" s="118"/>
      <c r="V145" s="118"/>
    </row>
    <row r="146" outlineLevel="1">
      <c r="A146" s="156"/>
      <c r="B146" s="327" t="s">
        <v>263</v>
      </c>
      <c r="C146" s="328" t="str">
        <f t="array" ref="C146">INDEX('アイテム'!$Q$3:$R$114, MATCH($A$1,'アイテム'!$A$3:$A$114,0), MATCH(C136,'アイテム'!$C$2:$AQ$2,0))</f>
        <v>6</v>
      </c>
      <c r="D146" s="328">
        <f t="array" ref="D146">INDEX('アイテム'!$Q$3:$R$114, MATCH($A$1,'アイテム'!$A$3:$A$114,0), MATCH(D136,'アイテム'!$C$2:$AQ$2,0))</f>
        <v>23</v>
      </c>
      <c r="E146" s="2544"/>
      <c r="F146" s="2545"/>
      <c r="G146" s="2546"/>
      <c r="H146" s="228"/>
      <c r="I146" s="228"/>
      <c r="J146" s="228"/>
      <c r="K146" s="118"/>
      <c r="L146" s="118"/>
      <c r="M146" s="118"/>
      <c r="N146" s="102"/>
      <c r="O146" s="102"/>
      <c r="P146" s="102"/>
      <c r="Q146" s="102"/>
      <c r="R146" s="118"/>
      <c r="S146" s="118"/>
      <c r="T146" s="118"/>
      <c r="U146" s="118"/>
      <c r="V146" s="118"/>
    </row>
    <row r="147" outlineLevel="1">
      <c r="A147" s="326" t="s">
        <v>264</v>
      </c>
      <c r="B147" s="327" t="s">
        <v>226</v>
      </c>
      <c r="C147" s="328" t="str">
        <f t="array" ref="C147">INDEX('アイテム'!$S$3:$T$114, MATCH($A$1,'アイテム'!$A$3:$A$114,0), MATCH(C136,'アイテム'!$C$2:$AQ$2,0))</f>
        <v>8</v>
      </c>
      <c r="D147" s="328">
        <f t="array" ref="D147">INDEX('アイテム'!$S$3:$T$114, MATCH($A$1,'アイテム'!$A$3:$A$114,0), MATCH(D136,'アイテム'!$C$2:$AQ$2,0))</f>
        <v>24</v>
      </c>
      <c r="E147" s="2544"/>
      <c r="F147" s="2545"/>
      <c r="G147" s="2546"/>
      <c r="H147" s="228"/>
      <c r="I147" s="228"/>
      <c r="J147" s="228"/>
      <c r="K147" s="118"/>
      <c r="L147" s="118"/>
      <c r="M147" s="118"/>
      <c r="N147" s="102"/>
      <c r="O147" s="102"/>
      <c r="P147" s="102"/>
      <c r="Q147" s="102"/>
      <c r="R147" s="118"/>
      <c r="S147" s="118"/>
      <c r="T147" s="118"/>
      <c r="U147" s="118"/>
      <c r="V147" s="118"/>
    </row>
    <row r="148" outlineLevel="1">
      <c r="A148" s="146"/>
      <c r="B148" s="327" t="s">
        <v>229</v>
      </c>
      <c r="C148" s="328" t="str">
        <f t="array" ref="C148">INDEX('アイテム'!$U$3:$V$114, MATCH($A$1,'アイテム'!$A$3:$A$114,0), MATCH(C136,'アイテム'!$C$2:$AQ$2,0))</f>
        <v>11</v>
      </c>
      <c r="D148" s="328">
        <f t="array" ref="D148">INDEX('アイテム'!$U$3:$V$114, MATCH($A$1,'アイテム'!$A$3:$A$114,0), MATCH(D136,'アイテム'!$C$2:$AQ$2,0))</f>
        <v>24</v>
      </c>
      <c r="E148" s="2544"/>
      <c r="F148" s="2545"/>
      <c r="G148" s="2546"/>
      <c r="H148" s="228"/>
      <c r="I148" s="228"/>
      <c r="J148" s="228"/>
      <c r="K148" s="118"/>
      <c r="L148" s="118"/>
      <c r="M148" s="118"/>
      <c r="N148" s="102"/>
      <c r="O148" s="102"/>
      <c r="P148" s="102"/>
      <c r="Q148" s="102"/>
      <c r="R148" s="118"/>
      <c r="S148" s="118"/>
      <c r="T148" s="118"/>
      <c r="U148" s="118"/>
      <c r="V148" s="118"/>
    </row>
    <row r="149" outlineLevel="1">
      <c r="A149" s="146"/>
      <c r="B149" s="327" t="s">
        <v>233</v>
      </c>
      <c r="C149" s="328" t="str">
        <f t="array" ref="C149">INDEX('アイテム'!$W$3:$X$114, MATCH($A$1,'アイテム'!$A$3:$A$114,0), MATCH(C136,'アイテム'!$C$2:$AQ$2,0))</f>
        <v>12</v>
      </c>
      <c r="D149" s="328">
        <f t="array" ref="D149">INDEX('アイテム'!$W$3:$X$114, MATCH($A$1,'アイテム'!$A$3:$A$114,0), MATCH(D136,'アイテム'!$C$2:$AQ$2,0))</f>
        <v>23</v>
      </c>
      <c r="E149" s="2544"/>
      <c r="F149" s="2545"/>
      <c r="G149" s="2546"/>
      <c r="H149" s="228"/>
      <c r="I149" s="228"/>
      <c r="J149" s="228"/>
      <c r="K149" s="118"/>
      <c r="L149" s="118"/>
      <c r="M149" s="118"/>
      <c r="N149" s="102"/>
      <c r="O149" s="102"/>
      <c r="P149" s="102"/>
      <c r="Q149" s="102"/>
      <c r="R149" s="118"/>
      <c r="S149" s="118"/>
      <c r="T149" s="118"/>
      <c r="U149" s="118"/>
      <c r="V149" s="118"/>
    </row>
    <row r="150" outlineLevel="1">
      <c r="A150" s="156"/>
      <c r="B150" s="327" t="s">
        <v>234</v>
      </c>
      <c r="C150" s="328" t="str">
        <f t="array" ref="C150">INDEX('アイテム'!$Y$3:$Z$114, MATCH($A$1,'アイテム'!$A$3:$A$114,0), MATCH(C136,'アイテム'!$C$2:$AQ$2,0))</f>
        <v>7</v>
      </c>
      <c r="D150" s="328">
        <f t="array" ref="D150">INDEX('アイテム'!$Y$3:$Z$114, MATCH($A$1,'アイテム'!$A$3:$A$114,0), MATCH(D136,'アイテム'!$C$2:$AQ$2,0))</f>
        <v>19</v>
      </c>
      <c r="E150" s="2544"/>
      <c r="F150" s="2545"/>
      <c r="G150" s="2546"/>
      <c r="H150" s="228"/>
      <c r="I150" s="228"/>
      <c r="J150" s="228"/>
      <c r="K150" s="118"/>
      <c r="L150" s="118"/>
      <c r="M150" s="118"/>
      <c r="N150" s="102"/>
      <c r="O150" s="102"/>
      <c r="P150" s="102"/>
      <c r="Q150" s="102"/>
      <c r="R150" s="118"/>
      <c r="S150" s="118"/>
      <c r="T150" s="118"/>
      <c r="U150" s="118"/>
      <c r="V150" s="118"/>
    </row>
    <row r="151" outlineLevel="1">
      <c r="A151" s="326" t="s">
        <v>265</v>
      </c>
      <c r="B151" s="327" t="s">
        <v>226</v>
      </c>
      <c r="C151" s="328">
        <f t="array" ref="C151">INDEX('アイテム'!$AC$3:$AD$114, MATCH($A$1,'アイテム'!$A$3:$A$114,0), MATCH(C136,'アイテム'!$C$2:$AQ$2,0))</f>
        <v>14</v>
      </c>
      <c r="D151" s="328" t="str">
        <f t="array" ref="D151">INDEX('アイテム'!$AC$3:$AD$114, MATCH($A$1,'アイテム'!$A$3:$A$114,0), MATCH(D136,'アイテム'!$C$2:$AQ$2,0))</f>
        <v>30</v>
      </c>
      <c r="E151" s="2544"/>
      <c r="F151" s="2545"/>
      <c r="G151" s="2546"/>
      <c r="H151" s="228"/>
      <c r="I151" s="228"/>
      <c r="J151" s="228"/>
      <c r="K151" s="118"/>
      <c r="L151" s="118"/>
      <c r="M151" s="118"/>
      <c r="N151" s="102"/>
      <c r="O151" s="102"/>
      <c r="P151" s="102"/>
      <c r="Q151" s="102"/>
      <c r="R151" s="118"/>
      <c r="S151" s="118"/>
      <c r="T151" s="118"/>
      <c r="U151" s="118"/>
      <c r="V151" s="118"/>
    </row>
    <row r="152" outlineLevel="1">
      <c r="A152" s="146"/>
      <c r="B152" s="327" t="s">
        <v>229</v>
      </c>
      <c r="C152" s="328">
        <f t="array" ref="C152">INDEX('アイテム'!$AE$3:$AF$114, MATCH($A$1,'アイテム'!$A$3:$A$114,0), MATCH(C136,'アイテム'!$C$2:$AQ$2,0))</f>
        <v>15</v>
      </c>
      <c r="D152" s="328" t="str">
        <f t="array" ref="D152">INDEX('アイテム'!$AE$3:$AF$114, MATCH($A$1,'アイテム'!$A$3:$A$114,0), MATCH(D136,'アイテム'!$C$2:$AQ$2,0))</f>
        <v>30</v>
      </c>
      <c r="E152" s="2544"/>
      <c r="F152" s="2545"/>
      <c r="G152" s="2546"/>
      <c r="H152" s="228"/>
      <c r="I152" s="228"/>
      <c r="J152" s="228"/>
      <c r="K152" s="118"/>
      <c r="L152" s="118"/>
      <c r="M152" s="118"/>
      <c r="N152" s="102"/>
      <c r="O152" s="102"/>
      <c r="P152" s="102"/>
      <c r="Q152" s="102"/>
      <c r="R152" s="118"/>
      <c r="S152" s="118"/>
      <c r="T152" s="118"/>
      <c r="U152" s="118"/>
      <c r="V152" s="118"/>
    </row>
    <row r="153" outlineLevel="1">
      <c r="A153" s="146"/>
      <c r="B153" s="327" t="s">
        <v>233</v>
      </c>
      <c r="C153" s="328">
        <f t="array" ref="C153">INDEX('アイテム'!$AG$3:$AH$114, MATCH($A$1,'アイテム'!$A$3:$A$114,0), MATCH(C136,'アイテム'!$C$2:$AQ$2,0))</f>
        <v>11</v>
      </c>
      <c r="D153" s="328" t="str">
        <f t="array" ref="D153">INDEX('アイテム'!$AG$3:$AH$114, MATCH($A$1,'アイテム'!$A$3:$A$114,0), MATCH(D136,'アイテム'!$C$2:$AQ$2,0))</f>
        <v>22</v>
      </c>
      <c r="E153" s="2544"/>
      <c r="F153" s="2545"/>
      <c r="G153" s="2546"/>
      <c r="H153" s="228"/>
      <c r="I153" s="228"/>
      <c r="J153" s="228"/>
      <c r="K153" s="118"/>
      <c r="L153" s="118"/>
      <c r="M153" s="118"/>
      <c r="N153" s="102"/>
      <c r="O153" s="102"/>
      <c r="P153" s="102"/>
      <c r="Q153" s="102"/>
      <c r="R153" s="118"/>
      <c r="S153" s="118"/>
      <c r="T153" s="118"/>
      <c r="U153" s="118"/>
      <c r="V153" s="118"/>
    </row>
    <row r="154" outlineLevel="1">
      <c r="A154" s="156"/>
      <c r="B154" s="327" t="s">
        <v>234</v>
      </c>
      <c r="C154" s="328">
        <f t="array" ref="C154">INDEX('アイテム'!$AI$3:$AJ$114, MATCH($A$1,'アイテム'!$A$3:$A$114,0), MATCH(C136,'アイテム'!$C$2:$AQ$2,0))</f>
        <v>9</v>
      </c>
      <c r="D154" s="328" t="str">
        <f t="array" ref="D154">INDEX('アイテム'!$AI$3:$AJ$114, MATCH($A$1,'アイテム'!$A$3:$A$114,0), MATCH(D136,'アイテム'!$C$2:$AQ$2,0))</f>
        <v>22</v>
      </c>
      <c r="E154" s="2544"/>
      <c r="F154" s="2545"/>
      <c r="G154" s="2546"/>
      <c r="H154" s="228"/>
      <c r="I154" s="228"/>
      <c r="J154" s="228"/>
      <c r="K154" s="118"/>
      <c r="L154" s="118"/>
      <c r="M154" s="118"/>
      <c r="N154" s="102"/>
      <c r="O154" s="102"/>
      <c r="P154" s="102"/>
      <c r="Q154" s="102"/>
      <c r="R154" s="118"/>
      <c r="S154" s="118"/>
      <c r="T154" s="118"/>
      <c r="U154" s="118"/>
      <c r="V154" s="118"/>
    </row>
  </sheetData>
  <mergeCells count="132">
    <mergeCell ref="H33:J33"/>
    <mergeCell ref="H34:J34"/>
    <mergeCell ref="H35:J35"/>
    <mergeCell ref="H36:J36"/>
    <mergeCell ref="H37:J37"/>
    <mergeCell ref="H38:J38"/>
    <mergeCell ref="R41:V41"/>
    <mergeCell ref="I42:I43"/>
    <mergeCell ref="J42:J43"/>
    <mergeCell ref="R42:V43"/>
    <mergeCell ref="I44:I46"/>
    <mergeCell ref="J44:J46"/>
    <mergeCell ref="R44:V46"/>
    <mergeCell ref="R47:V47"/>
    <mergeCell ref="U70:U75"/>
    <mergeCell ref="U77:U79"/>
    <mergeCell ref="V77:V79"/>
    <mergeCell ref="R48:V49"/>
    <mergeCell ref="R50:V51"/>
    <mergeCell ref="U55:U59"/>
    <mergeCell ref="V55:V59"/>
    <mergeCell ref="U61:U68"/>
    <mergeCell ref="V61:V68"/>
    <mergeCell ref="V70:V75"/>
    <mergeCell ref="A24:B25"/>
    <mergeCell ref="A26:A31"/>
    <mergeCell ref="A40:B41"/>
    <mergeCell ref="A42:A43"/>
    <mergeCell ref="D42:D43"/>
    <mergeCell ref="A44:A46"/>
    <mergeCell ref="A48:A49"/>
    <mergeCell ref="A50:A51"/>
    <mergeCell ref="D50:D51"/>
    <mergeCell ref="A53:B53"/>
    <mergeCell ref="A54:B54"/>
    <mergeCell ref="A55:A59"/>
    <mergeCell ref="D55:D56"/>
    <mergeCell ref="D57:D58"/>
    <mergeCell ref="A70:A75"/>
    <mergeCell ref="A76:B76"/>
    <mergeCell ref="A77:A79"/>
    <mergeCell ref="D78:D79"/>
    <mergeCell ref="A81:B82"/>
    <mergeCell ref="A84:A86"/>
    <mergeCell ref="A87:B87"/>
    <mergeCell ref="A88:A89"/>
    <mergeCell ref="D88:D89"/>
    <mergeCell ref="A90:A91"/>
    <mergeCell ref="D90:D91"/>
    <mergeCell ref="A92:A93"/>
    <mergeCell ref="D92:D93"/>
    <mergeCell ref="D94:D95"/>
    <mergeCell ref="A115:A120"/>
    <mergeCell ref="C119:C120"/>
    <mergeCell ref="D119:D120"/>
    <mergeCell ref="C125:C126"/>
    <mergeCell ref="D125:D126"/>
    <mergeCell ref="A94:A95"/>
    <mergeCell ref="A97:B98"/>
    <mergeCell ref="A99:A101"/>
    <mergeCell ref="A102:A103"/>
    <mergeCell ref="A105:B106"/>
    <mergeCell ref="A107:A111"/>
    <mergeCell ref="A112:A114"/>
    <mergeCell ref="A137:A138"/>
    <mergeCell ref="A141:A146"/>
    <mergeCell ref="A147:A150"/>
    <mergeCell ref="A151:A154"/>
    <mergeCell ref="A121:A126"/>
    <mergeCell ref="A127:A133"/>
    <mergeCell ref="C132:C133"/>
    <mergeCell ref="D132:D133"/>
    <mergeCell ref="A135:B135"/>
    <mergeCell ref="A136:B136"/>
    <mergeCell ref="A140:B140"/>
    <mergeCell ref="H61:J68"/>
    <mergeCell ref="H69:J69"/>
    <mergeCell ref="H70:J75"/>
    <mergeCell ref="H76:J76"/>
    <mergeCell ref="H77:J79"/>
    <mergeCell ref="G87:J87"/>
    <mergeCell ref="G88:J89"/>
    <mergeCell ref="K116:K119"/>
    <mergeCell ref="K120:L120"/>
    <mergeCell ref="K122:K125"/>
    <mergeCell ref="K126:L126"/>
    <mergeCell ref="K129:L129"/>
    <mergeCell ref="G90:J91"/>
    <mergeCell ref="G92:J93"/>
    <mergeCell ref="G94:J95"/>
    <mergeCell ref="K106:L106"/>
    <mergeCell ref="K107:K108"/>
    <mergeCell ref="K109:L109"/>
    <mergeCell ref="K110:K115"/>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1"/>
    <mergeCell ref="H32:J32"/>
    <mergeCell ref="D44:D46"/>
    <mergeCell ref="D48:D49"/>
    <mergeCell ref="A60:B60"/>
    <mergeCell ref="C61:C62"/>
    <mergeCell ref="A63:A68"/>
    <mergeCell ref="D63:D64"/>
    <mergeCell ref="A69:B69"/>
    <mergeCell ref="I48:I49"/>
    <mergeCell ref="J48:J49"/>
    <mergeCell ref="I50:I51"/>
    <mergeCell ref="J50:J51"/>
    <mergeCell ref="H54:J54"/>
    <mergeCell ref="H55:J59"/>
    <mergeCell ref="H60:J60"/>
  </mergeCells>
  <conditionalFormatting sqref="K1:K15 K17:K62 K65:K87 K89 K91 K92:K93 K95:K130">
    <cfRule type="containsText" dxfId="0" priority="1" operator="containsText" text="361">
      <formula>NOT(ISERROR(SEARCH(("361"),(K1))))</formula>
    </cfRule>
  </conditionalFormatting>
  <conditionalFormatting sqref="K1:K15 K17:K62 K65:K87 K89 K91 K92:K93 K95:K130">
    <cfRule type="containsText" dxfId="1" priority="2" operator="containsText" text="363">
      <formula>NOT(ISERROR(SEARCH(("363"),(K1))))</formula>
    </cfRule>
  </conditionalFormatting>
  <conditionalFormatting sqref="K1:K15 K17:K62 K65:K87 K89 K91 K92:K93 K95:K130">
    <cfRule type="containsText" dxfId="1" priority="3" operator="containsText" text="365">
      <formula>NOT(ISERROR(SEARCH(("365"),(K1))))</formula>
    </cfRule>
  </conditionalFormatting>
  <conditionalFormatting sqref="K1:K15 K17:K62 K65:K87 K89 K91 K92:K93 K95:K130">
    <cfRule type="containsText" dxfId="1" priority="4" operator="containsText" text="366">
      <formula>NOT(ISERROR(SEARCH(("366"),(K1))))</formula>
    </cfRule>
  </conditionalFormatting>
  <conditionalFormatting sqref="K1:K15 K17:K62 K65:K87 K89 K91 K92:K93 K95:K130">
    <cfRule type="containsText" dxfId="1" priority="5" operator="containsText" text="367">
      <formula>NOT(ISERROR(SEARCH(("367"),(K1))))</formula>
    </cfRule>
  </conditionalFormatting>
  <conditionalFormatting sqref="P89 P91:P93 P95">
    <cfRule type="cellIs" dxfId="2" priority="6" operator="equal">
      <formula>"敵のみ"</formula>
    </cfRule>
  </conditionalFormatting>
  <conditionalFormatting sqref="C89 C91:C93 C95">
    <cfRule type="cellIs" dxfId="3" priority="7" operator="equal">
      <formula>"-"</formula>
    </cfRule>
  </conditionalFormatting>
  <conditionalFormatting sqref="O1:O62 C59 E59:G59 K59:N59 P59:T59 E61:F62 G61:G68 K61:N62 P61:T62 D63 O65:O87 P65:T68 C68 E68:F68 K68:N68 C71 E71:G71 K71:N71 P71:T71 G79 O89 O91:O93 O95:O154 P95">
    <cfRule type="cellIs" dxfId="4" priority="8" operator="greaterThan">
      <formula>0</formula>
    </cfRule>
  </conditionalFormatting>
  <conditionalFormatting sqref="P1:P63 Q1:Q62 P65:Q87 P89:Q89 P91:Q93 P95:Q154">
    <cfRule type="cellIs" dxfId="5" priority="9" operator="lessThan">
      <formula>1</formula>
    </cfRule>
  </conditionalFormatting>
  <conditionalFormatting sqref="P1:P63 Q1:Q62 P65:Q87 P89:Q89 P91:Q93 P95:Q154">
    <cfRule type="cellIs" dxfId="4" priority="10" operator="greaterThan">
      <formula>1</formula>
    </cfRule>
  </conditionalFormatting>
  <conditionalFormatting sqref="N25:N62 N65:N87 K71:M71 O71:T71 N89 N91:N93 N95">
    <cfRule type="cellIs" dxfId="6" priority="11" operator="greaterThan">
      <formula>0</formula>
    </cfRule>
  </conditionalFormatting>
  <conditionalFormatting sqref="N1:N15 N17:N62 N65:N87 K71:M71 O71:T71 N89 N91:N93 N95:N154">
    <cfRule type="containsText" dxfId="6" priority="12" operator="containsText" text="/">
      <formula>NOT(ISERROR(SEARCH(("/"),(N1))))</formula>
    </cfRule>
  </conditionalFormatting>
  <drawing r:id="rId2"/>
  <legacyDrawing r:id="rId3"/>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403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962">
        <v>66.0</v>
      </c>
      <c r="B1" s="2963"/>
      <c r="C1" s="2964" t="str">
        <f>IMAGE(VLOOKUP($A$1,Fighters!A2:AI114,12,FALSE),1)</f>
        <v>#REF!</v>
      </c>
      <c r="D1" s="2965"/>
      <c r="E1" s="2965"/>
      <c r="F1" s="2965"/>
      <c r="G1" s="2966"/>
      <c r="H1" s="2967"/>
      <c r="I1" s="2965"/>
      <c r="J1" s="2966"/>
      <c r="K1" s="2968"/>
      <c r="L1" s="2965"/>
      <c r="M1" s="2966"/>
      <c r="N1" s="2969"/>
      <c r="O1" s="2969"/>
      <c r="P1" s="2969"/>
      <c r="Q1" s="2969"/>
      <c r="R1" s="2970"/>
      <c r="S1" s="2970"/>
      <c r="T1" s="2970"/>
      <c r="U1" s="2970"/>
      <c r="V1" s="2970"/>
    </row>
    <row r="2">
      <c r="A2" s="2971" t="str">
        <f>VLOOKUP($A$1,Fighters!$A$2:$AI$81,6,FALSE)</f>
        <v>#8e4038</v>
      </c>
      <c r="B2" s="2963"/>
      <c r="C2" s="2972"/>
      <c r="G2" s="2973"/>
      <c r="H2" s="2974"/>
      <c r="I2" s="2975"/>
      <c r="J2" s="2976"/>
      <c r="K2" s="2974"/>
      <c r="L2" s="2975"/>
      <c r="M2" s="2976"/>
      <c r="N2" s="2969"/>
      <c r="O2" s="2969"/>
      <c r="P2" s="2969"/>
      <c r="Q2" s="2969"/>
      <c r="R2" s="2970"/>
      <c r="S2" s="2970"/>
      <c r="T2" s="2970"/>
      <c r="U2" s="2970"/>
      <c r="V2" s="2970"/>
    </row>
    <row r="3">
      <c r="A3" s="2971" t="str">
        <f>VLOOKUP($A$1,Fighters!$A$2:$AI$81,14,FALSE)</f>
        <v>66. シモン</v>
      </c>
      <c r="B3" s="2963"/>
      <c r="C3" s="2972"/>
      <c r="G3" s="2973"/>
      <c r="H3" s="2977"/>
      <c r="I3" s="2977"/>
      <c r="J3" s="2977"/>
      <c r="K3" s="2978"/>
      <c r="L3" s="2978"/>
      <c r="M3" s="2978"/>
      <c r="N3" s="2969"/>
      <c r="O3" s="2969"/>
      <c r="P3" s="2969"/>
      <c r="Q3" s="2969"/>
      <c r="R3" s="2979"/>
      <c r="S3" s="2970"/>
      <c r="T3" s="2970"/>
      <c r="U3" s="2970"/>
      <c r="V3" s="2970"/>
    </row>
    <row r="4">
      <c r="A4" s="2971" t="str">
        <f>VLOOKUP($A$1,Fighters!$A$2:$AI$81,13,FALSE)</f>
        <v>1</v>
      </c>
      <c r="B4" s="2963"/>
      <c r="C4" s="2972"/>
      <c r="G4" s="2973"/>
      <c r="H4" s="2980"/>
      <c r="I4" s="2980"/>
      <c r="J4" s="2977"/>
      <c r="K4" s="2978"/>
      <c r="L4" s="2978"/>
      <c r="M4" s="2978"/>
      <c r="N4" s="2969"/>
      <c r="O4" s="2969"/>
      <c r="P4" s="2969"/>
      <c r="Q4" s="2969"/>
      <c r="R4" s="2979"/>
      <c r="S4" s="2970"/>
      <c r="T4" s="2970"/>
      <c r="U4" s="2970"/>
      <c r="V4" s="2970"/>
    </row>
    <row r="5" ht="16.5" customHeight="1">
      <c r="A5" s="2962"/>
      <c r="B5" s="2963"/>
      <c r="C5" s="2972"/>
      <c r="G5" s="2973"/>
      <c r="H5" s="2981"/>
      <c r="I5" s="2981"/>
      <c r="J5" s="2982"/>
      <c r="K5" s="2983"/>
      <c r="L5" s="2984"/>
      <c r="M5" s="2984"/>
      <c r="N5" s="2969"/>
      <c r="O5" s="2969"/>
      <c r="P5" s="2969"/>
      <c r="Q5" s="2969"/>
      <c r="R5" s="2979"/>
      <c r="S5" s="2970"/>
      <c r="T5" s="2970"/>
      <c r="U5" s="2970"/>
      <c r="V5" s="2970"/>
    </row>
    <row r="6">
      <c r="A6" s="2963"/>
      <c r="B6" s="2963"/>
      <c r="C6" s="2972"/>
      <c r="G6" s="2973"/>
      <c r="H6" s="2980"/>
      <c r="I6" s="2985" t="s">
        <v>39</v>
      </c>
      <c r="J6" s="2983"/>
      <c r="K6" s="2986"/>
      <c r="L6" s="2984"/>
      <c r="M6" s="2984"/>
      <c r="N6" s="2969"/>
      <c r="O6" s="2969"/>
      <c r="P6" s="2969"/>
      <c r="Q6" s="2969"/>
      <c r="R6" s="2979"/>
      <c r="S6" s="2970"/>
      <c r="T6" s="2970"/>
      <c r="U6" s="2970"/>
      <c r="V6" s="2970"/>
    </row>
    <row r="7">
      <c r="A7" s="2963"/>
      <c r="B7" s="2963"/>
      <c r="C7" s="2972"/>
      <c r="G7" s="2973"/>
      <c r="H7" s="2981"/>
      <c r="I7" s="2981"/>
      <c r="J7" s="2983"/>
      <c r="K7" s="2986"/>
      <c r="L7" s="2984"/>
      <c r="M7" s="2984"/>
      <c r="N7" s="2969"/>
      <c r="O7" s="2969"/>
      <c r="P7" s="2969"/>
      <c r="Q7" s="2969"/>
      <c r="R7" s="2979"/>
      <c r="S7" s="2970"/>
      <c r="T7" s="2970"/>
      <c r="U7" s="2970"/>
      <c r="V7" s="2970"/>
    </row>
    <row r="8">
      <c r="A8" s="2963"/>
      <c r="B8" s="2963"/>
      <c r="C8" s="2972"/>
      <c r="G8" s="2973"/>
      <c r="H8" s="2987">
        <v>44489.76160105324</v>
      </c>
      <c r="I8" s="2965"/>
      <c r="J8" s="2966"/>
      <c r="K8" s="2983"/>
      <c r="L8" s="2984"/>
      <c r="M8" s="2984"/>
      <c r="N8" s="2969"/>
      <c r="O8" s="2969"/>
      <c r="P8" s="2969"/>
      <c r="Q8" s="2969"/>
      <c r="R8" s="2979"/>
      <c r="S8" s="2970"/>
      <c r="T8" s="2970"/>
      <c r="U8" s="2970"/>
      <c r="V8" s="2970"/>
    </row>
    <row r="9">
      <c r="A9" s="2963"/>
      <c r="B9" s="2963"/>
      <c r="C9" s="2972"/>
      <c r="G9" s="2973"/>
      <c r="H9" s="2974"/>
      <c r="I9" s="2975"/>
      <c r="J9" s="2976"/>
      <c r="K9" s="2970"/>
      <c r="L9" s="2969"/>
      <c r="M9" s="2969"/>
      <c r="N9" s="2969"/>
      <c r="O9" s="2969"/>
      <c r="P9" s="2969"/>
      <c r="Q9" s="2969"/>
      <c r="R9" s="2979"/>
      <c r="S9" s="2970"/>
      <c r="T9" s="2970"/>
      <c r="U9" s="2970"/>
      <c r="V9" s="2970"/>
    </row>
    <row r="10">
      <c r="A10" s="2963"/>
      <c r="B10" s="2963"/>
      <c r="C10" s="2972"/>
      <c r="G10" s="2973"/>
      <c r="H10" s="2988"/>
      <c r="I10" s="2988"/>
      <c r="J10" s="2970"/>
      <c r="K10" s="2970"/>
      <c r="L10" s="2969"/>
      <c r="M10" s="2969"/>
      <c r="N10" s="2969"/>
      <c r="O10" s="2969"/>
      <c r="P10" s="2969"/>
      <c r="Q10" s="2969"/>
      <c r="R10" s="2979"/>
      <c r="S10" s="2970"/>
      <c r="T10" s="2970"/>
      <c r="U10" s="2970"/>
      <c r="V10" s="2970"/>
    </row>
    <row r="11">
      <c r="A11" s="2989" t="s">
        <v>40</v>
      </c>
      <c r="B11" s="2966"/>
      <c r="C11" s="2972"/>
      <c r="G11" s="2973"/>
      <c r="H11" s="2981"/>
      <c r="I11" s="2981"/>
      <c r="J11" s="2970"/>
      <c r="K11" s="2970"/>
      <c r="L11" s="2969"/>
      <c r="M11" s="2969"/>
      <c r="N11" s="2969"/>
      <c r="O11" s="2969"/>
      <c r="P11" s="2969"/>
      <c r="Q11" s="2969"/>
      <c r="R11" s="2979"/>
      <c r="S11" s="2970"/>
      <c r="T11" s="2970"/>
      <c r="U11" s="2970"/>
      <c r="V11" s="2970"/>
    </row>
    <row r="12">
      <c r="A12" s="2974"/>
      <c r="B12" s="2976"/>
      <c r="C12" s="2974"/>
      <c r="D12" s="2975"/>
      <c r="E12" s="2975"/>
      <c r="F12" s="2975"/>
      <c r="G12" s="2976"/>
      <c r="H12" s="2990"/>
      <c r="I12" s="2990"/>
      <c r="J12" s="2963"/>
      <c r="K12" s="2963"/>
      <c r="L12" s="2969"/>
      <c r="M12" s="2969"/>
      <c r="N12" s="2969"/>
      <c r="O12" s="2969"/>
      <c r="P12" s="2969"/>
      <c r="Q12" s="2969"/>
      <c r="R12" s="2979"/>
      <c r="S12" s="2970"/>
      <c r="T12" s="2970"/>
      <c r="U12" s="2970"/>
      <c r="V12" s="2970"/>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107 [14th]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1.73 [78th]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0.76 [83rd]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0.1398 [56th]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 [68th]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1.52 [73rd]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0.085 [79th]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18 [10th]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0.94 [70th]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0.03 [87th]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 [67th]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1.85 [9th]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0.02 [5th]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2.96 [9th]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0.085 [57th]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tr">
        <f>'テンプレート'!A24</f>
        <v>地上攻撃</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tr">
        <f>'テンプレート'!C25</f>
        <v>判定持続</v>
      </c>
      <c r="D25" s="128" t="str">
        <f>'テンプレート'!D25</f>
        <v>全体フレーム</v>
      </c>
      <c r="E25" s="128" t="str">
        <f>'テンプレート'!E25</f>
        <v>基礎ダメージ</v>
      </c>
      <c r="F25" s="129" t="str">
        <f>'テンプレート'!F25</f>
        <v>ダメージ (1v1)</v>
      </c>
      <c r="G25" s="128" t="str">
        <f>'テンプレート'!G25</f>
        <v>ガード硬直</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tr">
        <f>'テンプレート'!A26</f>
        <v>弱攻撃</v>
      </c>
      <c r="B26" s="134" t="s">
        <v>55</v>
      </c>
      <c r="C26" s="701" t="s">
        <v>150</v>
      </c>
      <c r="D26" s="701" t="s">
        <v>99</v>
      </c>
      <c r="E26" s="139" t="s">
        <v>176</v>
      </c>
      <c r="F26" s="138">
        <v>2.4</v>
      </c>
      <c r="G26" s="139" t="s">
        <v>60</v>
      </c>
      <c r="H26" s="151" t="s">
        <v>4946</v>
      </c>
      <c r="I26" s="110"/>
      <c r="J26" s="109"/>
      <c r="K26" s="138"/>
      <c r="L26" s="282"/>
      <c r="M26" s="363"/>
      <c r="N26" s="363"/>
      <c r="O26" s="145">
        <v>0.0</v>
      </c>
      <c r="P26" s="145">
        <v>1.0</v>
      </c>
      <c r="Q26" s="145">
        <v>1.0</v>
      </c>
      <c r="R26" s="100"/>
      <c r="S26" s="100"/>
      <c r="T26" s="100"/>
      <c r="U26" s="145" t="s">
        <v>62</v>
      </c>
      <c r="V26" s="100"/>
    </row>
    <row r="27" outlineLevel="1">
      <c r="A27" s="146"/>
      <c r="B27" s="147" t="s">
        <v>63</v>
      </c>
      <c r="C27" s="467" t="s">
        <v>71</v>
      </c>
      <c r="D27" s="467" t="s">
        <v>99</v>
      </c>
      <c r="E27" s="216" t="s">
        <v>176</v>
      </c>
      <c r="F27" s="138">
        <v>2.4</v>
      </c>
      <c r="G27" s="139" t="s">
        <v>60</v>
      </c>
      <c r="H27" s="151" t="s">
        <v>4947</v>
      </c>
      <c r="I27" s="110"/>
      <c r="J27" s="109"/>
      <c r="K27" s="282"/>
      <c r="L27" s="282"/>
      <c r="M27" s="363"/>
      <c r="N27" s="363"/>
      <c r="O27" s="145">
        <v>0.0</v>
      </c>
      <c r="P27" s="145">
        <v>1.0</v>
      </c>
      <c r="Q27" s="145">
        <v>1.0</v>
      </c>
      <c r="R27" s="100"/>
      <c r="S27" s="100"/>
      <c r="T27" s="100"/>
      <c r="U27" s="145" t="s">
        <v>69</v>
      </c>
      <c r="V27" s="100"/>
    </row>
    <row r="28" outlineLevel="1">
      <c r="A28" s="146"/>
      <c r="B28" s="147" t="s">
        <v>703</v>
      </c>
      <c r="C28" s="659"/>
      <c r="D28" s="467" t="s">
        <v>86</v>
      </c>
      <c r="E28" s="659"/>
      <c r="F28" s="658"/>
      <c r="G28" s="659"/>
      <c r="H28" s="151"/>
      <c r="I28" s="110"/>
      <c r="J28" s="109"/>
      <c r="K28" s="261"/>
      <c r="L28" s="261"/>
      <c r="M28" s="261"/>
      <c r="N28" s="261"/>
      <c r="O28" s="261"/>
      <c r="P28" s="261"/>
      <c r="Q28" s="261"/>
      <c r="R28" s="100"/>
      <c r="S28" s="100"/>
      <c r="T28" s="100"/>
      <c r="U28" s="145" t="s">
        <v>76</v>
      </c>
      <c r="V28" s="100"/>
    </row>
    <row r="29" outlineLevel="1">
      <c r="A29" s="146"/>
      <c r="B29" s="147" t="s">
        <v>704</v>
      </c>
      <c r="C29" s="467" t="s">
        <v>4948</v>
      </c>
      <c r="D29" s="467" t="s">
        <v>296</v>
      </c>
      <c r="E29" s="467" t="s">
        <v>1098</v>
      </c>
      <c r="F29" s="138">
        <v>0.6</v>
      </c>
      <c r="G29" s="450" t="s">
        <v>147</v>
      </c>
      <c r="H29" s="151" t="s">
        <v>4949</v>
      </c>
      <c r="I29" s="110"/>
      <c r="J29" s="109"/>
      <c r="K29" s="282"/>
      <c r="L29" s="282"/>
      <c r="M29" s="363"/>
      <c r="N29" s="363"/>
      <c r="O29" s="145">
        <v>0.0</v>
      </c>
      <c r="P29" s="145">
        <v>1.0</v>
      </c>
      <c r="Q29" s="145">
        <v>1.0</v>
      </c>
      <c r="R29" s="100"/>
      <c r="S29" s="100"/>
      <c r="T29" s="100"/>
      <c r="U29" s="145" t="s">
        <v>76</v>
      </c>
      <c r="V29" s="100"/>
    </row>
    <row r="30" outlineLevel="1">
      <c r="A30" s="156"/>
      <c r="B30" s="147" t="s">
        <v>708</v>
      </c>
      <c r="C30" s="467" t="s">
        <v>71</v>
      </c>
      <c r="D30" s="467" t="s">
        <v>393</v>
      </c>
      <c r="E30" s="467" t="s">
        <v>535</v>
      </c>
      <c r="F30" s="138">
        <v>3.0</v>
      </c>
      <c r="G30" s="467" t="s">
        <v>147</v>
      </c>
      <c r="H30" s="151"/>
      <c r="I30" s="110"/>
      <c r="J30" s="109"/>
      <c r="K30" s="282"/>
      <c r="L30" s="282"/>
      <c r="M30" s="363"/>
      <c r="N30" s="363"/>
      <c r="O30" s="145">
        <v>0.0</v>
      </c>
      <c r="P30" s="145">
        <v>1.0</v>
      </c>
      <c r="Q30" s="145">
        <v>1.0</v>
      </c>
      <c r="R30" s="100"/>
      <c r="S30" s="100"/>
      <c r="T30" s="100"/>
      <c r="U30" s="145" t="s">
        <v>76</v>
      </c>
      <c r="V30" s="100"/>
    </row>
    <row r="31" outlineLevel="1">
      <c r="A31" s="133" t="s">
        <v>4950</v>
      </c>
      <c r="B31" s="147"/>
      <c r="C31" s="467" t="s">
        <v>4951</v>
      </c>
      <c r="D31" s="659"/>
      <c r="E31" s="467" t="s">
        <v>4952</v>
      </c>
      <c r="F31" s="138" t="s">
        <v>4953</v>
      </c>
      <c r="G31" s="139" t="s">
        <v>1448</v>
      </c>
      <c r="H31" s="163" t="s">
        <v>4954</v>
      </c>
      <c r="I31" s="164"/>
      <c r="J31" s="104"/>
      <c r="K31" s="138"/>
      <c r="L31" s="282"/>
      <c r="M31" s="363"/>
      <c r="N31" s="363"/>
      <c r="O31" s="145"/>
      <c r="P31" s="145"/>
      <c r="Q31" s="145"/>
      <c r="R31" s="100"/>
      <c r="S31" s="100"/>
      <c r="T31" s="100"/>
      <c r="U31" s="166" t="s">
        <v>62</v>
      </c>
      <c r="V31" s="100"/>
    </row>
    <row r="32" outlineLevel="1">
      <c r="A32" s="156"/>
      <c r="B32" s="147" t="s">
        <v>677</v>
      </c>
      <c r="C32" s="659"/>
      <c r="D32" s="467" t="s">
        <v>296</v>
      </c>
      <c r="E32" s="659"/>
      <c r="F32" s="659"/>
      <c r="G32" s="659"/>
      <c r="H32" s="106"/>
      <c r="I32" s="168"/>
      <c r="J32" s="107"/>
      <c r="K32" s="138"/>
      <c r="L32" s="282"/>
      <c r="M32" s="363"/>
      <c r="N32" s="363"/>
      <c r="O32" s="145"/>
      <c r="P32" s="145"/>
      <c r="Q32" s="145"/>
      <c r="R32" s="100"/>
      <c r="S32" s="100"/>
      <c r="T32" s="100"/>
      <c r="U32" s="156"/>
      <c r="V32" s="100"/>
    </row>
    <row r="33" outlineLevel="1">
      <c r="A33" s="133" t="s">
        <v>77</v>
      </c>
      <c r="B33" s="147" t="s">
        <v>167</v>
      </c>
      <c r="C33" s="467" t="s">
        <v>4955</v>
      </c>
      <c r="D33" s="455" t="s">
        <v>289</v>
      </c>
      <c r="E33" s="450" t="s">
        <v>176</v>
      </c>
      <c r="F33" s="138">
        <v>2.4</v>
      </c>
      <c r="G33" s="139" t="s">
        <v>60</v>
      </c>
      <c r="H33" s="163" t="s">
        <v>1167</v>
      </c>
      <c r="I33" s="164"/>
      <c r="J33" s="104"/>
      <c r="K33" s="138"/>
      <c r="L33" s="282"/>
      <c r="M33" s="363"/>
      <c r="N33" s="363"/>
      <c r="O33" s="145">
        <v>0.0</v>
      </c>
      <c r="P33" s="145">
        <v>1.0</v>
      </c>
      <c r="Q33" s="145">
        <v>1.0</v>
      </c>
      <c r="R33" s="100"/>
      <c r="S33" s="100"/>
      <c r="T33" s="100"/>
      <c r="U33" s="166" t="s">
        <v>69</v>
      </c>
      <c r="V33" s="100"/>
    </row>
    <row r="34" outlineLevel="1">
      <c r="A34" s="156"/>
      <c r="B34" s="147" t="s">
        <v>172</v>
      </c>
      <c r="C34" s="467" t="s">
        <v>610</v>
      </c>
      <c r="D34" s="107"/>
      <c r="E34" s="467" t="s">
        <v>651</v>
      </c>
      <c r="F34" s="138">
        <v>4.2</v>
      </c>
      <c r="G34" s="139" t="s">
        <v>147</v>
      </c>
      <c r="H34" s="106"/>
      <c r="I34" s="168"/>
      <c r="J34" s="107"/>
      <c r="K34" s="282"/>
      <c r="L34" s="282"/>
      <c r="M34" s="363"/>
      <c r="N34" s="363"/>
      <c r="O34" s="145">
        <v>0.0</v>
      </c>
      <c r="P34" s="145">
        <v>1.0</v>
      </c>
      <c r="Q34" s="145">
        <v>1.0</v>
      </c>
      <c r="R34" s="100"/>
      <c r="S34" s="100"/>
      <c r="T34" s="100"/>
      <c r="U34" s="156"/>
      <c r="V34" s="100"/>
    </row>
    <row r="35" outlineLevel="1">
      <c r="A35" s="170" t="s">
        <v>89</v>
      </c>
      <c r="B35" s="147"/>
      <c r="C35" s="467" t="s">
        <v>373</v>
      </c>
      <c r="D35" s="467" t="s">
        <v>164</v>
      </c>
      <c r="E35" s="467" t="s">
        <v>4956</v>
      </c>
      <c r="F35" s="138" t="s">
        <v>4957</v>
      </c>
      <c r="G35" s="139" t="s">
        <v>4958</v>
      </c>
      <c r="H35" s="151" t="s">
        <v>4959</v>
      </c>
      <c r="I35" s="110"/>
      <c r="J35" s="109"/>
      <c r="K35" s="138"/>
      <c r="L35" s="282"/>
      <c r="M35" s="363"/>
      <c r="N35" s="363"/>
      <c r="O35" s="145">
        <v>0.0</v>
      </c>
      <c r="P35" s="145">
        <v>1.0</v>
      </c>
      <c r="Q35" s="145">
        <v>1.0</v>
      </c>
      <c r="R35" s="100"/>
      <c r="S35" s="100"/>
      <c r="T35" s="100"/>
      <c r="U35" s="145" t="s">
        <v>96</v>
      </c>
      <c r="V35" s="100"/>
    </row>
    <row r="36" outlineLevel="1">
      <c r="A36" s="170" t="s">
        <v>97</v>
      </c>
      <c r="B36" s="160"/>
      <c r="C36" s="467" t="s">
        <v>4960</v>
      </c>
      <c r="D36" s="467" t="s">
        <v>79</v>
      </c>
      <c r="E36" s="467" t="s">
        <v>4961</v>
      </c>
      <c r="F36" s="138" t="s">
        <v>4962</v>
      </c>
      <c r="G36" s="139" t="s">
        <v>4963</v>
      </c>
      <c r="H36" s="151" t="s">
        <v>1167</v>
      </c>
      <c r="I36" s="110"/>
      <c r="J36" s="109"/>
      <c r="K36" s="282"/>
      <c r="L36" s="282"/>
      <c r="M36" s="363"/>
      <c r="N36" s="363"/>
      <c r="O36" s="145">
        <v>0.0</v>
      </c>
      <c r="P36" s="145">
        <v>1.0</v>
      </c>
      <c r="Q36" s="145">
        <v>1.0</v>
      </c>
      <c r="R36" s="100"/>
      <c r="S36" s="100"/>
      <c r="T36" s="100"/>
      <c r="U36" s="145" t="s">
        <v>62</v>
      </c>
      <c r="V36" s="100"/>
    </row>
    <row r="37" outlineLevel="1">
      <c r="A37" s="133" t="s">
        <v>103</v>
      </c>
      <c r="B37" s="147" t="s">
        <v>4964</v>
      </c>
      <c r="C37" s="467" t="s">
        <v>831</v>
      </c>
      <c r="D37" s="113" t="s">
        <v>393</v>
      </c>
      <c r="E37" s="467" t="s">
        <v>150</v>
      </c>
      <c r="F37" s="138">
        <v>6.0</v>
      </c>
      <c r="G37" s="139" t="s">
        <v>102</v>
      </c>
      <c r="H37" s="151" t="s">
        <v>4965</v>
      </c>
      <c r="I37" s="110"/>
      <c r="J37" s="109"/>
      <c r="K37" s="145"/>
      <c r="L37" s="363"/>
      <c r="M37" s="363"/>
      <c r="N37" s="363"/>
      <c r="O37" s="145">
        <v>0.0</v>
      </c>
      <c r="P37" s="145">
        <v>1.0</v>
      </c>
      <c r="Q37" s="145">
        <v>1.0</v>
      </c>
      <c r="R37" s="100"/>
      <c r="S37" s="100"/>
      <c r="T37" s="100"/>
      <c r="U37" s="145" t="s">
        <v>69</v>
      </c>
      <c r="V37" s="100"/>
    </row>
    <row r="38" ht="26.25" customHeight="1" outlineLevel="1">
      <c r="A38" s="146"/>
      <c r="B38" s="147" t="s">
        <v>4966</v>
      </c>
      <c r="C38" s="467" t="s">
        <v>742</v>
      </c>
      <c r="D38" s="279" t="s">
        <v>4967</v>
      </c>
      <c r="E38" s="467" t="s">
        <v>93</v>
      </c>
      <c r="F38" s="138">
        <v>8.4</v>
      </c>
      <c r="G38" s="139" t="s">
        <v>95</v>
      </c>
      <c r="H38" s="163" t="s">
        <v>4968</v>
      </c>
      <c r="I38" s="164"/>
      <c r="J38" s="104"/>
      <c r="K38" s="363"/>
      <c r="L38" s="363"/>
      <c r="M38" s="363"/>
      <c r="N38" s="363"/>
      <c r="O38" s="145"/>
      <c r="P38" s="145"/>
      <c r="Q38" s="145"/>
      <c r="R38" s="100"/>
      <c r="S38" s="100"/>
      <c r="T38" s="100"/>
      <c r="U38" s="2398" t="s">
        <v>76</v>
      </c>
      <c r="V38" s="100"/>
    </row>
    <row r="39" ht="26.25" customHeight="1" outlineLevel="1">
      <c r="A39" s="156"/>
      <c r="B39" s="147" t="s">
        <v>4969</v>
      </c>
      <c r="C39" s="467" t="s">
        <v>4970</v>
      </c>
      <c r="D39" s="156"/>
      <c r="E39" s="467" t="s">
        <v>651</v>
      </c>
      <c r="F39" s="138">
        <v>4.2</v>
      </c>
      <c r="G39" s="139" t="s">
        <v>147</v>
      </c>
      <c r="H39" s="106"/>
      <c r="I39" s="168"/>
      <c r="J39" s="107"/>
      <c r="K39" s="363"/>
      <c r="L39" s="363"/>
      <c r="M39" s="363"/>
      <c r="N39" s="363"/>
      <c r="O39" s="145">
        <v>0.0</v>
      </c>
      <c r="P39" s="145">
        <v>1.0</v>
      </c>
      <c r="Q39" s="145">
        <v>1.0</v>
      </c>
      <c r="R39" s="100"/>
      <c r="S39" s="100"/>
      <c r="T39" s="100"/>
      <c r="U39" s="156"/>
      <c r="V39" s="100"/>
    </row>
    <row r="40" outlineLevel="1">
      <c r="A40" s="170" t="s">
        <v>109</v>
      </c>
      <c r="B40" s="147" t="s">
        <v>90</v>
      </c>
      <c r="C40" s="467" t="s">
        <v>443</v>
      </c>
      <c r="D40" s="467" t="s">
        <v>335</v>
      </c>
      <c r="E40" s="467" t="s">
        <v>4971</v>
      </c>
      <c r="F40" s="138" t="s">
        <v>4972</v>
      </c>
      <c r="G40" s="139" t="s">
        <v>1673</v>
      </c>
      <c r="H40" s="151" t="s">
        <v>4973</v>
      </c>
      <c r="I40" s="110"/>
      <c r="J40" s="109"/>
      <c r="K40" s="282"/>
      <c r="L40" s="282"/>
      <c r="M40" s="363"/>
      <c r="N40" s="363"/>
      <c r="O40" s="145">
        <v>0.0</v>
      </c>
      <c r="P40" s="145">
        <v>1.0</v>
      </c>
      <c r="Q40" s="145">
        <v>1.0</v>
      </c>
      <c r="R40" s="100"/>
      <c r="S40" s="100"/>
      <c r="T40" s="100"/>
      <c r="U40" s="145" t="s">
        <v>95</v>
      </c>
      <c r="V40" s="100"/>
    </row>
    <row r="41" outlineLevel="1">
      <c r="A41" s="170" t="s">
        <v>116</v>
      </c>
      <c r="B41" s="160"/>
      <c r="C41" s="450" t="s">
        <v>1137</v>
      </c>
      <c r="D41" s="450" t="s">
        <v>892</v>
      </c>
      <c r="E41" s="467" t="s">
        <v>4151</v>
      </c>
      <c r="F41" s="138" t="s">
        <v>4152</v>
      </c>
      <c r="G41" s="139" t="s">
        <v>1302</v>
      </c>
      <c r="H41" s="151" t="s">
        <v>4974</v>
      </c>
      <c r="I41" s="110"/>
      <c r="J41" s="109"/>
      <c r="K41" s="363"/>
      <c r="L41" s="363"/>
      <c r="M41" s="363"/>
      <c r="N41" s="363"/>
      <c r="O41" s="145">
        <v>0.0</v>
      </c>
      <c r="P41" s="145">
        <v>1.0</v>
      </c>
      <c r="Q41" s="145">
        <v>1.0</v>
      </c>
      <c r="R41" s="100"/>
      <c r="S41" s="100"/>
      <c r="T41" s="100"/>
      <c r="U41" s="145" t="s">
        <v>147</v>
      </c>
      <c r="V41" s="100"/>
    </row>
    <row r="42" outlineLevel="1">
      <c r="A42" s="133" t="s">
        <v>124</v>
      </c>
      <c r="B42" s="147" t="s">
        <v>125</v>
      </c>
      <c r="C42" s="467" t="s">
        <v>295</v>
      </c>
      <c r="D42" s="455" t="s">
        <v>300</v>
      </c>
      <c r="E42" s="467" t="s">
        <v>4975</v>
      </c>
      <c r="F42" s="138" t="s">
        <v>4976</v>
      </c>
      <c r="G42" s="139" t="s">
        <v>3791</v>
      </c>
      <c r="H42" s="163" t="s">
        <v>4974</v>
      </c>
      <c r="I42" s="164"/>
      <c r="J42" s="104"/>
      <c r="K42" s="282"/>
      <c r="L42" s="282"/>
      <c r="M42" s="363"/>
      <c r="N42" s="363"/>
      <c r="O42" s="145"/>
      <c r="P42" s="145"/>
      <c r="Q42" s="145"/>
      <c r="R42" s="100"/>
      <c r="S42" s="100"/>
      <c r="T42" s="100"/>
      <c r="U42" s="166" t="s">
        <v>62</v>
      </c>
      <c r="V42" s="100"/>
    </row>
    <row r="43" outlineLevel="1">
      <c r="A43" s="156"/>
      <c r="B43" s="147" t="s">
        <v>131</v>
      </c>
      <c r="C43" s="467" t="s">
        <v>351</v>
      </c>
      <c r="D43" s="107"/>
      <c r="E43" s="467" t="s">
        <v>4975</v>
      </c>
      <c r="F43" s="138" t="s">
        <v>4976</v>
      </c>
      <c r="G43" s="139" t="s">
        <v>3791</v>
      </c>
      <c r="H43" s="106"/>
      <c r="I43" s="168"/>
      <c r="J43" s="107"/>
      <c r="K43" s="282"/>
      <c r="L43" s="282"/>
      <c r="M43" s="363"/>
      <c r="N43" s="363"/>
      <c r="O43" s="145">
        <v>0.0</v>
      </c>
      <c r="P43" s="145">
        <v>1.0</v>
      </c>
      <c r="Q43" s="145">
        <v>1.0</v>
      </c>
      <c r="R43" s="100"/>
      <c r="S43" s="100"/>
      <c r="T43" s="100"/>
      <c r="U43" s="156"/>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tr">
        <f>'テンプレート'!A55</f>
        <v>空中攻撃</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tr">
        <f>'テンプレート'!C56</f>
        <v>判定持続</v>
      </c>
      <c r="D46" s="183" t="str">
        <f>'テンプレート'!D56</f>
        <v>全体フレーム</v>
      </c>
      <c r="E46" s="182" t="str">
        <f>'テンプレート'!E56</f>
        <v>基礎ダメージ</v>
      </c>
      <c r="F46" s="184" t="str">
        <f>'テンプレート'!F56</f>
        <v>ダメージ (1v1)</v>
      </c>
      <c r="G46" s="184" t="str">
        <f>'テンプレート'!G56</f>
        <v>ダメ (1v1+小J)</v>
      </c>
      <c r="H46" s="185" t="str">
        <f>'テンプレート'!H56</f>
        <v>ガード硬直</v>
      </c>
      <c r="I46" s="184" t="str">
        <f>'テンプレート'!I56</f>
        <v>着地隙</v>
      </c>
      <c r="J46" s="184" t="s">
        <v>136</v>
      </c>
      <c r="K46" s="184" t="str">
        <f>'テンプレート'!K56</f>
        <v>ベクトル</v>
      </c>
      <c r="L46" s="184" t="str">
        <f>'テンプレート'!L56</f>
        <v>KBG (R.E.)</v>
      </c>
      <c r="M46" s="184" t="str">
        <f>'テンプレート'!M56</f>
        <v>BKB (R.A.)</v>
      </c>
      <c r="N46" s="184" t="str">
        <f>'テンプレート'!N56</f>
        <v>FKB (R.F.)</v>
      </c>
      <c r="O46" s="186" t="str">
        <f>'テンプレート'!O56</f>
        <v>盾削り値</v>
      </c>
      <c r="P46" s="184" t="str">
        <f>'テンプレート'!P56</f>
        <v>ﾋｯﾄｽﾄｯﾌﾟ</v>
      </c>
      <c r="Q46" s="186" t="str">
        <f>'テンプレート'!Q56</f>
        <v>ずらし</v>
      </c>
      <c r="R46" s="187" t="str">
        <f>'テンプレート'!R56</f>
        <v>備考</v>
      </c>
      <c r="S46" s="110"/>
      <c r="T46" s="110"/>
      <c r="U46" s="110"/>
      <c r="V46" s="110"/>
    </row>
    <row r="47" outlineLevel="1">
      <c r="A47" s="188" t="s">
        <v>144</v>
      </c>
      <c r="B47" s="373" t="s">
        <v>655</v>
      </c>
      <c r="C47" s="239" t="s">
        <v>4977</v>
      </c>
      <c r="D47" s="455" t="s">
        <v>221</v>
      </c>
      <c r="E47" s="401" t="s">
        <v>213</v>
      </c>
      <c r="F47" s="193">
        <f t="shared" ref="F47:F53" si="1">IFERROR(IFS(E47="-","-",LEN(E47)-LEN(SUBSTITUTE(E47,"/",""))=0,MULTIPLY(E47,1.2),LEN(E47)-LEN(SUBSTITUTE(E47,"/",""))=1,MULTIPLY(LEFT(E47,FIND("/",E47)-1),1.2)&amp;"/"&amp;MULTIPLY(MID(E47,FIND("/",E47)+1,10),1.2),LEN(E47)-LEN(SUBSTITUTE(E47,"/",""))=2,MULTIPLY(LEFT(E47,FIND("!",SUBSTITUTE(E47,"/","!",1))-1),1.2)&amp;"/"&amp;MULTIPLY(MID(E47,FIND("!",SUBSTITUTE(E47,"/","!",1))+1,FIND("!",SUBSTITUTE(E47,"/","!",2))-FIND("!",SUBSTITUTE(E47,"/","!",1))-1),1.2)&amp;"/"&amp;MULTIPLY(RIGHT(E47,LEN(E47)-FIND("!",SUBSTITUTE(E47,"/","!",2))),1.2),LEN(E47)-LEN(SUBSTITUTE(E47,"/",""))=3,MULTIPLY(LEFT(E47,FIND("!",SUBSTITUTE(E47,"/","!",1))-1),1.2)&amp;"/"&amp;MULTIPLY(MID(E47,FIND("!",SUBSTITUTE(E47,"/","!",1))+1,FIND("!",SUBSTITUTE(E47,"/","!",2))-FIND("!",SUBSTITUTE(E47,"/","!",1))-1),1.2)&amp;"/"&amp;MULTIPLY(MID(E47,FIND("!",SUBSTITUTE(E47,"/","!",2))+1,FIND("!",SUBSTITUTE(E47,"/","!",3))-FIND("!",SUBSTITUTE(E47,"/","!",2))-1),1.2)&amp;"/"&amp;MULTIPLY(RIGHT(E47,LEN(E47)-FIND("!",SUBSTITUTE(E47,"/","!",3))),1.2),LEN(E47)-LEN(SUBSTITUTE(E47,"/",""))=4,MULTIPLY(LEFT(E47,FIND("!",SUBSTITUTE(E47,"/","!",1))-1),1.2)&amp;"/"&amp;MULTIPLY(MID(E47,FIND("!",SUBSTITUTE(E47,"/","!",1))+1,FIND("!",SUBSTITUTE(E47,"/","!",2))-FIND("!",SUBSTITUTE(E47,"/","!",1))-1),1.2)&amp;"/"&amp;MULTIPLY(MID(E47,FIND("!",SUBSTITUTE(E47,"/","!",2))+1,FIND("!",SUBSTITUTE(E47,"/","!",3))-FIND("!",SUBSTITUTE(E47,"/","!",2))-1),1.2)&amp;"/"&amp;MULTIPLY(MID(E47,FIND("!",SUBSTITUTE(E47,"/","!",3))+1,FIND("!",SUBSTITUTE(E47,"/","!",4))-FIND("!",SUBSTITUTE(E47,"/","!",3))-1),1.2)&amp;"/"&amp;MULTIPLY(RIGHT(E47,LEN(E47)-FIND("!",SUBSTITUTE(E47,"/","!",4))),1.2)),"")</f>
        <v>1.2</v>
      </c>
      <c r="G47" s="193">
        <f t="shared" ref="G47:G53" si="2">IFERROR(IFS(E47="-","-",LEN(E47)-LEN(SUBSTITUTE(E47,"/",""))=0,MULTIPLY(E47,1.02),LEN(E47)-LEN(SUBSTITUTE(E47,"/",""))=1,MULTIPLY(LEFT(E47,FIND("/",E47)-1),1.02)&amp;"/"&amp;MULTIPLY(MID(E47,FIND("/",E47)+1,10),1.02),LEN(E47)-LEN(SUBSTITUTE(E47,"/",""))=2,MULTIPLY(LEFT(E47,FIND("!",SUBSTITUTE(E47,"/","!",1))-1),1.02)&amp;"/"&amp;MULTIPLY(MID(E47,FIND("!",SUBSTITUTE(E47,"/","!",1))+1,FIND("!",SUBSTITUTE(E47,"/","!",2))-FIND("!",SUBSTITUTE(E47,"/","!",1))-1),1.02)&amp;"/"&amp;MULTIPLY(RIGHT(E47,LEN(E47)-FIND("!",SUBSTITUTE(E47,"/","!",2))),1.02),LEN(E47)-LEN(SUBSTITUTE(E47,"/",""))=3,MULTIPLY(LEFT(E47,FIND("!",SUBSTITUTE(E47,"/","!",1))-1),1.02)&amp;"/"&amp;MULTIPLY(MID(E47,FIND("!",SUBSTITUTE(E47,"/","!",1))+1,FIND("!",SUBSTITUTE(E47,"/","!",2))-FIND("!",SUBSTITUTE(E47,"/","!",1))-1),1.02)&amp;"/"&amp;MULTIPLY(MID(E47,FIND("!",SUBSTITUTE(E47,"/","!",2))+1,FIND("!",SUBSTITUTE(E47,"/","!",3))-FIND("!",SUBSTITUTE(E47,"/","!",2))-1),1.02)&amp;"/"&amp;MULTIPLY(RIGHT(E47,LEN(E47)-FIND("!",SUBSTITUTE(E47,"/","!",3))),1.02),LEN(E47)-LEN(SUBSTITUTE(E47,"/",""))=4,MULTIPLY(LEFT(E47,FIND("!",SUBSTITUTE(E47,"/","!",1))-1),1.02)&amp;"/"&amp;MULTIPLY(MID(E47,FIND("!",SUBSTITUTE(E47,"/","!",1))+1,FIND("!",SUBSTITUTE(E47,"/","!",2))-FIND("!",SUBSTITUTE(E47,"/","!",1))-1),1.02)&amp;"/"&amp;MULTIPLY(MID(E47,FIND("!",SUBSTITUTE(E47,"/","!",2))+1,FIND("!",SUBSTITUTE(E47,"/","!",3))-FIND("!",SUBSTITUTE(E47,"/","!",2))-1),1.02)&amp;"/"&amp;MULTIPLY(MID(E47,FIND("!",SUBSTITUTE(E47,"/","!",3))+1,FIND("!",SUBSTITUTE(E47,"/","!",4))-FIND("!",SUBSTITUTE(E47,"/","!",3))-1),1.02)&amp;"/"&amp;MULTIPLY(RIGHT(E47,LEN(E47)-FIND("!",SUBSTITUTE(E47,"/","!",4))),1.02)),"")</f>
        <v>1.02</v>
      </c>
      <c r="H47" s="138" t="s">
        <v>170</v>
      </c>
      <c r="I47" s="452" t="str">
        <f t="array" ref="I47">INDEX('空中攻撃'!$O$3:$AB$109, MATCH($A$1,'空中攻撃'!$A$3:$A$109,0), MATCH(A47,'空中攻撃'!$O$2:$S$2,0))</f>
        <v>14</v>
      </c>
      <c r="J47" s="455" t="s">
        <v>2283</v>
      </c>
      <c r="K47" s="138"/>
      <c r="L47" s="282"/>
      <c r="M47" s="363"/>
      <c r="N47" s="363"/>
      <c r="O47" s="145">
        <v>0.0</v>
      </c>
      <c r="P47" s="145">
        <v>1.0</v>
      </c>
      <c r="Q47" s="145">
        <v>1.0</v>
      </c>
      <c r="R47" s="163" t="s">
        <v>4978</v>
      </c>
      <c r="S47" s="164"/>
      <c r="T47" s="164"/>
      <c r="U47" s="164"/>
      <c r="V47" s="104"/>
    </row>
    <row r="48" outlineLevel="1">
      <c r="A48" s="156"/>
      <c r="B48" s="373" t="s">
        <v>365</v>
      </c>
      <c r="C48" s="239" t="s">
        <v>522</v>
      </c>
      <c r="D48" s="107"/>
      <c r="E48" s="239" t="s">
        <v>73</v>
      </c>
      <c r="F48" s="138">
        <f t="shared" si="1"/>
        <v>4.8</v>
      </c>
      <c r="G48" s="138">
        <f t="shared" si="2"/>
        <v>4.08</v>
      </c>
      <c r="H48" s="138" t="s">
        <v>60</v>
      </c>
      <c r="I48" s="107"/>
      <c r="J48" s="107"/>
      <c r="K48" s="138"/>
      <c r="L48" s="282"/>
      <c r="M48" s="363"/>
      <c r="N48" s="363"/>
      <c r="O48" s="145">
        <v>0.0</v>
      </c>
      <c r="P48" s="145">
        <v>1.0</v>
      </c>
      <c r="Q48" s="145">
        <v>1.0</v>
      </c>
      <c r="R48" s="106"/>
      <c r="S48" s="168"/>
      <c r="T48" s="168"/>
      <c r="U48" s="168"/>
      <c r="V48" s="107"/>
    </row>
    <row r="49" outlineLevel="1">
      <c r="A49" s="213" t="s">
        <v>151</v>
      </c>
      <c r="B49" s="373" t="s">
        <v>90</v>
      </c>
      <c r="C49" s="239" t="s">
        <v>119</v>
      </c>
      <c r="D49" s="467" t="s">
        <v>118</v>
      </c>
      <c r="E49" s="239" t="s">
        <v>4956</v>
      </c>
      <c r="F49" s="138" t="str">
        <f t="shared" si="1"/>
        <v>14.4/12/2.4</v>
      </c>
      <c r="G49" s="138" t="str">
        <f t="shared" si="2"/>
        <v>12.24/10.2/2.04</v>
      </c>
      <c r="H49" s="138" t="s">
        <v>4979</v>
      </c>
      <c r="I49" s="774" t="str">
        <f t="array" ref="I49">INDEX('空中攻撃'!$O$3:$AB$109, MATCH($A$1,'空中攻撃'!$A$3:$A$109,0), MATCH(A49,'空中攻撃'!$O$2:$S$2,0))</f>
        <v>10</v>
      </c>
      <c r="J49" s="467" t="s">
        <v>459</v>
      </c>
      <c r="K49" s="138"/>
      <c r="L49" s="282"/>
      <c r="M49" s="363"/>
      <c r="N49" s="363"/>
      <c r="O49" s="145">
        <v>0.0</v>
      </c>
      <c r="P49" s="145">
        <v>1.0</v>
      </c>
      <c r="Q49" s="145">
        <v>1.0</v>
      </c>
      <c r="R49" s="151" t="s">
        <v>4980</v>
      </c>
      <c r="S49" s="110"/>
      <c r="T49" s="110"/>
      <c r="U49" s="110"/>
      <c r="V49" s="109"/>
    </row>
    <row r="50" outlineLevel="1">
      <c r="A50" s="213" t="s">
        <v>157</v>
      </c>
      <c r="B50" s="373" t="s">
        <v>90</v>
      </c>
      <c r="C50" s="239" t="s">
        <v>295</v>
      </c>
      <c r="D50" s="467" t="s">
        <v>118</v>
      </c>
      <c r="E50" s="239" t="s">
        <v>4956</v>
      </c>
      <c r="F50" s="138" t="str">
        <f t="shared" si="1"/>
        <v>14.4/12/2.4</v>
      </c>
      <c r="G50" s="138" t="str">
        <f t="shared" si="2"/>
        <v>12.24/10.2/2.04</v>
      </c>
      <c r="H50" s="138" t="s">
        <v>4979</v>
      </c>
      <c r="I50" s="774">
        <f t="array" ref="I50">INDEX('空中攻撃'!$O$3:$AB$109, MATCH($A$1,'空中攻撃'!$A$3:$A$109,0), MATCH(A50,'空中攻撃'!$O$2:$S$2,0))</f>
        <v>10</v>
      </c>
      <c r="J50" s="467" t="s">
        <v>2699</v>
      </c>
      <c r="K50" s="138"/>
      <c r="L50" s="282"/>
      <c r="M50" s="363"/>
      <c r="N50" s="363"/>
      <c r="O50" s="145">
        <v>0.0</v>
      </c>
      <c r="P50" s="145">
        <v>1.0</v>
      </c>
      <c r="Q50" s="145">
        <v>1.0</v>
      </c>
      <c r="R50" s="151" t="s">
        <v>4980</v>
      </c>
      <c r="S50" s="110"/>
      <c r="T50" s="110"/>
      <c r="U50" s="110"/>
      <c r="V50" s="109"/>
    </row>
    <row r="51" outlineLevel="1">
      <c r="A51" s="213" t="s">
        <v>162</v>
      </c>
      <c r="B51" s="373"/>
      <c r="C51" s="239" t="s">
        <v>325</v>
      </c>
      <c r="D51" s="467" t="s">
        <v>118</v>
      </c>
      <c r="E51" s="239" t="s">
        <v>4956</v>
      </c>
      <c r="F51" s="138" t="str">
        <f t="shared" si="1"/>
        <v>14.4/12/2.4</v>
      </c>
      <c r="G51" s="138" t="str">
        <f t="shared" si="2"/>
        <v>12.24/10.2/2.04</v>
      </c>
      <c r="H51" s="138" t="s">
        <v>4979</v>
      </c>
      <c r="I51" s="774" t="str">
        <f t="array" ref="I51">INDEX('空中攻撃'!$O$3:$AB$109, MATCH($A$1,'空中攻撃'!$A$3:$A$109,0), MATCH(A51,'空中攻撃'!$O$2:$S$2,0))</f>
        <v>10</v>
      </c>
      <c r="J51" s="467" t="s">
        <v>4981</v>
      </c>
      <c r="K51" s="282"/>
      <c r="L51" s="282"/>
      <c r="M51" s="363"/>
      <c r="N51" s="363"/>
      <c r="O51" s="145">
        <v>0.0</v>
      </c>
      <c r="P51" s="145">
        <v>1.0</v>
      </c>
      <c r="Q51" s="145">
        <v>1.0</v>
      </c>
      <c r="R51" s="151" t="s">
        <v>4980</v>
      </c>
      <c r="S51" s="110"/>
      <c r="T51" s="110"/>
      <c r="U51" s="110"/>
      <c r="V51" s="109"/>
    </row>
    <row r="52" outlineLevel="1">
      <c r="A52" s="188" t="s">
        <v>166</v>
      </c>
      <c r="B52" s="373"/>
      <c r="C52" s="239" t="s">
        <v>305</v>
      </c>
      <c r="D52" s="367" t="s">
        <v>541</v>
      </c>
      <c r="E52" s="239" t="s">
        <v>129</v>
      </c>
      <c r="F52" s="138">
        <f t="shared" si="1"/>
        <v>14.4</v>
      </c>
      <c r="G52" s="138">
        <f t="shared" si="2"/>
        <v>12.24</v>
      </c>
      <c r="H52" s="138" t="s">
        <v>75</v>
      </c>
      <c r="I52" s="452">
        <f t="array" ref="I52">INDEX('空中攻撃'!$O$3:$AB$109, MATCH($A$1,'空中攻撃'!$A$3:$A$109,0), MATCH(A52,'空中攻撃'!$O$2:$S$2,0))</f>
        <v>26</v>
      </c>
      <c r="J52" s="455" t="s">
        <v>4982</v>
      </c>
      <c r="K52" s="282"/>
      <c r="L52" s="282"/>
      <c r="M52" s="363"/>
      <c r="N52" s="363"/>
      <c r="O52" s="145">
        <v>0.0</v>
      </c>
      <c r="P52" s="145">
        <v>1.0</v>
      </c>
      <c r="Q52" s="145">
        <v>1.0</v>
      </c>
      <c r="R52" s="163"/>
      <c r="S52" s="164"/>
      <c r="T52" s="164"/>
      <c r="U52" s="164"/>
      <c r="V52" s="104"/>
    </row>
    <row r="53" outlineLevel="1">
      <c r="A53" s="146"/>
      <c r="B53" s="373" t="s">
        <v>84</v>
      </c>
      <c r="C53" s="239" t="s">
        <v>4983</v>
      </c>
      <c r="D53" s="156"/>
      <c r="E53" s="239" t="s">
        <v>93</v>
      </c>
      <c r="F53" s="138">
        <f t="shared" si="1"/>
        <v>8.4</v>
      </c>
      <c r="G53" s="138">
        <f t="shared" si="2"/>
        <v>7.14</v>
      </c>
      <c r="H53" s="138" t="s">
        <v>60</v>
      </c>
      <c r="I53" s="210"/>
      <c r="J53" s="210"/>
      <c r="K53" s="282"/>
      <c r="L53" s="282"/>
      <c r="M53" s="363"/>
      <c r="N53" s="363"/>
      <c r="O53" s="145">
        <v>0.0</v>
      </c>
      <c r="P53" s="145">
        <v>1.0</v>
      </c>
      <c r="Q53" s="145">
        <v>1.0</v>
      </c>
      <c r="R53" s="212"/>
      <c r="V53" s="210"/>
    </row>
    <row r="54" outlineLevel="1">
      <c r="A54" s="156"/>
      <c r="B54" s="373" t="s">
        <v>470</v>
      </c>
      <c r="C54" s="281"/>
      <c r="D54" s="239" t="s">
        <v>876</v>
      </c>
      <c r="E54" s="281"/>
      <c r="F54" s="281"/>
      <c r="G54" s="281"/>
      <c r="H54" s="281"/>
      <c r="I54" s="107"/>
      <c r="J54" s="107"/>
      <c r="K54" s="281"/>
      <c r="L54" s="281"/>
      <c r="M54" s="281"/>
      <c r="N54" s="281"/>
      <c r="O54" s="281"/>
      <c r="P54" s="281"/>
      <c r="Q54" s="281"/>
      <c r="R54" s="106"/>
      <c r="S54" s="168"/>
      <c r="T54" s="168"/>
      <c r="U54" s="168"/>
      <c r="V54" s="107"/>
    </row>
    <row r="55">
      <c r="A55" s="223"/>
      <c r="B55" s="224"/>
      <c r="C55" s="225"/>
      <c r="D55" s="225"/>
      <c r="E55" s="226"/>
      <c r="F55" s="226"/>
      <c r="G55" s="226"/>
      <c r="H55" s="227"/>
      <c r="I55" s="227"/>
      <c r="J55" s="228"/>
      <c r="K55" s="228"/>
      <c r="L55" s="228"/>
      <c r="M55" s="228"/>
      <c r="N55" s="228"/>
      <c r="O55" s="228"/>
      <c r="P55" s="228"/>
      <c r="Q55" s="118"/>
      <c r="R55" s="118"/>
      <c r="S55" s="118"/>
      <c r="T55" s="118"/>
      <c r="U55" s="118"/>
      <c r="V55" s="118"/>
    </row>
    <row r="56">
      <c r="A56" s="229" t="s">
        <v>177</v>
      </c>
      <c r="B56" s="109"/>
      <c r="C56" s="225"/>
      <c r="D56" s="225"/>
      <c r="E56" s="226"/>
      <c r="F56" s="226"/>
      <c r="G56" s="226"/>
      <c r="H56" s="227"/>
      <c r="I56" s="227"/>
      <c r="J56" s="228"/>
      <c r="K56" s="228"/>
      <c r="L56" s="228"/>
      <c r="M56" s="228"/>
      <c r="N56" s="228"/>
      <c r="O56" s="228"/>
      <c r="P56" s="228"/>
      <c r="Q56" s="118"/>
      <c r="R56" s="118"/>
      <c r="S56" s="118"/>
      <c r="T56" s="118"/>
      <c r="U56" s="118"/>
      <c r="V56" s="118"/>
    </row>
    <row r="57" outlineLevel="1">
      <c r="A57" s="230" t="s">
        <v>4984</v>
      </c>
      <c r="B57" s="109"/>
      <c r="C57" s="231" t="s">
        <v>48</v>
      </c>
      <c r="D57" s="231" t="s">
        <v>49</v>
      </c>
      <c r="E57" s="232" t="s">
        <v>50</v>
      </c>
      <c r="F57" s="233" t="s">
        <v>51</v>
      </c>
      <c r="G57" s="232" t="s">
        <v>52</v>
      </c>
      <c r="H57" s="382" t="s">
        <v>53</v>
      </c>
      <c r="I57" s="110"/>
      <c r="J57" s="109"/>
      <c r="K57" s="235" t="str">
        <f>'テンプレート'!K72</f>
        <v>ベクトル</v>
      </c>
      <c r="L57" s="235" t="str">
        <f>'テンプレート'!L72</f>
        <v>KBG (R.E.)</v>
      </c>
      <c r="M57" s="235" t="str">
        <f>'テンプレート'!M72</f>
        <v>BKB (R.A.)</v>
      </c>
      <c r="N57" s="235" t="str">
        <f>'テンプレート'!N72</f>
        <v>FKB (R.F.)</v>
      </c>
      <c r="O57" s="236" t="str">
        <f>'テンプレート'!O72</f>
        <v>盾削り値</v>
      </c>
      <c r="P57" s="235" t="str">
        <f>'テンプレート'!P72</f>
        <v>ﾋｯﾄｽﾄｯﾌﾟ</v>
      </c>
      <c r="Q57" s="236" t="str">
        <f>'テンプレート'!Q72</f>
        <v>ずらし</v>
      </c>
      <c r="R57" s="235" t="str">
        <f>'テンプレート'!R72</f>
        <v>相殺</v>
      </c>
      <c r="S57" s="236" t="str">
        <f>'テンプレート'!S72</f>
        <v>相殺ﾓｰｼｮﾝ</v>
      </c>
      <c r="T57" s="236" t="str">
        <f>'テンプレート'!T72</f>
        <v>飛び道具</v>
      </c>
      <c r="U57" s="236" t="str">
        <f>'テンプレート'!U72</f>
        <v>慣性反転</v>
      </c>
      <c r="V57" s="236" t="str">
        <f>'テンプレート'!V72</f>
        <v>向き反転</v>
      </c>
    </row>
    <row r="58" outlineLevel="1">
      <c r="A58" s="237" t="s">
        <v>184</v>
      </c>
      <c r="B58" s="243"/>
      <c r="C58" s="239" t="s">
        <v>4985</v>
      </c>
      <c r="D58" s="467" t="s">
        <v>1577</v>
      </c>
      <c r="E58" s="239" t="s">
        <v>386</v>
      </c>
      <c r="F58" s="138">
        <v>18.0</v>
      </c>
      <c r="G58" s="365" t="s">
        <v>1187</v>
      </c>
      <c r="H58" s="151" t="s">
        <v>4986</v>
      </c>
      <c r="I58" s="110"/>
      <c r="J58" s="109"/>
      <c r="K58" s="282"/>
      <c r="L58" s="282"/>
      <c r="M58" s="363"/>
      <c r="N58" s="363"/>
      <c r="O58" s="138">
        <v>0.0</v>
      </c>
      <c r="P58" s="138">
        <v>1.0</v>
      </c>
      <c r="Q58" s="138">
        <v>1.0</v>
      </c>
      <c r="R58" s="145" t="b">
        <v>1</v>
      </c>
      <c r="S58" s="145" t="b">
        <v>1</v>
      </c>
      <c r="T58" s="145"/>
      <c r="U58" s="145" t="s">
        <v>186</v>
      </c>
      <c r="V58" s="145" t="b">
        <v>1</v>
      </c>
    </row>
    <row r="59" outlineLevel="1">
      <c r="A59" s="230" t="s">
        <v>4987</v>
      </c>
      <c r="B59" s="109"/>
      <c r="C59" s="231" t="s">
        <v>48</v>
      </c>
      <c r="D59" s="231" t="s">
        <v>49</v>
      </c>
      <c r="E59" s="232" t="s">
        <v>50</v>
      </c>
      <c r="F59" s="233" t="s">
        <v>51</v>
      </c>
      <c r="G59" s="232" t="s">
        <v>52</v>
      </c>
      <c r="H59" s="382" t="s">
        <v>53</v>
      </c>
      <c r="I59" s="110"/>
      <c r="J59" s="109"/>
      <c r="K59" s="235" t="str">
        <f>'テンプレート'!K75</f>
        <v>ベクトル</v>
      </c>
      <c r="L59" s="235" t="str">
        <f>'テンプレート'!L75</f>
        <v>KBG (R.E.)</v>
      </c>
      <c r="M59" s="235" t="str">
        <f>'テンプレート'!M75</f>
        <v>BKB (R.A.)</v>
      </c>
      <c r="N59" s="235" t="str">
        <f>'テンプレート'!N75</f>
        <v>FKB (R.F.)</v>
      </c>
      <c r="O59" s="236" t="str">
        <f>'テンプレート'!O75</f>
        <v>盾削り値</v>
      </c>
      <c r="P59" s="235" t="str">
        <f>'テンプレート'!P75</f>
        <v>ﾋｯﾄｽﾄｯﾌﾟ</v>
      </c>
      <c r="Q59" s="236" t="str">
        <f>'テンプレート'!Q75</f>
        <v>ずらし</v>
      </c>
      <c r="R59" s="235" t="str">
        <f>'テンプレート'!R75</f>
        <v>相殺</v>
      </c>
      <c r="S59" s="236" t="str">
        <f>'テンプレート'!S75</f>
        <v>相殺ﾓｰｼｮﾝ</v>
      </c>
      <c r="T59" s="236" t="str">
        <f>'テンプレート'!T75</f>
        <v>飛び道具</v>
      </c>
      <c r="U59" s="236" t="str">
        <f>'テンプレート'!U75</f>
        <v>慣性反転</v>
      </c>
      <c r="V59" s="236" t="str">
        <f>'テンプレート'!V75</f>
        <v>向き反転</v>
      </c>
    </row>
    <row r="60" outlineLevel="1">
      <c r="A60" s="237" t="s">
        <v>184</v>
      </c>
      <c r="B60" s="243" t="s">
        <v>4988</v>
      </c>
      <c r="C60" s="239" t="s">
        <v>482</v>
      </c>
      <c r="D60" s="455" t="s">
        <v>393</v>
      </c>
      <c r="E60" s="239" t="s">
        <v>86</v>
      </c>
      <c r="F60" s="138">
        <v>7.199999999999999</v>
      </c>
      <c r="G60" s="239" t="s">
        <v>60</v>
      </c>
      <c r="H60" s="163" t="s">
        <v>4989</v>
      </c>
      <c r="I60" s="164"/>
      <c r="J60" s="104"/>
      <c r="K60" s="282"/>
      <c r="L60" s="282"/>
      <c r="M60" s="363"/>
      <c r="N60" s="363"/>
      <c r="O60" s="138">
        <v>0.0</v>
      </c>
      <c r="P60" s="138">
        <v>1.0</v>
      </c>
      <c r="Q60" s="138">
        <v>1.0</v>
      </c>
      <c r="R60" s="145" t="b">
        <v>1</v>
      </c>
      <c r="S60" s="145" t="b">
        <v>1</v>
      </c>
      <c r="T60" s="145"/>
      <c r="U60" s="166" t="s">
        <v>186</v>
      </c>
      <c r="V60" s="166" t="b">
        <v>1</v>
      </c>
    </row>
    <row r="61" outlineLevel="1">
      <c r="A61" s="146"/>
      <c r="B61" s="243" t="s">
        <v>4990</v>
      </c>
      <c r="C61" s="239" t="s">
        <v>4991</v>
      </c>
      <c r="D61" s="210"/>
      <c r="E61" s="239" t="s">
        <v>150</v>
      </c>
      <c r="F61" s="138">
        <v>6.0</v>
      </c>
      <c r="G61" s="239" t="s">
        <v>60</v>
      </c>
      <c r="H61" s="212"/>
      <c r="J61" s="210"/>
      <c r="K61" s="138"/>
      <c r="L61" s="138"/>
      <c r="M61" s="145"/>
      <c r="N61" s="145"/>
      <c r="O61" s="138">
        <v>0.0</v>
      </c>
      <c r="P61" s="138">
        <v>1.0</v>
      </c>
      <c r="Q61" s="138">
        <v>1.0</v>
      </c>
      <c r="R61" s="145" t="b">
        <v>1</v>
      </c>
      <c r="S61" s="145" t="b">
        <v>1</v>
      </c>
      <c r="T61" s="145"/>
      <c r="U61" s="146"/>
      <c r="V61" s="146"/>
    </row>
    <row r="62" outlineLevel="1">
      <c r="A62" s="146"/>
      <c r="B62" s="243" t="s">
        <v>4992</v>
      </c>
      <c r="C62" s="239" t="s">
        <v>4993</v>
      </c>
      <c r="D62" s="210"/>
      <c r="E62" s="239" t="s">
        <v>80</v>
      </c>
      <c r="F62" s="138">
        <v>9.6</v>
      </c>
      <c r="G62" s="239" t="s">
        <v>60</v>
      </c>
      <c r="H62" s="212"/>
      <c r="J62" s="210"/>
      <c r="K62" s="138"/>
      <c r="L62" s="138"/>
      <c r="M62" s="145"/>
      <c r="N62" s="145"/>
      <c r="O62" s="138">
        <v>0.0</v>
      </c>
      <c r="P62" s="138">
        <v>1.0</v>
      </c>
      <c r="Q62" s="138">
        <v>1.0</v>
      </c>
      <c r="R62" s="145" t="b">
        <v>1</v>
      </c>
      <c r="S62" s="145" t="b">
        <v>1</v>
      </c>
      <c r="T62" s="145"/>
      <c r="U62" s="146"/>
      <c r="V62" s="146"/>
    </row>
    <row r="63" outlineLevel="1">
      <c r="A63" s="146"/>
      <c r="B63" s="243" t="s">
        <v>4994</v>
      </c>
      <c r="C63" s="239" t="s">
        <v>4995</v>
      </c>
      <c r="D63" s="107"/>
      <c r="E63" s="239" t="s">
        <v>150</v>
      </c>
      <c r="F63" s="138">
        <v>6.0</v>
      </c>
      <c r="G63" s="239" t="s">
        <v>60</v>
      </c>
      <c r="H63" s="106"/>
      <c r="I63" s="168"/>
      <c r="J63" s="107"/>
      <c r="K63" s="138"/>
      <c r="L63" s="138"/>
      <c r="M63" s="145"/>
      <c r="N63" s="145"/>
      <c r="O63" s="138">
        <v>0.0</v>
      </c>
      <c r="P63" s="138">
        <v>1.0</v>
      </c>
      <c r="Q63" s="138">
        <v>1.0</v>
      </c>
      <c r="R63" s="145" t="b">
        <v>1</v>
      </c>
      <c r="S63" s="145" t="b">
        <v>1</v>
      </c>
      <c r="T63" s="145"/>
      <c r="U63" s="156"/>
      <c r="V63" s="156"/>
    </row>
    <row r="64" outlineLevel="1">
      <c r="A64" s="230" t="s">
        <v>4996</v>
      </c>
      <c r="B64" s="109"/>
      <c r="C64" s="231" t="s">
        <v>48</v>
      </c>
      <c r="D64" s="231" t="s">
        <v>49</v>
      </c>
      <c r="E64" s="232" t="s">
        <v>50</v>
      </c>
      <c r="F64" s="233" t="s">
        <v>51</v>
      </c>
      <c r="G64" s="232" t="s">
        <v>52</v>
      </c>
      <c r="H64" s="382" t="s">
        <v>53</v>
      </c>
      <c r="I64" s="110"/>
      <c r="J64" s="109"/>
      <c r="K64" s="235" t="str">
        <f>'テンプレート'!K80</f>
        <v>ベクトル</v>
      </c>
      <c r="L64" s="235" t="str">
        <f>'テンプレート'!L80</f>
        <v>KBG (R.E.)</v>
      </c>
      <c r="M64" s="235" t="str">
        <f>'テンプレート'!M80</f>
        <v>BKB (R.A.)</v>
      </c>
      <c r="N64" s="235" t="str">
        <f>'テンプレート'!N80</f>
        <v>FKB (R.F.)</v>
      </c>
      <c r="O64" s="236" t="str">
        <f>'テンプレート'!O80</f>
        <v>盾削り値</v>
      </c>
      <c r="P64" s="235" t="str">
        <f>'テンプレート'!P80</f>
        <v>ﾋｯﾄｽﾄｯﾌﾟ</v>
      </c>
      <c r="Q64" s="236" t="str">
        <f>'テンプレート'!Q80</f>
        <v>ずらし</v>
      </c>
      <c r="R64" s="235" t="str">
        <f>'テンプレート'!R80</f>
        <v>相殺</v>
      </c>
      <c r="S64" s="236" t="str">
        <f>'テンプレート'!S80</f>
        <v>相殺ﾓｰｼｮﾝ</v>
      </c>
      <c r="T64" s="236" t="str">
        <f>'テンプレート'!T80</f>
        <v>飛び道具</v>
      </c>
      <c r="U64" s="236" t="str">
        <f>'テンプレート'!U80</f>
        <v>慣性反転</v>
      </c>
      <c r="V64" s="236" t="str">
        <f>'テンプレート'!V80</f>
        <v>向き反転</v>
      </c>
    </row>
    <row r="65" ht="28.5" customHeight="1" outlineLevel="1">
      <c r="A65" s="237" t="s">
        <v>184</v>
      </c>
      <c r="B65" s="402" t="s">
        <v>152</v>
      </c>
      <c r="C65" s="239" t="s">
        <v>86</v>
      </c>
      <c r="D65" s="250"/>
      <c r="E65" s="239" t="s">
        <v>176</v>
      </c>
      <c r="F65" s="138">
        <v>2.4</v>
      </c>
      <c r="G65" s="239" t="s">
        <v>60</v>
      </c>
      <c r="H65" s="163" t="s">
        <v>4997</v>
      </c>
      <c r="I65" s="164"/>
      <c r="J65" s="104"/>
      <c r="K65" s="138"/>
      <c r="L65" s="138"/>
      <c r="M65" s="145"/>
      <c r="N65" s="145"/>
      <c r="O65" s="138">
        <v>0.0</v>
      </c>
      <c r="P65" s="138">
        <v>1.0</v>
      </c>
      <c r="Q65" s="138">
        <v>1.0</v>
      </c>
      <c r="R65" s="145" t="b">
        <v>1</v>
      </c>
      <c r="S65" s="145" t="b">
        <v>1</v>
      </c>
      <c r="T65" s="145"/>
      <c r="U65" s="166" t="s">
        <v>1256</v>
      </c>
      <c r="V65" s="166" t="b">
        <v>0</v>
      </c>
    </row>
    <row r="66" ht="28.5" customHeight="1" outlineLevel="1">
      <c r="A66" s="146"/>
      <c r="B66" s="402" t="s">
        <v>199</v>
      </c>
      <c r="C66" s="239" t="s">
        <v>4998</v>
      </c>
      <c r="D66" s="146"/>
      <c r="E66" s="239" t="s">
        <v>1024</v>
      </c>
      <c r="F66" s="138">
        <v>1.7999999999999998</v>
      </c>
      <c r="G66" s="239" t="s">
        <v>60</v>
      </c>
      <c r="H66" s="212"/>
      <c r="J66" s="210"/>
      <c r="K66" s="138"/>
      <c r="L66" s="138"/>
      <c r="M66" s="145"/>
      <c r="N66" s="145"/>
      <c r="O66" s="138">
        <v>0.0</v>
      </c>
      <c r="P66" s="138">
        <v>1.0</v>
      </c>
      <c r="Q66" s="138">
        <v>1.0</v>
      </c>
      <c r="R66" s="145" t="b">
        <v>1</v>
      </c>
      <c r="S66" s="145" t="b">
        <v>1</v>
      </c>
      <c r="T66" s="145"/>
      <c r="U66" s="146"/>
      <c r="V66" s="146"/>
    </row>
    <row r="67" ht="28.5" customHeight="1" outlineLevel="1">
      <c r="A67" s="146"/>
      <c r="B67" s="402" t="s">
        <v>202</v>
      </c>
      <c r="C67" s="239" t="s">
        <v>65</v>
      </c>
      <c r="D67" s="156"/>
      <c r="E67" s="239" t="s">
        <v>86</v>
      </c>
      <c r="F67" s="138">
        <v>7.199999999999999</v>
      </c>
      <c r="G67" s="239" t="s">
        <v>102</v>
      </c>
      <c r="H67" s="106"/>
      <c r="I67" s="168"/>
      <c r="J67" s="107"/>
      <c r="K67" s="138"/>
      <c r="L67" s="138"/>
      <c r="M67" s="145"/>
      <c r="N67" s="145"/>
      <c r="O67" s="138">
        <v>0.0</v>
      </c>
      <c r="P67" s="138">
        <v>1.0</v>
      </c>
      <c r="Q67" s="138">
        <v>1.0</v>
      </c>
      <c r="R67" s="145" t="b">
        <v>1</v>
      </c>
      <c r="S67" s="145" t="b">
        <v>1</v>
      </c>
      <c r="T67" s="145"/>
      <c r="U67" s="156"/>
      <c r="V67" s="156"/>
    </row>
    <row r="68" outlineLevel="1">
      <c r="A68" s="230" t="s">
        <v>4999</v>
      </c>
      <c r="B68" s="109"/>
      <c r="C68" s="231" t="s">
        <v>48</v>
      </c>
      <c r="D68" s="231" t="s">
        <v>49</v>
      </c>
      <c r="E68" s="232" t="s">
        <v>50</v>
      </c>
      <c r="F68" s="233" t="s">
        <v>51</v>
      </c>
      <c r="G68" s="232" t="s">
        <v>52</v>
      </c>
      <c r="H68" s="382" t="s">
        <v>53</v>
      </c>
      <c r="I68" s="110"/>
      <c r="J68" s="109"/>
      <c r="K68" s="235" t="str">
        <f>'テンプレート'!K85</f>
        <v>ベクトル</v>
      </c>
      <c r="L68" s="235" t="str">
        <f>'テンプレート'!L85</f>
        <v>KBG (R.E.)</v>
      </c>
      <c r="M68" s="235" t="str">
        <f>'テンプレート'!M85</f>
        <v>BKB (R.A.)</v>
      </c>
      <c r="N68" s="235" t="str">
        <f>'テンプレート'!N85</f>
        <v>FKB (R.F.)</v>
      </c>
      <c r="O68" s="236" t="str">
        <f>'テンプレート'!O85</f>
        <v>盾削り値</v>
      </c>
      <c r="P68" s="235" t="str">
        <f>'テンプレート'!P85</f>
        <v>ﾋｯﾄｽﾄｯﾌﾟ</v>
      </c>
      <c r="Q68" s="236" t="str">
        <f>'テンプレート'!Q85</f>
        <v>ずらし</v>
      </c>
      <c r="R68" s="235" t="str">
        <f>'テンプレート'!R85</f>
        <v>相殺</v>
      </c>
      <c r="S68" s="236" t="str">
        <f>'テンプレート'!S85</f>
        <v>相殺ﾓｰｼｮﾝ</v>
      </c>
      <c r="T68" s="236" t="str">
        <f>'テンプレート'!T85</f>
        <v>飛び道具</v>
      </c>
      <c r="U68" s="236" t="str">
        <f>'テンプレート'!U85</f>
        <v>慣性反転</v>
      </c>
      <c r="V68" s="236" t="str">
        <f>'テンプレート'!V85</f>
        <v>向き反転</v>
      </c>
    </row>
    <row r="69" outlineLevel="1">
      <c r="A69" s="237" t="s">
        <v>184</v>
      </c>
      <c r="B69" s="402" t="s">
        <v>5000</v>
      </c>
      <c r="C69" s="239" t="s">
        <v>5001</v>
      </c>
      <c r="D69" s="455" t="s">
        <v>146</v>
      </c>
      <c r="E69" s="239" t="s">
        <v>1925</v>
      </c>
      <c r="F69" s="138" t="s">
        <v>1926</v>
      </c>
      <c r="G69" s="239" t="s">
        <v>1483</v>
      </c>
      <c r="H69" s="163" t="s">
        <v>5002</v>
      </c>
      <c r="I69" s="164"/>
      <c r="J69" s="104"/>
      <c r="K69" s="138"/>
      <c r="L69" s="138"/>
      <c r="M69" s="145"/>
      <c r="N69" s="145"/>
      <c r="O69" s="138">
        <v>0.0</v>
      </c>
      <c r="P69" s="138">
        <v>1.0</v>
      </c>
      <c r="Q69" s="138">
        <v>1.0</v>
      </c>
      <c r="R69" s="145" t="b">
        <v>1</v>
      </c>
      <c r="S69" s="145" t="b">
        <v>1</v>
      </c>
      <c r="T69" s="145"/>
      <c r="U69" s="166" t="b">
        <v>0</v>
      </c>
      <c r="V69" s="166" t="b">
        <v>0</v>
      </c>
    </row>
    <row r="70" outlineLevel="1">
      <c r="A70" s="146"/>
      <c r="B70" s="402" t="s">
        <v>1072</v>
      </c>
      <c r="C70" s="239" t="s">
        <v>5003</v>
      </c>
      <c r="D70" s="210"/>
      <c r="E70" s="239" t="s">
        <v>169</v>
      </c>
      <c r="F70" s="138">
        <v>1.68</v>
      </c>
      <c r="G70" s="239" t="s">
        <v>170</v>
      </c>
      <c r="H70" s="212"/>
      <c r="J70" s="210"/>
      <c r="K70" s="138"/>
      <c r="L70" s="138"/>
      <c r="M70" s="145"/>
      <c r="N70" s="145"/>
      <c r="O70" s="138"/>
      <c r="P70" s="138"/>
      <c r="Q70" s="138"/>
      <c r="R70" s="145" t="b">
        <v>0</v>
      </c>
      <c r="S70" s="145" t="b">
        <v>0</v>
      </c>
      <c r="T70" s="145" t="b">
        <v>0</v>
      </c>
      <c r="U70" s="146"/>
      <c r="V70" s="146"/>
    </row>
    <row r="71" outlineLevel="1">
      <c r="A71" s="156"/>
      <c r="B71" s="402" t="s">
        <v>5004</v>
      </c>
      <c r="C71" s="239" t="s">
        <v>5005</v>
      </c>
      <c r="D71" s="107"/>
      <c r="E71" s="239" t="s">
        <v>169</v>
      </c>
      <c r="F71" s="138">
        <v>1.68</v>
      </c>
      <c r="G71" s="239" t="s">
        <v>170</v>
      </c>
      <c r="H71" s="106"/>
      <c r="I71" s="168"/>
      <c r="J71" s="107"/>
      <c r="K71" s="138"/>
      <c r="L71" s="138"/>
      <c r="M71" s="145"/>
      <c r="N71" s="145"/>
      <c r="O71" s="138">
        <v>0.0</v>
      </c>
      <c r="P71" s="138">
        <v>1.0</v>
      </c>
      <c r="Q71" s="138">
        <v>1.0</v>
      </c>
      <c r="R71" s="145" t="b">
        <v>1</v>
      </c>
      <c r="S71" s="145" t="b">
        <v>1</v>
      </c>
      <c r="T71" s="145"/>
      <c r="U71" s="156"/>
      <c r="V71" s="156"/>
    </row>
    <row r="72">
      <c r="A72" s="223"/>
      <c r="B72" s="224"/>
      <c r="C72" s="225"/>
      <c r="D72" s="225"/>
      <c r="E72" s="226"/>
      <c r="F72" s="226"/>
      <c r="G72" s="226"/>
      <c r="H72" s="227"/>
      <c r="I72" s="227"/>
      <c r="J72" s="228"/>
      <c r="K72" s="228"/>
      <c r="L72" s="228"/>
      <c r="M72" s="228"/>
      <c r="N72" s="228"/>
      <c r="O72" s="228"/>
      <c r="P72" s="228"/>
      <c r="Q72" s="118"/>
      <c r="R72" s="118"/>
      <c r="S72" s="118"/>
      <c r="T72" s="118"/>
      <c r="U72" s="118"/>
      <c r="V72" s="118"/>
    </row>
    <row r="73">
      <c r="A73" s="264" t="s">
        <v>211</v>
      </c>
      <c r="B73" s="104"/>
      <c r="C73" s="227"/>
      <c r="D73" s="227"/>
      <c r="E73" s="228"/>
      <c r="F73" s="265"/>
      <c r="G73" s="265"/>
      <c r="H73" s="228"/>
      <c r="I73" s="228"/>
      <c r="J73" s="228"/>
      <c r="K73" s="228"/>
      <c r="L73" s="228"/>
      <c r="M73" s="228"/>
      <c r="N73" s="118"/>
      <c r="O73" s="118"/>
      <c r="P73" s="118"/>
      <c r="Q73" s="228"/>
      <c r="R73" s="228"/>
      <c r="S73" s="228"/>
      <c r="T73" s="228"/>
      <c r="U73" s="228"/>
      <c r="V73" s="228"/>
    </row>
    <row r="74" outlineLevel="1">
      <c r="A74" s="106"/>
      <c r="B74" s="107"/>
      <c r="C74" s="266" t="s">
        <v>48</v>
      </c>
      <c r="D74" s="266" t="s">
        <v>49</v>
      </c>
      <c r="E74" s="266" t="s">
        <v>50</v>
      </c>
      <c r="F74" s="267" t="s">
        <v>51</v>
      </c>
      <c r="G74" s="227"/>
      <c r="H74" s="227"/>
      <c r="I74" s="227"/>
      <c r="J74" s="228"/>
      <c r="K74" s="228"/>
      <c r="L74" s="228"/>
      <c r="M74" s="228"/>
      <c r="N74" s="228"/>
      <c r="O74" s="228"/>
      <c r="P74" s="228"/>
      <c r="Q74" s="228"/>
      <c r="R74" s="228"/>
      <c r="S74" s="228"/>
      <c r="T74" s="228"/>
      <c r="U74" s="228"/>
      <c r="V74" s="228"/>
    </row>
    <row r="75" outlineLevel="1">
      <c r="A75" s="268" t="s">
        <v>212</v>
      </c>
      <c r="B75" s="269" t="s">
        <v>212</v>
      </c>
      <c r="C75" s="113" t="s">
        <v>213</v>
      </c>
      <c r="D75" s="113" t="s">
        <v>86</v>
      </c>
      <c r="E75" s="113" t="s">
        <v>214</v>
      </c>
      <c r="F75" s="138">
        <v>1.56</v>
      </c>
      <c r="G75" s="227"/>
      <c r="H75" s="227"/>
      <c r="I75" s="227"/>
      <c r="J75" s="228"/>
      <c r="K75" s="228"/>
      <c r="L75" s="228"/>
      <c r="M75" s="228"/>
      <c r="N75" s="228"/>
      <c r="O75" s="228"/>
      <c r="P75" s="228"/>
      <c r="Q75" s="228"/>
      <c r="R75" s="228"/>
      <c r="S75" s="228"/>
      <c r="T75" s="228"/>
      <c r="U75" s="228"/>
      <c r="V75" s="228"/>
    </row>
    <row r="76" outlineLevel="1">
      <c r="A76" s="270" t="s">
        <v>215</v>
      </c>
      <c r="B76" s="269" t="s">
        <v>216</v>
      </c>
      <c r="C76" s="113" t="s">
        <v>223</v>
      </c>
      <c r="D76" s="113" t="s">
        <v>79</v>
      </c>
      <c r="E76" s="271"/>
      <c r="F76" s="272"/>
      <c r="G76" s="272"/>
      <c r="H76" s="227"/>
      <c r="I76" s="227"/>
      <c r="J76" s="228"/>
      <c r="K76" s="228"/>
      <c r="L76" s="228"/>
      <c r="M76" s="228"/>
      <c r="N76" s="228"/>
      <c r="O76" s="228"/>
      <c r="P76" s="228"/>
      <c r="Q76" s="228"/>
      <c r="R76" s="228"/>
      <c r="S76" s="228"/>
      <c r="T76" s="228"/>
      <c r="U76" s="228"/>
      <c r="V76" s="228"/>
    </row>
    <row r="77" outlineLevel="1">
      <c r="A77" s="212"/>
      <c r="B77" s="269" t="s">
        <v>219</v>
      </c>
      <c r="C77" s="113" t="s">
        <v>305</v>
      </c>
      <c r="D77" s="113" t="s">
        <v>146</v>
      </c>
      <c r="E77" s="271"/>
      <c r="F77" s="272"/>
      <c r="G77" s="272"/>
      <c r="H77" s="227"/>
      <c r="I77" s="227"/>
      <c r="J77" s="228"/>
      <c r="K77" s="228"/>
      <c r="L77" s="228"/>
      <c r="M77" s="228"/>
      <c r="N77" s="228"/>
      <c r="O77" s="228"/>
      <c r="P77" s="228"/>
      <c r="Q77" s="228"/>
      <c r="R77" s="228"/>
      <c r="S77" s="228"/>
      <c r="T77" s="228"/>
      <c r="U77" s="228"/>
      <c r="V77" s="228"/>
    </row>
    <row r="78" outlineLevel="1">
      <c r="A78" s="106"/>
      <c r="B78" s="269" t="s">
        <v>222</v>
      </c>
      <c r="C78" s="113" t="s">
        <v>295</v>
      </c>
      <c r="D78" s="113" t="s">
        <v>221</v>
      </c>
      <c r="E78" s="227"/>
      <c r="F78" s="272"/>
      <c r="G78" s="272"/>
      <c r="H78" s="227"/>
      <c r="I78" s="227"/>
      <c r="J78" s="228"/>
      <c r="K78" s="228"/>
      <c r="L78" s="228"/>
      <c r="M78" s="228"/>
      <c r="N78" s="228"/>
      <c r="O78" s="228"/>
      <c r="P78" s="228"/>
      <c r="Q78" s="228"/>
      <c r="R78" s="228"/>
      <c r="S78" s="228"/>
      <c r="T78" s="228"/>
      <c r="U78" s="228"/>
      <c r="V78" s="228"/>
    </row>
    <row r="79" outlineLevel="1">
      <c r="A79" s="273" t="s">
        <v>225</v>
      </c>
      <c r="B79" s="109"/>
      <c r="C79" s="266" t="s">
        <v>48</v>
      </c>
      <c r="D79" s="266" t="s">
        <v>49</v>
      </c>
      <c r="E79" s="266" t="s">
        <v>50</v>
      </c>
      <c r="F79" s="267" t="s">
        <v>51</v>
      </c>
      <c r="G79" s="1168" t="s">
        <v>53</v>
      </c>
      <c r="H79" s="110"/>
      <c r="I79" s="110"/>
      <c r="J79" s="109"/>
      <c r="K79" s="275" t="str">
        <f>'テンプレート'!K97</f>
        <v>ベクトル</v>
      </c>
      <c r="L79" s="275" t="str">
        <f>'テンプレート'!L97</f>
        <v>KBG (R.E.)</v>
      </c>
      <c r="M79" s="275" t="str">
        <f>'テンプレート'!M97</f>
        <v>BKB (R.A.)</v>
      </c>
      <c r="N79" s="275" t="str">
        <f>'テンプレート'!N97</f>
        <v>FKB (R.F.)</v>
      </c>
      <c r="O79" s="276" t="str">
        <f>'テンプレート'!O97</f>
        <v>盾削り値</v>
      </c>
      <c r="P79" s="275" t="str">
        <f>'テンプレート'!P97</f>
        <v>ﾋｯﾄｽﾄｯﾌﾟ</v>
      </c>
      <c r="Q79" s="276" t="str">
        <f>'テンプレート'!Q97</f>
        <v>ずらし</v>
      </c>
      <c r="R79" s="277"/>
      <c r="S79" s="277"/>
      <c r="T79" s="277"/>
      <c r="U79" s="277"/>
      <c r="V79" s="277"/>
    </row>
    <row r="80" outlineLevel="1">
      <c r="A80" s="278" t="s">
        <v>226</v>
      </c>
      <c r="B80" s="269" t="s">
        <v>227</v>
      </c>
      <c r="C80" s="659"/>
      <c r="D80" s="279" t="s">
        <v>384</v>
      </c>
      <c r="E80" s="659"/>
      <c r="F80" s="659"/>
      <c r="G80" s="1170"/>
      <c r="H80" s="164"/>
      <c r="I80" s="164"/>
      <c r="J80" s="104"/>
      <c r="K80" s="659"/>
      <c r="L80" s="659"/>
      <c r="M80" s="659"/>
      <c r="N80" s="659"/>
      <c r="O80" s="659"/>
      <c r="P80" s="659"/>
      <c r="Q80" s="659"/>
      <c r="R80" s="277"/>
      <c r="S80" s="228"/>
      <c r="T80" s="228"/>
      <c r="U80" s="228"/>
      <c r="V80" s="228"/>
    </row>
    <row r="81" outlineLevel="1">
      <c r="A81" s="156"/>
      <c r="B81" s="269" t="s">
        <v>225</v>
      </c>
      <c r="C81" s="113" t="s">
        <v>268</v>
      </c>
      <c r="D81" s="156"/>
      <c r="E81" s="239" t="s">
        <v>93</v>
      </c>
      <c r="F81" s="138">
        <v>8.4</v>
      </c>
      <c r="G81" s="106"/>
      <c r="H81" s="168"/>
      <c r="I81" s="168"/>
      <c r="J81" s="107"/>
      <c r="K81" s="282"/>
      <c r="L81" s="282"/>
      <c r="M81" s="363"/>
      <c r="N81" s="363"/>
      <c r="O81" s="261"/>
      <c r="P81" s="261"/>
      <c r="Q81" s="261"/>
      <c r="R81" s="277"/>
      <c r="S81" s="228"/>
      <c r="T81" s="228"/>
      <c r="U81" s="228"/>
      <c r="V81" s="228"/>
    </row>
    <row r="82" outlineLevel="1">
      <c r="A82" s="278" t="s">
        <v>229</v>
      </c>
      <c r="B82" s="269" t="s">
        <v>227</v>
      </c>
      <c r="C82" s="659"/>
      <c r="D82" s="279" t="s">
        <v>384</v>
      </c>
      <c r="E82" s="659"/>
      <c r="F82" s="659"/>
      <c r="G82" s="1170"/>
      <c r="H82" s="164"/>
      <c r="I82" s="164"/>
      <c r="J82" s="104"/>
      <c r="K82" s="659"/>
      <c r="L82" s="659"/>
      <c r="M82" s="659"/>
      <c r="N82" s="659"/>
      <c r="O82" s="659"/>
      <c r="P82" s="659"/>
      <c r="Q82" s="659"/>
      <c r="R82" s="277"/>
      <c r="S82" s="228"/>
      <c r="T82" s="228"/>
      <c r="U82" s="228"/>
      <c r="V82" s="228"/>
    </row>
    <row r="83" outlineLevel="1">
      <c r="A83" s="156"/>
      <c r="B83" s="269" t="s">
        <v>225</v>
      </c>
      <c r="C83" s="113" t="s">
        <v>466</v>
      </c>
      <c r="D83" s="156"/>
      <c r="E83" s="239" t="s">
        <v>93</v>
      </c>
      <c r="F83" s="138">
        <v>8.4</v>
      </c>
      <c r="G83" s="106"/>
      <c r="H83" s="168"/>
      <c r="I83" s="168"/>
      <c r="J83" s="107"/>
      <c r="K83" s="282"/>
      <c r="L83" s="282"/>
      <c r="M83" s="363"/>
      <c r="N83" s="363"/>
      <c r="O83" s="261"/>
      <c r="P83" s="261"/>
      <c r="Q83" s="261"/>
      <c r="R83" s="277"/>
      <c r="S83" s="228"/>
      <c r="T83" s="228"/>
      <c r="U83" s="228"/>
      <c r="V83" s="228"/>
    </row>
    <row r="84" outlineLevel="1">
      <c r="A84" s="278" t="s">
        <v>233</v>
      </c>
      <c r="B84" s="269" t="s">
        <v>227</v>
      </c>
      <c r="C84" s="113" t="s">
        <v>193</v>
      </c>
      <c r="D84" s="279" t="s">
        <v>402</v>
      </c>
      <c r="E84" s="239" t="s">
        <v>86</v>
      </c>
      <c r="F84" s="138">
        <v>7.199999999999999</v>
      </c>
      <c r="G84" s="1170"/>
      <c r="H84" s="164"/>
      <c r="I84" s="164"/>
      <c r="J84" s="104"/>
      <c r="K84" s="282"/>
      <c r="L84" s="282"/>
      <c r="M84" s="363"/>
      <c r="N84" s="363"/>
      <c r="O84" s="145">
        <v>0.0</v>
      </c>
      <c r="P84" s="145">
        <v>1.0</v>
      </c>
      <c r="Q84" s="145">
        <v>1.0</v>
      </c>
      <c r="R84" s="277"/>
      <c r="S84" s="228"/>
      <c r="T84" s="228"/>
      <c r="U84" s="228"/>
      <c r="V84" s="228"/>
    </row>
    <row r="85" outlineLevel="1">
      <c r="A85" s="156"/>
      <c r="B85" s="269" t="s">
        <v>225</v>
      </c>
      <c r="C85" s="113" t="s">
        <v>224</v>
      </c>
      <c r="D85" s="156"/>
      <c r="E85" s="239" t="s">
        <v>73</v>
      </c>
      <c r="F85" s="138">
        <v>4.8</v>
      </c>
      <c r="G85" s="106"/>
      <c r="H85" s="168"/>
      <c r="I85" s="168"/>
      <c r="J85" s="107"/>
      <c r="K85" s="282"/>
      <c r="L85" s="282"/>
      <c r="M85" s="363"/>
      <c r="N85" s="363"/>
      <c r="O85" s="261"/>
      <c r="P85" s="261"/>
      <c r="Q85" s="261"/>
      <c r="R85" s="277"/>
      <c r="S85" s="117"/>
      <c r="T85" s="117"/>
      <c r="U85" s="117"/>
      <c r="V85" s="117"/>
    </row>
    <row r="86" outlineLevel="1">
      <c r="A86" s="278" t="s">
        <v>234</v>
      </c>
      <c r="B86" s="269" t="s">
        <v>227</v>
      </c>
      <c r="C86" s="659"/>
      <c r="D86" s="279" t="s">
        <v>118</v>
      </c>
      <c r="E86" s="659"/>
      <c r="F86" s="659"/>
      <c r="G86" s="283" t="s">
        <v>5006</v>
      </c>
      <c r="H86" s="164"/>
      <c r="I86" s="164"/>
      <c r="J86" s="104"/>
      <c r="K86" s="659"/>
      <c r="L86" s="659"/>
      <c r="M86" s="659"/>
      <c r="N86" s="659"/>
      <c r="O86" s="659"/>
      <c r="P86" s="659"/>
      <c r="Q86" s="659"/>
      <c r="R86" s="277"/>
      <c r="S86" s="117"/>
      <c r="T86" s="117"/>
      <c r="U86" s="117"/>
      <c r="V86" s="117"/>
    </row>
    <row r="87" outlineLevel="1">
      <c r="A87" s="156"/>
      <c r="B87" s="269" t="s">
        <v>225</v>
      </c>
      <c r="C87" s="113" t="s">
        <v>268</v>
      </c>
      <c r="D87" s="156"/>
      <c r="E87" s="239" t="s">
        <v>80</v>
      </c>
      <c r="F87" s="138">
        <v>9.6</v>
      </c>
      <c r="G87" s="106"/>
      <c r="H87" s="168"/>
      <c r="I87" s="168"/>
      <c r="J87" s="107"/>
      <c r="K87" s="282"/>
      <c r="L87" s="282"/>
      <c r="M87" s="363"/>
      <c r="N87" s="363"/>
      <c r="O87" s="261"/>
      <c r="P87" s="261"/>
      <c r="Q87" s="261"/>
      <c r="R87" s="277"/>
      <c r="S87" s="117"/>
      <c r="T87" s="117"/>
      <c r="U87" s="117"/>
      <c r="V87" s="117"/>
    </row>
    <row r="88">
      <c r="A88" s="223"/>
      <c r="B88" s="224"/>
      <c r="C88" s="225"/>
      <c r="D88" s="225"/>
      <c r="E88" s="227"/>
      <c r="F88" s="177"/>
      <c r="G88" s="177"/>
      <c r="H88" s="227"/>
      <c r="I88" s="227"/>
      <c r="J88" s="228"/>
      <c r="K88" s="228"/>
      <c r="L88" s="111"/>
      <c r="M88" s="111"/>
      <c r="N88" s="111"/>
      <c r="O88" s="117"/>
      <c r="P88" s="117"/>
      <c r="Q88" s="111"/>
      <c r="R88" s="111"/>
      <c r="S88" s="111"/>
      <c r="T88" s="111"/>
      <c r="U88" s="111"/>
      <c r="V88" s="111"/>
    </row>
    <row r="89">
      <c r="A89" s="284" t="s">
        <v>241</v>
      </c>
      <c r="B89" s="104"/>
      <c r="C89" s="265"/>
      <c r="D89" s="111"/>
      <c r="E89" s="111"/>
      <c r="F89" s="111"/>
      <c r="G89" s="111"/>
      <c r="H89" s="111"/>
      <c r="I89" s="111"/>
      <c r="J89" s="118"/>
      <c r="K89" s="111"/>
      <c r="L89" s="111"/>
      <c r="M89" s="111"/>
      <c r="N89" s="111"/>
      <c r="O89" s="111"/>
      <c r="P89" s="111"/>
      <c r="Q89" s="118"/>
      <c r="R89" s="111"/>
      <c r="S89" s="111"/>
      <c r="T89" s="111"/>
      <c r="U89" s="111"/>
      <c r="V89" s="111"/>
    </row>
    <row r="90" outlineLevel="1">
      <c r="A90" s="106"/>
      <c r="B90" s="107"/>
      <c r="C90" s="285" t="s">
        <v>235</v>
      </c>
      <c r="D90" s="285" t="s">
        <v>236</v>
      </c>
      <c r="E90" s="285" t="s">
        <v>49</v>
      </c>
      <c r="F90" s="285" t="s">
        <v>237</v>
      </c>
      <c r="G90" s="286"/>
      <c r="H90" s="227"/>
      <c r="I90" s="227"/>
      <c r="J90" s="228"/>
      <c r="K90" s="228"/>
      <c r="L90" s="111"/>
      <c r="M90" s="111"/>
      <c r="N90" s="111"/>
      <c r="O90" s="111"/>
      <c r="P90" s="111"/>
      <c r="Q90" s="111"/>
      <c r="R90" s="111"/>
      <c r="S90" s="111"/>
      <c r="T90" s="111"/>
      <c r="U90" s="111"/>
      <c r="V90" s="111"/>
    </row>
    <row r="91" outlineLevel="1">
      <c r="A91" s="287" t="s">
        <v>395</v>
      </c>
      <c r="B91" s="288" t="s">
        <v>216</v>
      </c>
      <c r="C91" s="113" t="str">
        <f t="array" ref="C91">INDEX('回避'!$C$3:$U$84, MATCH($A$1,'回避'!$A$3:$A$91,0), MATCH(C90,'回避'!$C$2:$F$2,0))</f>
        <v>3-17</v>
      </c>
      <c r="D91" s="113" t="str">
        <f t="array" ref="D91">INDEX('回避'!$C$3:$U$84, MATCH($A$1,'回避'!$A$3:$A$91,0), MATCH(D90,'回避'!$C$2:$F$2,0))</f>
        <v>6-17</v>
      </c>
      <c r="E91" s="113" t="str">
        <f t="array" ref="E91">INDEX('回避'!$C$3:$U$84, MATCH($A$1,'回避'!$A$3:$A$91,0), MATCH(E90,'回避'!$C$2:$F$2,0))</f>
        <v>26 (21)</v>
      </c>
      <c r="F91" s="113" t="str">
        <f t="array" ref="F91">INDEX('回避'!$C$3:$U$84, MATCH($A$1,'回避'!$A$3:$A$91,0), MATCH(F90,'回避'!$C$2:$F$2,0))</f>
        <v>35 (28)</v>
      </c>
      <c r="G91" s="272"/>
      <c r="H91" s="227"/>
      <c r="I91" s="227"/>
      <c r="J91" s="228"/>
      <c r="K91" s="228"/>
      <c r="L91" s="228"/>
      <c r="M91" s="111"/>
      <c r="N91" s="111"/>
      <c r="O91" s="111"/>
      <c r="P91" s="111"/>
      <c r="Q91" s="111"/>
      <c r="R91" s="111"/>
      <c r="S91" s="111"/>
      <c r="T91" s="111"/>
      <c r="U91" s="111"/>
      <c r="V91" s="111"/>
    </row>
    <row r="92" outlineLevel="1">
      <c r="A92" s="212"/>
      <c r="B92" s="288" t="s">
        <v>245</v>
      </c>
      <c r="C92" s="113" t="str">
        <f t="array" ref="C92">INDEX('回避'!$G$3:$U$84, MATCH($A$1,'回避'!$A$3:$A$91,0), MATCH(C90,'回避'!$G$2:$J$2,0))</f>
        <v>4-15</v>
      </c>
      <c r="D92" s="113" t="str">
        <f t="array" ref="D92">INDEX('回避'!$G$3:$U$84, MATCH($A$1,'回避'!$A$3:$A$91,0), MATCH(D90,'回避'!$G$2:$J$2,0))</f>
        <v>8-14</v>
      </c>
      <c r="E92" s="113" t="str">
        <f t="array" ref="E92">INDEX('回避'!$G$3:$U$84, MATCH($A$1,'回避'!$A$3:$A$91,0), MATCH(E90,'回避'!$G$2:$J$2,0))</f>
        <v>30</v>
      </c>
      <c r="F92" s="113">
        <f t="array" ref="F92">INDEX('回避'!$G$3:$U$84, MATCH($A$1,'回避'!$A$3:$A$91,0), MATCH(F90,'回避'!$G$2:$J$2,0))</f>
        <v>40</v>
      </c>
      <c r="G92" s="289"/>
      <c r="H92" s="227"/>
      <c r="I92" s="227"/>
      <c r="J92" s="228"/>
      <c r="K92" s="228"/>
      <c r="L92" s="228"/>
      <c r="M92" s="228"/>
      <c r="N92" s="228"/>
      <c r="O92" s="111"/>
      <c r="P92" s="111"/>
      <c r="Q92" s="111"/>
      <c r="R92" s="111"/>
      <c r="S92" s="111"/>
      <c r="T92" s="111"/>
      <c r="U92" s="111"/>
      <c r="V92" s="111"/>
    </row>
    <row r="93" outlineLevel="1">
      <c r="A93" s="106"/>
      <c r="B93" s="288" t="s">
        <v>246</v>
      </c>
      <c r="C93" s="113" t="str">
        <f t="array" ref="C93">INDEX('回避'!$K$3:$U$84, MATCH($A$1,'回避'!$A$3:$A$91,0), MATCH(C90,'回避'!$K$2:$N$2,0))</f>
        <v>5-16</v>
      </c>
      <c r="D93" s="113" t="str">
        <f t="array" ref="D93">INDEX('回避'!$K$3:$U$84, MATCH($A$1,'回避'!$A$3:$A$91,0), MATCH(D90,'回避'!$K$2:$N$2,0))</f>
        <v>9-14</v>
      </c>
      <c r="E93" s="113" t="str">
        <f t="array" ref="E93">INDEX('回避'!$K$3:$U$84, MATCH($A$1,'回避'!$A$3:$A$91,0), MATCH(E90,'回避'!$K$2:$N$2,0))</f>
        <v>35</v>
      </c>
      <c r="F93" s="113" t="str">
        <f t="array" ref="F93">INDEX('回避'!$K$3:$U$84, MATCH($A$1,'回避'!$A$3:$A$91,0), MATCH(F90,'回避'!$K$2:$N$2,0))</f>
        <v>53</v>
      </c>
      <c r="G93" s="289"/>
      <c r="H93" s="290"/>
      <c r="I93" s="290"/>
      <c r="J93" s="117"/>
      <c r="K93" s="117"/>
      <c r="L93" s="117"/>
      <c r="M93" s="117"/>
      <c r="N93" s="117"/>
      <c r="O93" s="111"/>
      <c r="P93" s="111"/>
      <c r="Q93" s="111"/>
      <c r="R93" s="111"/>
      <c r="S93" s="111"/>
      <c r="T93" s="111"/>
      <c r="U93" s="111"/>
      <c r="V93" s="111"/>
    </row>
    <row r="94" outlineLevel="1">
      <c r="A94" s="287" t="s">
        <v>396</v>
      </c>
      <c r="B94" s="288" t="s">
        <v>397</v>
      </c>
      <c r="C94" s="113" t="str">
        <f t="array" ref="C94">INDEX('回避'!$O$3:$U$84, MATCH($A$1,'回避'!$A$3:$A$91,0), MATCH(C90,'回避'!$O$2:$R$2,0))</f>
        <v>3-29</v>
      </c>
      <c r="D94" s="113" t="str">
        <f t="array" ref="D94">INDEX('回避'!$O$3:$U$84, MATCH($A$1,'回避'!$A$3:$A$91,0), MATCH(D90,'回避'!$O$2:$R$2,0))</f>
        <v>6-27</v>
      </c>
      <c r="E94" s="113" t="str">
        <f t="array" ref="E94">INDEX('回避'!$O$3:$U$84, MATCH($A$1,'回避'!$A$3:$A$91,0), MATCH(E90,'回避'!$O$2:$R$2,0))</f>
        <v>46</v>
      </c>
      <c r="F94" s="177"/>
      <c r="G94" s="177"/>
      <c r="H94" s="118"/>
      <c r="I94" s="118"/>
      <c r="J94" s="111"/>
      <c r="K94" s="111"/>
      <c r="L94" s="111"/>
      <c r="M94" s="111"/>
      <c r="N94" s="111"/>
      <c r="O94" s="228"/>
      <c r="P94" s="228"/>
      <c r="Q94" s="228"/>
      <c r="R94" s="228"/>
      <c r="S94" s="228"/>
      <c r="T94" s="228"/>
      <c r="U94" s="228"/>
      <c r="V94" s="228"/>
    </row>
    <row r="95" outlineLevel="1">
      <c r="A95" s="106"/>
      <c r="B95" s="288" t="s">
        <v>398</v>
      </c>
      <c r="C95" s="113" t="str">
        <f t="array" ref="C95">INDEX('回避'!$S$3:$U$84, MATCH($A$1,'回避'!$A$3:$A$91,0), MATCH(C90,'回避'!$S$2:$U$2,0))</f>
        <v>3-21</v>
      </c>
      <c r="D95" s="113" t="str">
        <f t="array" ref="D95">INDEX('回避'!$S$3:$U$84, MATCH($A$1,'回避'!$A$3:$A$91,0), MATCH(D90,'回避'!$S$2:$U$2,0))</f>
        <v>6-20</v>
      </c>
      <c r="E95" s="113" t="str">
        <f t="array" ref="E95">INDEX('回避'!$S$3:$U$84, MATCH($A$1,'回避'!$A$3:$A$91,0), MATCH(E90,'回避'!$S$2:$U$2,0))</f>
        <v>真横：76
真上：104
真下：62</v>
      </c>
      <c r="F95" s="289"/>
      <c r="G95" s="289"/>
      <c r="H95" s="118"/>
      <c r="I95" s="118"/>
      <c r="J95" s="117"/>
      <c r="K95" s="117"/>
      <c r="L95" s="117"/>
      <c r="M95" s="117"/>
      <c r="N95" s="111"/>
      <c r="O95" s="118"/>
      <c r="P95" s="118"/>
      <c r="Q95" s="118"/>
      <c r="R95" s="118"/>
      <c r="S95" s="118"/>
      <c r="T95" s="118"/>
      <c r="U95" s="118"/>
      <c r="V95" s="118"/>
    </row>
    <row r="96">
      <c r="A96" s="291"/>
      <c r="B96" s="292"/>
      <c r="C96" s="286"/>
      <c r="D96" s="286"/>
      <c r="E96" s="293"/>
      <c r="F96" s="286"/>
      <c r="G96" s="286"/>
      <c r="H96" s="286"/>
      <c r="I96" s="286"/>
      <c r="J96" s="111"/>
      <c r="K96" s="227"/>
      <c r="L96" s="227"/>
      <c r="M96" s="227"/>
      <c r="N96" s="227"/>
      <c r="O96" s="118"/>
      <c r="P96" s="118"/>
      <c r="Q96" s="118"/>
      <c r="R96" s="118"/>
      <c r="S96" s="118"/>
      <c r="T96" s="118"/>
      <c r="U96" s="118"/>
      <c r="V96" s="118"/>
    </row>
    <row r="97">
      <c r="A97" s="2534" t="s">
        <v>238</v>
      </c>
      <c r="B97" s="104"/>
      <c r="C97" s="2535"/>
      <c r="D97" s="2536"/>
      <c r="E97" s="2535"/>
      <c r="F97" s="2537"/>
      <c r="G97" s="2537"/>
      <c r="H97" s="117"/>
      <c r="I97" s="117"/>
      <c r="J97" s="118"/>
      <c r="K97" s="118"/>
      <c r="L97" s="118"/>
      <c r="M97" s="118"/>
      <c r="N97" s="118"/>
      <c r="O97" s="118"/>
      <c r="P97" s="118"/>
      <c r="Q97" s="118"/>
      <c r="R97" s="118"/>
      <c r="S97" s="118"/>
      <c r="T97" s="118"/>
      <c r="U97" s="118"/>
      <c r="V97" s="118"/>
    </row>
    <row r="98" outlineLevel="1">
      <c r="A98" s="106"/>
      <c r="B98" s="107"/>
      <c r="C98" s="2538" t="s">
        <v>235</v>
      </c>
      <c r="D98" s="2538" t="s">
        <v>49</v>
      </c>
      <c r="E98" s="2538" t="s">
        <v>48</v>
      </c>
      <c r="F98" s="2538" t="s">
        <v>50</v>
      </c>
      <c r="G98" s="2539" t="s">
        <v>51</v>
      </c>
      <c r="H98" s="228"/>
      <c r="I98" s="228"/>
      <c r="J98" s="117"/>
      <c r="K98" s="297" t="str">
        <f>'テンプレート'!K116</f>
        <v>アイテム取得</v>
      </c>
      <c r="L98" s="109"/>
      <c r="M98" s="298" t="str">
        <f>'テンプレート'!M116</f>
        <v>取得フレーム</v>
      </c>
      <c r="N98" s="298" t="str">
        <f>'テンプレート'!N116</f>
        <v>全体フレーム</v>
      </c>
      <c r="O98" s="118"/>
      <c r="P98" s="118"/>
      <c r="Q98" s="118"/>
      <c r="R98" s="118"/>
      <c r="S98" s="118"/>
      <c r="T98" s="118"/>
      <c r="U98" s="118"/>
      <c r="V98" s="118"/>
    </row>
    <row r="99" outlineLevel="1">
      <c r="A99" s="299" t="s">
        <v>239</v>
      </c>
      <c r="B99" s="300" t="s">
        <v>240</v>
      </c>
      <c r="C99" s="1162"/>
      <c r="D99" s="518">
        <f t="array" ref="D99">INDEX('崖行動・受け身'!$C$3:$C102, MATCH($A$1,'崖行動・受け身'!$A$3:$A$115,0), MATCH(D98,'崖行動・受け身'!$C$2,0))</f>
        <v>19</v>
      </c>
      <c r="E99" s="1162"/>
      <c r="F99" s="1162"/>
      <c r="G99" s="1162"/>
      <c r="H99" s="228"/>
      <c r="I99" s="228"/>
      <c r="J99" s="111"/>
      <c r="K99" s="302" t="str">
        <f>'テンプレート'!K117</f>
        <v>小アイテム</v>
      </c>
      <c r="L99" s="303" t="str">
        <f>'テンプレート'!L117</f>
        <v>その場</v>
      </c>
      <c r="M99" s="113" t="str">
        <f t="array" ref="M99">INDEX('アイテム'!$C$3:$D$115, MATCH($A$1,'アイテム'!$A$3:$A$115,0), MATCH(M$98,'アイテム'!$C$2:$AK$2,0))</f>
        <v>2</v>
      </c>
      <c r="N99" s="113">
        <f t="array" ref="N99">INDEX('アイテム'!$C$3:$D$115, MATCH($A$1,'アイテム'!$A$3:$A$115,0), MATCH(N$98,'アイテム'!$C$2:$AK$2,0))</f>
        <v>7</v>
      </c>
      <c r="O99" s="118"/>
      <c r="P99" s="118"/>
      <c r="Q99" s="118"/>
      <c r="R99" s="118"/>
      <c r="S99" s="118"/>
      <c r="T99" s="118"/>
      <c r="U99" s="118"/>
      <c r="V99" s="118"/>
    </row>
    <row r="100" outlineLevel="1">
      <c r="A100" s="146"/>
      <c r="B100" s="300" t="s">
        <v>216</v>
      </c>
      <c r="C100" s="518" t="str">
        <f t="array" ref="C100">INDEX('崖行動・受け身'!$D$3:$E102, MATCH($A$1,'崖行動・受け身'!$A$3:$A$115,0), MATCH(C98,'崖行動・受け身'!$D$2:$E$2,0))</f>
        <v>1-33</v>
      </c>
      <c r="D100" s="518">
        <f t="array" ref="D100">INDEX('崖行動・受け身'!$D$3:$E102, MATCH($A$1,'崖行動・受け身'!$A$3:$A$115,0), MATCH(D98,'崖行動・受け身'!$D$2:$E$2,0))</f>
        <v>34</v>
      </c>
      <c r="E100" s="1162"/>
      <c r="F100" s="1162"/>
      <c r="G100" s="1162"/>
      <c r="H100" s="228"/>
      <c r="I100" s="228"/>
      <c r="J100" s="117"/>
      <c r="K100" s="156"/>
      <c r="L100" s="303" t="str">
        <f>'テンプレート'!L118</f>
        <v>歩き</v>
      </c>
      <c r="M100" s="113" t="str">
        <f t="array" ref="M100">INDEX('アイテム'!$E$3:$F$115, MATCH($A$1,'アイテム'!$A$3:$A$115,0), MATCH(M$98,'アイテム'!$E$2:$AK$2,0))</f>
        <v>2</v>
      </c>
      <c r="N100" s="113">
        <f t="array" ref="N100">INDEX('アイテム'!$E$3:$F$115, MATCH($A$1,'アイテム'!$A$3:$A$115,0), MATCH(N$98,'アイテム'!$E$2:$AK$2,0))</f>
        <v>19</v>
      </c>
      <c r="O100" s="118"/>
      <c r="P100" s="118"/>
      <c r="Q100" s="118"/>
      <c r="R100" s="118"/>
      <c r="S100" s="118"/>
      <c r="T100" s="118"/>
      <c r="U100" s="118"/>
      <c r="V100" s="118"/>
    </row>
    <row r="101" outlineLevel="1">
      <c r="A101" s="146"/>
      <c r="B101" s="300" t="s">
        <v>241</v>
      </c>
      <c r="C101" s="518" t="str">
        <f t="array" ref="C101">INDEX('崖行動・受け身'!$F$3:$G$115, MATCH($A$1,'崖行動・受け身'!$A$3:$A$115,0), MATCH(C98,'崖行動・受け身'!$F$2:$G$2,0))</f>
        <v>1-23</v>
      </c>
      <c r="D101" s="518">
        <f t="array" ref="D101">INDEX('崖行動・受け身'!$F$3:$G$115, MATCH($A$1,'崖行動・受け身'!$A$3:$A$115,0), MATCH(D98,'崖行動・受け身'!$F$2:$G$2,0))</f>
        <v>45</v>
      </c>
      <c r="E101" s="1162"/>
      <c r="F101" s="1162"/>
      <c r="G101" s="1162"/>
      <c r="H101" s="228"/>
      <c r="I101" s="228"/>
      <c r="J101" s="111"/>
      <c r="K101" s="304" t="str">
        <f>'テンプレート'!K119</f>
        <v>アイテム投擲</v>
      </c>
      <c r="L101" s="109"/>
      <c r="M101" s="298" t="str">
        <f>'テンプレート'!M119</f>
        <v>投擲フレーム</v>
      </c>
      <c r="N101" s="298" t="str">
        <f>'テンプレート'!N119</f>
        <v>全体フレーム</v>
      </c>
      <c r="O101" s="118"/>
      <c r="P101" s="118"/>
      <c r="Q101" s="118"/>
      <c r="R101" s="118"/>
      <c r="S101" s="118"/>
      <c r="T101" s="118"/>
      <c r="U101" s="118"/>
      <c r="V101" s="118"/>
    </row>
    <row r="102" outlineLevel="1">
      <c r="A102" s="146"/>
      <c r="B102" s="300" t="s">
        <v>242</v>
      </c>
      <c r="C102" s="518" t="str">
        <f t="array" ref="C102">INDEX('崖行動・受け身'!$H$3:$I$115, MATCH($A$1,'崖行動・受け身'!$A$3:$A$115,0), MATCH(C98,'崖行動・受け身'!$H$2:$I$2,0))</f>
        <v>1-12</v>
      </c>
      <c r="D102" s="518">
        <f t="array" ref="D102">INDEX('崖行動・受け身'!$H$3:$I$115, MATCH($A$1,'崖行動・受け身'!$A$3:$A$115,0), MATCH(D98,'崖行動・受け身'!$H$2:$I$2,0))</f>
        <v>14</v>
      </c>
      <c r="E102" s="1162"/>
      <c r="F102" s="1162"/>
      <c r="G102" s="1162"/>
      <c r="H102" s="228"/>
      <c r="I102" s="228"/>
      <c r="J102" s="117"/>
      <c r="K102" s="1030" t="str">
        <f>'テンプレート'!K120</f>
        <v>地上投擲</v>
      </c>
      <c r="L102" s="303" t="str">
        <f>'テンプレート'!L120</f>
        <v>前投げ</v>
      </c>
      <c r="M102" s="113" t="str">
        <f t="array" ref="M102">INDEX('アイテム'!$G$3:$H$115, MATCH($A$1,'アイテム'!$A$3:$A$115,0), MATCH(M$101,'アイテム'!$G$2:$AK$2,0))</f>
        <v>8</v>
      </c>
      <c r="N102" s="113">
        <f t="array" ref="N102">INDEX('アイテム'!$G$3:$H$115, MATCH($A$1,'アイテム'!$A$3:$A$115,0), MATCH(N$101,'アイテム'!$G$2:$AK$2,0))</f>
        <v>24</v>
      </c>
      <c r="O102" s="111"/>
      <c r="P102" s="111"/>
      <c r="Q102" s="111"/>
      <c r="R102" s="111"/>
      <c r="S102" s="111"/>
      <c r="T102" s="111"/>
      <c r="U102" s="111"/>
      <c r="V102" s="111"/>
    </row>
    <row r="103" outlineLevel="1">
      <c r="A103" s="156"/>
      <c r="B103" s="300" t="s">
        <v>243</v>
      </c>
      <c r="C103" s="518" t="str">
        <f t="array" ref="C103">INDEX('崖行動・受け身'!$J$3:$M$115, MATCH($A$1,'崖行動・受け身'!$A$3:$A$115,0), MATCH(C98,'崖行動・受け身'!$J$2:$M$2,0))</f>
        <v>1-23</v>
      </c>
      <c r="D103" s="518">
        <f t="array" ref="D103">INDEX('崖行動・受け身'!$J$3:$M$115, MATCH($A$1,'崖行動・受け身'!$A$3:$A$115,0), MATCH(D98,'崖行動・受け身'!$J$2:$M$2,0))</f>
        <v>55</v>
      </c>
      <c r="E103" s="518" t="str">
        <f t="array" ref="E103">INDEX('崖行動・受け身'!$J$3:$M$115, MATCH($A$1,'崖行動・受け身'!$A$3:$A$115,0), MATCH(E98,'崖行動・受け身'!$J$2:$M$2,0))</f>
        <v>21-23</v>
      </c>
      <c r="F103" s="518">
        <f t="array" ref="F103">INDEX('崖行動・受け身'!$J$3:$M$115, MATCH($A$1,'崖行動・受け身'!$A$3:$A$115,0), MATCH(F98,'崖行動・受け身'!$J$2:$M$2,0))</f>
        <v>9</v>
      </c>
      <c r="G103" s="518">
        <f>F103*1.2</f>
        <v>10.8</v>
      </c>
      <c r="H103" s="228"/>
      <c r="I103" s="228"/>
      <c r="J103" s="111"/>
      <c r="K103" s="146"/>
      <c r="L103" s="303" t="str">
        <f>'テンプレート'!L121</f>
        <v>後投げ</v>
      </c>
      <c r="M103" s="113" t="str">
        <f t="array" ref="M103">INDEX('アイテム'!$I$3:$J$115, MATCH($A$1,'アイテム'!$A$3:$A$115,0), MATCH(M$101,'アイテム'!$I$2:$AK$2,0))</f>
        <v>11</v>
      </c>
      <c r="N103" s="113">
        <f t="array" ref="N103">INDEX('アイテム'!$I$3:$J$115, MATCH($A$1,'アイテム'!$A$3:$A$115,0), MATCH(N$101,'アイテム'!$I$2:$AK$2,0))</f>
        <v>24</v>
      </c>
      <c r="O103" s="111"/>
      <c r="P103" s="111"/>
      <c r="Q103" s="111"/>
      <c r="R103" s="111"/>
      <c r="S103" s="111"/>
      <c r="T103" s="111"/>
      <c r="U103" s="111"/>
      <c r="V103" s="111"/>
    </row>
    <row r="104" outlineLevel="1">
      <c r="A104" s="299" t="s">
        <v>244</v>
      </c>
      <c r="B104" s="300" t="s">
        <v>216</v>
      </c>
      <c r="C104" s="518" t="str">
        <f t="array" ref="C104">INDEX('崖行動・受け身'!$N$3:$O$115, MATCH($A$1,'崖行動・受け身'!$A$3:$A$115,0), MATCH(C98,'崖行動・受け身'!$N$2:$O$2,0))</f>
        <v>1-20</v>
      </c>
      <c r="D104" s="518">
        <f t="array" ref="D104">INDEX('崖行動・受け身'!$N$3:$O$115, MATCH($A$1,'崖行動・受け身'!$A$3:$A$115,0), MATCH(D98,'崖行動・受け身'!$N$2:$O$2,0))</f>
        <v>26</v>
      </c>
      <c r="E104" s="1162"/>
      <c r="F104" s="1162"/>
      <c r="G104" s="1162"/>
      <c r="H104" s="228"/>
      <c r="I104" s="228"/>
      <c r="J104" s="117"/>
      <c r="K104" s="146"/>
      <c r="L104" s="303" t="str">
        <f>'テンプレート'!L122</f>
        <v>上投げ</v>
      </c>
      <c r="M104" s="113" t="str">
        <f t="array" ref="M104">INDEX('アイテム'!$K$3:$L$115, MATCH($A$1,'アイテム'!$A$3:$A$115,0), MATCH(M$101,'アイテム'!$K$2:$AK$2,0))</f>
        <v>12</v>
      </c>
      <c r="N104" s="113">
        <f t="array" ref="N104">INDEX('アイテム'!$K$3:$L$115, MATCH($A$1,'アイテム'!$A$3:$A$115,0), MATCH(N$101,'アイテム'!$K$2:$AK$2,0))</f>
        <v>23</v>
      </c>
      <c r="O104" s="228"/>
      <c r="P104" s="228"/>
      <c r="Q104" s="228"/>
      <c r="R104" s="228"/>
      <c r="S104" s="228"/>
      <c r="T104" s="228"/>
      <c r="U104" s="228"/>
      <c r="V104" s="228"/>
    </row>
    <row r="105" outlineLevel="1">
      <c r="A105" s="146"/>
      <c r="B105" s="300" t="s">
        <v>245</v>
      </c>
      <c r="C105" s="518" t="str">
        <f t="array" ref="C105">INDEX('崖行動・受け身'!$P$3:$Q$115, MATCH($A$1,'崖行動・受け身'!$A$3:$A$115,0), MATCH(C98,'崖行動・受け身'!$P$2:$Q$2,0))</f>
        <v>1-20</v>
      </c>
      <c r="D105" s="518">
        <f t="array" ref="D105">INDEX('崖行動・受け身'!$P$3:$Q$115, MATCH($A$1,'崖行動・受け身'!$A$3:$A$115,0), MATCH(D98,'崖行動・受け身'!$P$2:$Q$2,0))</f>
        <v>40</v>
      </c>
      <c r="E105" s="1162"/>
      <c r="F105" s="1162"/>
      <c r="G105" s="1162"/>
      <c r="H105" s="228"/>
      <c r="I105" s="228"/>
      <c r="J105" s="111"/>
      <c r="K105" s="146"/>
      <c r="L105" s="303" t="str">
        <f>'テンプレート'!L123</f>
        <v>下投げ</v>
      </c>
      <c r="M105" s="113" t="str">
        <f t="array" ref="M105">INDEX('アイテム'!$M$3:$N$115, MATCH($A$1,'アイテム'!$A$3:$A$115,0), MATCH(M$101,'アイテム'!$M$2:$AK$2,0))</f>
        <v>7</v>
      </c>
      <c r="N105" s="113">
        <f t="array" ref="N105">INDEX('アイテム'!$M$3:$N$115, MATCH($A$1,'アイテム'!$A$3:$A$115,0), MATCH(N$101,'アイテム'!$M$2:$AK$2,0))</f>
        <v>19</v>
      </c>
      <c r="O105" s="118"/>
      <c r="P105" s="118"/>
      <c r="Q105" s="118"/>
      <c r="R105" s="118"/>
      <c r="S105" s="118"/>
      <c r="T105" s="118"/>
      <c r="U105" s="118"/>
      <c r="V105" s="118"/>
    </row>
    <row r="106" outlineLevel="1">
      <c r="A106" s="156"/>
      <c r="B106" s="300" t="s">
        <v>246</v>
      </c>
      <c r="C106" s="518" t="str">
        <f t="array" ref="C106">INDEX('崖行動・受け身'!$R$3:$S$115, MATCH($A$1,'崖行動・受け身'!$A$3:$A$115,0), MATCH(C98,'崖行動・受け身'!$R$2:$S$2,0))</f>
        <v>1-20</v>
      </c>
      <c r="D106" s="518">
        <f t="array" ref="D106">INDEX('崖行動・受け身'!$R$3:$S$115, MATCH($A$1,'崖行動・受け身'!$A$3:$A$115,0), MATCH(D98,'崖行動・受け身'!$R$2:$S$2,0))</f>
        <v>40</v>
      </c>
      <c r="E106" s="1162"/>
      <c r="F106" s="1162"/>
      <c r="G106" s="1162"/>
      <c r="H106" s="228"/>
      <c r="I106" s="228"/>
      <c r="J106" s="117"/>
      <c r="K106" s="146"/>
      <c r="L106" s="306" t="str">
        <f>'テンプレート'!L124</f>
        <v>ダッシュ</v>
      </c>
      <c r="M106" s="113" t="str">
        <f t="array" ref="M106">INDEX('アイテム'!$O$3:$P$115, MATCH($A$1,'アイテム'!$A$3:$A$115,0), MATCH(M$101,'アイテム'!$O$2:$AK$2,0))</f>
        <v>5</v>
      </c>
      <c r="N106" s="113">
        <f t="array" ref="N106">INDEX('アイテム'!$O$3:$P$115, MATCH($A$1,'アイテム'!$A$3:$A$115,0), MATCH(N$101,'アイテム'!$O$2:$AK$2,0))</f>
        <v>29</v>
      </c>
      <c r="O106" s="118"/>
      <c r="P106" s="118"/>
      <c r="Q106" s="118"/>
      <c r="R106" s="118"/>
      <c r="S106" s="118"/>
      <c r="T106" s="118"/>
      <c r="U106" s="118"/>
      <c r="V106" s="118"/>
    </row>
    <row r="107" outlineLevel="1">
      <c r="A107" s="299" t="s">
        <v>247</v>
      </c>
      <c r="B107" s="300" t="s">
        <v>248</v>
      </c>
      <c r="C107" s="1162"/>
      <c r="D107" s="518" t="str">
        <f t="array" ref="D107">INDEX('起きあがり'!$C$3:$C102, MATCH($A$1,'起きあがり'!$A$3:$A$115,0), MATCH(D98,'起きあがり'!$C$2:$AD$2,0))</f>
        <v>25</v>
      </c>
      <c r="E107" s="1162"/>
      <c r="F107" s="1162"/>
      <c r="G107" s="1162"/>
      <c r="H107" s="228"/>
      <c r="I107" s="228"/>
      <c r="J107" s="111"/>
      <c r="K107" s="156"/>
      <c r="L107" s="306" t="str">
        <f>'テンプレート'!L125</f>
        <v>その場捨て</v>
      </c>
      <c r="M107" s="113" t="str">
        <f t="array" ref="M107">INDEX('アイテム'!$Q$3:$R$115, MATCH($A$1,'アイテム'!$A$3:$A$115,0), MATCH(M$101,'アイテム'!$Q$2:$AK$2,0))</f>
        <v>6</v>
      </c>
      <c r="N107" s="113">
        <f t="array" ref="N107">INDEX('アイテム'!$Q$3:$R$115, MATCH($A$1,'アイテム'!$A$3:$A$115,0), MATCH(N$101,'アイテム'!$Q$2:$AK$2,0))</f>
        <v>23</v>
      </c>
      <c r="O107" s="118"/>
      <c r="P107" s="118"/>
      <c r="Q107" s="118"/>
      <c r="R107" s="118"/>
      <c r="S107" s="118"/>
      <c r="T107" s="118"/>
      <c r="U107" s="118"/>
      <c r="V107" s="118"/>
    </row>
    <row r="108" outlineLevel="1">
      <c r="A108" s="146"/>
      <c r="B108" s="300" t="s">
        <v>216</v>
      </c>
      <c r="C108" s="2540" t="str">
        <f t="array" ref="C108">INDEX('起きあがり'!$D$3:$E102, MATCH($A$1,'起きあがり'!$A$3:$A$115,0), MATCH(C98,'起きあがり'!$D$2:$AD$2,0))</f>
        <v>1-22</v>
      </c>
      <c r="D108" s="2541">
        <f t="array" ref="D108">INDEX('起きあがり'!$D$3:$E102, MATCH($A$1,'起きあがり'!$A$3:$A$115,0), MATCH(D98,'起きあがり'!$D$2:$AD$2,0))</f>
        <v>29</v>
      </c>
      <c r="E108" s="1162"/>
      <c r="F108" s="1162"/>
      <c r="G108" s="1162"/>
      <c r="H108" s="228"/>
      <c r="I108" s="228"/>
      <c r="J108" s="117"/>
      <c r="K108" s="1030" t="str">
        <f>'テンプレート'!K126</f>
        <v>空中投擲</v>
      </c>
      <c r="L108" s="303" t="str">
        <f>'テンプレート'!L126</f>
        <v>前投げ</v>
      </c>
      <c r="M108" s="113" t="str">
        <f t="array" ref="M108">INDEX('アイテム'!$S$3:$T$115, MATCH($A$1,'アイテム'!$A$3:$A$115,0), MATCH(M$101,'アイテム'!$S$2:$AK$2,0))</f>
        <v>8</v>
      </c>
      <c r="N108" s="113">
        <f t="array" ref="N108">INDEX('アイテム'!$S$3:$T$115, MATCH($A$1,'アイテム'!$A$3:$A$115,0), MATCH(N$101,'アイテム'!$S$2:$AK$2,0))</f>
        <v>24</v>
      </c>
      <c r="O108" s="118"/>
      <c r="P108" s="118"/>
      <c r="Q108" s="118"/>
      <c r="R108" s="118"/>
      <c r="S108" s="118"/>
      <c r="T108" s="118"/>
      <c r="U108" s="118"/>
      <c r="V108" s="118"/>
    </row>
    <row r="109" outlineLevel="1">
      <c r="A109" s="146"/>
      <c r="B109" s="300" t="s">
        <v>245</v>
      </c>
      <c r="C109" s="2540" t="str">
        <f t="array" ref="C109">INDEX('起きあがり'!$F$3:$G$115, MATCH($A$1,'起きあがり'!$A$3:$A$115,0), MATCH(C98,'起きあがり'!$F$2:$AD$2,0))</f>
        <v>1-21</v>
      </c>
      <c r="D109" s="2541">
        <f t="array" ref="D109">INDEX('起きあがり'!$F$3:$G$115, MATCH($A$1,'起きあがり'!$A$3:$A$115,0), MATCH(D98,'起きあがり'!$F$2:$AD$2,0))</f>
        <v>35</v>
      </c>
      <c r="E109" s="1162"/>
      <c r="F109" s="1162"/>
      <c r="G109" s="1162"/>
      <c r="H109" s="228"/>
      <c r="I109" s="228"/>
      <c r="J109" s="111"/>
      <c r="K109" s="146"/>
      <c r="L109" s="303" t="str">
        <f>'テンプレート'!L127</f>
        <v>後投げ</v>
      </c>
      <c r="M109" s="113" t="str">
        <f t="array" ref="M109">INDEX('アイテム'!$U$3:$V$115, MATCH($A$1,'アイテム'!$A$3:$A$115,0), MATCH(M$101,'アイテム'!$U$2:$AK$2,0))</f>
        <v>11</v>
      </c>
      <c r="N109" s="113">
        <f t="array" ref="N109">INDEX('アイテム'!$U$3:$V$115, MATCH($A$1,'アイテム'!$A$3:$A$115,0), MATCH(N$101,'アイテム'!$U$2:$AK$2,0))</f>
        <v>24</v>
      </c>
      <c r="O109" s="118"/>
      <c r="P109" s="118"/>
      <c r="Q109" s="118"/>
      <c r="R109" s="118"/>
      <c r="S109" s="118"/>
      <c r="T109" s="118"/>
      <c r="U109" s="118"/>
      <c r="V109" s="118"/>
    </row>
    <row r="110" outlineLevel="1">
      <c r="A110" s="146"/>
      <c r="B110" s="300" t="s">
        <v>246</v>
      </c>
      <c r="C110" s="518" t="str">
        <f t="array" ref="C110">INDEX('起きあがり'!$H$3:$I$115, MATCH($A$1,'起きあがり'!$A$3:$A$115,0), MATCH(C98,'起きあがり'!$H$2:$AD$2,0))</f>
        <v>1-22</v>
      </c>
      <c r="D110" s="518">
        <f t="array" ref="D110">INDEX('起きあがり'!$H$3:$I$115, MATCH($A$1,'起きあがり'!$A$3:$A$115,0), MATCH(D98,'起きあがり'!$H$2:$AD$2,0))</f>
        <v>35</v>
      </c>
      <c r="E110" s="1162"/>
      <c r="F110" s="1162"/>
      <c r="G110" s="1162"/>
      <c r="H110" s="228"/>
      <c r="I110" s="228"/>
      <c r="J110" s="117"/>
      <c r="K110" s="146"/>
      <c r="L110" s="303" t="str">
        <f>'テンプレート'!L128</f>
        <v>上投げ</v>
      </c>
      <c r="M110" s="113" t="str">
        <f t="array" ref="M110">INDEX('アイテム'!$W$3:$X$115, MATCH($A$1,'アイテム'!$A$3:$A$115,0), MATCH(M$101,'アイテム'!$W$2:$AK$2,0))</f>
        <v>12</v>
      </c>
      <c r="N110" s="113">
        <f t="array" ref="N110">INDEX('アイテム'!$W$3:$X$115, MATCH($A$1,'アイテム'!$A$3:$A$115,0), MATCH(N$101,'アイテム'!$W$2:$AK$2,0))</f>
        <v>23</v>
      </c>
      <c r="O110" s="118"/>
      <c r="P110" s="118"/>
      <c r="Q110" s="118"/>
      <c r="R110" s="118"/>
      <c r="S110" s="118"/>
      <c r="T110" s="118"/>
      <c r="U110" s="118"/>
      <c r="V110" s="118"/>
    </row>
    <row r="111" outlineLevel="1">
      <c r="A111" s="146"/>
      <c r="B111" s="300" t="s">
        <v>249</v>
      </c>
      <c r="C111" s="2542" t="str">
        <f t="array" ref="C111">INDEX('起きあがり'!$J$3:$M$115, MATCH($A$1,'起きあがり'!$A$3:$A$115,0), MATCH(C98,'起きあがり'!$J$2:$AD$2,0))</f>
        <v>1-27</v>
      </c>
      <c r="D111" s="2543">
        <f t="array" ref="D111">INDEX('起きあがり'!$J$3:$M$115, MATCH($A$1,'起きあがり'!$A$3:$A$115,0), MATCH(D98,'起きあがり'!$J$2:$AD$2,0))</f>
        <v>45</v>
      </c>
      <c r="E111" s="2540" t="str">
        <f t="array" ref="E111">INDEX('起きあがり'!$J$3:$M$115, MATCH($A$1,'起きあがり'!$A$3:$A$115,0), MATCH(E98,'起きあがり'!$J$2:$AD$2,0))</f>
        <v>19-20</v>
      </c>
      <c r="F111" s="2541">
        <f t="array" ref="F111">INDEX('起きあがり'!$J$3:$M$115, MATCH($A$1,'起きあがり'!$A$3:$A$115,0), MATCH(F98,'起きあがり'!$J$2:$AD$2,0))</f>
        <v>7</v>
      </c>
      <c r="G111" s="518">
        <f t="shared" ref="G111:G112" si="3">F111*1.2</f>
        <v>8.4</v>
      </c>
      <c r="H111" s="228"/>
      <c r="I111" s="228"/>
      <c r="J111" s="111"/>
      <c r="K111" s="156"/>
      <c r="L111" s="303" t="str">
        <f>'テンプレート'!L129</f>
        <v>下投げ</v>
      </c>
      <c r="M111" s="113" t="str">
        <f t="array" ref="M111">INDEX('アイテム'!$Y$3:$Z$115, MATCH($A$1,'アイテム'!$A$3:$A$115,0), MATCH(M$101,'アイテム'!$Y$2:$AK$2,0))</f>
        <v>7</v>
      </c>
      <c r="N111" s="113">
        <f t="array" ref="N111">INDEX('アイテム'!$Y$3:$Z$115, MATCH($A$1,'アイテム'!$A$3:$A$115,0), MATCH(N$101,'アイテム'!$Y$2:$AK$2,0))</f>
        <v>19</v>
      </c>
      <c r="O111" s="111"/>
      <c r="P111" s="111"/>
      <c r="Q111" s="111"/>
      <c r="R111" s="111"/>
      <c r="S111" s="111"/>
      <c r="T111" s="111"/>
      <c r="U111" s="111"/>
      <c r="V111" s="111"/>
    </row>
    <row r="112" outlineLevel="1">
      <c r="A112" s="156"/>
      <c r="B112" s="311" t="s">
        <v>250</v>
      </c>
      <c r="C112" s="107"/>
      <c r="D112" s="107"/>
      <c r="E112" s="2540" t="str">
        <f t="array" ref="E112">INDEX('起きあがり'!$N$3:$O$115, MATCH($A$1,'起きあがり'!$A$3:$A$115,0), MATCH(E98,'起きあがり'!$N$2:$AD$2,0))</f>
        <v>26-27</v>
      </c>
      <c r="F112" s="2541">
        <f t="array" ref="F112">INDEX('起きあがり'!$N$3:$O$115, MATCH($A$1,'起きあがり'!$A$3:$A$115,0), MATCH(F98,'起きあがり'!$N$2:$AD$2,0))</f>
        <v>7</v>
      </c>
      <c r="G112" s="518">
        <f t="shared" si="3"/>
        <v>8.4</v>
      </c>
      <c r="H112" s="228"/>
      <c r="I112" s="228"/>
      <c r="J112" s="111"/>
      <c r="K112" s="312" t="str">
        <f>'テンプレート'!K130</f>
        <v>踏み台ジャンプ</v>
      </c>
      <c r="L112" s="168"/>
      <c r="M112" s="298" t="str">
        <f>'テンプレート'!M130</f>
        <v>全体フレーム</v>
      </c>
      <c r="N112" s="114"/>
      <c r="O112" s="111"/>
      <c r="P112" s="111"/>
      <c r="Q112" s="111"/>
      <c r="R112" s="111"/>
      <c r="S112" s="111"/>
      <c r="T112" s="111"/>
      <c r="U112" s="111"/>
      <c r="V112" s="111"/>
    </row>
    <row r="113" outlineLevel="1">
      <c r="A113" s="299" t="s">
        <v>251</v>
      </c>
      <c r="B113" s="300" t="s">
        <v>248</v>
      </c>
      <c r="C113" s="1162"/>
      <c r="D113" s="2540" t="str">
        <f t="array" ref="D113">INDEX('起きあがり'!$C$3:$C102, MATCH($A$1,'起きあがり'!$A$3:$A$115,0), MATCH(D98,'起きあがり'!$C$2,0))</f>
        <v>25</v>
      </c>
      <c r="E113" s="1162"/>
      <c r="F113" s="1162"/>
      <c r="G113" s="1162"/>
      <c r="H113" s="228"/>
      <c r="I113" s="228"/>
      <c r="J113" s="117"/>
      <c r="K113" s="313" t="str">
        <f>'テンプレート'!K131</f>
        <v>踏み</v>
      </c>
      <c r="L113" s="314" t="str">
        <f>'テンプレート'!L131</f>
        <v>踏み</v>
      </c>
      <c r="M113" s="113" t="str">
        <f t="array" ref="M113">INDEX('共通動作その他'!$C$3:$C$102, MATCH($A$1,'共通動作その他'!$A$3:$A$102,0), MATCH(M$112,'共通動作その他'!$C$2:$AA$2,0))</f>
        <v>-</v>
      </c>
      <c r="N113" s="315"/>
      <c r="O113" s="111"/>
      <c r="P113" s="111"/>
      <c r="Q113" s="111"/>
      <c r="R113" s="111"/>
      <c r="S113" s="111"/>
      <c r="T113" s="111"/>
      <c r="U113" s="111"/>
      <c r="V113" s="111"/>
    </row>
    <row r="114" outlineLevel="1">
      <c r="A114" s="146"/>
      <c r="B114" s="300" t="s">
        <v>216</v>
      </c>
      <c r="C114" s="2540" t="str">
        <f t="array" ref="C114">INDEX('起きあがり'!$P$3:$Q$115, MATCH($A$1,'起きあがり'!$A$3:$A$115,0), MATCH(C98,'起きあがり'!$P$2:$AD$2,0))</f>
        <v>1-22</v>
      </c>
      <c r="D114" s="2541">
        <f t="array" ref="D114">INDEX('起きあがり'!$P$3:$Q$115, MATCH($A$1,'起きあがり'!$A$3:$A$115,0), MATCH(D98,'起きあがり'!$P$2:$AD$2,0))</f>
        <v>29</v>
      </c>
      <c r="E114" s="1162"/>
      <c r="F114" s="1162"/>
      <c r="G114" s="1162"/>
      <c r="H114" s="228"/>
      <c r="I114" s="228"/>
      <c r="J114" s="111"/>
      <c r="K114" s="305" t="str">
        <f>'テンプレート'!K132</f>
        <v>踏まれ</v>
      </c>
      <c r="L114" s="314" t="str">
        <f>'テンプレート'!L132</f>
        <v>地上踏まれ</v>
      </c>
      <c r="M114" s="113" t="str">
        <f t="array" ref="M114">INDEX('共通動作その他'!$D$3:$D$102, MATCH($A$1,'共通動作その他'!$A$3:$A$102,0), MATCH(M$112,'共通動作その他'!$D$2:$AA$2,0))</f>
        <v>-</v>
      </c>
      <c r="N114" s="315"/>
      <c r="O114" s="228"/>
      <c r="P114" s="228"/>
      <c r="Q114" s="228"/>
      <c r="R114" s="228"/>
      <c r="S114" s="228"/>
      <c r="T114" s="228"/>
      <c r="U114" s="228"/>
      <c r="V114" s="228"/>
    </row>
    <row r="115" outlineLevel="1">
      <c r="A115" s="146"/>
      <c r="B115" s="300" t="s">
        <v>245</v>
      </c>
      <c r="C115" s="2540" t="str">
        <f t="array" ref="C115">INDEX('起きあがり'!$R$3:$S$115, MATCH($A$1,'起きあがり'!$A$3:$A$115,0), MATCH(C98,'起きあがり'!$R$2:$AD$2,0))</f>
        <v>1-19</v>
      </c>
      <c r="D115" s="2541">
        <f t="array" ref="D115">INDEX('起きあがり'!$R$3:$S$115, MATCH($A$1,'起きあがり'!$A$3:$A$115,0), MATCH(D98,'起きあがり'!$R$2:$AD$2,0))</f>
        <v>35</v>
      </c>
      <c r="E115" s="1162"/>
      <c r="F115" s="1162"/>
      <c r="G115" s="1162"/>
      <c r="H115" s="228"/>
      <c r="I115" s="228"/>
      <c r="J115" s="117"/>
      <c r="K115" s="146"/>
      <c r="L115" s="314" t="str">
        <f>'テンプレート'!L133</f>
        <v>地上硬直</v>
      </c>
      <c r="M115" s="113" t="str">
        <f t="array" ref="M115">INDEX('共通動作その他'!$E$3:$E$102, MATCH($A$1,'共通動作その他'!$A$3:$A$102,0), MATCH(M$112,'共通動作その他'!$E$2:$AA$2,0))</f>
        <v>-</v>
      </c>
      <c r="N115" s="102"/>
      <c r="O115" s="118"/>
      <c r="P115" s="118"/>
      <c r="Q115" s="118"/>
      <c r="R115" s="118"/>
      <c r="S115" s="118"/>
      <c r="T115" s="118"/>
      <c r="U115" s="118"/>
      <c r="V115" s="118"/>
    </row>
    <row r="116" outlineLevel="1">
      <c r="A116" s="146"/>
      <c r="B116" s="300" t="s">
        <v>246</v>
      </c>
      <c r="C116" s="2540" t="str">
        <f t="array" ref="C116">INDEX('起きあがり'!$T$3:$U$115, MATCH($A$1,'起きあがり'!$A$3:$A$115,0), MATCH(C98,'起きあがり'!$T$2:$AD$2,0))</f>
        <v>1-24</v>
      </c>
      <c r="D116" s="2541">
        <f t="array" ref="D116">INDEX('起きあがり'!$T$3:$U$115, MATCH($A$1,'起きあがり'!$A$3:$A$115,0), MATCH(D98,'起きあがり'!$T$2:$AD$2,0))</f>
        <v>35</v>
      </c>
      <c r="E116" s="1162"/>
      <c r="F116" s="1162"/>
      <c r="G116" s="1162"/>
      <c r="H116" s="228"/>
      <c r="I116" s="228"/>
      <c r="J116" s="111"/>
      <c r="K116" s="146"/>
      <c r="L116" s="314" t="str">
        <f>'テンプレート'!L134</f>
        <v>空中踏まれ</v>
      </c>
      <c r="M116" s="113" t="str">
        <f t="array" ref="M116">INDEX('共通動作その他'!$F$3:$F$102, MATCH($A$1,'共通動作その他'!$A$3:$A$102,0), MATCH(M$112,'共通動作その他'!$F$2:$AA$2,0))</f>
        <v>-</v>
      </c>
      <c r="N116" s="102"/>
      <c r="O116" s="118"/>
      <c r="P116" s="118"/>
      <c r="Q116" s="118"/>
      <c r="R116" s="118"/>
      <c r="S116" s="118"/>
      <c r="T116" s="118"/>
      <c r="U116" s="118"/>
      <c r="V116" s="118"/>
    </row>
    <row r="117" outlineLevel="1">
      <c r="A117" s="146"/>
      <c r="B117" s="300" t="s">
        <v>249</v>
      </c>
      <c r="C117" s="2542" t="str">
        <f t="array" ref="C117">INDEX('起きあがり'!$V$3:$Y$115, MATCH($A$1,'起きあがり'!$A$3:$A$115,0), MATCH(C98,'起きあがり'!$V$2:$AD$2,0))</f>
        <v>1-27</v>
      </c>
      <c r="D117" s="2543">
        <f t="array" ref="D117">INDEX('起きあがり'!$V$3:$Y$115, MATCH($A$1,'起きあがり'!$A$3:$A$115,0), MATCH(D98,'起きあがり'!$V$2:$AD$2,0))</f>
        <v>45</v>
      </c>
      <c r="E117" s="2540" t="str">
        <f t="array" ref="E117">INDEX('起きあがり'!$V$3:$Y$115, MATCH($A$1,'起きあがり'!$A$3:$A$115,0), MATCH(E98,'起きあがり'!$V$2:$AD$2,0))</f>
        <v>19-20</v>
      </c>
      <c r="F117" s="2541">
        <f t="array" ref="F117">INDEX('起きあがり'!$V$3:$Y$115, MATCH($A$1,'起きあがり'!$A$3:$A$115,0), MATCH(F98,'起きあがり'!$V$2:$AD$2,0))</f>
        <v>7</v>
      </c>
      <c r="G117" s="518">
        <f t="shared" ref="G117:G118" si="4">F117*1.2</f>
        <v>8.4</v>
      </c>
      <c r="H117" s="228"/>
      <c r="I117" s="228"/>
      <c r="J117" s="117"/>
      <c r="K117" s="146"/>
      <c r="L117" s="314" t="str">
        <f>'テンプレート'!L135</f>
        <v>空中落下</v>
      </c>
      <c r="M117" s="113" t="str">
        <f t="array" ref="M117">INDEX('共通動作その他'!$G$3:$G$102, MATCH($A$1,'共通動作その他'!$A$3:$A$102,0), MATCH(M$112,'共通動作その他'!$G$2:$AA$2,0))</f>
        <v>-</v>
      </c>
      <c r="N117" s="102"/>
      <c r="O117" s="118"/>
      <c r="P117" s="118"/>
      <c r="Q117" s="118"/>
      <c r="R117" s="118"/>
      <c r="S117" s="118"/>
      <c r="T117" s="118"/>
      <c r="U117" s="118"/>
      <c r="V117" s="118"/>
    </row>
    <row r="118" outlineLevel="1">
      <c r="A118" s="156"/>
      <c r="B118" s="311" t="s">
        <v>250</v>
      </c>
      <c r="C118" s="107"/>
      <c r="D118" s="107"/>
      <c r="E118" s="2540" t="str">
        <f t="array" ref="E118">INDEX('起きあがり'!$Z$3:$AA$115, MATCH($A$1,'起きあがり'!$A$3:$A$115,0), MATCH(E98,'起きあがり'!$Z$2:$AD$2,0))</f>
        <v>26-27</v>
      </c>
      <c r="F118" s="2541">
        <f t="array" ref="F118">INDEX('起きあがり'!$Z$3:$AA$115, MATCH($A$1,'起きあがり'!$A$3:$A$115,0), MATCH(F98,'起きあがり'!$Z$2:$AD$2,0))</f>
        <v>7</v>
      </c>
      <c r="G118" s="518">
        <f t="shared" si="4"/>
        <v>8.4</v>
      </c>
      <c r="H118" s="228"/>
      <c r="I118" s="228"/>
      <c r="J118" s="117"/>
      <c r="K118" s="304" t="str">
        <f>'テンプレート'!K136</f>
        <v>倒れダメージ</v>
      </c>
      <c r="L118" s="110"/>
      <c r="M118" s="298" t="str">
        <f>'テンプレート'!M136</f>
        <v>全体フレーム</v>
      </c>
      <c r="N118" s="102"/>
      <c r="O118" s="118"/>
      <c r="P118" s="118"/>
      <c r="Q118" s="118"/>
      <c r="R118" s="118"/>
      <c r="S118" s="118"/>
      <c r="T118" s="118"/>
      <c r="U118" s="118"/>
      <c r="V118" s="118"/>
    </row>
    <row r="119" outlineLevel="1">
      <c r="A119" s="299" t="s">
        <v>252</v>
      </c>
      <c r="B119" s="300" t="s">
        <v>253</v>
      </c>
      <c r="C119" s="2540" t="str">
        <f t="array" ref="C119">INDEX('転倒'!$C$3:$D102, MATCH($A$1,'転倒'!$A$3:$A$115,0), MATCH(C98,'転倒'!$C$2:$AC$2,0))</f>
        <v>1-5</v>
      </c>
      <c r="D119" s="2541">
        <f t="array" ref="D119">INDEX('転倒'!$C$3:$D102, MATCH($A$1,'転倒'!$A$3:$A$115,0), MATCH(D98,'転倒'!$C$2:$AC$2,0))</f>
        <v>29</v>
      </c>
      <c r="E119" s="1162"/>
      <c r="F119" s="1162"/>
      <c r="G119" s="1162"/>
      <c r="H119" s="228"/>
      <c r="I119" s="228"/>
      <c r="J119" s="111"/>
      <c r="K119" s="313" t="str">
        <f>'テンプレート'!K137</f>
        <v>あお向け倒れ</v>
      </c>
      <c r="L119" s="306" t="str">
        <f>'テンプレート'!L137</f>
        <v>モーション大</v>
      </c>
      <c r="M119" s="113" t="str">
        <f t="array" ref="M119">INDEX('共通動作その他'!$H$3:$H$102, MATCH($A$1,'共通動作その他'!$A$3:$A$102,0), MATCH(M$118,'共通動作その他'!$H$2:$AA$2,0))</f>
        <v>-</v>
      </c>
      <c r="N119" s="315"/>
      <c r="O119" s="118"/>
      <c r="P119" s="118"/>
      <c r="Q119" s="118"/>
      <c r="R119" s="118"/>
      <c r="S119" s="118"/>
      <c r="T119" s="118"/>
      <c r="U119" s="118"/>
      <c r="V119" s="118"/>
    </row>
    <row r="120" outlineLevel="1">
      <c r="A120" s="146"/>
      <c r="B120" s="300" t="s">
        <v>254</v>
      </c>
      <c r="C120" s="2540" t="str">
        <f t="array" ref="C120">INDEX('転倒'!$E$3:$F102, MATCH($A$1,'転倒'!$A$3:$A$115,0), MATCH(C98,'転倒'!$E$2:$AC$2,0))</f>
        <v>1-5</v>
      </c>
      <c r="D120" s="2541">
        <f t="array" ref="D120">INDEX('転倒'!$E$3:$F102, MATCH($A$1,'転倒'!$A$3:$A$115,0), MATCH(D98,'転倒'!$E$2:$AC$2,0))</f>
        <v>39</v>
      </c>
      <c r="E120" s="1162"/>
      <c r="F120" s="1162"/>
      <c r="G120" s="1162"/>
      <c r="H120" s="228"/>
      <c r="I120" s="228"/>
      <c r="J120" s="117"/>
      <c r="K120" s="313" t="str">
        <f>'テンプレート'!K138</f>
        <v>うつ伏せ倒れ</v>
      </c>
      <c r="L120" s="306" t="str">
        <f>'テンプレート'!L138</f>
        <v>モーション大</v>
      </c>
      <c r="M120" s="113" t="str">
        <f t="array" ref="M120">INDEX('共通動作その他'!$I$3:$I$102, MATCH($A$1,'共通動作その他'!$A$3:$A$102,0), MATCH(M$118,'共通動作その他'!$I$2:$AA$2,0))</f>
        <v>-</v>
      </c>
      <c r="N120" s="315"/>
      <c r="O120" s="118"/>
      <c r="P120" s="118"/>
      <c r="Q120" s="118"/>
      <c r="R120" s="118"/>
      <c r="S120" s="118"/>
      <c r="T120" s="118"/>
      <c r="U120" s="118"/>
      <c r="V120" s="118"/>
    </row>
    <row r="121" outlineLevel="1">
      <c r="A121" s="146"/>
      <c r="B121" s="300" t="s">
        <v>216</v>
      </c>
      <c r="C121" s="2540" t="str">
        <f t="array" ref="C121">INDEX('転倒'!$G$3:$H$115, MATCH($A$1,'転倒'!$A$3:$A$115,0), MATCH(C98,'転倒'!$G$2:$AC$2,0))</f>
        <v>1-16</v>
      </c>
      <c r="D121" s="2541">
        <f t="array" ref="D121">INDEX('転倒'!$G$3:$H$115, MATCH($A$1,'転倒'!$A$3:$A$115,0), MATCH(D98,'転倒'!$G$2:$AC$2,0))</f>
        <v>21</v>
      </c>
      <c r="E121" s="1162"/>
      <c r="F121" s="1162"/>
      <c r="G121" s="1162"/>
      <c r="H121" s="228"/>
      <c r="I121" s="228"/>
      <c r="J121" s="111"/>
      <c r="K121" s="304" t="str">
        <f>'テンプレート'!K139</f>
        <v/>
      </c>
      <c r="L121" s="110"/>
      <c r="M121" s="298" t="str">
        <f>'テンプレート'!M139</f>
        <v/>
      </c>
      <c r="N121" s="102"/>
      <c r="O121" s="118"/>
      <c r="P121" s="118"/>
      <c r="Q121" s="118"/>
      <c r="R121" s="118"/>
      <c r="S121" s="118"/>
      <c r="T121" s="118"/>
      <c r="U121" s="118"/>
      <c r="V121" s="118"/>
    </row>
    <row r="122" outlineLevel="1">
      <c r="A122" s="146"/>
      <c r="B122" s="300" t="s">
        <v>245</v>
      </c>
      <c r="C122" s="2540" t="str">
        <f t="array" ref="C122">INDEX('転倒'!$I$3:$J$115, MATCH($A$1,'転倒'!$A$3:$A$115,0), MATCH(C98,'転倒'!$I$2:$AC$2,0))</f>
        <v>1-9</v>
      </c>
      <c r="D122" s="2541">
        <f t="array" ref="D122">INDEX('転倒'!$I$3:$J$115, MATCH($A$1,'転倒'!$A$3:$A$115,0), MATCH(D98,'転倒'!$I$2:$AC$2,0))</f>
        <v>28</v>
      </c>
      <c r="E122" s="1162"/>
      <c r="F122" s="1162"/>
      <c r="G122" s="1162"/>
      <c r="H122" s="228"/>
      <c r="I122" s="228"/>
      <c r="J122" s="228"/>
      <c r="K122" s="316" t="str">
        <f>'テンプレート'!K140</f>
        <v/>
      </c>
      <c r="L122" s="317" t="str">
        <f>'テンプレート'!L140</f>
        <v/>
      </c>
      <c r="M122" s="113" t="str">
        <f t="array" ref="M122">INDEX('共通動作その他'!$J$3:$J$102, MATCH($A$1,'共通動作その他'!$A$3:$A$102,0), MATCH(M$121,'共通動作その他'!$J$2:$AA$2,0))</f>
        <v>#N/A</v>
      </c>
      <c r="N122" s="102"/>
      <c r="O122" s="118"/>
      <c r="P122" s="118"/>
      <c r="Q122" s="118"/>
      <c r="R122" s="118"/>
      <c r="S122" s="118"/>
      <c r="T122" s="118"/>
      <c r="U122" s="118"/>
      <c r="V122" s="118"/>
    </row>
    <row r="123" outlineLevel="1">
      <c r="A123" s="146"/>
      <c r="B123" s="300" t="s">
        <v>246</v>
      </c>
      <c r="C123" s="2540" t="str">
        <f t="array" ref="C123">INDEX('転倒'!$K$3:$L$115, MATCH($A$1,'転倒'!$A$3:$A$115,0), MATCH(C98,'転倒'!$K$2:$AC$2,0))</f>
        <v>1-9</v>
      </c>
      <c r="D123" s="2541">
        <f t="array" ref="D123">INDEX('転倒'!$K$3:$L$115, MATCH($A$1,'転倒'!$A$3:$A$115,0), MATCH(D98,'転倒'!$K$2:$AC$2,0))</f>
        <v>28</v>
      </c>
      <c r="E123" s="1162"/>
      <c r="F123" s="1162"/>
      <c r="G123" s="1162"/>
      <c r="H123" s="228"/>
      <c r="I123" s="228"/>
      <c r="J123" s="228"/>
      <c r="K123" s="102"/>
      <c r="L123" s="118"/>
      <c r="M123" s="118"/>
      <c r="N123" s="102"/>
      <c r="O123" s="118"/>
      <c r="P123" s="118"/>
      <c r="Q123" s="118"/>
      <c r="R123" s="118"/>
      <c r="S123" s="118"/>
      <c r="T123" s="118"/>
      <c r="U123" s="118"/>
      <c r="V123" s="118"/>
    </row>
    <row r="124" outlineLevel="1">
      <c r="A124" s="146"/>
      <c r="B124" s="300" t="s">
        <v>249</v>
      </c>
      <c r="C124" s="2542" t="str">
        <f t="array" ref="C124">INDEX('転倒'!$M$3:$P$115, MATCH($A$1,'転倒'!$A$3:$A$115,0), MATCH(C98,'転倒'!$M$2:$AC$2,0))</f>
        <v>1-7</v>
      </c>
      <c r="D124" s="2543">
        <f t="array" ref="D124">INDEX('転倒'!$M$3:$P$115, MATCH($A$1,'転倒'!$A$3:$A$115,0), MATCH(D98,'転倒'!$M$2:$AC$2,0))</f>
        <v>49</v>
      </c>
      <c r="E124" s="2540" t="str">
        <f t="array" ref="E124">INDEX('転倒'!$M$3:$P$115, MATCH($A$1,'転倒'!$A$3:$A$115,0), MATCH(E98,'転倒'!$M$2:$AC$2,0))</f>
        <v>19-20</v>
      </c>
      <c r="F124" s="2541">
        <f t="array" ref="F124">INDEX('転倒'!$M$3:$P$115, MATCH($A$1,'転倒'!$A$3:$A$115,0), MATCH(F98,'転倒'!$M$2:$AC$2,0))</f>
        <v>5</v>
      </c>
      <c r="G124" s="518">
        <f t="shared" ref="G124:G125" si="5">F124*1.2</f>
        <v>6</v>
      </c>
      <c r="H124" s="228"/>
      <c r="I124" s="228"/>
      <c r="J124" s="228"/>
      <c r="K124" s="118"/>
      <c r="L124" s="118"/>
      <c r="M124" s="118"/>
      <c r="N124" s="102"/>
      <c r="O124" s="102"/>
      <c r="P124" s="102"/>
      <c r="Q124" s="102"/>
      <c r="R124" s="118"/>
      <c r="S124" s="118"/>
      <c r="T124" s="118"/>
      <c r="U124" s="118"/>
      <c r="V124" s="118"/>
    </row>
    <row r="125" outlineLevel="1">
      <c r="A125" s="156"/>
      <c r="B125" s="311" t="s">
        <v>250</v>
      </c>
      <c r="C125" s="107"/>
      <c r="D125" s="107"/>
      <c r="E125" s="2540" t="str">
        <f t="array" ref="E125">INDEX('転倒'!$Q$3:$R$115, MATCH($A$1,'転倒'!$A$3:$A$115,0), MATCH(E98,'転倒'!$Q$2:$AC$2,0))</f>
        <v>31-32</v>
      </c>
      <c r="F125" s="2541">
        <f t="array" ref="F125">INDEX('転倒'!$Q$3:$R$115, MATCH($A$1,'転倒'!$A$3:$A$115,0), MATCH(F98,'転倒'!$Q$2:$AC$2,0))</f>
        <v>5</v>
      </c>
      <c r="G125" s="518">
        <f t="shared" si="5"/>
        <v>6</v>
      </c>
      <c r="H125" s="228"/>
      <c r="I125" s="228"/>
      <c r="J125" s="228"/>
      <c r="K125" s="118"/>
      <c r="L125" s="118"/>
      <c r="M125" s="118"/>
      <c r="N125" s="102"/>
      <c r="O125" s="102"/>
      <c r="P125" s="102"/>
      <c r="Q125" s="102"/>
      <c r="R125" s="118"/>
      <c r="S125" s="118"/>
      <c r="T125" s="118"/>
      <c r="U125" s="118"/>
      <c r="V125" s="118"/>
    </row>
    <row r="126" outlineLevel="1">
      <c r="A126" s="319"/>
      <c r="B126" s="320"/>
      <c r="C126" s="321"/>
      <c r="D126" s="321"/>
      <c r="E126" s="2544"/>
      <c r="F126" s="2545"/>
      <c r="G126" s="2546"/>
      <c r="H126" s="228"/>
      <c r="I126" s="228"/>
      <c r="J126" s="228"/>
      <c r="K126" s="118"/>
      <c r="L126" s="118"/>
      <c r="M126" s="118"/>
      <c r="N126" s="102"/>
      <c r="O126" s="102"/>
      <c r="P126" s="102"/>
      <c r="Q126" s="102"/>
      <c r="R126" s="118"/>
      <c r="S126" s="118"/>
      <c r="T126" s="118"/>
      <c r="U126" s="118"/>
      <c r="V126" s="118"/>
    </row>
    <row r="127" outlineLevel="1">
      <c r="A127" s="323" t="s">
        <v>255</v>
      </c>
      <c r="B127" s="109"/>
      <c r="C127" s="321"/>
      <c r="D127" s="321"/>
      <c r="E127" s="2544"/>
      <c r="F127" s="2545"/>
      <c r="G127" s="2546"/>
      <c r="H127" s="228"/>
      <c r="I127" s="228"/>
      <c r="J127" s="228"/>
      <c r="K127" s="118"/>
      <c r="L127" s="118"/>
      <c r="M127" s="118"/>
      <c r="N127" s="102"/>
      <c r="O127" s="102"/>
      <c r="P127" s="102"/>
      <c r="Q127" s="102"/>
      <c r="R127" s="118"/>
      <c r="S127" s="118"/>
      <c r="T127" s="118"/>
      <c r="U127" s="118"/>
      <c r="V127" s="118"/>
    </row>
    <row r="128" outlineLevel="1">
      <c r="A128" s="324" t="s">
        <v>256</v>
      </c>
      <c r="B128" s="109"/>
      <c r="C128" s="325" t="s">
        <v>257</v>
      </c>
      <c r="D128" s="325" t="s">
        <v>49</v>
      </c>
      <c r="E128" s="2544"/>
      <c r="F128" s="2545"/>
      <c r="G128" s="2546"/>
      <c r="H128" s="228"/>
      <c r="I128" s="228"/>
      <c r="J128" s="228"/>
      <c r="K128" s="118"/>
      <c r="L128" s="118"/>
      <c r="M128" s="118"/>
      <c r="N128" s="102"/>
      <c r="O128" s="102"/>
      <c r="P128" s="102"/>
      <c r="Q128" s="102"/>
      <c r="R128" s="118"/>
      <c r="S128" s="118"/>
      <c r="T128" s="118"/>
      <c r="U128" s="118"/>
      <c r="V128" s="118"/>
    </row>
    <row r="129" outlineLevel="1">
      <c r="A129" s="326" t="s">
        <v>258</v>
      </c>
      <c r="B129" s="327" t="s">
        <v>216</v>
      </c>
      <c r="C129" s="328" t="str">
        <f t="array" ref="C129">INDEX('アイテム'!$C$3:$D$114, MATCH($A$1,'アイテム'!$A$3:$A$114,0), MATCH(C128,'アイテム'!$C$2:$AQ$2,0))</f>
        <v>2</v>
      </c>
      <c r="D129" s="328">
        <f t="array" ref="D129">INDEX('アイテム'!$C$3:$D$114, MATCH($A$1,'アイテム'!$A$3:$A$114,0), MATCH(D128,'アイテム'!$C$2:$AQ$2,0))</f>
        <v>7</v>
      </c>
      <c r="E129" s="2544"/>
      <c r="F129" s="2545"/>
      <c r="G129" s="2546"/>
      <c r="H129" s="228"/>
      <c r="I129" s="228"/>
      <c r="J129" s="228"/>
      <c r="K129" s="118"/>
      <c r="L129" s="118"/>
      <c r="M129" s="118"/>
      <c r="N129" s="102"/>
      <c r="O129" s="102"/>
      <c r="P129" s="102"/>
      <c r="Q129" s="102"/>
      <c r="R129" s="118"/>
      <c r="S129" s="118"/>
      <c r="T129" s="118"/>
      <c r="U129" s="118"/>
      <c r="V129" s="118"/>
    </row>
    <row r="130" outlineLevel="1">
      <c r="A130" s="156"/>
      <c r="B130" s="327" t="s">
        <v>219</v>
      </c>
      <c r="C130" s="328" t="str">
        <f t="array" ref="C130">INDEX('アイテム'!$E$3:$F$114, MATCH($A$1,'アイテム'!$A$3:$A$114,0), MATCH(C128,'アイテム'!$C$2:$AQ$2,0))</f>
        <v>2</v>
      </c>
      <c r="D130" s="328">
        <f t="array" ref="D130">INDEX('アイテム'!$E$3:$F$114, MATCH($A$1,'アイテム'!$A$3:$A$114,0), MATCH(D128,'アイテム'!$C$2:$AQ$2,0))</f>
        <v>19</v>
      </c>
      <c r="E130" s="2544"/>
      <c r="F130" s="2545"/>
      <c r="G130" s="2546"/>
      <c r="H130" s="228"/>
      <c r="I130" s="228"/>
      <c r="J130" s="228"/>
      <c r="K130" s="118"/>
      <c r="L130" s="118"/>
      <c r="M130" s="118"/>
      <c r="N130" s="102"/>
      <c r="O130" s="102"/>
      <c r="P130" s="102"/>
      <c r="Q130" s="102"/>
      <c r="R130" s="118"/>
      <c r="S130" s="118"/>
      <c r="T130" s="118"/>
      <c r="U130" s="118"/>
      <c r="V130" s="118"/>
    </row>
    <row r="131" outlineLevel="1">
      <c r="A131" s="329" t="s">
        <v>259</v>
      </c>
      <c r="B131" s="327" t="s">
        <v>216</v>
      </c>
      <c r="C131" s="328">
        <f t="array" ref="C131">INDEX('アイテム'!$AA$3:$AB$114, MATCH($A$1,'アイテム'!$A$3:$A$114,0), MATCH(C128,'アイテム'!$C$2:$AQ$2,0))</f>
        <v>3</v>
      </c>
      <c r="D131" s="328" t="str">
        <f t="array" ref="D131">INDEX('アイテム'!$AA$3:$AB$114, MATCH($A$1,'アイテム'!$A$3:$A$114,0), MATCH(D128,'アイテム'!$C$2:$AQ$2,0))</f>
        <v>12</v>
      </c>
      <c r="E131" s="2544"/>
      <c r="F131" s="2545"/>
      <c r="G131" s="2546"/>
      <c r="H131" s="228"/>
      <c r="I131" s="228"/>
      <c r="J131" s="228"/>
      <c r="K131" s="118"/>
      <c r="L131" s="118"/>
      <c r="M131" s="118"/>
      <c r="N131" s="102"/>
      <c r="O131" s="102"/>
      <c r="P131" s="102"/>
      <c r="Q131" s="102"/>
      <c r="R131" s="118"/>
      <c r="S131" s="118"/>
      <c r="T131" s="118"/>
      <c r="U131" s="118"/>
      <c r="V131" s="118"/>
    </row>
    <row r="132" outlineLevel="1">
      <c r="A132" s="324" t="s">
        <v>260</v>
      </c>
      <c r="B132" s="109"/>
      <c r="C132" s="325" t="s">
        <v>261</v>
      </c>
      <c r="D132" s="325" t="s">
        <v>49</v>
      </c>
      <c r="E132" s="2544"/>
      <c r="F132" s="2545"/>
      <c r="G132" s="2546"/>
      <c r="H132" s="228"/>
      <c r="I132" s="228"/>
      <c r="J132" s="228"/>
      <c r="K132" s="118"/>
      <c r="L132" s="118"/>
      <c r="M132" s="118"/>
      <c r="N132" s="102"/>
      <c r="O132" s="102"/>
      <c r="P132" s="102"/>
      <c r="Q132" s="102"/>
      <c r="R132" s="118"/>
      <c r="S132" s="118"/>
      <c r="T132" s="118"/>
      <c r="U132" s="118"/>
      <c r="V132" s="118"/>
    </row>
    <row r="133" outlineLevel="1">
      <c r="A133" s="326" t="s">
        <v>262</v>
      </c>
      <c r="B133" s="327" t="s">
        <v>226</v>
      </c>
      <c r="C133" s="328" t="str">
        <f t="array" ref="C133">INDEX('アイテム'!$G$3:$H$114, MATCH($A$1,'アイテム'!$A$3:$A$114,0), MATCH(C128,'アイテム'!$C$2:$AQ$2,0))</f>
        <v>8</v>
      </c>
      <c r="D133" s="328">
        <f t="array" ref="D133">INDEX('アイテム'!$G$3:$H$114, MATCH($A$1,'アイテム'!$A$3:$A$114,0), MATCH(D128,'アイテム'!$C$2:$AQ$2,0))</f>
        <v>24</v>
      </c>
      <c r="E133" s="2544"/>
      <c r="F133" s="2545"/>
      <c r="G133" s="2546"/>
      <c r="H133" s="228"/>
      <c r="I133" s="228"/>
      <c r="J133" s="228"/>
      <c r="K133" s="118"/>
      <c r="L133" s="118"/>
      <c r="M133" s="118"/>
      <c r="N133" s="102"/>
      <c r="O133" s="102"/>
      <c r="P133" s="102"/>
      <c r="Q133" s="102"/>
      <c r="R133" s="118"/>
      <c r="S133" s="118"/>
      <c r="T133" s="118"/>
      <c r="U133" s="118"/>
      <c r="V133" s="118"/>
    </row>
    <row r="134" outlineLevel="1">
      <c r="A134" s="146"/>
      <c r="B134" s="327" t="s">
        <v>229</v>
      </c>
      <c r="C134" s="328" t="str">
        <f t="array" ref="C134">INDEX('アイテム'!$I$3:$J$114, MATCH($A$1,'アイテム'!$A$3:$A$114,0), MATCH(C128,'アイテム'!$C$2:$AQ$2,0))</f>
        <v>11</v>
      </c>
      <c r="D134" s="328">
        <f t="array" ref="D134">INDEX('アイテム'!$I$3:$J$114, MATCH($A$1,'アイテム'!$A$3:$A$114,0), MATCH(D128,'アイテム'!$C$2:$AQ$2,0))</f>
        <v>24</v>
      </c>
      <c r="E134" s="2544"/>
      <c r="F134" s="2545"/>
      <c r="G134" s="2546"/>
      <c r="H134" s="228"/>
      <c r="I134" s="228"/>
      <c r="J134" s="228"/>
      <c r="K134" s="118"/>
      <c r="L134" s="118"/>
      <c r="M134" s="118"/>
      <c r="N134" s="102"/>
      <c r="O134" s="102"/>
      <c r="P134" s="102"/>
      <c r="Q134" s="102"/>
      <c r="R134" s="118"/>
      <c r="S134" s="118"/>
      <c r="T134" s="118"/>
      <c r="U134" s="118"/>
      <c r="V134" s="118"/>
    </row>
    <row r="135" outlineLevel="1">
      <c r="A135" s="146"/>
      <c r="B135" s="327" t="s">
        <v>233</v>
      </c>
      <c r="C135" s="328" t="str">
        <f t="array" ref="C135">INDEX('アイテム'!$K$3:$L$114, MATCH($A$1,'アイテム'!$A$3:$A$114,0), MATCH(C128,'アイテム'!$C$2:$AQ$2,0))</f>
        <v>12</v>
      </c>
      <c r="D135" s="328">
        <f t="array" ref="D135">INDEX('アイテム'!$K$3:$L$114, MATCH($A$1,'アイテム'!$A$3:$A$114,0), MATCH(D128,'アイテム'!$C$2:$AQ$2,0))</f>
        <v>23</v>
      </c>
      <c r="E135" s="2544"/>
      <c r="F135" s="2545"/>
      <c r="G135" s="2546"/>
      <c r="H135" s="228"/>
      <c r="I135" s="228"/>
      <c r="J135" s="228"/>
      <c r="K135" s="118"/>
      <c r="L135" s="118"/>
      <c r="M135" s="118"/>
      <c r="N135" s="102"/>
      <c r="O135" s="102"/>
      <c r="P135" s="102"/>
      <c r="Q135" s="102"/>
      <c r="R135" s="118"/>
      <c r="S135" s="118"/>
      <c r="T135" s="118"/>
      <c r="U135" s="118"/>
      <c r="V135" s="118"/>
    </row>
    <row r="136" outlineLevel="1">
      <c r="A136" s="146"/>
      <c r="B136" s="327" t="s">
        <v>234</v>
      </c>
      <c r="C136" s="328" t="str">
        <f t="array" ref="C136">INDEX('アイテム'!$M$3:$N$114, MATCH($A$1,'アイテム'!$A$3:$A$114,0), MATCH(C128,'アイテム'!$C$2:$AQ$2,0))</f>
        <v>7</v>
      </c>
      <c r="D136" s="328">
        <f t="array" ref="D136">INDEX('アイテム'!$M$3:$N$114, MATCH($A$1,'アイテム'!$A$3:$A$114,0), MATCH(D128,'アイテム'!$C$2:$AQ$2,0))</f>
        <v>19</v>
      </c>
      <c r="E136" s="2544"/>
      <c r="F136" s="2545"/>
      <c r="G136" s="2546"/>
      <c r="H136" s="228"/>
      <c r="I136" s="228"/>
      <c r="J136" s="228"/>
      <c r="K136" s="118"/>
      <c r="L136" s="118"/>
      <c r="M136" s="118"/>
      <c r="N136" s="102"/>
      <c r="O136" s="102"/>
      <c r="P136" s="102"/>
      <c r="Q136" s="102"/>
      <c r="R136" s="118"/>
      <c r="S136" s="118"/>
      <c r="T136" s="118"/>
      <c r="U136" s="118"/>
      <c r="V136" s="118"/>
    </row>
    <row r="137" outlineLevel="1">
      <c r="A137" s="146"/>
      <c r="B137" s="327" t="s">
        <v>219</v>
      </c>
      <c r="C137" s="328" t="str">
        <f t="array" ref="C137">INDEX('アイテム'!$O$3:$P$114, MATCH($A$1,'アイテム'!$A$3:$A$114,0), MATCH(C128,'アイテム'!$C$2:$AQ$2,0))</f>
        <v>5</v>
      </c>
      <c r="D137" s="328">
        <f t="array" ref="D137">INDEX('アイテム'!$O$3:$P$114, MATCH($A$1,'アイテム'!$A$3:$A$114,0), MATCH(D128,'アイテム'!$C$2:$AQ$2,0))</f>
        <v>29</v>
      </c>
      <c r="E137" s="2544"/>
      <c r="F137" s="2545"/>
      <c r="G137" s="2546"/>
      <c r="H137" s="228"/>
      <c r="I137" s="228"/>
      <c r="J137" s="228"/>
      <c r="K137" s="118"/>
      <c r="L137" s="118"/>
      <c r="M137" s="118"/>
      <c r="N137" s="102"/>
      <c r="O137" s="102"/>
      <c r="P137" s="102"/>
      <c r="Q137" s="102"/>
      <c r="R137" s="118"/>
      <c r="S137" s="118"/>
      <c r="T137" s="118"/>
      <c r="U137" s="118"/>
      <c r="V137" s="118"/>
    </row>
    <row r="138" outlineLevel="1">
      <c r="A138" s="156"/>
      <c r="B138" s="327" t="s">
        <v>263</v>
      </c>
      <c r="C138" s="328" t="str">
        <f t="array" ref="C138">INDEX('アイテム'!$Q$3:$R$114, MATCH($A$1,'アイテム'!$A$3:$A$114,0), MATCH(C128,'アイテム'!$C$2:$AQ$2,0))</f>
        <v>6</v>
      </c>
      <c r="D138" s="328">
        <f t="array" ref="D138">INDEX('アイテム'!$Q$3:$R$114, MATCH($A$1,'アイテム'!$A$3:$A$114,0), MATCH(D128,'アイテム'!$C$2:$AQ$2,0))</f>
        <v>23</v>
      </c>
      <c r="E138" s="2544"/>
      <c r="F138" s="2545"/>
      <c r="G138" s="2546"/>
      <c r="H138" s="228"/>
      <c r="I138" s="228"/>
      <c r="J138" s="228"/>
      <c r="K138" s="118"/>
      <c r="L138" s="118"/>
      <c r="M138" s="118"/>
      <c r="N138" s="102"/>
      <c r="O138" s="102"/>
      <c r="P138" s="102"/>
      <c r="Q138" s="102"/>
      <c r="R138" s="118"/>
      <c r="S138" s="118"/>
      <c r="T138" s="118"/>
      <c r="U138" s="118"/>
      <c r="V138" s="118"/>
    </row>
    <row r="139" outlineLevel="1">
      <c r="A139" s="326" t="s">
        <v>264</v>
      </c>
      <c r="B139" s="327" t="s">
        <v>226</v>
      </c>
      <c r="C139" s="328" t="str">
        <f t="array" ref="C139">INDEX('アイテム'!$S$3:$T$114, MATCH($A$1,'アイテム'!$A$3:$A$114,0), MATCH(C128,'アイテム'!$C$2:$AQ$2,0))</f>
        <v>8</v>
      </c>
      <c r="D139" s="328">
        <f t="array" ref="D139">INDEX('アイテム'!$S$3:$T$114, MATCH($A$1,'アイテム'!$A$3:$A$114,0), MATCH(D128,'アイテム'!$C$2:$AQ$2,0))</f>
        <v>24</v>
      </c>
      <c r="E139" s="2544"/>
      <c r="F139" s="2545"/>
      <c r="G139" s="2546"/>
      <c r="H139" s="228"/>
      <c r="I139" s="228"/>
      <c r="J139" s="228"/>
      <c r="K139" s="118"/>
      <c r="L139" s="118"/>
      <c r="M139" s="118"/>
      <c r="N139" s="102"/>
      <c r="O139" s="102"/>
      <c r="P139" s="102"/>
      <c r="Q139" s="102"/>
      <c r="R139" s="118"/>
      <c r="S139" s="118"/>
      <c r="T139" s="118"/>
      <c r="U139" s="118"/>
      <c r="V139" s="118"/>
    </row>
    <row r="140" outlineLevel="1">
      <c r="A140" s="146"/>
      <c r="B140" s="327" t="s">
        <v>229</v>
      </c>
      <c r="C140" s="328" t="str">
        <f t="array" ref="C140">INDEX('アイテム'!$U$3:$V$114, MATCH($A$1,'アイテム'!$A$3:$A$114,0), MATCH(C128,'アイテム'!$C$2:$AQ$2,0))</f>
        <v>11</v>
      </c>
      <c r="D140" s="328">
        <f t="array" ref="D140">INDEX('アイテム'!$U$3:$V$114, MATCH($A$1,'アイテム'!$A$3:$A$114,0), MATCH(D128,'アイテム'!$C$2:$AQ$2,0))</f>
        <v>24</v>
      </c>
      <c r="E140" s="2544"/>
      <c r="F140" s="2545"/>
      <c r="G140" s="2546"/>
      <c r="H140" s="228"/>
      <c r="I140" s="228"/>
      <c r="J140" s="228"/>
      <c r="K140" s="118"/>
      <c r="L140" s="118"/>
      <c r="M140" s="118"/>
      <c r="N140" s="102"/>
      <c r="O140" s="102"/>
      <c r="P140" s="102"/>
      <c r="Q140" s="102"/>
      <c r="R140" s="118"/>
      <c r="S140" s="118"/>
      <c r="T140" s="118"/>
      <c r="U140" s="118"/>
      <c r="V140" s="118"/>
    </row>
    <row r="141" outlineLevel="1">
      <c r="A141" s="146"/>
      <c r="B141" s="327" t="s">
        <v>233</v>
      </c>
      <c r="C141" s="328" t="str">
        <f t="array" ref="C141">INDEX('アイテム'!$W$3:$X$114, MATCH($A$1,'アイテム'!$A$3:$A$114,0), MATCH(C128,'アイテム'!$C$2:$AQ$2,0))</f>
        <v>12</v>
      </c>
      <c r="D141" s="328">
        <f t="array" ref="D141">INDEX('アイテム'!$W$3:$X$114, MATCH($A$1,'アイテム'!$A$3:$A$114,0), MATCH(D128,'アイテム'!$C$2:$AQ$2,0))</f>
        <v>23</v>
      </c>
      <c r="E141" s="2544"/>
      <c r="F141" s="2545"/>
      <c r="G141" s="2546"/>
      <c r="H141" s="228"/>
      <c r="I141" s="228"/>
      <c r="J141" s="228"/>
      <c r="K141" s="118"/>
      <c r="L141" s="118"/>
      <c r="M141" s="118"/>
      <c r="N141" s="102"/>
      <c r="O141" s="102"/>
      <c r="P141" s="102"/>
      <c r="Q141" s="102"/>
      <c r="R141" s="118"/>
      <c r="S141" s="118"/>
      <c r="T141" s="118"/>
      <c r="U141" s="118"/>
      <c r="V141" s="118"/>
    </row>
    <row r="142" outlineLevel="1">
      <c r="A142" s="156"/>
      <c r="B142" s="327" t="s">
        <v>234</v>
      </c>
      <c r="C142" s="328" t="str">
        <f t="array" ref="C142">INDEX('アイテム'!$Y$3:$Z$114, MATCH($A$1,'アイテム'!$A$3:$A$114,0), MATCH(C128,'アイテム'!$C$2:$AQ$2,0))</f>
        <v>7</v>
      </c>
      <c r="D142" s="328">
        <f t="array" ref="D142">INDEX('アイテム'!$Y$3:$Z$114, MATCH($A$1,'アイテム'!$A$3:$A$114,0), MATCH(D128,'アイテム'!$C$2:$AQ$2,0))</f>
        <v>19</v>
      </c>
      <c r="E142" s="2544"/>
      <c r="F142" s="2545"/>
      <c r="G142" s="2546"/>
      <c r="H142" s="228"/>
      <c r="I142" s="228"/>
      <c r="J142" s="228"/>
      <c r="K142" s="118"/>
      <c r="L142" s="118"/>
      <c r="M142" s="118"/>
      <c r="N142" s="102"/>
      <c r="O142" s="102"/>
      <c r="P142" s="102"/>
      <c r="Q142" s="102"/>
      <c r="R142" s="118"/>
      <c r="S142" s="118"/>
      <c r="T142" s="118"/>
      <c r="U142" s="118"/>
      <c r="V142" s="118"/>
    </row>
    <row r="143" outlineLevel="1">
      <c r="A143" s="326" t="s">
        <v>265</v>
      </c>
      <c r="B143" s="327" t="s">
        <v>226</v>
      </c>
      <c r="C143" s="328">
        <f t="array" ref="C143">INDEX('アイテム'!$AC$3:$AD$114, MATCH($A$1,'アイテム'!$A$3:$A$114,0), MATCH(C128,'アイテム'!$C$2:$AQ$2,0))</f>
        <v>14</v>
      </c>
      <c r="D143" s="328" t="str">
        <f t="array" ref="D143">INDEX('アイテム'!$AC$3:$AD$114, MATCH($A$1,'アイテム'!$A$3:$A$114,0), MATCH(D128,'アイテム'!$C$2:$AQ$2,0))</f>
        <v>30</v>
      </c>
      <c r="E143" s="2544"/>
      <c r="F143" s="2545"/>
      <c r="G143" s="2546"/>
      <c r="H143" s="228"/>
      <c r="I143" s="228"/>
      <c r="J143" s="228"/>
      <c r="K143" s="118"/>
      <c r="L143" s="118"/>
      <c r="M143" s="118"/>
      <c r="N143" s="102"/>
      <c r="O143" s="102"/>
      <c r="P143" s="102"/>
      <c r="Q143" s="102"/>
      <c r="R143" s="118"/>
      <c r="S143" s="118"/>
      <c r="T143" s="118"/>
      <c r="U143" s="118"/>
      <c r="V143" s="118"/>
    </row>
    <row r="144" outlineLevel="1">
      <c r="A144" s="146"/>
      <c r="B144" s="327" t="s">
        <v>229</v>
      </c>
      <c r="C144" s="328">
        <f t="array" ref="C144">INDEX('アイテム'!$AE$3:$AF$114, MATCH($A$1,'アイテム'!$A$3:$A$114,0), MATCH(C128,'アイテム'!$C$2:$AQ$2,0))</f>
        <v>15</v>
      </c>
      <c r="D144" s="328" t="str">
        <f t="array" ref="D144">INDEX('アイテム'!$AE$3:$AF$114, MATCH($A$1,'アイテム'!$A$3:$A$114,0), MATCH(D128,'アイテム'!$C$2:$AQ$2,0))</f>
        <v>30</v>
      </c>
      <c r="E144" s="2544"/>
      <c r="F144" s="2545"/>
      <c r="G144" s="2546"/>
      <c r="H144" s="228"/>
      <c r="I144" s="228"/>
      <c r="J144" s="228"/>
      <c r="K144" s="118"/>
      <c r="L144" s="118"/>
      <c r="M144" s="118"/>
      <c r="N144" s="102"/>
      <c r="O144" s="102"/>
      <c r="P144" s="102"/>
      <c r="Q144" s="102"/>
      <c r="R144" s="118"/>
      <c r="S144" s="118"/>
      <c r="T144" s="118"/>
      <c r="U144" s="118"/>
      <c r="V144" s="118"/>
    </row>
    <row r="145" outlineLevel="1">
      <c r="A145" s="146"/>
      <c r="B145" s="327" t="s">
        <v>233</v>
      </c>
      <c r="C145" s="328">
        <f t="array" ref="C145">INDEX('アイテム'!$AG$3:$AH$114, MATCH($A$1,'アイテム'!$A$3:$A$114,0), MATCH(C128,'アイテム'!$C$2:$AQ$2,0))</f>
        <v>11</v>
      </c>
      <c r="D145" s="328" t="str">
        <f t="array" ref="D145">INDEX('アイテム'!$AG$3:$AH$114, MATCH($A$1,'アイテム'!$A$3:$A$114,0), MATCH(D128,'アイテム'!$C$2:$AQ$2,0))</f>
        <v>22</v>
      </c>
      <c r="E145" s="2544"/>
      <c r="F145" s="2545"/>
      <c r="G145" s="2546"/>
      <c r="H145" s="228"/>
      <c r="I145" s="228"/>
      <c r="J145" s="228"/>
      <c r="K145" s="118"/>
      <c r="L145" s="118"/>
      <c r="M145" s="118"/>
      <c r="N145" s="102"/>
      <c r="O145" s="102"/>
      <c r="P145" s="102"/>
      <c r="Q145" s="102"/>
      <c r="R145" s="118"/>
      <c r="S145" s="118"/>
      <c r="T145" s="118"/>
      <c r="U145" s="118"/>
      <c r="V145" s="118"/>
    </row>
    <row r="146" outlineLevel="1">
      <c r="A146" s="156"/>
      <c r="B146" s="327" t="s">
        <v>234</v>
      </c>
      <c r="C146" s="328">
        <f t="array" ref="C146">INDEX('アイテム'!$AI$3:$AJ$114, MATCH($A$1,'アイテム'!$A$3:$A$114,0), MATCH(C128,'アイテム'!$C$2:$AQ$2,0))</f>
        <v>9</v>
      </c>
      <c r="D146" s="328" t="str">
        <f t="array" ref="D146">INDEX('アイテム'!$AI$3:$AJ$114, MATCH($A$1,'アイテム'!$A$3:$A$114,0), MATCH(D128,'アイテム'!$C$2:$AQ$2,0))</f>
        <v>22</v>
      </c>
      <c r="E146" s="2544"/>
      <c r="F146" s="2545"/>
      <c r="G146" s="2546"/>
      <c r="H146" s="228"/>
      <c r="I146" s="228"/>
      <c r="J146" s="228"/>
      <c r="K146" s="118"/>
      <c r="L146" s="118"/>
      <c r="M146" s="118"/>
      <c r="N146" s="102"/>
      <c r="O146" s="102"/>
      <c r="P146" s="102"/>
      <c r="Q146" s="102"/>
      <c r="R146" s="118"/>
      <c r="S146" s="118"/>
      <c r="T146" s="118"/>
      <c r="U146" s="118"/>
      <c r="V146" s="118"/>
    </row>
  </sheetData>
  <mergeCells count="131">
    <mergeCell ref="U31:U32"/>
    <mergeCell ref="U33:U34"/>
    <mergeCell ref="U38:U39"/>
    <mergeCell ref="U42:U43"/>
    <mergeCell ref="R46:V46"/>
    <mergeCell ref="R47:V48"/>
    <mergeCell ref="R49:V49"/>
    <mergeCell ref="U69:U71"/>
    <mergeCell ref="V69:V71"/>
    <mergeCell ref="R50:V50"/>
    <mergeCell ref="R51:V51"/>
    <mergeCell ref="R52:V54"/>
    <mergeCell ref="U60:U63"/>
    <mergeCell ref="V60:V63"/>
    <mergeCell ref="U65:U67"/>
    <mergeCell ref="V65:V67"/>
    <mergeCell ref="H60:J63"/>
    <mergeCell ref="H64:J64"/>
    <mergeCell ref="H65:J67"/>
    <mergeCell ref="H68:J68"/>
    <mergeCell ref="H69:J71"/>
    <mergeCell ref="G79:J79"/>
    <mergeCell ref="G80:J81"/>
    <mergeCell ref="K108:K111"/>
    <mergeCell ref="K112:L112"/>
    <mergeCell ref="K114:K117"/>
    <mergeCell ref="K118:L118"/>
    <mergeCell ref="K121:L121"/>
    <mergeCell ref="G82:J83"/>
    <mergeCell ref="G84:J85"/>
    <mergeCell ref="G86:J87"/>
    <mergeCell ref="K98:L98"/>
    <mergeCell ref="K99:K100"/>
    <mergeCell ref="K101:L101"/>
    <mergeCell ref="K102:K107"/>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2"/>
    <mergeCell ref="H33:J34"/>
    <mergeCell ref="A45:B46"/>
    <mergeCell ref="A47:A48"/>
    <mergeCell ref="D47:D48"/>
    <mergeCell ref="H35:J35"/>
    <mergeCell ref="H36:J36"/>
    <mergeCell ref="H37:J37"/>
    <mergeCell ref="H38:J39"/>
    <mergeCell ref="H40:J40"/>
    <mergeCell ref="H41:J41"/>
    <mergeCell ref="H42:J43"/>
    <mergeCell ref="I47:I48"/>
    <mergeCell ref="J47:J48"/>
    <mergeCell ref="I52:I54"/>
    <mergeCell ref="J52:J54"/>
    <mergeCell ref="H57:J57"/>
    <mergeCell ref="H58:J58"/>
    <mergeCell ref="H59:J59"/>
    <mergeCell ref="A86:A87"/>
    <mergeCell ref="A91:A93"/>
    <mergeCell ref="A94:A95"/>
    <mergeCell ref="A97:B98"/>
    <mergeCell ref="A99:A103"/>
    <mergeCell ref="A104:A106"/>
    <mergeCell ref="A107:A112"/>
    <mergeCell ref="A139:A142"/>
    <mergeCell ref="A143:A146"/>
    <mergeCell ref="A113:A118"/>
    <mergeCell ref="A119:A125"/>
    <mergeCell ref="A127:B127"/>
    <mergeCell ref="A128:B128"/>
    <mergeCell ref="A129:A130"/>
    <mergeCell ref="A132:B132"/>
    <mergeCell ref="A133:A138"/>
    <mergeCell ref="D38:D39"/>
    <mergeCell ref="D42:D43"/>
    <mergeCell ref="A24:B25"/>
    <mergeCell ref="A26:A30"/>
    <mergeCell ref="A31:A32"/>
    <mergeCell ref="A33:A34"/>
    <mergeCell ref="D33:D34"/>
    <mergeCell ref="A37:A39"/>
    <mergeCell ref="A42:A43"/>
    <mergeCell ref="A64:B64"/>
    <mergeCell ref="A68:B68"/>
    <mergeCell ref="D69:D71"/>
    <mergeCell ref="A73:B74"/>
    <mergeCell ref="A79:B79"/>
    <mergeCell ref="D80:D81"/>
    <mergeCell ref="D82:D83"/>
    <mergeCell ref="D84:D85"/>
    <mergeCell ref="D86:D87"/>
    <mergeCell ref="A89:B90"/>
    <mergeCell ref="A52:A54"/>
    <mergeCell ref="D52:D53"/>
    <mergeCell ref="A56:B56"/>
    <mergeCell ref="A57:B57"/>
    <mergeCell ref="A59:B59"/>
    <mergeCell ref="D60:D63"/>
    <mergeCell ref="D65:D67"/>
    <mergeCell ref="A60:A63"/>
    <mergeCell ref="A65:A67"/>
    <mergeCell ref="A69:A71"/>
    <mergeCell ref="A76:A78"/>
    <mergeCell ref="A80:A81"/>
    <mergeCell ref="A82:A83"/>
    <mergeCell ref="A84:A85"/>
    <mergeCell ref="C111:C112"/>
    <mergeCell ref="D111:D112"/>
    <mergeCell ref="C117:C118"/>
    <mergeCell ref="D117:D118"/>
    <mergeCell ref="C124:C125"/>
    <mergeCell ref="D124:D125"/>
  </mergeCells>
  <conditionalFormatting sqref="K1:K15 K17:K53 K55:K79 K81 K83 K84:K85 K87:K122">
    <cfRule type="containsText" dxfId="0" priority="1" operator="containsText" text="361">
      <formula>NOT(ISERROR(SEARCH(("361"),(K1))))</formula>
    </cfRule>
  </conditionalFormatting>
  <conditionalFormatting sqref="K1:K15 K17:K53 K55:K79 K81 K83 K84:K85 K87:K122">
    <cfRule type="containsText" dxfId="1" priority="2" operator="containsText" text="363">
      <formula>NOT(ISERROR(SEARCH(("363"),(K1))))</formula>
    </cfRule>
  </conditionalFormatting>
  <conditionalFormatting sqref="K1:K15 K17:K53 K55:K79 K81 K83 K84:K85 K87:K122">
    <cfRule type="containsText" dxfId="1" priority="3" operator="containsText" text="365">
      <formula>NOT(ISERROR(SEARCH(("365"),(K1))))</formula>
    </cfRule>
  </conditionalFormatting>
  <conditionalFormatting sqref="K1:K15 K17:K53 K55:K79 K81 K83 K84:K85 K87:K122">
    <cfRule type="containsText" dxfId="1" priority="4" operator="containsText" text="366">
      <formula>NOT(ISERROR(SEARCH(("366"),(K1))))</formula>
    </cfRule>
  </conditionalFormatting>
  <conditionalFormatting sqref="K1:K15 K17:K53 K55:K79 K81 K83 K84:K85 K87:K122">
    <cfRule type="containsText" dxfId="1" priority="5" operator="containsText" text="367">
      <formula>NOT(ISERROR(SEARCH(("367"),(K1))))</formula>
    </cfRule>
  </conditionalFormatting>
  <conditionalFormatting sqref="P81 P83:P85 P87">
    <cfRule type="cellIs" dxfId="2" priority="6" operator="equal">
      <formula>"敵のみ"</formula>
    </cfRule>
  </conditionalFormatting>
  <conditionalFormatting sqref="C81 C83:C85 C87">
    <cfRule type="cellIs" dxfId="3" priority="7" operator="equal">
      <formula>"-"</formula>
    </cfRule>
  </conditionalFormatting>
  <conditionalFormatting sqref="O1:O53 O55:O79 O81 O83:O85 O87:O146 P87">
    <cfRule type="cellIs" dxfId="4" priority="8" operator="greaterThan">
      <formula>0</formula>
    </cfRule>
  </conditionalFormatting>
  <conditionalFormatting sqref="P1:Q53 P55:Q79 P81:Q81 P83:Q85 P87:Q146">
    <cfRule type="cellIs" dxfId="5" priority="9" operator="lessThan">
      <formula>1</formula>
    </cfRule>
  </conditionalFormatting>
  <conditionalFormatting sqref="P1:Q53 P55:Q79 P81:Q81 P83:Q85 P87:Q146">
    <cfRule type="cellIs" dxfId="4" priority="10" operator="greaterThan">
      <formula>1</formula>
    </cfRule>
  </conditionalFormatting>
  <conditionalFormatting sqref="N25:N53 N55:N79 N81 N83:N85 N87">
    <cfRule type="cellIs" dxfId="6" priority="11" operator="greaterThan">
      <formula>0</formula>
    </cfRule>
  </conditionalFormatting>
  <conditionalFormatting sqref="N1:N15 N17:N53 N55:N79 N81 N83:N85 N87:N146">
    <cfRule type="containsText" dxfId="6" priority="12" operator="containsText" text="/">
      <formula>NOT(ISERROR(SEARCH(("/"),(N1))))</formula>
    </cfRule>
  </conditionalFormatting>
  <drawing r:id="rId2"/>
  <legacyDrawing r:id="rId3"/>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5709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2991" t="s">
        <v>5007</v>
      </c>
      <c r="B1" s="2992"/>
      <c r="C1" s="2993" t="str">
        <f>IMAGE(VLOOKUP($A$1,Fighters!A2:AI114,12,FALSE),1)</f>
        <v>#REF!</v>
      </c>
      <c r="D1" s="2994"/>
      <c r="E1" s="2994"/>
      <c r="F1" s="2994"/>
      <c r="G1" s="2995"/>
      <c r="H1" s="2996"/>
      <c r="I1" s="2994"/>
      <c r="J1" s="2995"/>
      <c r="K1" s="2997"/>
      <c r="L1" s="2994"/>
      <c r="M1" s="2995"/>
      <c r="N1" s="2998"/>
      <c r="O1" s="2998"/>
      <c r="P1" s="2998"/>
      <c r="Q1" s="2998"/>
      <c r="R1" s="2999"/>
      <c r="S1" s="2999"/>
      <c r="T1" s="2999"/>
      <c r="U1" s="2999"/>
      <c r="V1" s="2999"/>
    </row>
    <row r="2">
      <c r="A2" s="3000" t="str">
        <f>VLOOKUP($A$1,Fighters!$A$2:$AI$81,6,FALSE)</f>
        <v>#05709d</v>
      </c>
      <c r="B2" s="2992"/>
      <c r="C2" s="3001"/>
      <c r="G2" s="3002"/>
      <c r="H2" s="3003"/>
      <c r="I2" s="3004"/>
      <c r="J2" s="3005"/>
      <c r="K2" s="3003"/>
      <c r="L2" s="3004"/>
      <c r="M2" s="3005"/>
      <c r="N2" s="2998"/>
      <c r="O2" s="2998"/>
      <c r="P2" s="2998"/>
      <c r="Q2" s="2998"/>
      <c r="R2" s="2999"/>
      <c r="S2" s="2999"/>
      <c r="T2" s="2999"/>
      <c r="U2" s="2999"/>
      <c r="V2" s="2999"/>
    </row>
    <row r="3">
      <c r="A3" s="3000" t="str">
        <f>VLOOKUP($A$1,Fighters!$A$2:$AI$81,14,FALSE)</f>
        <v>66'. リヒター</v>
      </c>
      <c r="B3" s="2992"/>
      <c r="C3" s="3001"/>
      <c r="G3" s="3002"/>
      <c r="H3" s="3006"/>
      <c r="I3" s="3006"/>
      <c r="J3" s="3006"/>
      <c r="K3" s="3007"/>
      <c r="L3" s="3007"/>
      <c r="M3" s="3007"/>
      <c r="N3" s="2998"/>
      <c r="O3" s="2998"/>
      <c r="P3" s="2998"/>
      <c r="Q3" s="2998"/>
      <c r="R3" s="3008"/>
      <c r="S3" s="2999"/>
      <c r="T3" s="2999"/>
      <c r="U3" s="2999"/>
      <c r="V3" s="2999"/>
    </row>
    <row r="4">
      <c r="A4" s="3000" t="str">
        <f>VLOOKUP($A$1,Fighters!$A$2:$AI$81,13,FALSE)</f>
        <v>1</v>
      </c>
      <c r="B4" s="2992"/>
      <c r="C4" s="3001"/>
      <c r="G4" s="3002"/>
      <c r="H4" s="3009"/>
      <c r="I4" s="3009"/>
      <c r="J4" s="3006"/>
      <c r="K4" s="3007"/>
      <c r="L4" s="3007"/>
      <c r="M4" s="3007"/>
      <c r="N4" s="2998"/>
      <c r="O4" s="2998"/>
      <c r="P4" s="2998"/>
      <c r="Q4" s="2998"/>
      <c r="R4" s="3008"/>
      <c r="S4" s="2999"/>
      <c r="T4" s="2999"/>
      <c r="U4" s="2999"/>
      <c r="V4" s="2999"/>
    </row>
    <row r="5" ht="16.5" customHeight="1">
      <c r="A5" s="2991"/>
      <c r="B5" s="2992"/>
      <c r="C5" s="3001"/>
      <c r="G5" s="3002"/>
      <c r="H5" s="3010"/>
      <c r="I5" s="3010"/>
      <c r="J5" s="3011"/>
      <c r="K5" s="3012"/>
      <c r="L5" s="3013"/>
      <c r="M5" s="3013"/>
      <c r="N5" s="2998"/>
      <c r="O5" s="2998"/>
      <c r="P5" s="2998"/>
      <c r="Q5" s="2998"/>
      <c r="R5" s="3008"/>
      <c r="S5" s="2999"/>
      <c r="T5" s="2999"/>
      <c r="U5" s="2999"/>
      <c r="V5" s="2999"/>
    </row>
    <row r="6">
      <c r="A6" s="2992"/>
      <c r="B6" s="2992"/>
      <c r="C6" s="3001"/>
      <c r="G6" s="3002"/>
      <c r="H6" s="3009"/>
      <c r="I6" s="3014" t="s">
        <v>39</v>
      </c>
      <c r="J6" s="3012"/>
      <c r="K6" s="3015"/>
      <c r="L6" s="3013"/>
      <c r="M6" s="3013"/>
      <c r="N6" s="2998"/>
      <c r="O6" s="2998"/>
      <c r="P6" s="2998"/>
      <c r="Q6" s="2998"/>
      <c r="R6" s="3008"/>
      <c r="S6" s="2999"/>
      <c r="T6" s="2999"/>
      <c r="U6" s="2999"/>
      <c r="V6" s="2999"/>
    </row>
    <row r="7">
      <c r="A7" s="2992"/>
      <c r="B7" s="2992"/>
      <c r="C7" s="3001"/>
      <c r="G7" s="3002"/>
      <c r="H7" s="3010"/>
      <c r="I7" s="3010"/>
      <c r="J7" s="3012"/>
      <c r="K7" s="3015"/>
      <c r="L7" s="3013"/>
      <c r="M7" s="3013"/>
      <c r="N7" s="2998"/>
      <c r="O7" s="2998"/>
      <c r="P7" s="2998"/>
      <c r="Q7" s="2998"/>
      <c r="R7" s="3008"/>
      <c r="S7" s="2999"/>
      <c r="T7" s="2999"/>
      <c r="U7" s="2999"/>
      <c r="V7" s="2999"/>
    </row>
    <row r="8">
      <c r="A8" s="2992"/>
      <c r="B8" s="2992"/>
      <c r="C8" s="3001"/>
      <c r="G8" s="3002"/>
      <c r="H8" s="3016">
        <v>44489.76172386574</v>
      </c>
      <c r="I8" s="2994"/>
      <c r="J8" s="2995"/>
      <c r="K8" s="3012"/>
      <c r="L8" s="3013"/>
      <c r="M8" s="3013"/>
      <c r="N8" s="2998"/>
      <c r="O8" s="2998"/>
      <c r="P8" s="2998"/>
      <c r="Q8" s="2998"/>
      <c r="R8" s="3008"/>
      <c r="S8" s="2999"/>
      <c r="T8" s="2999"/>
      <c r="U8" s="2999"/>
      <c r="V8" s="2999"/>
    </row>
    <row r="9">
      <c r="A9" s="2992"/>
      <c r="B9" s="2992"/>
      <c r="C9" s="3001"/>
      <c r="G9" s="3002"/>
      <c r="H9" s="3003"/>
      <c r="I9" s="3004"/>
      <c r="J9" s="3005"/>
      <c r="K9" s="2999"/>
      <c r="L9" s="2998"/>
      <c r="M9" s="2998"/>
      <c r="N9" s="2998"/>
      <c r="O9" s="2998"/>
      <c r="P9" s="2998"/>
      <c r="Q9" s="2998"/>
      <c r="R9" s="3008"/>
      <c r="S9" s="2999"/>
      <c r="T9" s="2999"/>
      <c r="U9" s="2999"/>
      <c r="V9" s="2999"/>
    </row>
    <row r="10">
      <c r="A10" s="2992"/>
      <c r="B10" s="2992"/>
      <c r="C10" s="3001"/>
      <c r="G10" s="3002"/>
      <c r="H10" s="3017"/>
      <c r="I10" s="3017"/>
      <c r="J10" s="2999"/>
      <c r="K10" s="2999"/>
      <c r="L10" s="2998"/>
      <c r="M10" s="2998"/>
      <c r="N10" s="2998"/>
      <c r="O10" s="2998"/>
      <c r="P10" s="2998"/>
      <c r="Q10" s="2998"/>
      <c r="R10" s="3008"/>
      <c r="S10" s="2999"/>
      <c r="T10" s="2999"/>
      <c r="U10" s="2999"/>
      <c r="V10" s="2999"/>
    </row>
    <row r="11">
      <c r="A11" s="3018" t="s">
        <v>40</v>
      </c>
      <c r="B11" s="2995"/>
      <c r="C11" s="3001"/>
      <c r="G11" s="3002"/>
      <c r="H11" s="3010"/>
      <c r="I11" s="3010"/>
      <c r="J11" s="2999"/>
      <c r="K11" s="2999"/>
      <c r="L11" s="2998"/>
      <c r="M11" s="2998"/>
      <c r="N11" s="2998"/>
      <c r="O11" s="2998"/>
      <c r="P11" s="2998"/>
      <c r="Q11" s="2998"/>
      <c r="R11" s="3008"/>
      <c r="S11" s="2999"/>
      <c r="T11" s="2999"/>
      <c r="U11" s="2999"/>
      <c r="V11" s="2999"/>
    </row>
    <row r="12">
      <c r="A12" s="3003"/>
      <c r="B12" s="3005"/>
      <c r="C12" s="3003"/>
      <c r="D12" s="3004"/>
      <c r="E12" s="3004"/>
      <c r="F12" s="3004"/>
      <c r="G12" s="3005"/>
      <c r="H12" s="3019"/>
      <c r="I12" s="3019"/>
      <c r="J12" s="2992"/>
      <c r="K12" s="2992"/>
      <c r="L12" s="2998"/>
      <c r="M12" s="2998"/>
      <c r="N12" s="2998"/>
      <c r="O12" s="2998"/>
      <c r="P12" s="2998"/>
      <c r="Q12" s="2998"/>
      <c r="R12" s="3008"/>
      <c r="S12" s="2999"/>
      <c r="T12" s="2999"/>
      <c r="U12" s="2999"/>
      <c r="V12" s="299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107 [14th]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1.73 [78th]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0.76 [83rd]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51F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0.1398 [56th]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 [68th]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1.52 [73rd]</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0.085 [79th]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18 [10th]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0.94 [70th]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0.03 [87th]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 [67th]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1.85 [9th]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0.02 [5th]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2.96 [9th]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0.085 [57th]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150</v>
      </c>
      <c r="D26" s="701" t="s">
        <v>99</v>
      </c>
      <c r="E26" s="139" t="s">
        <v>176</v>
      </c>
      <c r="F26" s="138">
        <v>2.4</v>
      </c>
      <c r="G26" s="139" t="s">
        <v>60</v>
      </c>
      <c r="H26" s="151" t="s">
        <v>4946</v>
      </c>
      <c r="I26" s="110"/>
      <c r="J26" s="109"/>
      <c r="K26" s="138" t="s">
        <v>5008</v>
      </c>
      <c r="L26" s="138">
        <v>20.0</v>
      </c>
      <c r="M26" s="145" t="s">
        <v>5009</v>
      </c>
      <c r="N26" s="145">
        <v>0.0</v>
      </c>
      <c r="O26" s="145">
        <v>0.0</v>
      </c>
      <c r="P26" s="145"/>
      <c r="Q26" s="145"/>
      <c r="R26" s="100"/>
      <c r="S26" s="100"/>
      <c r="T26" s="100"/>
      <c r="U26" s="145" t="s">
        <v>62</v>
      </c>
      <c r="V26" s="100"/>
    </row>
    <row r="27" outlineLevel="1">
      <c r="A27" s="146"/>
      <c r="B27" s="147" t="s">
        <v>63</v>
      </c>
      <c r="C27" s="467" t="s">
        <v>71</v>
      </c>
      <c r="D27" s="467" t="s">
        <v>99</v>
      </c>
      <c r="E27" s="216" t="s">
        <v>176</v>
      </c>
      <c r="F27" s="138">
        <v>2.4</v>
      </c>
      <c r="G27" s="139" t="s">
        <v>60</v>
      </c>
      <c r="H27" s="151" t="s">
        <v>4947</v>
      </c>
      <c r="I27" s="110"/>
      <c r="J27" s="109"/>
      <c r="K27" s="138" t="s">
        <v>1427</v>
      </c>
      <c r="L27" s="138" t="s">
        <v>5010</v>
      </c>
      <c r="M27" s="145" t="s">
        <v>5011</v>
      </c>
      <c r="N27" s="145">
        <v>0.0</v>
      </c>
      <c r="O27" s="145">
        <v>0.0</v>
      </c>
      <c r="P27" s="145"/>
      <c r="Q27" s="145"/>
      <c r="R27" s="100"/>
      <c r="S27" s="100"/>
      <c r="T27" s="100"/>
      <c r="U27" s="145" t="s">
        <v>69</v>
      </c>
      <c r="V27" s="100"/>
    </row>
    <row r="28" outlineLevel="1">
      <c r="A28" s="146"/>
      <c r="B28" s="147" t="s">
        <v>703</v>
      </c>
      <c r="C28" s="659"/>
      <c r="D28" s="467" t="s">
        <v>86</v>
      </c>
      <c r="E28" s="659"/>
      <c r="F28" s="658"/>
      <c r="G28" s="659"/>
      <c r="H28" s="151"/>
      <c r="I28" s="110"/>
      <c r="J28" s="109"/>
      <c r="K28" s="261"/>
      <c r="L28" s="261"/>
      <c r="M28" s="261"/>
      <c r="N28" s="261"/>
      <c r="O28" s="261"/>
      <c r="P28" s="261"/>
      <c r="Q28" s="261"/>
      <c r="R28" s="100"/>
      <c r="S28" s="100"/>
      <c r="T28" s="100"/>
      <c r="U28" s="145" t="s">
        <v>76</v>
      </c>
      <c r="V28" s="100"/>
    </row>
    <row r="29" outlineLevel="1">
      <c r="A29" s="146"/>
      <c r="B29" s="147" t="s">
        <v>704</v>
      </c>
      <c r="C29" s="467" t="s">
        <v>4948</v>
      </c>
      <c r="D29" s="467" t="s">
        <v>296</v>
      </c>
      <c r="E29" s="467" t="s">
        <v>1098</v>
      </c>
      <c r="F29" s="138">
        <v>0.6</v>
      </c>
      <c r="G29" s="450" t="s">
        <v>147</v>
      </c>
      <c r="H29" s="151" t="s">
        <v>4949</v>
      </c>
      <c r="I29" s="110"/>
      <c r="J29" s="109"/>
      <c r="K29" s="138">
        <v>361.0</v>
      </c>
      <c r="L29" s="138">
        <v>10.0</v>
      </c>
      <c r="M29" s="145">
        <v>8.0</v>
      </c>
      <c r="N29" s="145">
        <v>0.0</v>
      </c>
      <c r="O29" s="145">
        <v>0.0</v>
      </c>
      <c r="P29" s="145"/>
      <c r="Q29" s="145"/>
      <c r="R29" s="100"/>
      <c r="S29" s="100"/>
      <c r="T29" s="100"/>
      <c r="U29" s="145" t="s">
        <v>76</v>
      </c>
      <c r="V29" s="100"/>
    </row>
    <row r="30" outlineLevel="1">
      <c r="A30" s="156"/>
      <c r="B30" s="147" t="s">
        <v>708</v>
      </c>
      <c r="C30" s="467" t="s">
        <v>71</v>
      </c>
      <c r="D30" s="467" t="s">
        <v>393</v>
      </c>
      <c r="E30" s="467" t="s">
        <v>535</v>
      </c>
      <c r="F30" s="138">
        <v>3.0</v>
      </c>
      <c r="G30" s="467" t="s">
        <v>147</v>
      </c>
      <c r="H30" s="151"/>
      <c r="I30" s="110"/>
      <c r="J30" s="109"/>
      <c r="K30" s="138">
        <v>55.0</v>
      </c>
      <c r="L30" s="138">
        <v>115.0</v>
      </c>
      <c r="M30" s="145">
        <v>0.0</v>
      </c>
      <c r="N30" s="145">
        <v>0.0</v>
      </c>
      <c r="O30" s="145">
        <v>0.0</v>
      </c>
      <c r="P30" s="145"/>
      <c r="Q30" s="145"/>
      <c r="R30" s="100"/>
      <c r="S30" s="100"/>
      <c r="T30" s="100"/>
      <c r="U30" s="145" t="s">
        <v>76</v>
      </c>
      <c r="V30" s="100"/>
    </row>
    <row r="31" outlineLevel="1">
      <c r="A31" s="133" t="s">
        <v>4950</v>
      </c>
      <c r="B31" s="147"/>
      <c r="C31" s="467" t="s">
        <v>4951</v>
      </c>
      <c r="D31" s="659"/>
      <c r="E31" s="467" t="s">
        <v>4952</v>
      </c>
      <c r="F31" s="138" t="s">
        <v>4953</v>
      </c>
      <c r="G31" s="139" t="s">
        <v>1448</v>
      </c>
      <c r="H31" s="163" t="s">
        <v>4954</v>
      </c>
      <c r="I31" s="164"/>
      <c r="J31" s="104"/>
      <c r="K31" s="138"/>
      <c r="L31" s="282"/>
      <c r="M31" s="363"/>
      <c r="N31" s="363"/>
      <c r="O31" s="145">
        <v>0.0</v>
      </c>
      <c r="P31" s="145"/>
      <c r="Q31" s="145"/>
      <c r="R31" s="100"/>
      <c r="S31" s="100"/>
      <c r="T31" s="100"/>
      <c r="U31" s="166" t="s">
        <v>62</v>
      </c>
      <c r="V31" s="100"/>
    </row>
    <row r="32" outlineLevel="1">
      <c r="A32" s="156"/>
      <c r="B32" s="147" t="s">
        <v>677</v>
      </c>
      <c r="C32" s="659"/>
      <c r="D32" s="467" t="s">
        <v>296</v>
      </c>
      <c r="E32" s="659"/>
      <c r="F32" s="659"/>
      <c r="G32" s="659"/>
      <c r="H32" s="106"/>
      <c r="I32" s="168"/>
      <c r="J32" s="107"/>
      <c r="K32" s="138"/>
      <c r="L32" s="282"/>
      <c r="M32" s="363"/>
      <c r="N32" s="363"/>
      <c r="O32" s="145"/>
      <c r="P32" s="145"/>
      <c r="Q32" s="145"/>
      <c r="R32" s="100"/>
      <c r="S32" s="100"/>
      <c r="T32" s="100"/>
      <c r="U32" s="156"/>
      <c r="V32" s="100"/>
    </row>
    <row r="33" outlineLevel="1">
      <c r="A33" s="133" t="s">
        <v>77</v>
      </c>
      <c r="B33" s="147" t="s">
        <v>167</v>
      </c>
      <c r="C33" s="467" t="s">
        <v>4955</v>
      </c>
      <c r="D33" s="455" t="s">
        <v>289</v>
      </c>
      <c r="E33" s="450" t="s">
        <v>176</v>
      </c>
      <c r="F33" s="138">
        <v>2.04</v>
      </c>
      <c r="G33" s="139" t="s">
        <v>60</v>
      </c>
      <c r="H33" s="163" t="s">
        <v>1167</v>
      </c>
      <c r="I33" s="164"/>
      <c r="J33" s="104"/>
      <c r="K33" s="138" t="s">
        <v>5012</v>
      </c>
      <c r="L33" s="138">
        <v>10.0</v>
      </c>
      <c r="M33" s="145" t="s">
        <v>5013</v>
      </c>
      <c r="N33" s="145">
        <v>0.0</v>
      </c>
      <c r="O33" s="145">
        <v>0.0</v>
      </c>
      <c r="P33" s="145"/>
      <c r="Q33" s="145"/>
      <c r="R33" s="100"/>
      <c r="S33" s="100"/>
      <c r="T33" s="100"/>
      <c r="U33" s="166" t="s">
        <v>69</v>
      </c>
      <c r="V33" s="100"/>
    </row>
    <row r="34" outlineLevel="1">
      <c r="A34" s="156"/>
      <c r="B34" s="147" t="s">
        <v>172</v>
      </c>
      <c r="C34" s="467" t="s">
        <v>610</v>
      </c>
      <c r="D34" s="107"/>
      <c r="E34" s="467" t="s">
        <v>651</v>
      </c>
      <c r="F34" s="138">
        <v>4.2</v>
      </c>
      <c r="G34" s="139" t="s">
        <v>147</v>
      </c>
      <c r="H34" s="106"/>
      <c r="I34" s="168"/>
      <c r="J34" s="107"/>
      <c r="K34" s="138"/>
      <c r="L34" s="138"/>
      <c r="M34" s="145"/>
      <c r="N34" s="145"/>
      <c r="O34" s="145"/>
      <c r="P34" s="145"/>
      <c r="Q34" s="145"/>
      <c r="R34" s="100"/>
      <c r="S34" s="100"/>
      <c r="T34" s="100"/>
      <c r="U34" s="156"/>
      <c r="V34" s="100"/>
    </row>
    <row r="35" outlineLevel="1">
      <c r="A35" s="170" t="s">
        <v>89</v>
      </c>
      <c r="B35" s="147"/>
      <c r="C35" s="467" t="s">
        <v>373</v>
      </c>
      <c r="D35" s="467" t="s">
        <v>164</v>
      </c>
      <c r="E35" s="467" t="s">
        <v>4956</v>
      </c>
      <c r="F35" s="138" t="s">
        <v>4957</v>
      </c>
      <c r="G35" s="139" t="s">
        <v>4958</v>
      </c>
      <c r="H35" s="151" t="s">
        <v>4959</v>
      </c>
      <c r="I35" s="110"/>
      <c r="J35" s="109"/>
      <c r="K35" s="138">
        <v>361.0</v>
      </c>
      <c r="L35" s="138">
        <v>65.0</v>
      </c>
      <c r="M35" s="145">
        <v>65.0</v>
      </c>
      <c r="N35" s="145">
        <v>0.0</v>
      </c>
      <c r="O35" s="145">
        <v>0.0</v>
      </c>
      <c r="P35" s="145"/>
      <c r="Q35" s="145"/>
      <c r="R35" s="100"/>
      <c r="S35" s="100"/>
      <c r="T35" s="100"/>
      <c r="U35" s="145" t="s">
        <v>96</v>
      </c>
      <c r="V35" s="100"/>
    </row>
    <row r="36" outlineLevel="1">
      <c r="A36" s="170" t="s">
        <v>97</v>
      </c>
      <c r="B36" s="160"/>
      <c r="C36" s="467" t="s">
        <v>4960</v>
      </c>
      <c r="D36" s="467" t="s">
        <v>79</v>
      </c>
      <c r="E36" s="467" t="s">
        <v>4961</v>
      </c>
      <c r="F36" s="138" t="s">
        <v>4962</v>
      </c>
      <c r="G36" s="139" t="s">
        <v>4963</v>
      </c>
      <c r="H36" s="151" t="s">
        <v>1167</v>
      </c>
      <c r="I36" s="110"/>
      <c r="J36" s="109"/>
      <c r="K36" s="138">
        <v>93.0</v>
      </c>
      <c r="L36" s="138" t="s">
        <v>5014</v>
      </c>
      <c r="M36" s="145">
        <v>60.0</v>
      </c>
      <c r="N36" s="145">
        <v>0.0</v>
      </c>
      <c r="O36" s="145">
        <v>0.0</v>
      </c>
      <c r="P36" s="145"/>
      <c r="Q36" s="145"/>
      <c r="R36" s="100"/>
      <c r="S36" s="100"/>
      <c r="T36" s="100"/>
      <c r="U36" s="145" t="s">
        <v>62</v>
      </c>
      <c r="V36" s="100"/>
    </row>
    <row r="37" outlineLevel="1">
      <c r="A37" s="133" t="s">
        <v>103</v>
      </c>
      <c r="B37" s="147" t="s">
        <v>4964</v>
      </c>
      <c r="C37" s="467" t="s">
        <v>831</v>
      </c>
      <c r="D37" s="113" t="s">
        <v>393</v>
      </c>
      <c r="E37" s="467" t="s">
        <v>150</v>
      </c>
      <c r="F37" s="138">
        <v>6.0</v>
      </c>
      <c r="G37" s="139" t="s">
        <v>102</v>
      </c>
      <c r="H37" s="151" t="s">
        <v>4965</v>
      </c>
      <c r="I37" s="110"/>
      <c r="J37" s="109"/>
      <c r="K37" s="145">
        <v>40.0</v>
      </c>
      <c r="L37" s="145">
        <v>20.0</v>
      </c>
      <c r="M37" s="145" t="s">
        <v>5015</v>
      </c>
      <c r="N37" s="145">
        <v>0.0</v>
      </c>
      <c r="O37" s="145">
        <v>0.0</v>
      </c>
      <c r="P37" s="145"/>
      <c r="Q37" s="145"/>
      <c r="R37" s="100"/>
      <c r="S37" s="100"/>
      <c r="T37" s="100"/>
      <c r="U37" s="145" t="s">
        <v>69</v>
      </c>
      <c r="V37" s="100"/>
    </row>
    <row r="38" ht="26.25" customHeight="1" outlineLevel="1">
      <c r="A38" s="146"/>
      <c r="B38" s="147" t="s">
        <v>4966</v>
      </c>
      <c r="C38" s="467" t="s">
        <v>742</v>
      </c>
      <c r="D38" s="279" t="s">
        <v>4967</v>
      </c>
      <c r="E38" s="467" t="s">
        <v>93</v>
      </c>
      <c r="F38" s="138">
        <v>8.4</v>
      </c>
      <c r="G38" s="139" t="s">
        <v>95</v>
      </c>
      <c r="H38" s="163" t="s">
        <v>4968</v>
      </c>
      <c r="I38" s="164"/>
      <c r="J38" s="104"/>
      <c r="K38" s="145">
        <v>361.0</v>
      </c>
      <c r="L38" s="145">
        <v>55.0</v>
      </c>
      <c r="M38" s="145">
        <v>90.0</v>
      </c>
      <c r="N38" s="145">
        <v>0.0</v>
      </c>
      <c r="O38" s="145">
        <v>0.0</v>
      </c>
      <c r="P38" s="145"/>
      <c r="Q38" s="145"/>
      <c r="R38" s="100"/>
      <c r="S38" s="100"/>
      <c r="T38" s="100"/>
      <c r="U38" s="2398" t="s">
        <v>76</v>
      </c>
      <c r="V38" s="100"/>
    </row>
    <row r="39" ht="26.25" customHeight="1" outlineLevel="1">
      <c r="A39" s="156"/>
      <c r="B39" s="147" t="s">
        <v>4969</v>
      </c>
      <c r="C39" s="467" t="s">
        <v>4970</v>
      </c>
      <c r="D39" s="156"/>
      <c r="E39" s="467" t="s">
        <v>651</v>
      </c>
      <c r="F39" s="138">
        <v>4.2</v>
      </c>
      <c r="G39" s="139" t="s">
        <v>147</v>
      </c>
      <c r="H39" s="106"/>
      <c r="I39" s="168"/>
      <c r="J39" s="107"/>
      <c r="K39" s="145">
        <v>50.0</v>
      </c>
      <c r="L39" s="145">
        <v>40.0</v>
      </c>
      <c r="M39" s="145">
        <v>60.0</v>
      </c>
      <c r="N39" s="145">
        <v>0.0</v>
      </c>
      <c r="O39" s="145">
        <v>0.0</v>
      </c>
      <c r="P39" s="145"/>
      <c r="Q39" s="145"/>
      <c r="R39" s="100"/>
      <c r="S39" s="100"/>
      <c r="T39" s="100"/>
      <c r="U39" s="156"/>
      <c r="V39" s="100"/>
    </row>
    <row r="40" outlineLevel="1">
      <c r="A40" s="170" t="s">
        <v>109</v>
      </c>
      <c r="B40" s="147" t="s">
        <v>90</v>
      </c>
      <c r="C40" s="467" t="s">
        <v>443</v>
      </c>
      <c r="D40" s="467" t="s">
        <v>335</v>
      </c>
      <c r="E40" s="467" t="s">
        <v>4971</v>
      </c>
      <c r="F40" s="138" t="s">
        <v>4972</v>
      </c>
      <c r="G40" s="139" t="s">
        <v>1673</v>
      </c>
      <c r="H40" s="151" t="s">
        <v>4973</v>
      </c>
      <c r="I40" s="110"/>
      <c r="J40" s="109"/>
      <c r="K40" s="138">
        <v>361.0</v>
      </c>
      <c r="L40" s="138" t="s">
        <v>5016</v>
      </c>
      <c r="M40" s="145">
        <v>60.0</v>
      </c>
      <c r="N40" s="145">
        <v>0.0</v>
      </c>
      <c r="O40" s="145">
        <v>0.0</v>
      </c>
      <c r="P40" s="145"/>
      <c r="Q40" s="145"/>
      <c r="R40" s="100"/>
      <c r="S40" s="100"/>
      <c r="T40" s="100"/>
      <c r="U40" s="145" t="s">
        <v>95</v>
      </c>
      <c r="V40" s="100"/>
    </row>
    <row r="41" outlineLevel="1">
      <c r="A41" s="170" t="s">
        <v>116</v>
      </c>
      <c r="B41" s="160"/>
      <c r="C41" s="450" t="s">
        <v>1137</v>
      </c>
      <c r="D41" s="450" t="s">
        <v>892</v>
      </c>
      <c r="E41" s="467" t="s">
        <v>4151</v>
      </c>
      <c r="F41" s="138" t="s">
        <v>4152</v>
      </c>
      <c r="G41" s="139" t="s">
        <v>1302</v>
      </c>
      <c r="H41" s="151" t="s">
        <v>4974</v>
      </c>
      <c r="I41" s="110"/>
      <c r="J41" s="109"/>
      <c r="K41" s="145">
        <v>90.0</v>
      </c>
      <c r="L41" s="145" t="s">
        <v>5017</v>
      </c>
      <c r="M41" s="145" t="s">
        <v>5018</v>
      </c>
      <c r="N41" s="145">
        <v>0.0</v>
      </c>
      <c r="O41" s="145">
        <v>0.0</v>
      </c>
      <c r="P41" s="145"/>
      <c r="Q41" s="145"/>
      <c r="R41" s="100"/>
      <c r="S41" s="100"/>
      <c r="T41" s="100"/>
      <c r="U41" s="145" t="s">
        <v>147</v>
      </c>
      <c r="V41" s="100"/>
    </row>
    <row r="42" outlineLevel="1">
      <c r="A42" s="133" t="s">
        <v>124</v>
      </c>
      <c r="B42" s="147" t="s">
        <v>125</v>
      </c>
      <c r="C42" s="467" t="s">
        <v>295</v>
      </c>
      <c r="D42" s="455" t="s">
        <v>300</v>
      </c>
      <c r="E42" s="467" t="s">
        <v>4975</v>
      </c>
      <c r="F42" s="138" t="s">
        <v>4976</v>
      </c>
      <c r="G42" s="139" t="s">
        <v>3791</v>
      </c>
      <c r="H42" s="163" t="s">
        <v>4974</v>
      </c>
      <c r="I42" s="164"/>
      <c r="J42" s="104"/>
      <c r="K42" s="138">
        <v>47.0</v>
      </c>
      <c r="L42" s="138">
        <v>88.0</v>
      </c>
      <c r="M42" s="145">
        <v>65.0</v>
      </c>
      <c r="N42" s="145">
        <v>0.0</v>
      </c>
      <c r="O42" s="145">
        <v>0.0</v>
      </c>
      <c r="P42" s="145"/>
      <c r="Q42" s="145"/>
      <c r="R42" s="100"/>
      <c r="S42" s="100"/>
      <c r="T42" s="100"/>
      <c r="U42" s="166" t="s">
        <v>62</v>
      </c>
      <c r="V42" s="100"/>
    </row>
    <row r="43" outlineLevel="1">
      <c r="A43" s="156"/>
      <c r="B43" s="147" t="s">
        <v>131</v>
      </c>
      <c r="C43" s="467" t="s">
        <v>351</v>
      </c>
      <c r="D43" s="107"/>
      <c r="E43" s="467" t="s">
        <v>4975</v>
      </c>
      <c r="F43" s="138" t="s">
        <v>4976</v>
      </c>
      <c r="G43" s="139" t="s">
        <v>3791</v>
      </c>
      <c r="H43" s="106"/>
      <c r="I43" s="168"/>
      <c r="J43" s="107"/>
      <c r="K43" s="138">
        <v>48.0</v>
      </c>
      <c r="L43" s="138">
        <v>82.0</v>
      </c>
      <c r="M43" s="145">
        <v>65.0</v>
      </c>
      <c r="N43" s="145">
        <v>0.0</v>
      </c>
      <c r="O43" s="145">
        <v>0.0</v>
      </c>
      <c r="P43" s="145"/>
      <c r="Q43" s="145"/>
      <c r="R43" s="100"/>
      <c r="S43" s="100"/>
      <c r="T43" s="100"/>
      <c r="U43" s="156"/>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
        <v>133</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
        <v>48</v>
      </c>
      <c r="D46" s="183" t="s">
        <v>49</v>
      </c>
      <c r="E46" s="182" t="s">
        <v>50</v>
      </c>
      <c r="F46" s="184" t="s">
        <v>51</v>
      </c>
      <c r="G46" s="184" t="s">
        <v>134</v>
      </c>
      <c r="H46" s="185" t="s">
        <v>52</v>
      </c>
      <c r="I46" s="184" t="s">
        <v>135</v>
      </c>
      <c r="J46" s="184" t="s">
        <v>136</v>
      </c>
      <c r="K46" s="184" t="s">
        <v>137</v>
      </c>
      <c r="L46" s="184" t="s">
        <v>138</v>
      </c>
      <c r="M46" s="184" t="s">
        <v>139</v>
      </c>
      <c r="N46" s="184" t="s">
        <v>140</v>
      </c>
      <c r="O46" s="186" t="s">
        <v>141</v>
      </c>
      <c r="P46" s="184" t="s">
        <v>142</v>
      </c>
      <c r="Q46" s="186" t="s">
        <v>143</v>
      </c>
      <c r="R46" s="187" t="s">
        <v>53</v>
      </c>
      <c r="S46" s="110"/>
      <c r="T46" s="110"/>
      <c r="U46" s="110"/>
      <c r="V46" s="110"/>
    </row>
    <row r="47" outlineLevel="1">
      <c r="A47" s="188" t="s">
        <v>144</v>
      </c>
      <c r="B47" s="373" t="s">
        <v>655</v>
      </c>
      <c r="C47" s="239" t="s">
        <v>4977</v>
      </c>
      <c r="D47" s="455" t="s">
        <v>221</v>
      </c>
      <c r="E47" s="401" t="s">
        <v>213</v>
      </c>
      <c r="F47" s="193">
        <v>1.2</v>
      </c>
      <c r="G47" s="193">
        <v>1.02</v>
      </c>
      <c r="H47" s="138" t="s">
        <v>170</v>
      </c>
      <c r="I47" s="452" t="s">
        <v>119</v>
      </c>
      <c r="J47" s="455" t="s">
        <v>2283</v>
      </c>
      <c r="K47" s="138" t="s">
        <v>5019</v>
      </c>
      <c r="L47" s="138">
        <v>10.0</v>
      </c>
      <c r="M47" s="145" t="s">
        <v>5020</v>
      </c>
      <c r="N47" s="145">
        <v>0.0</v>
      </c>
      <c r="O47" s="145">
        <v>0.0</v>
      </c>
      <c r="P47" s="145"/>
      <c r="Q47" s="145"/>
      <c r="R47" s="163" t="s">
        <v>4978</v>
      </c>
      <c r="S47" s="164"/>
      <c r="T47" s="164"/>
      <c r="U47" s="164"/>
      <c r="V47" s="104"/>
    </row>
    <row r="48" outlineLevel="1">
      <c r="A48" s="156"/>
      <c r="B48" s="373" t="s">
        <v>365</v>
      </c>
      <c r="C48" s="239" t="s">
        <v>522</v>
      </c>
      <c r="D48" s="107"/>
      <c r="E48" s="239" t="s">
        <v>73</v>
      </c>
      <c r="F48" s="138">
        <v>4.8</v>
      </c>
      <c r="G48" s="138">
        <v>4.08</v>
      </c>
      <c r="H48" s="138" t="s">
        <v>60</v>
      </c>
      <c r="I48" s="107"/>
      <c r="J48" s="107"/>
      <c r="K48" s="138"/>
      <c r="L48" s="282"/>
      <c r="M48" s="363"/>
      <c r="N48" s="145"/>
      <c r="O48" s="145">
        <v>0.0</v>
      </c>
      <c r="P48" s="145"/>
      <c r="Q48" s="145"/>
      <c r="R48" s="106"/>
      <c r="S48" s="168"/>
      <c r="T48" s="168"/>
      <c r="U48" s="168"/>
      <c r="V48" s="107"/>
    </row>
    <row r="49" outlineLevel="1">
      <c r="A49" s="213" t="s">
        <v>151</v>
      </c>
      <c r="B49" s="373" t="s">
        <v>90</v>
      </c>
      <c r="C49" s="239" t="s">
        <v>119</v>
      </c>
      <c r="D49" s="467" t="s">
        <v>118</v>
      </c>
      <c r="E49" s="239" t="s">
        <v>4956</v>
      </c>
      <c r="F49" s="138" t="s">
        <v>4957</v>
      </c>
      <c r="G49" s="138" t="s">
        <v>5021</v>
      </c>
      <c r="H49" s="138" t="s">
        <v>4979</v>
      </c>
      <c r="I49" s="774" t="s">
        <v>128</v>
      </c>
      <c r="J49" s="467" t="s">
        <v>459</v>
      </c>
      <c r="K49" s="138">
        <v>361.0</v>
      </c>
      <c r="L49" s="138">
        <v>55.0</v>
      </c>
      <c r="M49" s="145">
        <v>80.0</v>
      </c>
      <c r="N49" s="145">
        <v>0.0</v>
      </c>
      <c r="O49" s="145">
        <v>0.0</v>
      </c>
      <c r="P49" s="145"/>
      <c r="Q49" s="145"/>
      <c r="R49" s="151" t="s">
        <v>4980</v>
      </c>
      <c r="S49" s="110"/>
      <c r="T49" s="110"/>
      <c r="U49" s="110"/>
      <c r="V49" s="109"/>
    </row>
    <row r="50" outlineLevel="1">
      <c r="A50" s="213" t="s">
        <v>157</v>
      </c>
      <c r="B50" s="373" t="s">
        <v>90</v>
      </c>
      <c r="C50" s="239" t="s">
        <v>295</v>
      </c>
      <c r="D50" s="467" t="s">
        <v>118</v>
      </c>
      <c r="E50" s="239" t="s">
        <v>4956</v>
      </c>
      <c r="F50" s="138" t="s">
        <v>4957</v>
      </c>
      <c r="G50" s="138" t="s">
        <v>5021</v>
      </c>
      <c r="H50" s="138" t="s">
        <v>4979</v>
      </c>
      <c r="I50" s="774">
        <v>10.0</v>
      </c>
      <c r="J50" s="467" t="s">
        <v>2699</v>
      </c>
      <c r="K50" s="138">
        <v>361.0</v>
      </c>
      <c r="L50" s="138">
        <v>70.0</v>
      </c>
      <c r="M50" s="145">
        <v>70.0</v>
      </c>
      <c r="N50" s="145">
        <v>0.0</v>
      </c>
      <c r="O50" s="145">
        <v>0.0</v>
      </c>
      <c r="P50" s="145"/>
      <c r="Q50" s="145"/>
      <c r="R50" s="151" t="s">
        <v>4980</v>
      </c>
      <c r="S50" s="110"/>
      <c r="T50" s="110"/>
      <c r="U50" s="110"/>
      <c r="V50" s="109"/>
    </row>
    <row r="51" outlineLevel="1">
      <c r="A51" s="213" t="s">
        <v>162</v>
      </c>
      <c r="B51" s="373"/>
      <c r="C51" s="239" t="s">
        <v>325</v>
      </c>
      <c r="D51" s="467" t="s">
        <v>118</v>
      </c>
      <c r="E51" s="239" t="s">
        <v>4956</v>
      </c>
      <c r="F51" s="138" t="s">
        <v>4957</v>
      </c>
      <c r="G51" s="138" t="s">
        <v>5021</v>
      </c>
      <c r="H51" s="138" t="s">
        <v>4979</v>
      </c>
      <c r="I51" s="774" t="s">
        <v>128</v>
      </c>
      <c r="J51" s="467" t="s">
        <v>4981</v>
      </c>
      <c r="K51" s="138">
        <v>90.0</v>
      </c>
      <c r="L51" s="138">
        <v>75.0</v>
      </c>
      <c r="M51" s="145">
        <v>60.0</v>
      </c>
      <c r="N51" s="145">
        <v>0.0</v>
      </c>
      <c r="O51" s="145">
        <v>0.0</v>
      </c>
      <c r="P51" s="145"/>
      <c r="Q51" s="145"/>
      <c r="R51" s="151" t="s">
        <v>4980</v>
      </c>
      <c r="S51" s="110"/>
      <c r="T51" s="110"/>
      <c r="U51" s="110"/>
      <c r="V51" s="109"/>
    </row>
    <row r="52" outlineLevel="1">
      <c r="A52" s="188" t="s">
        <v>166</v>
      </c>
      <c r="B52" s="373"/>
      <c r="C52" s="239" t="s">
        <v>305</v>
      </c>
      <c r="D52" s="367" t="s">
        <v>541</v>
      </c>
      <c r="E52" s="239" t="s">
        <v>129</v>
      </c>
      <c r="F52" s="138">
        <v>14.399999999999999</v>
      </c>
      <c r="G52" s="138">
        <v>12.24</v>
      </c>
      <c r="H52" s="138" t="s">
        <v>75</v>
      </c>
      <c r="I52" s="452">
        <v>26.0</v>
      </c>
      <c r="J52" s="455" t="s">
        <v>4982</v>
      </c>
      <c r="K52" s="138">
        <v>280.0</v>
      </c>
      <c r="L52" s="138">
        <v>85.0</v>
      </c>
      <c r="M52" s="145">
        <v>35.0</v>
      </c>
      <c r="N52" s="145">
        <v>0.0</v>
      </c>
      <c r="O52" s="145">
        <v>0.0</v>
      </c>
      <c r="P52" s="145"/>
      <c r="Q52" s="145"/>
      <c r="R52" s="163"/>
      <c r="S52" s="164"/>
      <c r="T52" s="164"/>
      <c r="U52" s="164"/>
      <c r="V52" s="104"/>
    </row>
    <row r="53" outlineLevel="1">
      <c r="A53" s="146"/>
      <c r="B53" s="373" t="s">
        <v>84</v>
      </c>
      <c r="C53" s="239" t="s">
        <v>4983</v>
      </c>
      <c r="D53" s="156"/>
      <c r="E53" s="239" t="s">
        <v>93</v>
      </c>
      <c r="F53" s="138">
        <v>8.4</v>
      </c>
      <c r="G53" s="138">
        <v>7.140000000000001</v>
      </c>
      <c r="H53" s="138" t="s">
        <v>60</v>
      </c>
      <c r="I53" s="210"/>
      <c r="J53" s="210"/>
      <c r="K53" s="138">
        <v>72.0</v>
      </c>
      <c r="L53" s="138">
        <v>55.0</v>
      </c>
      <c r="M53" s="145">
        <v>88.0</v>
      </c>
      <c r="N53" s="145">
        <v>0.0</v>
      </c>
      <c r="O53" s="145">
        <v>0.0</v>
      </c>
      <c r="P53" s="145"/>
      <c r="Q53" s="145"/>
      <c r="R53" s="212"/>
      <c r="V53" s="210"/>
    </row>
    <row r="54" outlineLevel="1">
      <c r="A54" s="156"/>
      <c r="B54" s="373" t="s">
        <v>470</v>
      </c>
      <c r="C54" s="281"/>
      <c r="D54" s="239" t="s">
        <v>876</v>
      </c>
      <c r="E54" s="281"/>
      <c r="F54" s="281"/>
      <c r="G54" s="281"/>
      <c r="H54" s="281"/>
      <c r="I54" s="107"/>
      <c r="J54" s="107"/>
      <c r="K54" s="281"/>
      <c r="L54" s="281"/>
      <c r="M54" s="281"/>
      <c r="N54" s="281"/>
      <c r="O54" s="281"/>
      <c r="P54" s="281"/>
      <c r="Q54" s="281"/>
      <c r="R54" s="106"/>
      <c r="S54" s="168"/>
      <c r="T54" s="168"/>
      <c r="U54" s="168"/>
      <c r="V54" s="107"/>
    </row>
    <row r="55">
      <c r="A55" s="223"/>
      <c r="B55" s="224"/>
      <c r="C55" s="225"/>
      <c r="D55" s="225"/>
      <c r="E55" s="226"/>
      <c r="F55" s="226"/>
      <c r="G55" s="226"/>
      <c r="H55" s="227"/>
      <c r="I55" s="227"/>
      <c r="J55" s="228"/>
      <c r="K55" s="228"/>
      <c r="L55" s="228"/>
      <c r="M55" s="228"/>
      <c r="N55" s="228"/>
      <c r="O55" s="228"/>
      <c r="P55" s="228"/>
      <c r="Q55" s="118"/>
      <c r="R55" s="118"/>
      <c r="S55" s="118"/>
      <c r="T55" s="118"/>
      <c r="U55" s="118"/>
      <c r="V55" s="118"/>
    </row>
    <row r="56">
      <c r="A56" s="229" t="s">
        <v>177</v>
      </c>
      <c r="B56" s="109"/>
      <c r="C56" s="225"/>
      <c r="D56" s="225"/>
      <c r="E56" s="226"/>
      <c r="F56" s="226"/>
      <c r="G56" s="226"/>
      <c r="H56" s="227"/>
      <c r="I56" s="227"/>
      <c r="J56" s="228"/>
      <c r="K56" s="228"/>
      <c r="L56" s="228"/>
      <c r="M56" s="228"/>
      <c r="N56" s="228"/>
      <c r="O56" s="228"/>
      <c r="P56" s="228"/>
      <c r="Q56" s="118"/>
      <c r="R56" s="118"/>
      <c r="S56" s="118"/>
      <c r="T56" s="118"/>
      <c r="U56" s="118"/>
      <c r="V56" s="118"/>
    </row>
    <row r="57" outlineLevel="1">
      <c r="A57" s="230" t="s">
        <v>4984</v>
      </c>
      <c r="B57" s="109"/>
      <c r="C57" s="231" t="s">
        <v>48</v>
      </c>
      <c r="D57" s="231" t="s">
        <v>49</v>
      </c>
      <c r="E57" s="232" t="s">
        <v>50</v>
      </c>
      <c r="F57" s="233" t="s">
        <v>51</v>
      </c>
      <c r="G57" s="232" t="s">
        <v>52</v>
      </c>
      <c r="H57" s="382" t="s">
        <v>53</v>
      </c>
      <c r="I57" s="110"/>
      <c r="J57" s="109"/>
      <c r="K57" s="235" t="s">
        <v>137</v>
      </c>
      <c r="L57" s="235" t="s">
        <v>138</v>
      </c>
      <c r="M57" s="235" t="s">
        <v>139</v>
      </c>
      <c r="N57" s="235" t="s">
        <v>140</v>
      </c>
      <c r="O57" s="236" t="s">
        <v>141</v>
      </c>
      <c r="P57" s="235" t="s">
        <v>142</v>
      </c>
      <c r="Q57" s="236" t="s">
        <v>143</v>
      </c>
      <c r="R57" s="235" t="s">
        <v>179</v>
      </c>
      <c r="S57" s="236" t="s">
        <v>180</v>
      </c>
      <c r="T57" s="236" t="s">
        <v>181</v>
      </c>
      <c r="U57" s="236" t="s">
        <v>182</v>
      </c>
      <c r="V57" s="236" t="s">
        <v>183</v>
      </c>
    </row>
    <row r="58" outlineLevel="1">
      <c r="A58" s="237" t="s">
        <v>184</v>
      </c>
      <c r="B58" s="243"/>
      <c r="C58" s="239" t="s">
        <v>4985</v>
      </c>
      <c r="D58" s="467" t="s">
        <v>1577</v>
      </c>
      <c r="E58" s="239" t="s">
        <v>386</v>
      </c>
      <c r="F58" s="138">
        <v>18.0</v>
      </c>
      <c r="G58" s="365" t="s">
        <v>1187</v>
      </c>
      <c r="H58" s="151" t="s">
        <v>4986</v>
      </c>
      <c r="I58" s="110"/>
      <c r="J58" s="109"/>
      <c r="K58" s="138">
        <v>75.0</v>
      </c>
      <c r="L58" s="138">
        <v>75.0</v>
      </c>
      <c r="M58" s="145">
        <v>50.0</v>
      </c>
      <c r="N58" s="145">
        <v>0.0</v>
      </c>
      <c r="O58" s="138">
        <v>8.0</v>
      </c>
      <c r="P58" s="138"/>
      <c r="Q58" s="138"/>
      <c r="R58" s="145" t="b">
        <v>1</v>
      </c>
      <c r="S58" s="145" t="b">
        <v>0</v>
      </c>
      <c r="T58" s="145" t="b">
        <v>1</v>
      </c>
      <c r="U58" s="145" t="s">
        <v>186</v>
      </c>
      <c r="V58" s="145" t="b">
        <v>1</v>
      </c>
    </row>
    <row r="59" outlineLevel="1">
      <c r="A59" s="230" t="s">
        <v>4987</v>
      </c>
      <c r="B59" s="109"/>
      <c r="C59" s="231" t="s">
        <v>48</v>
      </c>
      <c r="D59" s="231" t="s">
        <v>49</v>
      </c>
      <c r="E59" s="232" t="s">
        <v>50</v>
      </c>
      <c r="F59" s="233" t="s">
        <v>51</v>
      </c>
      <c r="G59" s="232" t="s">
        <v>52</v>
      </c>
      <c r="H59" s="382" t="s">
        <v>53</v>
      </c>
      <c r="I59" s="110"/>
      <c r="J59" s="109"/>
      <c r="K59" s="235" t="s">
        <v>137</v>
      </c>
      <c r="L59" s="235" t="s">
        <v>138</v>
      </c>
      <c r="M59" s="235" t="s">
        <v>139</v>
      </c>
      <c r="N59" s="235" t="s">
        <v>140</v>
      </c>
      <c r="O59" s="236" t="s">
        <v>141</v>
      </c>
      <c r="P59" s="235" t="s">
        <v>142</v>
      </c>
      <c r="Q59" s="236" t="s">
        <v>143</v>
      </c>
      <c r="R59" s="235" t="s">
        <v>179</v>
      </c>
      <c r="S59" s="236" t="s">
        <v>180</v>
      </c>
      <c r="T59" s="236" t="s">
        <v>181</v>
      </c>
      <c r="U59" s="236" t="s">
        <v>182</v>
      </c>
      <c r="V59" s="236" t="s">
        <v>183</v>
      </c>
    </row>
    <row r="60" outlineLevel="1">
      <c r="A60" s="237" t="s">
        <v>184</v>
      </c>
      <c r="B60" s="243" t="s">
        <v>4988</v>
      </c>
      <c r="C60" s="239" t="s">
        <v>482</v>
      </c>
      <c r="D60" s="455" t="s">
        <v>393</v>
      </c>
      <c r="E60" s="239" t="s">
        <v>86</v>
      </c>
      <c r="F60" s="138">
        <v>7.199999999999999</v>
      </c>
      <c r="G60" s="239" t="s">
        <v>60</v>
      </c>
      <c r="H60" s="163" t="s">
        <v>4989</v>
      </c>
      <c r="I60" s="164"/>
      <c r="J60" s="104"/>
      <c r="K60" s="138">
        <v>65.0</v>
      </c>
      <c r="L60" s="138">
        <v>60.0</v>
      </c>
      <c r="M60" s="145">
        <v>75.0</v>
      </c>
      <c r="N60" s="145">
        <v>0.0</v>
      </c>
      <c r="O60" s="138">
        <v>0.0</v>
      </c>
      <c r="P60" s="138"/>
      <c r="Q60" s="138"/>
      <c r="R60" s="145" t="b">
        <v>1</v>
      </c>
      <c r="S60" s="145" t="b">
        <v>0</v>
      </c>
      <c r="T60" s="145" t="b">
        <v>1</v>
      </c>
      <c r="U60" s="166" t="s">
        <v>186</v>
      </c>
      <c r="V60" s="166" t="b">
        <v>1</v>
      </c>
    </row>
    <row r="61" outlineLevel="1">
      <c r="A61" s="146"/>
      <c r="B61" s="243" t="s">
        <v>4990</v>
      </c>
      <c r="C61" s="239" t="s">
        <v>4991</v>
      </c>
      <c r="D61" s="210"/>
      <c r="E61" s="239" t="s">
        <v>150</v>
      </c>
      <c r="F61" s="138">
        <v>6.0</v>
      </c>
      <c r="G61" s="239" t="s">
        <v>60</v>
      </c>
      <c r="H61" s="212"/>
      <c r="J61" s="210"/>
      <c r="K61" s="138">
        <v>75.0</v>
      </c>
      <c r="L61" s="138">
        <v>95.0</v>
      </c>
      <c r="M61" s="145">
        <v>55.0</v>
      </c>
      <c r="N61" s="145">
        <v>0.0</v>
      </c>
      <c r="O61" s="138">
        <v>0.0</v>
      </c>
      <c r="P61" s="138"/>
      <c r="Q61" s="138"/>
      <c r="R61" s="145" t="b">
        <v>1</v>
      </c>
      <c r="S61" s="145" t="b">
        <v>0</v>
      </c>
      <c r="T61" s="145" t="b">
        <v>1</v>
      </c>
      <c r="U61" s="146"/>
      <c r="V61" s="146"/>
    </row>
    <row r="62" outlineLevel="1">
      <c r="A62" s="146"/>
      <c r="B62" s="243" t="s">
        <v>4992</v>
      </c>
      <c r="C62" s="239" t="s">
        <v>4993</v>
      </c>
      <c r="D62" s="210"/>
      <c r="E62" s="239" t="s">
        <v>80</v>
      </c>
      <c r="F62" s="138">
        <v>9.6</v>
      </c>
      <c r="G62" s="239" t="s">
        <v>60</v>
      </c>
      <c r="H62" s="212"/>
      <c r="J62" s="210"/>
      <c r="K62" s="138">
        <v>65.0</v>
      </c>
      <c r="L62" s="138">
        <v>60.0</v>
      </c>
      <c r="M62" s="145">
        <v>75.0</v>
      </c>
      <c r="N62" s="145">
        <v>0.0</v>
      </c>
      <c r="O62" s="138">
        <v>0.0</v>
      </c>
      <c r="P62" s="138"/>
      <c r="Q62" s="138"/>
      <c r="R62" s="145" t="b">
        <v>1</v>
      </c>
      <c r="S62" s="145" t="b">
        <v>0</v>
      </c>
      <c r="T62" s="145" t="b">
        <v>1</v>
      </c>
      <c r="U62" s="146"/>
      <c r="V62" s="146"/>
    </row>
    <row r="63" outlineLevel="1">
      <c r="A63" s="146"/>
      <c r="B63" s="243" t="s">
        <v>4994</v>
      </c>
      <c r="C63" s="239" t="s">
        <v>4995</v>
      </c>
      <c r="D63" s="107"/>
      <c r="E63" s="239" t="s">
        <v>150</v>
      </c>
      <c r="F63" s="138">
        <v>6.0</v>
      </c>
      <c r="G63" s="239" t="s">
        <v>60</v>
      </c>
      <c r="H63" s="212"/>
      <c r="J63" s="210"/>
      <c r="K63" s="138">
        <v>75.0</v>
      </c>
      <c r="L63" s="138">
        <v>95.0</v>
      </c>
      <c r="M63" s="145">
        <v>55.0</v>
      </c>
      <c r="N63" s="145">
        <v>0.0</v>
      </c>
      <c r="O63" s="138">
        <v>0.0</v>
      </c>
      <c r="P63" s="138"/>
      <c r="Q63" s="138"/>
      <c r="R63" s="145" t="b">
        <v>1</v>
      </c>
      <c r="S63" s="145" t="b">
        <v>0</v>
      </c>
      <c r="T63" s="145" t="b">
        <v>1</v>
      </c>
      <c r="U63" s="146"/>
      <c r="V63" s="146"/>
    </row>
    <row r="64" outlineLevel="1">
      <c r="A64" s="146"/>
      <c r="B64" s="243" t="s">
        <v>497</v>
      </c>
      <c r="C64" s="281"/>
      <c r="D64" s="467" t="s">
        <v>274</v>
      </c>
      <c r="E64" s="281"/>
      <c r="F64" s="281"/>
      <c r="G64" s="281"/>
      <c r="H64" s="106"/>
      <c r="I64" s="168"/>
      <c r="J64" s="107"/>
      <c r="K64" s="281"/>
      <c r="L64" s="281"/>
      <c r="M64" s="281"/>
      <c r="N64" s="281"/>
      <c r="O64" s="281"/>
      <c r="P64" s="281"/>
      <c r="Q64" s="281"/>
      <c r="R64" s="281"/>
      <c r="S64" s="281"/>
      <c r="T64" s="281"/>
      <c r="U64" s="156"/>
      <c r="V64" s="156"/>
    </row>
    <row r="65" outlineLevel="1">
      <c r="A65" s="230" t="s">
        <v>4996</v>
      </c>
      <c r="B65" s="109"/>
      <c r="C65" s="231" t="s">
        <v>48</v>
      </c>
      <c r="D65" s="231" t="s">
        <v>49</v>
      </c>
      <c r="E65" s="232" t="s">
        <v>50</v>
      </c>
      <c r="F65" s="233" t="s">
        <v>51</v>
      </c>
      <c r="G65" s="232" t="s">
        <v>52</v>
      </c>
      <c r="H65" s="382" t="s">
        <v>53</v>
      </c>
      <c r="I65" s="110"/>
      <c r="J65" s="109"/>
      <c r="K65" s="235" t="s">
        <v>137</v>
      </c>
      <c r="L65" s="235" t="s">
        <v>138</v>
      </c>
      <c r="M65" s="235" t="s">
        <v>139</v>
      </c>
      <c r="N65" s="235" t="s">
        <v>140</v>
      </c>
      <c r="O65" s="236" t="s">
        <v>141</v>
      </c>
      <c r="P65" s="235" t="s">
        <v>142</v>
      </c>
      <c r="Q65" s="236" t="s">
        <v>143</v>
      </c>
      <c r="R65" s="235" t="s">
        <v>179</v>
      </c>
      <c r="S65" s="236" t="s">
        <v>180</v>
      </c>
      <c r="T65" s="236" t="s">
        <v>181</v>
      </c>
      <c r="U65" s="236" t="s">
        <v>182</v>
      </c>
      <c r="V65" s="236" t="s">
        <v>183</v>
      </c>
    </row>
    <row r="66" ht="28.5" customHeight="1" outlineLevel="1">
      <c r="A66" s="237" t="s">
        <v>184</v>
      </c>
      <c r="B66" s="402" t="s">
        <v>152</v>
      </c>
      <c r="C66" s="239" t="s">
        <v>86</v>
      </c>
      <c r="D66" s="250"/>
      <c r="E66" s="239" t="s">
        <v>176</v>
      </c>
      <c r="F66" s="138">
        <v>2.4</v>
      </c>
      <c r="G66" s="239" t="s">
        <v>60</v>
      </c>
      <c r="H66" s="163" t="s">
        <v>4997</v>
      </c>
      <c r="I66" s="164"/>
      <c r="J66" s="104"/>
      <c r="K66" s="138"/>
      <c r="L66" s="138"/>
      <c r="M66" s="145"/>
      <c r="N66" s="145"/>
      <c r="O66" s="138">
        <v>0.0</v>
      </c>
      <c r="P66" s="138">
        <v>1.0</v>
      </c>
      <c r="Q66" s="138">
        <v>1.0</v>
      </c>
      <c r="R66" s="145" t="b">
        <v>1</v>
      </c>
      <c r="S66" s="145" t="b">
        <v>1</v>
      </c>
      <c r="T66" s="145"/>
      <c r="U66" s="166" t="s">
        <v>1256</v>
      </c>
      <c r="V66" s="166" t="b">
        <v>0</v>
      </c>
    </row>
    <row r="67" ht="28.5" customHeight="1" outlineLevel="1">
      <c r="A67" s="146"/>
      <c r="B67" s="402" t="s">
        <v>199</v>
      </c>
      <c r="C67" s="239" t="s">
        <v>4998</v>
      </c>
      <c r="D67" s="146"/>
      <c r="E67" s="239" t="s">
        <v>1024</v>
      </c>
      <c r="F67" s="138">
        <v>1.7999999999999998</v>
      </c>
      <c r="G67" s="239" t="s">
        <v>60</v>
      </c>
      <c r="H67" s="212"/>
      <c r="J67" s="210"/>
      <c r="K67" s="138"/>
      <c r="L67" s="138"/>
      <c r="M67" s="145"/>
      <c r="N67" s="145"/>
      <c r="O67" s="138">
        <v>0.0</v>
      </c>
      <c r="P67" s="138">
        <v>1.0</v>
      </c>
      <c r="Q67" s="138">
        <v>1.0</v>
      </c>
      <c r="R67" s="145" t="b">
        <v>1</v>
      </c>
      <c r="S67" s="145" t="b">
        <v>1</v>
      </c>
      <c r="T67" s="145"/>
      <c r="U67" s="146"/>
      <c r="V67" s="146"/>
    </row>
    <row r="68" ht="28.5" customHeight="1" outlineLevel="1">
      <c r="A68" s="146"/>
      <c r="B68" s="402" t="s">
        <v>202</v>
      </c>
      <c r="C68" s="239" t="s">
        <v>65</v>
      </c>
      <c r="D68" s="156"/>
      <c r="E68" s="239" t="s">
        <v>86</v>
      </c>
      <c r="F68" s="138">
        <v>7.199999999999999</v>
      </c>
      <c r="G68" s="239" t="s">
        <v>102</v>
      </c>
      <c r="H68" s="106"/>
      <c r="I68" s="168"/>
      <c r="J68" s="107"/>
      <c r="K68" s="138"/>
      <c r="L68" s="138"/>
      <c r="M68" s="145"/>
      <c r="N68" s="145"/>
      <c r="O68" s="138">
        <v>0.0</v>
      </c>
      <c r="P68" s="138">
        <v>1.0</v>
      </c>
      <c r="Q68" s="138">
        <v>1.0</v>
      </c>
      <c r="R68" s="145" t="b">
        <v>1</v>
      </c>
      <c r="S68" s="145" t="b">
        <v>1</v>
      </c>
      <c r="T68" s="145"/>
      <c r="U68" s="156"/>
      <c r="V68" s="156"/>
    </row>
    <row r="69" outlineLevel="1">
      <c r="A69" s="230" t="s">
        <v>4999</v>
      </c>
      <c r="B69" s="109"/>
      <c r="C69" s="231" t="s">
        <v>48</v>
      </c>
      <c r="D69" s="231" t="s">
        <v>49</v>
      </c>
      <c r="E69" s="232" t="s">
        <v>50</v>
      </c>
      <c r="F69" s="233" t="s">
        <v>51</v>
      </c>
      <c r="G69" s="232" t="s">
        <v>52</v>
      </c>
      <c r="H69" s="382" t="s">
        <v>53</v>
      </c>
      <c r="I69" s="110"/>
      <c r="J69" s="109"/>
      <c r="K69" s="235" t="s">
        <v>137</v>
      </c>
      <c r="L69" s="235" t="s">
        <v>138</v>
      </c>
      <c r="M69" s="235" t="s">
        <v>139</v>
      </c>
      <c r="N69" s="235" t="s">
        <v>140</v>
      </c>
      <c r="O69" s="236" t="s">
        <v>141</v>
      </c>
      <c r="P69" s="235" t="s">
        <v>142</v>
      </c>
      <c r="Q69" s="236" t="s">
        <v>143</v>
      </c>
      <c r="R69" s="235" t="s">
        <v>179</v>
      </c>
      <c r="S69" s="236" t="s">
        <v>180</v>
      </c>
      <c r="T69" s="236" t="s">
        <v>181</v>
      </c>
      <c r="U69" s="236" t="s">
        <v>182</v>
      </c>
      <c r="V69" s="236" t="s">
        <v>183</v>
      </c>
    </row>
    <row r="70" outlineLevel="1">
      <c r="A70" s="237" t="s">
        <v>184</v>
      </c>
      <c r="B70" s="402" t="s">
        <v>5000</v>
      </c>
      <c r="C70" s="239" t="s">
        <v>5001</v>
      </c>
      <c r="D70" s="455" t="s">
        <v>146</v>
      </c>
      <c r="E70" s="239" t="s">
        <v>5022</v>
      </c>
      <c r="F70" s="138" t="s">
        <v>5023</v>
      </c>
      <c r="G70" s="239" t="s">
        <v>1483</v>
      </c>
      <c r="H70" s="163" t="s">
        <v>5002</v>
      </c>
      <c r="I70" s="164"/>
      <c r="J70" s="104"/>
      <c r="K70" s="138"/>
      <c r="L70" s="138"/>
      <c r="M70" s="145"/>
      <c r="N70" s="145"/>
      <c r="O70" s="138"/>
      <c r="P70" s="138"/>
      <c r="Q70" s="138"/>
      <c r="R70" s="145" t="b">
        <v>0</v>
      </c>
      <c r="S70" s="145" t="b">
        <v>0</v>
      </c>
      <c r="T70" s="145" t="b">
        <v>1</v>
      </c>
      <c r="U70" s="166" t="b">
        <v>0</v>
      </c>
      <c r="V70" s="166" t="b">
        <v>0</v>
      </c>
    </row>
    <row r="71" outlineLevel="1">
      <c r="A71" s="146"/>
      <c r="B71" s="402" t="s">
        <v>1072</v>
      </c>
      <c r="C71" s="239" t="s">
        <v>5003</v>
      </c>
      <c r="D71" s="210"/>
      <c r="E71" s="239" t="s">
        <v>169</v>
      </c>
      <c r="F71" s="138">
        <v>1.68</v>
      </c>
      <c r="G71" s="239" t="s">
        <v>170</v>
      </c>
      <c r="H71" s="212"/>
      <c r="J71" s="210"/>
      <c r="K71" s="138"/>
      <c r="L71" s="138"/>
      <c r="M71" s="145"/>
      <c r="N71" s="145"/>
      <c r="O71" s="138"/>
      <c r="P71" s="138"/>
      <c r="Q71" s="138"/>
      <c r="R71" s="145" t="b">
        <v>0</v>
      </c>
      <c r="S71" s="145" t="b">
        <v>0</v>
      </c>
      <c r="T71" s="145" t="b">
        <v>1</v>
      </c>
      <c r="U71" s="146"/>
      <c r="V71" s="146"/>
    </row>
    <row r="72" outlineLevel="1">
      <c r="A72" s="156"/>
      <c r="B72" s="402" t="s">
        <v>5004</v>
      </c>
      <c r="C72" s="239" t="s">
        <v>5005</v>
      </c>
      <c r="D72" s="107"/>
      <c r="E72" s="239" t="s">
        <v>169</v>
      </c>
      <c r="F72" s="138">
        <v>1.68</v>
      </c>
      <c r="G72" s="239" t="s">
        <v>170</v>
      </c>
      <c r="H72" s="106"/>
      <c r="I72" s="168"/>
      <c r="J72" s="107"/>
      <c r="K72" s="138"/>
      <c r="L72" s="138"/>
      <c r="M72" s="145"/>
      <c r="N72" s="145"/>
      <c r="O72" s="138"/>
      <c r="P72" s="138"/>
      <c r="Q72" s="138"/>
      <c r="R72" s="145" t="b">
        <v>0</v>
      </c>
      <c r="S72" s="145" t="b">
        <v>0</v>
      </c>
      <c r="T72" s="145" t="b">
        <v>1</v>
      </c>
      <c r="U72" s="156"/>
      <c r="V72" s="156"/>
    </row>
    <row r="73">
      <c r="A73" s="223"/>
      <c r="B73" s="224"/>
      <c r="C73" s="225"/>
      <c r="D73" s="225"/>
      <c r="E73" s="226"/>
      <c r="F73" s="226"/>
      <c r="G73" s="226"/>
      <c r="H73" s="227"/>
      <c r="I73" s="227"/>
      <c r="J73" s="228"/>
      <c r="K73" s="228"/>
      <c r="L73" s="228"/>
      <c r="M73" s="228"/>
      <c r="N73" s="228"/>
      <c r="O73" s="228"/>
      <c r="P73" s="228"/>
      <c r="Q73" s="118"/>
      <c r="R73" s="118"/>
      <c r="S73" s="118"/>
      <c r="T73" s="118"/>
      <c r="U73" s="118"/>
      <c r="V73" s="118"/>
    </row>
    <row r="74">
      <c r="A74" s="264" t="s">
        <v>211</v>
      </c>
      <c r="B74" s="104"/>
      <c r="C74" s="227"/>
      <c r="D74" s="227"/>
      <c r="E74" s="228"/>
      <c r="F74" s="265"/>
      <c r="G74" s="265"/>
      <c r="H74" s="228"/>
      <c r="I74" s="228"/>
      <c r="J74" s="228"/>
      <c r="K74" s="228"/>
      <c r="L74" s="228"/>
      <c r="M74" s="228"/>
      <c r="N74" s="118"/>
      <c r="O74" s="118"/>
      <c r="P74" s="118"/>
      <c r="Q74" s="228"/>
      <c r="R74" s="228"/>
      <c r="S74" s="228"/>
      <c r="T74" s="228"/>
      <c r="U74" s="228"/>
      <c r="V74" s="228"/>
    </row>
    <row r="75" outlineLevel="1">
      <c r="A75" s="106"/>
      <c r="B75" s="107"/>
      <c r="C75" s="266" t="s">
        <v>48</v>
      </c>
      <c r="D75" s="266" t="s">
        <v>49</v>
      </c>
      <c r="E75" s="266" t="s">
        <v>50</v>
      </c>
      <c r="F75" s="267" t="s">
        <v>51</v>
      </c>
      <c r="G75" s="227"/>
      <c r="H75" s="227"/>
      <c r="I75" s="227"/>
      <c r="J75" s="228"/>
      <c r="K75" s="228"/>
      <c r="L75" s="228"/>
      <c r="M75" s="228"/>
      <c r="N75" s="228"/>
      <c r="O75" s="228"/>
      <c r="P75" s="228"/>
      <c r="Q75" s="228"/>
      <c r="R75" s="228"/>
      <c r="S75" s="228"/>
      <c r="T75" s="228"/>
      <c r="U75" s="228"/>
      <c r="V75" s="228"/>
    </row>
    <row r="76" outlineLevel="1">
      <c r="A76" s="268" t="s">
        <v>212</v>
      </c>
      <c r="B76" s="269" t="s">
        <v>212</v>
      </c>
      <c r="C76" s="113" t="s">
        <v>213</v>
      </c>
      <c r="D76" s="113" t="s">
        <v>86</v>
      </c>
      <c r="E76" s="113" t="s">
        <v>214</v>
      </c>
      <c r="F76" s="138">
        <v>1.56</v>
      </c>
      <c r="G76" s="227"/>
      <c r="H76" s="227"/>
      <c r="I76" s="227"/>
      <c r="J76" s="228"/>
      <c r="K76" s="228"/>
      <c r="L76" s="228"/>
      <c r="M76" s="228"/>
      <c r="N76" s="228"/>
      <c r="O76" s="228"/>
      <c r="P76" s="228"/>
      <c r="Q76" s="228"/>
      <c r="R76" s="228"/>
      <c r="S76" s="228"/>
      <c r="T76" s="228"/>
      <c r="U76" s="228"/>
      <c r="V76" s="228"/>
    </row>
    <row r="77" outlineLevel="1">
      <c r="A77" s="270" t="s">
        <v>215</v>
      </c>
      <c r="B77" s="269" t="s">
        <v>216</v>
      </c>
      <c r="C77" s="113" t="s">
        <v>223</v>
      </c>
      <c r="D77" s="113" t="s">
        <v>79</v>
      </c>
      <c r="E77" s="271"/>
      <c r="F77" s="272"/>
      <c r="G77" s="272"/>
      <c r="H77" s="227"/>
      <c r="I77" s="227"/>
      <c r="J77" s="228"/>
      <c r="K77" s="228"/>
      <c r="L77" s="228"/>
      <c r="M77" s="228"/>
      <c r="N77" s="228"/>
      <c r="O77" s="228"/>
      <c r="P77" s="228"/>
      <c r="Q77" s="228"/>
      <c r="R77" s="228"/>
      <c r="S77" s="228"/>
      <c r="T77" s="228"/>
      <c r="U77" s="228"/>
      <c r="V77" s="228"/>
    </row>
    <row r="78" outlineLevel="1">
      <c r="A78" s="212"/>
      <c r="B78" s="269" t="s">
        <v>219</v>
      </c>
      <c r="C78" s="113" t="s">
        <v>305</v>
      </c>
      <c r="D78" s="113" t="s">
        <v>146</v>
      </c>
      <c r="E78" s="271"/>
      <c r="F78" s="272"/>
      <c r="G78" s="272"/>
      <c r="H78" s="227"/>
      <c r="I78" s="227"/>
      <c r="J78" s="228"/>
      <c r="K78" s="228"/>
      <c r="L78" s="228"/>
      <c r="M78" s="228"/>
      <c r="N78" s="228"/>
      <c r="O78" s="228"/>
      <c r="P78" s="228"/>
      <c r="Q78" s="228"/>
      <c r="R78" s="228"/>
      <c r="S78" s="228"/>
      <c r="T78" s="228"/>
      <c r="U78" s="228"/>
      <c r="V78" s="228"/>
    </row>
    <row r="79" outlineLevel="1">
      <c r="A79" s="106"/>
      <c r="B79" s="269" t="s">
        <v>222</v>
      </c>
      <c r="C79" s="113" t="s">
        <v>295</v>
      </c>
      <c r="D79" s="113" t="s">
        <v>221</v>
      </c>
      <c r="E79" s="227"/>
      <c r="F79" s="272"/>
      <c r="G79" s="272"/>
      <c r="H79" s="227"/>
      <c r="I79" s="227"/>
      <c r="J79" s="228"/>
      <c r="K79" s="228"/>
      <c r="L79" s="228"/>
      <c r="M79" s="228"/>
      <c r="N79" s="228"/>
      <c r="O79" s="228"/>
      <c r="P79" s="228"/>
      <c r="Q79" s="228"/>
      <c r="R79" s="228"/>
      <c r="S79" s="228"/>
      <c r="T79" s="228"/>
      <c r="U79" s="228"/>
      <c r="V79" s="228"/>
    </row>
    <row r="80" outlineLevel="1">
      <c r="A80" s="273" t="s">
        <v>225</v>
      </c>
      <c r="B80" s="109"/>
      <c r="C80" s="266" t="s">
        <v>48</v>
      </c>
      <c r="D80" s="266" t="s">
        <v>49</v>
      </c>
      <c r="E80" s="266" t="s">
        <v>50</v>
      </c>
      <c r="F80" s="267" t="s">
        <v>51</v>
      </c>
      <c r="G80" s="1168" t="s">
        <v>53</v>
      </c>
      <c r="H80" s="110"/>
      <c r="I80" s="110"/>
      <c r="J80" s="109"/>
      <c r="K80" s="275" t="s">
        <v>137</v>
      </c>
      <c r="L80" s="275" t="s">
        <v>138</v>
      </c>
      <c r="M80" s="275" t="s">
        <v>139</v>
      </c>
      <c r="N80" s="275" t="s">
        <v>140</v>
      </c>
      <c r="O80" s="276" t="s">
        <v>141</v>
      </c>
      <c r="P80" s="275" t="s">
        <v>142</v>
      </c>
      <c r="Q80" s="276" t="s">
        <v>143</v>
      </c>
      <c r="R80" s="277"/>
      <c r="S80" s="277"/>
      <c r="T80" s="277"/>
      <c r="U80" s="277"/>
      <c r="V80" s="277"/>
    </row>
    <row r="81" outlineLevel="1">
      <c r="A81" s="278" t="s">
        <v>226</v>
      </c>
      <c r="B81" s="269" t="s">
        <v>227</v>
      </c>
      <c r="C81" s="659"/>
      <c r="D81" s="279" t="s">
        <v>384</v>
      </c>
      <c r="E81" s="659"/>
      <c r="F81" s="659"/>
      <c r="G81" s="1170"/>
      <c r="H81" s="164"/>
      <c r="I81" s="164"/>
      <c r="J81" s="104"/>
      <c r="K81" s="659"/>
      <c r="L81" s="659"/>
      <c r="M81" s="659"/>
      <c r="N81" s="659"/>
      <c r="O81" s="659"/>
      <c r="P81" s="659"/>
      <c r="Q81" s="659"/>
      <c r="R81" s="277"/>
      <c r="S81" s="228"/>
      <c r="T81" s="228"/>
      <c r="U81" s="228"/>
      <c r="V81" s="228"/>
    </row>
    <row r="82" outlineLevel="1">
      <c r="A82" s="156"/>
      <c r="B82" s="269" t="s">
        <v>225</v>
      </c>
      <c r="C82" s="113" t="s">
        <v>268</v>
      </c>
      <c r="D82" s="156"/>
      <c r="E82" s="239" t="s">
        <v>93</v>
      </c>
      <c r="F82" s="138">
        <v>8.4</v>
      </c>
      <c r="G82" s="106"/>
      <c r="H82" s="168"/>
      <c r="I82" s="168"/>
      <c r="J82" s="107"/>
      <c r="K82" s="138">
        <v>40.0</v>
      </c>
      <c r="L82" s="138">
        <v>75.0</v>
      </c>
      <c r="M82" s="145">
        <v>75.0</v>
      </c>
      <c r="N82" s="145">
        <v>0.0</v>
      </c>
      <c r="O82" s="261"/>
      <c r="P82" s="261"/>
      <c r="Q82" s="261"/>
      <c r="R82" s="277"/>
      <c r="S82" s="228"/>
      <c r="T82" s="228"/>
      <c r="U82" s="228"/>
      <c r="V82" s="228"/>
    </row>
    <row r="83" outlineLevel="1">
      <c r="A83" s="278" t="s">
        <v>229</v>
      </c>
      <c r="B83" s="269" t="s">
        <v>227</v>
      </c>
      <c r="C83" s="659"/>
      <c r="D83" s="279" t="s">
        <v>384</v>
      </c>
      <c r="E83" s="659"/>
      <c r="F83" s="659"/>
      <c r="G83" s="1170"/>
      <c r="H83" s="164"/>
      <c r="I83" s="164"/>
      <c r="J83" s="104"/>
      <c r="K83" s="659"/>
      <c r="L83" s="659"/>
      <c r="M83" s="659"/>
      <c r="N83" s="659"/>
      <c r="O83" s="659"/>
      <c r="P83" s="659"/>
      <c r="Q83" s="659"/>
      <c r="R83" s="277"/>
      <c r="S83" s="228"/>
      <c r="T83" s="228"/>
      <c r="U83" s="228"/>
      <c r="V83" s="228"/>
    </row>
    <row r="84" outlineLevel="1">
      <c r="A84" s="156"/>
      <c r="B84" s="269" t="s">
        <v>225</v>
      </c>
      <c r="C84" s="113" t="s">
        <v>466</v>
      </c>
      <c r="D84" s="156"/>
      <c r="E84" s="239" t="s">
        <v>93</v>
      </c>
      <c r="F84" s="138">
        <v>8.4</v>
      </c>
      <c r="G84" s="106"/>
      <c r="H84" s="168"/>
      <c r="I84" s="168"/>
      <c r="J84" s="107"/>
      <c r="K84" s="138">
        <v>44.0</v>
      </c>
      <c r="L84" s="138">
        <v>70.0</v>
      </c>
      <c r="M84" s="145">
        <v>75.0</v>
      </c>
      <c r="N84" s="145">
        <v>0.0</v>
      </c>
      <c r="O84" s="261"/>
      <c r="P84" s="261"/>
      <c r="Q84" s="261"/>
      <c r="R84" s="277"/>
      <c r="S84" s="228"/>
      <c r="T84" s="228"/>
      <c r="U84" s="228"/>
      <c r="V84" s="228"/>
    </row>
    <row r="85" outlineLevel="1">
      <c r="A85" s="278" t="s">
        <v>233</v>
      </c>
      <c r="B85" s="269" t="s">
        <v>227</v>
      </c>
      <c r="C85" s="113" t="s">
        <v>193</v>
      </c>
      <c r="D85" s="279" t="s">
        <v>402</v>
      </c>
      <c r="E85" s="239" t="s">
        <v>86</v>
      </c>
      <c r="F85" s="138">
        <v>7.199999999999999</v>
      </c>
      <c r="G85" s="1170"/>
      <c r="H85" s="164"/>
      <c r="I85" s="164"/>
      <c r="J85" s="104"/>
      <c r="K85" s="282"/>
      <c r="L85" s="282"/>
      <c r="M85" s="363"/>
      <c r="N85" s="363"/>
      <c r="O85" s="145"/>
      <c r="P85" s="145"/>
      <c r="Q85" s="145"/>
      <c r="R85" s="277"/>
      <c r="S85" s="228"/>
      <c r="T85" s="228"/>
      <c r="U85" s="228"/>
      <c r="V85" s="228"/>
    </row>
    <row r="86" outlineLevel="1">
      <c r="A86" s="156"/>
      <c r="B86" s="269" t="s">
        <v>225</v>
      </c>
      <c r="C86" s="113" t="s">
        <v>224</v>
      </c>
      <c r="D86" s="156"/>
      <c r="E86" s="239" t="s">
        <v>73</v>
      </c>
      <c r="F86" s="138">
        <v>4.8</v>
      </c>
      <c r="G86" s="106"/>
      <c r="H86" s="168"/>
      <c r="I86" s="168"/>
      <c r="J86" s="107"/>
      <c r="K86" s="138">
        <v>90.0</v>
      </c>
      <c r="L86" s="138">
        <v>82.0</v>
      </c>
      <c r="M86" s="145">
        <v>70.0</v>
      </c>
      <c r="N86" s="145">
        <v>0.0</v>
      </c>
      <c r="O86" s="261"/>
      <c r="P86" s="261"/>
      <c r="Q86" s="261"/>
      <c r="R86" s="277"/>
      <c r="S86" s="117"/>
      <c r="T86" s="117"/>
      <c r="U86" s="117"/>
      <c r="V86" s="117"/>
    </row>
    <row r="87" outlineLevel="1">
      <c r="A87" s="278" t="s">
        <v>234</v>
      </c>
      <c r="B87" s="269" t="s">
        <v>227</v>
      </c>
      <c r="C87" s="659"/>
      <c r="D87" s="279" t="s">
        <v>118</v>
      </c>
      <c r="E87" s="659"/>
      <c r="F87" s="659"/>
      <c r="G87" s="283" t="s">
        <v>5006</v>
      </c>
      <c r="H87" s="164"/>
      <c r="I87" s="164"/>
      <c r="J87" s="104"/>
      <c r="K87" s="659"/>
      <c r="L87" s="659"/>
      <c r="M87" s="659"/>
      <c r="N87" s="659"/>
      <c r="O87" s="659"/>
      <c r="P87" s="659"/>
      <c r="Q87" s="659"/>
      <c r="R87" s="277"/>
      <c r="S87" s="117"/>
      <c r="T87" s="117"/>
      <c r="U87" s="117"/>
      <c r="V87" s="117"/>
    </row>
    <row r="88" outlineLevel="1">
      <c r="A88" s="156"/>
      <c r="B88" s="269" t="s">
        <v>225</v>
      </c>
      <c r="C88" s="113" t="s">
        <v>268</v>
      </c>
      <c r="D88" s="156"/>
      <c r="E88" s="239" t="s">
        <v>80</v>
      </c>
      <c r="F88" s="138">
        <v>9.6</v>
      </c>
      <c r="G88" s="106"/>
      <c r="H88" s="168"/>
      <c r="I88" s="168"/>
      <c r="J88" s="107"/>
      <c r="K88" s="138">
        <v>57.0</v>
      </c>
      <c r="L88" s="138">
        <v>65.0</v>
      </c>
      <c r="M88" s="145">
        <v>80.0</v>
      </c>
      <c r="N88" s="145">
        <v>0.0</v>
      </c>
      <c r="O88" s="261"/>
      <c r="P88" s="261"/>
      <c r="Q88" s="261"/>
      <c r="R88" s="277"/>
      <c r="S88" s="117"/>
      <c r="T88" s="117"/>
      <c r="U88" s="117"/>
      <c r="V88" s="117"/>
    </row>
    <row r="89">
      <c r="A89" s="223"/>
      <c r="B89" s="224"/>
      <c r="C89" s="225"/>
      <c r="D89" s="225"/>
      <c r="E89" s="227"/>
      <c r="F89" s="177"/>
      <c r="G89" s="177"/>
      <c r="H89" s="227"/>
      <c r="I89" s="227"/>
      <c r="J89" s="228"/>
      <c r="K89" s="228"/>
      <c r="L89" s="111"/>
      <c r="M89" s="111"/>
      <c r="N89" s="111"/>
      <c r="O89" s="117"/>
      <c r="P89" s="117"/>
      <c r="Q89" s="111"/>
      <c r="R89" s="111"/>
      <c r="S89" s="111"/>
      <c r="T89" s="111"/>
      <c r="U89" s="111"/>
      <c r="V89" s="111"/>
    </row>
    <row r="90">
      <c r="A90" s="284" t="s">
        <v>241</v>
      </c>
      <c r="B90" s="104"/>
      <c r="C90" s="265"/>
      <c r="D90" s="111"/>
      <c r="E90" s="111"/>
      <c r="F90" s="111"/>
      <c r="G90" s="111"/>
      <c r="H90" s="111"/>
      <c r="I90" s="111"/>
      <c r="J90" s="118"/>
      <c r="K90" s="111"/>
      <c r="L90" s="111"/>
      <c r="M90" s="111"/>
      <c r="N90" s="111"/>
      <c r="O90" s="111"/>
      <c r="P90" s="111"/>
      <c r="Q90" s="118"/>
      <c r="R90" s="111"/>
      <c r="S90" s="111"/>
      <c r="T90" s="111"/>
      <c r="U90" s="111"/>
      <c r="V90" s="111"/>
    </row>
    <row r="91" outlineLevel="1">
      <c r="A91" s="106"/>
      <c r="B91" s="107"/>
      <c r="C91" s="285" t="s">
        <v>235</v>
      </c>
      <c r="D91" s="285" t="s">
        <v>236</v>
      </c>
      <c r="E91" s="285" t="s">
        <v>49</v>
      </c>
      <c r="F91" s="285" t="s">
        <v>237</v>
      </c>
      <c r="G91" s="286"/>
      <c r="H91" s="227"/>
      <c r="I91" s="227"/>
      <c r="J91" s="228"/>
      <c r="K91" s="228"/>
      <c r="L91" s="111"/>
      <c r="M91" s="111"/>
      <c r="N91" s="111"/>
      <c r="O91" s="111"/>
      <c r="P91" s="111"/>
      <c r="Q91" s="111"/>
      <c r="R91" s="111"/>
      <c r="S91" s="111"/>
      <c r="T91" s="111"/>
      <c r="U91" s="111"/>
      <c r="V91" s="111"/>
    </row>
    <row r="92" outlineLevel="1">
      <c r="A92" s="287" t="s">
        <v>395</v>
      </c>
      <c r="B92" s="288" t="s">
        <v>216</v>
      </c>
      <c r="C92" s="113" t="str">
        <f t="array" ref="C92">INDEX('回避'!$C$3:$U$84, MATCH($A$1,'回避'!$A$3:$A$91,0), MATCH(C91,'回避'!$C$2:$F$2,0))</f>
        <v>3-17</v>
      </c>
      <c r="D92" s="113" t="str">
        <f t="array" ref="D92">INDEX('回避'!$C$3:$U$84, MATCH($A$1,'回避'!$A$3:$A$91,0), MATCH(D91,'回避'!$C$2:$F$2,0))</f>
        <v>6-17</v>
      </c>
      <c r="E92" s="113" t="str">
        <f t="array" ref="E92">INDEX('回避'!$C$3:$U$84, MATCH($A$1,'回避'!$A$3:$A$91,0), MATCH(E91,'回避'!$C$2:$F$2,0))</f>
        <v>26 (21)</v>
      </c>
      <c r="F92" s="113" t="str">
        <f t="array" ref="F92">INDEX('回避'!$C$3:$U$84, MATCH($A$1,'回避'!$A$3:$A$91,0), MATCH(F91,'回避'!$C$2:$F$2,0))</f>
        <v>35 (28)</v>
      </c>
      <c r="G92" s="272"/>
      <c r="H92" s="227"/>
      <c r="I92" s="227"/>
      <c r="J92" s="228"/>
      <c r="K92" s="228"/>
      <c r="L92" s="228"/>
      <c r="M92" s="111"/>
      <c r="N92" s="111"/>
      <c r="O92" s="111"/>
      <c r="P92" s="111"/>
      <c r="Q92" s="111"/>
      <c r="R92" s="111"/>
      <c r="S92" s="111"/>
      <c r="T92" s="111"/>
      <c r="U92" s="111"/>
      <c r="V92" s="111"/>
    </row>
    <row r="93" outlineLevel="1">
      <c r="A93" s="212"/>
      <c r="B93" s="288" t="s">
        <v>245</v>
      </c>
      <c r="C93" s="113" t="str">
        <f t="array" ref="C93">INDEX('回避'!$G$3:$U$84, MATCH($A$1,'回避'!$A$3:$A$91,0), MATCH(C91,'回避'!$G$2:$J$2,0))</f>
        <v>4-15</v>
      </c>
      <c r="D93" s="113" t="str">
        <f t="array" ref="D93">INDEX('回避'!$G$3:$U$84, MATCH($A$1,'回避'!$A$3:$A$91,0), MATCH(D91,'回避'!$G$2:$J$2,0))</f>
        <v>8-14</v>
      </c>
      <c r="E93" s="113" t="str">
        <f t="array" ref="E93">INDEX('回避'!$G$3:$U$84, MATCH($A$1,'回避'!$A$3:$A$91,0), MATCH(E91,'回避'!$G$2:$J$2,0))</f>
        <v>30</v>
      </c>
      <c r="F93" s="113">
        <f t="array" ref="F93">INDEX('回避'!$G$3:$U$84, MATCH($A$1,'回避'!$A$3:$A$91,0), MATCH(F91,'回避'!$G$2:$J$2,0))</f>
        <v>40</v>
      </c>
      <c r="G93" s="289"/>
      <c r="H93" s="227"/>
      <c r="I93" s="227"/>
      <c r="J93" s="228"/>
      <c r="K93" s="228"/>
      <c r="L93" s="228"/>
      <c r="M93" s="228"/>
      <c r="N93" s="228"/>
      <c r="O93" s="111"/>
      <c r="P93" s="111"/>
      <c r="Q93" s="111"/>
      <c r="R93" s="111"/>
      <c r="S93" s="111"/>
      <c r="T93" s="111"/>
      <c r="U93" s="111"/>
      <c r="V93" s="111"/>
    </row>
    <row r="94" outlineLevel="1">
      <c r="A94" s="106"/>
      <c r="B94" s="288" t="s">
        <v>246</v>
      </c>
      <c r="C94" s="113" t="str">
        <f t="array" ref="C94">INDEX('回避'!$K$3:$U$84, MATCH($A$1,'回避'!$A$3:$A$91,0), MATCH(C91,'回避'!$K$2:$N$2,0))</f>
        <v>5-16</v>
      </c>
      <c r="D94" s="113" t="str">
        <f t="array" ref="D94">INDEX('回避'!$K$3:$U$84, MATCH($A$1,'回避'!$A$3:$A$91,0), MATCH(D91,'回避'!$K$2:$N$2,0))</f>
        <v>9-14</v>
      </c>
      <c r="E94" s="113" t="str">
        <f t="array" ref="E94">INDEX('回避'!$K$3:$U$84, MATCH($A$1,'回避'!$A$3:$A$91,0), MATCH(E91,'回避'!$K$2:$N$2,0))</f>
        <v>35</v>
      </c>
      <c r="F94" s="113" t="str">
        <f t="array" ref="F94">INDEX('回避'!$K$3:$U$84, MATCH($A$1,'回避'!$A$3:$A$91,0), MATCH(F91,'回避'!$K$2:$N$2,0))</f>
        <v>53</v>
      </c>
      <c r="G94" s="289"/>
      <c r="H94" s="290"/>
      <c r="I94" s="290"/>
      <c r="J94" s="117"/>
      <c r="K94" s="117"/>
      <c r="L94" s="117"/>
      <c r="M94" s="117"/>
      <c r="N94" s="117"/>
      <c r="O94" s="111"/>
      <c r="P94" s="111"/>
      <c r="Q94" s="111"/>
      <c r="R94" s="111"/>
      <c r="S94" s="111"/>
      <c r="T94" s="111"/>
      <c r="U94" s="111"/>
      <c r="V94" s="111"/>
    </row>
    <row r="95" outlineLevel="1">
      <c r="A95" s="287" t="s">
        <v>396</v>
      </c>
      <c r="B95" s="288" t="s">
        <v>397</v>
      </c>
      <c r="C95" s="113" t="str">
        <f t="array" ref="C95">INDEX('回避'!$O$3:$U$84, MATCH($A$1,'回避'!$A$3:$A$91,0), MATCH(C91,'回避'!$O$2:$R$2,0))</f>
        <v>3-29</v>
      </c>
      <c r="D95" s="113" t="str">
        <f t="array" ref="D95">INDEX('回避'!$O$3:$U$84, MATCH($A$1,'回避'!$A$3:$A$91,0), MATCH(D91,'回避'!$O$2:$R$2,0))</f>
        <v>6-27</v>
      </c>
      <c r="E95" s="113" t="str">
        <f t="array" ref="E95">INDEX('回避'!$O$3:$U$84, MATCH($A$1,'回避'!$A$3:$A$91,0), MATCH(E91,'回避'!$O$2:$R$2,0))</f>
        <v>46</v>
      </c>
      <c r="F95" s="177"/>
      <c r="G95" s="177"/>
      <c r="H95" s="118"/>
      <c r="I95" s="118"/>
      <c r="J95" s="111"/>
      <c r="K95" s="111"/>
      <c r="L95" s="111"/>
      <c r="M95" s="111"/>
      <c r="N95" s="111"/>
      <c r="O95" s="228"/>
      <c r="P95" s="228"/>
      <c r="Q95" s="228"/>
      <c r="R95" s="228"/>
      <c r="S95" s="228"/>
      <c r="T95" s="228"/>
      <c r="U95" s="228"/>
      <c r="V95" s="228"/>
    </row>
    <row r="96" outlineLevel="1">
      <c r="A96" s="106"/>
      <c r="B96" s="288" t="s">
        <v>398</v>
      </c>
      <c r="C96" s="113" t="str">
        <f t="array" ref="C96">INDEX('回避'!$S$3:$U$84, MATCH($A$1,'回避'!$A$3:$A$91,0), MATCH(C91,'回避'!$S$2:$U$2,0))</f>
        <v>3-21</v>
      </c>
      <c r="D96" s="113" t="str">
        <f t="array" ref="D96">INDEX('回避'!$S$3:$U$84, MATCH($A$1,'回避'!$A$3:$A$91,0), MATCH(D91,'回避'!$S$2:$U$2,0))</f>
        <v>6-20</v>
      </c>
      <c r="E96" s="113" t="str">
        <f t="array" ref="E96">INDEX('回避'!$S$3:$U$84, MATCH($A$1,'回避'!$A$3:$A$91,0), MATCH(E91,'回避'!$S$2:$U$2,0))</f>
        <v>真横：76
真上：104
真下：62</v>
      </c>
      <c r="F96" s="289"/>
      <c r="G96" s="289"/>
      <c r="H96" s="118"/>
      <c r="I96" s="118"/>
      <c r="J96" s="117"/>
      <c r="K96" s="117"/>
      <c r="L96" s="117"/>
      <c r="M96" s="117"/>
      <c r="N96" s="111"/>
      <c r="O96" s="118"/>
      <c r="P96" s="118"/>
      <c r="Q96" s="118"/>
      <c r="R96" s="118"/>
      <c r="S96" s="118"/>
      <c r="T96" s="118"/>
      <c r="U96" s="118"/>
      <c r="V96" s="118"/>
    </row>
    <row r="97">
      <c r="A97" s="291"/>
      <c r="B97" s="292"/>
      <c r="C97" s="286"/>
      <c r="D97" s="286"/>
      <c r="E97" s="293"/>
      <c r="F97" s="286"/>
      <c r="G97" s="286"/>
      <c r="H97" s="286"/>
      <c r="I97" s="286"/>
      <c r="J97" s="111"/>
      <c r="K97" s="227"/>
      <c r="L97" s="227"/>
      <c r="M97" s="227"/>
      <c r="N97" s="227"/>
      <c r="O97" s="118"/>
      <c r="P97" s="118"/>
      <c r="Q97" s="118"/>
      <c r="R97" s="118"/>
      <c r="S97" s="118"/>
      <c r="T97" s="118"/>
      <c r="U97" s="118"/>
      <c r="V97" s="118"/>
    </row>
    <row r="98">
      <c r="A98" s="2534" t="s">
        <v>238</v>
      </c>
      <c r="B98" s="104"/>
      <c r="C98" s="2535"/>
      <c r="D98" s="2536"/>
      <c r="E98" s="2535"/>
      <c r="F98" s="2537"/>
      <c r="G98" s="2537"/>
      <c r="H98" s="117"/>
      <c r="I98" s="117"/>
      <c r="J98" s="118"/>
      <c r="K98" s="118"/>
      <c r="L98" s="118"/>
      <c r="M98" s="118"/>
      <c r="N98" s="118"/>
      <c r="O98" s="118"/>
      <c r="P98" s="118"/>
      <c r="Q98" s="118"/>
      <c r="R98" s="118"/>
      <c r="S98" s="118"/>
      <c r="T98" s="118"/>
      <c r="U98" s="118"/>
      <c r="V98" s="118"/>
    </row>
    <row r="99" outlineLevel="1">
      <c r="A99" s="106"/>
      <c r="B99" s="107"/>
      <c r="C99" s="2538" t="s">
        <v>235</v>
      </c>
      <c r="D99" s="2538" t="s">
        <v>49</v>
      </c>
      <c r="E99" s="2538" t="s">
        <v>48</v>
      </c>
      <c r="F99" s="2538" t="s">
        <v>50</v>
      </c>
      <c r="G99" s="2539" t="s">
        <v>51</v>
      </c>
      <c r="H99" s="228"/>
      <c r="I99" s="228"/>
      <c r="J99" s="117"/>
      <c r="K99" s="297" t="str">
        <f>'テンプレート'!K116</f>
        <v>アイテム取得</v>
      </c>
      <c r="L99" s="109"/>
      <c r="M99" s="298" t="str">
        <f>'テンプレート'!M116</f>
        <v>取得フレーム</v>
      </c>
      <c r="N99" s="298" t="str">
        <f>'テンプレート'!N116</f>
        <v>全体フレーム</v>
      </c>
      <c r="O99" s="118"/>
      <c r="P99" s="118"/>
      <c r="Q99" s="118"/>
      <c r="R99" s="118"/>
      <c r="S99" s="118"/>
      <c r="T99" s="118"/>
      <c r="U99" s="118"/>
      <c r="V99" s="118"/>
    </row>
    <row r="100" outlineLevel="1">
      <c r="A100" s="299" t="s">
        <v>239</v>
      </c>
      <c r="B100" s="300" t="s">
        <v>240</v>
      </c>
      <c r="C100" s="1162"/>
      <c r="D100" s="518">
        <f t="array" ref="D100">INDEX('崖行動・受け身'!$C$3:$C102, MATCH($A$1,'崖行動・受け身'!$A$3:$A$115,0), MATCH(D99,'崖行動・受け身'!$C$2,0))</f>
        <v>19</v>
      </c>
      <c r="E100" s="1162"/>
      <c r="F100" s="1162"/>
      <c r="G100" s="1162"/>
      <c r="H100" s="228"/>
      <c r="I100" s="228"/>
      <c r="J100" s="111"/>
      <c r="K100" s="302" t="str">
        <f>'テンプレート'!K117</f>
        <v>小アイテム</v>
      </c>
      <c r="L100" s="303" t="str">
        <f>'テンプレート'!L117</f>
        <v>その場</v>
      </c>
      <c r="M100" s="113" t="str">
        <f t="array" ref="M100">INDEX('アイテム'!$C$3:$D$115, MATCH($A$1,'アイテム'!$A$3:$A$115,0), MATCH(M$99,'アイテム'!$C$2:$AK$2,0))</f>
        <v>2</v>
      </c>
      <c r="N100" s="113">
        <f t="array" ref="N100">INDEX('アイテム'!$C$3:$D$115, MATCH($A$1,'アイテム'!$A$3:$A$115,0), MATCH(N$99,'アイテム'!$C$2:$AK$2,0))</f>
        <v>7</v>
      </c>
      <c r="O100" s="118"/>
      <c r="P100" s="118"/>
      <c r="Q100" s="118"/>
      <c r="R100" s="118"/>
      <c r="S100" s="118"/>
      <c r="T100" s="118"/>
      <c r="U100" s="118"/>
      <c r="V100" s="118"/>
    </row>
    <row r="101" outlineLevel="1">
      <c r="A101" s="146"/>
      <c r="B101" s="300" t="s">
        <v>216</v>
      </c>
      <c r="C101" s="518" t="str">
        <f t="array" ref="C101">INDEX('崖行動・受け身'!$D$3:$E102, MATCH($A$1,'崖行動・受け身'!$A$3:$A$115,0), MATCH(C99,'崖行動・受け身'!$D$2:$E$2,0))</f>
        <v>1-33</v>
      </c>
      <c r="D101" s="518">
        <f t="array" ref="D101">INDEX('崖行動・受け身'!$D$3:$E102, MATCH($A$1,'崖行動・受け身'!$A$3:$A$115,0), MATCH(D99,'崖行動・受け身'!$D$2:$E$2,0))</f>
        <v>34</v>
      </c>
      <c r="E101" s="1162"/>
      <c r="F101" s="1162"/>
      <c r="G101" s="1162"/>
      <c r="H101" s="228"/>
      <c r="I101" s="228"/>
      <c r="J101" s="117"/>
      <c r="K101" s="156"/>
      <c r="L101" s="303" t="str">
        <f>'テンプレート'!L118</f>
        <v>歩き</v>
      </c>
      <c r="M101" s="113" t="str">
        <f t="array" ref="M101">INDEX('アイテム'!$E$3:$F$115, MATCH($A$1,'アイテム'!$A$3:$A$115,0), MATCH(M$99,'アイテム'!$E$2:$AK$2,0))</f>
        <v>2</v>
      </c>
      <c r="N101" s="113">
        <f t="array" ref="N101">INDEX('アイテム'!$E$3:$F$115, MATCH($A$1,'アイテム'!$A$3:$A$115,0), MATCH(N$99,'アイテム'!$E$2:$AK$2,0))</f>
        <v>19</v>
      </c>
      <c r="O101" s="118"/>
      <c r="P101" s="118"/>
      <c r="Q101" s="118"/>
      <c r="R101" s="118"/>
      <c r="S101" s="118"/>
      <c r="T101" s="118"/>
      <c r="U101" s="118"/>
      <c r="V101" s="118"/>
    </row>
    <row r="102" outlineLevel="1">
      <c r="A102" s="146"/>
      <c r="B102" s="300" t="s">
        <v>241</v>
      </c>
      <c r="C102" s="518" t="str">
        <f t="array" ref="C102">INDEX('崖行動・受け身'!$F$3:$G$115, MATCH($A$1,'崖行動・受け身'!$A$3:$A$115,0), MATCH(C99,'崖行動・受け身'!$F$2:$G$2,0))</f>
        <v>1-23</v>
      </c>
      <c r="D102" s="518">
        <f t="array" ref="D102">INDEX('崖行動・受け身'!$F$3:$G$115, MATCH($A$1,'崖行動・受け身'!$A$3:$A$115,0), MATCH(D99,'崖行動・受け身'!$F$2:$G$2,0))</f>
        <v>45</v>
      </c>
      <c r="E102" s="1162"/>
      <c r="F102" s="1162"/>
      <c r="G102" s="1162"/>
      <c r="H102" s="228"/>
      <c r="I102" s="228"/>
      <c r="J102" s="111"/>
      <c r="K102" s="304" t="str">
        <f>'テンプレート'!K119</f>
        <v>アイテム投擲</v>
      </c>
      <c r="L102" s="109"/>
      <c r="M102" s="298" t="str">
        <f>'テンプレート'!M119</f>
        <v>投擲フレーム</v>
      </c>
      <c r="N102" s="298" t="str">
        <f>'テンプレート'!N119</f>
        <v>全体フレーム</v>
      </c>
      <c r="O102" s="118"/>
      <c r="P102" s="118"/>
      <c r="Q102" s="118"/>
      <c r="R102" s="118"/>
      <c r="S102" s="118"/>
      <c r="T102" s="118"/>
      <c r="U102" s="118"/>
      <c r="V102" s="118"/>
    </row>
    <row r="103" outlineLevel="1">
      <c r="A103" s="146"/>
      <c r="B103" s="300" t="s">
        <v>242</v>
      </c>
      <c r="C103" s="518" t="str">
        <f t="array" ref="C103">INDEX('崖行動・受け身'!$H$3:$I$115, MATCH($A$1,'崖行動・受け身'!$A$3:$A$115,0), MATCH(C99,'崖行動・受け身'!$H$2:$I$2,0))</f>
        <v>1-12</v>
      </c>
      <c r="D103" s="518">
        <f t="array" ref="D103">INDEX('崖行動・受け身'!$H$3:$I$115, MATCH($A$1,'崖行動・受け身'!$A$3:$A$115,0), MATCH(D99,'崖行動・受け身'!$H$2:$I$2,0))</f>
        <v>14</v>
      </c>
      <c r="E103" s="1162"/>
      <c r="F103" s="1162"/>
      <c r="G103" s="1162"/>
      <c r="H103" s="228"/>
      <c r="I103" s="228"/>
      <c r="J103" s="117"/>
      <c r="K103" s="1030" t="str">
        <f>'テンプレート'!K120</f>
        <v>地上投擲</v>
      </c>
      <c r="L103" s="303" t="str">
        <f>'テンプレート'!L120</f>
        <v>前投げ</v>
      </c>
      <c r="M103" s="113" t="str">
        <f t="array" ref="M103">INDEX('アイテム'!$G$3:$H$115, MATCH($A$1,'アイテム'!$A$3:$A$115,0), MATCH(M$102,'アイテム'!$G$2:$AK$2,0))</f>
        <v>8</v>
      </c>
      <c r="N103" s="113">
        <f t="array" ref="N103">INDEX('アイテム'!$G$3:$H$115, MATCH($A$1,'アイテム'!$A$3:$A$115,0), MATCH(N$102,'アイテム'!$G$2:$AK$2,0))</f>
        <v>24</v>
      </c>
      <c r="O103" s="111"/>
      <c r="P103" s="111"/>
      <c r="Q103" s="111"/>
      <c r="R103" s="111"/>
      <c r="S103" s="111"/>
      <c r="T103" s="111"/>
      <c r="U103" s="111"/>
      <c r="V103" s="111"/>
    </row>
    <row r="104" outlineLevel="1">
      <c r="A104" s="156"/>
      <c r="B104" s="300" t="s">
        <v>243</v>
      </c>
      <c r="C104" s="518" t="str">
        <f t="array" ref="C104">INDEX('崖行動・受け身'!$J$3:$M$115, MATCH($A$1,'崖行動・受け身'!$A$3:$A$115,0), MATCH(C99,'崖行動・受け身'!$J$2:$M$2,0))</f>
        <v>1-23</v>
      </c>
      <c r="D104" s="518">
        <f t="array" ref="D104">INDEX('崖行動・受け身'!$J$3:$M$115, MATCH($A$1,'崖行動・受け身'!$A$3:$A$115,0), MATCH(D99,'崖行動・受け身'!$J$2:$M$2,0))</f>
        <v>55</v>
      </c>
      <c r="E104" s="518" t="str">
        <f t="array" ref="E104">INDEX('崖行動・受け身'!$J$3:$M$115, MATCH($A$1,'崖行動・受け身'!$A$3:$A$115,0), MATCH(E99,'崖行動・受け身'!$J$2:$M$2,0))</f>
        <v>21-23</v>
      </c>
      <c r="F104" s="518">
        <f t="array" ref="F104">INDEX('崖行動・受け身'!$J$3:$M$115, MATCH($A$1,'崖行動・受け身'!$A$3:$A$115,0), MATCH(F99,'崖行動・受け身'!$J$2:$M$2,0))</f>
        <v>9</v>
      </c>
      <c r="G104" s="518">
        <f>F104*1.2</f>
        <v>10.8</v>
      </c>
      <c r="H104" s="228"/>
      <c r="I104" s="228"/>
      <c r="J104" s="111"/>
      <c r="K104" s="146"/>
      <c r="L104" s="303" t="str">
        <f>'テンプレート'!L121</f>
        <v>後投げ</v>
      </c>
      <c r="M104" s="113" t="str">
        <f t="array" ref="M104">INDEX('アイテム'!$I$3:$J$115, MATCH($A$1,'アイテム'!$A$3:$A$115,0), MATCH(M$102,'アイテム'!$I$2:$AK$2,0))</f>
        <v>11</v>
      </c>
      <c r="N104" s="113">
        <f t="array" ref="N104">INDEX('アイテム'!$I$3:$J$115, MATCH($A$1,'アイテム'!$A$3:$A$115,0), MATCH(N$102,'アイテム'!$I$2:$AK$2,0))</f>
        <v>24</v>
      </c>
      <c r="O104" s="111"/>
      <c r="P104" s="111"/>
      <c r="Q104" s="111"/>
      <c r="R104" s="111"/>
      <c r="S104" s="111"/>
      <c r="T104" s="111"/>
      <c r="U104" s="111"/>
      <c r="V104" s="111"/>
    </row>
    <row r="105" outlineLevel="1">
      <c r="A105" s="299" t="s">
        <v>244</v>
      </c>
      <c r="B105" s="300" t="s">
        <v>216</v>
      </c>
      <c r="C105" s="518" t="str">
        <f t="array" ref="C105">INDEX('崖行動・受け身'!$N$3:$O$115, MATCH($A$1,'崖行動・受け身'!$A$3:$A$115,0), MATCH(C99,'崖行動・受け身'!$N$2:$O$2,0))</f>
        <v>1-20</v>
      </c>
      <c r="D105" s="518">
        <f t="array" ref="D105">INDEX('崖行動・受け身'!$N$3:$O$115, MATCH($A$1,'崖行動・受け身'!$A$3:$A$115,0), MATCH(D99,'崖行動・受け身'!$N$2:$O$2,0))</f>
        <v>26</v>
      </c>
      <c r="E105" s="1162"/>
      <c r="F105" s="1162"/>
      <c r="G105" s="1162"/>
      <c r="H105" s="228"/>
      <c r="I105" s="228"/>
      <c r="J105" s="117"/>
      <c r="K105" s="146"/>
      <c r="L105" s="303" t="str">
        <f>'テンプレート'!L122</f>
        <v>上投げ</v>
      </c>
      <c r="M105" s="113" t="str">
        <f t="array" ref="M105">INDEX('アイテム'!$K$3:$L$115, MATCH($A$1,'アイテム'!$A$3:$A$115,0), MATCH(M$102,'アイテム'!$K$2:$AK$2,0))</f>
        <v>12</v>
      </c>
      <c r="N105" s="113">
        <f t="array" ref="N105">INDEX('アイテム'!$K$3:$L$115, MATCH($A$1,'アイテム'!$A$3:$A$115,0), MATCH(N$102,'アイテム'!$K$2:$AK$2,0))</f>
        <v>23</v>
      </c>
      <c r="O105" s="228"/>
      <c r="P105" s="228"/>
      <c r="Q105" s="228"/>
      <c r="R105" s="228"/>
      <c r="S105" s="228"/>
      <c r="T105" s="228"/>
      <c r="U105" s="228"/>
      <c r="V105" s="228"/>
    </row>
    <row r="106" outlineLevel="1">
      <c r="A106" s="146"/>
      <c r="B106" s="300" t="s">
        <v>245</v>
      </c>
      <c r="C106" s="518" t="str">
        <f t="array" ref="C106">INDEX('崖行動・受け身'!$P$3:$Q$115, MATCH($A$1,'崖行動・受け身'!$A$3:$A$115,0), MATCH(C99,'崖行動・受け身'!$P$2:$Q$2,0))</f>
        <v>1-20</v>
      </c>
      <c r="D106" s="518">
        <f t="array" ref="D106">INDEX('崖行動・受け身'!$P$3:$Q$115, MATCH($A$1,'崖行動・受け身'!$A$3:$A$115,0), MATCH(D99,'崖行動・受け身'!$P$2:$Q$2,0))</f>
        <v>40</v>
      </c>
      <c r="E106" s="1162"/>
      <c r="F106" s="1162"/>
      <c r="G106" s="1162"/>
      <c r="H106" s="228"/>
      <c r="I106" s="228"/>
      <c r="J106" s="111"/>
      <c r="K106" s="146"/>
      <c r="L106" s="303" t="str">
        <f>'テンプレート'!L123</f>
        <v>下投げ</v>
      </c>
      <c r="M106" s="113" t="str">
        <f t="array" ref="M106">INDEX('アイテム'!$M$3:$N$115, MATCH($A$1,'アイテム'!$A$3:$A$115,0), MATCH(M$102,'アイテム'!$M$2:$AK$2,0))</f>
        <v>7</v>
      </c>
      <c r="N106" s="113">
        <f t="array" ref="N106">INDEX('アイテム'!$M$3:$N$115, MATCH($A$1,'アイテム'!$A$3:$A$115,0), MATCH(N$102,'アイテム'!$M$2:$AK$2,0))</f>
        <v>19</v>
      </c>
      <c r="O106" s="118"/>
      <c r="P106" s="118"/>
      <c r="Q106" s="118"/>
      <c r="R106" s="118"/>
      <c r="S106" s="118"/>
      <c r="T106" s="118"/>
      <c r="U106" s="118"/>
      <c r="V106" s="118"/>
    </row>
    <row r="107" outlineLevel="1">
      <c r="A107" s="156"/>
      <c r="B107" s="300" t="s">
        <v>246</v>
      </c>
      <c r="C107" s="518" t="str">
        <f t="array" ref="C107">INDEX('崖行動・受け身'!$R$3:$S$115, MATCH($A$1,'崖行動・受け身'!$A$3:$A$115,0), MATCH(C99,'崖行動・受け身'!$R$2:$S$2,0))</f>
        <v>1-20</v>
      </c>
      <c r="D107" s="518">
        <f t="array" ref="D107">INDEX('崖行動・受け身'!$R$3:$S$115, MATCH($A$1,'崖行動・受け身'!$A$3:$A$115,0), MATCH(D99,'崖行動・受け身'!$R$2:$S$2,0))</f>
        <v>40</v>
      </c>
      <c r="E107" s="1162"/>
      <c r="F107" s="1162"/>
      <c r="G107" s="1162"/>
      <c r="H107" s="228"/>
      <c r="I107" s="228"/>
      <c r="J107" s="117"/>
      <c r="K107" s="146"/>
      <c r="L107" s="306" t="str">
        <f>'テンプレート'!L124</f>
        <v>ダッシュ</v>
      </c>
      <c r="M107" s="113" t="str">
        <f t="array" ref="M107">INDEX('アイテム'!$O$3:$P$115, MATCH($A$1,'アイテム'!$A$3:$A$115,0), MATCH(M$102,'アイテム'!$O$2:$AK$2,0))</f>
        <v>5</v>
      </c>
      <c r="N107" s="113">
        <f t="array" ref="N107">INDEX('アイテム'!$O$3:$P$115, MATCH($A$1,'アイテム'!$A$3:$A$115,0), MATCH(N$102,'アイテム'!$O$2:$AK$2,0))</f>
        <v>29</v>
      </c>
      <c r="O107" s="118"/>
      <c r="P107" s="118"/>
      <c r="Q107" s="118"/>
      <c r="R107" s="118"/>
      <c r="S107" s="118"/>
      <c r="T107" s="118"/>
      <c r="U107" s="118"/>
      <c r="V107" s="118"/>
    </row>
    <row r="108" outlineLevel="1">
      <c r="A108" s="299" t="s">
        <v>247</v>
      </c>
      <c r="B108" s="300" t="s">
        <v>248</v>
      </c>
      <c r="C108" s="1162"/>
      <c r="D108" s="518" t="str">
        <f t="array" ref="D108">INDEX('起きあがり'!$C$3:$C102, MATCH($A$1,'起きあがり'!$A$3:$A$115,0), MATCH(D99,'起きあがり'!$C$2:$AD$2,0))</f>
        <v>25</v>
      </c>
      <c r="E108" s="1162"/>
      <c r="F108" s="1162"/>
      <c r="G108" s="1162"/>
      <c r="H108" s="228"/>
      <c r="I108" s="228"/>
      <c r="J108" s="111"/>
      <c r="K108" s="156"/>
      <c r="L108" s="306" t="str">
        <f>'テンプレート'!L125</f>
        <v>その場捨て</v>
      </c>
      <c r="M108" s="113" t="str">
        <f t="array" ref="M108">INDEX('アイテム'!$Q$3:$R$115, MATCH($A$1,'アイテム'!$A$3:$A$115,0), MATCH(M$102,'アイテム'!$Q$2:$AK$2,0))</f>
        <v>6</v>
      </c>
      <c r="N108" s="113">
        <f t="array" ref="N108">INDEX('アイテム'!$Q$3:$R$115, MATCH($A$1,'アイテム'!$A$3:$A$115,0), MATCH(N$102,'アイテム'!$Q$2:$AK$2,0))</f>
        <v>23</v>
      </c>
      <c r="O108" s="118"/>
      <c r="P108" s="118"/>
      <c r="Q108" s="118"/>
      <c r="R108" s="118"/>
      <c r="S108" s="118"/>
      <c r="T108" s="118"/>
      <c r="U108" s="118"/>
      <c r="V108" s="118"/>
    </row>
    <row r="109" outlineLevel="1">
      <c r="A109" s="146"/>
      <c r="B109" s="300" t="s">
        <v>216</v>
      </c>
      <c r="C109" s="2540" t="str">
        <f t="array" ref="C109">INDEX('起きあがり'!$D$3:$E102, MATCH($A$1,'起きあがり'!$A$3:$A$115,0), MATCH(C99,'起きあがり'!$D$2:$AD$2,0))</f>
        <v>1-22</v>
      </c>
      <c r="D109" s="2541">
        <f t="array" ref="D109">INDEX('起きあがり'!$D$3:$E102, MATCH($A$1,'起きあがり'!$A$3:$A$115,0), MATCH(D99,'起きあがり'!$D$2:$AD$2,0))</f>
        <v>29</v>
      </c>
      <c r="E109" s="1162"/>
      <c r="F109" s="1162"/>
      <c r="G109" s="1162"/>
      <c r="H109" s="228"/>
      <c r="I109" s="228"/>
      <c r="J109" s="117"/>
      <c r="K109" s="1030" t="str">
        <f>'テンプレート'!K126</f>
        <v>空中投擲</v>
      </c>
      <c r="L109" s="303" t="str">
        <f>'テンプレート'!L126</f>
        <v>前投げ</v>
      </c>
      <c r="M109" s="113" t="str">
        <f t="array" ref="M109">INDEX('アイテム'!$S$3:$T$115, MATCH($A$1,'アイテム'!$A$3:$A$115,0), MATCH(M$102,'アイテム'!$S$2:$AK$2,0))</f>
        <v>8</v>
      </c>
      <c r="N109" s="113">
        <f t="array" ref="N109">INDEX('アイテム'!$S$3:$T$115, MATCH($A$1,'アイテム'!$A$3:$A$115,0), MATCH(N$102,'アイテム'!$S$2:$AK$2,0))</f>
        <v>24</v>
      </c>
      <c r="O109" s="118"/>
      <c r="P109" s="118"/>
      <c r="Q109" s="118"/>
      <c r="R109" s="118"/>
      <c r="S109" s="118"/>
      <c r="T109" s="118"/>
      <c r="U109" s="118"/>
      <c r="V109" s="118"/>
    </row>
    <row r="110" outlineLevel="1">
      <c r="A110" s="146"/>
      <c r="B110" s="300" t="s">
        <v>245</v>
      </c>
      <c r="C110" s="2540" t="str">
        <f t="array" ref="C110">INDEX('起きあがり'!$F$3:$G$115, MATCH($A$1,'起きあがり'!$A$3:$A$115,0), MATCH(C99,'起きあがり'!$F$2:$AD$2,0))</f>
        <v>1-21</v>
      </c>
      <c r="D110" s="2541">
        <f t="array" ref="D110">INDEX('起きあがり'!$F$3:$G$115, MATCH($A$1,'起きあがり'!$A$3:$A$115,0), MATCH(D99,'起きあがり'!$F$2:$AD$2,0))</f>
        <v>35</v>
      </c>
      <c r="E110" s="1162"/>
      <c r="F110" s="1162"/>
      <c r="G110" s="1162"/>
      <c r="H110" s="228"/>
      <c r="I110" s="228"/>
      <c r="J110" s="111"/>
      <c r="K110" s="146"/>
      <c r="L110" s="303" t="str">
        <f>'テンプレート'!L127</f>
        <v>後投げ</v>
      </c>
      <c r="M110" s="113" t="str">
        <f t="array" ref="M110">INDEX('アイテム'!$U$3:$V$115, MATCH($A$1,'アイテム'!$A$3:$A$115,0), MATCH(M$102,'アイテム'!$U$2:$AK$2,0))</f>
        <v>11</v>
      </c>
      <c r="N110" s="113">
        <f t="array" ref="N110">INDEX('アイテム'!$U$3:$V$115, MATCH($A$1,'アイテム'!$A$3:$A$115,0), MATCH(N$102,'アイテム'!$U$2:$AK$2,0))</f>
        <v>24</v>
      </c>
      <c r="O110" s="118"/>
      <c r="P110" s="118"/>
      <c r="Q110" s="118"/>
      <c r="R110" s="118"/>
      <c r="S110" s="118"/>
      <c r="T110" s="118"/>
      <c r="U110" s="118"/>
      <c r="V110" s="118"/>
    </row>
    <row r="111" outlineLevel="1">
      <c r="A111" s="146"/>
      <c r="B111" s="300" t="s">
        <v>246</v>
      </c>
      <c r="C111" s="518" t="str">
        <f t="array" ref="C111">INDEX('起きあがり'!$H$3:$I$115, MATCH($A$1,'起きあがり'!$A$3:$A$115,0), MATCH(C99,'起きあがり'!$H$2:$AD$2,0))</f>
        <v>1-22</v>
      </c>
      <c r="D111" s="518">
        <f t="array" ref="D111">INDEX('起きあがり'!$H$3:$I$115, MATCH($A$1,'起きあがり'!$A$3:$A$115,0), MATCH(D99,'起きあがり'!$H$2:$AD$2,0))</f>
        <v>35</v>
      </c>
      <c r="E111" s="1162"/>
      <c r="F111" s="1162"/>
      <c r="G111" s="1162"/>
      <c r="H111" s="228"/>
      <c r="I111" s="228"/>
      <c r="J111" s="117"/>
      <c r="K111" s="146"/>
      <c r="L111" s="303" t="str">
        <f>'テンプレート'!L128</f>
        <v>上投げ</v>
      </c>
      <c r="M111" s="113" t="str">
        <f t="array" ref="M111">INDEX('アイテム'!$W$3:$X$115, MATCH($A$1,'アイテム'!$A$3:$A$115,0), MATCH(M$102,'アイテム'!$W$2:$AK$2,0))</f>
        <v>12</v>
      </c>
      <c r="N111" s="113">
        <f t="array" ref="N111">INDEX('アイテム'!$W$3:$X$115, MATCH($A$1,'アイテム'!$A$3:$A$115,0), MATCH(N$102,'アイテム'!$W$2:$AK$2,0))</f>
        <v>23</v>
      </c>
      <c r="O111" s="118"/>
      <c r="P111" s="118"/>
      <c r="Q111" s="118"/>
      <c r="R111" s="118"/>
      <c r="S111" s="118"/>
      <c r="T111" s="118"/>
      <c r="U111" s="118"/>
      <c r="V111" s="118"/>
    </row>
    <row r="112" outlineLevel="1">
      <c r="A112" s="146"/>
      <c r="B112" s="300" t="s">
        <v>249</v>
      </c>
      <c r="C112" s="2542" t="str">
        <f t="array" ref="C112">INDEX('起きあがり'!$J$3:$M$115, MATCH($A$1,'起きあがり'!$A$3:$A$115,0), MATCH(C99,'起きあがり'!$J$2:$AD$2,0))</f>
        <v>1-27</v>
      </c>
      <c r="D112" s="2543">
        <f t="array" ref="D112">INDEX('起きあがり'!$J$3:$M$115, MATCH($A$1,'起きあがり'!$A$3:$A$115,0), MATCH(D99,'起きあがり'!$J$2:$AD$2,0))</f>
        <v>45</v>
      </c>
      <c r="E112" s="2540" t="str">
        <f t="array" ref="E112">INDEX('起きあがり'!$J$3:$M$115, MATCH($A$1,'起きあがり'!$A$3:$A$115,0), MATCH(E99,'起きあがり'!$J$2:$AD$2,0))</f>
        <v>19-20</v>
      </c>
      <c r="F112" s="2541">
        <f t="array" ref="F112">INDEX('起きあがり'!$J$3:$M$115, MATCH($A$1,'起きあがり'!$A$3:$A$115,0), MATCH(F99,'起きあがり'!$J$2:$AD$2,0))</f>
        <v>7</v>
      </c>
      <c r="G112" s="518">
        <f t="shared" ref="G112:G113" si="1">F112*1.2</f>
        <v>8.4</v>
      </c>
      <c r="H112" s="228"/>
      <c r="I112" s="228"/>
      <c r="J112" s="111"/>
      <c r="K112" s="156"/>
      <c r="L112" s="303" t="str">
        <f>'テンプレート'!L129</f>
        <v>下投げ</v>
      </c>
      <c r="M112" s="113" t="str">
        <f t="array" ref="M112">INDEX('アイテム'!$Y$3:$Z$115, MATCH($A$1,'アイテム'!$A$3:$A$115,0), MATCH(M$102,'アイテム'!$Y$2:$AK$2,0))</f>
        <v>7</v>
      </c>
      <c r="N112" s="113">
        <f t="array" ref="N112">INDEX('アイテム'!$Y$3:$Z$115, MATCH($A$1,'アイテム'!$A$3:$A$115,0), MATCH(N$102,'アイテム'!$Y$2:$AK$2,0))</f>
        <v>19</v>
      </c>
      <c r="O112" s="111"/>
      <c r="P112" s="111"/>
      <c r="Q112" s="111"/>
      <c r="R112" s="111"/>
      <c r="S112" s="111"/>
      <c r="T112" s="111"/>
      <c r="U112" s="111"/>
      <c r="V112" s="111"/>
    </row>
    <row r="113" outlineLevel="1">
      <c r="A113" s="156"/>
      <c r="B113" s="311" t="s">
        <v>250</v>
      </c>
      <c r="C113" s="107"/>
      <c r="D113" s="107"/>
      <c r="E113" s="2540" t="str">
        <f t="array" ref="E113">INDEX('起きあがり'!$N$3:$O$115, MATCH($A$1,'起きあがり'!$A$3:$A$115,0), MATCH(E99,'起きあがり'!$N$2:$AD$2,0))</f>
        <v>26-27</v>
      </c>
      <c r="F113" s="2541">
        <f t="array" ref="F113">INDEX('起きあがり'!$N$3:$O$115, MATCH($A$1,'起きあがり'!$A$3:$A$115,0), MATCH(F99,'起きあがり'!$N$2:$AD$2,0))</f>
        <v>7</v>
      </c>
      <c r="G113" s="518">
        <f t="shared" si="1"/>
        <v>8.4</v>
      </c>
      <c r="H113" s="228"/>
      <c r="I113" s="228"/>
      <c r="J113" s="111"/>
      <c r="K113" s="312" t="str">
        <f>'テンプレート'!K130</f>
        <v>踏み台ジャンプ</v>
      </c>
      <c r="L113" s="168"/>
      <c r="M113" s="298" t="str">
        <f>'テンプレート'!M130</f>
        <v>全体フレーム</v>
      </c>
      <c r="N113" s="114"/>
      <c r="O113" s="111"/>
      <c r="P113" s="111"/>
      <c r="Q113" s="111"/>
      <c r="R113" s="111"/>
      <c r="S113" s="111"/>
      <c r="T113" s="111"/>
      <c r="U113" s="111"/>
      <c r="V113" s="111"/>
    </row>
    <row r="114" outlineLevel="1">
      <c r="A114" s="299" t="s">
        <v>251</v>
      </c>
      <c r="B114" s="300" t="s">
        <v>248</v>
      </c>
      <c r="C114" s="1162"/>
      <c r="D114" s="2540" t="str">
        <f t="array" ref="D114">INDEX('起きあがり'!$C$3:$C102, MATCH($A$1,'起きあがり'!$A$3:$A$115,0), MATCH(D99,'起きあがり'!$C$2,0))</f>
        <v>25</v>
      </c>
      <c r="E114" s="1162"/>
      <c r="F114" s="1162"/>
      <c r="G114" s="1162"/>
      <c r="H114" s="228"/>
      <c r="I114" s="228"/>
      <c r="J114" s="117"/>
      <c r="K114" s="313" t="str">
        <f>'テンプレート'!K131</f>
        <v>踏み</v>
      </c>
      <c r="L114" s="314" t="str">
        <f>'テンプレート'!L131</f>
        <v>踏み</v>
      </c>
      <c r="M114" s="113" t="str">
        <f t="array" ref="M114">INDEX('共通動作その他'!$C$3:$C$102, MATCH($A$1,'共通動作その他'!$A$3:$A$102,0), MATCH(M$113,'共通動作その他'!$C$2:$AA$2,0))</f>
        <v>-</v>
      </c>
      <c r="N114" s="315"/>
      <c r="O114" s="111"/>
      <c r="P114" s="111"/>
      <c r="Q114" s="111"/>
      <c r="R114" s="111"/>
      <c r="S114" s="111"/>
      <c r="T114" s="111"/>
      <c r="U114" s="111"/>
      <c r="V114" s="111"/>
    </row>
    <row r="115" outlineLevel="1">
      <c r="A115" s="146"/>
      <c r="B115" s="300" t="s">
        <v>216</v>
      </c>
      <c r="C115" s="2540" t="str">
        <f t="array" ref="C115">INDEX('起きあがり'!$P$3:$Q$115, MATCH($A$1,'起きあがり'!$A$3:$A$115,0), MATCH(C99,'起きあがり'!$P$2:$AD$2,0))</f>
        <v>1-22</v>
      </c>
      <c r="D115" s="2541">
        <f t="array" ref="D115">INDEX('起きあがり'!$P$3:$Q$115, MATCH($A$1,'起きあがり'!$A$3:$A$115,0), MATCH(D99,'起きあがり'!$P$2:$AD$2,0))</f>
        <v>29</v>
      </c>
      <c r="E115" s="1162"/>
      <c r="F115" s="1162"/>
      <c r="G115" s="1162"/>
      <c r="H115" s="228"/>
      <c r="I115" s="228"/>
      <c r="J115" s="111"/>
      <c r="K115" s="305" t="str">
        <f>'テンプレート'!K132</f>
        <v>踏まれ</v>
      </c>
      <c r="L115" s="314" t="str">
        <f>'テンプレート'!L132</f>
        <v>地上踏まれ</v>
      </c>
      <c r="M115" s="113" t="str">
        <f t="array" ref="M115">INDEX('共通動作その他'!$D$3:$D$102, MATCH($A$1,'共通動作その他'!$A$3:$A$102,0), MATCH(M$113,'共通動作その他'!$D$2:$AA$2,0))</f>
        <v>-</v>
      </c>
      <c r="N115" s="315"/>
      <c r="O115" s="228"/>
      <c r="P115" s="228"/>
      <c r="Q115" s="228"/>
      <c r="R115" s="228"/>
      <c r="S115" s="228"/>
      <c r="T115" s="228"/>
      <c r="U115" s="228"/>
      <c r="V115" s="228"/>
    </row>
    <row r="116" outlineLevel="1">
      <c r="A116" s="146"/>
      <c r="B116" s="300" t="s">
        <v>245</v>
      </c>
      <c r="C116" s="2540" t="str">
        <f t="array" ref="C116">INDEX('起きあがり'!$R$3:$S$115, MATCH($A$1,'起きあがり'!$A$3:$A$115,0), MATCH(C99,'起きあがり'!$R$2:$AD$2,0))</f>
        <v>1-19</v>
      </c>
      <c r="D116" s="2541">
        <f t="array" ref="D116">INDEX('起きあがり'!$R$3:$S$115, MATCH($A$1,'起きあがり'!$A$3:$A$115,0), MATCH(D99,'起きあがり'!$R$2:$AD$2,0))</f>
        <v>35</v>
      </c>
      <c r="E116" s="1162"/>
      <c r="F116" s="1162"/>
      <c r="G116" s="1162"/>
      <c r="H116" s="228"/>
      <c r="I116" s="228"/>
      <c r="J116" s="117"/>
      <c r="K116" s="146"/>
      <c r="L116" s="314" t="str">
        <f>'テンプレート'!L133</f>
        <v>地上硬直</v>
      </c>
      <c r="M116" s="113" t="str">
        <f t="array" ref="M116">INDEX('共通動作その他'!$E$3:$E$102, MATCH($A$1,'共通動作その他'!$A$3:$A$102,0), MATCH(M$113,'共通動作その他'!$E$2:$AA$2,0))</f>
        <v>-</v>
      </c>
      <c r="N116" s="102"/>
      <c r="O116" s="118"/>
      <c r="P116" s="118"/>
      <c r="Q116" s="118"/>
      <c r="R116" s="118"/>
      <c r="S116" s="118"/>
      <c r="T116" s="118"/>
      <c r="U116" s="118"/>
      <c r="V116" s="118"/>
    </row>
    <row r="117" outlineLevel="1">
      <c r="A117" s="146"/>
      <c r="B117" s="300" t="s">
        <v>246</v>
      </c>
      <c r="C117" s="2540" t="str">
        <f t="array" ref="C117">INDEX('起きあがり'!$T$3:$U$115, MATCH($A$1,'起きあがり'!$A$3:$A$115,0), MATCH(C99,'起きあがり'!$T$2:$AD$2,0))</f>
        <v>1-24</v>
      </c>
      <c r="D117" s="2541">
        <f t="array" ref="D117">INDEX('起きあがり'!$T$3:$U$115, MATCH($A$1,'起きあがり'!$A$3:$A$115,0), MATCH(D99,'起きあがり'!$T$2:$AD$2,0))</f>
        <v>35</v>
      </c>
      <c r="E117" s="1162"/>
      <c r="F117" s="1162"/>
      <c r="G117" s="1162"/>
      <c r="H117" s="228"/>
      <c r="I117" s="228"/>
      <c r="J117" s="111"/>
      <c r="K117" s="146"/>
      <c r="L117" s="314" t="str">
        <f>'テンプレート'!L134</f>
        <v>空中踏まれ</v>
      </c>
      <c r="M117" s="113" t="str">
        <f t="array" ref="M117">INDEX('共通動作その他'!$F$3:$F$102, MATCH($A$1,'共通動作その他'!$A$3:$A$102,0), MATCH(M$113,'共通動作その他'!$F$2:$AA$2,0))</f>
        <v>-</v>
      </c>
      <c r="N117" s="102"/>
      <c r="O117" s="118"/>
      <c r="P117" s="118"/>
      <c r="Q117" s="118"/>
      <c r="R117" s="118"/>
      <c r="S117" s="118"/>
      <c r="T117" s="118"/>
      <c r="U117" s="118"/>
      <c r="V117" s="118"/>
    </row>
    <row r="118" outlineLevel="1">
      <c r="A118" s="146"/>
      <c r="B118" s="300" t="s">
        <v>249</v>
      </c>
      <c r="C118" s="2542" t="str">
        <f t="array" ref="C118">INDEX('起きあがり'!$V$3:$Y$115, MATCH($A$1,'起きあがり'!$A$3:$A$115,0), MATCH(C99,'起きあがり'!$V$2:$AD$2,0))</f>
        <v>1-27</v>
      </c>
      <c r="D118" s="2543">
        <f t="array" ref="D118">INDEX('起きあがり'!$V$3:$Y$115, MATCH($A$1,'起きあがり'!$A$3:$A$115,0), MATCH(D99,'起きあがり'!$V$2:$AD$2,0))</f>
        <v>45</v>
      </c>
      <c r="E118" s="2540" t="str">
        <f t="array" ref="E118">INDEX('起きあがり'!$V$3:$Y$115, MATCH($A$1,'起きあがり'!$A$3:$A$115,0), MATCH(E99,'起きあがり'!$V$2:$AD$2,0))</f>
        <v>19-20</v>
      </c>
      <c r="F118" s="2541">
        <f t="array" ref="F118">INDEX('起きあがり'!$V$3:$Y$115, MATCH($A$1,'起きあがり'!$A$3:$A$115,0), MATCH(F99,'起きあがり'!$V$2:$AD$2,0))</f>
        <v>7</v>
      </c>
      <c r="G118" s="518">
        <f t="shared" ref="G118:G119" si="2">F118*1.2</f>
        <v>8.4</v>
      </c>
      <c r="H118" s="228"/>
      <c r="I118" s="228"/>
      <c r="J118" s="117"/>
      <c r="K118" s="146"/>
      <c r="L118" s="314" t="str">
        <f>'テンプレート'!L135</f>
        <v>空中落下</v>
      </c>
      <c r="M118" s="113" t="str">
        <f t="array" ref="M118">INDEX('共通動作その他'!$G$3:$G$102, MATCH($A$1,'共通動作その他'!$A$3:$A$102,0), MATCH(M$113,'共通動作その他'!$G$2:$AA$2,0))</f>
        <v>-</v>
      </c>
      <c r="N118" s="102"/>
      <c r="O118" s="118"/>
      <c r="P118" s="118"/>
      <c r="Q118" s="118"/>
      <c r="R118" s="118"/>
      <c r="S118" s="118"/>
      <c r="T118" s="118"/>
      <c r="U118" s="118"/>
      <c r="V118" s="118"/>
    </row>
    <row r="119" outlineLevel="1">
      <c r="A119" s="156"/>
      <c r="B119" s="311" t="s">
        <v>250</v>
      </c>
      <c r="C119" s="107"/>
      <c r="D119" s="107"/>
      <c r="E119" s="2540" t="str">
        <f t="array" ref="E119">INDEX('起きあがり'!$Z$3:$AA$115, MATCH($A$1,'起きあがり'!$A$3:$A$115,0), MATCH(E99,'起きあがり'!$Z$2:$AD$2,0))</f>
        <v>26-27</v>
      </c>
      <c r="F119" s="2541">
        <f t="array" ref="F119">INDEX('起きあがり'!$Z$3:$AA$115, MATCH($A$1,'起きあがり'!$A$3:$A$115,0), MATCH(F99,'起きあがり'!$Z$2:$AD$2,0))</f>
        <v>7</v>
      </c>
      <c r="G119" s="518">
        <f t="shared" si="2"/>
        <v>8.4</v>
      </c>
      <c r="H119" s="228"/>
      <c r="I119" s="228"/>
      <c r="J119" s="117"/>
      <c r="K119" s="304" t="str">
        <f>'テンプレート'!K136</f>
        <v>倒れダメージ</v>
      </c>
      <c r="L119" s="110"/>
      <c r="M119" s="298" t="str">
        <f>'テンプレート'!M136</f>
        <v>全体フレーム</v>
      </c>
      <c r="N119" s="102"/>
      <c r="O119" s="118"/>
      <c r="P119" s="118"/>
      <c r="Q119" s="118"/>
      <c r="R119" s="118"/>
      <c r="S119" s="118"/>
      <c r="T119" s="118"/>
      <c r="U119" s="118"/>
      <c r="V119" s="118"/>
    </row>
    <row r="120" outlineLevel="1">
      <c r="A120" s="299" t="s">
        <v>252</v>
      </c>
      <c r="B120" s="300" t="s">
        <v>253</v>
      </c>
      <c r="C120" s="2540" t="str">
        <f t="array" ref="C120">INDEX('転倒'!$C$3:$D102, MATCH($A$1,'転倒'!$A$3:$A$115,0), MATCH(C99,'転倒'!$C$2:$AC$2,0))</f>
        <v>1-5</v>
      </c>
      <c r="D120" s="2541">
        <f t="array" ref="D120">INDEX('転倒'!$C$3:$D102, MATCH($A$1,'転倒'!$A$3:$A$115,0), MATCH(D99,'転倒'!$C$2:$AC$2,0))</f>
        <v>29</v>
      </c>
      <c r="E120" s="1162"/>
      <c r="F120" s="1162"/>
      <c r="G120" s="1162"/>
      <c r="H120" s="228"/>
      <c r="I120" s="228"/>
      <c r="J120" s="111"/>
      <c r="K120" s="313" t="str">
        <f>'テンプレート'!K137</f>
        <v>あお向け倒れ</v>
      </c>
      <c r="L120" s="306" t="str">
        <f>'テンプレート'!L137</f>
        <v>モーション大</v>
      </c>
      <c r="M120" s="113" t="str">
        <f t="array" ref="M120">INDEX('共通動作その他'!$H$3:$H$102, MATCH($A$1,'共通動作その他'!$A$3:$A$102,0), MATCH(M$119,'共通動作その他'!$H$2:$AA$2,0))</f>
        <v>-</v>
      </c>
      <c r="N120" s="315"/>
      <c r="O120" s="118"/>
      <c r="P120" s="118"/>
      <c r="Q120" s="118"/>
      <c r="R120" s="118"/>
      <c r="S120" s="118"/>
      <c r="T120" s="118"/>
      <c r="U120" s="118"/>
      <c r="V120" s="118"/>
    </row>
    <row r="121" outlineLevel="1">
      <c r="A121" s="146"/>
      <c r="B121" s="300" t="s">
        <v>254</v>
      </c>
      <c r="C121" s="2540" t="str">
        <f t="array" ref="C121">INDEX('転倒'!$E$3:$F102, MATCH($A$1,'転倒'!$A$3:$A$115,0), MATCH(C99,'転倒'!$E$2:$AC$2,0))</f>
        <v>1-5</v>
      </c>
      <c r="D121" s="2541">
        <f t="array" ref="D121">INDEX('転倒'!$E$3:$F102, MATCH($A$1,'転倒'!$A$3:$A$115,0), MATCH(D99,'転倒'!$E$2:$AC$2,0))</f>
        <v>39</v>
      </c>
      <c r="E121" s="1162"/>
      <c r="F121" s="1162"/>
      <c r="G121" s="1162"/>
      <c r="H121" s="228"/>
      <c r="I121" s="228"/>
      <c r="J121" s="117"/>
      <c r="K121" s="313" t="str">
        <f>'テンプレート'!K138</f>
        <v>うつ伏せ倒れ</v>
      </c>
      <c r="L121" s="306" t="str">
        <f>'テンプレート'!L138</f>
        <v>モーション大</v>
      </c>
      <c r="M121" s="113" t="str">
        <f t="array" ref="M121">INDEX('共通動作その他'!$I$3:$I$102, MATCH($A$1,'共通動作その他'!$A$3:$A$102,0), MATCH(M$119,'共通動作その他'!$I$2:$AA$2,0))</f>
        <v>-</v>
      </c>
      <c r="N121" s="315"/>
      <c r="O121" s="118"/>
      <c r="P121" s="118"/>
      <c r="Q121" s="118"/>
      <c r="R121" s="118"/>
      <c r="S121" s="118"/>
      <c r="T121" s="118"/>
      <c r="U121" s="118"/>
      <c r="V121" s="118"/>
    </row>
    <row r="122" outlineLevel="1">
      <c r="A122" s="146"/>
      <c r="B122" s="300" t="s">
        <v>216</v>
      </c>
      <c r="C122" s="2540" t="str">
        <f t="array" ref="C122">INDEX('転倒'!$G$3:$H$115, MATCH($A$1,'転倒'!$A$3:$A$115,0), MATCH(C99,'転倒'!$G$2:$AC$2,0))</f>
        <v>1-16</v>
      </c>
      <c r="D122" s="2541">
        <f t="array" ref="D122">INDEX('転倒'!$G$3:$H$115, MATCH($A$1,'転倒'!$A$3:$A$115,0), MATCH(D99,'転倒'!$G$2:$AC$2,0))</f>
        <v>21</v>
      </c>
      <c r="E122" s="1162"/>
      <c r="F122" s="1162"/>
      <c r="G122" s="1162"/>
      <c r="H122" s="228"/>
      <c r="I122" s="228"/>
      <c r="J122" s="111"/>
      <c r="K122" s="304" t="str">
        <f>'テンプレート'!K139</f>
        <v/>
      </c>
      <c r="L122" s="110"/>
      <c r="M122" s="298" t="str">
        <f>'テンプレート'!M139</f>
        <v/>
      </c>
      <c r="N122" s="102"/>
      <c r="O122" s="118"/>
      <c r="P122" s="118"/>
      <c r="Q122" s="118"/>
      <c r="R122" s="118"/>
      <c r="S122" s="118"/>
      <c r="T122" s="118"/>
      <c r="U122" s="118"/>
      <c r="V122" s="118"/>
    </row>
    <row r="123" outlineLevel="1">
      <c r="A123" s="146"/>
      <c r="B123" s="300" t="s">
        <v>245</v>
      </c>
      <c r="C123" s="2540" t="str">
        <f t="array" ref="C123">INDEX('転倒'!$I$3:$J$115, MATCH($A$1,'転倒'!$A$3:$A$115,0), MATCH(C99,'転倒'!$I$2:$AC$2,0))</f>
        <v>1-9</v>
      </c>
      <c r="D123" s="2541">
        <f t="array" ref="D123">INDEX('転倒'!$I$3:$J$115, MATCH($A$1,'転倒'!$A$3:$A$115,0), MATCH(D99,'転倒'!$I$2:$AC$2,0))</f>
        <v>28</v>
      </c>
      <c r="E123" s="1162"/>
      <c r="F123" s="1162"/>
      <c r="G123" s="1162"/>
      <c r="H123" s="228"/>
      <c r="I123" s="228"/>
      <c r="J123" s="228"/>
      <c r="K123" s="316" t="str">
        <f>'テンプレート'!K140</f>
        <v/>
      </c>
      <c r="L123" s="317" t="str">
        <f>'テンプレート'!L140</f>
        <v/>
      </c>
      <c r="M123" s="113" t="str">
        <f t="array" ref="M123">INDEX('共通動作その他'!$J$3:$J$102, MATCH($A$1,'共通動作その他'!$A$3:$A$102,0), MATCH(M$122,'共通動作その他'!$J$2:$AA$2,0))</f>
        <v>#N/A</v>
      </c>
      <c r="N123" s="102"/>
      <c r="O123" s="118"/>
      <c r="P123" s="118"/>
      <c r="Q123" s="118"/>
      <c r="R123" s="118"/>
      <c r="S123" s="118"/>
      <c r="T123" s="118"/>
      <c r="U123" s="118"/>
      <c r="V123" s="118"/>
    </row>
    <row r="124" outlineLevel="1">
      <c r="A124" s="146"/>
      <c r="B124" s="300" t="s">
        <v>246</v>
      </c>
      <c r="C124" s="2540" t="str">
        <f t="array" ref="C124">INDEX('転倒'!$K$3:$L$115, MATCH($A$1,'転倒'!$A$3:$A$115,0), MATCH(C99,'転倒'!$K$2:$AC$2,0))</f>
        <v>1-9</v>
      </c>
      <c r="D124" s="2541">
        <f t="array" ref="D124">INDEX('転倒'!$K$3:$L$115, MATCH($A$1,'転倒'!$A$3:$A$115,0), MATCH(D99,'転倒'!$K$2:$AC$2,0))</f>
        <v>28</v>
      </c>
      <c r="E124" s="1162"/>
      <c r="F124" s="1162"/>
      <c r="G124" s="1162"/>
      <c r="H124" s="228"/>
      <c r="I124" s="228"/>
      <c r="J124" s="228"/>
      <c r="K124" s="102"/>
      <c r="L124" s="118"/>
      <c r="M124" s="118"/>
      <c r="N124" s="102"/>
      <c r="O124" s="118"/>
      <c r="P124" s="118"/>
      <c r="Q124" s="118"/>
      <c r="R124" s="118"/>
      <c r="S124" s="118"/>
      <c r="T124" s="118"/>
      <c r="U124" s="118"/>
      <c r="V124" s="118"/>
    </row>
    <row r="125" outlineLevel="1">
      <c r="A125" s="146"/>
      <c r="B125" s="300" t="s">
        <v>249</v>
      </c>
      <c r="C125" s="2542" t="str">
        <f t="array" ref="C125">INDEX('転倒'!$M$3:$P$115, MATCH($A$1,'転倒'!$A$3:$A$115,0), MATCH(C99,'転倒'!$M$2:$AC$2,0))</f>
        <v>1-7</v>
      </c>
      <c r="D125" s="2543">
        <f t="array" ref="D125">INDEX('転倒'!$M$3:$P$115, MATCH($A$1,'転倒'!$A$3:$A$115,0), MATCH(D99,'転倒'!$M$2:$AC$2,0))</f>
        <v>49</v>
      </c>
      <c r="E125" s="2540" t="str">
        <f t="array" ref="E125">INDEX('転倒'!$M$3:$P$115, MATCH($A$1,'転倒'!$A$3:$A$115,0), MATCH(E99,'転倒'!$M$2:$AC$2,0))</f>
        <v>19-20</v>
      </c>
      <c r="F125" s="2541">
        <f t="array" ref="F125">INDEX('転倒'!$M$3:$P$115, MATCH($A$1,'転倒'!$A$3:$A$115,0), MATCH(F99,'転倒'!$M$2:$AC$2,0))</f>
        <v>5</v>
      </c>
      <c r="G125" s="518">
        <f t="shared" ref="G125:G126" si="3">F125*1.2</f>
        <v>6</v>
      </c>
      <c r="H125" s="228"/>
      <c r="I125" s="228"/>
      <c r="J125" s="228"/>
      <c r="K125" s="118"/>
      <c r="L125" s="118"/>
      <c r="M125" s="118"/>
      <c r="N125" s="102"/>
      <c r="O125" s="102"/>
      <c r="P125" s="102"/>
      <c r="Q125" s="102"/>
      <c r="R125" s="118"/>
      <c r="S125" s="118"/>
      <c r="T125" s="118"/>
      <c r="U125" s="118"/>
      <c r="V125" s="118"/>
    </row>
    <row r="126" outlineLevel="1">
      <c r="A126" s="156"/>
      <c r="B126" s="311" t="s">
        <v>250</v>
      </c>
      <c r="C126" s="107"/>
      <c r="D126" s="107"/>
      <c r="E126" s="2540" t="str">
        <f t="array" ref="E126">INDEX('転倒'!$Q$3:$R$115, MATCH($A$1,'転倒'!$A$3:$A$115,0), MATCH(E99,'転倒'!$Q$2:$AC$2,0))</f>
        <v>31-32</v>
      </c>
      <c r="F126" s="2541">
        <f t="array" ref="F126">INDEX('転倒'!$Q$3:$R$115, MATCH($A$1,'転倒'!$A$3:$A$115,0), MATCH(F99,'転倒'!$Q$2:$AC$2,0))</f>
        <v>5</v>
      </c>
      <c r="G126" s="518">
        <f t="shared" si="3"/>
        <v>6</v>
      </c>
      <c r="H126" s="228"/>
      <c r="I126" s="228"/>
      <c r="J126" s="228"/>
      <c r="K126" s="118"/>
      <c r="L126" s="118"/>
      <c r="M126" s="118"/>
      <c r="N126" s="102"/>
      <c r="O126" s="102"/>
      <c r="P126" s="102"/>
      <c r="Q126" s="102"/>
      <c r="R126" s="118"/>
      <c r="S126" s="118"/>
      <c r="T126" s="118"/>
      <c r="U126" s="118"/>
      <c r="V126" s="118"/>
    </row>
    <row r="127" outlineLevel="1">
      <c r="A127" s="319"/>
      <c r="B127" s="320"/>
      <c r="C127" s="321"/>
      <c r="D127" s="321"/>
      <c r="E127" s="2544"/>
      <c r="F127" s="2545"/>
      <c r="G127" s="2546"/>
      <c r="H127" s="228"/>
      <c r="I127" s="228"/>
      <c r="J127" s="228"/>
      <c r="K127" s="118"/>
      <c r="L127" s="118"/>
      <c r="M127" s="118"/>
      <c r="N127" s="102"/>
      <c r="O127" s="102"/>
      <c r="P127" s="102"/>
      <c r="Q127" s="102"/>
      <c r="R127" s="118"/>
      <c r="S127" s="118"/>
      <c r="T127" s="118"/>
      <c r="U127" s="118"/>
      <c r="V127" s="118"/>
    </row>
    <row r="128" outlineLevel="1">
      <c r="A128" s="323" t="s">
        <v>255</v>
      </c>
      <c r="B128" s="109"/>
      <c r="C128" s="321"/>
      <c r="D128" s="321"/>
      <c r="E128" s="2544"/>
      <c r="F128" s="2545"/>
      <c r="G128" s="2546"/>
      <c r="H128" s="228"/>
      <c r="I128" s="228"/>
      <c r="J128" s="228"/>
      <c r="K128" s="118"/>
      <c r="L128" s="118"/>
      <c r="M128" s="118"/>
      <c r="N128" s="102"/>
      <c r="O128" s="102"/>
      <c r="P128" s="102"/>
      <c r="Q128" s="102"/>
      <c r="R128" s="118"/>
      <c r="S128" s="118"/>
      <c r="T128" s="118"/>
      <c r="U128" s="118"/>
      <c r="V128" s="118"/>
    </row>
    <row r="129" outlineLevel="1">
      <c r="A129" s="324" t="s">
        <v>256</v>
      </c>
      <c r="B129" s="109"/>
      <c r="C129" s="325" t="s">
        <v>257</v>
      </c>
      <c r="D129" s="325" t="s">
        <v>49</v>
      </c>
      <c r="E129" s="2544"/>
      <c r="F129" s="2545"/>
      <c r="G129" s="2546"/>
      <c r="H129" s="228"/>
      <c r="I129" s="228"/>
      <c r="J129" s="228"/>
      <c r="K129" s="118"/>
      <c r="L129" s="118"/>
      <c r="M129" s="118"/>
      <c r="N129" s="102"/>
      <c r="O129" s="102"/>
      <c r="P129" s="102"/>
      <c r="Q129" s="102"/>
      <c r="R129" s="118"/>
      <c r="S129" s="118"/>
      <c r="T129" s="118"/>
      <c r="U129" s="118"/>
      <c r="V129" s="118"/>
    </row>
    <row r="130" outlineLevel="1">
      <c r="A130" s="326" t="s">
        <v>258</v>
      </c>
      <c r="B130" s="327" t="s">
        <v>216</v>
      </c>
      <c r="C130" s="328" t="str">
        <f t="array" ref="C130">INDEX('アイテム'!$C$3:$D$114, MATCH($A$1,'アイテム'!$A$3:$A$114,0), MATCH(C129,'アイテム'!$C$2:$AQ$2,0))</f>
        <v>2</v>
      </c>
      <c r="D130" s="328">
        <f t="array" ref="D130">INDEX('アイテム'!$C$3:$D$114, MATCH($A$1,'アイテム'!$A$3:$A$114,0), MATCH(D129,'アイテム'!$C$2:$AQ$2,0))</f>
        <v>7</v>
      </c>
      <c r="E130" s="2544"/>
      <c r="F130" s="2545"/>
      <c r="G130" s="2546"/>
      <c r="H130" s="228"/>
      <c r="I130" s="228"/>
      <c r="J130" s="228"/>
      <c r="K130" s="118"/>
      <c r="L130" s="118"/>
      <c r="M130" s="118"/>
      <c r="N130" s="102"/>
      <c r="O130" s="102"/>
      <c r="P130" s="102"/>
      <c r="Q130" s="102"/>
      <c r="R130" s="118"/>
      <c r="S130" s="118"/>
      <c r="T130" s="118"/>
      <c r="U130" s="118"/>
      <c r="V130" s="118"/>
    </row>
    <row r="131" outlineLevel="1">
      <c r="A131" s="156"/>
      <c r="B131" s="327" t="s">
        <v>219</v>
      </c>
      <c r="C131" s="328" t="str">
        <f t="array" ref="C131">INDEX('アイテム'!$E$3:$F$114, MATCH($A$1,'アイテム'!$A$3:$A$114,0), MATCH(C129,'アイテム'!$C$2:$AQ$2,0))</f>
        <v>2</v>
      </c>
      <c r="D131" s="328">
        <f t="array" ref="D131">INDEX('アイテム'!$E$3:$F$114, MATCH($A$1,'アイテム'!$A$3:$A$114,0), MATCH(D129,'アイテム'!$C$2:$AQ$2,0))</f>
        <v>19</v>
      </c>
      <c r="E131" s="2544"/>
      <c r="F131" s="2545"/>
      <c r="G131" s="2546"/>
      <c r="H131" s="228"/>
      <c r="I131" s="228"/>
      <c r="J131" s="228"/>
      <c r="K131" s="118"/>
      <c r="L131" s="118"/>
      <c r="M131" s="118"/>
      <c r="N131" s="102"/>
      <c r="O131" s="102"/>
      <c r="P131" s="102"/>
      <c r="Q131" s="102"/>
      <c r="R131" s="118"/>
      <c r="S131" s="118"/>
      <c r="T131" s="118"/>
      <c r="U131" s="118"/>
      <c r="V131" s="118"/>
    </row>
    <row r="132" outlineLevel="1">
      <c r="A132" s="329" t="s">
        <v>259</v>
      </c>
      <c r="B132" s="327" t="s">
        <v>216</v>
      </c>
      <c r="C132" s="328">
        <f t="array" ref="C132">INDEX('アイテム'!$AA$3:$AB$114, MATCH($A$1,'アイテム'!$A$3:$A$114,0), MATCH(C129,'アイテム'!$C$2:$AQ$2,0))</f>
        <v>3</v>
      </c>
      <c r="D132" s="328" t="str">
        <f t="array" ref="D132">INDEX('アイテム'!$AA$3:$AB$114, MATCH($A$1,'アイテム'!$A$3:$A$114,0), MATCH(D129,'アイテム'!$C$2:$AQ$2,0))</f>
        <v>12</v>
      </c>
      <c r="E132" s="2544"/>
      <c r="F132" s="2545"/>
      <c r="G132" s="2546"/>
      <c r="H132" s="228"/>
      <c r="I132" s="228"/>
      <c r="J132" s="228"/>
      <c r="K132" s="118"/>
      <c r="L132" s="118"/>
      <c r="M132" s="118"/>
      <c r="N132" s="102"/>
      <c r="O132" s="102"/>
      <c r="P132" s="102"/>
      <c r="Q132" s="102"/>
      <c r="R132" s="118"/>
      <c r="S132" s="118"/>
      <c r="T132" s="118"/>
      <c r="U132" s="118"/>
      <c r="V132" s="118"/>
    </row>
    <row r="133" outlineLevel="1">
      <c r="A133" s="324" t="s">
        <v>260</v>
      </c>
      <c r="B133" s="109"/>
      <c r="C133" s="325" t="s">
        <v>261</v>
      </c>
      <c r="D133" s="325" t="s">
        <v>49</v>
      </c>
      <c r="E133" s="2544"/>
      <c r="F133" s="2545"/>
      <c r="G133" s="2546"/>
      <c r="H133" s="228"/>
      <c r="I133" s="228"/>
      <c r="J133" s="228"/>
      <c r="K133" s="118"/>
      <c r="L133" s="118"/>
      <c r="M133" s="118"/>
      <c r="N133" s="102"/>
      <c r="O133" s="102"/>
      <c r="P133" s="102"/>
      <c r="Q133" s="102"/>
      <c r="R133" s="118"/>
      <c r="S133" s="118"/>
      <c r="T133" s="118"/>
      <c r="U133" s="118"/>
      <c r="V133" s="118"/>
    </row>
    <row r="134" outlineLevel="1">
      <c r="A134" s="326" t="s">
        <v>262</v>
      </c>
      <c r="B134" s="327" t="s">
        <v>226</v>
      </c>
      <c r="C134" s="328" t="str">
        <f t="array" ref="C134">INDEX('アイテム'!$G$3:$H$114, MATCH($A$1,'アイテム'!$A$3:$A$114,0), MATCH(C129,'アイテム'!$C$2:$AQ$2,0))</f>
        <v>8</v>
      </c>
      <c r="D134" s="328">
        <f t="array" ref="D134">INDEX('アイテム'!$G$3:$H$114, MATCH($A$1,'アイテム'!$A$3:$A$114,0), MATCH(D129,'アイテム'!$C$2:$AQ$2,0))</f>
        <v>24</v>
      </c>
      <c r="E134" s="2544"/>
      <c r="F134" s="2545"/>
      <c r="G134" s="2546"/>
      <c r="H134" s="228"/>
      <c r="I134" s="228"/>
      <c r="J134" s="228"/>
      <c r="K134" s="118"/>
      <c r="L134" s="118"/>
      <c r="M134" s="118"/>
      <c r="N134" s="102"/>
      <c r="O134" s="102"/>
      <c r="P134" s="102"/>
      <c r="Q134" s="102"/>
      <c r="R134" s="118"/>
      <c r="S134" s="118"/>
      <c r="T134" s="118"/>
      <c r="U134" s="118"/>
      <c r="V134" s="118"/>
    </row>
    <row r="135" outlineLevel="1">
      <c r="A135" s="146"/>
      <c r="B135" s="327" t="s">
        <v>229</v>
      </c>
      <c r="C135" s="328" t="str">
        <f t="array" ref="C135">INDEX('アイテム'!$I$3:$J$114, MATCH($A$1,'アイテム'!$A$3:$A$114,0), MATCH(C129,'アイテム'!$C$2:$AQ$2,0))</f>
        <v>11</v>
      </c>
      <c r="D135" s="328">
        <f t="array" ref="D135">INDEX('アイテム'!$I$3:$J$114, MATCH($A$1,'アイテム'!$A$3:$A$114,0), MATCH(D129,'アイテム'!$C$2:$AQ$2,0))</f>
        <v>24</v>
      </c>
      <c r="E135" s="2544"/>
      <c r="F135" s="2545"/>
      <c r="G135" s="2546"/>
      <c r="H135" s="228"/>
      <c r="I135" s="228"/>
      <c r="J135" s="228"/>
      <c r="K135" s="118"/>
      <c r="L135" s="118"/>
      <c r="M135" s="118"/>
      <c r="N135" s="102"/>
      <c r="O135" s="102"/>
      <c r="P135" s="102"/>
      <c r="Q135" s="102"/>
      <c r="R135" s="118"/>
      <c r="S135" s="118"/>
      <c r="T135" s="118"/>
      <c r="U135" s="118"/>
      <c r="V135" s="118"/>
    </row>
    <row r="136" outlineLevel="1">
      <c r="A136" s="146"/>
      <c r="B136" s="327" t="s">
        <v>233</v>
      </c>
      <c r="C136" s="328" t="str">
        <f t="array" ref="C136">INDEX('アイテム'!$K$3:$L$114, MATCH($A$1,'アイテム'!$A$3:$A$114,0), MATCH(C129,'アイテム'!$C$2:$AQ$2,0))</f>
        <v>12</v>
      </c>
      <c r="D136" s="328">
        <f t="array" ref="D136">INDEX('アイテム'!$K$3:$L$114, MATCH($A$1,'アイテム'!$A$3:$A$114,0), MATCH(D129,'アイテム'!$C$2:$AQ$2,0))</f>
        <v>23</v>
      </c>
      <c r="E136" s="2544"/>
      <c r="F136" s="2545"/>
      <c r="G136" s="2546"/>
      <c r="H136" s="228"/>
      <c r="I136" s="228"/>
      <c r="J136" s="228"/>
      <c r="K136" s="118"/>
      <c r="L136" s="118"/>
      <c r="M136" s="118"/>
      <c r="N136" s="102"/>
      <c r="O136" s="102"/>
      <c r="P136" s="102"/>
      <c r="Q136" s="102"/>
      <c r="R136" s="118"/>
      <c r="S136" s="118"/>
      <c r="T136" s="118"/>
      <c r="U136" s="118"/>
      <c r="V136" s="118"/>
    </row>
    <row r="137" outlineLevel="1">
      <c r="A137" s="146"/>
      <c r="B137" s="327" t="s">
        <v>234</v>
      </c>
      <c r="C137" s="328" t="str">
        <f t="array" ref="C137">INDEX('アイテム'!$M$3:$N$114, MATCH($A$1,'アイテム'!$A$3:$A$114,0), MATCH(C129,'アイテム'!$C$2:$AQ$2,0))</f>
        <v>7</v>
      </c>
      <c r="D137" s="328">
        <f t="array" ref="D137">INDEX('アイテム'!$M$3:$N$114, MATCH($A$1,'アイテム'!$A$3:$A$114,0), MATCH(D129,'アイテム'!$C$2:$AQ$2,0))</f>
        <v>19</v>
      </c>
      <c r="E137" s="2544"/>
      <c r="F137" s="2545"/>
      <c r="G137" s="2546"/>
      <c r="H137" s="228"/>
      <c r="I137" s="228"/>
      <c r="J137" s="228"/>
      <c r="K137" s="118"/>
      <c r="L137" s="118"/>
      <c r="M137" s="118"/>
      <c r="N137" s="102"/>
      <c r="O137" s="102"/>
      <c r="P137" s="102"/>
      <c r="Q137" s="102"/>
      <c r="R137" s="118"/>
      <c r="S137" s="118"/>
      <c r="T137" s="118"/>
      <c r="U137" s="118"/>
      <c r="V137" s="118"/>
    </row>
    <row r="138" outlineLevel="1">
      <c r="A138" s="146"/>
      <c r="B138" s="327" t="s">
        <v>219</v>
      </c>
      <c r="C138" s="328" t="str">
        <f t="array" ref="C138">INDEX('アイテム'!$O$3:$P$114, MATCH($A$1,'アイテム'!$A$3:$A$114,0), MATCH(C129,'アイテム'!$C$2:$AQ$2,0))</f>
        <v>5</v>
      </c>
      <c r="D138" s="328">
        <f t="array" ref="D138">INDEX('アイテム'!$O$3:$P$114, MATCH($A$1,'アイテム'!$A$3:$A$114,0), MATCH(D129,'アイテム'!$C$2:$AQ$2,0))</f>
        <v>29</v>
      </c>
      <c r="E138" s="2544"/>
      <c r="F138" s="2545"/>
      <c r="G138" s="2546"/>
      <c r="H138" s="228"/>
      <c r="I138" s="228"/>
      <c r="J138" s="228"/>
      <c r="K138" s="118"/>
      <c r="L138" s="118"/>
      <c r="M138" s="118"/>
      <c r="N138" s="102"/>
      <c r="O138" s="102"/>
      <c r="P138" s="102"/>
      <c r="Q138" s="102"/>
      <c r="R138" s="118"/>
      <c r="S138" s="118"/>
      <c r="T138" s="118"/>
      <c r="U138" s="118"/>
      <c r="V138" s="118"/>
    </row>
    <row r="139" outlineLevel="1">
      <c r="A139" s="156"/>
      <c r="B139" s="327" t="s">
        <v>263</v>
      </c>
      <c r="C139" s="328" t="str">
        <f t="array" ref="C139">INDEX('アイテム'!$Q$3:$R$114, MATCH($A$1,'アイテム'!$A$3:$A$114,0), MATCH(C129,'アイテム'!$C$2:$AQ$2,0))</f>
        <v>6</v>
      </c>
      <c r="D139" s="328">
        <f t="array" ref="D139">INDEX('アイテム'!$Q$3:$R$114, MATCH($A$1,'アイテム'!$A$3:$A$114,0), MATCH(D129,'アイテム'!$C$2:$AQ$2,0))</f>
        <v>23</v>
      </c>
      <c r="E139" s="2544"/>
      <c r="F139" s="2545"/>
      <c r="G139" s="2546"/>
      <c r="H139" s="228"/>
      <c r="I139" s="228"/>
      <c r="J139" s="228"/>
      <c r="K139" s="118"/>
      <c r="L139" s="118"/>
      <c r="M139" s="118"/>
      <c r="N139" s="102"/>
      <c r="O139" s="102"/>
      <c r="P139" s="102"/>
      <c r="Q139" s="102"/>
      <c r="R139" s="118"/>
      <c r="S139" s="118"/>
      <c r="T139" s="118"/>
      <c r="U139" s="118"/>
      <c r="V139" s="118"/>
    </row>
    <row r="140" outlineLevel="1">
      <c r="A140" s="326" t="s">
        <v>264</v>
      </c>
      <c r="B140" s="327" t="s">
        <v>226</v>
      </c>
      <c r="C140" s="328" t="str">
        <f t="array" ref="C140">INDEX('アイテム'!$S$3:$T$114, MATCH($A$1,'アイテム'!$A$3:$A$114,0), MATCH(C129,'アイテム'!$C$2:$AQ$2,0))</f>
        <v>8</v>
      </c>
      <c r="D140" s="328">
        <f t="array" ref="D140">INDEX('アイテム'!$S$3:$T$114, MATCH($A$1,'アイテム'!$A$3:$A$114,0), MATCH(D129,'アイテム'!$C$2:$AQ$2,0))</f>
        <v>24</v>
      </c>
      <c r="E140" s="2544"/>
      <c r="F140" s="2545"/>
      <c r="G140" s="2546"/>
      <c r="H140" s="228"/>
      <c r="I140" s="228"/>
      <c r="J140" s="228"/>
      <c r="K140" s="118"/>
      <c r="L140" s="118"/>
      <c r="M140" s="118"/>
      <c r="N140" s="102"/>
      <c r="O140" s="102"/>
      <c r="P140" s="102"/>
      <c r="Q140" s="102"/>
      <c r="R140" s="118"/>
      <c r="S140" s="118"/>
      <c r="T140" s="118"/>
      <c r="U140" s="118"/>
      <c r="V140" s="118"/>
    </row>
    <row r="141" outlineLevel="1">
      <c r="A141" s="146"/>
      <c r="B141" s="327" t="s">
        <v>229</v>
      </c>
      <c r="C141" s="328" t="str">
        <f t="array" ref="C141">INDEX('アイテム'!$U$3:$V$114, MATCH($A$1,'アイテム'!$A$3:$A$114,0), MATCH(C129,'アイテム'!$C$2:$AQ$2,0))</f>
        <v>11</v>
      </c>
      <c r="D141" s="328">
        <f t="array" ref="D141">INDEX('アイテム'!$U$3:$V$114, MATCH($A$1,'アイテム'!$A$3:$A$114,0), MATCH(D129,'アイテム'!$C$2:$AQ$2,0))</f>
        <v>24</v>
      </c>
      <c r="E141" s="2544"/>
      <c r="F141" s="2545"/>
      <c r="G141" s="2546"/>
      <c r="H141" s="228"/>
      <c r="I141" s="228"/>
      <c r="J141" s="228"/>
      <c r="K141" s="118"/>
      <c r="L141" s="118"/>
      <c r="M141" s="118"/>
      <c r="N141" s="102"/>
      <c r="O141" s="102"/>
      <c r="P141" s="102"/>
      <c r="Q141" s="102"/>
      <c r="R141" s="118"/>
      <c r="S141" s="118"/>
      <c r="T141" s="118"/>
      <c r="U141" s="118"/>
      <c r="V141" s="118"/>
    </row>
    <row r="142" outlineLevel="1">
      <c r="A142" s="146"/>
      <c r="B142" s="327" t="s">
        <v>233</v>
      </c>
      <c r="C142" s="328" t="str">
        <f t="array" ref="C142">INDEX('アイテム'!$W$3:$X$114, MATCH($A$1,'アイテム'!$A$3:$A$114,0), MATCH(C129,'アイテム'!$C$2:$AQ$2,0))</f>
        <v>12</v>
      </c>
      <c r="D142" s="328">
        <f t="array" ref="D142">INDEX('アイテム'!$W$3:$X$114, MATCH($A$1,'アイテム'!$A$3:$A$114,0), MATCH(D129,'アイテム'!$C$2:$AQ$2,0))</f>
        <v>23</v>
      </c>
      <c r="E142" s="2544"/>
      <c r="F142" s="2545"/>
      <c r="G142" s="2546"/>
      <c r="H142" s="228"/>
      <c r="I142" s="228"/>
      <c r="J142" s="228"/>
      <c r="K142" s="118"/>
      <c r="L142" s="118"/>
      <c r="M142" s="118"/>
      <c r="N142" s="102"/>
      <c r="O142" s="102"/>
      <c r="P142" s="102"/>
      <c r="Q142" s="102"/>
      <c r="R142" s="118"/>
      <c r="S142" s="118"/>
      <c r="T142" s="118"/>
      <c r="U142" s="118"/>
      <c r="V142" s="118"/>
    </row>
    <row r="143" outlineLevel="1">
      <c r="A143" s="156"/>
      <c r="B143" s="327" t="s">
        <v>234</v>
      </c>
      <c r="C143" s="328" t="str">
        <f t="array" ref="C143">INDEX('アイテム'!$Y$3:$Z$114, MATCH($A$1,'アイテム'!$A$3:$A$114,0), MATCH(C129,'アイテム'!$C$2:$AQ$2,0))</f>
        <v>7</v>
      </c>
      <c r="D143" s="328">
        <f t="array" ref="D143">INDEX('アイテム'!$Y$3:$Z$114, MATCH($A$1,'アイテム'!$A$3:$A$114,0), MATCH(D129,'アイテム'!$C$2:$AQ$2,0))</f>
        <v>19</v>
      </c>
      <c r="E143" s="2544"/>
      <c r="F143" s="2545"/>
      <c r="G143" s="2546"/>
      <c r="H143" s="228"/>
      <c r="I143" s="228"/>
      <c r="J143" s="228"/>
      <c r="K143" s="118"/>
      <c r="L143" s="118"/>
      <c r="M143" s="118"/>
      <c r="N143" s="102"/>
      <c r="O143" s="102"/>
      <c r="P143" s="102"/>
      <c r="Q143" s="102"/>
      <c r="R143" s="118"/>
      <c r="S143" s="118"/>
      <c r="T143" s="118"/>
      <c r="U143" s="118"/>
      <c r="V143" s="118"/>
    </row>
    <row r="144" outlineLevel="1">
      <c r="A144" s="326" t="s">
        <v>265</v>
      </c>
      <c r="B144" s="327" t="s">
        <v>226</v>
      </c>
      <c r="C144" s="328">
        <f t="array" ref="C144">INDEX('アイテム'!$AC$3:$AD$114, MATCH($A$1,'アイテム'!$A$3:$A$114,0), MATCH(C129,'アイテム'!$C$2:$AQ$2,0))</f>
        <v>14</v>
      </c>
      <c r="D144" s="328" t="str">
        <f t="array" ref="D144">INDEX('アイテム'!$AC$3:$AD$114, MATCH($A$1,'アイテム'!$A$3:$A$114,0), MATCH(D129,'アイテム'!$C$2:$AQ$2,0))</f>
        <v>30</v>
      </c>
      <c r="E144" s="2544"/>
      <c r="F144" s="2545"/>
      <c r="G144" s="2546"/>
      <c r="H144" s="228"/>
      <c r="I144" s="228"/>
      <c r="J144" s="228"/>
      <c r="K144" s="118"/>
      <c r="L144" s="118"/>
      <c r="M144" s="118"/>
      <c r="N144" s="102"/>
      <c r="O144" s="102"/>
      <c r="P144" s="102"/>
      <c r="Q144" s="102"/>
      <c r="R144" s="118"/>
      <c r="S144" s="118"/>
      <c r="T144" s="118"/>
      <c r="U144" s="118"/>
      <c r="V144" s="118"/>
    </row>
    <row r="145" outlineLevel="1">
      <c r="A145" s="146"/>
      <c r="B145" s="327" t="s">
        <v>229</v>
      </c>
      <c r="C145" s="328">
        <f t="array" ref="C145">INDEX('アイテム'!$AE$3:$AF$114, MATCH($A$1,'アイテム'!$A$3:$A$114,0), MATCH(C129,'アイテム'!$C$2:$AQ$2,0))</f>
        <v>15</v>
      </c>
      <c r="D145" s="328" t="str">
        <f t="array" ref="D145">INDEX('アイテム'!$AE$3:$AF$114, MATCH($A$1,'アイテム'!$A$3:$A$114,0), MATCH(D129,'アイテム'!$C$2:$AQ$2,0))</f>
        <v>30</v>
      </c>
      <c r="E145" s="2544"/>
      <c r="F145" s="2545"/>
      <c r="G145" s="2546"/>
      <c r="H145" s="228"/>
      <c r="I145" s="228"/>
      <c r="J145" s="228"/>
      <c r="K145" s="118"/>
      <c r="L145" s="118"/>
      <c r="M145" s="118"/>
      <c r="N145" s="102"/>
      <c r="O145" s="102"/>
      <c r="P145" s="102"/>
      <c r="Q145" s="102"/>
      <c r="R145" s="118"/>
      <c r="S145" s="118"/>
      <c r="T145" s="118"/>
      <c r="U145" s="118"/>
      <c r="V145" s="118"/>
    </row>
    <row r="146" outlineLevel="1">
      <c r="A146" s="146"/>
      <c r="B146" s="327" t="s">
        <v>233</v>
      </c>
      <c r="C146" s="328">
        <f t="array" ref="C146">INDEX('アイテム'!$AG$3:$AH$114, MATCH($A$1,'アイテム'!$A$3:$A$114,0), MATCH(C129,'アイテム'!$C$2:$AQ$2,0))</f>
        <v>11</v>
      </c>
      <c r="D146" s="328" t="str">
        <f t="array" ref="D146">INDEX('アイテム'!$AG$3:$AH$114, MATCH($A$1,'アイテム'!$A$3:$A$114,0), MATCH(D129,'アイテム'!$C$2:$AQ$2,0))</f>
        <v>22</v>
      </c>
      <c r="E146" s="2544"/>
      <c r="F146" s="2545"/>
      <c r="G146" s="2546"/>
      <c r="H146" s="228"/>
      <c r="I146" s="228"/>
      <c r="J146" s="228"/>
      <c r="K146" s="118"/>
      <c r="L146" s="118"/>
      <c r="M146" s="118"/>
      <c r="N146" s="102"/>
      <c r="O146" s="102"/>
      <c r="P146" s="102"/>
      <c r="Q146" s="102"/>
      <c r="R146" s="118"/>
      <c r="S146" s="118"/>
      <c r="T146" s="118"/>
      <c r="U146" s="118"/>
      <c r="V146" s="118"/>
    </row>
    <row r="147" outlineLevel="1">
      <c r="A147" s="156"/>
      <c r="B147" s="327" t="s">
        <v>234</v>
      </c>
      <c r="C147" s="328">
        <f t="array" ref="C147">INDEX('アイテム'!$AI$3:$AJ$114, MATCH($A$1,'アイテム'!$A$3:$A$114,0), MATCH(C129,'アイテム'!$C$2:$AQ$2,0))</f>
        <v>9</v>
      </c>
      <c r="D147" s="328" t="str">
        <f t="array" ref="D147">INDEX('アイテム'!$AI$3:$AJ$114, MATCH($A$1,'アイテム'!$A$3:$A$114,0), MATCH(D129,'アイテム'!$C$2:$AQ$2,0))</f>
        <v>22</v>
      </c>
      <c r="E147" s="2544"/>
      <c r="F147" s="2545"/>
      <c r="G147" s="2546"/>
      <c r="H147" s="228"/>
      <c r="I147" s="228"/>
      <c r="J147" s="228"/>
      <c r="K147" s="118"/>
      <c r="L147" s="118"/>
      <c r="M147" s="118"/>
      <c r="N147" s="102"/>
      <c r="O147" s="102"/>
      <c r="P147" s="102"/>
      <c r="Q147" s="102"/>
      <c r="R147" s="118"/>
      <c r="S147" s="118"/>
      <c r="T147" s="118"/>
      <c r="U147" s="118"/>
      <c r="V147" s="118"/>
    </row>
  </sheetData>
  <mergeCells count="131">
    <mergeCell ref="U31:U32"/>
    <mergeCell ref="U33:U34"/>
    <mergeCell ref="U38:U39"/>
    <mergeCell ref="U42:U43"/>
    <mergeCell ref="R46:V46"/>
    <mergeCell ref="R47:V48"/>
    <mergeCell ref="R49:V49"/>
    <mergeCell ref="U70:U72"/>
    <mergeCell ref="V70:V72"/>
    <mergeCell ref="R50:V50"/>
    <mergeCell ref="R51:V51"/>
    <mergeCell ref="R52:V54"/>
    <mergeCell ref="U60:U64"/>
    <mergeCell ref="V60:V64"/>
    <mergeCell ref="U66:U68"/>
    <mergeCell ref="V66:V68"/>
    <mergeCell ref="H60:J64"/>
    <mergeCell ref="H65:J65"/>
    <mergeCell ref="H66:J68"/>
    <mergeCell ref="H69:J69"/>
    <mergeCell ref="H70:J72"/>
    <mergeCell ref="G80:J80"/>
    <mergeCell ref="G81:J82"/>
    <mergeCell ref="K109:K112"/>
    <mergeCell ref="K113:L113"/>
    <mergeCell ref="K115:K118"/>
    <mergeCell ref="K119:L119"/>
    <mergeCell ref="K122:L122"/>
    <mergeCell ref="G83:J84"/>
    <mergeCell ref="G85:J86"/>
    <mergeCell ref="G87:J88"/>
    <mergeCell ref="K99:L99"/>
    <mergeCell ref="K100:K101"/>
    <mergeCell ref="K102:L102"/>
    <mergeCell ref="K103:K108"/>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2"/>
    <mergeCell ref="H33:J34"/>
    <mergeCell ref="A45:B46"/>
    <mergeCell ref="A47:A48"/>
    <mergeCell ref="D47:D48"/>
    <mergeCell ref="H35:J35"/>
    <mergeCell ref="H36:J36"/>
    <mergeCell ref="H37:J37"/>
    <mergeCell ref="H38:J39"/>
    <mergeCell ref="H40:J40"/>
    <mergeCell ref="H41:J41"/>
    <mergeCell ref="H42:J43"/>
    <mergeCell ref="I47:I48"/>
    <mergeCell ref="J47:J48"/>
    <mergeCell ref="I52:I54"/>
    <mergeCell ref="J52:J54"/>
    <mergeCell ref="H57:J57"/>
    <mergeCell ref="H58:J58"/>
    <mergeCell ref="H59:J59"/>
    <mergeCell ref="A87:A88"/>
    <mergeCell ref="A92:A94"/>
    <mergeCell ref="A95:A96"/>
    <mergeCell ref="A98:B99"/>
    <mergeCell ref="A100:A104"/>
    <mergeCell ref="A105:A107"/>
    <mergeCell ref="A108:A113"/>
    <mergeCell ref="A140:A143"/>
    <mergeCell ref="A144:A147"/>
    <mergeCell ref="A114:A119"/>
    <mergeCell ref="A120:A126"/>
    <mergeCell ref="A128:B128"/>
    <mergeCell ref="A129:B129"/>
    <mergeCell ref="A130:A131"/>
    <mergeCell ref="A133:B133"/>
    <mergeCell ref="A134:A139"/>
    <mergeCell ref="D38:D39"/>
    <mergeCell ref="D42:D43"/>
    <mergeCell ref="A24:B25"/>
    <mergeCell ref="A26:A30"/>
    <mergeCell ref="A31:A32"/>
    <mergeCell ref="A33:A34"/>
    <mergeCell ref="D33:D34"/>
    <mergeCell ref="A37:A39"/>
    <mergeCell ref="A42:A43"/>
    <mergeCell ref="A65:B65"/>
    <mergeCell ref="A69:B69"/>
    <mergeCell ref="D70:D72"/>
    <mergeCell ref="A74:B75"/>
    <mergeCell ref="A80:B80"/>
    <mergeCell ref="D81:D82"/>
    <mergeCell ref="D83:D84"/>
    <mergeCell ref="D85:D86"/>
    <mergeCell ref="D87:D88"/>
    <mergeCell ref="A90:B91"/>
    <mergeCell ref="A52:A54"/>
    <mergeCell ref="D52:D53"/>
    <mergeCell ref="A56:B56"/>
    <mergeCell ref="A57:B57"/>
    <mergeCell ref="A59:B59"/>
    <mergeCell ref="D60:D63"/>
    <mergeCell ref="D66:D68"/>
    <mergeCell ref="A60:A64"/>
    <mergeCell ref="A66:A68"/>
    <mergeCell ref="A70:A72"/>
    <mergeCell ref="A77:A79"/>
    <mergeCell ref="A81:A82"/>
    <mergeCell ref="A83:A84"/>
    <mergeCell ref="A85:A86"/>
    <mergeCell ref="C112:C113"/>
    <mergeCell ref="D112:D113"/>
    <mergeCell ref="C118:C119"/>
    <mergeCell ref="D118:D119"/>
    <mergeCell ref="C125:C126"/>
    <mergeCell ref="D125:D126"/>
  </mergeCells>
  <conditionalFormatting sqref="K1:K15 K17:K53 K55:K63 K65:K80 K82 K84:K86 K88:K123">
    <cfRule type="containsText" dxfId="0" priority="1" operator="containsText" text="361">
      <formula>NOT(ISERROR(SEARCH(("361"),(K1))))</formula>
    </cfRule>
  </conditionalFormatting>
  <conditionalFormatting sqref="K1:K15 K17:K53 K55:K63 K65:K80 K82 K84:K86 K88:K123">
    <cfRule type="containsText" dxfId="1" priority="2" operator="containsText" text="363">
      <formula>NOT(ISERROR(SEARCH(("363"),(K1))))</formula>
    </cfRule>
  </conditionalFormatting>
  <conditionalFormatting sqref="K1:K15 K17:K53 K55:K63 K65:K80 K82 K84:K86 K88:K123">
    <cfRule type="containsText" dxfId="1" priority="3" operator="containsText" text="365">
      <formula>NOT(ISERROR(SEARCH(("365"),(K1))))</formula>
    </cfRule>
  </conditionalFormatting>
  <conditionalFormatting sqref="K1:K15 K17:K53 K55:K63 K65:K80 K82 K84:K86 K88:K123">
    <cfRule type="containsText" dxfId="1" priority="4" operator="containsText" text="366">
      <formula>NOT(ISERROR(SEARCH(("366"),(K1))))</formula>
    </cfRule>
  </conditionalFormatting>
  <conditionalFormatting sqref="K1:K15 K17:K53 K55:K63 K65:K80 K82 K84:K86 K88:K123">
    <cfRule type="containsText" dxfId="1" priority="5" operator="containsText" text="367">
      <formula>NOT(ISERROR(SEARCH(("367"),(K1))))</formula>
    </cfRule>
  </conditionalFormatting>
  <conditionalFormatting sqref="P82 P84:P86 P88">
    <cfRule type="cellIs" dxfId="2" priority="6" operator="equal">
      <formula>"敵のみ"</formula>
    </cfRule>
  </conditionalFormatting>
  <conditionalFormatting sqref="C81:C88">
    <cfRule type="cellIs" dxfId="3" priority="7" operator="equal">
      <formula>"-"</formula>
    </cfRule>
  </conditionalFormatting>
  <conditionalFormatting sqref="O1:O53 O55:O63 O65:O80 O82 O84:O86 O88:O147 P88">
    <cfRule type="cellIs" dxfId="4" priority="8" operator="greaterThan">
      <formula>0</formula>
    </cfRule>
  </conditionalFormatting>
  <conditionalFormatting sqref="P1:Q53 P55:Q63 P65:Q80 P82:Q82 P84:Q86 P88:Q147">
    <cfRule type="cellIs" dxfId="5" priority="9" operator="lessThan">
      <formula>1</formula>
    </cfRule>
  </conditionalFormatting>
  <conditionalFormatting sqref="P1:Q53 P55:Q63 P65:Q80 P82:Q82 P84:Q86 P88:Q147">
    <cfRule type="cellIs" dxfId="4" priority="10" operator="greaterThan">
      <formula>1</formula>
    </cfRule>
  </conditionalFormatting>
  <conditionalFormatting sqref="N25:N53 N55:N63 N65:N80 N82 N84:N86 N88">
    <cfRule type="cellIs" dxfId="6" priority="11" operator="greaterThan">
      <formula>0</formula>
    </cfRule>
  </conditionalFormatting>
  <conditionalFormatting sqref="N1:N15 N17:N53 N55:N63 N65:N80 N82 N84:N86 N88:N147">
    <cfRule type="containsText" dxfId="6" priority="12" operator="containsText" text="/">
      <formula>NOT(ISERROR(SEARCH(("/"),(N1))))</formula>
    </cfRule>
  </conditionalFormatting>
  <drawing r:id="rId2"/>
  <legacyDrawing r:id="rId3"/>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85F43"/>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3020">
        <v>67.0</v>
      </c>
      <c r="B1" s="3021"/>
      <c r="C1" s="3022" t="str">
        <f>IMAGE(VLOOKUP($A$1,Fighters!A2:AI114,12,FALSE),1)</f>
        <v>#REF!</v>
      </c>
      <c r="D1" s="3023"/>
      <c r="E1" s="3023"/>
      <c r="F1" s="3023"/>
      <c r="G1" s="3024"/>
      <c r="H1" s="3025"/>
      <c r="I1" s="3023"/>
      <c r="J1" s="3024"/>
      <c r="K1" s="3026"/>
      <c r="L1" s="3023"/>
      <c r="M1" s="3024"/>
      <c r="N1" s="3027"/>
      <c r="O1" s="3027"/>
      <c r="P1" s="3027"/>
      <c r="Q1" s="3027"/>
      <c r="R1" s="3028"/>
      <c r="S1" s="3028"/>
      <c r="T1" s="3028"/>
      <c r="U1" s="3028"/>
      <c r="V1" s="3028"/>
    </row>
    <row r="2">
      <c r="A2" s="3029" t="str">
        <f>VLOOKUP($A$1,Fighters!$A$2:$AI$81,6,FALSE)</f>
        <v>#485f43</v>
      </c>
      <c r="B2" s="3021"/>
      <c r="C2" s="3030"/>
      <c r="G2" s="3031"/>
      <c r="H2" s="3032"/>
      <c r="I2" s="3033"/>
      <c r="J2" s="3034"/>
      <c r="K2" s="3032"/>
      <c r="L2" s="3033"/>
      <c r="M2" s="3034"/>
      <c r="N2" s="3027"/>
      <c r="O2" s="3027"/>
      <c r="P2" s="3027"/>
      <c r="Q2" s="3027"/>
      <c r="R2" s="3028"/>
      <c r="S2" s="3028"/>
      <c r="T2" s="3028"/>
      <c r="U2" s="3028"/>
      <c r="V2" s="3028"/>
    </row>
    <row r="3">
      <c r="A3" s="3029" t="str">
        <f>VLOOKUP($A$1,Fighters!$A$2:$AI$81,14,FALSE)</f>
        <v>67. キングクルール</v>
      </c>
      <c r="B3" s="3021"/>
      <c r="C3" s="3030"/>
      <c r="G3" s="3031"/>
      <c r="H3" s="3035"/>
      <c r="I3" s="3035"/>
      <c r="J3" s="3035"/>
      <c r="K3" s="3036"/>
      <c r="L3" s="3036"/>
      <c r="M3" s="3036"/>
      <c r="N3" s="3027"/>
      <c r="O3" s="3027"/>
      <c r="P3" s="3027"/>
      <c r="Q3" s="3027"/>
      <c r="R3" s="3037"/>
      <c r="S3" s="3028"/>
      <c r="T3" s="3028"/>
      <c r="U3" s="3028"/>
      <c r="V3" s="3028"/>
    </row>
    <row r="4">
      <c r="A4" s="3029" t="str">
        <f>VLOOKUP($A$1,Fighters!$A$2:$AI$81,13,FALSE)</f>
        <v>1</v>
      </c>
      <c r="B4" s="3021"/>
      <c r="C4" s="3030"/>
      <c r="G4" s="3031"/>
      <c r="H4" s="3038"/>
      <c r="I4" s="3038"/>
      <c r="J4" s="3035"/>
      <c r="K4" s="3036"/>
      <c r="L4" s="3036"/>
      <c r="M4" s="3036"/>
      <c r="N4" s="3027"/>
      <c r="O4" s="3027"/>
      <c r="P4" s="3027"/>
      <c r="Q4" s="3027"/>
      <c r="R4" s="3037"/>
      <c r="S4" s="3028"/>
      <c r="T4" s="3028"/>
      <c r="U4" s="3028"/>
      <c r="V4" s="3028"/>
    </row>
    <row r="5" ht="16.5" customHeight="1">
      <c r="A5" s="3020"/>
      <c r="B5" s="3021"/>
      <c r="C5" s="3030"/>
      <c r="G5" s="3031"/>
      <c r="H5" s="3039"/>
      <c r="I5" s="3039"/>
      <c r="J5" s="3040"/>
      <c r="K5" s="3041"/>
      <c r="L5" s="3042"/>
      <c r="M5" s="3042"/>
      <c r="N5" s="3027"/>
      <c r="O5" s="3027"/>
      <c r="P5" s="3027"/>
      <c r="Q5" s="3027"/>
      <c r="R5" s="3037"/>
      <c r="S5" s="3028"/>
      <c r="T5" s="3028"/>
      <c r="U5" s="3028"/>
      <c r="V5" s="3028"/>
    </row>
    <row r="6">
      <c r="A6" s="3021"/>
      <c r="B6" s="3021"/>
      <c r="C6" s="3030"/>
      <c r="G6" s="3031"/>
      <c r="H6" s="3038"/>
      <c r="I6" s="3043" t="s">
        <v>39</v>
      </c>
      <c r="J6" s="3041"/>
      <c r="K6" s="3044"/>
      <c r="L6" s="3042"/>
      <c r="M6" s="3042"/>
      <c r="N6" s="3027"/>
      <c r="O6" s="3027"/>
      <c r="P6" s="3027"/>
      <c r="Q6" s="3027"/>
      <c r="R6" s="3037"/>
      <c r="S6" s="3028"/>
      <c r="T6" s="3028"/>
      <c r="U6" s="3028"/>
      <c r="V6" s="3028"/>
    </row>
    <row r="7">
      <c r="A7" s="3021"/>
      <c r="B7" s="3021"/>
      <c r="C7" s="3030"/>
      <c r="G7" s="3031"/>
      <c r="H7" s="3039"/>
      <c r="I7" s="3039"/>
      <c r="J7" s="3041"/>
      <c r="K7" s="3044"/>
      <c r="L7" s="3042"/>
      <c r="M7" s="3042"/>
      <c r="N7" s="3027"/>
      <c r="O7" s="3027"/>
      <c r="P7" s="3027"/>
      <c r="Q7" s="3027"/>
      <c r="R7" s="3037"/>
      <c r="S7" s="3028"/>
      <c r="T7" s="3028"/>
      <c r="U7" s="3028"/>
      <c r="V7" s="3028"/>
    </row>
    <row r="8">
      <c r="A8" s="3021"/>
      <c r="B8" s="3021"/>
      <c r="C8" s="3030"/>
      <c r="G8" s="3031"/>
      <c r="H8" s="3045">
        <v>44488.72280116898</v>
      </c>
      <c r="I8" s="3023"/>
      <c r="J8" s="3024"/>
      <c r="K8" s="3041"/>
      <c r="L8" s="3042"/>
      <c r="M8" s="3042"/>
      <c r="N8" s="3027"/>
      <c r="O8" s="3027"/>
      <c r="P8" s="3027"/>
      <c r="Q8" s="3027"/>
      <c r="R8" s="3037"/>
      <c r="S8" s="3028"/>
      <c r="T8" s="3028"/>
      <c r="U8" s="3028"/>
      <c r="V8" s="3028"/>
    </row>
    <row r="9">
      <c r="A9" s="3021"/>
      <c r="B9" s="3021"/>
      <c r="C9" s="3030"/>
      <c r="G9" s="3031"/>
      <c r="H9" s="3032"/>
      <c r="I9" s="3033"/>
      <c r="J9" s="3034"/>
      <c r="K9" s="3028"/>
      <c r="L9" s="3027"/>
      <c r="M9" s="3027"/>
      <c r="N9" s="3027"/>
      <c r="O9" s="3027"/>
      <c r="P9" s="3027"/>
      <c r="Q9" s="3027"/>
      <c r="R9" s="3037"/>
      <c r="S9" s="3028"/>
      <c r="T9" s="3028"/>
      <c r="U9" s="3028"/>
      <c r="V9" s="3028"/>
    </row>
    <row r="10">
      <c r="A10" s="3021"/>
      <c r="B10" s="3021"/>
      <c r="C10" s="3030"/>
      <c r="G10" s="3031"/>
      <c r="H10" s="3046"/>
      <c r="I10" s="3046"/>
      <c r="J10" s="3028"/>
      <c r="K10" s="3028"/>
      <c r="L10" s="3027"/>
      <c r="M10" s="3027"/>
      <c r="N10" s="3027"/>
      <c r="O10" s="3027"/>
      <c r="P10" s="3027"/>
      <c r="Q10" s="3027"/>
      <c r="R10" s="3037"/>
      <c r="S10" s="3028"/>
      <c r="T10" s="3028"/>
      <c r="U10" s="3028"/>
      <c r="V10" s="3028"/>
    </row>
    <row r="11">
      <c r="A11" s="3047" t="s">
        <v>40</v>
      </c>
      <c r="B11" s="3024"/>
      <c r="C11" s="3030"/>
      <c r="G11" s="3031"/>
      <c r="H11" s="3039"/>
      <c r="I11" s="3039"/>
      <c r="J11" s="3028"/>
      <c r="K11" s="3028"/>
      <c r="L11" s="3027"/>
      <c r="M11" s="3027"/>
      <c r="N11" s="3027"/>
      <c r="O11" s="3027"/>
      <c r="P11" s="3027"/>
      <c r="Q11" s="3027"/>
      <c r="R11" s="3037"/>
      <c r="S11" s="3028"/>
      <c r="T11" s="3028"/>
      <c r="U11" s="3028"/>
      <c r="V11" s="3028"/>
    </row>
    <row r="12">
      <c r="A12" s="3032"/>
      <c r="B12" s="3034"/>
      <c r="C12" s="3032"/>
      <c r="D12" s="3033"/>
      <c r="E12" s="3033"/>
      <c r="F12" s="3033"/>
      <c r="G12" s="3034"/>
      <c r="H12" s="3048"/>
      <c r="I12" s="3048"/>
      <c r="J12" s="3021"/>
      <c r="K12" s="3021"/>
      <c r="L12" s="3027"/>
      <c r="M12" s="3027"/>
      <c r="N12" s="3027"/>
      <c r="O12" s="3027"/>
      <c r="P12" s="3027"/>
      <c r="Q12" s="3027"/>
      <c r="R12" s="3037"/>
      <c r="S12" s="3028"/>
      <c r="T12" s="3028"/>
      <c r="U12" s="3028"/>
      <c r="V12" s="302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133 [2nd]</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32F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1.936 [38th]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0.903 [71st]</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48F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[77th]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 [39th]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6F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1.485 [77th]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21F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0.105 [55th]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13.5 [75th]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0.945 [69th]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32.61 [48th]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21F [83rd]</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 [27th]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2.72 [28th]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0.105 [33rd]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717</v>
      </c>
      <c r="D26" s="701" t="s">
        <v>5024</v>
      </c>
      <c r="E26" s="139" t="s">
        <v>535</v>
      </c>
      <c r="F26" s="138">
        <v>3.0</v>
      </c>
      <c r="G26" s="139" t="s">
        <v>147</v>
      </c>
      <c r="H26" s="151" t="s">
        <v>5025</v>
      </c>
      <c r="I26" s="110"/>
      <c r="J26" s="109"/>
      <c r="K26" s="138"/>
      <c r="L26" s="282"/>
      <c r="M26" s="363"/>
      <c r="N26" s="363"/>
      <c r="O26" s="145">
        <v>0.0</v>
      </c>
      <c r="P26" s="145">
        <v>1.0</v>
      </c>
      <c r="Q26" s="145">
        <v>1.0</v>
      </c>
      <c r="R26" s="100"/>
      <c r="S26" s="100"/>
      <c r="T26" s="100"/>
      <c r="U26" s="145" t="s">
        <v>62</v>
      </c>
      <c r="V26" s="100"/>
    </row>
    <row r="27" outlineLevel="1">
      <c r="A27" s="146"/>
      <c r="B27" s="147" t="s">
        <v>63</v>
      </c>
      <c r="C27" s="467" t="s">
        <v>71</v>
      </c>
      <c r="D27" s="467" t="s">
        <v>105</v>
      </c>
      <c r="E27" s="216" t="s">
        <v>535</v>
      </c>
      <c r="F27" s="138">
        <v>3.0</v>
      </c>
      <c r="G27" s="216" t="s">
        <v>147</v>
      </c>
      <c r="H27" s="151" t="s">
        <v>5026</v>
      </c>
      <c r="I27" s="110"/>
      <c r="J27" s="109"/>
      <c r="K27" s="282"/>
      <c r="L27" s="282"/>
      <c r="M27" s="363"/>
      <c r="N27" s="363"/>
      <c r="O27" s="145">
        <v>0.0</v>
      </c>
      <c r="P27" s="145">
        <v>1.0</v>
      </c>
      <c r="Q27" s="145">
        <v>1.0</v>
      </c>
      <c r="R27" s="100"/>
      <c r="S27" s="100"/>
      <c r="T27" s="100"/>
      <c r="U27" s="145" t="s">
        <v>69</v>
      </c>
      <c r="V27" s="100"/>
    </row>
    <row r="28" outlineLevel="1">
      <c r="A28" s="156"/>
      <c r="B28" s="147" t="s">
        <v>70</v>
      </c>
      <c r="C28" s="467" t="s">
        <v>713</v>
      </c>
      <c r="D28" s="467" t="s">
        <v>72</v>
      </c>
      <c r="E28" s="216" t="s">
        <v>93</v>
      </c>
      <c r="F28" s="138">
        <v>8.4</v>
      </c>
      <c r="G28" s="216" t="s">
        <v>95</v>
      </c>
      <c r="H28" s="151"/>
      <c r="I28" s="110"/>
      <c r="J28" s="109"/>
      <c r="K28" s="282"/>
      <c r="L28" s="282"/>
      <c r="M28" s="363"/>
      <c r="N28" s="363"/>
      <c r="O28" s="145">
        <v>0.0</v>
      </c>
      <c r="P28" s="145">
        <v>1.0</v>
      </c>
      <c r="Q28" s="145">
        <v>1.0</v>
      </c>
      <c r="R28" s="100"/>
      <c r="S28" s="100"/>
      <c r="T28" s="100"/>
      <c r="U28" s="145" t="s">
        <v>76</v>
      </c>
      <c r="V28" s="100"/>
    </row>
    <row r="29" ht="20.25" customHeight="1" outlineLevel="1">
      <c r="A29" s="133" t="s">
        <v>77</v>
      </c>
      <c r="B29" s="160"/>
      <c r="C29" s="450" t="s">
        <v>733</v>
      </c>
      <c r="D29" s="455" t="s">
        <v>424</v>
      </c>
      <c r="E29" s="467" t="s">
        <v>386</v>
      </c>
      <c r="F29" s="138">
        <v>18.0</v>
      </c>
      <c r="G29" s="450" t="s">
        <v>1187</v>
      </c>
      <c r="H29" s="163" t="s">
        <v>5027</v>
      </c>
      <c r="I29" s="164"/>
      <c r="J29" s="104"/>
      <c r="K29" s="138"/>
      <c r="L29" s="282"/>
      <c r="M29" s="363"/>
      <c r="N29" s="363"/>
      <c r="O29" s="145">
        <v>0.0</v>
      </c>
      <c r="P29" s="145">
        <v>1.0</v>
      </c>
      <c r="Q29" s="145">
        <v>1.0</v>
      </c>
      <c r="R29" s="100"/>
      <c r="S29" s="100"/>
      <c r="T29" s="100"/>
      <c r="U29" s="166" t="s">
        <v>69</v>
      </c>
      <c r="V29" s="100"/>
    </row>
    <row r="30" ht="20.25" customHeight="1" outlineLevel="1">
      <c r="A30" s="156"/>
      <c r="B30" s="147" t="s">
        <v>84</v>
      </c>
      <c r="C30" s="450" t="s">
        <v>644</v>
      </c>
      <c r="D30" s="107"/>
      <c r="E30" s="467" t="s">
        <v>232</v>
      </c>
      <c r="F30" s="138">
        <v>13.2</v>
      </c>
      <c r="G30" s="216" t="s">
        <v>121</v>
      </c>
      <c r="H30" s="106"/>
      <c r="I30" s="168"/>
      <c r="J30" s="107"/>
      <c r="K30" s="282"/>
      <c r="L30" s="282"/>
      <c r="M30" s="363"/>
      <c r="N30" s="363"/>
      <c r="O30" s="145">
        <v>0.0</v>
      </c>
      <c r="P30" s="145">
        <v>1.0</v>
      </c>
      <c r="Q30" s="145">
        <v>1.0</v>
      </c>
      <c r="R30" s="100"/>
      <c r="S30" s="100"/>
      <c r="T30" s="100"/>
      <c r="U30" s="156"/>
      <c r="V30" s="100"/>
    </row>
    <row r="31" outlineLevel="1">
      <c r="A31" s="170" t="s">
        <v>89</v>
      </c>
      <c r="B31" s="147" t="s">
        <v>90</v>
      </c>
      <c r="C31" s="467" t="s">
        <v>373</v>
      </c>
      <c r="D31" s="467" t="s">
        <v>221</v>
      </c>
      <c r="E31" s="467" t="s">
        <v>2641</v>
      </c>
      <c r="F31" s="138" t="s">
        <v>2642</v>
      </c>
      <c r="G31" s="467" t="s">
        <v>114</v>
      </c>
      <c r="H31" s="151" t="s">
        <v>5028</v>
      </c>
      <c r="I31" s="110"/>
      <c r="J31" s="109"/>
      <c r="K31" s="138"/>
      <c r="L31" s="282"/>
      <c r="M31" s="363"/>
      <c r="N31" s="363"/>
      <c r="O31" s="145">
        <v>0.0</v>
      </c>
      <c r="P31" s="145">
        <v>1.0</v>
      </c>
      <c r="Q31" s="145">
        <v>1.0</v>
      </c>
      <c r="R31" s="100"/>
      <c r="S31" s="100"/>
      <c r="T31" s="100"/>
      <c r="U31" s="145" t="s">
        <v>96</v>
      </c>
      <c r="V31" s="100"/>
    </row>
    <row r="32" outlineLevel="1">
      <c r="A32" s="133" t="s">
        <v>97</v>
      </c>
      <c r="B32" s="160"/>
      <c r="C32" s="467" t="s">
        <v>267</v>
      </c>
      <c r="D32" s="455" t="s">
        <v>79</v>
      </c>
      <c r="E32" s="450" t="s">
        <v>2764</v>
      </c>
      <c r="F32" s="138">
        <v>15.0</v>
      </c>
      <c r="G32" s="467" t="s">
        <v>407</v>
      </c>
      <c r="H32" s="163" t="s">
        <v>5029</v>
      </c>
      <c r="I32" s="164"/>
      <c r="J32" s="104"/>
      <c r="K32" s="282"/>
      <c r="L32" s="282"/>
      <c r="M32" s="363"/>
      <c r="N32" s="363"/>
      <c r="O32" s="145">
        <v>0.0</v>
      </c>
      <c r="P32" s="145">
        <v>1.0</v>
      </c>
      <c r="Q32" s="145">
        <v>1.0</v>
      </c>
      <c r="R32" s="100"/>
      <c r="S32" s="100"/>
      <c r="T32" s="100"/>
      <c r="U32" s="166" t="s">
        <v>62</v>
      </c>
      <c r="V32" s="100"/>
    </row>
    <row r="33" outlineLevel="1">
      <c r="A33" s="156"/>
      <c r="B33" s="147" t="s">
        <v>84</v>
      </c>
      <c r="C33" s="467" t="s">
        <v>890</v>
      </c>
      <c r="D33" s="107"/>
      <c r="E33" s="450" t="s">
        <v>5030</v>
      </c>
      <c r="F33" s="138" t="s">
        <v>5031</v>
      </c>
      <c r="G33" s="467" t="s">
        <v>5032</v>
      </c>
      <c r="H33" s="106"/>
      <c r="I33" s="168"/>
      <c r="J33" s="107"/>
      <c r="K33" s="145"/>
      <c r="L33" s="363"/>
      <c r="M33" s="363"/>
      <c r="N33" s="363"/>
      <c r="O33" s="145"/>
      <c r="P33" s="145"/>
      <c r="Q33" s="145"/>
      <c r="R33" s="100"/>
      <c r="S33" s="100"/>
      <c r="T33" s="100"/>
      <c r="U33" s="156"/>
      <c r="V33" s="100"/>
    </row>
    <row r="34" outlineLevel="1">
      <c r="A34" s="133" t="s">
        <v>103</v>
      </c>
      <c r="B34" s="147" t="s">
        <v>5033</v>
      </c>
      <c r="C34" s="467" t="s">
        <v>228</v>
      </c>
      <c r="D34" s="455" t="s">
        <v>221</v>
      </c>
      <c r="E34" s="467" t="s">
        <v>228</v>
      </c>
      <c r="F34" s="138">
        <v>15.6</v>
      </c>
      <c r="G34" s="281"/>
      <c r="H34" s="163" t="s">
        <v>5034</v>
      </c>
      <c r="I34" s="164"/>
      <c r="J34" s="104"/>
      <c r="K34" s="145"/>
      <c r="L34" s="363"/>
      <c r="M34" s="363"/>
      <c r="N34" s="363"/>
      <c r="O34" s="145">
        <v>0.0</v>
      </c>
      <c r="P34" s="145">
        <v>1.0</v>
      </c>
      <c r="Q34" s="145">
        <v>1.0</v>
      </c>
      <c r="R34" s="100"/>
      <c r="S34" s="100"/>
      <c r="T34" s="100"/>
      <c r="U34" s="166" t="s">
        <v>62</v>
      </c>
      <c r="V34" s="100"/>
    </row>
    <row r="35" outlineLevel="1">
      <c r="A35" s="146"/>
      <c r="B35" s="147" t="s">
        <v>5035</v>
      </c>
      <c r="C35" s="455" t="s">
        <v>295</v>
      </c>
      <c r="D35" s="210"/>
      <c r="E35" s="467" t="s">
        <v>5036</v>
      </c>
      <c r="F35" s="138" t="s">
        <v>5037</v>
      </c>
      <c r="G35" s="467" t="s">
        <v>642</v>
      </c>
      <c r="H35" s="212"/>
      <c r="J35" s="210"/>
      <c r="K35" s="363"/>
      <c r="L35" s="363"/>
      <c r="M35" s="363"/>
      <c r="N35" s="363"/>
      <c r="O35" s="145"/>
      <c r="P35" s="145"/>
      <c r="Q35" s="145"/>
      <c r="R35" s="100"/>
      <c r="S35" s="100"/>
      <c r="T35" s="100"/>
      <c r="U35" s="146"/>
      <c r="V35" s="100"/>
    </row>
    <row r="36" outlineLevel="1">
      <c r="A36" s="156"/>
      <c r="B36" s="147" t="s">
        <v>5038</v>
      </c>
      <c r="C36" s="107"/>
      <c r="D36" s="107"/>
      <c r="E36" s="467" t="s">
        <v>128</v>
      </c>
      <c r="F36" s="138">
        <v>12.0</v>
      </c>
      <c r="G36" s="281"/>
      <c r="H36" s="106"/>
      <c r="I36" s="168"/>
      <c r="J36" s="107"/>
      <c r="K36" s="363"/>
      <c r="L36" s="363"/>
      <c r="M36" s="363"/>
      <c r="N36" s="363"/>
      <c r="O36" s="145">
        <v>0.0</v>
      </c>
      <c r="P36" s="145">
        <v>1.0</v>
      </c>
      <c r="Q36" s="145">
        <v>1.0</v>
      </c>
      <c r="R36" s="100"/>
      <c r="S36" s="100"/>
      <c r="T36" s="100"/>
      <c r="U36" s="156"/>
      <c r="V36" s="100"/>
    </row>
    <row r="37" outlineLevel="1">
      <c r="A37" s="133" t="s">
        <v>109</v>
      </c>
      <c r="B37" s="147" t="s">
        <v>276</v>
      </c>
      <c r="C37" s="379" t="s">
        <v>378</v>
      </c>
      <c r="D37" s="455" t="s">
        <v>601</v>
      </c>
      <c r="E37" s="467" t="s">
        <v>5039</v>
      </c>
      <c r="F37" s="138" t="s">
        <v>5040</v>
      </c>
      <c r="G37" s="467" t="s">
        <v>3514</v>
      </c>
      <c r="H37" s="163" t="s">
        <v>1946</v>
      </c>
      <c r="I37" s="164"/>
      <c r="J37" s="104"/>
      <c r="K37" s="282"/>
      <c r="L37" s="282"/>
      <c r="M37" s="363"/>
      <c r="N37" s="363"/>
      <c r="O37" s="145">
        <v>0.0</v>
      </c>
      <c r="P37" s="145">
        <v>1.0</v>
      </c>
      <c r="Q37" s="145">
        <v>1.0</v>
      </c>
      <c r="R37" s="100"/>
      <c r="S37" s="100"/>
      <c r="T37" s="100"/>
      <c r="U37" s="166" t="s">
        <v>88</v>
      </c>
      <c r="V37" s="100"/>
    </row>
    <row r="38" outlineLevel="1">
      <c r="A38" s="146"/>
      <c r="B38" s="147" t="s">
        <v>279</v>
      </c>
      <c r="C38" s="210"/>
      <c r="D38" s="210"/>
      <c r="E38" s="467" t="s">
        <v>5041</v>
      </c>
      <c r="F38" s="138" t="s">
        <v>5042</v>
      </c>
      <c r="G38" s="467" t="s">
        <v>502</v>
      </c>
      <c r="H38" s="212"/>
      <c r="J38" s="210"/>
      <c r="K38" s="282"/>
      <c r="L38" s="282"/>
      <c r="M38" s="363"/>
      <c r="N38" s="363"/>
      <c r="O38" s="145">
        <v>0.0</v>
      </c>
      <c r="P38" s="145">
        <v>1.0</v>
      </c>
      <c r="Q38" s="145">
        <v>1.0</v>
      </c>
      <c r="R38" s="100"/>
      <c r="S38" s="100"/>
      <c r="T38" s="100"/>
      <c r="U38" s="146"/>
      <c r="V38" s="100"/>
    </row>
    <row r="39" outlineLevel="1">
      <c r="A39" s="156"/>
      <c r="B39" s="147" t="s">
        <v>280</v>
      </c>
      <c r="C39" s="107"/>
      <c r="D39" s="107"/>
      <c r="E39" s="467" t="s">
        <v>5043</v>
      </c>
      <c r="F39" s="138" t="s">
        <v>5044</v>
      </c>
      <c r="G39" s="467" t="s">
        <v>502</v>
      </c>
      <c r="H39" s="106"/>
      <c r="I39" s="168"/>
      <c r="J39" s="107"/>
      <c r="K39" s="282"/>
      <c r="L39" s="282"/>
      <c r="M39" s="363"/>
      <c r="N39" s="363"/>
      <c r="O39" s="145">
        <v>0.0</v>
      </c>
      <c r="P39" s="145">
        <v>1.0</v>
      </c>
      <c r="Q39" s="145">
        <v>1.0</v>
      </c>
      <c r="R39" s="100"/>
      <c r="S39" s="100"/>
      <c r="T39" s="100"/>
      <c r="U39" s="156"/>
      <c r="V39" s="100"/>
    </row>
    <row r="40" outlineLevel="1">
      <c r="A40" s="133" t="s">
        <v>116</v>
      </c>
      <c r="B40" s="147" t="s">
        <v>125</v>
      </c>
      <c r="C40" s="467" t="s">
        <v>543</v>
      </c>
      <c r="D40" s="455" t="s">
        <v>765</v>
      </c>
      <c r="E40" s="450" t="s">
        <v>394</v>
      </c>
      <c r="F40" s="138">
        <v>20.4</v>
      </c>
      <c r="G40" s="467" t="s">
        <v>88</v>
      </c>
      <c r="H40" s="163" t="s">
        <v>5045</v>
      </c>
      <c r="I40" s="164"/>
      <c r="J40" s="104"/>
      <c r="K40" s="363"/>
      <c r="L40" s="363"/>
      <c r="M40" s="363"/>
      <c r="N40" s="363"/>
      <c r="O40" s="145">
        <v>0.0</v>
      </c>
      <c r="P40" s="145">
        <v>1.0</v>
      </c>
      <c r="Q40" s="145">
        <v>1.0</v>
      </c>
      <c r="R40" s="100"/>
      <c r="S40" s="100"/>
      <c r="T40" s="100"/>
      <c r="U40" s="166" t="s">
        <v>147</v>
      </c>
      <c r="V40" s="100"/>
    </row>
    <row r="41" outlineLevel="1">
      <c r="A41" s="146"/>
      <c r="B41" s="147" t="s">
        <v>430</v>
      </c>
      <c r="C41" s="467" t="s">
        <v>223</v>
      </c>
      <c r="D41" s="210"/>
      <c r="E41" s="467" t="s">
        <v>80</v>
      </c>
      <c r="F41" s="138">
        <v>9.6</v>
      </c>
      <c r="G41" s="467" t="s">
        <v>102</v>
      </c>
      <c r="H41" s="212"/>
      <c r="J41" s="210"/>
      <c r="K41" s="363"/>
      <c r="L41" s="363"/>
      <c r="M41" s="363"/>
      <c r="N41" s="363"/>
      <c r="O41" s="145"/>
      <c r="P41" s="145"/>
      <c r="Q41" s="145"/>
      <c r="R41" s="100"/>
      <c r="S41" s="100"/>
      <c r="T41" s="100"/>
      <c r="U41" s="146"/>
      <c r="V41" s="100"/>
    </row>
    <row r="42" outlineLevel="1">
      <c r="A42" s="146"/>
      <c r="B42" s="147" t="s">
        <v>131</v>
      </c>
      <c r="C42" s="216" t="s">
        <v>296</v>
      </c>
      <c r="D42" s="210"/>
      <c r="E42" s="467" t="s">
        <v>80</v>
      </c>
      <c r="F42" s="138">
        <v>9.6</v>
      </c>
      <c r="G42" s="467" t="s">
        <v>102</v>
      </c>
      <c r="H42" s="212"/>
      <c r="J42" s="210"/>
      <c r="K42" s="363"/>
      <c r="L42" s="363"/>
      <c r="M42" s="363"/>
      <c r="N42" s="363"/>
      <c r="O42" s="145"/>
      <c r="P42" s="145"/>
      <c r="Q42" s="145"/>
      <c r="R42" s="100"/>
      <c r="S42" s="100"/>
      <c r="T42" s="100"/>
      <c r="U42" s="146"/>
      <c r="V42" s="100"/>
    </row>
    <row r="43" outlineLevel="1">
      <c r="A43" s="146"/>
      <c r="B43" s="147" t="s">
        <v>432</v>
      </c>
      <c r="C43" s="216" t="s">
        <v>718</v>
      </c>
      <c r="D43" s="210"/>
      <c r="E43" s="467" t="s">
        <v>204</v>
      </c>
      <c r="F43" s="138">
        <v>3.5999999999999996</v>
      </c>
      <c r="G43" s="467" t="s">
        <v>60</v>
      </c>
      <c r="H43" s="212"/>
      <c r="J43" s="210"/>
      <c r="K43" s="363"/>
      <c r="L43" s="363"/>
      <c r="M43" s="363"/>
      <c r="N43" s="363"/>
      <c r="O43" s="145"/>
      <c r="P43" s="145"/>
      <c r="Q43" s="145"/>
      <c r="R43" s="100"/>
      <c r="S43" s="100"/>
      <c r="T43" s="100"/>
      <c r="U43" s="146"/>
      <c r="V43" s="100"/>
    </row>
    <row r="44" outlineLevel="1">
      <c r="A44" s="146"/>
      <c r="B44" s="147" t="s">
        <v>1234</v>
      </c>
      <c r="C44" s="216" t="s">
        <v>65</v>
      </c>
      <c r="D44" s="210"/>
      <c r="E44" s="467" t="s">
        <v>204</v>
      </c>
      <c r="F44" s="138">
        <v>3.5999999999999996</v>
      </c>
      <c r="G44" s="467" t="s">
        <v>60</v>
      </c>
      <c r="H44" s="212"/>
      <c r="J44" s="210"/>
      <c r="K44" s="363"/>
      <c r="L44" s="363"/>
      <c r="M44" s="363"/>
      <c r="N44" s="363"/>
      <c r="O44" s="145"/>
      <c r="P44" s="145"/>
      <c r="Q44" s="145"/>
      <c r="R44" s="100"/>
      <c r="S44" s="100"/>
      <c r="T44" s="100"/>
      <c r="U44" s="146"/>
      <c r="V44" s="100"/>
    </row>
    <row r="45" outlineLevel="1">
      <c r="A45" s="156"/>
      <c r="B45" s="147" t="s">
        <v>434</v>
      </c>
      <c r="C45" s="216" t="s">
        <v>288</v>
      </c>
      <c r="D45" s="107"/>
      <c r="E45" s="467" t="s">
        <v>128</v>
      </c>
      <c r="F45" s="138">
        <v>12.0</v>
      </c>
      <c r="G45" s="467" t="s">
        <v>95</v>
      </c>
      <c r="H45" s="106"/>
      <c r="I45" s="168"/>
      <c r="J45" s="107"/>
      <c r="K45" s="363"/>
      <c r="L45" s="363"/>
      <c r="M45" s="363"/>
      <c r="N45" s="363"/>
      <c r="O45" s="145"/>
      <c r="P45" s="145"/>
      <c r="Q45" s="145"/>
      <c r="R45" s="100"/>
      <c r="S45" s="100"/>
      <c r="T45" s="100"/>
      <c r="U45" s="156"/>
      <c r="V45" s="100"/>
    </row>
    <row r="46" outlineLevel="1">
      <c r="A46" s="133" t="s">
        <v>124</v>
      </c>
      <c r="B46" s="134"/>
      <c r="C46" s="239" t="s">
        <v>1918</v>
      </c>
      <c r="D46" s="279" t="s">
        <v>748</v>
      </c>
      <c r="E46" s="113" t="s">
        <v>466</v>
      </c>
      <c r="F46" s="138">
        <v>21.599999999999998</v>
      </c>
      <c r="G46" s="113" t="s">
        <v>407</v>
      </c>
      <c r="H46" s="163" t="s">
        <v>5046</v>
      </c>
      <c r="I46" s="164"/>
      <c r="J46" s="104"/>
      <c r="K46" s="282"/>
      <c r="L46" s="282"/>
      <c r="M46" s="363"/>
      <c r="N46" s="363"/>
      <c r="O46" s="145">
        <v>0.0</v>
      </c>
      <c r="P46" s="145">
        <v>1.0</v>
      </c>
      <c r="Q46" s="145">
        <v>1.0</v>
      </c>
      <c r="R46" s="100"/>
      <c r="S46" s="100"/>
      <c r="T46" s="100"/>
      <c r="U46" s="166" t="s">
        <v>62</v>
      </c>
      <c r="V46" s="100"/>
    </row>
    <row r="47" outlineLevel="1">
      <c r="A47" s="156"/>
      <c r="B47" s="134" t="s">
        <v>2528</v>
      </c>
      <c r="C47" s="239" t="s">
        <v>92</v>
      </c>
      <c r="D47" s="156"/>
      <c r="E47" s="113" t="s">
        <v>73</v>
      </c>
      <c r="F47" s="138">
        <v>4.8</v>
      </c>
      <c r="G47" s="113" t="s">
        <v>147</v>
      </c>
      <c r="H47" s="106"/>
      <c r="I47" s="168"/>
      <c r="J47" s="107"/>
      <c r="K47" s="282"/>
      <c r="L47" s="282"/>
      <c r="M47" s="363"/>
      <c r="N47" s="363"/>
      <c r="O47" s="145">
        <v>0.0</v>
      </c>
      <c r="P47" s="145">
        <v>1.0</v>
      </c>
      <c r="Q47" s="145">
        <v>1.0</v>
      </c>
      <c r="R47" s="100"/>
      <c r="S47" s="100"/>
      <c r="T47" s="100"/>
      <c r="U47" s="156"/>
      <c r="V47" s="100"/>
    </row>
    <row r="48" outlineLevel="1">
      <c r="A48" s="170" t="s">
        <v>5047</v>
      </c>
      <c r="B48" s="134"/>
      <c r="C48" s="281"/>
      <c r="D48" s="113" t="s">
        <v>185</v>
      </c>
      <c r="E48" s="281"/>
      <c r="F48" s="281"/>
      <c r="G48" s="281"/>
      <c r="H48" s="151" t="s">
        <v>5048</v>
      </c>
      <c r="I48" s="110"/>
      <c r="J48" s="109"/>
      <c r="K48" s="281"/>
      <c r="L48" s="281"/>
      <c r="M48" s="281"/>
      <c r="N48" s="281"/>
      <c r="O48" s="281"/>
      <c r="P48" s="281"/>
      <c r="Q48" s="281"/>
      <c r="R48" s="100"/>
      <c r="S48" s="100"/>
      <c r="T48" s="100"/>
      <c r="U48" s="145" t="s">
        <v>62</v>
      </c>
      <c r="V48" s="100"/>
    </row>
    <row r="49">
      <c r="A49" s="118"/>
      <c r="B49" s="176"/>
      <c r="C49" s="118"/>
      <c r="D49" s="118"/>
      <c r="E49" s="118"/>
      <c r="F49" s="177"/>
      <c r="G49" s="177"/>
      <c r="H49" s="118"/>
      <c r="I49" s="118"/>
      <c r="J49" s="118"/>
      <c r="K49" s="118"/>
      <c r="L49" s="118"/>
      <c r="M49" s="118"/>
      <c r="N49" s="118"/>
      <c r="O49" s="118"/>
      <c r="P49" s="118"/>
      <c r="Q49" s="118"/>
      <c r="R49" s="118"/>
      <c r="S49" s="118"/>
      <c r="T49" s="118"/>
      <c r="U49" s="118"/>
      <c r="V49" s="118"/>
    </row>
    <row r="50">
      <c r="A50" s="178" t="s">
        <v>133</v>
      </c>
      <c r="B50" s="104"/>
      <c r="C50" s="179"/>
      <c r="D50" s="179"/>
      <c r="E50" s="179"/>
      <c r="F50" s="180"/>
      <c r="G50" s="179"/>
      <c r="H50" s="180"/>
      <c r="I50" s="180"/>
      <c r="J50" s="181"/>
      <c r="K50" s="180"/>
      <c r="L50" s="180"/>
      <c r="M50" s="180"/>
      <c r="N50" s="180"/>
      <c r="O50" s="180"/>
      <c r="P50" s="180"/>
      <c r="Q50" s="180"/>
      <c r="R50" s="180"/>
      <c r="S50" s="180"/>
      <c r="T50" s="180"/>
      <c r="U50" s="180"/>
      <c r="V50" s="180"/>
    </row>
    <row r="51" outlineLevel="1">
      <c r="A51" s="106"/>
      <c r="B51" s="107"/>
      <c r="C51" s="182" t="s">
        <v>48</v>
      </c>
      <c r="D51" s="183" t="s">
        <v>49</v>
      </c>
      <c r="E51" s="182" t="s">
        <v>50</v>
      </c>
      <c r="F51" s="184" t="s">
        <v>51</v>
      </c>
      <c r="G51" s="184" t="s">
        <v>134</v>
      </c>
      <c r="H51" s="185" t="s">
        <v>52</v>
      </c>
      <c r="I51" s="184" t="str">
        <f>'テンプレート'!I56</f>
        <v>着地隙</v>
      </c>
      <c r="J51" s="184" t="s">
        <v>136</v>
      </c>
      <c r="K51" s="184" t="str">
        <f>'テンプレート'!K56</f>
        <v>ベクトル</v>
      </c>
      <c r="L51" s="184" t="str">
        <f>'テンプレート'!L56</f>
        <v>KBG (R.E.)</v>
      </c>
      <c r="M51" s="184" t="str">
        <f>'テンプレート'!M56</f>
        <v>BKB (R.A.)</v>
      </c>
      <c r="N51" s="184" t="str">
        <f>'テンプレート'!N56</f>
        <v>FKB (R.F.)</v>
      </c>
      <c r="O51" s="186" t="str">
        <f>'テンプレート'!O56</f>
        <v>盾削り値</v>
      </c>
      <c r="P51" s="184" t="str">
        <f>'テンプレート'!P56</f>
        <v>ﾋｯﾄｽﾄｯﾌﾟ</v>
      </c>
      <c r="Q51" s="186" t="str">
        <f>'テンプレート'!Q56</f>
        <v>ずらし</v>
      </c>
      <c r="R51" s="187" t="str">
        <f>'テンプレート'!R56</f>
        <v>備考</v>
      </c>
      <c r="S51" s="110"/>
      <c r="T51" s="110"/>
      <c r="U51" s="110"/>
      <c r="V51" s="110"/>
    </row>
    <row r="52" ht="21.0" customHeight="1" outlineLevel="1">
      <c r="A52" s="188" t="s">
        <v>144</v>
      </c>
      <c r="B52" s="373"/>
      <c r="C52" s="239" t="s">
        <v>319</v>
      </c>
      <c r="D52" s="455" t="s">
        <v>146</v>
      </c>
      <c r="E52" s="401" t="s">
        <v>129</v>
      </c>
      <c r="F52" s="193">
        <v>14.4</v>
      </c>
      <c r="G52" s="193">
        <v>12.24</v>
      </c>
      <c r="H52" s="138" t="s">
        <v>75</v>
      </c>
      <c r="I52" s="379" t="s">
        <v>274</v>
      </c>
      <c r="J52" s="455" t="s">
        <v>649</v>
      </c>
      <c r="K52" s="138"/>
      <c r="L52" s="282"/>
      <c r="M52" s="363"/>
      <c r="N52" s="363"/>
      <c r="O52" s="145">
        <v>0.0</v>
      </c>
      <c r="P52" s="145">
        <v>1.0</v>
      </c>
      <c r="Q52" s="145">
        <v>1.0</v>
      </c>
      <c r="R52" s="163" t="s">
        <v>5049</v>
      </c>
      <c r="S52" s="164"/>
      <c r="T52" s="164"/>
      <c r="U52" s="164"/>
      <c r="V52" s="104"/>
    </row>
    <row r="53" ht="21.0" customHeight="1" outlineLevel="1">
      <c r="A53" s="156"/>
      <c r="B53" s="373" t="s">
        <v>84</v>
      </c>
      <c r="C53" s="239" t="s">
        <v>5050</v>
      </c>
      <c r="D53" s="107"/>
      <c r="E53" s="239" t="s">
        <v>80</v>
      </c>
      <c r="F53" s="138">
        <v>9.6</v>
      </c>
      <c r="G53" s="138">
        <v>8.16</v>
      </c>
      <c r="H53" s="138" t="s">
        <v>147</v>
      </c>
      <c r="I53" s="107"/>
      <c r="J53" s="107"/>
      <c r="K53" s="138"/>
      <c r="L53" s="282"/>
      <c r="M53" s="363"/>
      <c r="N53" s="363"/>
      <c r="O53" s="145">
        <v>0.0</v>
      </c>
      <c r="P53" s="145">
        <v>1.0</v>
      </c>
      <c r="Q53" s="145">
        <v>1.0</v>
      </c>
      <c r="R53" s="106"/>
      <c r="S53" s="168"/>
      <c r="T53" s="168"/>
      <c r="U53" s="168"/>
      <c r="V53" s="107"/>
    </row>
    <row r="54" outlineLevel="1">
      <c r="A54" s="188" t="s">
        <v>151</v>
      </c>
      <c r="B54" s="373" t="s">
        <v>5051</v>
      </c>
      <c r="C54" s="239" t="s">
        <v>232</v>
      </c>
      <c r="D54" s="379" t="s">
        <v>289</v>
      </c>
      <c r="E54" s="365" t="s">
        <v>5052</v>
      </c>
      <c r="F54" s="138" t="s">
        <v>5053</v>
      </c>
      <c r="G54" s="138" t="s">
        <v>5054</v>
      </c>
      <c r="H54" s="138" t="s">
        <v>329</v>
      </c>
      <c r="I54" s="452" t="s">
        <v>232</v>
      </c>
      <c r="J54" s="455" t="s">
        <v>1326</v>
      </c>
      <c r="K54" s="138"/>
      <c r="L54" s="282"/>
      <c r="M54" s="363"/>
      <c r="N54" s="363"/>
      <c r="O54" s="145">
        <v>0.0</v>
      </c>
      <c r="P54" s="145">
        <v>1.0</v>
      </c>
      <c r="Q54" s="145">
        <v>1.0</v>
      </c>
      <c r="R54" s="163"/>
      <c r="S54" s="164"/>
      <c r="T54" s="164"/>
      <c r="U54" s="164"/>
      <c r="V54" s="104"/>
    </row>
    <row r="55" outlineLevel="1">
      <c r="A55" s="146"/>
      <c r="B55" s="373" t="s">
        <v>5055</v>
      </c>
      <c r="C55" s="365" t="s">
        <v>383</v>
      </c>
      <c r="D55" s="210"/>
      <c r="E55" s="365" t="s">
        <v>5052</v>
      </c>
      <c r="F55" s="138" t="s">
        <v>5053</v>
      </c>
      <c r="G55" s="138" t="s">
        <v>5054</v>
      </c>
      <c r="H55" s="138" t="s">
        <v>329</v>
      </c>
      <c r="I55" s="210"/>
      <c r="J55" s="210"/>
      <c r="K55" s="138"/>
      <c r="L55" s="282"/>
      <c r="M55" s="363"/>
      <c r="N55" s="363"/>
      <c r="O55" s="145"/>
      <c r="P55" s="145"/>
      <c r="Q55" s="145"/>
      <c r="R55" s="212"/>
      <c r="V55" s="210"/>
    </row>
    <row r="56" outlineLevel="1">
      <c r="A56" s="156"/>
      <c r="B56" s="373" t="s">
        <v>84</v>
      </c>
      <c r="C56" s="365" t="s">
        <v>1111</v>
      </c>
      <c r="D56" s="107"/>
      <c r="E56" s="239" t="s">
        <v>1209</v>
      </c>
      <c r="F56" s="138" t="s">
        <v>1210</v>
      </c>
      <c r="G56" s="138" t="s">
        <v>5056</v>
      </c>
      <c r="H56" s="138" t="s">
        <v>1132</v>
      </c>
      <c r="I56" s="107"/>
      <c r="J56" s="107"/>
      <c r="K56" s="138"/>
      <c r="L56" s="282"/>
      <c r="M56" s="363"/>
      <c r="N56" s="363"/>
      <c r="O56" s="145">
        <v>0.0</v>
      </c>
      <c r="P56" s="145">
        <v>1.0</v>
      </c>
      <c r="Q56" s="145">
        <v>1.0</v>
      </c>
      <c r="R56" s="106"/>
      <c r="S56" s="168"/>
      <c r="T56" s="168"/>
      <c r="U56" s="168"/>
      <c r="V56" s="107"/>
    </row>
    <row r="57" outlineLevel="1">
      <c r="A57" s="213" t="s">
        <v>157</v>
      </c>
      <c r="B57" s="373"/>
      <c r="C57" s="239" t="s">
        <v>312</v>
      </c>
      <c r="D57" s="467" t="s">
        <v>462</v>
      </c>
      <c r="E57" s="239" t="s">
        <v>5057</v>
      </c>
      <c r="F57" s="138" t="s">
        <v>5058</v>
      </c>
      <c r="G57" s="138" t="s">
        <v>5059</v>
      </c>
      <c r="H57" s="138" t="s">
        <v>5060</v>
      </c>
      <c r="I57" s="774">
        <v>14.0</v>
      </c>
      <c r="J57" s="467" t="s">
        <v>2326</v>
      </c>
      <c r="K57" s="138"/>
      <c r="L57" s="282"/>
      <c r="M57" s="363"/>
      <c r="N57" s="363"/>
      <c r="O57" s="145">
        <v>0.0</v>
      </c>
      <c r="P57" s="145">
        <v>1.0</v>
      </c>
      <c r="Q57" s="145">
        <v>1.0</v>
      </c>
      <c r="R57" s="151"/>
      <c r="S57" s="110"/>
      <c r="T57" s="110"/>
      <c r="U57" s="110"/>
      <c r="V57" s="109"/>
    </row>
    <row r="58" ht="19.5" customHeight="1" outlineLevel="1">
      <c r="A58" s="188" t="s">
        <v>162</v>
      </c>
      <c r="B58" s="373"/>
      <c r="C58" s="365" t="s">
        <v>890</v>
      </c>
      <c r="D58" s="379" t="s">
        <v>765</v>
      </c>
      <c r="E58" s="239" t="s">
        <v>119</v>
      </c>
      <c r="F58" s="138">
        <v>16.8</v>
      </c>
      <c r="G58" s="138">
        <v>14.28</v>
      </c>
      <c r="H58" s="138" t="s">
        <v>75</v>
      </c>
      <c r="I58" s="452" t="s">
        <v>228</v>
      </c>
      <c r="J58" s="455" t="s">
        <v>5061</v>
      </c>
      <c r="K58" s="282"/>
      <c r="L58" s="282"/>
      <c r="M58" s="363"/>
      <c r="N58" s="363"/>
      <c r="O58" s="145">
        <v>0.0</v>
      </c>
      <c r="P58" s="145">
        <v>1.0</v>
      </c>
      <c r="Q58" s="145">
        <v>1.0</v>
      </c>
      <c r="R58" s="163" t="s">
        <v>5062</v>
      </c>
      <c r="S58" s="164"/>
      <c r="T58" s="164"/>
      <c r="U58" s="164"/>
      <c r="V58" s="104"/>
    </row>
    <row r="59" ht="19.5" customHeight="1" outlineLevel="1">
      <c r="A59" s="156"/>
      <c r="B59" s="373" t="s">
        <v>84</v>
      </c>
      <c r="C59" s="365" t="s">
        <v>465</v>
      </c>
      <c r="D59" s="107"/>
      <c r="E59" s="239" t="s">
        <v>128</v>
      </c>
      <c r="F59" s="138">
        <v>12.0</v>
      </c>
      <c r="G59" s="138">
        <v>10.2</v>
      </c>
      <c r="H59" s="138" t="s">
        <v>147</v>
      </c>
      <c r="I59" s="107"/>
      <c r="J59" s="107"/>
      <c r="K59" s="282"/>
      <c r="L59" s="282"/>
      <c r="M59" s="363"/>
      <c r="N59" s="363"/>
      <c r="O59" s="145">
        <v>0.0</v>
      </c>
      <c r="P59" s="145">
        <v>1.0</v>
      </c>
      <c r="Q59" s="145">
        <v>1.0</v>
      </c>
      <c r="R59" s="106"/>
      <c r="S59" s="168"/>
      <c r="T59" s="168"/>
      <c r="U59" s="168"/>
      <c r="V59" s="107"/>
    </row>
    <row r="60" outlineLevel="1">
      <c r="A60" s="188" t="s">
        <v>166</v>
      </c>
      <c r="B60" s="373"/>
      <c r="C60" s="239" t="s">
        <v>295</v>
      </c>
      <c r="D60" s="455" t="s">
        <v>601</v>
      </c>
      <c r="E60" s="239" t="s">
        <v>129</v>
      </c>
      <c r="F60" s="138">
        <v>14.4</v>
      </c>
      <c r="G60" s="138">
        <v>12.24</v>
      </c>
      <c r="H60" s="138" t="s">
        <v>75</v>
      </c>
      <c r="I60" s="452">
        <v>14.0</v>
      </c>
      <c r="J60" s="455" t="s">
        <v>649</v>
      </c>
      <c r="K60" s="282"/>
      <c r="L60" s="282"/>
      <c r="M60" s="363"/>
      <c r="N60" s="363"/>
      <c r="O60" s="145">
        <v>0.0</v>
      </c>
      <c r="P60" s="145">
        <v>1.0</v>
      </c>
      <c r="Q60" s="145">
        <v>1.0</v>
      </c>
      <c r="R60" s="163" t="s">
        <v>5063</v>
      </c>
      <c r="S60" s="164"/>
      <c r="T60" s="164"/>
      <c r="U60" s="164"/>
      <c r="V60" s="104"/>
    </row>
    <row r="61" outlineLevel="1">
      <c r="A61" s="156"/>
      <c r="B61" s="373" t="s">
        <v>84</v>
      </c>
      <c r="C61" s="239" t="s">
        <v>3209</v>
      </c>
      <c r="D61" s="107"/>
      <c r="E61" s="239" t="s">
        <v>274</v>
      </c>
      <c r="F61" s="138">
        <v>10.8</v>
      </c>
      <c r="G61" s="138">
        <v>9.18</v>
      </c>
      <c r="H61" s="138" t="s">
        <v>147</v>
      </c>
      <c r="I61" s="107"/>
      <c r="J61" s="107"/>
      <c r="K61" s="282"/>
      <c r="L61" s="282"/>
      <c r="M61" s="363"/>
      <c r="N61" s="363"/>
      <c r="O61" s="145">
        <v>0.0</v>
      </c>
      <c r="P61" s="145">
        <v>1.0</v>
      </c>
      <c r="Q61" s="145">
        <v>1.0</v>
      </c>
      <c r="R61" s="106"/>
      <c r="S61" s="168"/>
      <c r="T61" s="168"/>
      <c r="U61" s="168"/>
      <c r="V61" s="107"/>
    </row>
    <row r="62">
      <c r="A62" s="223"/>
      <c r="B62" s="224"/>
      <c r="C62" s="225"/>
      <c r="D62" s="225"/>
      <c r="E62" s="226"/>
      <c r="F62" s="226"/>
      <c r="G62" s="226"/>
      <c r="H62" s="227"/>
      <c r="I62" s="227"/>
      <c r="J62" s="228"/>
      <c r="K62" s="228"/>
      <c r="L62" s="228"/>
      <c r="M62" s="228"/>
      <c r="N62" s="228"/>
      <c r="O62" s="228"/>
      <c r="P62" s="228"/>
      <c r="Q62" s="118"/>
      <c r="R62" s="118"/>
      <c r="S62" s="118"/>
      <c r="T62" s="118"/>
      <c r="U62" s="118"/>
      <c r="V62" s="118"/>
    </row>
    <row r="63">
      <c r="A63" s="229" t="s">
        <v>177</v>
      </c>
      <c r="B63" s="109"/>
      <c r="C63" s="225"/>
      <c r="D63" s="225"/>
      <c r="E63" s="226"/>
      <c r="F63" s="226"/>
      <c r="G63" s="226"/>
      <c r="H63" s="227"/>
      <c r="I63" s="227"/>
      <c r="J63" s="228"/>
      <c r="K63" s="228"/>
      <c r="L63" s="228"/>
      <c r="M63" s="228"/>
      <c r="N63" s="228"/>
      <c r="O63" s="228"/>
      <c r="P63" s="228"/>
      <c r="Q63" s="118"/>
      <c r="R63" s="118"/>
      <c r="S63" s="118"/>
      <c r="T63" s="118"/>
      <c r="U63" s="118"/>
      <c r="V63" s="118"/>
    </row>
    <row r="64" outlineLevel="1">
      <c r="A64" s="230" t="s">
        <v>5064</v>
      </c>
      <c r="B64" s="109"/>
      <c r="C64" s="231" t="s">
        <v>48</v>
      </c>
      <c r="D64" s="231" t="s">
        <v>49</v>
      </c>
      <c r="E64" s="232" t="s">
        <v>50</v>
      </c>
      <c r="F64" s="233" t="s">
        <v>51</v>
      </c>
      <c r="G64" s="232" t="s">
        <v>52</v>
      </c>
      <c r="H64" s="382" t="s">
        <v>53</v>
      </c>
      <c r="I64" s="110"/>
      <c r="J64" s="109"/>
      <c r="K64" s="235" t="s">
        <v>137</v>
      </c>
      <c r="L64" s="235" t="s">
        <v>138</v>
      </c>
      <c r="M64" s="235" t="s">
        <v>139</v>
      </c>
      <c r="N64" s="235" t="s">
        <v>140</v>
      </c>
      <c r="O64" s="236" t="s">
        <v>141</v>
      </c>
      <c r="P64" s="235" t="s">
        <v>142</v>
      </c>
      <c r="Q64" s="236" t="s">
        <v>143</v>
      </c>
      <c r="R64" s="235" t="s">
        <v>179</v>
      </c>
      <c r="S64" s="236" t="s">
        <v>180</v>
      </c>
      <c r="T64" s="236" t="s">
        <v>181</v>
      </c>
      <c r="U64" s="236" t="s">
        <v>182</v>
      </c>
      <c r="V64" s="236" t="s">
        <v>183</v>
      </c>
    </row>
    <row r="65" outlineLevel="1">
      <c r="A65" s="237" t="s">
        <v>184</v>
      </c>
      <c r="B65" s="243" t="s">
        <v>5065</v>
      </c>
      <c r="C65" s="365" t="s">
        <v>5066</v>
      </c>
      <c r="D65" s="365" t="s">
        <v>777</v>
      </c>
      <c r="E65" s="239" t="s">
        <v>228</v>
      </c>
      <c r="F65" s="138">
        <v>15.6</v>
      </c>
      <c r="G65" s="239" t="s">
        <v>75</v>
      </c>
      <c r="H65" s="163" t="s">
        <v>5067</v>
      </c>
      <c r="I65" s="164"/>
      <c r="J65" s="104"/>
      <c r="K65" s="282"/>
      <c r="L65" s="282"/>
      <c r="M65" s="363"/>
      <c r="N65" s="363"/>
      <c r="O65" s="138">
        <v>0.0</v>
      </c>
      <c r="P65" s="138">
        <v>1.0</v>
      </c>
      <c r="Q65" s="138">
        <v>1.0</v>
      </c>
      <c r="R65" s="145" t="b">
        <v>1</v>
      </c>
      <c r="S65" s="145" t="b">
        <v>0</v>
      </c>
      <c r="T65" s="145" t="b">
        <v>1</v>
      </c>
      <c r="U65" s="166" t="s">
        <v>186</v>
      </c>
      <c r="V65" s="166" t="b">
        <v>1</v>
      </c>
    </row>
    <row r="66" outlineLevel="1">
      <c r="A66" s="146"/>
      <c r="B66" s="663" t="s">
        <v>5068</v>
      </c>
      <c r="C66" s="239" t="s">
        <v>5069</v>
      </c>
      <c r="D66" s="367" t="s">
        <v>892</v>
      </c>
      <c r="E66" s="239" t="s">
        <v>209</v>
      </c>
      <c r="F66" s="138">
        <v>0.0</v>
      </c>
      <c r="G66" s="281"/>
      <c r="H66" s="212"/>
      <c r="J66" s="210"/>
      <c r="K66" s="282"/>
      <c r="L66" s="282"/>
      <c r="M66" s="363"/>
      <c r="N66" s="363"/>
      <c r="O66" s="138">
        <v>0.0</v>
      </c>
      <c r="P66" s="138">
        <v>1.0</v>
      </c>
      <c r="Q66" s="138">
        <v>1.0</v>
      </c>
      <c r="R66" s="145" t="b">
        <v>1</v>
      </c>
      <c r="S66" s="145" t="b">
        <v>0</v>
      </c>
      <c r="T66" s="145" t="b">
        <v>1</v>
      </c>
      <c r="U66" s="146"/>
      <c r="V66" s="146"/>
    </row>
    <row r="67" outlineLevel="1">
      <c r="A67" s="146"/>
      <c r="B67" s="663" t="s">
        <v>5070</v>
      </c>
      <c r="C67" s="239" t="s">
        <v>5071</v>
      </c>
      <c r="D67" s="156"/>
      <c r="E67" s="239" t="s">
        <v>274</v>
      </c>
      <c r="F67" s="138">
        <v>10.799999999999999</v>
      </c>
      <c r="G67" s="281"/>
      <c r="H67" s="212"/>
      <c r="J67" s="210"/>
      <c r="K67" s="281"/>
      <c r="L67" s="281"/>
      <c r="M67" s="281"/>
      <c r="N67" s="281"/>
      <c r="O67" s="281"/>
      <c r="P67" s="281"/>
      <c r="Q67" s="281"/>
      <c r="R67" s="281"/>
      <c r="S67" s="281"/>
      <c r="T67" s="281"/>
      <c r="U67" s="146"/>
      <c r="V67" s="146"/>
    </row>
    <row r="68" outlineLevel="1">
      <c r="A68" s="146"/>
      <c r="B68" s="663" t="s">
        <v>5072</v>
      </c>
      <c r="C68" s="281"/>
      <c r="D68" s="467" t="s">
        <v>394</v>
      </c>
      <c r="E68" s="281"/>
      <c r="F68" s="281"/>
      <c r="G68" s="281"/>
      <c r="H68" s="212"/>
      <c r="J68" s="210"/>
      <c r="K68" s="281"/>
      <c r="L68" s="281"/>
      <c r="M68" s="281"/>
      <c r="N68" s="281"/>
      <c r="O68" s="281"/>
      <c r="P68" s="281"/>
      <c r="Q68" s="281"/>
      <c r="R68" s="281"/>
      <c r="S68" s="281"/>
      <c r="T68" s="281"/>
      <c r="U68" s="146"/>
      <c r="V68" s="146"/>
    </row>
    <row r="69" outlineLevel="1">
      <c r="A69" s="146"/>
      <c r="B69" s="663" t="s">
        <v>5073</v>
      </c>
      <c r="C69" s="901" t="s">
        <v>876</v>
      </c>
      <c r="D69" s="901" t="s">
        <v>374</v>
      </c>
      <c r="E69" s="239" t="s">
        <v>394</v>
      </c>
      <c r="F69" s="138">
        <v>20.4</v>
      </c>
      <c r="G69" s="239" t="s">
        <v>75</v>
      </c>
      <c r="H69" s="212"/>
      <c r="J69" s="210"/>
      <c r="K69" s="282"/>
      <c r="L69" s="282"/>
      <c r="M69" s="363"/>
      <c r="N69" s="363"/>
      <c r="O69" s="138">
        <v>0.0</v>
      </c>
      <c r="P69" s="138">
        <v>1.0</v>
      </c>
      <c r="Q69" s="138">
        <v>1.0</v>
      </c>
      <c r="R69" s="145" t="b">
        <v>1</v>
      </c>
      <c r="S69" s="145" t="b">
        <v>0</v>
      </c>
      <c r="T69" s="145" t="b">
        <v>0</v>
      </c>
      <c r="U69" s="146"/>
      <c r="V69" s="146"/>
    </row>
    <row r="70" outlineLevel="1">
      <c r="A70" s="146"/>
      <c r="B70" s="663" t="s">
        <v>5074</v>
      </c>
      <c r="C70" s="156"/>
      <c r="D70" s="156"/>
      <c r="E70" s="239" t="s">
        <v>129</v>
      </c>
      <c r="F70" s="138">
        <v>14.399999999999999</v>
      </c>
      <c r="G70" s="281"/>
      <c r="H70" s="212"/>
      <c r="J70" s="210"/>
      <c r="K70" s="281"/>
      <c r="L70" s="281"/>
      <c r="M70" s="281"/>
      <c r="N70" s="281"/>
      <c r="O70" s="281"/>
      <c r="P70" s="281"/>
      <c r="Q70" s="281"/>
      <c r="R70" s="281"/>
      <c r="S70" s="281"/>
      <c r="T70" s="281"/>
      <c r="U70" s="146"/>
      <c r="V70" s="146"/>
    </row>
    <row r="71" outlineLevel="1">
      <c r="A71" s="146"/>
      <c r="B71" s="663" t="s">
        <v>5075</v>
      </c>
      <c r="C71" s="901" t="s">
        <v>593</v>
      </c>
      <c r="D71" s="901" t="s">
        <v>892</v>
      </c>
      <c r="E71" s="239" t="s">
        <v>394</v>
      </c>
      <c r="F71" s="138">
        <v>20.4</v>
      </c>
      <c r="G71" s="239" t="s">
        <v>75</v>
      </c>
      <c r="H71" s="212"/>
      <c r="J71" s="210"/>
      <c r="K71" s="281"/>
      <c r="L71" s="281"/>
      <c r="M71" s="281"/>
      <c r="N71" s="281"/>
      <c r="O71" s="281"/>
      <c r="P71" s="281"/>
      <c r="Q71" s="281"/>
      <c r="R71" s="281"/>
      <c r="S71" s="281"/>
      <c r="T71" s="281"/>
      <c r="U71" s="146"/>
      <c r="V71" s="146"/>
    </row>
    <row r="72" outlineLevel="1">
      <c r="A72" s="146"/>
      <c r="B72" s="663" t="s">
        <v>5076</v>
      </c>
      <c r="C72" s="156"/>
      <c r="D72" s="156"/>
      <c r="E72" s="239" t="s">
        <v>129</v>
      </c>
      <c r="F72" s="138">
        <v>14.399999999999999</v>
      </c>
      <c r="G72" s="281"/>
      <c r="H72" s="212"/>
      <c r="J72" s="210"/>
      <c r="K72" s="281"/>
      <c r="L72" s="281"/>
      <c r="M72" s="281"/>
      <c r="N72" s="281"/>
      <c r="O72" s="281"/>
      <c r="P72" s="281"/>
      <c r="Q72" s="281"/>
      <c r="R72" s="281"/>
      <c r="S72" s="281"/>
      <c r="T72" s="281"/>
      <c r="U72" s="146"/>
      <c r="V72" s="146"/>
    </row>
    <row r="73" outlineLevel="1">
      <c r="A73" s="146"/>
      <c r="B73" s="663" t="s">
        <v>5077</v>
      </c>
      <c r="C73" s="901" t="s">
        <v>964</v>
      </c>
      <c r="D73" s="901" t="s">
        <v>462</v>
      </c>
      <c r="E73" s="239" t="s">
        <v>394</v>
      </c>
      <c r="F73" s="138">
        <v>20.4</v>
      </c>
      <c r="G73" s="239" t="s">
        <v>75</v>
      </c>
      <c r="H73" s="212"/>
      <c r="J73" s="210"/>
      <c r="K73" s="281"/>
      <c r="L73" s="281"/>
      <c r="M73" s="281"/>
      <c r="N73" s="281"/>
      <c r="O73" s="281"/>
      <c r="P73" s="281"/>
      <c r="Q73" s="281"/>
      <c r="R73" s="281"/>
      <c r="S73" s="281"/>
      <c r="T73" s="281"/>
      <c r="U73" s="146"/>
      <c r="V73" s="146"/>
    </row>
    <row r="74" outlineLevel="1">
      <c r="A74" s="146"/>
      <c r="B74" s="663" t="s">
        <v>5078</v>
      </c>
      <c r="C74" s="156"/>
      <c r="D74" s="156"/>
      <c r="E74" s="239" t="s">
        <v>129</v>
      </c>
      <c r="F74" s="138">
        <v>14.399999999999999</v>
      </c>
      <c r="G74" s="281"/>
      <c r="H74" s="106"/>
      <c r="I74" s="168"/>
      <c r="J74" s="107"/>
      <c r="K74" s="281"/>
      <c r="L74" s="281"/>
      <c r="M74" s="281"/>
      <c r="N74" s="281"/>
      <c r="O74" s="281"/>
      <c r="P74" s="281"/>
      <c r="Q74" s="281"/>
      <c r="R74" s="281"/>
      <c r="S74" s="281"/>
      <c r="T74" s="281"/>
      <c r="U74" s="156"/>
      <c r="V74" s="156"/>
    </row>
    <row r="75" outlineLevel="1">
      <c r="A75" s="230" t="s">
        <v>5079</v>
      </c>
      <c r="B75" s="109"/>
      <c r="C75" s="231" t="s">
        <v>48</v>
      </c>
      <c r="D75" s="231" t="s">
        <v>49</v>
      </c>
      <c r="E75" s="232" t="s">
        <v>50</v>
      </c>
      <c r="F75" s="233" t="s">
        <v>51</v>
      </c>
      <c r="G75" s="232" t="s">
        <v>52</v>
      </c>
      <c r="H75" s="382" t="s">
        <v>53</v>
      </c>
      <c r="I75" s="110"/>
      <c r="J75" s="109"/>
      <c r="K75" s="235" t="s">
        <v>137</v>
      </c>
      <c r="L75" s="235" t="s">
        <v>138</v>
      </c>
      <c r="M75" s="235" t="s">
        <v>139</v>
      </c>
      <c r="N75" s="235" t="s">
        <v>140</v>
      </c>
      <c r="O75" s="236" t="s">
        <v>141</v>
      </c>
      <c r="P75" s="235" t="s">
        <v>142</v>
      </c>
      <c r="Q75" s="236" t="s">
        <v>143</v>
      </c>
      <c r="R75" s="235" t="s">
        <v>179</v>
      </c>
      <c r="S75" s="236" t="s">
        <v>180</v>
      </c>
      <c r="T75" s="236" t="s">
        <v>181</v>
      </c>
      <c r="U75" s="236" t="s">
        <v>182</v>
      </c>
      <c r="V75" s="236" t="s">
        <v>183</v>
      </c>
    </row>
    <row r="76" outlineLevel="1">
      <c r="A76" s="237" t="s">
        <v>184</v>
      </c>
      <c r="B76" s="243" t="s">
        <v>1933</v>
      </c>
      <c r="C76" s="239" t="s">
        <v>5080</v>
      </c>
      <c r="D76" s="455" t="s">
        <v>748</v>
      </c>
      <c r="E76" s="239" t="s">
        <v>209</v>
      </c>
      <c r="F76" s="138">
        <v>0.0</v>
      </c>
      <c r="G76" s="281"/>
      <c r="H76" s="386" t="s">
        <v>5081</v>
      </c>
      <c r="I76" s="164"/>
      <c r="J76" s="104"/>
      <c r="K76" s="282"/>
      <c r="L76" s="282"/>
      <c r="M76" s="363"/>
      <c r="N76" s="363"/>
      <c r="O76" s="138">
        <v>0.0</v>
      </c>
      <c r="P76" s="138">
        <v>1.0</v>
      </c>
      <c r="Q76" s="138">
        <v>1.0</v>
      </c>
      <c r="R76" s="145" t="b">
        <v>0</v>
      </c>
      <c r="S76" s="145" t="b">
        <v>0</v>
      </c>
      <c r="T76" s="145" t="b">
        <v>0</v>
      </c>
      <c r="U76" s="166" t="s">
        <v>186</v>
      </c>
      <c r="V76" s="166" t="b">
        <v>1</v>
      </c>
    </row>
    <row r="77" outlineLevel="1">
      <c r="A77" s="146"/>
      <c r="B77" s="243" t="s">
        <v>5082</v>
      </c>
      <c r="C77" s="239" t="s">
        <v>5083</v>
      </c>
      <c r="D77" s="210"/>
      <c r="E77" s="239" t="s">
        <v>274</v>
      </c>
      <c r="F77" s="138">
        <v>10.799999999999999</v>
      </c>
      <c r="G77" s="239" t="s">
        <v>147</v>
      </c>
      <c r="H77" s="212"/>
      <c r="J77" s="210"/>
      <c r="K77" s="138"/>
      <c r="L77" s="138"/>
      <c r="M77" s="145"/>
      <c r="N77" s="145"/>
      <c r="O77" s="138">
        <v>0.0</v>
      </c>
      <c r="P77" s="138">
        <v>1.0</v>
      </c>
      <c r="Q77" s="138">
        <v>1.0</v>
      </c>
      <c r="R77" s="145" t="b">
        <v>1</v>
      </c>
      <c r="S77" s="145" t="b">
        <v>0</v>
      </c>
      <c r="T77" s="145" t="b">
        <v>1</v>
      </c>
      <c r="U77" s="146"/>
      <c r="V77" s="146"/>
    </row>
    <row r="78" outlineLevel="1">
      <c r="A78" s="146"/>
      <c r="B78" s="243" t="s">
        <v>5084</v>
      </c>
      <c r="C78" s="239" t="s">
        <v>5085</v>
      </c>
      <c r="D78" s="107"/>
      <c r="E78" s="239" t="s">
        <v>93</v>
      </c>
      <c r="F78" s="138">
        <v>8.4</v>
      </c>
      <c r="G78" s="239" t="s">
        <v>60</v>
      </c>
      <c r="H78" s="212"/>
      <c r="J78" s="210"/>
      <c r="K78" s="138"/>
      <c r="L78" s="138"/>
      <c r="M78" s="145"/>
      <c r="N78" s="145"/>
      <c r="O78" s="138">
        <v>0.0</v>
      </c>
      <c r="P78" s="138">
        <v>1.0</v>
      </c>
      <c r="Q78" s="138">
        <v>1.0</v>
      </c>
      <c r="R78" s="145" t="b">
        <v>1</v>
      </c>
      <c r="S78" s="145" t="b">
        <v>0</v>
      </c>
      <c r="T78" s="145" t="b">
        <v>1</v>
      </c>
      <c r="U78" s="146"/>
      <c r="V78" s="146"/>
    </row>
    <row r="79" outlineLevel="1">
      <c r="A79" s="146"/>
      <c r="B79" s="243" t="s">
        <v>497</v>
      </c>
      <c r="C79" s="281"/>
      <c r="D79" s="467" t="s">
        <v>394</v>
      </c>
      <c r="E79" s="281"/>
      <c r="F79" s="281"/>
      <c r="G79" s="281"/>
      <c r="H79" s="106"/>
      <c r="I79" s="168"/>
      <c r="J79" s="107"/>
      <c r="K79" s="281"/>
      <c r="L79" s="281"/>
      <c r="M79" s="281"/>
      <c r="N79" s="281"/>
      <c r="O79" s="281"/>
      <c r="P79" s="281"/>
      <c r="Q79" s="281"/>
      <c r="R79" s="281"/>
      <c r="S79" s="281"/>
      <c r="T79" s="281"/>
      <c r="U79" s="156"/>
      <c r="V79" s="156"/>
    </row>
    <row r="80" outlineLevel="1">
      <c r="A80" s="230" t="s">
        <v>5086</v>
      </c>
      <c r="B80" s="109"/>
      <c r="C80" s="231" t="s">
        <v>48</v>
      </c>
      <c r="D80" s="231" t="s">
        <v>49</v>
      </c>
      <c r="E80" s="232" t="s">
        <v>50</v>
      </c>
      <c r="F80" s="233" t="s">
        <v>51</v>
      </c>
      <c r="G80" s="232" t="s">
        <v>52</v>
      </c>
      <c r="H80" s="382" t="s">
        <v>53</v>
      </c>
      <c r="I80" s="110"/>
      <c r="J80" s="109"/>
      <c r="K80" s="235" t="s">
        <v>137</v>
      </c>
      <c r="L80" s="235" t="s">
        <v>138</v>
      </c>
      <c r="M80" s="235" t="s">
        <v>139</v>
      </c>
      <c r="N80" s="235" t="s">
        <v>140</v>
      </c>
      <c r="O80" s="236" t="s">
        <v>141</v>
      </c>
      <c r="P80" s="235" t="s">
        <v>142</v>
      </c>
      <c r="Q80" s="236" t="s">
        <v>143</v>
      </c>
      <c r="R80" s="235" t="s">
        <v>179</v>
      </c>
      <c r="S80" s="236" t="s">
        <v>180</v>
      </c>
      <c r="T80" s="236" t="s">
        <v>181</v>
      </c>
      <c r="U80" s="236" t="s">
        <v>182</v>
      </c>
      <c r="V80" s="236" t="s">
        <v>183</v>
      </c>
    </row>
    <row r="81" outlineLevel="1">
      <c r="A81" s="1202" t="s">
        <v>184</v>
      </c>
      <c r="B81" s="870"/>
      <c r="C81" s="239" t="s">
        <v>5087</v>
      </c>
      <c r="D81" s="281"/>
      <c r="E81" s="239" t="s">
        <v>204</v>
      </c>
      <c r="F81" s="138">
        <v>3.5999999999999996</v>
      </c>
      <c r="G81" s="239" t="s">
        <v>170</v>
      </c>
      <c r="H81" s="151" t="s">
        <v>5088</v>
      </c>
      <c r="I81" s="110"/>
      <c r="J81" s="109"/>
      <c r="K81" s="138"/>
      <c r="L81" s="138"/>
      <c r="M81" s="145"/>
      <c r="N81" s="145"/>
      <c r="O81" s="138">
        <v>0.0</v>
      </c>
      <c r="P81" s="138">
        <v>1.0</v>
      </c>
      <c r="Q81" s="138">
        <v>1.0</v>
      </c>
      <c r="R81" s="145" t="b">
        <v>0</v>
      </c>
      <c r="S81" s="145" t="b">
        <v>0</v>
      </c>
      <c r="T81" s="145" t="b">
        <v>1</v>
      </c>
      <c r="U81" s="145" t="b">
        <v>0</v>
      </c>
      <c r="V81" s="145" t="b">
        <v>0</v>
      </c>
    </row>
    <row r="82" outlineLevel="1">
      <c r="A82" s="230" t="s">
        <v>5089</v>
      </c>
      <c r="B82" s="109"/>
      <c r="C82" s="231" t="s">
        <v>48</v>
      </c>
      <c r="D82" s="231" t="s">
        <v>49</v>
      </c>
      <c r="E82" s="232" t="s">
        <v>50</v>
      </c>
      <c r="F82" s="233" t="s">
        <v>51</v>
      </c>
      <c r="G82" s="232" t="s">
        <v>52</v>
      </c>
      <c r="H82" s="382" t="s">
        <v>53</v>
      </c>
      <c r="I82" s="110"/>
      <c r="J82" s="109"/>
      <c r="K82" s="235" t="s">
        <v>137</v>
      </c>
      <c r="L82" s="235" t="s">
        <v>138</v>
      </c>
      <c r="M82" s="235" t="s">
        <v>139</v>
      </c>
      <c r="N82" s="235" t="s">
        <v>140</v>
      </c>
      <c r="O82" s="236" t="s">
        <v>141</v>
      </c>
      <c r="P82" s="235" t="s">
        <v>142</v>
      </c>
      <c r="Q82" s="236" t="s">
        <v>143</v>
      </c>
      <c r="R82" s="235" t="s">
        <v>179</v>
      </c>
      <c r="S82" s="236" t="s">
        <v>180</v>
      </c>
      <c r="T82" s="236" t="s">
        <v>181</v>
      </c>
      <c r="U82" s="236" t="s">
        <v>182</v>
      </c>
      <c r="V82" s="236" t="s">
        <v>183</v>
      </c>
    </row>
    <row r="83" outlineLevel="1">
      <c r="A83" s="546" t="s">
        <v>184</v>
      </c>
      <c r="B83" s="402" t="s">
        <v>1837</v>
      </c>
      <c r="C83" s="239" t="s">
        <v>5090</v>
      </c>
      <c r="D83" s="365" t="s">
        <v>335</v>
      </c>
      <c r="E83" s="281"/>
      <c r="F83" s="281"/>
      <c r="G83" s="281"/>
      <c r="H83" s="151" t="s">
        <v>5091</v>
      </c>
      <c r="I83" s="110"/>
      <c r="J83" s="109"/>
      <c r="K83" s="281"/>
      <c r="L83" s="281"/>
      <c r="M83" s="281"/>
      <c r="N83" s="281"/>
      <c r="O83" s="281"/>
      <c r="P83" s="281"/>
      <c r="Q83" s="281"/>
      <c r="R83" s="281"/>
      <c r="S83" s="281"/>
      <c r="T83" s="281"/>
      <c r="U83" s="166" t="b">
        <v>0</v>
      </c>
      <c r="V83" s="166" t="b">
        <v>0</v>
      </c>
    </row>
    <row r="84" ht="38.25" customHeight="1" outlineLevel="1">
      <c r="A84" s="146"/>
      <c r="B84" s="402" t="s">
        <v>1242</v>
      </c>
      <c r="C84" s="239" t="s">
        <v>1444</v>
      </c>
      <c r="D84" s="365" t="s">
        <v>118</v>
      </c>
      <c r="E84" s="239" t="s">
        <v>5092</v>
      </c>
      <c r="F84" s="138" t="s">
        <v>5093</v>
      </c>
      <c r="G84" s="239" t="s">
        <v>5094</v>
      </c>
      <c r="H84" s="163" t="s">
        <v>5095</v>
      </c>
      <c r="I84" s="164"/>
      <c r="J84" s="104"/>
      <c r="K84" s="138"/>
      <c r="L84" s="138"/>
      <c r="M84" s="145"/>
      <c r="N84" s="145"/>
      <c r="O84" s="138">
        <v>0.0</v>
      </c>
      <c r="P84" s="138">
        <v>1.0</v>
      </c>
      <c r="Q84" s="138">
        <v>1.0</v>
      </c>
      <c r="R84" s="145" t="b">
        <v>0</v>
      </c>
      <c r="S84" s="145" t="b">
        <v>0</v>
      </c>
      <c r="T84" s="145"/>
      <c r="U84" s="146"/>
      <c r="V84" s="146"/>
    </row>
    <row r="85" ht="38.25" customHeight="1" outlineLevel="1">
      <c r="A85" s="146"/>
      <c r="B85" s="402" t="s">
        <v>5096</v>
      </c>
      <c r="C85" s="239" t="s">
        <v>309</v>
      </c>
      <c r="D85" s="365" t="s">
        <v>146</v>
      </c>
      <c r="E85" s="239" t="s">
        <v>5092</v>
      </c>
      <c r="F85" s="138" t="s">
        <v>5093</v>
      </c>
      <c r="G85" s="239" t="s">
        <v>5094</v>
      </c>
      <c r="H85" s="106"/>
      <c r="I85" s="168"/>
      <c r="J85" s="107"/>
      <c r="K85" s="138"/>
      <c r="L85" s="138"/>
      <c r="M85" s="145"/>
      <c r="N85" s="145"/>
      <c r="O85" s="138">
        <v>0.0</v>
      </c>
      <c r="P85" s="138">
        <v>1.0</v>
      </c>
      <c r="Q85" s="138">
        <v>1.0</v>
      </c>
      <c r="R85" s="145" t="b">
        <v>0</v>
      </c>
      <c r="S85" s="145" t="b">
        <v>0</v>
      </c>
      <c r="T85" s="145"/>
      <c r="U85" s="146"/>
      <c r="V85" s="146"/>
    </row>
    <row r="86" ht="44.25" customHeight="1" outlineLevel="1">
      <c r="A86" s="146"/>
      <c r="B86" s="402" t="s">
        <v>3928</v>
      </c>
      <c r="C86" s="239" t="s">
        <v>1444</v>
      </c>
      <c r="D86" s="365" t="s">
        <v>118</v>
      </c>
      <c r="E86" s="239" t="s">
        <v>5092</v>
      </c>
      <c r="F86" s="138" t="s">
        <v>5093</v>
      </c>
      <c r="G86" s="239" t="s">
        <v>5094</v>
      </c>
      <c r="H86" s="163" t="s">
        <v>5097</v>
      </c>
      <c r="I86" s="164"/>
      <c r="J86" s="104"/>
      <c r="K86" s="138"/>
      <c r="L86" s="138"/>
      <c r="M86" s="145"/>
      <c r="N86" s="145"/>
      <c r="O86" s="138">
        <v>0.0</v>
      </c>
      <c r="P86" s="138">
        <v>1.0</v>
      </c>
      <c r="Q86" s="138">
        <v>1.0</v>
      </c>
      <c r="R86" s="145" t="b">
        <v>0</v>
      </c>
      <c r="S86" s="145" t="b">
        <v>0</v>
      </c>
      <c r="T86" s="145"/>
      <c r="U86" s="146"/>
      <c r="V86" s="146"/>
    </row>
    <row r="87" ht="44.25" customHeight="1" outlineLevel="1">
      <c r="A87" s="156"/>
      <c r="B87" s="402" t="s">
        <v>5098</v>
      </c>
      <c r="C87" s="239" t="s">
        <v>309</v>
      </c>
      <c r="D87" s="365" t="s">
        <v>146</v>
      </c>
      <c r="E87" s="239" t="s">
        <v>5092</v>
      </c>
      <c r="F87" s="138" t="s">
        <v>5093</v>
      </c>
      <c r="G87" s="239" t="s">
        <v>5094</v>
      </c>
      <c r="H87" s="106"/>
      <c r="I87" s="168"/>
      <c r="J87" s="107"/>
      <c r="K87" s="138"/>
      <c r="L87" s="138"/>
      <c r="M87" s="145"/>
      <c r="N87" s="145"/>
      <c r="O87" s="138">
        <v>0.0</v>
      </c>
      <c r="P87" s="138">
        <v>1.0</v>
      </c>
      <c r="Q87" s="138">
        <v>1.0</v>
      </c>
      <c r="R87" s="145" t="b">
        <v>0</v>
      </c>
      <c r="S87" s="145" t="b">
        <v>0</v>
      </c>
      <c r="T87" s="145"/>
      <c r="U87" s="156"/>
      <c r="V87" s="156"/>
    </row>
    <row r="88">
      <c r="A88" s="223"/>
      <c r="B88" s="224"/>
      <c r="C88" s="225"/>
      <c r="D88" s="225"/>
      <c r="E88" s="226"/>
      <c r="F88" s="226"/>
      <c r="G88" s="226"/>
      <c r="H88" s="227"/>
      <c r="I88" s="227"/>
      <c r="J88" s="228"/>
      <c r="K88" s="228"/>
      <c r="L88" s="228"/>
      <c r="M88" s="228"/>
      <c r="N88" s="228"/>
      <c r="O88" s="228"/>
      <c r="P88" s="228"/>
      <c r="Q88" s="118"/>
      <c r="R88" s="118"/>
      <c r="S88" s="118"/>
      <c r="T88" s="118"/>
      <c r="U88" s="118"/>
      <c r="V88" s="118"/>
    </row>
    <row r="89">
      <c r="A89" s="264" t="s">
        <v>211</v>
      </c>
      <c r="B89" s="104"/>
      <c r="C89" s="227"/>
      <c r="D89" s="227"/>
      <c r="E89" s="228"/>
      <c r="F89" s="265"/>
      <c r="G89" s="265"/>
      <c r="H89" s="228"/>
      <c r="I89" s="228"/>
      <c r="J89" s="228"/>
      <c r="K89" s="228"/>
      <c r="L89" s="228"/>
      <c r="M89" s="228"/>
      <c r="N89" s="118"/>
      <c r="O89" s="118"/>
      <c r="P89" s="118"/>
      <c r="Q89" s="228"/>
      <c r="R89" s="228"/>
      <c r="S89" s="228"/>
      <c r="T89" s="228"/>
      <c r="U89" s="228"/>
      <c r="V89" s="228"/>
    </row>
    <row r="90" outlineLevel="1">
      <c r="A90" s="106"/>
      <c r="B90" s="107"/>
      <c r="C90" s="266" t="s">
        <v>48</v>
      </c>
      <c r="D90" s="266" t="s">
        <v>49</v>
      </c>
      <c r="E90" s="266" t="s">
        <v>50</v>
      </c>
      <c r="F90" s="267" t="s">
        <v>51</v>
      </c>
      <c r="G90" s="227"/>
      <c r="H90" s="227"/>
      <c r="I90" s="227"/>
      <c r="J90" s="228"/>
      <c r="K90" s="228"/>
      <c r="L90" s="228"/>
      <c r="M90" s="228"/>
      <c r="N90" s="228"/>
      <c r="O90" s="228"/>
      <c r="P90" s="228"/>
      <c r="Q90" s="228"/>
      <c r="R90" s="228"/>
      <c r="S90" s="228"/>
      <c r="T90" s="228"/>
      <c r="U90" s="228"/>
      <c r="V90" s="228"/>
    </row>
    <row r="91" outlineLevel="1">
      <c r="A91" s="268" t="s">
        <v>212</v>
      </c>
      <c r="B91" s="269" t="s">
        <v>212</v>
      </c>
      <c r="C91" s="113" t="s">
        <v>176</v>
      </c>
      <c r="D91" s="113" t="s">
        <v>93</v>
      </c>
      <c r="E91" s="113" t="s">
        <v>381</v>
      </c>
      <c r="F91" s="138">
        <v>1.92</v>
      </c>
      <c r="G91" s="227"/>
      <c r="H91" s="227"/>
      <c r="I91" s="227"/>
      <c r="J91" s="228"/>
      <c r="K91" s="228"/>
      <c r="L91" s="228"/>
      <c r="M91" s="228"/>
      <c r="N91" s="228"/>
      <c r="O91" s="228"/>
      <c r="P91" s="228"/>
      <c r="Q91" s="228"/>
      <c r="R91" s="228"/>
      <c r="S91" s="228"/>
      <c r="T91" s="228"/>
      <c r="U91" s="228"/>
      <c r="V91" s="228"/>
    </row>
    <row r="92" outlineLevel="1">
      <c r="A92" s="270" t="s">
        <v>215</v>
      </c>
      <c r="B92" s="269" t="s">
        <v>216</v>
      </c>
      <c r="C92" s="113" t="s">
        <v>161</v>
      </c>
      <c r="D92" s="113" t="s">
        <v>628</v>
      </c>
      <c r="E92" s="271"/>
      <c r="F92" s="272"/>
      <c r="G92" s="272"/>
      <c r="H92" s="227"/>
      <c r="I92" s="227"/>
      <c r="J92" s="228"/>
      <c r="K92" s="228"/>
      <c r="L92" s="228"/>
      <c r="M92" s="228"/>
      <c r="N92" s="228"/>
      <c r="O92" s="228"/>
      <c r="P92" s="228"/>
      <c r="Q92" s="228"/>
      <c r="R92" s="228"/>
      <c r="S92" s="228"/>
      <c r="T92" s="228"/>
      <c r="U92" s="228"/>
      <c r="V92" s="228"/>
    </row>
    <row r="93" outlineLevel="1">
      <c r="A93" s="212"/>
      <c r="B93" s="269" t="s">
        <v>219</v>
      </c>
      <c r="C93" s="113" t="s">
        <v>382</v>
      </c>
      <c r="D93" s="113" t="s">
        <v>541</v>
      </c>
      <c r="E93" s="271"/>
      <c r="F93" s="272"/>
      <c r="G93" s="272"/>
      <c r="H93" s="227"/>
      <c r="I93" s="227"/>
      <c r="J93" s="228"/>
      <c r="K93" s="228"/>
      <c r="L93" s="228"/>
      <c r="M93" s="228"/>
      <c r="N93" s="228"/>
      <c r="O93" s="228"/>
      <c r="P93" s="228"/>
      <c r="Q93" s="228"/>
      <c r="R93" s="228"/>
      <c r="S93" s="228"/>
      <c r="T93" s="228"/>
      <c r="U93" s="228"/>
      <c r="V93" s="228"/>
    </row>
    <row r="94" outlineLevel="1">
      <c r="A94" s="106"/>
      <c r="B94" s="269" t="s">
        <v>222</v>
      </c>
      <c r="C94" s="113" t="s">
        <v>383</v>
      </c>
      <c r="D94" s="113" t="s">
        <v>127</v>
      </c>
      <c r="E94" s="227"/>
      <c r="F94" s="272"/>
      <c r="G94" s="272"/>
      <c r="H94" s="227"/>
      <c r="I94" s="227"/>
      <c r="J94" s="228"/>
      <c r="K94" s="228"/>
      <c r="L94" s="228"/>
      <c r="M94" s="228"/>
      <c r="N94" s="228"/>
      <c r="O94" s="228"/>
      <c r="P94" s="228"/>
      <c r="Q94" s="228"/>
      <c r="R94" s="228"/>
      <c r="S94" s="228"/>
      <c r="T94" s="228"/>
      <c r="U94" s="228"/>
      <c r="V94" s="228"/>
    </row>
    <row r="95" outlineLevel="1">
      <c r="A95" s="273" t="s">
        <v>225</v>
      </c>
      <c r="B95" s="109"/>
      <c r="C95" s="266" t="s">
        <v>48</v>
      </c>
      <c r="D95" s="266" t="s">
        <v>49</v>
      </c>
      <c r="E95" s="266" t="s">
        <v>50</v>
      </c>
      <c r="F95" s="267" t="s">
        <v>51</v>
      </c>
      <c r="G95" s="1168" t="s">
        <v>53</v>
      </c>
      <c r="H95" s="110"/>
      <c r="I95" s="110"/>
      <c r="J95" s="109"/>
      <c r="K95" s="275" t="str">
        <f>'テンプレート'!K97</f>
        <v>ベクトル</v>
      </c>
      <c r="L95" s="275" t="str">
        <f>'テンプレート'!L97</f>
        <v>KBG (R.E.)</v>
      </c>
      <c r="M95" s="275" t="str">
        <f>'テンプレート'!M97</f>
        <v>BKB (R.A.)</v>
      </c>
      <c r="N95" s="275" t="str">
        <f>'テンプレート'!N97</f>
        <v>FKB (R.F.)</v>
      </c>
      <c r="O95" s="276" t="str">
        <f>'テンプレート'!O97</f>
        <v>盾削り値</v>
      </c>
      <c r="P95" s="275" t="str">
        <f>'テンプレート'!P97</f>
        <v>ﾋｯﾄｽﾄｯﾌﾟ</v>
      </c>
      <c r="Q95" s="276" t="str">
        <f>'テンプレート'!Q97</f>
        <v>ずらし</v>
      </c>
      <c r="R95" s="277"/>
      <c r="S95" s="277"/>
      <c r="T95" s="277"/>
      <c r="U95" s="277"/>
      <c r="V95" s="277"/>
    </row>
    <row r="96" outlineLevel="1">
      <c r="A96" s="278" t="s">
        <v>226</v>
      </c>
      <c r="B96" s="269" t="s">
        <v>227</v>
      </c>
      <c r="C96" s="113" t="s">
        <v>610</v>
      </c>
      <c r="D96" s="279" t="s">
        <v>118</v>
      </c>
      <c r="E96" s="239" t="s">
        <v>93</v>
      </c>
      <c r="F96" s="138">
        <v>8.4</v>
      </c>
      <c r="G96" s="283" t="s">
        <v>231</v>
      </c>
      <c r="H96" s="164"/>
      <c r="I96" s="164"/>
      <c r="J96" s="104"/>
      <c r="K96" s="3049"/>
      <c r="L96" s="3049"/>
      <c r="M96" s="3049"/>
      <c r="N96" s="3049"/>
      <c r="O96" s="3049"/>
      <c r="P96" s="3049"/>
      <c r="Q96" s="3049"/>
      <c r="R96" s="277"/>
      <c r="S96" s="228"/>
      <c r="T96" s="228"/>
      <c r="U96" s="228"/>
      <c r="V96" s="228"/>
    </row>
    <row r="97" outlineLevel="1">
      <c r="A97" s="156"/>
      <c r="B97" s="269" t="s">
        <v>225</v>
      </c>
      <c r="C97" s="113" t="s">
        <v>593</v>
      </c>
      <c r="D97" s="156"/>
      <c r="E97" s="239" t="s">
        <v>128</v>
      </c>
      <c r="F97" s="138">
        <v>12.0</v>
      </c>
      <c r="G97" s="106"/>
      <c r="H97" s="168"/>
      <c r="I97" s="168"/>
      <c r="J97" s="107"/>
      <c r="K97" s="282"/>
      <c r="L97" s="282"/>
      <c r="M97" s="363"/>
      <c r="N97" s="363"/>
      <c r="O97" s="261"/>
      <c r="P97" s="261"/>
      <c r="Q97" s="261"/>
      <c r="R97" s="277"/>
      <c r="S97" s="228"/>
      <c r="T97" s="228"/>
      <c r="U97" s="228"/>
      <c r="V97" s="228"/>
    </row>
    <row r="98" outlineLevel="1">
      <c r="A98" s="278" t="s">
        <v>229</v>
      </c>
      <c r="B98" s="269" t="s">
        <v>227</v>
      </c>
      <c r="C98" s="3050"/>
      <c r="D98" s="279" t="s">
        <v>335</v>
      </c>
      <c r="E98" s="3049"/>
      <c r="F98" s="3049"/>
      <c r="G98" s="1170"/>
      <c r="H98" s="164"/>
      <c r="I98" s="164"/>
      <c r="J98" s="104"/>
      <c r="K98" s="3049"/>
      <c r="L98" s="3049"/>
      <c r="M98" s="3049"/>
      <c r="N98" s="3049"/>
      <c r="O98" s="3049"/>
      <c r="P98" s="3049"/>
      <c r="Q98" s="3049"/>
      <c r="R98" s="277"/>
      <c r="S98" s="228"/>
      <c r="T98" s="228"/>
      <c r="U98" s="228"/>
      <c r="V98" s="228"/>
    </row>
    <row r="99" outlineLevel="1">
      <c r="A99" s="156"/>
      <c r="B99" s="269" t="s">
        <v>225</v>
      </c>
      <c r="C99" s="113" t="s">
        <v>964</v>
      </c>
      <c r="D99" s="156"/>
      <c r="E99" s="239" t="s">
        <v>232</v>
      </c>
      <c r="F99" s="138">
        <v>13.2</v>
      </c>
      <c r="G99" s="106"/>
      <c r="H99" s="168"/>
      <c r="I99" s="168"/>
      <c r="J99" s="107"/>
      <c r="K99" s="282"/>
      <c r="L99" s="282"/>
      <c r="M99" s="363"/>
      <c r="N99" s="363"/>
      <c r="O99" s="261"/>
      <c r="P99" s="261"/>
      <c r="Q99" s="261"/>
      <c r="R99" s="277"/>
      <c r="S99" s="228"/>
      <c r="T99" s="228"/>
      <c r="U99" s="228"/>
      <c r="V99" s="228"/>
    </row>
    <row r="100" outlineLevel="1">
      <c r="A100" s="278" t="s">
        <v>233</v>
      </c>
      <c r="B100" s="269" t="s">
        <v>227</v>
      </c>
      <c r="C100" s="3050"/>
      <c r="D100" s="279" t="s">
        <v>1419</v>
      </c>
      <c r="E100" s="3049"/>
      <c r="F100" s="3049"/>
      <c r="G100" s="283" t="s">
        <v>5099</v>
      </c>
      <c r="H100" s="164"/>
      <c r="I100" s="164"/>
      <c r="J100" s="104"/>
      <c r="K100" s="3049"/>
      <c r="L100" s="3049"/>
      <c r="M100" s="3049"/>
      <c r="N100" s="3049"/>
      <c r="O100" s="3049"/>
      <c r="P100" s="3049"/>
      <c r="Q100" s="3049"/>
      <c r="R100" s="277"/>
      <c r="S100" s="228"/>
      <c r="T100" s="228"/>
      <c r="U100" s="228"/>
      <c r="V100" s="228"/>
    </row>
    <row r="101" outlineLevel="1">
      <c r="A101" s="156"/>
      <c r="B101" s="269" t="s">
        <v>225</v>
      </c>
      <c r="C101" s="113" t="s">
        <v>541</v>
      </c>
      <c r="D101" s="156"/>
      <c r="E101" s="239" t="s">
        <v>153</v>
      </c>
      <c r="F101" s="138">
        <v>19.2</v>
      </c>
      <c r="G101" s="106"/>
      <c r="H101" s="168"/>
      <c r="I101" s="168"/>
      <c r="J101" s="107"/>
      <c r="K101" s="282"/>
      <c r="L101" s="282"/>
      <c r="M101" s="363"/>
      <c r="N101" s="363"/>
      <c r="O101" s="261"/>
      <c r="P101" s="261"/>
      <c r="Q101" s="261"/>
      <c r="R101" s="277"/>
      <c r="S101" s="117"/>
      <c r="T101" s="117"/>
      <c r="U101" s="117"/>
      <c r="V101" s="117"/>
    </row>
    <row r="102" outlineLevel="1">
      <c r="A102" s="278" t="s">
        <v>234</v>
      </c>
      <c r="B102" s="269" t="s">
        <v>227</v>
      </c>
      <c r="C102" s="3050"/>
      <c r="D102" s="279" t="s">
        <v>2456</v>
      </c>
      <c r="E102" s="3049"/>
      <c r="F102" s="3049"/>
      <c r="G102" s="283" t="s">
        <v>5100</v>
      </c>
      <c r="H102" s="164"/>
      <c r="I102" s="164"/>
      <c r="J102" s="104"/>
      <c r="K102" s="3049"/>
      <c r="L102" s="3049"/>
      <c r="M102" s="3049"/>
      <c r="N102" s="3049"/>
      <c r="O102" s="3049"/>
      <c r="P102" s="3049"/>
      <c r="Q102" s="3049"/>
      <c r="R102" s="277"/>
      <c r="S102" s="117"/>
      <c r="T102" s="117"/>
      <c r="U102" s="117"/>
      <c r="V102" s="117"/>
    </row>
    <row r="103" outlineLevel="1">
      <c r="A103" s="156"/>
      <c r="B103" s="269" t="s">
        <v>225</v>
      </c>
      <c r="C103" s="113" t="s">
        <v>628</v>
      </c>
      <c r="D103" s="156"/>
      <c r="E103" s="239" t="s">
        <v>150</v>
      </c>
      <c r="F103" s="138">
        <v>6.0</v>
      </c>
      <c r="G103" s="106"/>
      <c r="H103" s="168"/>
      <c r="I103" s="168"/>
      <c r="J103" s="107"/>
      <c r="K103" s="282"/>
      <c r="L103" s="282"/>
      <c r="M103" s="363"/>
      <c r="N103" s="363"/>
      <c r="O103" s="261"/>
      <c r="P103" s="261"/>
      <c r="Q103" s="261"/>
      <c r="R103" s="277"/>
      <c r="S103" s="117"/>
      <c r="T103" s="117"/>
      <c r="U103" s="117"/>
      <c r="V103" s="117"/>
    </row>
    <row r="104">
      <c r="A104" s="223"/>
      <c r="B104" s="224"/>
      <c r="C104" s="225"/>
      <c r="D104" s="225"/>
      <c r="E104" s="227"/>
      <c r="F104" s="177"/>
      <c r="G104" s="177"/>
      <c r="H104" s="227"/>
      <c r="I104" s="227"/>
      <c r="J104" s="228"/>
      <c r="K104" s="228"/>
      <c r="L104" s="111"/>
      <c r="M104" s="111"/>
      <c r="N104" s="111"/>
      <c r="O104" s="117"/>
      <c r="P104" s="117"/>
      <c r="Q104" s="111"/>
      <c r="R104" s="111"/>
      <c r="S104" s="111"/>
      <c r="T104" s="111"/>
      <c r="U104" s="111"/>
      <c r="V104" s="111"/>
    </row>
    <row r="105">
      <c r="A105" s="284" t="s">
        <v>241</v>
      </c>
      <c r="B105" s="104"/>
      <c r="C105" s="265"/>
      <c r="D105" s="111"/>
      <c r="E105" s="111"/>
      <c r="F105" s="111"/>
      <c r="G105" s="111"/>
      <c r="H105" s="111"/>
      <c r="I105" s="111"/>
      <c r="J105" s="118"/>
      <c r="K105" s="111"/>
      <c r="L105" s="111"/>
      <c r="M105" s="111"/>
      <c r="N105" s="111"/>
      <c r="O105" s="111"/>
      <c r="P105" s="111"/>
      <c r="Q105" s="118"/>
      <c r="R105" s="111"/>
      <c r="S105" s="111"/>
      <c r="T105" s="111"/>
      <c r="U105" s="111"/>
      <c r="V105" s="111"/>
    </row>
    <row r="106" outlineLevel="1">
      <c r="A106" s="106"/>
      <c r="B106" s="107"/>
      <c r="C106" s="285" t="s">
        <v>235</v>
      </c>
      <c r="D106" s="285" t="s">
        <v>236</v>
      </c>
      <c r="E106" s="285" t="s">
        <v>49</v>
      </c>
      <c r="F106" s="285" t="s">
        <v>237</v>
      </c>
      <c r="G106" s="286"/>
      <c r="H106" s="227"/>
      <c r="I106" s="227"/>
      <c r="J106" s="228"/>
      <c r="K106" s="228"/>
      <c r="L106" s="111"/>
      <c r="M106" s="111"/>
      <c r="N106" s="111"/>
      <c r="O106" s="111"/>
      <c r="P106" s="111"/>
      <c r="Q106" s="111"/>
      <c r="R106" s="111"/>
      <c r="S106" s="111"/>
      <c r="T106" s="111"/>
      <c r="U106" s="111"/>
      <c r="V106" s="111"/>
    </row>
    <row r="107" outlineLevel="1">
      <c r="A107" s="287" t="s">
        <v>395</v>
      </c>
      <c r="B107" s="288" t="s">
        <v>216</v>
      </c>
      <c r="C107" s="113" t="str">
        <f t="array" ref="C107">INDEX('回避'!$C$3:$U$84, MATCH($A$1,'回避'!$A$3:$A$91,0), MATCH(C106,'回避'!$C$2:$F$2,0))</f>
        <v>3-18</v>
      </c>
      <c r="D107" s="113" t="str">
        <f t="array" ref="D107">INDEX('回避'!$C$3:$U$84, MATCH($A$1,'回避'!$A$3:$A$91,0), MATCH(D106,'回避'!$C$2:$F$2,0))</f>
        <v>6-18</v>
      </c>
      <c r="E107" s="113" t="str">
        <f t="array" ref="E107">INDEX('回避'!$C$3:$U$84, MATCH($A$1,'回避'!$A$3:$A$91,0), MATCH(E106,'回避'!$C$2:$F$2,0))</f>
        <v>28 (23)</v>
      </c>
      <c r="F107" s="113" t="str">
        <f t="array" ref="F107">INDEX('回避'!$C$3:$U$84, MATCH($A$1,'回避'!$A$3:$A$91,0), MATCH(F106,'回避'!$C$2:$F$2,0))</f>
        <v>37 (31)</v>
      </c>
      <c r="G107" s="272"/>
      <c r="H107" s="227"/>
      <c r="I107" s="227"/>
      <c r="J107" s="228"/>
      <c r="K107" s="228"/>
      <c r="L107" s="228"/>
      <c r="M107" s="111"/>
      <c r="N107" s="111"/>
      <c r="O107" s="111"/>
      <c r="P107" s="111"/>
      <c r="Q107" s="111"/>
      <c r="R107" s="111"/>
      <c r="S107" s="111"/>
      <c r="T107" s="111"/>
      <c r="U107" s="111"/>
      <c r="V107" s="111"/>
    </row>
    <row r="108" outlineLevel="1">
      <c r="A108" s="212"/>
      <c r="B108" s="288" t="s">
        <v>245</v>
      </c>
      <c r="C108" s="113" t="str">
        <f t="array" ref="C108">INDEX('回避'!$G$3:$U$84, MATCH($A$1,'回避'!$A$3:$A$91,0), MATCH(C106,'回避'!$G$2:$J$2,0))</f>
        <v>4-16</v>
      </c>
      <c r="D108" s="113" t="str">
        <f t="array" ref="D108">INDEX('回避'!$G$3:$U$84, MATCH($A$1,'回避'!$A$3:$A$91,0), MATCH(D106,'回避'!$G$2:$J$2,0))</f>
        <v>8-15</v>
      </c>
      <c r="E108" s="113" t="str">
        <f t="array" ref="E108">INDEX('回避'!$G$3:$U$84, MATCH($A$1,'回避'!$A$3:$A$91,0), MATCH(E106,'回避'!$G$2:$J$2,0))</f>
        <v>32</v>
      </c>
      <c r="F108" s="113">
        <f t="array" ref="F108">INDEX('回避'!$G$3:$U$84, MATCH($A$1,'回避'!$A$3:$A$91,0), MATCH(F106,'回避'!$G$2:$J$2,0))</f>
        <v>42</v>
      </c>
      <c r="G108" s="289"/>
      <c r="H108" s="227"/>
      <c r="I108" s="227"/>
      <c r="J108" s="228"/>
      <c r="K108" s="228"/>
      <c r="L108" s="228"/>
      <c r="M108" s="228"/>
      <c r="N108" s="228"/>
      <c r="O108" s="111"/>
      <c r="P108" s="111"/>
      <c r="Q108" s="111"/>
      <c r="R108" s="111"/>
      <c r="S108" s="111"/>
      <c r="T108" s="111"/>
      <c r="U108" s="111"/>
      <c r="V108" s="111"/>
    </row>
    <row r="109" outlineLevel="1">
      <c r="A109" s="106"/>
      <c r="B109" s="288" t="s">
        <v>246</v>
      </c>
      <c r="C109" s="113" t="str">
        <f t="array" ref="C109">INDEX('回避'!$K$3:$U$84, MATCH($A$1,'回避'!$A$3:$A$91,0), MATCH(C106,'回避'!$K$2:$N$2,0))</f>
        <v>5-17</v>
      </c>
      <c r="D109" s="113" t="str">
        <f t="array" ref="D109">INDEX('回避'!$K$3:$U$84, MATCH($A$1,'回避'!$A$3:$A$91,0), MATCH(D106,'回避'!$K$2:$N$2,0))</f>
        <v>9-15</v>
      </c>
      <c r="E109" s="113" t="str">
        <f t="array" ref="E109">INDEX('回避'!$K$3:$U$84, MATCH($A$1,'回避'!$A$3:$A$91,0), MATCH(E106,'回避'!$K$2:$N$2,0))</f>
        <v>37</v>
      </c>
      <c r="F109" s="113" t="str">
        <f t="array" ref="F109">INDEX('回避'!$K$3:$U$84, MATCH($A$1,'回避'!$A$3:$A$91,0), MATCH(F106,'回避'!$K$2:$N$2,0))</f>
        <v>56</v>
      </c>
      <c r="G109" s="289"/>
      <c r="H109" s="290"/>
      <c r="I109" s="290"/>
      <c r="J109" s="117"/>
      <c r="K109" s="117"/>
      <c r="L109" s="117"/>
      <c r="M109" s="117"/>
      <c r="N109" s="117"/>
      <c r="O109" s="111"/>
      <c r="P109" s="111"/>
      <c r="Q109" s="111"/>
      <c r="R109" s="111"/>
      <c r="S109" s="111"/>
      <c r="T109" s="111"/>
      <c r="U109" s="111"/>
      <c r="V109" s="111"/>
    </row>
    <row r="110" outlineLevel="1">
      <c r="A110" s="287" t="s">
        <v>396</v>
      </c>
      <c r="B110" s="288" t="s">
        <v>397</v>
      </c>
      <c r="C110" s="113" t="str">
        <f t="array" ref="C110">INDEX('回避'!$O$3:$U$84, MATCH($A$1,'回避'!$A$3:$A$91,0), MATCH(C106,'回避'!$O$2:$R$2,0))</f>
        <v>4-30</v>
      </c>
      <c r="D110" s="113" t="str">
        <f t="array" ref="D110">INDEX('回避'!$O$3:$U$84, MATCH($A$1,'回避'!$A$3:$A$91,0), MATCH(D106,'回避'!$O$2:$R$2,0))</f>
        <v>7-28</v>
      </c>
      <c r="E110" s="113" t="str">
        <f t="array" ref="E110">INDEX('回避'!$O$3:$U$84, MATCH($A$1,'回避'!$A$3:$A$91,0), MATCH(E106,'回避'!$O$2:$R$2,0))</f>
        <v>46</v>
      </c>
      <c r="F110" s="177"/>
      <c r="G110" s="177"/>
      <c r="H110" s="118"/>
      <c r="I110" s="118"/>
      <c r="J110" s="111"/>
      <c r="K110" s="111"/>
      <c r="L110" s="111"/>
      <c r="M110" s="111"/>
      <c r="N110" s="111"/>
      <c r="O110" s="228"/>
      <c r="P110" s="228"/>
      <c r="Q110" s="228"/>
      <c r="R110" s="228"/>
      <c r="S110" s="228"/>
      <c r="T110" s="228"/>
      <c r="U110" s="228"/>
      <c r="V110" s="228"/>
    </row>
    <row r="111" outlineLevel="1">
      <c r="A111" s="106"/>
      <c r="B111" s="288" t="s">
        <v>398</v>
      </c>
      <c r="C111" s="113" t="str">
        <f t="array" ref="C111">INDEX('回避'!$S$3:$U$84, MATCH($A$1,'回避'!$A$3:$A$91,0), MATCH(C106,'回避'!$S$2:$U$2,0))</f>
        <v>4-22</v>
      </c>
      <c r="D111" s="113" t="str">
        <f t="array" ref="D111">INDEX('回避'!$S$3:$U$84, MATCH($A$1,'回避'!$A$3:$A$91,0), MATCH(D106,'回避'!$S$2:$U$2,0))</f>
        <v>7-21</v>
      </c>
      <c r="E111" s="113" t="str">
        <f t="array" ref="E111">INDEX('回避'!$S$3:$U$84, MATCH($A$1,'回避'!$A$3:$A$91,0), MATCH(E106,'回避'!$S$2:$U$2,0))</f>
        <v>真横：78
真上：102
真下：64</v>
      </c>
      <c r="F111" s="289"/>
      <c r="G111" s="289"/>
      <c r="H111" s="118"/>
      <c r="I111" s="118"/>
      <c r="J111" s="117"/>
      <c r="K111" s="117"/>
      <c r="L111" s="117"/>
      <c r="M111" s="117"/>
      <c r="N111" s="111"/>
      <c r="O111" s="118"/>
      <c r="P111" s="118"/>
      <c r="Q111" s="118"/>
      <c r="R111" s="118"/>
      <c r="S111" s="118"/>
      <c r="T111" s="118"/>
      <c r="U111" s="118"/>
      <c r="V111" s="118"/>
    </row>
    <row r="112">
      <c r="A112" s="291"/>
      <c r="B112" s="292"/>
      <c r="C112" s="286"/>
      <c r="D112" s="286"/>
      <c r="E112" s="293"/>
      <c r="F112" s="286"/>
      <c r="G112" s="286"/>
      <c r="H112" s="286"/>
      <c r="I112" s="286"/>
      <c r="J112" s="111"/>
      <c r="K112" s="227"/>
      <c r="L112" s="227"/>
      <c r="M112" s="227"/>
      <c r="N112" s="227"/>
      <c r="O112" s="118"/>
      <c r="P112" s="118"/>
      <c r="Q112" s="118"/>
      <c r="R112" s="118"/>
      <c r="S112" s="118"/>
      <c r="T112" s="118"/>
      <c r="U112" s="118"/>
      <c r="V112" s="118"/>
    </row>
    <row r="113">
      <c r="A113" s="2534" t="s">
        <v>238</v>
      </c>
      <c r="B113" s="104"/>
      <c r="C113" s="2535"/>
      <c r="D113" s="2536"/>
      <c r="E113" s="2535"/>
      <c r="F113" s="2537"/>
      <c r="G113" s="2537"/>
      <c r="H113" s="117"/>
      <c r="I113" s="117"/>
      <c r="J113" s="118"/>
      <c r="K113" s="118"/>
      <c r="L113" s="118"/>
      <c r="M113" s="118"/>
      <c r="N113" s="118"/>
      <c r="O113" s="118"/>
      <c r="P113" s="118"/>
      <c r="Q113" s="118"/>
      <c r="R113" s="118"/>
      <c r="S113" s="118"/>
      <c r="T113" s="118"/>
      <c r="U113" s="118"/>
      <c r="V113" s="118"/>
    </row>
    <row r="114" outlineLevel="1">
      <c r="A114" s="106"/>
      <c r="B114" s="107"/>
      <c r="C114" s="2538" t="s">
        <v>235</v>
      </c>
      <c r="D114" s="2538" t="s">
        <v>49</v>
      </c>
      <c r="E114" s="2538" t="s">
        <v>48</v>
      </c>
      <c r="F114" s="2538" t="s">
        <v>50</v>
      </c>
      <c r="G114" s="2539" t="s">
        <v>51</v>
      </c>
      <c r="H114" s="228"/>
      <c r="I114" s="228"/>
      <c r="J114" s="117"/>
      <c r="K114" s="297" t="str">
        <f>'テンプレート'!K116</f>
        <v>アイテム取得</v>
      </c>
      <c r="L114" s="109"/>
      <c r="M114" s="298" t="str">
        <f>'テンプレート'!M116</f>
        <v>取得フレーム</v>
      </c>
      <c r="N114" s="298" t="str">
        <f>'テンプレート'!N116</f>
        <v>全体フレーム</v>
      </c>
      <c r="O114" s="118"/>
      <c r="P114" s="118"/>
      <c r="Q114" s="118"/>
      <c r="R114" s="118"/>
      <c r="S114" s="118"/>
      <c r="T114" s="118"/>
      <c r="U114" s="118"/>
      <c r="V114" s="118"/>
    </row>
    <row r="115" outlineLevel="1">
      <c r="A115" s="299" t="s">
        <v>239</v>
      </c>
      <c r="B115" s="300" t="s">
        <v>240</v>
      </c>
      <c r="C115" s="1162"/>
      <c r="D115" s="518">
        <f t="array" ref="D115">INDEX('崖行動・受け身'!$C$3:$C119, MATCH($A$1,'崖行動・受け身'!$A$3:$A$115,0), MATCH(D114,'崖行動・受け身'!$C$2,0))</f>
        <v>19</v>
      </c>
      <c r="E115" s="1162"/>
      <c r="F115" s="1162"/>
      <c r="G115" s="1162"/>
      <c r="H115" s="228"/>
      <c r="I115" s="228"/>
      <c r="J115" s="111"/>
      <c r="K115" s="302" t="str">
        <f>'テンプレート'!K117</f>
        <v>小アイテム</v>
      </c>
      <c r="L115" s="303" t="str">
        <f>'テンプレート'!L117</f>
        <v>その場</v>
      </c>
      <c r="M115" s="113" t="str">
        <f t="array" ref="M115">INDEX('アイテム'!$C$3:$D$115, MATCH($A$1,'アイテム'!$A$3:$A$115,0), MATCH(M$114,'アイテム'!$C$2:$AK$2,0))</f>
        <v>2</v>
      </c>
      <c r="N115" s="113">
        <f t="array" ref="N115">INDEX('アイテム'!$C$3:$D$115, MATCH($A$1,'アイテム'!$A$3:$A$115,0), MATCH(N$114,'アイテム'!$C$2:$AK$2,0))</f>
        <v>7</v>
      </c>
      <c r="O115" s="118"/>
      <c r="P115" s="118"/>
      <c r="Q115" s="118"/>
      <c r="R115" s="118"/>
      <c r="S115" s="118"/>
      <c r="T115" s="118"/>
      <c r="U115" s="118"/>
      <c r="V115" s="118"/>
    </row>
    <row r="116" outlineLevel="1">
      <c r="A116" s="146"/>
      <c r="B116" s="300" t="s">
        <v>216</v>
      </c>
      <c r="C116" s="518" t="str">
        <f t="array" ref="C116">INDEX('崖行動・受け身'!$D$3:$E119, MATCH($A$1,'崖行動・受け身'!$A$3:$A$115,0), MATCH(C114,'崖行動・受け身'!$D$2:$E$2,0))</f>
        <v>1-33</v>
      </c>
      <c r="D116" s="518">
        <f t="array" ref="D116">INDEX('崖行動・受け身'!$D$3:$E119, MATCH($A$1,'崖行動・受け身'!$A$3:$A$115,0), MATCH(D114,'崖行動・受け身'!$D$2:$E$2,0))</f>
        <v>34</v>
      </c>
      <c r="E116" s="1162"/>
      <c r="F116" s="1162"/>
      <c r="G116" s="1162"/>
      <c r="H116" s="228"/>
      <c r="I116" s="228"/>
      <c r="J116" s="117"/>
      <c r="K116" s="156"/>
      <c r="L116" s="303" t="str">
        <f>'テンプレート'!L118</f>
        <v>歩き</v>
      </c>
      <c r="M116" s="113" t="str">
        <f t="array" ref="M116">INDEX('アイテム'!$E$3:$F$115, MATCH($A$1,'アイテム'!$A$3:$A$115,0), MATCH(M$114,'アイテム'!$E$2:$AK$2,0))</f>
        <v>2</v>
      </c>
      <c r="N116" s="113">
        <f t="array" ref="N116">INDEX('アイテム'!$E$3:$F$115, MATCH($A$1,'アイテム'!$A$3:$A$115,0), MATCH(N$114,'アイテム'!$E$2:$AK$2,0))</f>
        <v>19</v>
      </c>
      <c r="O116" s="118"/>
      <c r="P116" s="118"/>
      <c r="Q116" s="118"/>
      <c r="R116" s="118"/>
      <c r="S116" s="118"/>
      <c r="T116" s="118"/>
      <c r="U116" s="118"/>
      <c r="V116" s="118"/>
    </row>
    <row r="117" outlineLevel="1">
      <c r="A117" s="146"/>
      <c r="B117" s="300" t="s">
        <v>241</v>
      </c>
      <c r="C117" s="518" t="str">
        <f t="array" ref="C117">INDEX('崖行動・受け身'!$F$3:$G$115, MATCH($A$1,'崖行動・受け身'!$A$3:$A$115,0), MATCH(C114,'崖行動・受け身'!$F$2:$G$2,0))</f>
        <v>1-26</v>
      </c>
      <c r="D117" s="518">
        <f t="array" ref="D117">INDEX('崖行動・受け身'!$F$3:$G$115, MATCH($A$1,'崖行動・受け身'!$A$3:$A$115,0), MATCH(D114,'崖行動・受け身'!$F$2:$G$2,0))</f>
        <v>45</v>
      </c>
      <c r="E117" s="1162"/>
      <c r="F117" s="1162"/>
      <c r="G117" s="1162"/>
      <c r="H117" s="228"/>
      <c r="I117" s="228"/>
      <c r="J117" s="111"/>
      <c r="K117" s="304" t="str">
        <f>'テンプレート'!K119</f>
        <v>アイテム投擲</v>
      </c>
      <c r="L117" s="109"/>
      <c r="M117" s="298" t="str">
        <f>'テンプレート'!M119</f>
        <v>投擲フレーム</v>
      </c>
      <c r="N117" s="298" t="str">
        <f>'テンプレート'!N119</f>
        <v>全体フレーム</v>
      </c>
      <c r="O117" s="118"/>
      <c r="P117" s="118"/>
      <c r="Q117" s="118"/>
      <c r="R117" s="118"/>
      <c r="S117" s="118"/>
      <c r="T117" s="118"/>
      <c r="U117" s="118"/>
      <c r="V117" s="118"/>
    </row>
    <row r="118" outlineLevel="1">
      <c r="A118" s="146"/>
      <c r="B118" s="300" t="s">
        <v>242</v>
      </c>
      <c r="C118" s="518" t="str">
        <f t="array" ref="C118">INDEX('崖行動・受け身'!$H$3:$I$115, MATCH($A$1,'崖行動・受け身'!$A$3:$A$115,0), MATCH(C114,'崖行動・受け身'!$H$2:$I$2,0))</f>
        <v>1-12</v>
      </c>
      <c r="D118" s="518">
        <f t="array" ref="D118">INDEX('崖行動・受け身'!$H$3:$I$115, MATCH($A$1,'崖行動・受け身'!$A$3:$A$115,0), MATCH(D114,'崖行動・受け身'!$H$2:$I$2,0))</f>
        <v>14</v>
      </c>
      <c r="E118" s="1162"/>
      <c r="F118" s="1162"/>
      <c r="G118" s="1162"/>
      <c r="H118" s="228"/>
      <c r="I118" s="228"/>
      <c r="J118" s="117"/>
      <c r="K118" s="1030" t="str">
        <f>'テンプレート'!K120</f>
        <v>地上投擲</v>
      </c>
      <c r="L118" s="303" t="str">
        <f>'テンプレート'!L120</f>
        <v>前投げ</v>
      </c>
      <c r="M118" s="113" t="str">
        <f t="array" ref="M118">INDEX('アイテム'!$G$3:$H$115, MATCH($A$1,'アイテム'!$A$3:$A$115,0), MATCH(M$117,'アイテム'!$G$2:$AK$2,0))</f>
        <v>10</v>
      </c>
      <c r="N118" s="113">
        <f t="array" ref="N118">INDEX('アイテム'!$G$3:$H$115, MATCH($A$1,'アイテム'!$A$3:$A$115,0), MATCH(N$117,'アイテム'!$G$2:$AK$2,0))</f>
        <v>24</v>
      </c>
      <c r="O118" s="111"/>
      <c r="P118" s="111"/>
      <c r="Q118" s="111"/>
      <c r="R118" s="111"/>
      <c r="S118" s="111"/>
      <c r="T118" s="111"/>
      <c r="U118" s="111"/>
      <c r="V118" s="111"/>
    </row>
    <row r="119" outlineLevel="1">
      <c r="A119" s="156"/>
      <c r="B119" s="300" t="s">
        <v>243</v>
      </c>
      <c r="C119" s="518" t="str">
        <f t="array" ref="C119">INDEX('崖行動・受け身'!$J$3:$M$115, MATCH($A$1,'崖行動・受け身'!$A$3:$A$115,0), MATCH(C114,'崖行動・受け身'!$J$2:$M$2,0))</f>
        <v>1-26</v>
      </c>
      <c r="D119" s="518">
        <f t="array" ref="D119">INDEX('崖行動・受け身'!$J$3:$M$115, MATCH($A$1,'崖行動・受け身'!$A$3:$A$115,0), MATCH(D114,'崖行動・受け身'!$J$2:$M$2,0))</f>
        <v>55</v>
      </c>
      <c r="E119" s="518" t="str">
        <f t="array" ref="E119">INDEX('崖行動・受け身'!$J$3:$M$115, MATCH($A$1,'崖行動・受け身'!$A$3:$A$115,0), MATCH(E114,'崖行動・受け身'!$J$2:$M$2,0))</f>
        <v>24-26</v>
      </c>
      <c r="F119" s="518">
        <f t="array" ref="F119">INDEX('崖行動・受け身'!$J$3:$M$115, MATCH($A$1,'崖行動・受け身'!$A$3:$A$115,0), MATCH(F114,'崖行動・受け身'!$J$2:$M$2,0))</f>
        <v>10</v>
      </c>
      <c r="G119" s="518">
        <f>F119*1.2</f>
        <v>12</v>
      </c>
      <c r="H119" s="228"/>
      <c r="I119" s="228"/>
      <c r="J119" s="111"/>
      <c r="K119" s="146"/>
      <c r="L119" s="303" t="str">
        <f>'テンプレート'!L121</f>
        <v>後投げ</v>
      </c>
      <c r="M119" s="113" t="str">
        <f t="array" ref="M119">INDEX('アイテム'!$I$3:$J$115, MATCH($A$1,'アイテム'!$A$3:$A$115,0), MATCH(M$117,'アイテム'!$I$2:$AK$2,0))</f>
        <v>13</v>
      </c>
      <c r="N119" s="113">
        <f t="array" ref="N119">INDEX('アイテム'!$I$3:$J$115, MATCH($A$1,'アイテム'!$A$3:$A$115,0), MATCH(N$117,'アイテム'!$I$2:$AK$2,0))</f>
        <v>24</v>
      </c>
      <c r="O119" s="111"/>
      <c r="P119" s="111"/>
      <c r="Q119" s="111"/>
      <c r="R119" s="111"/>
      <c r="S119" s="111"/>
      <c r="T119" s="111"/>
      <c r="U119" s="111"/>
      <c r="V119" s="111"/>
    </row>
    <row r="120" outlineLevel="1">
      <c r="A120" s="299" t="s">
        <v>244</v>
      </c>
      <c r="B120" s="300" t="s">
        <v>216</v>
      </c>
      <c r="C120" s="518" t="str">
        <f t="array" ref="C120">INDEX('崖行動・受け身'!$N$3:$O$115, MATCH($A$1,'崖行動・受け身'!$A$3:$A$115,0), MATCH(C114,'崖行動・受け身'!$N$2:$O$2,0))</f>
        <v>1-20</v>
      </c>
      <c r="D120" s="518">
        <f t="array" ref="D120">INDEX('崖行動・受け身'!$N$3:$O$115, MATCH($A$1,'崖行動・受け身'!$A$3:$A$115,0), MATCH(D114,'崖行動・受け身'!$N$2:$O$2,0))</f>
        <v>26</v>
      </c>
      <c r="E120" s="1162"/>
      <c r="F120" s="1162"/>
      <c r="G120" s="1162"/>
      <c r="H120" s="228"/>
      <c r="I120" s="228"/>
      <c r="J120" s="117"/>
      <c r="K120" s="146"/>
      <c r="L120" s="303" t="str">
        <f>'テンプレート'!L122</f>
        <v>上投げ</v>
      </c>
      <c r="M120" s="113" t="str">
        <f t="array" ref="M120">INDEX('アイテム'!$K$3:$L$115, MATCH($A$1,'アイテム'!$A$3:$A$115,0), MATCH(M$117,'アイテム'!$K$2:$AK$2,0))</f>
        <v>17</v>
      </c>
      <c r="N120" s="113">
        <f t="array" ref="N120">INDEX('アイテム'!$K$3:$L$115, MATCH($A$1,'アイテム'!$A$3:$A$115,0), MATCH(N$117,'アイテム'!$K$2:$AK$2,0))</f>
        <v>23</v>
      </c>
      <c r="O120" s="228"/>
      <c r="P120" s="228"/>
      <c r="Q120" s="228"/>
      <c r="R120" s="228"/>
      <c r="S120" s="228"/>
      <c r="T120" s="228"/>
      <c r="U120" s="228"/>
      <c r="V120" s="228"/>
    </row>
    <row r="121" outlineLevel="1">
      <c r="A121" s="146"/>
      <c r="B121" s="300" t="s">
        <v>245</v>
      </c>
      <c r="C121" s="518" t="str">
        <f t="array" ref="C121">INDEX('崖行動・受け身'!$P$3:$Q$115, MATCH($A$1,'崖行動・受け身'!$A$3:$A$115,0), MATCH(C114,'崖行動・受け身'!$P$2:$Q$2,0))</f>
        <v>1-20</v>
      </c>
      <c r="D121" s="518">
        <f t="array" ref="D121">INDEX('崖行動・受け身'!$P$3:$Q$115, MATCH($A$1,'崖行動・受け身'!$A$3:$A$115,0), MATCH(D114,'崖行動・受け身'!$P$2:$Q$2,0))</f>
        <v>40</v>
      </c>
      <c r="E121" s="1162"/>
      <c r="F121" s="1162"/>
      <c r="G121" s="1162"/>
      <c r="H121" s="228"/>
      <c r="I121" s="228"/>
      <c r="J121" s="111"/>
      <c r="K121" s="146"/>
      <c r="L121" s="303" t="str">
        <f>'テンプレート'!L123</f>
        <v>下投げ</v>
      </c>
      <c r="M121" s="113" t="str">
        <f t="array" ref="M121">INDEX('アイテム'!$M$3:$N$115, MATCH($A$1,'アイテム'!$A$3:$A$115,0), MATCH(M$117,'アイテム'!$M$2:$AK$2,0))</f>
        <v>8</v>
      </c>
      <c r="N121" s="113">
        <f t="array" ref="N121">INDEX('アイテム'!$M$3:$N$115, MATCH($A$1,'アイテム'!$A$3:$A$115,0), MATCH(N$117,'アイテム'!$M$2:$AK$2,0))</f>
        <v>19</v>
      </c>
      <c r="O121" s="118"/>
      <c r="P121" s="118"/>
      <c r="Q121" s="118"/>
      <c r="R121" s="118"/>
      <c r="S121" s="118"/>
      <c r="T121" s="118"/>
      <c r="U121" s="118"/>
      <c r="V121" s="118"/>
    </row>
    <row r="122" outlineLevel="1">
      <c r="A122" s="156"/>
      <c r="B122" s="300" t="s">
        <v>246</v>
      </c>
      <c r="C122" s="518" t="str">
        <f t="array" ref="C122">INDEX('崖行動・受け身'!$R$3:$S$115, MATCH($A$1,'崖行動・受け身'!$A$3:$A$115,0), MATCH(C114,'崖行動・受け身'!$R$2:$S$2,0))</f>
        <v>1-20</v>
      </c>
      <c r="D122" s="518">
        <f t="array" ref="D122">INDEX('崖行動・受け身'!$R$3:$S$115, MATCH($A$1,'崖行動・受け身'!$A$3:$A$115,0), MATCH(D114,'崖行動・受け身'!$R$2:$S$2,0))</f>
        <v>40</v>
      </c>
      <c r="E122" s="1162"/>
      <c r="F122" s="1162"/>
      <c r="G122" s="1162"/>
      <c r="H122" s="228"/>
      <c r="I122" s="228"/>
      <c r="J122" s="117"/>
      <c r="K122" s="146"/>
      <c r="L122" s="306" t="str">
        <f>'テンプレート'!L124</f>
        <v>ダッシュ</v>
      </c>
      <c r="M122" s="113" t="str">
        <f t="array" ref="M122">INDEX('アイテム'!$O$3:$P$115, MATCH($A$1,'アイテム'!$A$3:$A$115,0), MATCH(M$117,'アイテム'!$O$2:$AK$2,0))</f>
        <v>7</v>
      </c>
      <c r="N122" s="113">
        <f t="array" ref="N122">INDEX('アイテム'!$O$3:$P$115, MATCH($A$1,'アイテム'!$A$3:$A$115,0), MATCH(N$117,'アイテム'!$O$2:$AK$2,0))</f>
        <v>29</v>
      </c>
      <c r="O122" s="118"/>
      <c r="P122" s="118"/>
      <c r="Q122" s="118"/>
      <c r="R122" s="118"/>
      <c r="S122" s="118"/>
      <c r="T122" s="118"/>
      <c r="U122" s="118"/>
      <c r="V122" s="118"/>
    </row>
    <row r="123" outlineLevel="1">
      <c r="A123" s="299" t="s">
        <v>247</v>
      </c>
      <c r="B123" s="300" t="s">
        <v>248</v>
      </c>
      <c r="C123" s="1162"/>
      <c r="D123" s="518" t="str">
        <f t="array" ref="D123">INDEX('起きあがり'!$C$3:$C119, MATCH($A$1,'起きあがり'!$A$3:$A$115,0), MATCH(D114,'起きあがり'!$C$2:$AD$2,0))</f>
        <v>25</v>
      </c>
      <c r="E123" s="1162"/>
      <c r="F123" s="1162"/>
      <c r="G123" s="1162"/>
      <c r="H123" s="228"/>
      <c r="I123" s="228"/>
      <c r="J123" s="111"/>
      <c r="K123" s="156"/>
      <c r="L123" s="306" t="str">
        <f>'テンプレート'!L125</f>
        <v>その場捨て</v>
      </c>
      <c r="M123" s="113" t="str">
        <f t="array" ref="M123">INDEX('アイテム'!$Q$3:$R$115, MATCH($A$1,'アイテム'!$A$3:$A$115,0), MATCH(M$117,'アイテム'!$Q$2:$AK$2,0))</f>
        <v>6</v>
      </c>
      <c r="N123" s="113">
        <f t="array" ref="N123">INDEX('アイテム'!$Q$3:$R$115, MATCH($A$1,'アイテム'!$A$3:$A$115,0), MATCH(N$117,'アイテム'!$Q$2:$AK$2,0))</f>
        <v>23</v>
      </c>
      <c r="O123" s="118"/>
      <c r="P123" s="118"/>
      <c r="Q123" s="118"/>
      <c r="R123" s="118"/>
      <c r="S123" s="118"/>
      <c r="T123" s="118"/>
      <c r="U123" s="118"/>
      <c r="V123" s="118"/>
    </row>
    <row r="124" outlineLevel="1">
      <c r="A124" s="146"/>
      <c r="B124" s="300" t="s">
        <v>216</v>
      </c>
      <c r="C124" s="2540" t="str">
        <f t="array" ref="C124">INDEX('起きあがり'!$D$3:$E119, MATCH($A$1,'起きあがり'!$A$3:$A$115,0), MATCH(C114,'起きあがり'!$D$2:$AD$2,0))</f>
        <v>1-22</v>
      </c>
      <c r="D124" s="2541">
        <f t="array" ref="D124">INDEX('起きあがり'!$D$3:$E119, MATCH($A$1,'起きあがり'!$A$3:$A$115,0), MATCH(D114,'起きあがり'!$D$2:$AD$2,0))</f>
        <v>29</v>
      </c>
      <c r="E124" s="1162"/>
      <c r="F124" s="1162"/>
      <c r="G124" s="1162"/>
      <c r="H124" s="228"/>
      <c r="I124" s="228"/>
      <c r="J124" s="117"/>
      <c r="K124" s="1030" t="str">
        <f>'テンプレート'!K126</f>
        <v>空中投擲</v>
      </c>
      <c r="L124" s="303" t="str">
        <f>'テンプレート'!L126</f>
        <v>前投げ</v>
      </c>
      <c r="M124" s="113" t="str">
        <f t="array" ref="M124">INDEX('アイテム'!$S$3:$T$115, MATCH($A$1,'アイテム'!$A$3:$A$115,0), MATCH(M$117,'アイテム'!$S$2:$AK$2,0))</f>
        <v>10</v>
      </c>
      <c r="N124" s="113">
        <f t="array" ref="N124">INDEX('アイテム'!$S$3:$T$115, MATCH($A$1,'アイテム'!$A$3:$A$115,0), MATCH(N$117,'アイテム'!$S$2:$AK$2,0))</f>
        <v>24</v>
      </c>
      <c r="O124" s="118"/>
      <c r="P124" s="118"/>
      <c r="Q124" s="118"/>
      <c r="R124" s="118"/>
      <c r="S124" s="118"/>
      <c r="T124" s="118"/>
      <c r="U124" s="118"/>
      <c r="V124" s="118"/>
    </row>
    <row r="125" outlineLevel="1">
      <c r="A125" s="146"/>
      <c r="B125" s="300" t="s">
        <v>245</v>
      </c>
      <c r="C125" s="2540" t="str">
        <f t="array" ref="C125">INDEX('起きあがり'!$F$3:$G$115, MATCH($A$1,'起きあがり'!$A$3:$A$115,0), MATCH(C114,'起きあがり'!$F$2:$AD$2,0))</f>
        <v>1-21</v>
      </c>
      <c r="D125" s="2541">
        <f t="array" ref="D125">INDEX('起きあがり'!$F$3:$G$115, MATCH($A$1,'起きあがり'!$A$3:$A$115,0), MATCH(D114,'起きあがり'!$F$2:$AD$2,0))</f>
        <v>35</v>
      </c>
      <c r="E125" s="1162"/>
      <c r="F125" s="1162"/>
      <c r="G125" s="1162"/>
      <c r="H125" s="228"/>
      <c r="I125" s="228"/>
      <c r="J125" s="111"/>
      <c r="K125" s="146"/>
      <c r="L125" s="303" t="str">
        <f>'テンプレート'!L127</f>
        <v>後投げ</v>
      </c>
      <c r="M125" s="113" t="str">
        <f t="array" ref="M125">INDEX('アイテム'!$U$3:$V$115, MATCH($A$1,'アイテム'!$A$3:$A$115,0), MATCH(M$117,'アイテム'!$U$2:$AK$2,0))</f>
        <v>13</v>
      </c>
      <c r="N125" s="113">
        <f t="array" ref="N125">INDEX('アイテム'!$U$3:$V$115, MATCH($A$1,'アイテム'!$A$3:$A$115,0), MATCH(N$117,'アイテム'!$U$2:$AK$2,0))</f>
        <v>24</v>
      </c>
      <c r="O125" s="118"/>
      <c r="P125" s="118"/>
      <c r="Q125" s="118"/>
      <c r="R125" s="118"/>
      <c r="S125" s="118"/>
      <c r="T125" s="118"/>
      <c r="U125" s="118"/>
      <c r="V125" s="118"/>
    </row>
    <row r="126" outlineLevel="1">
      <c r="A126" s="146"/>
      <c r="B126" s="300" t="s">
        <v>246</v>
      </c>
      <c r="C126" s="518" t="str">
        <f t="array" ref="C126">INDEX('起きあがり'!$H$3:$I$115, MATCH($A$1,'起きあがり'!$A$3:$A$115,0), MATCH(C114,'起きあがり'!$H$2:$AD$2,0))</f>
        <v>1-22</v>
      </c>
      <c r="D126" s="518">
        <f t="array" ref="D126">INDEX('起きあがり'!$H$3:$I$115, MATCH($A$1,'起きあがり'!$A$3:$A$115,0), MATCH(D114,'起きあがり'!$H$2:$AD$2,0))</f>
        <v>35</v>
      </c>
      <c r="E126" s="1162"/>
      <c r="F126" s="1162"/>
      <c r="G126" s="1162"/>
      <c r="H126" s="228"/>
      <c r="I126" s="228"/>
      <c r="J126" s="117"/>
      <c r="K126" s="146"/>
      <c r="L126" s="303" t="str">
        <f>'テンプレート'!L128</f>
        <v>上投げ</v>
      </c>
      <c r="M126" s="113" t="str">
        <f t="array" ref="M126">INDEX('アイテム'!$W$3:$X$115, MATCH($A$1,'アイテム'!$A$3:$A$115,0), MATCH(M$117,'アイテム'!$W$2:$AK$2,0))</f>
        <v>17</v>
      </c>
      <c r="N126" s="113">
        <f t="array" ref="N126">INDEX('アイテム'!$W$3:$X$115, MATCH($A$1,'アイテム'!$A$3:$A$115,0), MATCH(N$117,'アイテム'!$W$2:$AK$2,0))</f>
        <v>23</v>
      </c>
      <c r="O126" s="118"/>
      <c r="P126" s="118"/>
      <c r="Q126" s="118"/>
      <c r="R126" s="118"/>
      <c r="S126" s="118"/>
      <c r="T126" s="118"/>
      <c r="U126" s="118"/>
      <c r="V126" s="118"/>
    </row>
    <row r="127" outlineLevel="1">
      <c r="A127" s="146"/>
      <c r="B127" s="300" t="s">
        <v>249</v>
      </c>
      <c r="C127" s="2542" t="str">
        <f t="array" ref="C127">INDEX('起きあがり'!$J$3:$M$115, MATCH($A$1,'起きあがり'!$A$3:$A$115,0), MATCH(C114,'起きあがり'!$J$2:$AD$2,0))</f>
        <v>1-23</v>
      </c>
      <c r="D127" s="2543">
        <f t="array" ref="D127">INDEX('起きあがり'!$J$3:$M$115, MATCH($A$1,'起きあがり'!$A$3:$A$115,0), MATCH(D114,'起きあがり'!$J$2:$AD$2,0))</f>
        <v>45</v>
      </c>
      <c r="E127" s="2540" t="str">
        <f t="array" ref="E127">INDEX('起きあがり'!$J$3:$M$115, MATCH($A$1,'起きあがり'!$A$3:$A$115,0), MATCH(E114,'起きあがり'!$J$2:$AD$2,0))</f>
        <v>19-20</v>
      </c>
      <c r="F127" s="2541">
        <f t="array" ref="F127">INDEX('起きあがり'!$J$3:$M$115, MATCH($A$1,'起きあがり'!$A$3:$A$115,0), MATCH(F114,'起きあがり'!$J$2:$AD$2,0))</f>
        <v>7</v>
      </c>
      <c r="G127" s="518">
        <f t="shared" ref="G127:G128" si="1">F127*1.2</f>
        <v>8.4</v>
      </c>
      <c r="H127" s="228"/>
      <c r="I127" s="228"/>
      <c r="J127" s="111"/>
      <c r="K127" s="156"/>
      <c r="L127" s="303" t="str">
        <f>'テンプレート'!L129</f>
        <v>下投げ</v>
      </c>
      <c r="M127" s="113" t="str">
        <f t="array" ref="M127">INDEX('アイテム'!$Y$3:$Z$115, MATCH($A$1,'アイテム'!$A$3:$A$115,0), MATCH(M$117,'アイテム'!$Y$2:$AK$2,0))</f>
        <v>8</v>
      </c>
      <c r="N127" s="113">
        <f t="array" ref="N127">INDEX('アイテム'!$Y$3:$Z$115, MATCH($A$1,'アイテム'!$A$3:$A$115,0), MATCH(N$117,'アイテム'!$Y$2:$AK$2,0))</f>
        <v>19</v>
      </c>
      <c r="O127" s="111"/>
      <c r="P127" s="111"/>
      <c r="Q127" s="111"/>
      <c r="R127" s="111"/>
      <c r="S127" s="111"/>
      <c r="T127" s="111"/>
      <c r="U127" s="111"/>
      <c r="V127" s="111"/>
    </row>
    <row r="128" outlineLevel="1">
      <c r="A128" s="156"/>
      <c r="B128" s="311" t="s">
        <v>250</v>
      </c>
      <c r="C128" s="107"/>
      <c r="D128" s="107"/>
      <c r="E128" s="2540" t="str">
        <f t="array" ref="E128">INDEX('起きあがり'!$N$3:$O$115, MATCH($A$1,'起きあがり'!$A$3:$A$115,0), MATCH(E114,'起きあがり'!$N$2:$AD$2,0))</f>
        <v>22-23</v>
      </c>
      <c r="F128" s="2541">
        <f t="array" ref="F128">INDEX('起きあがり'!$N$3:$O$115, MATCH($A$1,'起きあがり'!$A$3:$A$115,0), MATCH(F114,'起きあがり'!$N$2:$AD$2,0))</f>
        <v>7</v>
      </c>
      <c r="G128" s="518">
        <f t="shared" si="1"/>
        <v>8.4</v>
      </c>
      <c r="H128" s="228"/>
      <c r="I128" s="228"/>
      <c r="J128" s="111"/>
      <c r="K128" s="312" t="str">
        <f>'テンプレート'!K130</f>
        <v>踏み台ジャンプ</v>
      </c>
      <c r="L128" s="168"/>
      <c r="M128" s="298" t="str">
        <f>'テンプレート'!M130</f>
        <v>全体フレーム</v>
      </c>
      <c r="N128" s="114"/>
      <c r="O128" s="111"/>
      <c r="P128" s="111"/>
      <c r="Q128" s="111"/>
      <c r="R128" s="111"/>
      <c r="S128" s="111"/>
      <c r="T128" s="111"/>
      <c r="U128" s="111"/>
      <c r="V128" s="111"/>
    </row>
    <row r="129" outlineLevel="1">
      <c r="A129" s="299" t="s">
        <v>251</v>
      </c>
      <c r="B129" s="300" t="s">
        <v>248</v>
      </c>
      <c r="C129" s="1162"/>
      <c r="D129" s="2540" t="str">
        <f t="array" ref="D129">INDEX('起きあがり'!$C$3:$C119, MATCH($A$1,'起きあがり'!$A$3:$A$115,0), MATCH(D114,'起きあがり'!$C$2,0))</f>
        <v>25</v>
      </c>
      <c r="E129" s="1162"/>
      <c r="F129" s="1162"/>
      <c r="G129" s="1162"/>
      <c r="H129" s="228"/>
      <c r="I129" s="228"/>
      <c r="J129" s="117"/>
      <c r="K129" s="313" t="str">
        <f>'テンプレート'!K131</f>
        <v>踏み</v>
      </c>
      <c r="L129" s="314" t="str">
        <f>'テンプレート'!L131</f>
        <v>踏み</v>
      </c>
      <c r="M129" s="113" t="str">
        <f t="array" ref="M129">INDEX('共通動作その他'!$C$3:$C$102, MATCH($A$1,'共通動作その他'!$A$3:$A$102,0), MATCH(M$128,'共通動作その他'!$C$2:$AA$2,0))</f>
        <v>-</v>
      </c>
      <c r="N129" s="315"/>
      <c r="O129" s="111"/>
      <c r="P129" s="111"/>
      <c r="Q129" s="111"/>
      <c r="R129" s="111"/>
      <c r="S129" s="111"/>
      <c r="T129" s="111"/>
      <c r="U129" s="111"/>
      <c r="V129" s="111"/>
    </row>
    <row r="130" outlineLevel="1">
      <c r="A130" s="146"/>
      <c r="B130" s="300" t="s">
        <v>216</v>
      </c>
      <c r="C130" s="2540" t="str">
        <f t="array" ref="C130">INDEX('起きあがり'!$P$3:$Q$115, MATCH($A$1,'起きあがり'!$A$3:$A$115,0), MATCH(C114,'起きあがり'!$P$2:$AD$2,0))</f>
        <v>1-22</v>
      </c>
      <c r="D130" s="2541">
        <f t="array" ref="D130">INDEX('起きあがり'!$P$3:$Q$115, MATCH($A$1,'起きあがり'!$A$3:$A$115,0), MATCH(D114,'起きあがり'!$P$2:$AD$2,0))</f>
        <v>29</v>
      </c>
      <c r="E130" s="1162"/>
      <c r="F130" s="1162"/>
      <c r="G130" s="1162"/>
      <c r="H130" s="228"/>
      <c r="I130" s="228"/>
      <c r="J130" s="111"/>
      <c r="K130" s="305" t="str">
        <f>'テンプレート'!K132</f>
        <v>踏まれ</v>
      </c>
      <c r="L130" s="314" t="str">
        <f>'テンプレート'!L132</f>
        <v>地上踏まれ</v>
      </c>
      <c r="M130" s="113" t="str">
        <f t="array" ref="M130">INDEX('共通動作その他'!$D$3:$D$102, MATCH($A$1,'共通動作その他'!$A$3:$A$102,0), MATCH(M$128,'共通動作その他'!$D$2:$AA$2,0))</f>
        <v>-</v>
      </c>
      <c r="N130" s="315"/>
      <c r="O130" s="228"/>
      <c r="P130" s="228"/>
      <c r="Q130" s="228"/>
      <c r="R130" s="228"/>
      <c r="S130" s="228"/>
      <c r="T130" s="228"/>
      <c r="U130" s="228"/>
      <c r="V130" s="228"/>
    </row>
    <row r="131" outlineLevel="1">
      <c r="A131" s="146"/>
      <c r="B131" s="300" t="s">
        <v>245</v>
      </c>
      <c r="C131" s="2540" t="str">
        <f t="array" ref="C131">INDEX('起きあがり'!$R$3:$S$115, MATCH($A$1,'起きあがり'!$A$3:$A$115,0), MATCH(C114,'起きあがり'!$R$2:$AD$2,0))</f>
        <v>1-19</v>
      </c>
      <c r="D131" s="2541">
        <f t="array" ref="D131">INDEX('起きあがり'!$R$3:$S$115, MATCH($A$1,'起きあがり'!$A$3:$A$115,0), MATCH(D114,'起きあがり'!$R$2:$AD$2,0))</f>
        <v>35</v>
      </c>
      <c r="E131" s="1162"/>
      <c r="F131" s="1162"/>
      <c r="G131" s="1162"/>
      <c r="H131" s="228"/>
      <c r="I131" s="228"/>
      <c r="J131" s="117"/>
      <c r="K131" s="146"/>
      <c r="L131" s="314" t="str">
        <f>'テンプレート'!L133</f>
        <v>地上硬直</v>
      </c>
      <c r="M131" s="113" t="str">
        <f t="array" ref="M131">INDEX('共通動作その他'!$E$3:$E$102, MATCH($A$1,'共通動作その他'!$A$3:$A$102,0), MATCH(M$128,'共通動作その他'!$E$2:$AA$2,0))</f>
        <v>-</v>
      </c>
      <c r="N131" s="102"/>
      <c r="O131" s="118"/>
      <c r="P131" s="118"/>
      <c r="Q131" s="118"/>
      <c r="R131" s="118"/>
      <c r="S131" s="118"/>
      <c r="T131" s="118"/>
      <c r="U131" s="118"/>
      <c r="V131" s="118"/>
    </row>
    <row r="132" outlineLevel="1">
      <c r="A132" s="146"/>
      <c r="B132" s="300" t="s">
        <v>246</v>
      </c>
      <c r="C132" s="2540" t="str">
        <f t="array" ref="C132">INDEX('起きあがり'!$T$3:$U$115, MATCH($A$1,'起きあがり'!$A$3:$A$115,0), MATCH(C114,'起きあがり'!$T$2:$AD$2,0))</f>
        <v>1-24</v>
      </c>
      <c r="D132" s="2541">
        <f t="array" ref="D132">INDEX('起きあがり'!$T$3:$U$115, MATCH($A$1,'起きあがり'!$A$3:$A$115,0), MATCH(D114,'起きあがり'!$T$2:$AD$2,0))</f>
        <v>35</v>
      </c>
      <c r="E132" s="1162"/>
      <c r="F132" s="1162"/>
      <c r="G132" s="1162"/>
      <c r="H132" s="228"/>
      <c r="I132" s="228"/>
      <c r="J132" s="111"/>
      <c r="K132" s="146"/>
      <c r="L132" s="314" t="str">
        <f>'テンプレート'!L134</f>
        <v>空中踏まれ</v>
      </c>
      <c r="M132" s="113" t="str">
        <f t="array" ref="M132">INDEX('共通動作その他'!$F$3:$F$102, MATCH($A$1,'共通動作その他'!$A$3:$A$102,0), MATCH(M$128,'共通動作その他'!$F$2:$AA$2,0))</f>
        <v>-</v>
      </c>
      <c r="N132" s="102"/>
      <c r="O132" s="118"/>
      <c r="P132" s="118"/>
      <c r="Q132" s="118"/>
      <c r="R132" s="118"/>
      <c r="S132" s="118"/>
      <c r="T132" s="118"/>
      <c r="U132" s="118"/>
      <c r="V132" s="118"/>
    </row>
    <row r="133" outlineLevel="1">
      <c r="A133" s="146"/>
      <c r="B133" s="300" t="s">
        <v>249</v>
      </c>
      <c r="C133" s="2542" t="str">
        <f t="array" ref="C133">INDEX('起きあがり'!$V$3:$Y$115, MATCH($A$1,'起きあがり'!$A$3:$A$115,0), MATCH(C114,'起きあがり'!$V$2:$AD$2,0))</f>
        <v>1-25</v>
      </c>
      <c r="D133" s="2543">
        <f t="array" ref="D133">INDEX('起きあがり'!$V$3:$Y$115, MATCH($A$1,'起きあがり'!$A$3:$A$115,0), MATCH(D114,'起きあがり'!$V$2:$AD$2,0))</f>
        <v>45</v>
      </c>
      <c r="E133" s="2540" t="str">
        <f t="array" ref="E133">INDEX('起きあがり'!$V$3:$Y$115, MATCH($A$1,'起きあがり'!$A$3:$A$115,0), MATCH(E114,'起きあがり'!$V$2:$AD$2,0))</f>
        <v>19-20</v>
      </c>
      <c r="F133" s="2541">
        <f t="array" ref="F133">INDEX('起きあがり'!$V$3:$Y$115, MATCH($A$1,'起きあがり'!$A$3:$A$115,0), MATCH(F114,'起きあがり'!$V$2:$AD$2,0))</f>
        <v>7</v>
      </c>
      <c r="G133" s="518">
        <f t="shared" ref="G133:G134" si="2">F133*1.2</f>
        <v>8.4</v>
      </c>
      <c r="H133" s="228"/>
      <c r="I133" s="228"/>
      <c r="J133" s="117"/>
      <c r="K133" s="146"/>
      <c r="L133" s="314" t="str">
        <f>'テンプレート'!L135</f>
        <v>空中落下</v>
      </c>
      <c r="M133" s="113" t="str">
        <f t="array" ref="M133">INDEX('共通動作その他'!$G$3:$G$102, MATCH($A$1,'共通動作その他'!$A$3:$A$102,0), MATCH(M$128,'共通動作その他'!$G$2:$AA$2,0))</f>
        <v>-</v>
      </c>
      <c r="N133" s="102"/>
      <c r="O133" s="118"/>
      <c r="P133" s="118"/>
      <c r="Q133" s="118"/>
      <c r="R133" s="118"/>
      <c r="S133" s="118"/>
      <c r="T133" s="118"/>
      <c r="U133" s="118"/>
      <c r="V133" s="118"/>
    </row>
    <row r="134" outlineLevel="1">
      <c r="A134" s="156"/>
      <c r="B134" s="311" t="s">
        <v>250</v>
      </c>
      <c r="C134" s="107"/>
      <c r="D134" s="107"/>
      <c r="E134" s="2540" t="str">
        <f t="array" ref="E134">INDEX('起きあがり'!$Z$3:$AA$115, MATCH($A$1,'起きあがり'!$A$3:$A$115,0), MATCH(E114,'起きあがり'!$Z$2:$AD$2,0))</f>
        <v>24-25</v>
      </c>
      <c r="F134" s="2541">
        <f t="array" ref="F134">INDEX('起きあがり'!$Z$3:$AA$115, MATCH($A$1,'起きあがり'!$A$3:$A$115,0), MATCH(F114,'起きあがり'!$Z$2:$AD$2,0))</f>
        <v>7</v>
      </c>
      <c r="G134" s="518">
        <f t="shared" si="2"/>
        <v>8.4</v>
      </c>
      <c r="H134" s="228"/>
      <c r="I134" s="228"/>
      <c r="J134" s="117"/>
      <c r="K134" s="304" t="str">
        <f>'テンプレート'!K136</f>
        <v>倒れダメージ</v>
      </c>
      <c r="L134" s="110"/>
      <c r="M134" s="298" t="str">
        <f>'テンプレート'!M136</f>
        <v>全体フレーム</v>
      </c>
      <c r="N134" s="102"/>
      <c r="O134" s="118"/>
      <c r="P134" s="118"/>
      <c r="Q134" s="118"/>
      <c r="R134" s="118"/>
      <c r="S134" s="118"/>
      <c r="T134" s="118"/>
      <c r="U134" s="118"/>
      <c r="V134" s="118"/>
    </row>
    <row r="135" outlineLevel="1">
      <c r="A135" s="299" t="s">
        <v>252</v>
      </c>
      <c r="B135" s="300" t="s">
        <v>253</v>
      </c>
      <c r="C135" s="2540" t="str">
        <f t="array" ref="C135">INDEX('転倒'!$C$3:$D119, MATCH($A$1,'転倒'!$A$3:$A$115,0), MATCH(C114,'転倒'!$C$2:$AC$2,0))</f>
        <v>1-5</v>
      </c>
      <c r="D135" s="2541">
        <f t="array" ref="D135">INDEX('転倒'!$C$3:$D119, MATCH($A$1,'転倒'!$A$3:$A$115,0), MATCH(D114,'転倒'!$C$2:$AC$2,0))</f>
        <v>29</v>
      </c>
      <c r="E135" s="1162"/>
      <c r="F135" s="1162"/>
      <c r="G135" s="1162"/>
      <c r="H135" s="228"/>
      <c r="I135" s="228"/>
      <c r="J135" s="111"/>
      <c r="K135" s="313" t="str">
        <f>'テンプレート'!K137</f>
        <v>あお向け倒れ</v>
      </c>
      <c r="L135" s="306" t="str">
        <f>'テンプレート'!L137</f>
        <v>モーション大</v>
      </c>
      <c r="M135" s="113" t="str">
        <f t="array" ref="M135">INDEX('共通動作その他'!$H$3:$H$102, MATCH($A$1,'共通動作その他'!$A$3:$A$102,0), MATCH(M$134,'共通動作その他'!$H$2:$AA$2,0))</f>
        <v>-</v>
      </c>
      <c r="N135" s="315"/>
      <c r="O135" s="118"/>
      <c r="P135" s="118"/>
      <c r="Q135" s="118"/>
      <c r="R135" s="118"/>
      <c r="S135" s="118"/>
      <c r="T135" s="118"/>
      <c r="U135" s="118"/>
      <c r="V135" s="118"/>
    </row>
    <row r="136" outlineLevel="1">
      <c r="A136" s="146"/>
      <c r="B136" s="300" t="s">
        <v>254</v>
      </c>
      <c r="C136" s="2540" t="str">
        <f t="array" ref="C136">INDEX('転倒'!$E$3:$F119, MATCH($A$1,'転倒'!$A$3:$A$115,0), MATCH(C114,'転倒'!$E$2:$AC$2,0))</f>
        <v>1-5</v>
      </c>
      <c r="D136" s="2541">
        <f t="array" ref="D136">INDEX('転倒'!$E$3:$F119, MATCH($A$1,'転倒'!$A$3:$A$115,0), MATCH(D114,'転倒'!$E$2:$AC$2,0))</f>
        <v>39</v>
      </c>
      <c r="E136" s="1162"/>
      <c r="F136" s="1162"/>
      <c r="G136" s="1162"/>
      <c r="H136" s="228"/>
      <c r="I136" s="228"/>
      <c r="J136" s="117"/>
      <c r="K136" s="313" t="str">
        <f>'テンプレート'!K138</f>
        <v>うつ伏せ倒れ</v>
      </c>
      <c r="L136" s="306" t="str">
        <f>'テンプレート'!L138</f>
        <v>モーション大</v>
      </c>
      <c r="M136" s="113" t="str">
        <f t="array" ref="M136">INDEX('共通動作その他'!$I$3:$I$102, MATCH($A$1,'共通動作その他'!$A$3:$A$102,0), MATCH(M$134,'共通動作その他'!$I$2:$AA$2,0))</f>
        <v>-</v>
      </c>
      <c r="N136" s="315"/>
      <c r="O136" s="118"/>
      <c r="P136" s="118"/>
      <c r="Q136" s="118"/>
      <c r="R136" s="118"/>
      <c r="S136" s="118"/>
      <c r="T136" s="118"/>
      <c r="U136" s="118"/>
      <c r="V136" s="118"/>
    </row>
    <row r="137" outlineLevel="1">
      <c r="A137" s="146"/>
      <c r="B137" s="300" t="s">
        <v>216</v>
      </c>
      <c r="C137" s="2540" t="str">
        <f t="array" ref="C137">INDEX('転倒'!$G$3:$H$115, MATCH($A$1,'転倒'!$A$3:$A$115,0), MATCH(C114,'転倒'!$G$2:$AC$2,0))</f>
        <v>1-16</v>
      </c>
      <c r="D137" s="2541">
        <f t="array" ref="D137">INDEX('転倒'!$G$3:$H$115, MATCH($A$1,'転倒'!$A$3:$A$115,0), MATCH(D114,'転倒'!$G$2:$AC$2,0))</f>
        <v>21</v>
      </c>
      <c r="E137" s="1162"/>
      <c r="F137" s="1162"/>
      <c r="G137" s="1162"/>
      <c r="H137" s="228"/>
      <c r="I137" s="228"/>
      <c r="J137" s="111"/>
      <c r="K137" s="304" t="str">
        <f>'テンプレート'!K139</f>
        <v/>
      </c>
      <c r="L137" s="110"/>
      <c r="M137" s="298" t="str">
        <f>'テンプレート'!M139</f>
        <v/>
      </c>
      <c r="N137" s="102"/>
      <c r="O137" s="118"/>
      <c r="P137" s="118"/>
      <c r="Q137" s="118"/>
      <c r="R137" s="118"/>
      <c r="S137" s="118"/>
      <c r="T137" s="118"/>
      <c r="U137" s="118"/>
      <c r="V137" s="118"/>
    </row>
    <row r="138" outlineLevel="1">
      <c r="A138" s="146"/>
      <c r="B138" s="300" t="s">
        <v>245</v>
      </c>
      <c r="C138" s="2540" t="str">
        <f t="array" ref="C138">INDEX('転倒'!$I$3:$J$115, MATCH($A$1,'転倒'!$A$3:$A$115,0), MATCH(C114,'転倒'!$I$2:$AC$2,0))</f>
        <v>1-9</v>
      </c>
      <c r="D138" s="2541">
        <f t="array" ref="D138">INDEX('転倒'!$I$3:$J$115, MATCH($A$1,'転倒'!$A$3:$A$115,0), MATCH(D114,'転倒'!$I$2:$AC$2,0))</f>
        <v>28</v>
      </c>
      <c r="E138" s="1162"/>
      <c r="F138" s="1162"/>
      <c r="G138" s="1162"/>
      <c r="H138" s="228"/>
      <c r="I138" s="228"/>
      <c r="J138" s="228"/>
      <c r="K138" s="316" t="str">
        <f>'テンプレート'!K140</f>
        <v/>
      </c>
      <c r="L138" s="317" t="str">
        <f>'テンプレート'!L140</f>
        <v/>
      </c>
      <c r="M138" s="113" t="str">
        <f t="array" ref="M138">INDEX('共通動作その他'!$J$3:$J$102, MATCH($A$1,'共通動作その他'!$A$3:$A$102,0), MATCH(M$137,'共通動作その他'!$J$2:$AA$2,0))</f>
        <v>#N/A</v>
      </c>
      <c r="N138" s="102"/>
      <c r="O138" s="118"/>
      <c r="P138" s="118"/>
      <c r="Q138" s="118"/>
      <c r="R138" s="118"/>
      <c r="S138" s="118"/>
      <c r="T138" s="118"/>
      <c r="U138" s="118"/>
      <c r="V138" s="118"/>
    </row>
    <row r="139" outlineLevel="1">
      <c r="A139" s="146"/>
      <c r="B139" s="300" t="s">
        <v>246</v>
      </c>
      <c r="C139" s="2540" t="str">
        <f t="array" ref="C139">INDEX('転倒'!$K$3:$L$115, MATCH($A$1,'転倒'!$A$3:$A$115,0), MATCH(C114,'転倒'!$K$2:$AC$2,0))</f>
        <v>1-9</v>
      </c>
      <c r="D139" s="2541">
        <f t="array" ref="D139">INDEX('転倒'!$K$3:$L$115, MATCH($A$1,'転倒'!$A$3:$A$115,0), MATCH(D114,'転倒'!$K$2:$AC$2,0))</f>
        <v>28</v>
      </c>
      <c r="E139" s="1162"/>
      <c r="F139" s="1162"/>
      <c r="G139" s="1162"/>
      <c r="H139" s="228"/>
      <c r="I139" s="228"/>
      <c r="J139" s="228"/>
      <c r="K139" s="102"/>
      <c r="L139" s="118"/>
      <c r="M139" s="118"/>
      <c r="N139" s="102"/>
      <c r="O139" s="118"/>
      <c r="P139" s="118"/>
      <c r="Q139" s="118"/>
      <c r="R139" s="118"/>
      <c r="S139" s="118"/>
      <c r="T139" s="118"/>
      <c r="U139" s="118"/>
      <c r="V139" s="118"/>
    </row>
    <row r="140" outlineLevel="1">
      <c r="A140" s="146"/>
      <c r="B140" s="300" t="s">
        <v>249</v>
      </c>
      <c r="C140" s="2542" t="str">
        <f t="array" ref="C140">INDEX('転倒'!$M$3:$P$115, MATCH($A$1,'転倒'!$A$3:$A$115,0), MATCH(C114,'転倒'!$M$2:$AC$2,0))</f>
        <v>1-7</v>
      </c>
      <c r="D140" s="2543">
        <f t="array" ref="D140">INDEX('転倒'!$M$3:$P$115, MATCH($A$1,'転倒'!$A$3:$A$115,0), MATCH(D114,'転倒'!$M$2:$AC$2,0))</f>
        <v>49</v>
      </c>
      <c r="E140" s="2540" t="str">
        <f t="array" ref="E140">INDEX('転倒'!$M$3:$P$115, MATCH($A$1,'転倒'!$A$3:$A$115,0), MATCH(E114,'転倒'!$M$2:$AC$2,0))</f>
        <v>19-20</v>
      </c>
      <c r="F140" s="2541">
        <f t="array" ref="F140">INDEX('転倒'!$M$3:$P$115, MATCH($A$1,'転倒'!$A$3:$A$115,0), MATCH(F114,'転倒'!$M$2:$AC$2,0))</f>
        <v>5</v>
      </c>
      <c r="G140" s="518">
        <f t="shared" ref="G140:G141" si="3">F140*1.2</f>
        <v>6</v>
      </c>
      <c r="H140" s="228"/>
      <c r="I140" s="228"/>
      <c r="J140" s="228"/>
      <c r="K140" s="118"/>
      <c r="L140" s="118"/>
      <c r="M140" s="118"/>
      <c r="N140" s="102"/>
      <c r="O140" s="102"/>
      <c r="P140" s="102"/>
      <c r="Q140" s="102"/>
      <c r="R140" s="118"/>
      <c r="S140" s="118"/>
      <c r="T140" s="118"/>
      <c r="U140" s="118"/>
      <c r="V140" s="118"/>
    </row>
    <row r="141" outlineLevel="1">
      <c r="A141" s="156"/>
      <c r="B141" s="311" t="s">
        <v>250</v>
      </c>
      <c r="C141" s="107"/>
      <c r="D141" s="107"/>
      <c r="E141" s="2540" t="str">
        <f t="array" ref="E141">INDEX('転倒'!$Q$3:$R$115, MATCH($A$1,'転倒'!$A$3:$A$115,0), MATCH(E114,'転倒'!$Q$2:$AC$2,0))</f>
        <v>30-31</v>
      </c>
      <c r="F141" s="2541">
        <f t="array" ref="F141">INDEX('転倒'!$Q$3:$R$115, MATCH($A$1,'転倒'!$A$3:$A$115,0), MATCH(F114,'転倒'!$Q$2:$AC$2,0))</f>
        <v>5</v>
      </c>
      <c r="G141" s="518">
        <f t="shared" si="3"/>
        <v>6</v>
      </c>
      <c r="H141" s="228"/>
      <c r="I141" s="228"/>
      <c r="J141" s="228"/>
      <c r="K141" s="118"/>
      <c r="L141" s="118"/>
      <c r="M141" s="118"/>
      <c r="N141" s="102"/>
      <c r="O141" s="102"/>
      <c r="P141" s="102"/>
      <c r="Q141" s="102"/>
      <c r="R141" s="118"/>
      <c r="S141" s="118"/>
      <c r="T141" s="118"/>
      <c r="U141" s="118"/>
      <c r="V141" s="118"/>
    </row>
    <row r="142" outlineLevel="1">
      <c r="A142" s="319"/>
      <c r="B142" s="320"/>
      <c r="C142" s="321"/>
      <c r="D142" s="321"/>
      <c r="E142" s="2544"/>
      <c r="F142" s="2545"/>
      <c r="G142" s="2546"/>
      <c r="H142" s="228"/>
      <c r="I142" s="228"/>
      <c r="J142" s="228"/>
      <c r="K142" s="118"/>
      <c r="L142" s="118"/>
      <c r="M142" s="118"/>
      <c r="N142" s="102"/>
      <c r="O142" s="102"/>
      <c r="P142" s="102"/>
      <c r="Q142" s="102"/>
      <c r="R142" s="118"/>
      <c r="S142" s="118"/>
      <c r="T142" s="118"/>
      <c r="U142" s="118"/>
      <c r="V142" s="118"/>
    </row>
    <row r="143" outlineLevel="1">
      <c r="A143" s="323" t="s">
        <v>255</v>
      </c>
      <c r="B143" s="109"/>
      <c r="C143" s="321"/>
      <c r="D143" s="321"/>
      <c r="E143" s="2544"/>
      <c r="F143" s="2545"/>
      <c r="G143" s="2546"/>
      <c r="H143" s="228"/>
      <c r="I143" s="228"/>
      <c r="J143" s="228"/>
      <c r="K143" s="118"/>
      <c r="L143" s="118"/>
      <c r="M143" s="118"/>
      <c r="N143" s="102"/>
      <c r="O143" s="102"/>
      <c r="P143" s="102"/>
      <c r="Q143" s="102"/>
      <c r="R143" s="118"/>
      <c r="S143" s="118"/>
      <c r="T143" s="118"/>
      <c r="U143" s="118"/>
      <c r="V143" s="118"/>
    </row>
    <row r="144" outlineLevel="1">
      <c r="A144" s="324" t="s">
        <v>256</v>
      </c>
      <c r="B144" s="109"/>
      <c r="C144" s="325" t="s">
        <v>257</v>
      </c>
      <c r="D144" s="325" t="s">
        <v>49</v>
      </c>
      <c r="E144" s="2544"/>
      <c r="F144" s="2545"/>
      <c r="G144" s="2546"/>
      <c r="H144" s="228"/>
      <c r="I144" s="228"/>
      <c r="J144" s="228"/>
      <c r="K144" s="118"/>
      <c r="L144" s="118"/>
      <c r="M144" s="118"/>
      <c r="N144" s="102"/>
      <c r="O144" s="102"/>
      <c r="P144" s="102"/>
      <c r="Q144" s="102"/>
      <c r="R144" s="118"/>
      <c r="S144" s="118"/>
      <c r="T144" s="118"/>
      <c r="U144" s="118"/>
      <c r="V144" s="118"/>
    </row>
    <row r="145" outlineLevel="1">
      <c r="A145" s="326" t="s">
        <v>258</v>
      </c>
      <c r="B145" s="327" t="s">
        <v>216</v>
      </c>
      <c r="C145" s="328" t="str">
        <f t="array" ref="C145">INDEX('アイテム'!$C$3:$D$114, MATCH($A$1,'アイテム'!$A$3:$A$114,0), MATCH(C144,'アイテム'!$C$2:$AQ$2,0))</f>
        <v>2</v>
      </c>
      <c r="D145" s="328">
        <f t="array" ref="D145">INDEX('アイテム'!$C$3:$D$114, MATCH($A$1,'アイテム'!$A$3:$A$114,0), MATCH(D144,'アイテム'!$C$2:$AQ$2,0))</f>
        <v>7</v>
      </c>
      <c r="E145" s="2544"/>
      <c r="F145" s="2545"/>
      <c r="G145" s="2546"/>
      <c r="H145" s="228"/>
      <c r="I145" s="228"/>
      <c r="J145" s="228"/>
      <c r="K145" s="118"/>
      <c r="L145" s="118"/>
      <c r="M145" s="118"/>
      <c r="N145" s="102"/>
      <c r="O145" s="102"/>
      <c r="P145" s="102"/>
      <c r="Q145" s="102"/>
      <c r="R145" s="118"/>
      <c r="S145" s="118"/>
      <c r="T145" s="118"/>
      <c r="U145" s="118"/>
      <c r="V145" s="118"/>
    </row>
    <row r="146" outlineLevel="1">
      <c r="A146" s="156"/>
      <c r="B146" s="327" t="s">
        <v>219</v>
      </c>
      <c r="C146" s="328" t="str">
        <f t="array" ref="C146">INDEX('アイテム'!$E$3:$F$114, MATCH($A$1,'アイテム'!$A$3:$A$114,0), MATCH(C144,'アイテム'!$C$2:$AQ$2,0))</f>
        <v>2</v>
      </c>
      <c r="D146" s="328">
        <f t="array" ref="D146">INDEX('アイテム'!$E$3:$F$114, MATCH($A$1,'アイテム'!$A$3:$A$114,0), MATCH(D144,'アイテム'!$C$2:$AQ$2,0))</f>
        <v>19</v>
      </c>
      <c r="E146" s="2544"/>
      <c r="F146" s="2545"/>
      <c r="G146" s="2546"/>
      <c r="H146" s="228"/>
      <c r="I146" s="228"/>
      <c r="J146" s="228"/>
      <c r="K146" s="118"/>
      <c r="L146" s="118"/>
      <c r="M146" s="118"/>
      <c r="N146" s="102"/>
      <c r="O146" s="102"/>
      <c r="P146" s="102"/>
      <c r="Q146" s="102"/>
      <c r="R146" s="118"/>
      <c r="S146" s="118"/>
      <c r="T146" s="118"/>
      <c r="U146" s="118"/>
      <c r="V146" s="118"/>
    </row>
    <row r="147" outlineLevel="1">
      <c r="A147" s="329" t="s">
        <v>259</v>
      </c>
      <c r="B147" s="327" t="s">
        <v>216</v>
      </c>
      <c r="C147" s="328">
        <f t="array" ref="C147">INDEX('アイテム'!$AA$3:$AB$114, MATCH($A$1,'アイテム'!$A$3:$A$114,0), MATCH(C144,'アイテム'!$C$2:$AQ$2,0))</f>
        <v>3</v>
      </c>
      <c r="D147" s="328" t="str">
        <f t="array" ref="D147">INDEX('アイテム'!$AA$3:$AB$114, MATCH($A$1,'アイテム'!$A$3:$A$114,0), MATCH(D144,'アイテム'!$C$2:$AQ$2,0))</f>
        <v>12</v>
      </c>
      <c r="E147" s="2544"/>
      <c r="F147" s="2545"/>
      <c r="G147" s="2546"/>
      <c r="H147" s="228"/>
      <c r="I147" s="228"/>
      <c r="J147" s="228"/>
      <c r="K147" s="118"/>
      <c r="L147" s="118"/>
      <c r="M147" s="118"/>
      <c r="N147" s="102"/>
      <c r="O147" s="102"/>
      <c r="P147" s="102"/>
      <c r="Q147" s="102"/>
      <c r="R147" s="118"/>
      <c r="S147" s="118"/>
      <c r="T147" s="118"/>
      <c r="U147" s="118"/>
      <c r="V147" s="118"/>
    </row>
    <row r="148" outlineLevel="1">
      <c r="A148" s="324" t="s">
        <v>260</v>
      </c>
      <c r="B148" s="109"/>
      <c r="C148" s="325" t="s">
        <v>261</v>
      </c>
      <c r="D148" s="325" t="s">
        <v>49</v>
      </c>
      <c r="E148" s="2544"/>
      <c r="F148" s="2545"/>
      <c r="G148" s="2546"/>
      <c r="H148" s="228"/>
      <c r="I148" s="228"/>
      <c r="J148" s="228"/>
      <c r="K148" s="118"/>
      <c r="L148" s="118"/>
      <c r="M148" s="118"/>
      <c r="N148" s="102"/>
      <c r="O148" s="102"/>
      <c r="P148" s="102"/>
      <c r="Q148" s="102"/>
      <c r="R148" s="118"/>
      <c r="S148" s="118"/>
      <c r="T148" s="118"/>
      <c r="U148" s="118"/>
      <c r="V148" s="118"/>
    </row>
    <row r="149" outlineLevel="1">
      <c r="A149" s="326" t="s">
        <v>262</v>
      </c>
      <c r="B149" s="327" t="s">
        <v>226</v>
      </c>
      <c r="C149" s="328" t="str">
        <f t="array" ref="C149">INDEX('アイテム'!$G$3:$H$114, MATCH($A$1,'アイテム'!$A$3:$A$114,0), MATCH(C144,'アイテム'!$C$2:$AQ$2,0))</f>
        <v>10</v>
      </c>
      <c r="D149" s="328">
        <f t="array" ref="D149">INDEX('アイテム'!$G$3:$H$114, MATCH($A$1,'アイテム'!$A$3:$A$114,0), MATCH(D144,'アイテム'!$C$2:$AQ$2,0))</f>
        <v>24</v>
      </c>
      <c r="E149" s="2544"/>
      <c r="F149" s="2545"/>
      <c r="G149" s="2546"/>
      <c r="H149" s="228"/>
      <c r="I149" s="228"/>
      <c r="J149" s="228"/>
      <c r="K149" s="118"/>
      <c r="L149" s="118"/>
      <c r="M149" s="118"/>
      <c r="N149" s="102"/>
      <c r="O149" s="102"/>
      <c r="P149" s="102"/>
      <c r="Q149" s="102"/>
      <c r="R149" s="118"/>
      <c r="S149" s="118"/>
      <c r="T149" s="118"/>
      <c r="U149" s="118"/>
      <c r="V149" s="118"/>
    </row>
    <row r="150" outlineLevel="1">
      <c r="A150" s="146"/>
      <c r="B150" s="327" t="s">
        <v>229</v>
      </c>
      <c r="C150" s="328" t="str">
        <f t="array" ref="C150">INDEX('アイテム'!$I$3:$J$114, MATCH($A$1,'アイテム'!$A$3:$A$114,0), MATCH(C144,'アイテム'!$C$2:$AQ$2,0))</f>
        <v>13</v>
      </c>
      <c r="D150" s="328">
        <f t="array" ref="D150">INDEX('アイテム'!$I$3:$J$114, MATCH($A$1,'アイテム'!$A$3:$A$114,0), MATCH(D144,'アイテム'!$C$2:$AQ$2,0))</f>
        <v>24</v>
      </c>
      <c r="E150" s="2544"/>
      <c r="F150" s="2545"/>
      <c r="G150" s="2546"/>
      <c r="H150" s="228"/>
      <c r="I150" s="228"/>
      <c r="J150" s="228"/>
      <c r="K150" s="118"/>
      <c r="L150" s="118"/>
      <c r="M150" s="118"/>
      <c r="N150" s="102"/>
      <c r="O150" s="102"/>
      <c r="P150" s="102"/>
      <c r="Q150" s="102"/>
      <c r="R150" s="118"/>
      <c r="S150" s="118"/>
      <c r="T150" s="118"/>
      <c r="U150" s="118"/>
      <c r="V150" s="118"/>
    </row>
    <row r="151" outlineLevel="1">
      <c r="A151" s="146"/>
      <c r="B151" s="327" t="s">
        <v>233</v>
      </c>
      <c r="C151" s="328" t="str">
        <f t="array" ref="C151">INDEX('アイテム'!$K$3:$L$114, MATCH($A$1,'アイテム'!$A$3:$A$114,0), MATCH(C144,'アイテム'!$C$2:$AQ$2,0))</f>
        <v>17</v>
      </c>
      <c r="D151" s="328">
        <f t="array" ref="D151">INDEX('アイテム'!$K$3:$L$114, MATCH($A$1,'アイテム'!$A$3:$A$114,0), MATCH(D144,'アイテム'!$C$2:$AQ$2,0))</f>
        <v>23</v>
      </c>
      <c r="E151" s="2544"/>
      <c r="F151" s="2545"/>
      <c r="G151" s="2546"/>
      <c r="H151" s="228"/>
      <c r="I151" s="228"/>
      <c r="J151" s="228"/>
      <c r="K151" s="118"/>
      <c r="L151" s="118"/>
      <c r="M151" s="118"/>
      <c r="N151" s="102"/>
      <c r="O151" s="102"/>
      <c r="P151" s="102"/>
      <c r="Q151" s="102"/>
      <c r="R151" s="118"/>
      <c r="S151" s="118"/>
      <c r="T151" s="118"/>
      <c r="U151" s="118"/>
      <c r="V151" s="118"/>
    </row>
    <row r="152" outlineLevel="1">
      <c r="A152" s="146"/>
      <c r="B152" s="327" t="s">
        <v>234</v>
      </c>
      <c r="C152" s="328" t="str">
        <f t="array" ref="C152">INDEX('アイテム'!$M$3:$N$114, MATCH($A$1,'アイテム'!$A$3:$A$114,0), MATCH(C144,'アイテム'!$C$2:$AQ$2,0))</f>
        <v>8</v>
      </c>
      <c r="D152" s="328">
        <f t="array" ref="D152">INDEX('アイテム'!$M$3:$N$114, MATCH($A$1,'アイテム'!$A$3:$A$114,0), MATCH(D144,'アイテム'!$C$2:$AQ$2,0))</f>
        <v>19</v>
      </c>
      <c r="E152" s="2544"/>
      <c r="F152" s="2545"/>
      <c r="G152" s="2546"/>
      <c r="H152" s="228"/>
      <c r="I152" s="228"/>
      <c r="J152" s="228"/>
      <c r="K152" s="118"/>
      <c r="L152" s="118"/>
      <c r="M152" s="118"/>
      <c r="N152" s="102"/>
      <c r="O152" s="102"/>
      <c r="P152" s="102"/>
      <c r="Q152" s="102"/>
      <c r="R152" s="118"/>
      <c r="S152" s="118"/>
      <c r="T152" s="118"/>
      <c r="U152" s="118"/>
      <c r="V152" s="118"/>
    </row>
    <row r="153" outlineLevel="1">
      <c r="A153" s="146"/>
      <c r="B153" s="327" t="s">
        <v>219</v>
      </c>
      <c r="C153" s="328" t="str">
        <f t="array" ref="C153">INDEX('アイテム'!$O$3:$P$114, MATCH($A$1,'アイテム'!$A$3:$A$114,0), MATCH(C144,'アイテム'!$C$2:$AQ$2,0))</f>
        <v>7</v>
      </c>
      <c r="D153" s="328">
        <f t="array" ref="D153">INDEX('アイテム'!$O$3:$P$114, MATCH($A$1,'アイテム'!$A$3:$A$114,0), MATCH(D144,'アイテム'!$C$2:$AQ$2,0))</f>
        <v>29</v>
      </c>
      <c r="E153" s="2544"/>
      <c r="F153" s="2545"/>
      <c r="G153" s="2546"/>
      <c r="H153" s="228"/>
      <c r="I153" s="228"/>
      <c r="J153" s="228"/>
      <c r="K153" s="118"/>
      <c r="L153" s="118"/>
      <c r="M153" s="118"/>
      <c r="N153" s="102"/>
      <c r="O153" s="102"/>
      <c r="P153" s="102"/>
      <c r="Q153" s="102"/>
      <c r="R153" s="118"/>
      <c r="S153" s="118"/>
      <c r="T153" s="118"/>
      <c r="U153" s="118"/>
      <c r="V153" s="118"/>
    </row>
    <row r="154" outlineLevel="1">
      <c r="A154" s="156"/>
      <c r="B154" s="327" t="s">
        <v>263</v>
      </c>
      <c r="C154" s="328" t="str">
        <f t="array" ref="C154">INDEX('アイテム'!$Q$3:$R$114, MATCH($A$1,'アイテム'!$A$3:$A$114,0), MATCH(C144,'アイテム'!$C$2:$AQ$2,0))</f>
        <v>6</v>
      </c>
      <c r="D154" s="328">
        <f t="array" ref="D154">INDEX('アイテム'!$Q$3:$R$114, MATCH($A$1,'アイテム'!$A$3:$A$114,0), MATCH(D144,'アイテム'!$C$2:$AQ$2,0))</f>
        <v>23</v>
      </c>
      <c r="E154" s="2544"/>
      <c r="F154" s="2545"/>
      <c r="G154" s="2546"/>
      <c r="H154" s="228"/>
      <c r="I154" s="228"/>
      <c r="J154" s="228"/>
      <c r="K154" s="118"/>
      <c r="L154" s="118"/>
      <c r="M154" s="118"/>
      <c r="N154" s="102"/>
      <c r="O154" s="102"/>
      <c r="P154" s="102"/>
      <c r="Q154" s="102"/>
      <c r="R154" s="118"/>
      <c r="S154" s="118"/>
      <c r="T154" s="118"/>
      <c r="U154" s="118"/>
      <c r="V154" s="118"/>
    </row>
    <row r="155" outlineLevel="1">
      <c r="A155" s="326" t="s">
        <v>264</v>
      </c>
      <c r="B155" s="327" t="s">
        <v>226</v>
      </c>
      <c r="C155" s="328" t="str">
        <f t="array" ref="C155">INDEX('アイテム'!$S$3:$T$114, MATCH($A$1,'アイテム'!$A$3:$A$114,0), MATCH(C144,'アイテム'!$C$2:$AQ$2,0))</f>
        <v>10</v>
      </c>
      <c r="D155" s="328">
        <f t="array" ref="D155">INDEX('アイテム'!$S$3:$T$114, MATCH($A$1,'アイテム'!$A$3:$A$114,0), MATCH(D144,'アイテム'!$C$2:$AQ$2,0))</f>
        <v>24</v>
      </c>
      <c r="E155" s="2544"/>
      <c r="F155" s="2545"/>
      <c r="G155" s="2546"/>
      <c r="H155" s="228"/>
      <c r="I155" s="228"/>
      <c r="J155" s="228"/>
      <c r="K155" s="118"/>
      <c r="L155" s="118"/>
      <c r="M155" s="118"/>
      <c r="N155" s="102"/>
      <c r="O155" s="102"/>
      <c r="P155" s="102"/>
      <c r="Q155" s="102"/>
      <c r="R155" s="118"/>
      <c r="S155" s="118"/>
      <c r="T155" s="118"/>
      <c r="U155" s="118"/>
      <c r="V155" s="118"/>
    </row>
    <row r="156" outlineLevel="1">
      <c r="A156" s="146"/>
      <c r="B156" s="327" t="s">
        <v>229</v>
      </c>
      <c r="C156" s="328" t="str">
        <f t="array" ref="C156">INDEX('アイテム'!$U$3:$V$114, MATCH($A$1,'アイテム'!$A$3:$A$114,0), MATCH(C144,'アイテム'!$C$2:$AQ$2,0))</f>
        <v>13</v>
      </c>
      <c r="D156" s="328">
        <f t="array" ref="D156">INDEX('アイテム'!$U$3:$V$114, MATCH($A$1,'アイテム'!$A$3:$A$114,0), MATCH(D144,'アイテム'!$C$2:$AQ$2,0))</f>
        <v>24</v>
      </c>
      <c r="E156" s="2544"/>
      <c r="F156" s="2545"/>
      <c r="G156" s="2546"/>
      <c r="H156" s="228"/>
      <c r="I156" s="228"/>
      <c r="J156" s="228"/>
      <c r="K156" s="118"/>
      <c r="L156" s="118"/>
      <c r="M156" s="118"/>
      <c r="N156" s="102"/>
      <c r="O156" s="102"/>
      <c r="P156" s="102"/>
      <c r="Q156" s="102"/>
      <c r="R156" s="118"/>
      <c r="S156" s="118"/>
      <c r="T156" s="118"/>
      <c r="U156" s="118"/>
      <c r="V156" s="118"/>
    </row>
    <row r="157" outlineLevel="1">
      <c r="A157" s="146"/>
      <c r="B157" s="327" t="s">
        <v>233</v>
      </c>
      <c r="C157" s="328" t="str">
        <f t="array" ref="C157">INDEX('アイテム'!$W$3:$X$114, MATCH($A$1,'アイテム'!$A$3:$A$114,0), MATCH(C144,'アイテム'!$C$2:$AQ$2,0))</f>
        <v>17</v>
      </c>
      <c r="D157" s="328">
        <f t="array" ref="D157">INDEX('アイテム'!$W$3:$X$114, MATCH($A$1,'アイテム'!$A$3:$A$114,0), MATCH(D144,'アイテム'!$C$2:$AQ$2,0))</f>
        <v>23</v>
      </c>
      <c r="E157" s="2544"/>
      <c r="F157" s="2545"/>
      <c r="G157" s="2546"/>
      <c r="H157" s="228"/>
      <c r="I157" s="228"/>
      <c r="J157" s="228"/>
      <c r="K157" s="118"/>
      <c r="L157" s="118"/>
      <c r="M157" s="118"/>
      <c r="N157" s="102"/>
      <c r="O157" s="102"/>
      <c r="P157" s="102"/>
      <c r="Q157" s="102"/>
      <c r="R157" s="118"/>
      <c r="S157" s="118"/>
      <c r="T157" s="118"/>
      <c r="U157" s="118"/>
      <c r="V157" s="118"/>
    </row>
    <row r="158" outlineLevel="1">
      <c r="A158" s="156"/>
      <c r="B158" s="327" t="s">
        <v>234</v>
      </c>
      <c r="C158" s="328" t="str">
        <f t="array" ref="C158">INDEX('アイテム'!$Y$3:$Z$114, MATCH($A$1,'アイテム'!$A$3:$A$114,0), MATCH(C144,'アイテム'!$C$2:$AQ$2,0))</f>
        <v>8</v>
      </c>
      <c r="D158" s="328">
        <f t="array" ref="D158">INDEX('アイテム'!$Y$3:$Z$114, MATCH($A$1,'アイテム'!$A$3:$A$114,0), MATCH(D144,'アイテム'!$C$2:$AQ$2,0))</f>
        <v>19</v>
      </c>
      <c r="E158" s="2544"/>
      <c r="F158" s="2545"/>
      <c r="G158" s="2546"/>
      <c r="H158" s="228"/>
      <c r="I158" s="228"/>
      <c r="J158" s="228"/>
      <c r="K158" s="118"/>
      <c r="L158" s="118"/>
      <c r="M158" s="118"/>
      <c r="N158" s="102"/>
      <c r="O158" s="102"/>
      <c r="P158" s="102"/>
      <c r="Q158" s="102"/>
      <c r="R158" s="118"/>
      <c r="S158" s="118"/>
      <c r="T158" s="118"/>
      <c r="U158" s="118"/>
      <c r="V158" s="118"/>
    </row>
    <row r="159" outlineLevel="1">
      <c r="A159" s="326" t="s">
        <v>265</v>
      </c>
      <c r="B159" s="327" t="s">
        <v>226</v>
      </c>
      <c r="C159" s="328">
        <f t="array" ref="C159">INDEX('アイテム'!$AC$3:$AD$114, MATCH($A$1,'アイテム'!$A$3:$A$114,0), MATCH(C144,'アイテム'!$C$2:$AQ$2,0))</f>
        <v>14</v>
      </c>
      <c r="D159" s="328" t="str">
        <f t="array" ref="D159">INDEX('アイテム'!$AC$3:$AD$114, MATCH($A$1,'アイテム'!$A$3:$A$114,0), MATCH(D144,'アイテム'!$C$2:$AQ$2,0))</f>
        <v>30</v>
      </c>
      <c r="E159" s="2544"/>
      <c r="F159" s="2545"/>
      <c r="G159" s="2546"/>
      <c r="H159" s="228"/>
      <c r="I159" s="228"/>
      <c r="J159" s="228"/>
      <c r="K159" s="118"/>
      <c r="L159" s="118"/>
      <c r="M159" s="118"/>
      <c r="N159" s="102"/>
      <c r="O159" s="102"/>
      <c r="P159" s="102"/>
      <c r="Q159" s="102"/>
      <c r="R159" s="118"/>
      <c r="S159" s="118"/>
      <c r="T159" s="118"/>
      <c r="U159" s="118"/>
      <c r="V159" s="118"/>
    </row>
    <row r="160" outlineLevel="1">
      <c r="A160" s="146"/>
      <c r="B160" s="327" t="s">
        <v>229</v>
      </c>
      <c r="C160" s="328">
        <f t="array" ref="C160">INDEX('アイテム'!$AE$3:$AF$114, MATCH($A$1,'アイテム'!$A$3:$A$114,0), MATCH(C144,'アイテム'!$C$2:$AQ$2,0))</f>
        <v>15</v>
      </c>
      <c r="D160" s="328" t="str">
        <f t="array" ref="D160">INDEX('アイテム'!$AE$3:$AF$114, MATCH($A$1,'アイテム'!$A$3:$A$114,0), MATCH(D144,'アイテム'!$C$2:$AQ$2,0))</f>
        <v>30</v>
      </c>
      <c r="E160" s="2544"/>
      <c r="F160" s="2545"/>
      <c r="G160" s="2546"/>
      <c r="H160" s="228"/>
      <c r="I160" s="228"/>
      <c r="J160" s="228"/>
      <c r="K160" s="118"/>
      <c r="L160" s="118"/>
      <c r="M160" s="118"/>
      <c r="N160" s="102"/>
      <c r="O160" s="102"/>
      <c r="P160" s="102"/>
      <c r="Q160" s="102"/>
      <c r="R160" s="118"/>
      <c r="S160" s="118"/>
      <c r="T160" s="118"/>
      <c r="U160" s="118"/>
      <c r="V160" s="118"/>
    </row>
    <row r="161" outlineLevel="1">
      <c r="A161" s="146"/>
      <c r="B161" s="327" t="s">
        <v>233</v>
      </c>
      <c r="C161" s="328">
        <f t="array" ref="C161">INDEX('アイテム'!$AG$3:$AH$114, MATCH($A$1,'アイテム'!$A$3:$A$114,0), MATCH(C144,'アイテム'!$C$2:$AQ$2,0))</f>
        <v>11</v>
      </c>
      <c r="D161" s="328" t="str">
        <f t="array" ref="D161">INDEX('アイテム'!$AG$3:$AH$114, MATCH($A$1,'アイテム'!$A$3:$A$114,0), MATCH(D144,'アイテム'!$C$2:$AQ$2,0))</f>
        <v>22</v>
      </c>
      <c r="E161" s="2544"/>
      <c r="F161" s="2545"/>
      <c r="G161" s="2546"/>
      <c r="H161" s="228"/>
      <c r="I161" s="228"/>
      <c r="J161" s="228"/>
      <c r="K161" s="118"/>
      <c r="L161" s="118"/>
      <c r="M161" s="118"/>
      <c r="N161" s="102"/>
      <c r="O161" s="102"/>
      <c r="P161" s="102"/>
      <c r="Q161" s="102"/>
      <c r="R161" s="118"/>
      <c r="S161" s="118"/>
      <c r="T161" s="118"/>
      <c r="U161" s="118"/>
      <c r="V161" s="118"/>
    </row>
    <row r="162" outlineLevel="1">
      <c r="A162" s="156"/>
      <c r="B162" s="327" t="s">
        <v>234</v>
      </c>
      <c r="C162" s="328">
        <f t="array" ref="C162">INDEX('アイテム'!$AI$3:$AJ$114, MATCH($A$1,'アイテム'!$A$3:$A$114,0), MATCH(C144,'アイテム'!$C$2:$AQ$2,0))</f>
        <v>11</v>
      </c>
      <c r="D162" s="328" t="str">
        <f t="array" ref="D162">INDEX('アイテム'!$AI$3:$AJ$114, MATCH($A$1,'アイテム'!$A$3:$A$114,0), MATCH(D144,'アイテム'!$C$2:$AQ$2,0))</f>
        <v>22</v>
      </c>
      <c r="E162" s="2544"/>
      <c r="F162" s="2545"/>
      <c r="G162" s="2546"/>
      <c r="H162" s="228"/>
      <c r="I162" s="228"/>
      <c r="J162" s="228"/>
      <c r="K162" s="118"/>
      <c r="L162" s="118"/>
      <c r="M162" s="118"/>
      <c r="N162" s="102"/>
      <c r="O162" s="102"/>
      <c r="P162" s="102"/>
      <c r="Q162" s="102"/>
      <c r="R162" s="118"/>
      <c r="S162" s="118"/>
      <c r="T162" s="118"/>
      <c r="U162" s="118"/>
      <c r="V162" s="118"/>
    </row>
  </sheetData>
  <mergeCells count="152">
    <mergeCell ref="H32:J33"/>
    <mergeCell ref="H34:J36"/>
    <mergeCell ref="H37:J39"/>
    <mergeCell ref="H26:J26"/>
    <mergeCell ref="H27:J27"/>
    <mergeCell ref="H28:J28"/>
    <mergeCell ref="H29:J30"/>
    <mergeCell ref="U29:U30"/>
    <mergeCell ref="H31:J31"/>
    <mergeCell ref="U32:U33"/>
    <mergeCell ref="U34:U36"/>
    <mergeCell ref="U37:U39"/>
    <mergeCell ref="U40:U45"/>
    <mergeCell ref="U46:U47"/>
    <mergeCell ref="R51:V51"/>
    <mergeCell ref="R52:V53"/>
    <mergeCell ref="R54:V56"/>
    <mergeCell ref="U83:U87"/>
    <mergeCell ref="V83:V87"/>
    <mergeCell ref="R57:V57"/>
    <mergeCell ref="R58:V59"/>
    <mergeCell ref="R60:V61"/>
    <mergeCell ref="U65:U74"/>
    <mergeCell ref="V65:V74"/>
    <mergeCell ref="U76:U79"/>
    <mergeCell ref="V76:V79"/>
    <mergeCell ref="I58:I59"/>
    <mergeCell ref="J58:J59"/>
    <mergeCell ref="I60:I61"/>
    <mergeCell ref="J60:J61"/>
    <mergeCell ref="H64:J64"/>
    <mergeCell ref="H65:J74"/>
    <mergeCell ref="H75:J75"/>
    <mergeCell ref="H76:J79"/>
    <mergeCell ref="H80:J80"/>
    <mergeCell ref="H81:J81"/>
    <mergeCell ref="H82:J82"/>
    <mergeCell ref="H83:J83"/>
    <mergeCell ref="H84:J85"/>
    <mergeCell ref="H86:J87"/>
    <mergeCell ref="C133:C134"/>
    <mergeCell ref="C140:C141"/>
    <mergeCell ref="D140:D141"/>
    <mergeCell ref="A95:B95"/>
    <mergeCell ref="A105:B106"/>
    <mergeCell ref="A107:A109"/>
    <mergeCell ref="A110:A111"/>
    <mergeCell ref="A113:B114"/>
    <mergeCell ref="A115:A119"/>
    <mergeCell ref="C127:C128"/>
    <mergeCell ref="A149:A154"/>
    <mergeCell ref="A155:A158"/>
    <mergeCell ref="A159:A162"/>
    <mergeCell ref="A123:A128"/>
    <mergeCell ref="A129:A134"/>
    <mergeCell ref="A135:A141"/>
    <mergeCell ref="A143:B143"/>
    <mergeCell ref="A144:B144"/>
    <mergeCell ref="A145:A146"/>
    <mergeCell ref="A148:B148"/>
    <mergeCell ref="A24:B25"/>
    <mergeCell ref="A26:A28"/>
    <mergeCell ref="A29:A30"/>
    <mergeCell ref="D29:D30"/>
    <mergeCell ref="A32:A33"/>
    <mergeCell ref="D32:D33"/>
    <mergeCell ref="A34:A36"/>
    <mergeCell ref="A37:A39"/>
    <mergeCell ref="C37:C39"/>
    <mergeCell ref="D37:D39"/>
    <mergeCell ref="A40:A45"/>
    <mergeCell ref="D40:D45"/>
    <mergeCell ref="A46:A47"/>
    <mergeCell ref="D46:D47"/>
    <mergeCell ref="A54:A56"/>
    <mergeCell ref="D54:D56"/>
    <mergeCell ref="A58:A59"/>
    <mergeCell ref="D58:D59"/>
    <mergeCell ref="D60:D61"/>
    <mergeCell ref="A63:B63"/>
    <mergeCell ref="A64:B64"/>
    <mergeCell ref="A83:A87"/>
    <mergeCell ref="A92:A94"/>
    <mergeCell ref="A96:A97"/>
    <mergeCell ref="A98:A99"/>
    <mergeCell ref="A100:A101"/>
    <mergeCell ref="A102:A103"/>
    <mergeCell ref="D76:D78"/>
    <mergeCell ref="D96:D97"/>
    <mergeCell ref="D98:D99"/>
    <mergeCell ref="D100:D101"/>
    <mergeCell ref="D102:D103"/>
    <mergeCell ref="D127:D128"/>
    <mergeCell ref="D66:D67"/>
    <mergeCell ref="C69:C70"/>
    <mergeCell ref="D69:D70"/>
    <mergeCell ref="C71:C72"/>
    <mergeCell ref="D71:D72"/>
    <mergeCell ref="C73:C74"/>
    <mergeCell ref="D73:D74"/>
    <mergeCell ref="A60:A61"/>
    <mergeCell ref="A65:A74"/>
    <mergeCell ref="A75:B75"/>
    <mergeCell ref="A76:A79"/>
    <mergeCell ref="A80:B80"/>
    <mergeCell ref="A82:B82"/>
    <mergeCell ref="A89:B90"/>
    <mergeCell ref="K134:L134"/>
    <mergeCell ref="K137:L137"/>
    <mergeCell ref="K115:K116"/>
    <mergeCell ref="K118:K123"/>
    <mergeCell ref="A120:A122"/>
    <mergeCell ref="K124:K127"/>
    <mergeCell ref="K128:L128"/>
    <mergeCell ref="K130:K133"/>
    <mergeCell ref="D133:D134"/>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D34:D36"/>
    <mergeCell ref="C35:C36"/>
    <mergeCell ref="A50:B51"/>
    <mergeCell ref="A52:A53"/>
    <mergeCell ref="D52:D53"/>
    <mergeCell ref="H40:J45"/>
    <mergeCell ref="H46:J47"/>
    <mergeCell ref="H48:J48"/>
    <mergeCell ref="I52:I53"/>
    <mergeCell ref="J52:J53"/>
    <mergeCell ref="I54:I56"/>
    <mergeCell ref="J54:J56"/>
    <mergeCell ref="G95:J95"/>
    <mergeCell ref="G96:J97"/>
    <mergeCell ref="G98:J99"/>
    <mergeCell ref="G100:J101"/>
    <mergeCell ref="G102:J103"/>
    <mergeCell ref="K114:L114"/>
    <mergeCell ref="K117:L117"/>
  </mergeCells>
  <conditionalFormatting sqref="K1:K15 K17:K47 K49:K66 K69 K75:K78 K80:K82 K84:K138">
    <cfRule type="containsText" dxfId="0" priority="1" operator="containsText" text="361">
      <formula>NOT(ISERROR(SEARCH(("361"),(K1))))</formula>
    </cfRule>
  </conditionalFormatting>
  <conditionalFormatting sqref="K1:K15 K17:K47 K49:K66 K69 K75:K78 K80:K82 K84:K138">
    <cfRule type="containsText" dxfId="1" priority="2" operator="containsText" text="363">
      <formula>NOT(ISERROR(SEARCH(("363"),(K1))))</formula>
    </cfRule>
  </conditionalFormatting>
  <conditionalFormatting sqref="K1:K15 K17:K47 K49:K66 K69 K75:K78 K80:K82 K84:K138">
    <cfRule type="containsText" dxfId="1" priority="3" operator="containsText" text="365">
      <formula>NOT(ISERROR(SEARCH(("365"),(K1))))</formula>
    </cfRule>
  </conditionalFormatting>
  <conditionalFormatting sqref="K1:K15 K17:K47 K49:K66 K69 K75:K78 K80:K82 K84:K138">
    <cfRule type="containsText" dxfId="1" priority="4" operator="containsText" text="366">
      <formula>NOT(ISERROR(SEARCH(("366"),(K1))))</formula>
    </cfRule>
  </conditionalFormatting>
  <conditionalFormatting sqref="K1:K15 K17:K47 K49:K66 K69 K75:K78 K80:K82 K84:K138">
    <cfRule type="containsText" dxfId="1" priority="5" operator="containsText" text="367">
      <formula>NOT(ISERROR(SEARCH(("367"),(K1))))</formula>
    </cfRule>
  </conditionalFormatting>
  <conditionalFormatting sqref="P96:P103">
    <cfRule type="cellIs" dxfId="2" priority="6" operator="equal">
      <formula>"敵のみ"</formula>
    </cfRule>
  </conditionalFormatting>
  <conditionalFormatting sqref="C96:C103 K96:Q96 E98:F98 K98:Q98 E100:F100 K100:Q100 E102:F102 K102:Q102">
    <cfRule type="cellIs" dxfId="3" priority="7" operator="equal">
      <formula>"-"</formula>
    </cfRule>
  </conditionalFormatting>
  <conditionalFormatting sqref="O1:O47 O49:O66 O69 O75:O78 O80:O82 O84:O162 P103">
    <cfRule type="cellIs" dxfId="4" priority="8" operator="greaterThan">
      <formula>0</formula>
    </cfRule>
  </conditionalFormatting>
  <conditionalFormatting sqref="P1:Q47 P49:Q66 P69:Q69 P75:Q78 P80:Q82 P84:Q162">
    <cfRule type="cellIs" dxfId="5" priority="9" operator="lessThan">
      <formula>1</formula>
    </cfRule>
  </conditionalFormatting>
  <conditionalFormatting sqref="P1:Q47 P49:Q66 P69:Q69 P75:Q78 P80:Q82 P84:Q162">
    <cfRule type="cellIs" dxfId="4" priority="10" operator="greaterThan">
      <formula>1</formula>
    </cfRule>
  </conditionalFormatting>
  <conditionalFormatting sqref="N25:N47 N49:N66 N69 N75:N78 N80:N82 N84:N103">
    <cfRule type="cellIs" dxfId="6" priority="11" operator="greaterThan">
      <formula>0</formula>
    </cfRule>
  </conditionalFormatting>
  <conditionalFormatting sqref="N1:N15 N17:N47 N49:N66 N69 N75:N78 N80:N82 N84:N162">
    <cfRule type="containsText" dxfId="6" priority="12" operator="containsText" text="/">
      <formula>NOT(ISERROR(SEARCH(("/"),(N1))))</formula>
    </cfRule>
  </conditionalFormatting>
  <drawing r:id="rId2"/>
  <legacyDrawing r:id="rId3"/>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DC45"/>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3051">
        <v>68.0</v>
      </c>
      <c r="B1" s="3052"/>
      <c r="C1" s="3053" t="str">
        <f>IMAGE(VLOOKUP($A$1,Fighters!A2:AI114,12,FALSE),1)</f>
        <v>#REF!</v>
      </c>
      <c r="D1" s="3054"/>
      <c r="E1" s="3054"/>
      <c r="F1" s="3054"/>
      <c r="G1" s="3055"/>
      <c r="H1" s="3056"/>
      <c r="I1" s="3054"/>
      <c r="J1" s="3055"/>
      <c r="K1" s="3057"/>
      <c r="L1" s="3054"/>
      <c r="M1" s="3055"/>
      <c r="N1" s="3058"/>
      <c r="O1" s="3058"/>
      <c r="P1" s="3058"/>
      <c r="Q1" s="3058"/>
      <c r="R1" s="3059"/>
      <c r="S1" s="3059"/>
      <c r="T1" s="3059"/>
      <c r="U1" s="3059"/>
      <c r="V1" s="3059"/>
    </row>
    <row r="2">
      <c r="A2" s="3060" t="str">
        <f>VLOOKUP($A$1,Fighters!$A$2:$AI$81,6,FALSE)</f>
        <v>#ffdc45</v>
      </c>
      <c r="B2" s="3052"/>
      <c r="C2" s="3061"/>
      <c r="G2" s="3062"/>
      <c r="H2" s="3063"/>
      <c r="I2" s="3064"/>
      <c r="J2" s="3065"/>
      <c r="K2" s="3063"/>
      <c r="L2" s="3064"/>
      <c r="M2" s="3065"/>
      <c r="N2" s="3058"/>
      <c r="O2" s="3058"/>
      <c r="P2" s="3058"/>
      <c r="Q2" s="3058"/>
      <c r="R2" s="3059"/>
      <c r="S2" s="3059"/>
      <c r="T2" s="3059"/>
      <c r="U2" s="3059"/>
      <c r="V2" s="3059"/>
    </row>
    <row r="3">
      <c r="A3" s="3060" t="str">
        <f>VLOOKUP($A$1,Fighters!$A$2:$AI$81,14,FALSE)</f>
        <v>68. しずえ</v>
      </c>
      <c r="B3" s="3052"/>
      <c r="C3" s="3061"/>
      <c r="G3" s="3062"/>
      <c r="H3" s="3066"/>
      <c r="I3" s="3066"/>
      <c r="J3" s="3066"/>
      <c r="K3" s="3067"/>
      <c r="L3" s="3067"/>
      <c r="M3" s="3067"/>
      <c r="N3" s="3058"/>
      <c r="O3" s="3058"/>
      <c r="P3" s="3058"/>
      <c r="Q3" s="3058"/>
      <c r="R3" s="3068"/>
      <c r="S3" s="3059"/>
      <c r="T3" s="3059"/>
      <c r="U3" s="3059"/>
      <c r="V3" s="3059"/>
    </row>
    <row r="4">
      <c r="A4" s="3060" t="str">
        <f>VLOOKUP($A$1,Fighters!$A$2:$AI$81,13,FALSE)</f>
        <v>0</v>
      </c>
      <c r="B4" s="3052"/>
      <c r="C4" s="3061"/>
      <c r="G4" s="3062"/>
      <c r="H4" s="3069"/>
      <c r="I4" s="3069"/>
      <c r="J4" s="3066"/>
      <c r="K4" s="3067"/>
      <c r="L4" s="3067"/>
      <c r="M4" s="3067"/>
      <c r="N4" s="3058"/>
      <c r="O4" s="3058"/>
      <c r="P4" s="3058"/>
      <c r="Q4" s="3058"/>
      <c r="R4" s="3068"/>
      <c r="S4" s="3059"/>
      <c r="T4" s="3059"/>
      <c r="U4" s="3059"/>
      <c r="V4" s="3059"/>
    </row>
    <row r="5" ht="16.5" customHeight="1">
      <c r="A5" s="3051"/>
      <c r="B5" s="3052"/>
      <c r="C5" s="3061"/>
      <c r="G5" s="3062"/>
      <c r="H5" s="3070"/>
      <c r="I5" s="3070"/>
      <c r="J5" s="3071"/>
      <c r="K5" s="3072"/>
      <c r="L5" s="3073"/>
      <c r="M5" s="3073"/>
      <c r="N5" s="3058"/>
      <c r="O5" s="3058"/>
      <c r="P5" s="3058"/>
      <c r="Q5" s="3058"/>
      <c r="R5" s="3068"/>
      <c r="S5" s="3059"/>
      <c r="T5" s="3059"/>
      <c r="U5" s="3059"/>
      <c r="V5" s="3059"/>
    </row>
    <row r="6">
      <c r="A6" s="3052"/>
      <c r="B6" s="3052"/>
      <c r="C6" s="3061"/>
      <c r="G6" s="3062"/>
      <c r="H6" s="3069"/>
      <c r="I6" s="3074" t="s">
        <v>39</v>
      </c>
      <c r="J6" s="3072"/>
      <c r="K6" s="3075"/>
      <c r="L6" s="3073"/>
      <c r="M6" s="3073"/>
      <c r="N6" s="3058"/>
      <c r="O6" s="3058"/>
      <c r="P6" s="3058"/>
      <c r="Q6" s="3058"/>
      <c r="R6" s="3068"/>
      <c r="S6" s="3059"/>
      <c r="T6" s="3059"/>
      <c r="U6" s="3059"/>
      <c r="V6" s="3059"/>
    </row>
    <row r="7">
      <c r="A7" s="3052"/>
      <c r="B7" s="3052"/>
      <c r="C7" s="3061"/>
      <c r="G7" s="3062"/>
      <c r="H7" s="3070"/>
      <c r="I7" s="3070"/>
      <c r="J7" s="3072"/>
      <c r="K7" s="3075"/>
      <c r="L7" s="3073"/>
      <c r="M7" s="3073"/>
      <c r="N7" s="3058"/>
      <c r="O7" s="3058"/>
      <c r="P7" s="3058"/>
      <c r="Q7" s="3058"/>
      <c r="R7" s="3068"/>
      <c r="S7" s="3059"/>
      <c r="T7" s="3059"/>
      <c r="U7" s="3059"/>
      <c r="V7" s="3059"/>
    </row>
    <row r="8">
      <c r="A8" s="3052"/>
      <c r="B8" s="3052"/>
      <c r="C8" s="3061"/>
      <c r="G8" s="3062"/>
      <c r="H8" s="3076">
        <v>44488.45686226852</v>
      </c>
      <c r="I8" s="3054"/>
      <c r="J8" s="3055"/>
      <c r="K8" s="3072"/>
      <c r="L8" s="3073"/>
      <c r="M8" s="3073"/>
      <c r="N8" s="3058"/>
      <c r="O8" s="3058"/>
      <c r="P8" s="3058"/>
      <c r="Q8" s="3058"/>
      <c r="R8" s="3068"/>
      <c r="S8" s="3059"/>
      <c r="T8" s="3059"/>
      <c r="U8" s="3059"/>
      <c r="V8" s="3059"/>
    </row>
    <row r="9">
      <c r="A9" s="3052"/>
      <c r="B9" s="3052"/>
      <c r="C9" s="3061"/>
      <c r="G9" s="3062"/>
      <c r="H9" s="3063"/>
      <c r="I9" s="3064"/>
      <c r="J9" s="3065"/>
      <c r="K9" s="3059"/>
      <c r="L9" s="3058"/>
      <c r="M9" s="3058"/>
      <c r="N9" s="3058"/>
      <c r="O9" s="3058"/>
      <c r="P9" s="3058"/>
      <c r="Q9" s="3058"/>
      <c r="R9" s="3068"/>
      <c r="S9" s="3059"/>
      <c r="T9" s="3059"/>
      <c r="U9" s="3059"/>
      <c r="V9" s="3059"/>
    </row>
    <row r="10">
      <c r="A10" s="3052"/>
      <c r="B10" s="3052"/>
      <c r="C10" s="3061"/>
      <c r="G10" s="3062"/>
      <c r="H10" s="3077"/>
      <c r="I10" s="3077"/>
      <c r="J10" s="3059"/>
      <c r="K10" s="3059"/>
      <c r="L10" s="3058"/>
      <c r="M10" s="3058"/>
      <c r="N10" s="3058"/>
      <c r="O10" s="3058"/>
      <c r="P10" s="3058"/>
      <c r="Q10" s="3058"/>
      <c r="R10" s="3068"/>
      <c r="S10" s="3059"/>
      <c r="T10" s="3059"/>
      <c r="U10" s="3059"/>
      <c r="V10" s="3059"/>
    </row>
    <row r="11">
      <c r="A11" s="3078" t="s">
        <v>40</v>
      </c>
      <c r="B11" s="3055"/>
      <c r="C11" s="3061"/>
      <c r="G11" s="3062"/>
      <c r="H11" s="3070"/>
      <c r="I11" s="3070"/>
      <c r="J11" s="3059"/>
      <c r="K11" s="3059"/>
      <c r="L11" s="3058"/>
      <c r="M11" s="3058"/>
      <c r="N11" s="3058"/>
      <c r="O11" s="3058"/>
      <c r="P11" s="3058"/>
      <c r="Q11" s="3058"/>
      <c r="R11" s="3068"/>
      <c r="S11" s="3059"/>
      <c r="T11" s="3059"/>
      <c r="U11" s="3059"/>
      <c r="V11" s="3059"/>
    </row>
    <row r="12">
      <c r="A12" s="3063"/>
      <c r="B12" s="3065"/>
      <c r="C12" s="3063"/>
      <c r="D12" s="3064"/>
      <c r="E12" s="3064"/>
      <c r="F12" s="3064"/>
      <c r="G12" s="3065"/>
      <c r="H12" s="3079"/>
      <c r="I12" s="3079"/>
      <c r="J12" s="3052"/>
      <c r="K12" s="3052"/>
      <c r="L12" s="3058"/>
      <c r="M12" s="3058"/>
      <c r="N12" s="3058"/>
      <c r="O12" s="3058"/>
      <c r="P12" s="3058"/>
      <c r="Q12" s="3058"/>
      <c r="R12" s="3068"/>
      <c r="S12" s="3059"/>
      <c r="T12" s="3059"/>
      <c r="U12" s="3059"/>
      <c r="V12" s="305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88 [66th]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42F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1.815 [62nd]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str">
        <f t="array" ref="B18">INDEX('行動フレーム・能力値'!$C$2:$AD$81, MATCH($A$1,'行動フレーム・能力値'!$A$2:$A$95,0), MATCH(A18,'行動フレーム・能力値'!$C$1:$AD$1,0))</f>
        <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1.14 [38th]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58F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32.5 [45th]</v>
      </c>
      <c r="O18" s="99"/>
      <c r="P18" s="99"/>
      <c r="Q18" s="99"/>
      <c r="R18" s="99"/>
      <c r="S18" s="111"/>
      <c r="T18" s="111"/>
      <c r="U18" s="111"/>
      <c r="V18" s="111"/>
    </row>
    <row r="19" outlineLevel="1">
      <c r="A19" s="112" t="str">
        <f>'テンプレート'!A19</f>
        <v>カベジャンプ</v>
      </c>
      <c r="B19" s="113" t="str">
        <f t="array" ref="B19">INDEX('行動フレーム・能力値'!$C$2:$AD$81, MATCH($A$1,'行動フレーム・能力値'!$A$2:$A$95,0), MATCH(A19,'行動フレーム・能力値'!$C$1:$AD$1,0))</f>
        <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1.48 [78th]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29F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0.131 [5th]</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15.69 [49th]</v>
      </c>
      <c r="O19" s="99"/>
      <c r="P19" s="99"/>
      <c r="Q19" s="99"/>
      <c r="R19" s="99"/>
      <c r="S19" s="111"/>
      <c r="T19" s="111"/>
      <c r="U19" s="111"/>
      <c r="V19" s="111"/>
    </row>
    <row r="20" outlineLevel="1">
      <c r="A20" s="112" t="str">
        <f>'テンプレート'!A20</f>
        <v>カベ張りつき</v>
      </c>
      <c r="B20" s="113" t="str">
        <f t="array" ref="B20">INDEX('行動フレーム・能力値'!$C$2:$AD$81, MATCH($A$1,'行動フレーム・能力値'!$A$2:$A$95,0), MATCH(A20,'行動フレーム・能力値'!$C$1:$AD$1,0))</f>
        <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1.02 [51st]</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40F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32.5 [50th]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1.3 [80th]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2.08 [80th]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 [81st]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tr">
        <f>'テンプレート'!A24</f>
        <v>地上攻撃</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tr">
        <f>'テンプレート'!C25</f>
        <v>判定持続</v>
      </c>
      <c r="D25" s="128" t="str">
        <f>'テンプレート'!D25</f>
        <v>全体フレーム</v>
      </c>
      <c r="E25" s="128" t="str">
        <f>'テンプレート'!E25</f>
        <v>基礎ダメージ</v>
      </c>
      <c r="F25" s="129" t="str">
        <f>'テンプレート'!F25</f>
        <v>ダメージ (1v1)</v>
      </c>
      <c r="G25" s="128" t="str">
        <f>'テンプレート'!G25</f>
        <v>ガード硬直</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70" t="str">
        <f>'テンプレート'!A26</f>
        <v>弱攻撃</v>
      </c>
      <c r="B26" s="134" t="s">
        <v>55</v>
      </c>
      <c r="C26" s="701" t="s">
        <v>71</v>
      </c>
      <c r="D26" s="701" t="s">
        <v>5101</v>
      </c>
      <c r="E26" s="139" t="s">
        <v>176</v>
      </c>
      <c r="F26" s="138">
        <v>2.4</v>
      </c>
      <c r="G26" s="139" t="s">
        <v>60</v>
      </c>
      <c r="H26" s="151" t="s">
        <v>5102</v>
      </c>
      <c r="I26" s="110"/>
      <c r="J26" s="109"/>
      <c r="K26" s="138"/>
      <c r="L26" s="282"/>
      <c r="M26" s="363"/>
      <c r="N26" s="363"/>
      <c r="O26" s="145">
        <v>0.0</v>
      </c>
      <c r="P26" s="145">
        <v>1.0</v>
      </c>
      <c r="Q26" s="145">
        <v>1.0</v>
      </c>
      <c r="R26" s="100"/>
      <c r="S26" s="100"/>
      <c r="T26" s="100"/>
      <c r="U26" s="145" t="s">
        <v>69</v>
      </c>
      <c r="V26" s="100"/>
    </row>
    <row r="27" outlineLevel="1">
      <c r="A27" s="133" t="s">
        <v>77</v>
      </c>
      <c r="B27" s="160"/>
      <c r="C27" s="450" t="s">
        <v>4589</v>
      </c>
      <c r="D27" s="379" t="s">
        <v>118</v>
      </c>
      <c r="E27" s="467" t="s">
        <v>128</v>
      </c>
      <c r="F27" s="138">
        <v>12.0</v>
      </c>
      <c r="G27" s="162" t="s">
        <v>147</v>
      </c>
      <c r="H27" s="163" t="s">
        <v>5103</v>
      </c>
      <c r="I27" s="164"/>
      <c r="J27" s="104"/>
      <c r="K27" s="138"/>
      <c r="L27" s="282"/>
      <c r="M27" s="363"/>
      <c r="N27" s="363"/>
      <c r="O27" s="145">
        <v>0.0</v>
      </c>
      <c r="P27" s="145">
        <v>1.0</v>
      </c>
      <c r="Q27" s="145">
        <v>1.0</v>
      </c>
      <c r="R27" s="100"/>
      <c r="S27" s="100"/>
      <c r="T27" s="100"/>
      <c r="U27" s="166" t="s">
        <v>69</v>
      </c>
      <c r="V27" s="100"/>
    </row>
    <row r="28" outlineLevel="1">
      <c r="A28" s="156"/>
      <c r="B28" s="147" t="s">
        <v>84</v>
      </c>
      <c r="C28" s="450" t="s">
        <v>5104</v>
      </c>
      <c r="D28" s="107"/>
      <c r="E28" s="467" t="s">
        <v>86</v>
      </c>
      <c r="F28" s="138">
        <v>7.199999999999999</v>
      </c>
      <c r="G28" s="162" t="s">
        <v>60</v>
      </c>
      <c r="H28" s="106"/>
      <c r="I28" s="168"/>
      <c r="J28" s="107"/>
      <c r="K28" s="282"/>
      <c r="L28" s="282"/>
      <c r="M28" s="363"/>
      <c r="N28" s="363"/>
      <c r="O28" s="145">
        <v>0.0</v>
      </c>
      <c r="P28" s="145">
        <v>1.0</v>
      </c>
      <c r="Q28" s="145">
        <v>1.0</v>
      </c>
      <c r="R28" s="100"/>
      <c r="S28" s="100"/>
      <c r="T28" s="100"/>
      <c r="U28" s="156"/>
      <c r="V28" s="100"/>
    </row>
    <row r="29" outlineLevel="1">
      <c r="A29" s="170" t="s">
        <v>89</v>
      </c>
      <c r="B29" s="147"/>
      <c r="C29" s="467" t="s">
        <v>563</v>
      </c>
      <c r="D29" s="467" t="s">
        <v>224</v>
      </c>
      <c r="E29" s="467" t="s">
        <v>274</v>
      </c>
      <c r="F29" s="138">
        <v>10.799999999999999</v>
      </c>
      <c r="G29" s="139" t="s">
        <v>275</v>
      </c>
      <c r="H29" s="151"/>
      <c r="I29" s="110"/>
      <c r="J29" s="109"/>
      <c r="K29" s="138"/>
      <c r="L29" s="282"/>
      <c r="M29" s="363"/>
      <c r="N29" s="363"/>
      <c r="O29" s="145">
        <v>0.0</v>
      </c>
      <c r="P29" s="145">
        <v>1.0</v>
      </c>
      <c r="Q29" s="145">
        <v>1.0</v>
      </c>
      <c r="R29" s="100"/>
      <c r="S29" s="100"/>
      <c r="T29" s="100"/>
      <c r="U29" s="145" t="s">
        <v>96</v>
      </c>
      <c r="V29" s="100"/>
    </row>
    <row r="30" outlineLevel="1">
      <c r="A30" s="170" t="s">
        <v>97</v>
      </c>
      <c r="B30" s="160"/>
      <c r="C30" s="467" t="s">
        <v>3054</v>
      </c>
      <c r="D30" s="467" t="s">
        <v>99</v>
      </c>
      <c r="E30" s="467" t="s">
        <v>80</v>
      </c>
      <c r="F30" s="138">
        <v>9.6</v>
      </c>
      <c r="G30" s="139" t="s">
        <v>123</v>
      </c>
      <c r="H30" s="151"/>
      <c r="I30" s="110"/>
      <c r="J30" s="109"/>
      <c r="K30" s="282"/>
      <c r="L30" s="282"/>
      <c r="M30" s="363"/>
      <c r="N30" s="363"/>
      <c r="O30" s="145">
        <v>0.0</v>
      </c>
      <c r="P30" s="145">
        <v>1.0</v>
      </c>
      <c r="Q30" s="145">
        <v>1.0</v>
      </c>
      <c r="R30" s="100"/>
      <c r="S30" s="100"/>
      <c r="T30" s="100"/>
      <c r="U30" s="145" t="s">
        <v>62</v>
      </c>
      <c r="V30" s="100"/>
    </row>
    <row r="31" outlineLevel="1">
      <c r="A31" s="170" t="s">
        <v>103</v>
      </c>
      <c r="B31" s="160"/>
      <c r="C31" s="467" t="s">
        <v>220</v>
      </c>
      <c r="D31" s="450" t="s">
        <v>271</v>
      </c>
      <c r="E31" s="467" t="s">
        <v>5105</v>
      </c>
      <c r="F31" s="138" t="s">
        <v>5106</v>
      </c>
      <c r="G31" s="139" t="s">
        <v>5107</v>
      </c>
      <c r="H31" s="151"/>
      <c r="I31" s="110"/>
      <c r="J31" s="109"/>
      <c r="K31" s="145"/>
      <c r="L31" s="363"/>
      <c r="M31" s="363"/>
      <c r="N31" s="363"/>
      <c r="O31" s="145">
        <v>0.0</v>
      </c>
      <c r="P31" s="145">
        <v>1.0</v>
      </c>
      <c r="Q31" s="145">
        <v>1.0</v>
      </c>
      <c r="R31" s="100"/>
      <c r="S31" s="100"/>
      <c r="T31" s="100"/>
      <c r="U31" s="145" t="s">
        <v>69</v>
      </c>
      <c r="V31" s="100"/>
    </row>
    <row r="32" outlineLevel="1">
      <c r="A32" s="133" t="s">
        <v>109</v>
      </c>
      <c r="B32" s="147"/>
      <c r="C32" s="450" t="s">
        <v>325</v>
      </c>
      <c r="D32" s="455" t="s">
        <v>146</v>
      </c>
      <c r="E32" s="467" t="s">
        <v>394</v>
      </c>
      <c r="F32" s="138">
        <v>20.4</v>
      </c>
      <c r="G32" s="139" t="s">
        <v>88</v>
      </c>
      <c r="H32" s="163" t="s">
        <v>5108</v>
      </c>
      <c r="I32" s="164"/>
      <c r="J32" s="104"/>
      <c r="K32" s="282"/>
      <c r="L32" s="282"/>
      <c r="M32" s="363"/>
      <c r="N32" s="363"/>
      <c r="O32" s="145">
        <v>0.0</v>
      </c>
      <c r="P32" s="145">
        <v>1.0</v>
      </c>
      <c r="Q32" s="145">
        <v>1.0</v>
      </c>
      <c r="R32" s="100"/>
      <c r="S32" s="100"/>
      <c r="T32" s="100"/>
      <c r="U32" s="166" t="s">
        <v>95</v>
      </c>
      <c r="V32" s="100"/>
    </row>
    <row r="33" outlineLevel="1">
      <c r="A33" s="156"/>
      <c r="B33" s="147" t="s">
        <v>84</v>
      </c>
      <c r="C33" s="450" t="s">
        <v>894</v>
      </c>
      <c r="D33" s="107"/>
      <c r="E33" s="467" t="s">
        <v>80</v>
      </c>
      <c r="F33" s="138">
        <v>9.6</v>
      </c>
      <c r="G33" s="139" t="s">
        <v>102</v>
      </c>
      <c r="H33" s="106"/>
      <c r="I33" s="168"/>
      <c r="J33" s="107"/>
      <c r="K33" s="282"/>
      <c r="L33" s="282"/>
      <c r="M33" s="363"/>
      <c r="N33" s="363"/>
      <c r="O33" s="145">
        <v>0.0</v>
      </c>
      <c r="P33" s="145">
        <v>1.0</v>
      </c>
      <c r="Q33" s="145">
        <v>1.0</v>
      </c>
      <c r="R33" s="100"/>
      <c r="S33" s="100"/>
      <c r="T33" s="100"/>
      <c r="U33" s="156"/>
      <c r="V33" s="100"/>
    </row>
    <row r="34" outlineLevel="1">
      <c r="A34" s="133" t="s">
        <v>116</v>
      </c>
      <c r="B34" s="147" t="s">
        <v>125</v>
      </c>
      <c r="C34" s="450" t="s">
        <v>220</v>
      </c>
      <c r="D34" s="379" t="s">
        <v>146</v>
      </c>
      <c r="E34" s="467" t="s">
        <v>176</v>
      </c>
      <c r="F34" s="138">
        <v>2.4</v>
      </c>
      <c r="G34" s="139" t="s">
        <v>60</v>
      </c>
      <c r="H34" s="386" t="s">
        <v>5109</v>
      </c>
      <c r="I34" s="164"/>
      <c r="J34" s="104"/>
      <c r="K34" s="363"/>
      <c r="L34" s="363"/>
      <c r="M34" s="363"/>
      <c r="N34" s="363"/>
      <c r="O34" s="145">
        <v>0.0</v>
      </c>
      <c r="P34" s="145">
        <v>1.0</v>
      </c>
      <c r="Q34" s="145">
        <v>1.0</v>
      </c>
      <c r="R34" s="100"/>
      <c r="S34" s="100"/>
      <c r="T34" s="100"/>
      <c r="U34" s="166" t="s">
        <v>62</v>
      </c>
      <c r="V34" s="100"/>
    </row>
    <row r="35" outlineLevel="1">
      <c r="A35" s="146"/>
      <c r="B35" s="147" t="s">
        <v>131</v>
      </c>
      <c r="C35" s="450" t="s">
        <v>325</v>
      </c>
      <c r="D35" s="210"/>
      <c r="E35" s="467" t="s">
        <v>129</v>
      </c>
      <c r="F35" s="138">
        <v>14.399999999999999</v>
      </c>
      <c r="G35" s="139" t="s">
        <v>123</v>
      </c>
      <c r="H35" s="212"/>
      <c r="J35" s="210"/>
      <c r="K35" s="363"/>
      <c r="L35" s="363"/>
      <c r="M35" s="363"/>
      <c r="N35" s="363"/>
      <c r="O35" s="145">
        <v>0.0</v>
      </c>
      <c r="P35" s="145">
        <v>1.0</v>
      </c>
      <c r="Q35" s="145">
        <v>1.0</v>
      </c>
      <c r="R35" s="100"/>
      <c r="S35" s="100"/>
      <c r="T35" s="100"/>
      <c r="U35" s="146"/>
      <c r="V35" s="100"/>
    </row>
    <row r="36" outlineLevel="1">
      <c r="A36" s="156"/>
      <c r="B36" s="147" t="s">
        <v>432</v>
      </c>
      <c r="C36" s="450" t="s">
        <v>203</v>
      </c>
      <c r="D36" s="107"/>
      <c r="E36" s="467" t="s">
        <v>128</v>
      </c>
      <c r="F36" s="138">
        <v>12.0</v>
      </c>
      <c r="G36" s="139" t="s">
        <v>95</v>
      </c>
      <c r="H36" s="106"/>
      <c r="I36" s="168"/>
      <c r="J36" s="107"/>
      <c r="K36" s="363"/>
      <c r="L36" s="363"/>
      <c r="M36" s="363"/>
      <c r="N36" s="363"/>
      <c r="O36" s="145"/>
      <c r="P36" s="145"/>
      <c r="Q36" s="145"/>
      <c r="R36" s="100"/>
      <c r="S36" s="100"/>
      <c r="T36" s="100"/>
      <c r="U36" s="156"/>
      <c r="V36" s="100"/>
    </row>
    <row r="37" outlineLevel="1">
      <c r="A37" s="133" t="s">
        <v>124</v>
      </c>
      <c r="B37" s="147" t="s">
        <v>125</v>
      </c>
      <c r="C37" s="216" t="s">
        <v>518</v>
      </c>
      <c r="D37" s="455" t="s">
        <v>127</v>
      </c>
      <c r="E37" s="467" t="s">
        <v>128</v>
      </c>
      <c r="F37" s="138">
        <v>12.0</v>
      </c>
      <c r="G37" s="139" t="s">
        <v>95</v>
      </c>
      <c r="H37" s="163" t="s">
        <v>553</v>
      </c>
      <c r="I37" s="164"/>
      <c r="J37" s="104"/>
      <c r="K37" s="282"/>
      <c r="L37" s="282"/>
      <c r="M37" s="363"/>
      <c r="N37" s="363"/>
      <c r="O37" s="145">
        <v>0.0</v>
      </c>
      <c r="P37" s="145">
        <v>1.0</v>
      </c>
      <c r="Q37" s="145">
        <v>1.0</v>
      </c>
      <c r="R37" s="100"/>
      <c r="S37" s="100"/>
      <c r="T37" s="100"/>
      <c r="U37" s="166" t="s">
        <v>62</v>
      </c>
      <c r="V37" s="100"/>
    </row>
    <row r="38" outlineLevel="1">
      <c r="A38" s="156"/>
      <c r="B38" s="147" t="s">
        <v>131</v>
      </c>
      <c r="C38" s="216" t="s">
        <v>373</v>
      </c>
      <c r="D38" s="107"/>
      <c r="E38" s="467" t="s">
        <v>80</v>
      </c>
      <c r="F38" s="138">
        <v>9.6</v>
      </c>
      <c r="G38" s="139" t="s">
        <v>102</v>
      </c>
      <c r="H38" s="106"/>
      <c r="I38" s="168"/>
      <c r="J38" s="107"/>
      <c r="K38" s="282"/>
      <c r="L38" s="282"/>
      <c r="M38" s="363"/>
      <c r="N38" s="363"/>
      <c r="O38" s="145">
        <v>0.0</v>
      </c>
      <c r="P38" s="145">
        <v>1.0</v>
      </c>
      <c r="Q38" s="145">
        <v>1.0</v>
      </c>
      <c r="R38" s="100"/>
      <c r="S38" s="100"/>
      <c r="T38" s="100"/>
      <c r="U38" s="156"/>
      <c r="V38" s="100"/>
    </row>
    <row r="39">
      <c r="A39" s="118"/>
      <c r="B39" s="176"/>
      <c r="C39" s="118"/>
      <c r="D39" s="118"/>
      <c r="E39" s="118"/>
      <c r="F39" s="177"/>
      <c r="G39" s="177"/>
      <c r="H39" s="118"/>
      <c r="I39" s="118"/>
      <c r="J39" s="118"/>
      <c r="K39" s="118"/>
      <c r="L39" s="118"/>
      <c r="M39" s="118"/>
      <c r="N39" s="118"/>
      <c r="O39" s="118"/>
      <c r="P39" s="118"/>
      <c r="Q39" s="118"/>
      <c r="R39" s="118"/>
      <c r="S39" s="118"/>
      <c r="T39" s="118"/>
      <c r="U39" s="118"/>
      <c r="V39" s="118"/>
    </row>
    <row r="40">
      <c r="A40" s="178" t="s">
        <v>133</v>
      </c>
      <c r="B40" s="104"/>
      <c r="C40" s="179"/>
      <c r="D40" s="179"/>
      <c r="E40" s="179"/>
      <c r="F40" s="180"/>
      <c r="G40" s="179"/>
      <c r="H40" s="180"/>
      <c r="I40" s="180"/>
      <c r="J40" s="181"/>
      <c r="K40" s="180"/>
      <c r="L40" s="180"/>
      <c r="M40" s="180"/>
      <c r="N40" s="180"/>
      <c r="O40" s="180"/>
      <c r="P40" s="180"/>
      <c r="Q40" s="180"/>
      <c r="R40" s="180"/>
      <c r="S40" s="180"/>
      <c r="T40" s="180"/>
      <c r="U40" s="180"/>
      <c r="V40" s="180"/>
    </row>
    <row r="41" outlineLevel="1">
      <c r="A41" s="106"/>
      <c r="B41" s="107"/>
      <c r="C41" s="182" t="s">
        <v>48</v>
      </c>
      <c r="D41" s="183" t="s">
        <v>49</v>
      </c>
      <c r="E41" s="182" t="s">
        <v>50</v>
      </c>
      <c r="F41" s="184" t="s">
        <v>51</v>
      </c>
      <c r="G41" s="184" t="s">
        <v>134</v>
      </c>
      <c r="H41" s="185" t="s">
        <v>52</v>
      </c>
      <c r="I41" s="184" t="str">
        <f>'テンプレート'!I56</f>
        <v>着地隙</v>
      </c>
      <c r="J41" s="184" t="s">
        <v>136</v>
      </c>
      <c r="K41" s="184" t="str">
        <f>'テンプレート'!K56</f>
        <v>ベクトル</v>
      </c>
      <c r="L41" s="184" t="str">
        <f>'テンプレート'!L56</f>
        <v>KBG (R.E.)</v>
      </c>
      <c r="M41" s="184" t="str">
        <f>'テンプレート'!M56</f>
        <v>BKB (R.A.)</v>
      </c>
      <c r="N41" s="184" t="str">
        <f>'テンプレート'!N56</f>
        <v>FKB (R.F.)</v>
      </c>
      <c r="O41" s="186" t="str">
        <f>'テンプレート'!O56</f>
        <v>盾削り値</v>
      </c>
      <c r="P41" s="184" t="str">
        <f>'テンプレート'!P56</f>
        <v>ﾋｯﾄｽﾄｯﾌﾟ</v>
      </c>
      <c r="Q41" s="186" t="str">
        <f>'テンプレート'!Q56</f>
        <v>ずらし</v>
      </c>
      <c r="R41" s="187" t="str">
        <f>'テンプレート'!R56</f>
        <v>備考</v>
      </c>
      <c r="S41" s="110"/>
      <c r="T41" s="110"/>
      <c r="U41" s="110"/>
      <c r="V41" s="110"/>
    </row>
    <row r="42" outlineLevel="1">
      <c r="A42" s="188" t="s">
        <v>144</v>
      </c>
      <c r="B42" s="373"/>
      <c r="C42" s="239" t="s">
        <v>91</v>
      </c>
      <c r="D42" s="455" t="s">
        <v>72</v>
      </c>
      <c r="E42" s="401" t="s">
        <v>128</v>
      </c>
      <c r="F42" s="193">
        <v>12.0</v>
      </c>
      <c r="G42" s="193">
        <v>10.2</v>
      </c>
      <c r="H42" s="138" t="s">
        <v>147</v>
      </c>
      <c r="I42" s="452" t="str">
        <f t="array" ref="I42">INDEX('空中攻撃'!$O$3:$AB$109, MATCH($A$1,'空中攻撃'!$A$3:$A$109,0), MATCH(A42,'空中攻撃'!$O$2:$S$2,0))</f>
        <v>6</v>
      </c>
      <c r="J42" s="379" t="s">
        <v>581</v>
      </c>
      <c r="K42" s="138"/>
      <c r="L42" s="282"/>
      <c r="M42" s="363"/>
      <c r="N42" s="363"/>
      <c r="O42" s="145">
        <v>0.0</v>
      </c>
      <c r="P42" s="145">
        <v>1.0</v>
      </c>
      <c r="Q42" s="145">
        <v>1.0</v>
      </c>
      <c r="R42" s="163"/>
      <c r="S42" s="164"/>
      <c r="T42" s="164"/>
      <c r="U42" s="164"/>
      <c r="V42" s="104"/>
    </row>
    <row r="43" outlineLevel="1">
      <c r="A43" s="156"/>
      <c r="B43" s="373" t="s">
        <v>84</v>
      </c>
      <c r="C43" s="239" t="s">
        <v>5110</v>
      </c>
      <c r="D43" s="107"/>
      <c r="E43" s="239" t="s">
        <v>86</v>
      </c>
      <c r="F43" s="138">
        <v>7.199999999999999</v>
      </c>
      <c r="G43" s="138">
        <v>6.12</v>
      </c>
      <c r="H43" s="138" t="s">
        <v>60</v>
      </c>
      <c r="I43" s="107"/>
      <c r="J43" s="107"/>
      <c r="K43" s="138"/>
      <c r="L43" s="282"/>
      <c r="M43" s="363"/>
      <c r="N43" s="363"/>
      <c r="O43" s="145">
        <v>0.0</v>
      </c>
      <c r="P43" s="145">
        <v>1.0</v>
      </c>
      <c r="Q43" s="145">
        <v>1.0</v>
      </c>
      <c r="R43" s="106"/>
      <c r="S43" s="168"/>
      <c r="T43" s="168"/>
      <c r="U43" s="168"/>
      <c r="V43" s="107"/>
    </row>
    <row r="44" outlineLevel="1">
      <c r="A44" s="188" t="s">
        <v>151</v>
      </c>
      <c r="B44" s="373"/>
      <c r="C44" s="239" t="s">
        <v>627</v>
      </c>
      <c r="D44" s="455" t="s">
        <v>118</v>
      </c>
      <c r="E44" s="239" t="s">
        <v>93</v>
      </c>
      <c r="F44" s="138">
        <v>8.4</v>
      </c>
      <c r="G44" s="138">
        <v>7.140000000000001</v>
      </c>
      <c r="H44" s="138" t="s">
        <v>60</v>
      </c>
      <c r="I44" s="452" t="str">
        <f t="array" ref="I44">INDEX('空中攻撃'!$O$3:$AB$109, MATCH($A$1,'空中攻撃'!$A$3:$A$109,0), MATCH(A44,'空中攻撃'!$O$2:$S$2,0))</f>
        <v>14</v>
      </c>
      <c r="J44" s="455" t="s">
        <v>3250</v>
      </c>
      <c r="K44" s="138"/>
      <c r="L44" s="282"/>
      <c r="M44" s="363"/>
      <c r="N44" s="363"/>
      <c r="O44" s="145">
        <v>0.0</v>
      </c>
      <c r="P44" s="145">
        <v>1.0</v>
      </c>
      <c r="Q44" s="145">
        <v>1.0</v>
      </c>
      <c r="R44" s="163" t="s">
        <v>3251</v>
      </c>
      <c r="S44" s="164"/>
      <c r="T44" s="164"/>
      <c r="U44" s="164"/>
      <c r="V44" s="104"/>
    </row>
    <row r="45" outlineLevel="1">
      <c r="A45" s="146"/>
      <c r="B45" s="373" t="s">
        <v>187</v>
      </c>
      <c r="C45" s="239" t="s">
        <v>1691</v>
      </c>
      <c r="D45" s="210"/>
      <c r="E45" s="239" t="s">
        <v>73</v>
      </c>
      <c r="F45" s="138">
        <v>4.8</v>
      </c>
      <c r="G45" s="138">
        <v>4.08</v>
      </c>
      <c r="H45" s="138" t="s">
        <v>60</v>
      </c>
      <c r="I45" s="210"/>
      <c r="J45" s="210"/>
      <c r="K45" s="138"/>
      <c r="L45" s="282"/>
      <c r="M45" s="363"/>
      <c r="N45" s="363"/>
      <c r="O45" s="145"/>
      <c r="P45" s="145"/>
      <c r="Q45" s="145"/>
      <c r="R45" s="212"/>
      <c r="V45" s="210"/>
    </row>
    <row r="46" outlineLevel="1">
      <c r="A46" s="156"/>
      <c r="B46" s="373" t="s">
        <v>189</v>
      </c>
      <c r="C46" s="239" t="s">
        <v>2695</v>
      </c>
      <c r="D46" s="107"/>
      <c r="E46" s="239" t="s">
        <v>535</v>
      </c>
      <c r="F46" s="138">
        <v>3.0</v>
      </c>
      <c r="G46" s="138">
        <v>2.55</v>
      </c>
      <c r="H46" s="138" t="s">
        <v>170</v>
      </c>
      <c r="I46" s="107"/>
      <c r="J46" s="107"/>
      <c r="K46" s="138"/>
      <c r="L46" s="282"/>
      <c r="M46" s="363"/>
      <c r="N46" s="363"/>
      <c r="O46" s="145">
        <v>0.0</v>
      </c>
      <c r="P46" s="145">
        <v>1.0</v>
      </c>
      <c r="Q46" s="145">
        <v>1.0</v>
      </c>
      <c r="R46" s="106"/>
      <c r="S46" s="168"/>
      <c r="T46" s="168"/>
      <c r="U46" s="168"/>
      <c r="V46" s="107"/>
    </row>
    <row r="47" outlineLevel="1">
      <c r="A47" s="188" t="s">
        <v>157</v>
      </c>
      <c r="B47" s="373"/>
      <c r="C47" s="239" t="s">
        <v>721</v>
      </c>
      <c r="D47" s="455" t="s">
        <v>193</v>
      </c>
      <c r="E47" s="239" t="s">
        <v>274</v>
      </c>
      <c r="F47" s="138">
        <v>10.799999999999999</v>
      </c>
      <c r="G47" s="138">
        <v>9.18</v>
      </c>
      <c r="H47" s="138" t="s">
        <v>147</v>
      </c>
      <c r="I47" s="452">
        <f t="array" ref="I47">INDEX('空中攻撃'!$O$3:$AB$109, MATCH($A$1,'空中攻撃'!$A$3:$A$109,0), MATCH(A47,'空中攻撃'!$O$2:$S$2,0))</f>
        <v>14</v>
      </c>
      <c r="J47" s="455" t="s">
        <v>3250</v>
      </c>
      <c r="K47" s="138"/>
      <c r="L47" s="282"/>
      <c r="M47" s="363"/>
      <c r="N47" s="363"/>
      <c r="O47" s="145">
        <v>0.0</v>
      </c>
      <c r="P47" s="145">
        <v>1.0</v>
      </c>
      <c r="Q47" s="145">
        <v>1.0</v>
      </c>
      <c r="R47" s="163" t="s">
        <v>3251</v>
      </c>
      <c r="S47" s="164"/>
      <c r="T47" s="164"/>
      <c r="U47" s="164"/>
      <c r="V47" s="104"/>
    </row>
    <row r="48" outlineLevel="1">
      <c r="A48" s="146"/>
      <c r="B48" s="373" t="s">
        <v>187</v>
      </c>
      <c r="C48" s="239" t="s">
        <v>3209</v>
      </c>
      <c r="D48" s="210"/>
      <c r="E48" s="239" t="s">
        <v>150</v>
      </c>
      <c r="F48" s="138">
        <v>6.0</v>
      </c>
      <c r="G48" s="138">
        <v>5.1</v>
      </c>
      <c r="H48" s="138" t="s">
        <v>60</v>
      </c>
      <c r="I48" s="210"/>
      <c r="J48" s="210"/>
      <c r="K48" s="138"/>
      <c r="L48" s="282"/>
      <c r="M48" s="363"/>
      <c r="N48" s="363"/>
      <c r="O48" s="145"/>
      <c r="P48" s="145"/>
      <c r="Q48" s="145"/>
      <c r="R48" s="212"/>
      <c r="V48" s="210"/>
    </row>
    <row r="49" outlineLevel="1">
      <c r="A49" s="156"/>
      <c r="B49" s="373" t="s">
        <v>189</v>
      </c>
      <c r="C49" s="239" t="s">
        <v>3115</v>
      </c>
      <c r="D49" s="107"/>
      <c r="E49" s="239" t="s">
        <v>204</v>
      </c>
      <c r="F49" s="138">
        <v>3.5999999999999996</v>
      </c>
      <c r="G49" s="138">
        <v>3.06</v>
      </c>
      <c r="H49" s="138" t="s">
        <v>170</v>
      </c>
      <c r="I49" s="107"/>
      <c r="J49" s="107"/>
      <c r="K49" s="138"/>
      <c r="L49" s="282"/>
      <c r="M49" s="363"/>
      <c r="N49" s="363"/>
      <c r="O49" s="145">
        <v>0.0</v>
      </c>
      <c r="P49" s="145">
        <v>1.0</v>
      </c>
      <c r="Q49" s="145">
        <v>1.0</v>
      </c>
      <c r="R49" s="106"/>
      <c r="S49" s="168"/>
      <c r="T49" s="168"/>
      <c r="U49" s="168"/>
      <c r="V49" s="107"/>
    </row>
    <row r="50" outlineLevel="1">
      <c r="A50" s="188" t="s">
        <v>162</v>
      </c>
      <c r="B50" s="373"/>
      <c r="C50" s="239" t="s">
        <v>217</v>
      </c>
      <c r="D50" s="455" t="s">
        <v>221</v>
      </c>
      <c r="E50" s="239" t="s">
        <v>128</v>
      </c>
      <c r="F50" s="138">
        <v>12.0</v>
      </c>
      <c r="G50" s="138">
        <v>10.2</v>
      </c>
      <c r="H50" s="138" t="s">
        <v>147</v>
      </c>
      <c r="I50" s="452" t="str">
        <f t="array" ref="I50">INDEX('空中攻撃'!$O$3:$AB$109, MATCH($A$1,'空中攻撃'!$A$3:$A$109,0), MATCH(A50,'空中攻撃'!$O$2:$S$2,0))</f>
        <v>9</v>
      </c>
      <c r="J50" s="455" t="s">
        <v>3253</v>
      </c>
      <c r="K50" s="282"/>
      <c r="L50" s="282"/>
      <c r="M50" s="363"/>
      <c r="N50" s="363"/>
      <c r="O50" s="145">
        <v>0.0</v>
      </c>
      <c r="P50" s="145">
        <v>1.0</v>
      </c>
      <c r="Q50" s="145">
        <v>1.0</v>
      </c>
      <c r="R50" s="163" t="s">
        <v>5111</v>
      </c>
      <c r="S50" s="164"/>
      <c r="T50" s="164"/>
      <c r="U50" s="164"/>
      <c r="V50" s="104"/>
    </row>
    <row r="51" outlineLevel="1">
      <c r="A51" s="156"/>
      <c r="B51" s="373" t="s">
        <v>84</v>
      </c>
      <c r="C51" s="239" t="s">
        <v>5112</v>
      </c>
      <c r="D51" s="107"/>
      <c r="E51" s="239" t="s">
        <v>150</v>
      </c>
      <c r="F51" s="138">
        <v>6.0</v>
      </c>
      <c r="G51" s="138">
        <v>5.1</v>
      </c>
      <c r="H51" s="138" t="s">
        <v>60</v>
      </c>
      <c r="I51" s="107"/>
      <c r="J51" s="107"/>
      <c r="K51" s="282"/>
      <c r="L51" s="282"/>
      <c r="M51" s="363"/>
      <c r="N51" s="363"/>
      <c r="O51" s="145"/>
      <c r="P51" s="145"/>
      <c r="Q51" s="145"/>
      <c r="R51" s="106"/>
      <c r="S51" s="168"/>
      <c r="T51" s="168"/>
      <c r="U51" s="168"/>
      <c r="V51" s="107"/>
    </row>
    <row r="52" outlineLevel="1">
      <c r="A52" s="188" t="s">
        <v>166</v>
      </c>
      <c r="B52" s="373"/>
      <c r="C52" s="365" t="s">
        <v>299</v>
      </c>
      <c r="D52" s="379" t="s">
        <v>221</v>
      </c>
      <c r="E52" s="239" t="s">
        <v>128</v>
      </c>
      <c r="F52" s="138">
        <v>12.0</v>
      </c>
      <c r="G52" s="138">
        <v>10.2</v>
      </c>
      <c r="H52" s="138" t="s">
        <v>147</v>
      </c>
      <c r="I52" s="452">
        <f t="array" ref="I52">INDEX('空中攻撃'!$O$3:$AB$109, MATCH($A$1,'空中攻撃'!$A$3:$A$109,0), MATCH(A52,'空中攻撃'!$O$2:$S$2,0))</f>
        <v>9</v>
      </c>
      <c r="J52" s="379" t="s">
        <v>3261</v>
      </c>
      <c r="K52" s="282"/>
      <c r="L52" s="282"/>
      <c r="M52" s="363"/>
      <c r="N52" s="363"/>
      <c r="O52" s="145">
        <v>0.0</v>
      </c>
      <c r="P52" s="145">
        <v>1.0</v>
      </c>
      <c r="Q52" s="145">
        <v>1.0</v>
      </c>
      <c r="R52" s="163" t="s">
        <v>5111</v>
      </c>
      <c r="S52" s="164"/>
      <c r="T52" s="164"/>
      <c r="U52" s="164"/>
      <c r="V52" s="104"/>
    </row>
    <row r="53" outlineLevel="1">
      <c r="A53" s="156"/>
      <c r="B53" s="373" t="s">
        <v>84</v>
      </c>
      <c r="C53" s="365" t="s">
        <v>5113</v>
      </c>
      <c r="D53" s="107"/>
      <c r="E53" s="239" t="s">
        <v>150</v>
      </c>
      <c r="F53" s="138">
        <v>6.0</v>
      </c>
      <c r="G53" s="138">
        <v>5.1</v>
      </c>
      <c r="H53" s="138" t="s">
        <v>60</v>
      </c>
      <c r="I53" s="107"/>
      <c r="J53" s="107"/>
      <c r="K53" s="282"/>
      <c r="L53" s="282"/>
      <c r="M53" s="363"/>
      <c r="N53" s="363"/>
      <c r="O53" s="145">
        <v>0.0</v>
      </c>
      <c r="P53" s="145">
        <v>1.0</v>
      </c>
      <c r="Q53" s="145">
        <v>1.0</v>
      </c>
      <c r="R53" s="106"/>
      <c r="S53" s="168"/>
      <c r="T53" s="168"/>
      <c r="U53" s="168"/>
      <c r="V53" s="107"/>
    </row>
    <row r="54">
      <c r="A54" s="223"/>
      <c r="B54" s="224"/>
      <c r="C54" s="225"/>
      <c r="D54" s="225"/>
      <c r="E54" s="226"/>
      <c r="F54" s="226"/>
      <c r="G54" s="226"/>
      <c r="H54" s="227"/>
      <c r="I54" s="227"/>
      <c r="J54" s="228"/>
      <c r="K54" s="228"/>
      <c r="L54" s="228"/>
      <c r="M54" s="228"/>
      <c r="N54" s="228"/>
      <c r="O54" s="228"/>
      <c r="P54" s="228"/>
      <c r="Q54" s="118"/>
      <c r="R54" s="118"/>
      <c r="S54" s="118"/>
      <c r="T54" s="118"/>
      <c r="U54" s="118"/>
      <c r="V54" s="118"/>
    </row>
    <row r="55">
      <c r="A55" s="229" t="s">
        <v>177</v>
      </c>
      <c r="B55" s="109"/>
      <c r="C55" s="225"/>
      <c r="D55" s="225"/>
      <c r="E55" s="226"/>
      <c r="F55" s="226"/>
      <c r="G55" s="226"/>
      <c r="H55" s="227"/>
      <c r="I55" s="227"/>
      <c r="J55" s="228"/>
      <c r="K55" s="228"/>
      <c r="L55" s="228"/>
      <c r="M55" s="228"/>
      <c r="N55" s="228"/>
      <c r="O55" s="228"/>
      <c r="P55" s="228"/>
      <c r="Q55" s="118"/>
      <c r="R55" s="118"/>
      <c r="S55" s="118"/>
      <c r="T55" s="118"/>
      <c r="U55" s="118"/>
      <c r="V55" s="118"/>
    </row>
    <row r="56" outlineLevel="1">
      <c r="A56" s="230" t="s">
        <v>5114</v>
      </c>
      <c r="B56" s="109"/>
      <c r="C56" s="231" t="s">
        <v>48</v>
      </c>
      <c r="D56" s="231" t="s">
        <v>49</v>
      </c>
      <c r="E56" s="232" t="s">
        <v>50</v>
      </c>
      <c r="F56" s="233" t="s">
        <v>51</v>
      </c>
      <c r="G56" s="232" t="str">
        <f>'テンプレート'!G72</f>
        <v>ガード硬直</v>
      </c>
      <c r="H56" s="382" t="str">
        <f>'テンプレート'!H72</f>
        <v>備考</v>
      </c>
      <c r="I56" s="110"/>
      <c r="J56" s="109"/>
      <c r="K56" s="235" t="str">
        <f>'テンプレート'!K72</f>
        <v>ベクトル</v>
      </c>
      <c r="L56" s="235" t="str">
        <f>'テンプレート'!L72</f>
        <v>KBG (R.E.)</v>
      </c>
      <c r="M56" s="235" t="str">
        <f>'テンプレート'!M72</f>
        <v>BKB (R.A.)</v>
      </c>
      <c r="N56" s="235" t="str">
        <f>'テンプレート'!N72</f>
        <v>FKB (R.F.)</v>
      </c>
      <c r="O56" s="236" t="str">
        <f>'テンプレート'!O72</f>
        <v>盾削り値</v>
      </c>
      <c r="P56" s="235" t="str">
        <f>'テンプレート'!P72</f>
        <v>ﾋｯﾄｽﾄｯﾌﾟ</v>
      </c>
      <c r="Q56" s="236" t="str">
        <f>'テンプレート'!Q72</f>
        <v>ずらし</v>
      </c>
      <c r="R56" s="235" t="str">
        <f>'テンプレート'!R72</f>
        <v>相殺</v>
      </c>
      <c r="S56" s="236" t="str">
        <f>'テンプレート'!S72</f>
        <v>相殺ﾓｰｼｮﾝ</v>
      </c>
      <c r="T56" s="236" t="str">
        <f>'テンプレート'!T72</f>
        <v>飛び道具</v>
      </c>
      <c r="U56" s="236" t="str">
        <f>'テンプレート'!U72</f>
        <v>慣性反転</v>
      </c>
      <c r="V56" s="236" t="str">
        <f>'テンプレート'!V72</f>
        <v>向き反転</v>
      </c>
    </row>
    <row r="57" outlineLevel="1">
      <c r="A57" s="237" t="s">
        <v>184</v>
      </c>
      <c r="B57" s="243" t="s">
        <v>3263</v>
      </c>
      <c r="C57" s="239" t="s">
        <v>3264</v>
      </c>
      <c r="D57" s="239" t="s">
        <v>413</v>
      </c>
      <c r="E57" s="409"/>
      <c r="F57" s="409"/>
      <c r="G57" s="409"/>
      <c r="H57" s="151" t="s">
        <v>3265</v>
      </c>
      <c r="I57" s="110"/>
      <c r="J57" s="109"/>
      <c r="K57" s="261"/>
      <c r="L57" s="261"/>
      <c r="M57" s="261"/>
      <c r="N57" s="261"/>
      <c r="O57" s="261"/>
      <c r="P57" s="261"/>
      <c r="Q57" s="261"/>
      <c r="R57" s="261"/>
      <c r="S57" s="261"/>
      <c r="T57" s="261"/>
      <c r="U57" s="166" t="s">
        <v>186</v>
      </c>
      <c r="V57" s="166" t="b">
        <v>1</v>
      </c>
    </row>
    <row r="58" outlineLevel="1">
      <c r="A58" s="146"/>
      <c r="B58" s="663" t="s">
        <v>3266</v>
      </c>
      <c r="C58" s="239" t="s">
        <v>3267</v>
      </c>
      <c r="D58" s="239" t="s">
        <v>173</v>
      </c>
      <c r="E58" s="409"/>
      <c r="F58" s="409"/>
      <c r="G58" s="409"/>
      <c r="H58" s="151" t="s">
        <v>3268</v>
      </c>
      <c r="I58" s="110"/>
      <c r="J58" s="109"/>
      <c r="K58" s="261"/>
      <c r="L58" s="261"/>
      <c r="M58" s="261"/>
      <c r="N58" s="261"/>
      <c r="O58" s="261"/>
      <c r="P58" s="261"/>
      <c r="Q58" s="261"/>
      <c r="R58" s="261"/>
      <c r="S58" s="261"/>
      <c r="T58" s="261"/>
      <c r="U58" s="146"/>
      <c r="V58" s="146"/>
    </row>
    <row r="59" outlineLevel="1">
      <c r="A59" s="146"/>
      <c r="B59" s="663" t="s">
        <v>3269</v>
      </c>
      <c r="C59" s="239" t="s">
        <v>3267</v>
      </c>
      <c r="D59" s="239" t="s">
        <v>72</v>
      </c>
      <c r="E59" s="409"/>
      <c r="F59" s="409"/>
      <c r="G59" s="409"/>
      <c r="H59" s="2110" t="s">
        <v>3270</v>
      </c>
      <c r="I59" s="110"/>
      <c r="J59" s="109"/>
      <c r="K59" s="261"/>
      <c r="L59" s="261"/>
      <c r="M59" s="261"/>
      <c r="N59" s="261"/>
      <c r="O59" s="261"/>
      <c r="P59" s="261"/>
      <c r="Q59" s="261"/>
      <c r="R59" s="261"/>
      <c r="S59" s="261"/>
      <c r="T59" s="261"/>
      <c r="U59" s="146"/>
      <c r="V59" s="146"/>
    </row>
    <row r="60" outlineLevel="1">
      <c r="A60" s="146"/>
      <c r="B60" s="663" t="s">
        <v>3271</v>
      </c>
      <c r="C60" s="239" t="s">
        <v>3272</v>
      </c>
      <c r="D60" s="239" t="s">
        <v>99</v>
      </c>
      <c r="E60" s="409"/>
      <c r="F60" s="409"/>
      <c r="G60" s="409"/>
      <c r="H60" s="151" t="s">
        <v>3273</v>
      </c>
      <c r="I60" s="110"/>
      <c r="J60" s="109"/>
      <c r="K60" s="261"/>
      <c r="L60" s="261"/>
      <c r="M60" s="261"/>
      <c r="N60" s="261"/>
      <c r="O60" s="261"/>
      <c r="P60" s="261"/>
      <c r="Q60" s="261"/>
      <c r="R60" s="261"/>
      <c r="S60" s="261"/>
      <c r="T60" s="261"/>
      <c r="U60" s="146"/>
      <c r="V60" s="146"/>
    </row>
    <row r="61" outlineLevel="1">
      <c r="A61" s="146"/>
      <c r="B61" s="663" t="s">
        <v>3274</v>
      </c>
      <c r="C61" s="239" t="s">
        <v>2481</v>
      </c>
      <c r="D61" s="239" t="s">
        <v>164</v>
      </c>
      <c r="E61" s="409"/>
      <c r="F61" s="409"/>
      <c r="G61" s="409"/>
      <c r="H61" s="140" t="s">
        <v>3275</v>
      </c>
      <c r="I61" s="110"/>
      <c r="J61" s="109"/>
      <c r="K61" s="261"/>
      <c r="L61" s="261"/>
      <c r="M61" s="261"/>
      <c r="N61" s="261"/>
      <c r="O61" s="261"/>
      <c r="P61" s="261"/>
      <c r="Q61" s="261"/>
      <c r="R61" s="261"/>
      <c r="S61" s="261"/>
      <c r="T61" s="261"/>
      <c r="U61" s="146"/>
      <c r="V61" s="146"/>
    </row>
    <row r="62" outlineLevel="1">
      <c r="A62" s="146"/>
      <c r="B62" s="663" t="s">
        <v>3276</v>
      </c>
      <c r="C62" s="239" t="s">
        <v>3277</v>
      </c>
      <c r="D62" s="239" t="s">
        <v>3278</v>
      </c>
      <c r="E62" s="409"/>
      <c r="F62" s="409"/>
      <c r="G62" s="409"/>
      <c r="H62" s="140" t="s">
        <v>3279</v>
      </c>
      <c r="I62" s="110"/>
      <c r="J62" s="109"/>
      <c r="K62" s="261"/>
      <c r="L62" s="261"/>
      <c r="M62" s="261"/>
      <c r="N62" s="261"/>
      <c r="O62" s="261"/>
      <c r="P62" s="261"/>
      <c r="Q62" s="261"/>
      <c r="R62" s="261"/>
      <c r="S62" s="261"/>
      <c r="T62" s="261"/>
      <c r="U62" s="146"/>
      <c r="V62" s="146"/>
    </row>
    <row r="63" outlineLevel="1">
      <c r="A63" s="146"/>
      <c r="B63" s="663" t="s">
        <v>3280</v>
      </c>
      <c r="C63" s="239" t="s">
        <v>3281</v>
      </c>
      <c r="D63" s="239" t="s">
        <v>3278</v>
      </c>
      <c r="E63" s="409"/>
      <c r="F63" s="409"/>
      <c r="G63" s="409"/>
      <c r="H63" s="151" t="s">
        <v>3282</v>
      </c>
      <c r="I63" s="110"/>
      <c r="J63" s="109"/>
      <c r="K63" s="261"/>
      <c r="L63" s="261"/>
      <c r="M63" s="261"/>
      <c r="N63" s="261"/>
      <c r="O63" s="261"/>
      <c r="P63" s="261"/>
      <c r="Q63" s="261"/>
      <c r="R63" s="261"/>
      <c r="S63" s="261"/>
      <c r="T63" s="261"/>
      <c r="U63" s="156"/>
      <c r="V63" s="156"/>
    </row>
    <row r="64" outlineLevel="1">
      <c r="A64" s="230" t="s">
        <v>5115</v>
      </c>
      <c r="B64" s="109"/>
      <c r="C64" s="231" t="s">
        <v>48</v>
      </c>
      <c r="D64" s="231" t="s">
        <v>49</v>
      </c>
      <c r="E64" s="232" t="s">
        <v>50</v>
      </c>
      <c r="F64" s="233" t="s">
        <v>51</v>
      </c>
      <c r="G64" s="232" t="str">
        <f>'テンプレート'!G75</f>
        <v>ガード硬直</v>
      </c>
      <c r="H64" s="382" t="str">
        <f>'テンプレート'!H75</f>
        <v>備考</v>
      </c>
      <c r="I64" s="110"/>
      <c r="J64" s="109"/>
      <c r="K64" s="235" t="str">
        <f>'テンプレート'!K75</f>
        <v>ベクトル</v>
      </c>
      <c r="L64" s="235" t="str">
        <f>'テンプレート'!L75</f>
        <v>KBG (R.E.)</v>
      </c>
      <c r="M64" s="235" t="str">
        <f>'テンプレート'!M75</f>
        <v>BKB (R.A.)</v>
      </c>
      <c r="N64" s="235" t="str">
        <f>'テンプレート'!N75</f>
        <v>FKB (R.F.)</v>
      </c>
      <c r="O64" s="236" t="str">
        <f>'テンプレート'!O75</f>
        <v>盾削り値</v>
      </c>
      <c r="P64" s="235" t="str">
        <f>'テンプレート'!P75</f>
        <v>ﾋｯﾄｽﾄｯﾌﾟ</v>
      </c>
      <c r="Q64" s="236" t="str">
        <f>'テンプレート'!Q75</f>
        <v>ずらし</v>
      </c>
      <c r="R64" s="235" t="str">
        <f>'テンプレート'!R75</f>
        <v>相殺</v>
      </c>
      <c r="S64" s="236" t="str">
        <f>'テンプレート'!S75</f>
        <v>相殺ﾓｰｼｮﾝ</v>
      </c>
      <c r="T64" s="236" t="str">
        <f>'テンプレート'!T75</f>
        <v>飛び道具</v>
      </c>
      <c r="U64" s="236" t="str">
        <f>'テンプレート'!U75</f>
        <v>慣性反転</v>
      </c>
      <c r="V64" s="236" t="str">
        <f>'テンプレート'!V75</f>
        <v>向き反転</v>
      </c>
    </row>
    <row r="65" outlineLevel="1">
      <c r="A65" s="546" t="s">
        <v>184</v>
      </c>
      <c r="B65" s="243" t="s">
        <v>1152</v>
      </c>
      <c r="C65" s="365" t="s">
        <v>2415</v>
      </c>
      <c r="D65" s="365" t="s">
        <v>146</v>
      </c>
      <c r="E65" s="261"/>
      <c r="F65" s="261"/>
      <c r="G65" s="261"/>
      <c r="H65" s="386" t="s">
        <v>5116</v>
      </c>
      <c r="I65" s="164"/>
      <c r="J65" s="104"/>
      <c r="K65" s="261"/>
      <c r="L65" s="261"/>
      <c r="M65" s="261"/>
      <c r="N65" s="261"/>
      <c r="O65" s="261"/>
      <c r="P65" s="261"/>
      <c r="Q65" s="261"/>
      <c r="R65" s="261"/>
      <c r="S65" s="261"/>
      <c r="T65" s="261"/>
      <c r="U65" s="166" t="b">
        <v>0</v>
      </c>
      <c r="V65" s="166" t="b">
        <v>1</v>
      </c>
    </row>
    <row r="66" outlineLevel="1">
      <c r="A66" s="146"/>
      <c r="B66" s="243" t="s">
        <v>5117</v>
      </c>
      <c r="C66" s="239" t="s">
        <v>494</v>
      </c>
      <c r="D66" s="113" t="s">
        <v>282</v>
      </c>
      <c r="E66" s="261"/>
      <c r="F66" s="261"/>
      <c r="G66" s="261"/>
      <c r="H66" s="212"/>
      <c r="J66" s="210"/>
      <c r="K66" s="261"/>
      <c r="L66" s="261"/>
      <c r="M66" s="261"/>
      <c r="N66" s="261"/>
      <c r="O66" s="261"/>
      <c r="P66" s="261"/>
      <c r="Q66" s="261"/>
      <c r="R66" s="261"/>
      <c r="S66" s="261"/>
      <c r="T66" s="261"/>
      <c r="U66" s="146"/>
      <c r="V66" s="146"/>
    </row>
    <row r="67" outlineLevel="1">
      <c r="A67" s="146"/>
      <c r="B67" s="243" t="s">
        <v>5118</v>
      </c>
      <c r="C67" s="261"/>
      <c r="D67" s="113" t="s">
        <v>99</v>
      </c>
      <c r="E67" s="261"/>
      <c r="F67" s="261"/>
      <c r="G67" s="261"/>
      <c r="H67" s="212"/>
      <c r="J67" s="210"/>
      <c r="K67" s="261"/>
      <c r="L67" s="261"/>
      <c r="M67" s="261"/>
      <c r="N67" s="261"/>
      <c r="O67" s="261"/>
      <c r="P67" s="261"/>
      <c r="Q67" s="261"/>
      <c r="R67" s="261"/>
      <c r="S67" s="261"/>
      <c r="T67" s="261"/>
      <c r="U67" s="146"/>
      <c r="V67" s="146"/>
    </row>
    <row r="68" outlineLevel="1">
      <c r="A68" s="146"/>
      <c r="B68" s="243" t="s">
        <v>5119</v>
      </c>
      <c r="C68" s="239" t="s">
        <v>386</v>
      </c>
      <c r="D68" s="138">
        <v>45.0</v>
      </c>
      <c r="E68" s="239" t="s">
        <v>3730</v>
      </c>
      <c r="F68" s="138" t="s">
        <v>3731</v>
      </c>
      <c r="G68" s="261"/>
      <c r="H68" s="212"/>
      <c r="J68" s="210"/>
      <c r="K68" s="138"/>
      <c r="L68" s="138"/>
      <c r="M68" s="145"/>
      <c r="N68" s="145"/>
      <c r="O68" s="138">
        <v>0.0</v>
      </c>
      <c r="P68" s="138">
        <v>1.0</v>
      </c>
      <c r="Q68" s="138">
        <v>1.0</v>
      </c>
      <c r="R68" s="145" t="b">
        <v>1</v>
      </c>
      <c r="S68" s="145" t="b">
        <v>1</v>
      </c>
      <c r="T68" s="145"/>
      <c r="U68" s="146"/>
      <c r="V68" s="146"/>
    </row>
    <row r="69" outlineLevel="1">
      <c r="A69" s="146"/>
      <c r="B69" s="243" t="s">
        <v>5120</v>
      </c>
      <c r="C69" s="239" t="s">
        <v>228</v>
      </c>
      <c r="D69" s="138">
        <v>35.0</v>
      </c>
      <c r="E69" s="239" t="s">
        <v>2923</v>
      </c>
      <c r="F69" s="138" t="s">
        <v>2924</v>
      </c>
      <c r="G69" s="261"/>
      <c r="H69" s="212"/>
      <c r="J69" s="210"/>
      <c r="K69" s="138"/>
      <c r="L69" s="138"/>
      <c r="M69" s="145"/>
      <c r="N69" s="145"/>
      <c r="O69" s="138">
        <v>0.0</v>
      </c>
      <c r="P69" s="138">
        <v>1.0</v>
      </c>
      <c r="Q69" s="138">
        <v>1.0</v>
      </c>
      <c r="R69" s="145" t="b">
        <v>1</v>
      </c>
      <c r="S69" s="145" t="b">
        <v>1</v>
      </c>
      <c r="T69" s="145"/>
      <c r="U69" s="146"/>
      <c r="V69" s="146"/>
    </row>
    <row r="70" outlineLevel="1">
      <c r="A70" s="146"/>
      <c r="B70" s="243" t="s">
        <v>5121</v>
      </c>
      <c r="C70" s="239" t="s">
        <v>1114</v>
      </c>
      <c r="D70" s="138">
        <v>43.0</v>
      </c>
      <c r="E70" s="239" t="s">
        <v>674</v>
      </c>
      <c r="F70" s="138" t="s">
        <v>2916</v>
      </c>
      <c r="G70" s="261"/>
      <c r="H70" s="212"/>
      <c r="J70" s="210"/>
      <c r="K70" s="138"/>
      <c r="L70" s="138"/>
      <c r="M70" s="145"/>
      <c r="N70" s="145"/>
      <c r="O70" s="138">
        <v>0.0</v>
      </c>
      <c r="P70" s="138">
        <v>1.0</v>
      </c>
      <c r="Q70" s="138">
        <v>1.0</v>
      </c>
      <c r="R70" s="145" t="b">
        <v>1</v>
      </c>
      <c r="S70" s="145" t="b">
        <v>1</v>
      </c>
      <c r="T70" s="145"/>
      <c r="U70" s="146"/>
      <c r="V70" s="146"/>
    </row>
    <row r="71" outlineLevel="1">
      <c r="A71" s="146"/>
      <c r="B71" s="243" t="s">
        <v>5122</v>
      </c>
      <c r="C71" s="239" t="s">
        <v>466</v>
      </c>
      <c r="D71" s="394">
        <v>39.0</v>
      </c>
      <c r="E71" s="239" t="s">
        <v>485</v>
      </c>
      <c r="F71" s="138" t="s">
        <v>486</v>
      </c>
      <c r="G71" s="261"/>
      <c r="H71" s="212"/>
      <c r="J71" s="210"/>
      <c r="K71" s="138"/>
      <c r="L71" s="138"/>
      <c r="M71" s="145"/>
      <c r="N71" s="145"/>
      <c r="O71" s="138">
        <v>0.0</v>
      </c>
      <c r="P71" s="138">
        <v>1.0</v>
      </c>
      <c r="Q71" s="138">
        <v>1.0</v>
      </c>
      <c r="R71" s="145" t="b">
        <v>1</v>
      </c>
      <c r="S71" s="145" t="b">
        <v>1</v>
      </c>
      <c r="T71" s="145"/>
      <c r="U71" s="146"/>
      <c r="V71" s="146"/>
    </row>
    <row r="72" outlineLevel="1">
      <c r="A72" s="146"/>
      <c r="B72" s="243" t="s">
        <v>5123</v>
      </c>
      <c r="C72" s="239" t="s">
        <v>1114</v>
      </c>
      <c r="D72" s="156"/>
      <c r="E72" s="239" t="s">
        <v>5124</v>
      </c>
      <c r="F72" s="138" t="s">
        <v>5125</v>
      </c>
      <c r="G72" s="261"/>
      <c r="H72" s="212"/>
      <c r="J72" s="210"/>
      <c r="K72" s="138"/>
      <c r="L72" s="138"/>
      <c r="M72" s="145"/>
      <c r="N72" s="145"/>
      <c r="O72" s="138">
        <v>0.0</v>
      </c>
      <c r="P72" s="138">
        <v>1.0</v>
      </c>
      <c r="Q72" s="138">
        <v>1.0</v>
      </c>
      <c r="R72" s="145" t="b">
        <v>1</v>
      </c>
      <c r="S72" s="145" t="b">
        <v>1</v>
      </c>
      <c r="T72" s="145"/>
      <c r="U72" s="146"/>
      <c r="V72" s="146"/>
    </row>
    <row r="73" outlineLevel="1">
      <c r="A73" s="146"/>
      <c r="B73" s="243" t="s">
        <v>5126</v>
      </c>
      <c r="C73" s="261"/>
      <c r="D73" s="138">
        <v>29.0</v>
      </c>
      <c r="E73" s="261"/>
      <c r="F73" s="261"/>
      <c r="G73" s="261"/>
      <c r="H73" s="212"/>
      <c r="J73" s="210"/>
      <c r="K73" s="261"/>
      <c r="L73" s="261"/>
      <c r="M73" s="261"/>
      <c r="N73" s="261"/>
      <c r="O73" s="261"/>
      <c r="P73" s="261"/>
      <c r="Q73" s="261"/>
      <c r="R73" s="261"/>
      <c r="S73" s="261"/>
      <c r="T73" s="261"/>
      <c r="U73" s="146"/>
      <c r="V73" s="146"/>
    </row>
    <row r="74" outlineLevel="1">
      <c r="A74" s="156"/>
      <c r="B74" s="243" t="s">
        <v>256</v>
      </c>
      <c r="C74" s="239" t="s">
        <v>5127</v>
      </c>
      <c r="D74" s="138">
        <v>15.0</v>
      </c>
      <c r="E74" s="261"/>
      <c r="F74" s="261"/>
      <c r="G74" s="261"/>
      <c r="H74" s="106"/>
      <c r="I74" s="168"/>
      <c r="J74" s="107"/>
      <c r="K74" s="261"/>
      <c r="L74" s="261"/>
      <c r="M74" s="261"/>
      <c r="N74" s="261"/>
      <c r="O74" s="261"/>
      <c r="P74" s="261"/>
      <c r="Q74" s="261"/>
      <c r="R74" s="261"/>
      <c r="S74" s="261"/>
      <c r="T74" s="261"/>
      <c r="U74" s="156"/>
      <c r="V74" s="156"/>
    </row>
    <row r="75" outlineLevel="1">
      <c r="A75" s="230" t="s">
        <v>3298</v>
      </c>
      <c r="B75" s="109"/>
      <c r="C75" s="231" t="s">
        <v>48</v>
      </c>
      <c r="D75" s="231" t="s">
        <v>49</v>
      </c>
      <c r="E75" s="232" t="s">
        <v>50</v>
      </c>
      <c r="F75" s="233" t="s">
        <v>51</v>
      </c>
      <c r="G75" s="232" t="str">
        <f>'テンプレート'!G80</f>
        <v>ガード硬直</v>
      </c>
      <c r="H75" s="382" t="str">
        <f>'テンプレート'!H80</f>
        <v>備考</v>
      </c>
      <c r="I75" s="110"/>
      <c r="J75" s="109"/>
      <c r="K75" s="235" t="str">
        <f>'テンプレート'!K80</f>
        <v>ベクトル</v>
      </c>
      <c r="L75" s="235" t="str">
        <f>'テンプレート'!L80</f>
        <v>KBG (R.E.)</v>
      </c>
      <c r="M75" s="235" t="str">
        <f>'テンプレート'!M80</f>
        <v>BKB (R.A.)</v>
      </c>
      <c r="N75" s="235" t="str">
        <f>'テンプレート'!N80</f>
        <v>FKB (R.F.)</v>
      </c>
      <c r="O75" s="236" t="str">
        <f>'テンプレート'!O80</f>
        <v>盾削り値</v>
      </c>
      <c r="P75" s="235" t="str">
        <f>'テンプレート'!P80</f>
        <v>ﾋｯﾄｽﾄｯﾌﾟ</v>
      </c>
      <c r="Q75" s="236" t="str">
        <f>'テンプレート'!Q80</f>
        <v>ずらし</v>
      </c>
      <c r="R75" s="235" t="str">
        <f>'テンプレート'!R80</f>
        <v>相殺</v>
      </c>
      <c r="S75" s="236" t="str">
        <f>'テンプレート'!S80</f>
        <v>相殺ﾓｰｼｮﾝ</v>
      </c>
      <c r="T75" s="236" t="str">
        <f>'テンプレート'!T80</f>
        <v>飛び道具</v>
      </c>
      <c r="U75" s="236" t="str">
        <f>'テンプレート'!U80</f>
        <v>慣性反転</v>
      </c>
      <c r="V75" s="236" t="str">
        <f>'テンプレート'!V80</f>
        <v>向き反転</v>
      </c>
    </row>
    <row r="76" outlineLevel="1">
      <c r="A76" s="1202" t="s">
        <v>184</v>
      </c>
      <c r="B76" s="870"/>
      <c r="C76" s="261"/>
      <c r="D76" s="261"/>
      <c r="E76" s="261"/>
      <c r="F76" s="261"/>
      <c r="G76" s="261"/>
      <c r="H76" s="151" t="s">
        <v>5128</v>
      </c>
      <c r="I76" s="110"/>
      <c r="J76" s="109"/>
      <c r="K76" s="261"/>
      <c r="L76" s="261"/>
      <c r="M76" s="261"/>
      <c r="N76" s="261"/>
      <c r="O76" s="261"/>
      <c r="P76" s="261"/>
      <c r="Q76" s="261"/>
      <c r="R76" s="261"/>
      <c r="S76" s="261"/>
      <c r="T76" s="261"/>
      <c r="U76" s="145" t="s">
        <v>186</v>
      </c>
      <c r="V76" s="145" t="b">
        <v>1</v>
      </c>
    </row>
    <row r="77" outlineLevel="1">
      <c r="A77" s="230" t="s">
        <v>5129</v>
      </c>
      <c r="B77" s="109"/>
      <c r="C77" s="231" t="s">
        <v>48</v>
      </c>
      <c r="D77" s="231" t="s">
        <v>49</v>
      </c>
      <c r="E77" s="232" t="s">
        <v>50</v>
      </c>
      <c r="F77" s="233" t="s">
        <v>51</v>
      </c>
      <c r="G77" s="232" t="str">
        <f>'テンプレート'!G85</f>
        <v>ガード硬直</v>
      </c>
      <c r="H77" s="382" t="str">
        <f>'テンプレート'!H85</f>
        <v>備考</v>
      </c>
      <c r="I77" s="110"/>
      <c r="J77" s="109"/>
      <c r="K77" s="235" t="str">
        <f>'テンプレート'!K85</f>
        <v>ベクトル</v>
      </c>
      <c r="L77" s="235" t="str">
        <f>'テンプレート'!L85</f>
        <v>KBG (R.E.)</v>
      </c>
      <c r="M77" s="235" t="str">
        <f>'テンプレート'!M85</f>
        <v>BKB (R.A.)</v>
      </c>
      <c r="N77" s="235" t="str">
        <f>'テンプレート'!N85</f>
        <v>FKB (R.F.)</v>
      </c>
      <c r="O77" s="236" t="str">
        <f>'テンプレート'!O85</f>
        <v>盾削り値</v>
      </c>
      <c r="P77" s="235" t="str">
        <f>'テンプレート'!P85</f>
        <v>ﾋｯﾄｽﾄｯﾌﾟ</v>
      </c>
      <c r="Q77" s="236" t="str">
        <f>'テンプレート'!Q85</f>
        <v>ずらし</v>
      </c>
      <c r="R77" s="235" t="str">
        <f>'テンプレート'!R85</f>
        <v>相殺</v>
      </c>
      <c r="S77" s="236" t="str">
        <f>'テンプレート'!S85</f>
        <v>相殺ﾓｰｼｮﾝ</v>
      </c>
      <c r="T77" s="236" t="str">
        <f>'テンプレート'!T85</f>
        <v>飛び道具</v>
      </c>
      <c r="U77" s="236" t="str">
        <f>'テンプレート'!U85</f>
        <v>慣性反転</v>
      </c>
      <c r="V77" s="236" t="str">
        <f>'テンプレート'!V85</f>
        <v>向き反転</v>
      </c>
    </row>
    <row r="78" outlineLevel="1">
      <c r="A78" s="1202" t="s">
        <v>332</v>
      </c>
      <c r="B78" s="402" t="s">
        <v>5130</v>
      </c>
      <c r="C78" s="138" t="s">
        <v>5131</v>
      </c>
      <c r="D78" s="467" t="s">
        <v>185</v>
      </c>
      <c r="E78" s="261"/>
      <c r="F78" s="261"/>
      <c r="G78" s="261"/>
      <c r="H78" s="163" t="s">
        <v>5132</v>
      </c>
      <c r="I78" s="164"/>
      <c r="J78" s="104"/>
      <c r="K78" s="261"/>
      <c r="L78" s="261"/>
      <c r="M78" s="261"/>
      <c r="N78" s="261"/>
      <c r="O78" s="261"/>
      <c r="P78" s="261"/>
      <c r="Q78" s="261"/>
      <c r="R78" s="261"/>
      <c r="S78" s="261"/>
      <c r="T78" s="261"/>
      <c r="U78" s="166" t="b">
        <v>0</v>
      </c>
      <c r="V78" s="166" t="b">
        <v>0</v>
      </c>
    </row>
    <row r="79" outlineLevel="1">
      <c r="A79" s="546" t="s">
        <v>184</v>
      </c>
      <c r="B79" s="402" t="s">
        <v>666</v>
      </c>
      <c r="C79" s="261"/>
      <c r="D79" s="467" t="s">
        <v>393</v>
      </c>
      <c r="E79" s="261"/>
      <c r="F79" s="261"/>
      <c r="G79" s="261"/>
      <c r="H79" s="212"/>
      <c r="J79" s="210"/>
      <c r="K79" s="261"/>
      <c r="L79" s="261"/>
      <c r="M79" s="261"/>
      <c r="N79" s="261"/>
      <c r="O79" s="261"/>
      <c r="P79" s="261"/>
      <c r="Q79" s="261"/>
      <c r="R79" s="261"/>
      <c r="S79" s="261"/>
      <c r="T79" s="261"/>
      <c r="U79" s="146"/>
      <c r="V79" s="146"/>
    </row>
    <row r="80" outlineLevel="1">
      <c r="A80" s="156"/>
      <c r="B80" s="402" t="s">
        <v>5133</v>
      </c>
      <c r="C80" s="261"/>
      <c r="D80" s="467" t="s">
        <v>876</v>
      </c>
      <c r="E80" s="261"/>
      <c r="F80" s="261"/>
      <c r="G80" s="261"/>
      <c r="H80" s="212"/>
      <c r="J80" s="210"/>
      <c r="K80" s="261"/>
      <c r="L80" s="261"/>
      <c r="M80" s="261"/>
      <c r="N80" s="261"/>
      <c r="O80" s="261"/>
      <c r="P80" s="261"/>
      <c r="Q80" s="261"/>
      <c r="R80" s="261"/>
      <c r="S80" s="261"/>
      <c r="T80" s="261"/>
      <c r="U80" s="146"/>
      <c r="V80" s="146"/>
    </row>
    <row r="81" outlineLevel="1">
      <c r="A81" s="546" t="s">
        <v>3284</v>
      </c>
      <c r="B81" s="402" t="s">
        <v>604</v>
      </c>
      <c r="C81" s="365" t="s">
        <v>5134</v>
      </c>
      <c r="D81" s="261"/>
      <c r="E81" s="239" t="s">
        <v>381</v>
      </c>
      <c r="F81" s="138">
        <v>1.92</v>
      </c>
      <c r="G81" s="239" t="s">
        <v>170</v>
      </c>
      <c r="H81" s="212"/>
      <c r="J81" s="210"/>
      <c r="K81" s="138"/>
      <c r="L81" s="138"/>
      <c r="M81" s="145"/>
      <c r="N81" s="145"/>
      <c r="O81" s="138">
        <v>0.0</v>
      </c>
      <c r="P81" s="138">
        <v>1.0</v>
      </c>
      <c r="Q81" s="138">
        <v>1.0</v>
      </c>
      <c r="R81" s="145" t="b">
        <v>1</v>
      </c>
      <c r="S81" s="145" t="b">
        <v>0</v>
      </c>
      <c r="T81" s="145" t="b">
        <v>1</v>
      </c>
      <c r="U81" s="146"/>
      <c r="V81" s="146"/>
    </row>
    <row r="82" outlineLevel="1">
      <c r="A82" s="146"/>
      <c r="B82" s="402" t="s">
        <v>606</v>
      </c>
      <c r="C82" s="365" t="s">
        <v>5135</v>
      </c>
      <c r="D82" s="261"/>
      <c r="E82" s="239" t="s">
        <v>3396</v>
      </c>
      <c r="F82" s="138">
        <v>1.08</v>
      </c>
      <c r="G82" s="239" t="s">
        <v>170</v>
      </c>
      <c r="H82" s="212"/>
      <c r="J82" s="210"/>
      <c r="K82" s="138"/>
      <c r="L82" s="138"/>
      <c r="M82" s="145"/>
      <c r="N82" s="145"/>
      <c r="O82" s="138">
        <v>0.0</v>
      </c>
      <c r="P82" s="138">
        <v>1.0</v>
      </c>
      <c r="Q82" s="138">
        <v>1.0</v>
      </c>
      <c r="R82" s="145" t="b">
        <v>1</v>
      </c>
      <c r="S82" s="145" t="b">
        <v>0</v>
      </c>
      <c r="T82" s="145" t="b">
        <v>1</v>
      </c>
      <c r="U82" s="146"/>
      <c r="V82" s="146"/>
    </row>
    <row r="83" outlineLevel="1">
      <c r="A83" s="146"/>
      <c r="B83" s="402" t="s">
        <v>202</v>
      </c>
      <c r="C83" s="239" t="s">
        <v>1398</v>
      </c>
      <c r="D83" s="261"/>
      <c r="E83" s="239" t="s">
        <v>129</v>
      </c>
      <c r="F83" s="138">
        <v>14.399999999999999</v>
      </c>
      <c r="G83" s="239" t="s">
        <v>147</v>
      </c>
      <c r="H83" s="212"/>
      <c r="J83" s="210"/>
      <c r="K83" s="138"/>
      <c r="L83" s="138"/>
      <c r="M83" s="145"/>
      <c r="N83" s="145"/>
      <c r="O83" s="138">
        <v>0.0</v>
      </c>
      <c r="P83" s="138">
        <v>1.0</v>
      </c>
      <c r="Q83" s="138">
        <v>1.0</v>
      </c>
      <c r="R83" s="145" t="b">
        <v>1</v>
      </c>
      <c r="S83" s="145" t="b">
        <v>0</v>
      </c>
      <c r="T83" s="145" t="b">
        <v>1</v>
      </c>
      <c r="U83" s="146"/>
      <c r="V83" s="146"/>
    </row>
    <row r="84" outlineLevel="1">
      <c r="A84" s="156"/>
      <c r="B84" s="402" t="s">
        <v>1485</v>
      </c>
      <c r="C84" s="239" t="s">
        <v>64</v>
      </c>
      <c r="D84" s="261"/>
      <c r="E84" s="239" t="s">
        <v>128</v>
      </c>
      <c r="F84" s="138">
        <v>12.0</v>
      </c>
      <c r="G84" s="239" t="s">
        <v>147</v>
      </c>
      <c r="H84" s="106"/>
      <c r="I84" s="168"/>
      <c r="J84" s="107"/>
      <c r="K84" s="138"/>
      <c r="L84" s="138"/>
      <c r="M84" s="145"/>
      <c r="N84" s="145"/>
      <c r="O84" s="138">
        <v>0.0</v>
      </c>
      <c r="P84" s="138">
        <v>1.0</v>
      </c>
      <c r="Q84" s="138">
        <v>1.0</v>
      </c>
      <c r="R84" s="145" t="b">
        <v>1</v>
      </c>
      <c r="S84" s="145" t="b">
        <v>0</v>
      </c>
      <c r="T84" s="145" t="b">
        <v>1</v>
      </c>
      <c r="U84" s="156"/>
      <c r="V84" s="156"/>
    </row>
    <row r="85">
      <c r="A85" s="223"/>
      <c r="B85" s="224"/>
      <c r="C85" s="225"/>
      <c r="D85" s="225"/>
      <c r="E85" s="226"/>
      <c r="F85" s="226"/>
      <c r="G85" s="226"/>
      <c r="H85" s="227"/>
      <c r="I85" s="227"/>
      <c r="J85" s="228"/>
      <c r="K85" s="228"/>
      <c r="L85" s="228"/>
      <c r="M85" s="228"/>
      <c r="N85" s="228"/>
      <c r="O85" s="228"/>
      <c r="P85" s="228"/>
      <c r="Q85" s="118"/>
      <c r="R85" s="118"/>
      <c r="S85" s="118"/>
      <c r="T85" s="118"/>
      <c r="U85" s="118"/>
      <c r="V85" s="118"/>
    </row>
    <row r="86">
      <c r="A86" s="264" t="str">
        <f>'テンプレート'!A91</f>
        <v>つかみ・投げ</v>
      </c>
      <c r="B86" s="104"/>
      <c r="C86" s="227"/>
      <c r="D86" s="227"/>
      <c r="E86" s="228"/>
      <c r="F86" s="265"/>
      <c r="G86" s="265"/>
      <c r="H86" s="228"/>
      <c r="I86" s="228"/>
      <c r="J86" s="228"/>
      <c r="K86" s="228"/>
      <c r="L86" s="228"/>
      <c r="M86" s="228"/>
      <c r="N86" s="118"/>
      <c r="O86" s="118"/>
      <c r="P86" s="118"/>
      <c r="Q86" s="228"/>
      <c r="R86" s="228"/>
      <c r="S86" s="228"/>
      <c r="T86" s="228"/>
      <c r="U86" s="228"/>
      <c r="V86" s="228"/>
    </row>
    <row r="87" outlineLevel="1">
      <c r="A87" s="106"/>
      <c r="B87" s="107"/>
      <c r="C87" s="266" t="str">
        <f>'テンプレート'!C92</f>
        <v>判定持続</v>
      </c>
      <c r="D87" s="266" t="str">
        <f>'テンプレート'!D92</f>
        <v>全体フレーム</v>
      </c>
      <c r="E87" s="266" t="str">
        <f>'テンプレート'!E92</f>
        <v>基礎ダメージ</v>
      </c>
      <c r="F87" s="267" t="str">
        <f>'テンプレート'!F92</f>
        <v>ダメージ (1v1)</v>
      </c>
      <c r="G87" s="227"/>
      <c r="H87" s="227"/>
      <c r="I87" s="227"/>
      <c r="J87" s="228"/>
      <c r="K87" s="228"/>
      <c r="L87" s="228"/>
      <c r="M87" s="228"/>
      <c r="N87" s="228"/>
      <c r="O87" s="228"/>
      <c r="P87" s="228"/>
      <c r="Q87" s="228"/>
      <c r="R87" s="228"/>
      <c r="S87" s="228"/>
      <c r="T87" s="228"/>
      <c r="U87" s="228"/>
      <c r="V87" s="228"/>
    </row>
    <row r="88" outlineLevel="1">
      <c r="A88" s="268" t="str">
        <f>'テンプレート'!A93</f>
        <v>つかみ攻撃</v>
      </c>
      <c r="B88" s="269" t="str">
        <f>'テンプレート'!B93</f>
        <v>つかみ攻撃</v>
      </c>
      <c r="C88" s="113" t="s">
        <v>213</v>
      </c>
      <c r="D88" s="113" t="s">
        <v>86</v>
      </c>
      <c r="E88" s="113" t="s">
        <v>214</v>
      </c>
      <c r="F88" s="138">
        <f>E88*1.2</f>
        <v>1.56</v>
      </c>
      <c r="G88" s="227"/>
      <c r="H88" s="227"/>
      <c r="I88" s="227"/>
      <c r="J88" s="228"/>
      <c r="K88" s="228"/>
      <c r="L88" s="228"/>
      <c r="M88" s="228"/>
      <c r="N88" s="228"/>
      <c r="O88" s="228"/>
      <c r="P88" s="228"/>
      <c r="Q88" s="228"/>
      <c r="R88" s="228"/>
      <c r="S88" s="228"/>
      <c r="T88" s="228"/>
      <c r="U88" s="228"/>
      <c r="V88" s="228"/>
    </row>
    <row r="89" outlineLevel="1">
      <c r="A89" s="270" t="str">
        <f>'テンプレート'!A94</f>
        <v>つかみ</v>
      </c>
      <c r="B89" s="269" t="str">
        <f>'テンプレート'!B94</f>
        <v>その場</v>
      </c>
      <c r="C89" s="113" t="s">
        <v>325</v>
      </c>
      <c r="D89" s="113" t="s">
        <v>127</v>
      </c>
      <c r="E89" s="271"/>
      <c r="F89" s="272"/>
      <c r="G89" s="272"/>
      <c r="H89" s="227"/>
      <c r="I89" s="227"/>
      <c r="J89" s="228"/>
      <c r="K89" s="228"/>
      <c r="L89" s="228"/>
      <c r="M89" s="228"/>
      <c r="N89" s="228"/>
      <c r="O89" s="228"/>
      <c r="P89" s="228"/>
      <c r="Q89" s="228"/>
      <c r="R89" s="228"/>
      <c r="S89" s="228"/>
      <c r="T89" s="228"/>
      <c r="U89" s="228"/>
      <c r="V89" s="228"/>
    </row>
    <row r="90" outlineLevel="1">
      <c r="A90" s="212"/>
      <c r="B90" s="269" t="str">
        <f>'テンプレート'!B95</f>
        <v>ダッシュ</v>
      </c>
      <c r="C90" s="113" t="s">
        <v>460</v>
      </c>
      <c r="D90" s="113" t="s">
        <v>374</v>
      </c>
      <c r="E90" s="271"/>
      <c r="F90" s="272"/>
      <c r="G90" s="272"/>
      <c r="H90" s="227"/>
      <c r="I90" s="227"/>
      <c r="J90" s="228"/>
      <c r="K90" s="228"/>
      <c r="L90" s="228"/>
      <c r="M90" s="228"/>
      <c r="N90" s="228"/>
      <c r="O90" s="228"/>
      <c r="P90" s="228"/>
      <c r="Q90" s="228"/>
      <c r="R90" s="228"/>
      <c r="S90" s="228"/>
      <c r="T90" s="228"/>
      <c r="U90" s="228"/>
      <c r="V90" s="228"/>
    </row>
    <row r="91" outlineLevel="1">
      <c r="A91" s="106"/>
      <c r="B91" s="269" t="str">
        <f>'テンプレート'!B96</f>
        <v>ふりむき</v>
      </c>
      <c r="C91" s="113" t="s">
        <v>894</v>
      </c>
      <c r="D91" s="113" t="s">
        <v>393</v>
      </c>
      <c r="E91" s="227"/>
      <c r="F91" s="272"/>
      <c r="G91" s="272"/>
      <c r="H91" s="227"/>
      <c r="I91" s="227"/>
      <c r="J91" s="228"/>
      <c r="K91" s="228"/>
      <c r="L91" s="228"/>
      <c r="M91" s="228"/>
      <c r="N91" s="228"/>
      <c r="O91" s="228"/>
      <c r="P91" s="228"/>
      <c r="Q91" s="228"/>
      <c r="R91" s="228"/>
      <c r="S91" s="228"/>
      <c r="T91" s="228"/>
      <c r="U91" s="228"/>
      <c r="V91" s="228"/>
    </row>
    <row r="92" outlineLevel="1">
      <c r="A92" s="273" t="str">
        <f>'テンプレート'!A97</f>
        <v>投げ</v>
      </c>
      <c r="B92" s="109"/>
      <c r="C92" s="266" t="str">
        <f>'テンプレート'!C97</f>
        <v>判定持続</v>
      </c>
      <c r="D92" s="266" t="str">
        <f>'テンプレート'!D97</f>
        <v>全体フレーム</v>
      </c>
      <c r="E92" s="266" t="str">
        <f>'テンプレート'!E97</f>
        <v>基礎ダメージ</v>
      </c>
      <c r="F92" s="266" t="str">
        <f>'テンプレート'!F97</f>
        <v>ダメージ (1v1)</v>
      </c>
      <c r="G92" s="669" t="str">
        <f>'テンプレート'!G97</f>
        <v>備考</v>
      </c>
      <c r="H92" s="110"/>
      <c r="I92" s="110"/>
      <c r="J92" s="109"/>
      <c r="K92" s="275" t="str">
        <f>'テンプレート'!K97</f>
        <v>ベクトル</v>
      </c>
      <c r="L92" s="275" t="str">
        <f>'テンプレート'!L97</f>
        <v>KBG (R.E.)</v>
      </c>
      <c r="M92" s="275" t="str">
        <f>'テンプレート'!M97</f>
        <v>BKB (R.A.)</v>
      </c>
      <c r="N92" s="275" t="str">
        <f>'テンプレート'!N97</f>
        <v>FKB (R.F.)</v>
      </c>
      <c r="O92" s="276" t="str">
        <f>'テンプレート'!O97</f>
        <v>盾削り値</v>
      </c>
      <c r="P92" s="275" t="str">
        <f>'テンプレート'!P97</f>
        <v>ﾋｯﾄｽﾄｯﾌﾟ</v>
      </c>
      <c r="Q92" s="276" t="str">
        <f>'テンプレート'!Q97</f>
        <v>ずらし</v>
      </c>
      <c r="R92" s="277"/>
      <c r="S92" s="277"/>
      <c r="T92" s="277"/>
      <c r="U92" s="277"/>
      <c r="V92" s="277"/>
    </row>
    <row r="93" outlineLevel="1">
      <c r="A93" s="278" t="str">
        <f>'テンプレート'!A98</f>
        <v>前投げ</v>
      </c>
      <c r="B93" s="269" t="str">
        <f>'テンプレート'!B98</f>
        <v>打撃</v>
      </c>
      <c r="C93" s="261"/>
      <c r="D93" s="279" t="s">
        <v>146</v>
      </c>
      <c r="E93" s="261"/>
      <c r="F93" s="261"/>
      <c r="G93" s="1170"/>
      <c r="H93" s="164"/>
      <c r="I93" s="164"/>
      <c r="J93" s="104"/>
      <c r="K93" s="261"/>
      <c r="L93" s="261"/>
      <c r="M93" s="261"/>
      <c r="N93" s="261"/>
      <c r="O93" s="261"/>
      <c r="P93" s="261"/>
      <c r="Q93" s="277"/>
      <c r="R93" s="228"/>
      <c r="S93" s="228"/>
      <c r="T93" s="228"/>
      <c r="U93" s="228"/>
    </row>
    <row r="94" outlineLevel="1">
      <c r="A94" s="156"/>
      <c r="B94" s="269" t="str">
        <f>'テンプレート'!B99</f>
        <v>投げ</v>
      </c>
      <c r="C94" s="113" t="s">
        <v>386</v>
      </c>
      <c r="D94" s="156"/>
      <c r="E94" s="239" t="s">
        <v>274</v>
      </c>
      <c r="F94" s="138">
        <f>IFERROR(E94*1.2, "-")</f>
        <v>10.8</v>
      </c>
      <c r="G94" s="106"/>
      <c r="H94" s="168"/>
      <c r="I94" s="168"/>
      <c r="J94" s="107"/>
      <c r="K94" s="282"/>
      <c r="L94" s="363"/>
      <c r="M94" s="363"/>
      <c r="N94" s="261"/>
      <c r="O94" s="261"/>
      <c r="P94" s="261"/>
      <c r="Q94" s="277"/>
      <c r="R94" s="228"/>
      <c r="S94" s="228"/>
      <c r="T94" s="228"/>
      <c r="U94" s="228"/>
    </row>
    <row r="95" outlineLevel="1">
      <c r="A95" s="278" t="str">
        <f>'テンプレート'!A100</f>
        <v>後投げ</v>
      </c>
      <c r="B95" s="269" t="str">
        <f>'テンプレート'!B100</f>
        <v>打撃</v>
      </c>
      <c r="C95" s="261"/>
      <c r="D95" s="279" t="s">
        <v>185</v>
      </c>
      <c r="E95" s="261"/>
      <c r="F95" s="261"/>
      <c r="G95" s="1170"/>
      <c r="H95" s="164"/>
      <c r="I95" s="164"/>
      <c r="J95" s="104"/>
      <c r="K95" s="261"/>
      <c r="L95" s="261"/>
      <c r="M95" s="261"/>
      <c r="N95" s="261"/>
      <c r="O95" s="261"/>
      <c r="P95" s="261"/>
      <c r="Q95" s="277"/>
      <c r="R95" s="228"/>
      <c r="S95" s="228"/>
      <c r="T95" s="228"/>
      <c r="U95" s="228"/>
    </row>
    <row r="96" outlineLevel="1">
      <c r="A96" s="156"/>
      <c r="B96" s="269" t="str">
        <f>'テンプレート'!B101</f>
        <v>投げ</v>
      </c>
      <c r="C96" s="113" t="s">
        <v>119</v>
      </c>
      <c r="D96" s="156"/>
      <c r="E96" s="239" t="s">
        <v>232</v>
      </c>
      <c r="F96" s="138">
        <f>IFERROR(E96*1.2, "-")</f>
        <v>13.2</v>
      </c>
      <c r="G96" s="106"/>
      <c r="H96" s="168"/>
      <c r="I96" s="168"/>
      <c r="J96" s="107"/>
      <c r="K96" s="282"/>
      <c r="L96" s="363"/>
      <c r="M96" s="363"/>
      <c r="N96" s="261"/>
      <c r="O96" s="261"/>
      <c r="P96" s="261"/>
      <c r="Q96" s="277"/>
      <c r="R96" s="228"/>
      <c r="S96" s="228"/>
      <c r="T96" s="228"/>
      <c r="U96" s="228"/>
    </row>
    <row r="97" outlineLevel="1">
      <c r="A97" s="278" t="str">
        <f>'テンプレート'!A102</f>
        <v>上投げ</v>
      </c>
      <c r="B97" s="269" t="str">
        <f>'テンプレート'!B102</f>
        <v>打撃</v>
      </c>
      <c r="C97" s="261"/>
      <c r="D97" s="279" t="s">
        <v>634</v>
      </c>
      <c r="E97" s="261"/>
      <c r="F97" s="261"/>
      <c r="G97" s="1170"/>
      <c r="H97" s="164"/>
      <c r="I97" s="164"/>
      <c r="J97" s="104"/>
      <c r="K97" s="261"/>
      <c r="L97" s="261"/>
      <c r="M97" s="261"/>
      <c r="N97" s="261"/>
      <c r="O97" s="261"/>
      <c r="P97" s="261"/>
      <c r="Q97" s="277"/>
      <c r="R97" s="228"/>
      <c r="S97" s="228"/>
      <c r="T97" s="228"/>
      <c r="U97" s="228"/>
    </row>
    <row r="98" outlineLevel="1">
      <c r="A98" s="156"/>
      <c r="B98" s="269" t="str">
        <f>'テンプレート'!B103</f>
        <v>投げ</v>
      </c>
      <c r="C98" s="113" t="s">
        <v>718</v>
      </c>
      <c r="D98" s="156"/>
      <c r="E98" s="239" t="s">
        <v>128</v>
      </c>
      <c r="F98" s="138">
        <f>IFERROR(E98*1.2, "-")</f>
        <v>12</v>
      </c>
      <c r="G98" s="106"/>
      <c r="H98" s="168"/>
      <c r="I98" s="168"/>
      <c r="J98" s="107"/>
      <c r="K98" s="282"/>
      <c r="L98" s="363"/>
      <c r="M98" s="363"/>
      <c r="N98" s="261"/>
      <c r="O98" s="261"/>
      <c r="P98" s="261"/>
      <c r="Q98" s="277"/>
      <c r="R98" s="117"/>
      <c r="S98" s="117"/>
      <c r="T98" s="117"/>
      <c r="U98" s="117"/>
    </row>
    <row r="99" outlineLevel="1">
      <c r="A99" s="278" t="str">
        <f>'テンプレート'!A104</f>
        <v>下投げ</v>
      </c>
      <c r="B99" s="269" t="str">
        <f>'テンプレート'!B104</f>
        <v>打撃</v>
      </c>
      <c r="C99" s="261"/>
      <c r="D99" s="279" t="s">
        <v>193</v>
      </c>
      <c r="E99" s="261"/>
      <c r="F99" s="261"/>
      <c r="G99" s="283" t="s">
        <v>3321</v>
      </c>
      <c r="H99" s="164"/>
      <c r="I99" s="164"/>
      <c r="J99" s="104"/>
      <c r="K99" s="261"/>
      <c r="L99" s="261"/>
      <c r="M99" s="261"/>
      <c r="N99" s="261"/>
      <c r="O99" s="261"/>
      <c r="P99" s="261"/>
      <c r="Q99" s="277"/>
      <c r="R99" s="117"/>
      <c r="S99" s="117"/>
      <c r="T99" s="117"/>
      <c r="U99" s="117"/>
    </row>
    <row r="100" outlineLevel="1">
      <c r="A100" s="156"/>
      <c r="B100" s="269" t="str">
        <f>'テンプレート'!B105</f>
        <v>投げ</v>
      </c>
      <c r="C100" s="113" t="s">
        <v>466</v>
      </c>
      <c r="D100" s="156"/>
      <c r="E100" s="239" t="s">
        <v>86</v>
      </c>
      <c r="F100" s="138">
        <f>IFERROR(E100*1.2, "-")</f>
        <v>7.2</v>
      </c>
      <c r="G100" s="106"/>
      <c r="H100" s="168"/>
      <c r="I100" s="168"/>
      <c r="J100" s="107"/>
      <c r="K100" s="282"/>
      <c r="L100" s="363"/>
      <c r="M100" s="363"/>
      <c r="N100" s="261"/>
      <c r="O100" s="261"/>
      <c r="P100" s="261"/>
      <c r="Q100" s="277"/>
      <c r="R100" s="117"/>
      <c r="S100" s="117"/>
      <c r="T100" s="117"/>
      <c r="U100" s="117"/>
    </row>
    <row r="101">
      <c r="A101" s="223"/>
      <c r="B101" s="224"/>
      <c r="C101" s="225"/>
      <c r="D101" s="225"/>
      <c r="E101" s="227"/>
      <c r="F101" s="177"/>
      <c r="G101" s="177"/>
      <c r="H101" s="227"/>
      <c r="I101" s="227"/>
      <c r="J101" s="228"/>
      <c r="K101" s="228"/>
      <c r="L101" s="111"/>
      <c r="M101" s="111"/>
      <c r="N101" s="111"/>
      <c r="O101" s="117"/>
      <c r="P101" s="117"/>
      <c r="Q101" s="111"/>
      <c r="R101" s="111"/>
      <c r="S101" s="111"/>
      <c r="T101" s="111"/>
      <c r="U101" s="111"/>
      <c r="V101" s="111"/>
    </row>
    <row r="102">
      <c r="A102" s="284" t="str">
        <f>'テンプレート'!A107</f>
        <v>回避</v>
      </c>
      <c r="B102" s="104"/>
      <c r="C102" s="265"/>
      <c r="D102" s="111"/>
      <c r="E102" s="111"/>
      <c r="F102" s="111"/>
      <c r="G102" s="111"/>
      <c r="H102" s="111"/>
      <c r="I102" s="111"/>
      <c r="J102" s="118"/>
      <c r="K102" s="111"/>
      <c r="L102" s="111"/>
      <c r="M102" s="111"/>
      <c r="N102" s="111"/>
      <c r="O102" s="111"/>
      <c r="P102" s="111"/>
      <c r="Q102" s="118"/>
      <c r="R102" s="111"/>
      <c r="S102" s="111"/>
      <c r="T102" s="111"/>
      <c r="U102" s="111"/>
      <c r="V102" s="111"/>
    </row>
    <row r="103" outlineLevel="1">
      <c r="A103" s="106"/>
      <c r="B103" s="107"/>
      <c r="C103" s="285" t="s">
        <v>235</v>
      </c>
      <c r="D103" s="285" t="s">
        <v>236</v>
      </c>
      <c r="E103" s="285" t="s">
        <v>49</v>
      </c>
      <c r="F103" s="285" t="s">
        <v>237</v>
      </c>
      <c r="G103" s="286"/>
      <c r="H103" s="227"/>
      <c r="I103" s="227"/>
      <c r="J103" s="228"/>
      <c r="K103" s="228"/>
      <c r="L103" s="111"/>
      <c r="M103" s="111"/>
      <c r="N103" s="111"/>
      <c r="O103" s="111"/>
      <c r="P103" s="111"/>
      <c r="Q103" s="111"/>
      <c r="R103" s="111"/>
      <c r="S103" s="111"/>
      <c r="T103" s="111"/>
      <c r="U103" s="111"/>
      <c r="V103" s="111"/>
    </row>
    <row r="104" outlineLevel="1">
      <c r="A104" s="287" t="str">
        <f>'テンプレート'!A109</f>
        <v>地上回避</v>
      </c>
      <c r="B104" s="288" t="str">
        <f>'テンプレート'!B109</f>
        <v>その場</v>
      </c>
      <c r="C104" s="113" t="str">
        <f t="array" ref="C104">INDEX('回避'!$C$3:$U$84, MATCH($A$1,'回避'!$A$3:$A$91,0), MATCH(C103,'回避'!$C$2:$F$2,0))</f>
        <v>3-17</v>
      </c>
      <c r="D104" s="113" t="str">
        <f t="array" ref="D104">INDEX('回避'!$C$3:$U$84, MATCH($A$1,'回避'!$A$3:$A$91,0), MATCH(D103,'回避'!$C$2:$F$2,0))</f>
        <v>6-17</v>
      </c>
      <c r="E104" s="113" t="str">
        <f t="array" ref="E104">INDEX('回避'!$C$3:$U$84, MATCH($A$1,'回避'!$A$3:$A$91,0), MATCH(E103,'回避'!$C$2:$F$2,0))</f>
        <v>25 (20)</v>
      </c>
      <c r="F104" s="113" t="str">
        <f t="array" ref="F104">INDEX('回避'!$C$3:$U$84, MATCH($A$1,'回避'!$A$3:$A$91,0), MATCH(F103,'回避'!$C$2:$F$2,0))</f>
        <v>33 (27)</v>
      </c>
      <c r="G104" s="272"/>
      <c r="H104" s="227"/>
      <c r="I104" s="227"/>
      <c r="J104" s="228"/>
      <c r="K104" s="228"/>
      <c r="L104" s="228"/>
      <c r="M104" s="111"/>
      <c r="N104" s="111"/>
      <c r="O104" s="111"/>
      <c r="P104" s="111"/>
      <c r="Q104" s="111"/>
      <c r="R104" s="111"/>
      <c r="S104" s="111"/>
      <c r="T104" s="111"/>
      <c r="U104" s="111"/>
      <c r="V104" s="111"/>
    </row>
    <row r="105" outlineLevel="1">
      <c r="A105" s="212"/>
      <c r="B105" s="288" t="str">
        <f>'テンプレート'!B110</f>
        <v>前方</v>
      </c>
      <c r="C105" s="113" t="str">
        <f t="array" ref="C105">INDEX('回避'!$G$3:$U$84, MATCH($A$1,'回避'!$A$3:$A$91,0), MATCH(C103,'回避'!$G$2:$J$2,0))</f>
        <v>4-15</v>
      </c>
      <c r="D105" s="113" t="str">
        <f t="array" ref="D105">INDEX('回避'!$G$3:$U$84, MATCH($A$1,'回避'!$A$3:$A$91,0), MATCH(D103,'回避'!$G$2:$J$2,0))</f>
        <v>8-14</v>
      </c>
      <c r="E105" s="113" t="str">
        <f t="array" ref="E105">INDEX('回避'!$G$3:$U$84, MATCH($A$1,'回避'!$A$3:$A$91,0), MATCH(E103,'回避'!$G$2:$J$2,0))</f>
        <v>29</v>
      </c>
      <c r="F105" s="113">
        <f t="array" ref="F105">INDEX('回避'!$G$3:$U$84, MATCH($A$1,'回避'!$A$3:$A$91,0), MATCH(F103,'回避'!$G$2:$J$2,0))</f>
        <v>38</v>
      </c>
      <c r="G105" s="289"/>
      <c r="H105" s="227"/>
      <c r="I105" s="227"/>
      <c r="J105" s="228"/>
      <c r="K105" s="228"/>
      <c r="L105" s="228"/>
      <c r="M105" s="228"/>
      <c r="N105" s="228"/>
      <c r="O105" s="111"/>
      <c r="P105" s="111"/>
      <c r="Q105" s="111"/>
      <c r="R105" s="111"/>
      <c r="S105" s="111"/>
      <c r="T105" s="111"/>
      <c r="U105" s="111"/>
      <c r="V105" s="111"/>
    </row>
    <row r="106" outlineLevel="1">
      <c r="A106" s="106"/>
      <c r="B106" s="288" t="str">
        <f>'テンプレート'!B111</f>
        <v>後方</v>
      </c>
      <c r="C106" s="113" t="str">
        <f t="array" ref="C106">INDEX('回避'!$K$3:$U$84, MATCH($A$1,'回避'!$A$3:$A$91,0), MATCH(C103,'回避'!$K$2:$N$2,0))</f>
        <v>5-16</v>
      </c>
      <c r="D106" s="113" t="str">
        <f t="array" ref="D106">INDEX('回避'!$K$3:$U$84, MATCH($A$1,'回避'!$A$3:$A$91,0), MATCH(D103,'回避'!$K$2:$N$2,0))</f>
        <v>9-14</v>
      </c>
      <c r="E106" s="113" t="str">
        <f t="array" ref="E106">INDEX('回避'!$K$3:$U$84, MATCH($A$1,'回避'!$A$3:$A$91,0), MATCH(E103,'回避'!$K$2:$N$2,0))</f>
        <v>34</v>
      </c>
      <c r="F106" s="113" t="str">
        <f t="array" ref="F106">INDEX('回避'!$K$3:$U$84, MATCH($A$1,'回避'!$A$3:$A$91,0), MATCH(F103,'回避'!$K$2:$N$2,0))</f>
        <v>51</v>
      </c>
      <c r="G106" s="289"/>
      <c r="H106" s="290"/>
      <c r="I106" s="290"/>
      <c r="J106" s="117"/>
      <c r="K106" s="117"/>
      <c r="L106" s="117"/>
      <c r="M106" s="117"/>
      <c r="N106" s="117"/>
      <c r="O106" s="111"/>
      <c r="P106" s="111"/>
      <c r="Q106" s="111"/>
      <c r="R106" s="111"/>
      <c r="S106" s="111"/>
      <c r="T106" s="111"/>
      <c r="U106" s="111"/>
      <c r="V106" s="111"/>
    </row>
    <row r="107" outlineLevel="1">
      <c r="A107" s="287" t="str">
        <f>'テンプレート'!A112</f>
        <v>空中回避</v>
      </c>
      <c r="B107" s="288" t="str">
        <f>'テンプレート'!B112</f>
        <v>通常</v>
      </c>
      <c r="C107" s="113" t="str">
        <f t="array" ref="C107">INDEX('回避'!$O$3:$U$84, MATCH($A$1,'回避'!$A$3:$A$91,0), MATCH(C103,'回避'!$O$2:$R$2,0))</f>
        <v>3-30</v>
      </c>
      <c r="D107" s="113" t="str">
        <f t="array" ref="D107">INDEX('回避'!$O$3:$U$84, MATCH($A$1,'回避'!$A$3:$A$91,0), MATCH(D103,'回避'!$O$2:$R$2,0))</f>
        <v>6-27</v>
      </c>
      <c r="E107" s="113" t="str">
        <f t="array" ref="E107">INDEX('回避'!$O$3:$U$84, MATCH($A$1,'回避'!$A$3:$A$91,0), MATCH(E103,'回避'!$O$2:$R$2,0))</f>
        <v>58</v>
      </c>
      <c r="F107" s="177"/>
      <c r="G107" s="177"/>
      <c r="H107" s="118"/>
      <c r="I107" s="118"/>
      <c r="J107" s="111"/>
      <c r="K107" s="111"/>
      <c r="L107" s="111"/>
      <c r="M107" s="111"/>
      <c r="N107" s="111"/>
      <c r="O107" s="228"/>
      <c r="P107" s="228"/>
      <c r="Q107" s="228"/>
      <c r="R107" s="228"/>
      <c r="S107" s="228"/>
      <c r="T107" s="228"/>
      <c r="U107" s="228"/>
      <c r="V107" s="228"/>
    </row>
    <row r="108" outlineLevel="1">
      <c r="A108" s="106"/>
      <c r="B108" s="288" t="str">
        <f>'テンプレート'!B113</f>
        <v>移動</v>
      </c>
      <c r="C108" s="113" t="str">
        <f t="array" ref="C108">INDEX('回避'!$S$3:$U$84, MATCH($A$1,'回避'!$A$3:$A$91,0), MATCH(C103,'回避'!$S$2:$U$2,0))</f>
        <v>3-21</v>
      </c>
      <c r="D108" s="113" t="str">
        <f t="array" ref="D108">INDEX('回避'!$S$3:$U$84, MATCH($A$1,'回避'!$A$3:$A$91,0), MATCH(D103,'回避'!$S$2:$U$2,0))</f>
        <v>6-20</v>
      </c>
      <c r="E108" s="113" t="str">
        <f t="array" ref="E108">INDEX('回避'!$S$3:$U$84, MATCH($A$1,'回避'!$A$3:$A$91,0), MATCH(E103,'回避'!$S$2:$U$2,0))</f>
        <v>真横：97
真上：133
真下：80</v>
      </c>
      <c r="F108" s="289"/>
      <c r="G108" s="289"/>
      <c r="H108" s="118"/>
      <c r="I108" s="118"/>
      <c r="J108" s="117"/>
      <c r="K108" s="117"/>
      <c r="L108" s="117"/>
      <c r="M108" s="117"/>
      <c r="N108" s="111"/>
      <c r="O108" s="118"/>
      <c r="P108" s="118"/>
      <c r="Q108" s="118"/>
      <c r="R108" s="118"/>
      <c r="S108" s="118"/>
      <c r="T108" s="118"/>
      <c r="U108" s="118"/>
      <c r="V108" s="118"/>
    </row>
    <row r="109">
      <c r="A109" s="291"/>
      <c r="B109" s="292"/>
      <c r="C109" s="286"/>
      <c r="D109" s="286"/>
      <c r="E109" s="293"/>
      <c r="F109" s="286"/>
      <c r="G109" s="286"/>
      <c r="H109" s="286"/>
      <c r="I109" s="286"/>
      <c r="J109" s="111"/>
      <c r="K109" s="227"/>
      <c r="L109" s="227"/>
      <c r="M109" s="227"/>
      <c r="N109" s="227"/>
      <c r="O109" s="118"/>
      <c r="P109" s="118"/>
      <c r="Q109" s="118"/>
      <c r="R109" s="118"/>
      <c r="S109" s="118"/>
      <c r="T109" s="118"/>
      <c r="U109" s="118"/>
      <c r="V109" s="118"/>
    </row>
    <row r="110">
      <c r="A110" s="294" t="str">
        <f>'テンプレート'!A115</f>
        <v>共通動作 (ガケ・受け身...)</v>
      </c>
      <c r="B110" s="104"/>
      <c r="C110" s="228"/>
      <c r="D110" s="117"/>
      <c r="E110" s="228"/>
      <c r="F110" s="114"/>
      <c r="G110" s="114"/>
      <c r="H110" s="117"/>
      <c r="I110" s="117"/>
      <c r="J110" s="118"/>
      <c r="K110" s="118"/>
      <c r="L110" s="118"/>
      <c r="M110" s="118"/>
      <c r="N110" s="118"/>
      <c r="O110" s="118"/>
      <c r="P110" s="118"/>
      <c r="Q110" s="118"/>
      <c r="R110" s="118"/>
      <c r="S110" s="118"/>
      <c r="T110" s="118"/>
      <c r="U110" s="118"/>
      <c r="V110" s="118"/>
    </row>
    <row r="111" outlineLevel="1">
      <c r="A111" s="106"/>
      <c r="B111" s="107"/>
      <c r="C111" s="295" t="str">
        <f>'テンプレート'!C116</f>
        <v>無敵フレーム</v>
      </c>
      <c r="D111" s="295" t="str">
        <f>'テンプレート'!D116</f>
        <v>全体フレーム</v>
      </c>
      <c r="E111" s="295" t="str">
        <f>'テンプレート'!E116</f>
        <v>判定持続</v>
      </c>
      <c r="F111" s="295" t="str">
        <f>'テンプレート'!F116</f>
        <v>基礎ダメージ</v>
      </c>
      <c r="G111" s="296" t="str">
        <f>'テンプレート'!G116</f>
        <v>ダメージ (1v1)</v>
      </c>
      <c r="H111" s="228"/>
      <c r="I111" s="228"/>
      <c r="J111" s="117"/>
      <c r="K111" s="297" t="str">
        <f>'テンプレート'!K116</f>
        <v>アイテム取得</v>
      </c>
      <c r="L111" s="109"/>
      <c r="M111" s="298" t="str">
        <f>'テンプレート'!M116</f>
        <v>取得フレーム</v>
      </c>
      <c r="N111" s="298" t="str">
        <f>'テンプレート'!N116</f>
        <v>全体フレーム</v>
      </c>
      <c r="O111" s="118"/>
      <c r="P111" s="118"/>
      <c r="Q111" s="118"/>
      <c r="R111" s="118"/>
      <c r="S111" s="118"/>
      <c r="T111" s="118"/>
      <c r="U111" s="118"/>
      <c r="V111" s="118"/>
    </row>
    <row r="112" outlineLevel="1">
      <c r="A112" s="299" t="str">
        <f>'テンプレート'!A117</f>
        <v>ガケ行動</v>
      </c>
      <c r="B112" s="300" t="str">
        <f>'テンプレート'!B117</f>
        <v>ガケつかまり</v>
      </c>
      <c r="C112" s="301"/>
      <c r="D112" s="113">
        <f t="array" ref="D112">INDEX('崖行動・受け身'!$C$3:$C$115, MATCH($A$1,'崖行動・受け身'!$A$3:$A$115,0), MATCH(D111,'崖行動・受け身'!$C$2,0))</f>
        <v>19</v>
      </c>
      <c r="E112" s="301"/>
      <c r="F112" s="301"/>
      <c r="G112" s="301"/>
      <c r="H112" s="228"/>
      <c r="I112" s="228"/>
      <c r="J112" s="111"/>
      <c r="K112" s="302" t="str">
        <f>'テンプレート'!K117</f>
        <v>小アイテム</v>
      </c>
      <c r="L112" s="303" t="str">
        <f>'テンプレート'!L117</f>
        <v>その場</v>
      </c>
      <c r="M112" s="113" t="str">
        <f t="array" ref="M112">INDEX('アイテム'!$C$3:$D$115, MATCH($A$1,'アイテム'!$A$3:$A$115,0), MATCH(M$111,'アイテム'!$C$2:$AK$2,0))</f>
        <v>2</v>
      </c>
      <c r="N112" s="113">
        <f t="array" ref="N112">INDEX('アイテム'!$C$3:$D$115, MATCH($A$1,'アイテム'!$A$3:$A$115,0), MATCH(N$111,'アイテム'!$C$2:$AK$2,0))</f>
        <v>7</v>
      </c>
      <c r="O112" s="118"/>
      <c r="P112" s="118"/>
      <c r="Q112" s="118"/>
      <c r="R112" s="118"/>
      <c r="S112" s="118"/>
      <c r="T112" s="118"/>
      <c r="U112" s="118"/>
      <c r="V112" s="118"/>
    </row>
    <row r="113" outlineLevel="1">
      <c r="A113" s="146"/>
      <c r="B113" s="300" t="str">
        <f>'テンプレート'!B118</f>
        <v>その場</v>
      </c>
      <c r="C113" s="113" t="str">
        <f t="array" ref="C113">INDEX('崖行動・受け身'!$D$3:$E$115, MATCH($A$1,'崖行動・受け身'!$A$3:$A$115,0), MATCH(C$111,'崖行動・受け身'!$D$2:$E$2,0))</f>
        <v>1-33</v>
      </c>
      <c r="D113" s="113">
        <f t="array" ref="D113">INDEX('崖行動・受け身'!$D$3:$E$115, MATCH($A$1,'崖行動・受け身'!$A$3:$A$115,0), MATCH(D$111,'崖行動・受け身'!$D$2:$E$2,0))</f>
        <v>34</v>
      </c>
      <c r="E113" s="301"/>
      <c r="F113" s="301"/>
      <c r="G113" s="301"/>
      <c r="H113" s="228"/>
      <c r="I113" s="228"/>
      <c r="J113" s="117"/>
      <c r="K113" s="156"/>
      <c r="L113" s="303" t="str">
        <f>'テンプレート'!L118</f>
        <v>歩き</v>
      </c>
      <c r="M113" s="113" t="str">
        <f t="array" ref="M113">INDEX('アイテム'!$E$3:$F$115, MATCH($A$1,'アイテム'!$A$3:$A$115,0), MATCH(M$111,'アイテム'!$E$2:$AK$2,0))</f>
        <v>2</v>
      </c>
      <c r="N113" s="113">
        <f t="array" ref="N113">INDEX('アイテム'!$E$3:$F$115, MATCH($A$1,'アイテム'!$A$3:$A$115,0), MATCH(N$111,'アイテム'!$E$2:$AK$2,0))</f>
        <v>19</v>
      </c>
      <c r="O113" s="118"/>
      <c r="P113" s="118"/>
      <c r="Q113" s="118"/>
      <c r="R113" s="118"/>
      <c r="S113" s="118"/>
      <c r="T113" s="118"/>
      <c r="U113" s="118"/>
      <c r="V113" s="118"/>
    </row>
    <row r="114" outlineLevel="1">
      <c r="A114" s="146"/>
      <c r="B114" s="300" t="str">
        <f>'テンプレート'!B119</f>
        <v>回避</v>
      </c>
      <c r="C114" s="113" t="str">
        <f t="array" ref="C114">INDEX('崖行動・受け身'!$F$3:$G$115, MATCH($A$1,'崖行動・受け身'!$A$3:$A$115,0), MATCH(C$111,'崖行動・受け身'!$F$2:$G$2,0))</f>
        <v>1-26</v>
      </c>
      <c r="D114" s="113">
        <f t="array" ref="D114">INDEX('崖行動・受け身'!$F$3:$G$115, MATCH($A$1,'崖行動・受け身'!$A$3:$A$115,0), MATCH(D$111,'崖行動・受け身'!$F$2:$G$2,0))</f>
        <v>45</v>
      </c>
      <c r="E114" s="301"/>
      <c r="F114" s="301"/>
      <c r="G114" s="301"/>
      <c r="H114" s="228"/>
      <c r="I114" s="228"/>
      <c r="J114" s="111"/>
      <c r="K114" s="304" t="str">
        <f>'テンプレート'!K119</f>
        <v>アイテム投擲</v>
      </c>
      <c r="L114" s="109"/>
      <c r="M114" s="298" t="str">
        <f>'テンプレート'!M119</f>
        <v>投擲フレーム</v>
      </c>
      <c r="N114" s="298" t="str">
        <f>'テンプレート'!N119</f>
        <v>全体フレーム</v>
      </c>
      <c r="O114" s="118"/>
      <c r="P114" s="118"/>
      <c r="Q114" s="118"/>
      <c r="R114" s="118"/>
      <c r="S114" s="118"/>
      <c r="T114" s="118"/>
      <c r="U114" s="118"/>
      <c r="V114" s="118"/>
    </row>
    <row r="115" outlineLevel="1">
      <c r="A115" s="146"/>
      <c r="B115" s="300" t="str">
        <f>'テンプレート'!B120</f>
        <v>ジャンプ</v>
      </c>
      <c r="C115" s="113" t="str">
        <f t="array" ref="C115">INDEX('崖行動・受け身'!$H$3:$I$115, MATCH($A$1,'崖行動・受け身'!$A$3:$A$115,0), MATCH(C$111,'崖行動・受け身'!$H$2:$I$2,0))</f>
        <v>1-12</v>
      </c>
      <c r="D115" s="113">
        <f t="array" ref="D115">INDEX('崖行動・受け身'!$H$3:$I$115, MATCH($A$1,'崖行動・受け身'!$A$3:$A$115,0), MATCH(D$111,'崖行動・受け身'!$H$2:$I$2,0))</f>
        <v>14</v>
      </c>
      <c r="E115" s="301"/>
      <c r="F115" s="301"/>
      <c r="G115" s="301"/>
      <c r="H115" s="228"/>
      <c r="I115" s="228"/>
      <c r="J115" s="117"/>
      <c r="K115" s="1030" t="str">
        <f>'テンプレート'!K120</f>
        <v>地上投擲</v>
      </c>
      <c r="L115" s="303" t="str">
        <f>'テンプレート'!L120</f>
        <v>前投げ</v>
      </c>
      <c r="M115" s="113" t="str">
        <f t="array" ref="M115">INDEX('アイテム'!$G$3:$H$115, MATCH($A$1,'アイテム'!$A$3:$A$115,0), MATCH(M$114,'アイテム'!$G$2:$AK$2,0))</f>
        <v>8</v>
      </c>
      <c r="N115" s="113">
        <f t="array" ref="N115">INDEX('アイテム'!$G$3:$H$115, MATCH($A$1,'アイテム'!$A$3:$A$115,0), MATCH(N$114,'アイテム'!$G$2:$AK$2,0))</f>
        <v>24</v>
      </c>
      <c r="O115" s="111"/>
      <c r="P115" s="111"/>
      <c r="Q115" s="111"/>
      <c r="R115" s="111"/>
      <c r="S115" s="111"/>
      <c r="T115" s="111"/>
      <c r="U115" s="111"/>
      <c r="V115" s="111"/>
    </row>
    <row r="116" outlineLevel="1">
      <c r="A116" s="156"/>
      <c r="B116" s="300" t="str">
        <f>'テンプレート'!B121</f>
        <v>攻撃</v>
      </c>
      <c r="C116" s="113" t="str">
        <f t="array" ref="C116">INDEX('崖行動・受け身'!$J$3:$M$115, MATCH($A$1,'崖行動・受け身'!$A$3:$A$115,0), MATCH(C$111,'崖行動・受け身'!$J$2:$M$2,0))</f>
        <v>1-23</v>
      </c>
      <c r="D116" s="113">
        <f t="array" ref="D116">INDEX('崖行動・受け身'!$J$3:$M$115, MATCH($A$1,'崖行動・受け身'!$A$3:$A$115,0), MATCH(D$111,'崖行動・受け身'!$J$2:$M$2,0))</f>
        <v>55</v>
      </c>
      <c r="E116" s="113" t="str">
        <f t="array" ref="E116">INDEX('崖行動・受け身'!$J$3:$M$115, MATCH($A$1,'崖行動・受け身'!$A$3:$A$115,0), MATCH(E$111,'崖行動・受け身'!$J$2:$M$2,0))</f>
        <v>21-23</v>
      </c>
      <c r="F116" s="113">
        <f t="array" ref="F116">INDEX('崖行動・受け身'!$J$3:$M$115, MATCH($A$1,'崖行動・受け身'!$A$3:$A$115,0), MATCH(F$111,'崖行動・受け身'!$J$2:$M$2,0))</f>
        <v>9</v>
      </c>
      <c r="G116" s="113">
        <f>F116*1.2</f>
        <v>10.8</v>
      </c>
      <c r="H116" s="228"/>
      <c r="I116" s="228"/>
      <c r="J116" s="111"/>
      <c r="K116" s="146"/>
      <c r="L116" s="303" t="str">
        <f>'テンプレート'!L121</f>
        <v>後投げ</v>
      </c>
      <c r="M116" s="113" t="str">
        <f t="array" ref="M116">INDEX('アイテム'!$I$3:$J$115, MATCH($A$1,'アイテム'!$A$3:$A$115,0), MATCH(M$114,'アイテム'!$I$2:$AK$2,0))</f>
        <v>11</v>
      </c>
      <c r="N116" s="113">
        <f t="array" ref="N116">INDEX('アイテム'!$I$3:$J$115, MATCH($A$1,'アイテム'!$A$3:$A$115,0), MATCH(N$114,'アイテム'!$I$2:$AK$2,0))</f>
        <v>24</v>
      </c>
      <c r="O116" s="111"/>
      <c r="P116" s="111"/>
      <c r="Q116" s="111"/>
      <c r="R116" s="111"/>
      <c r="S116" s="111"/>
      <c r="T116" s="111"/>
      <c r="U116" s="111"/>
      <c r="V116" s="111"/>
    </row>
    <row r="117" outlineLevel="1">
      <c r="A117" s="299" t="str">
        <f>'テンプレート'!A122</f>
        <v>受け身</v>
      </c>
      <c r="B117" s="300" t="str">
        <f>'テンプレート'!B122</f>
        <v>その場</v>
      </c>
      <c r="C117" s="113" t="str">
        <f t="array" ref="C117">INDEX('崖行動・受け身'!$N$3:$O$115, MATCH($A$1,'崖行動・受け身'!$A$3:$A$115,0), MATCH(C$111,'崖行動・受け身'!$N$2:$O$2,0))</f>
        <v>1-20</v>
      </c>
      <c r="D117" s="113">
        <f t="array" ref="D117">INDEX('崖行動・受け身'!$N$3:$O$115, MATCH($A$1,'崖行動・受け身'!$A$3:$A$115,0), MATCH(D$111,'崖行動・受け身'!$N$2:$O$2,0))</f>
        <v>26</v>
      </c>
      <c r="E117" s="301"/>
      <c r="F117" s="301"/>
      <c r="G117" s="301"/>
      <c r="H117" s="228"/>
      <c r="I117" s="228"/>
      <c r="J117" s="117"/>
      <c r="K117" s="146"/>
      <c r="L117" s="303" t="str">
        <f>'テンプレート'!L122</f>
        <v>上投げ</v>
      </c>
      <c r="M117" s="113" t="str">
        <f t="array" ref="M117">INDEX('アイテム'!$K$3:$L$115, MATCH($A$1,'アイテム'!$A$3:$A$115,0), MATCH(M$114,'アイテム'!$K$2:$AK$2,0))</f>
        <v>12</v>
      </c>
      <c r="N117" s="113">
        <f t="array" ref="N117">INDEX('アイテム'!$K$3:$L$115, MATCH($A$1,'アイテム'!$A$3:$A$115,0), MATCH(N$114,'アイテム'!$K$2:$AK$2,0))</f>
        <v>23</v>
      </c>
      <c r="O117" s="228"/>
      <c r="P117" s="228"/>
      <c r="Q117" s="228"/>
      <c r="R117" s="228"/>
      <c r="S117" s="228"/>
      <c r="T117" s="228"/>
      <c r="U117" s="228"/>
      <c r="V117" s="228"/>
    </row>
    <row r="118" outlineLevel="1">
      <c r="A118" s="146"/>
      <c r="B118" s="300" t="str">
        <f>'テンプレート'!B123</f>
        <v>前方</v>
      </c>
      <c r="C118" s="113" t="str">
        <f t="array" ref="C118">INDEX('崖行動・受け身'!$P$3:$Q$115, MATCH($A$1,'崖行動・受け身'!$A$3:$A$115,0), MATCH(C$111,'崖行動・受け身'!$P$2:$Q$2,0))</f>
        <v>1-20</v>
      </c>
      <c r="D118" s="113">
        <f t="array" ref="D118">INDEX('崖行動・受け身'!$P$3:$Q$115, MATCH($A$1,'崖行動・受け身'!$A$3:$A$115,0), MATCH(D$111,'崖行動・受け身'!$P$2:$Q$2,0))</f>
        <v>40</v>
      </c>
      <c r="E118" s="301"/>
      <c r="F118" s="301"/>
      <c r="G118" s="301"/>
      <c r="H118" s="228"/>
      <c r="I118" s="228"/>
      <c r="J118" s="111"/>
      <c r="K118" s="146"/>
      <c r="L118" s="303" t="str">
        <f>'テンプレート'!L123</f>
        <v>下投げ</v>
      </c>
      <c r="M118" s="113" t="str">
        <f t="array" ref="M118">INDEX('アイテム'!$M$3:$N$115, MATCH($A$1,'アイテム'!$A$3:$A$115,0), MATCH(M$114,'アイテム'!$M$2:$AK$2,0))</f>
        <v>7</v>
      </c>
      <c r="N118" s="113">
        <f t="array" ref="N118">INDEX('アイテム'!$M$3:$N$115, MATCH($A$1,'アイテム'!$A$3:$A$115,0), MATCH(N$114,'アイテム'!$M$2:$AK$2,0))</f>
        <v>19</v>
      </c>
      <c r="O118" s="118"/>
      <c r="P118" s="118"/>
      <c r="Q118" s="118"/>
      <c r="R118" s="118"/>
      <c r="S118" s="118"/>
      <c r="T118" s="118"/>
      <c r="U118" s="118"/>
      <c r="V118" s="118"/>
    </row>
    <row r="119" outlineLevel="1">
      <c r="A119" s="156"/>
      <c r="B119" s="300" t="str">
        <f>'テンプレート'!B124</f>
        <v>後方</v>
      </c>
      <c r="C119" s="113" t="str">
        <f t="array" ref="C119">INDEX('崖行動・受け身'!$R$3:$S$115, MATCH($A$1,'崖行動・受け身'!$A$3:$A$115,0), MATCH(C$111,'崖行動・受け身'!$R$2:$S$2,0))</f>
        <v>1-20</v>
      </c>
      <c r="D119" s="113">
        <f t="array" ref="D119">INDEX('崖行動・受け身'!$R$3:$S$115, MATCH($A$1,'崖行動・受け身'!$A$3:$A$115,0), MATCH(D$111,'崖行動・受け身'!$R$2:$S$2,0))</f>
        <v>40</v>
      </c>
      <c r="E119" s="301"/>
      <c r="F119" s="301"/>
      <c r="G119" s="301"/>
      <c r="H119" s="228"/>
      <c r="I119" s="228"/>
      <c r="J119" s="117"/>
      <c r="K119" s="146"/>
      <c r="L119" s="306" t="str">
        <f>'テンプレート'!L124</f>
        <v>ダッシュ</v>
      </c>
      <c r="M119" s="113" t="str">
        <f t="array" ref="M119">INDEX('アイテム'!$O$3:$P$115, MATCH($A$1,'アイテム'!$A$3:$A$115,0), MATCH(M$114,'アイテム'!$O$2:$AK$2,0))</f>
        <v>5</v>
      </c>
      <c r="N119" s="113">
        <f t="array" ref="N119">INDEX('アイテム'!$O$3:$P$115, MATCH($A$1,'アイテム'!$A$3:$A$115,0), MATCH(N$114,'アイテム'!$O$2:$AK$2,0))</f>
        <v>29</v>
      </c>
      <c r="O119" s="118"/>
      <c r="P119" s="118"/>
      <c r="Q119" s="118"/>
      <c r="R119" s="118"/>
      <c r="S119" s="118"/>
      <c r="T119" s="118"/>
      <c r="U119" s="118"/>
      <c r="V119" s="118"/>
    </row>
    <row r="120" outlineLevel="1">
      <c r="A120" s="299" t="str">
        <f>'テンプレート'!A125</f>
        <v>あお向けダウン</v>
      </c>
      <c r="B120" s="300" t="str">
        <f>'テンプレート'!B125</f>
        <v>倒れ</v>
      </c>
      <c r="C120" s="301"/>
      <c r="D120" s="113" t="str">
        <f t="array" ref="D120">INDEX('起きあがり'!$C$3:$C$115, MATCH($A$1,'起きあがり'!$A$3:$A$115,0), MATCH(D$111,'起きあがり'!$C$2:$AD$2,0))</f>
        <v>25</v>
      </c>
      <c r="E120" s="301"/>
      <c r="F120" s="301"/>
      <c r="G120" s="301"/>
      <c r="H120" s="228"/>
      <c r="I120" s="228"/>
      <c r="J120" s="111"/>
      <c r="K120" s="156"/>
      <c r="L120" s="306" t="str">
        <f>'テンプレート'!L125</f>
        <v>その場捨て</v>
      </c>
      <c r="M120" s="113" t="str">
        <f t="array" ref="M120">INDEX('アイテム'!$Q$3:$R$115, MATCH($A$1,'アイテム'!$A$3:$A$115,0), MATCH(M$114,'アイテム'!$Q$2:$AK$2,0))</f>
        <v>6</v>
      </c>
      <c r="N120" s="113">
        <f t="array" ref="N120">INDEX('アイテム'!$Q$3:$R$115, MATCH($A$1,'アイテム'!$A$3:$A$115,0), MATCH(N$114,'アイテム'!$Q$2:$AK$2,0))</f>
        <v>23</v>
      </c>
      <c r="O120" s="118"/>
      <c r="P120" s="118"/>
      <c r="Q120" s="118"/>
      <c r="R120" s="118"/>
      <c r="S120" s="118"/>
      <c r="T120" s="118"/>
      <c r="U120" s="118"/>
      <c r="V120" s="118"/>
    </row>
    <row r="121" outlineLevel="1">
      <c r="A121" s="146"/>
      <c r="B121" s="300" t="str">
        <f>'テンプレート'!B126</f>
        <v>その場</v>
      </c>
      <c r="C121" s="307" t="str">
        <f t="array" ref="C121">INDEX('起きあがり'!$D$3:$E$115, MATCH($A$1,'起きあがり'!$A$3:$A$115,0), MATCH(C$111,'起きあがり'!$D$2:$AD$2,0))</f>
        <v>1-22</v>
      </c>
      <c r="D121" s="308">
        <f t="array" ref="D121">INDEX('起きあがり'!$D$3:$E$115, MATCH($A$1,'起きあがり'!$A$3:$A$115,0), MATCH(D$111,'起きあがり'!$D$2:$AD$2,0))</f>
        <v>29</v>
      </c>
      <c r="E121" s="301"/>
      <c r="F121" s="301"/>
      <c r="G121" s="301"/>
      <c r="H121" s="228"/>
      <c r="I121" s="228"/>
      <c r="J121" s="117"/>
      <c r="K121" s="1030" t="str">
        <f>'テンプレート'!K126</f>
        <v>空中投擲</v>
      </c>
      <c r="L121" s="303" t="str">
        <f>'テンプレート'!L126</f>
        <v>前投げ</v>
      </c>
      <c r="M121" s="113" t="str">
        <f t="array" ref="M121">INDEX('アイテム'!$S$3:$T$115, MATCH($A$1,'アイテム'!$A$3:$A$115,0), MATCH(M$114,'アイテム'!$S$2:$AK$2,0))</f>
        <v>8</v>
      </c>
      <c r="N121" s="113">
        <f t="array" ref="N121">INDEX('アイテム'!$S$3:$T$115, MATCH($A$1,'アイテム'!$A$3:$A$115,0), MATCH(N$114,'アイテム'!$S$2:$AK$2,0))</f>
        <v>24</v>
      </c>
      <c r="O121" s="118"/>
      <c r="P121" s="118"/>
      <c r="Q121" s="118"/>
      <c r="R121" s="118"/>
      <c r="S121" s="118"/>
      <c r="T121" s="118"/>
      <c r="U121" s="118"/>
      <c r="V121" s="118"/>
    </row>
    <row r="122" outlineLevel="1">
      <c r="A122" s="146"/>
      <c r="B122" s="300" t="str">
        <f>'テンプレート'!B127</f>
        <v>前方</v>
      </c>
      <c r="C122" s="307" t="str">
        <f t="array" ref="C122">INDEX('起きあがり'!$F$3:$G$115, MATCH($A$1,'起きあがり'!$A$3:$A$115,0), MATCH(C$111,'起きあがり'!$F$2:$AD$2,0))</f>
        <v>1-21</v>
      </c>
      <c r="D122" s="308">
        <f t="array" ref="D122">INDEX('起きあがり'!$F$3:$G$115, MATCH($A$1,'起きあがり'!$A$3:$A$115,0), MATCH(D$111,'起きあがり'!$F$2:$AD$2,0))</f>
        <v>35</v>
      </c>
      <c r="E122" s="301"/>
      <c r="F122" s="301"/>
      <c r="G122" s="301"/>
      <c r="H122" s="228"/>
      <c r="I122" s="228"/>
      <c r="J122" s="111"/>
      <c r="K122" s="146"/>
      <c r="L122" s="303" t="str">
        <f>'テンプレート'!L127</f>
        <v>後投げ</v>
      </c>
      <c r="M122" s="113" t="str">
        <f t="array" ref="M122">INDEX('アイテム'!$U$3:$V$115, MATCH($A$1,'アイテム'!$A$3:$A$115,0), MATCH(M$114,'アイテム'!$U$2:$AK$2,0))</f>
        <v>11</v>
      </c>
      <c r="N122" s="113">
        <f t="array" ref="N122">INDEX('アイテム'!$U$3:$V$115, MATCH($A$1,'アイテム'!$A$3:$A$115,0), MATCH(N$114,'アイテム'!$U$2:$AK$2,0))</f>
        <v>24</v>
      </c>
      <c r="O122" s="118"/>
      <c r="P122" s="118"/>
      <c r="Q122" s="118"/>
      <c r="R122" s="118"/>
      <c r="S122" s="118"/>
      <c r="T122" s="118"/>
      <c r="U122" s="118"/>
      <c r="V122" s="118"/>
    </row>
    <row r="123" outlineLevel="1">
      <c r="A123" s="146"/>
      <c r="B123" s="300" t="str">
        <f>'テンプレート'!B128</f>
        <v>後方</v>
      </c>
      <c r="C123" s="113" t="str">
        <f t="array" ref="C123">INDEX('起きあがり'!$H$3:$I$115, MATCH($A$1,'起きあがり'!$A$3:$A$115,0), MATCH(C$111,'起きあがり'!$H$2:$AD$2,0))</f>
        <v>1-22</v>
      </c>
      <c r="D123" s="113">
        <f t="array" ref="D123">INDEX('起きあがり'!$H$3:$I$115, MATCH($A$1,'起きあがり'!$A$3:$A$115,0), MATCH(D$111,'起きあがり'!$H$2:$AD$2,0))</f>
        <v>35</v>
      </c>
      <c r="E123" s="301"/>
      <c r="F123" s="301"/>
      <c r="G123" s="301"/>
      <c r="H123" s="228"/>
      <c r="I123" s="228"/>
      <c r="J123" s="117"/>
      <c r="K123" s="146"/>
      <c r="L123" s="303" t="str">
        <f>'テンプレート'!L128</f>
        <v>上投げ</v>
      </c>
      <c r="M123" s="113" t="str">
        <f t="array" ref="M123">INDEX('アイテム'!$W$3:$X$115, MATCH($A$1,'アイテム'!$A$3:$A$115,0), MATCH(M$114,'アイテム'!$W$2:$AK$2,0))</f>
        <v>12</v>
      </c>
      <c r="N123" s="113">
        <f t="array" ref="N123">INDEX('アイテム'!$W$3:$X$115, MATCH($A$1,'アイテム'!$A$3:$A$115,0), MATCH(N$114,'アイテム'!$W$2:$AK$2,0))</f>
        <v>23</v>
      </c>
      <c r="O123" s="118"/>
      <c r="P123" s="118"/>
      <c r="Q123" s="118"/>
      <c r="R123" s="118"/>
      <c r="S123" s="118"/>
      <c r="T123" s="118"/>
      <c r="U123" s="118"/>
      <c r="V123" s="118"/>
    </row>
    <row r="124" outlineLevel="1">
      <c r="A124" s="146"/>
      <c r="B124" s="1709" t="str">
        <f>'テンプレート'!B129</f>
        <v>攻撃1</v>
      </c>
      <c r="C124" s="309" t="str">
        <f t="array" ref="C124">INDEX('起きあがり'!$J$3:$M$115, MATCH($A$1,'起きあがり'!$A$3:$A$115,0), MATCH(C$111,'起きあがり'!$J$2:$AD$2,0))</f>
        <v>1-25</v>
      </c>
      <c r="D124" s="310">
        <f t="array" ref="D124">INDEX('起きあがり'!$J$3:$M$115, MATCH($A$1,'起きあがり'!$A$3:$A$115,0), MATCH(D$111,'起きあがり'!$J$2:$AD$2,0))</f>
        <v>45</v>
      </c>
      <c r="E124" s="307" t="str">
        <f t="array" ref="E124">INDEX('起きあがり'!$J$3:$M$115, MATCH($A$1,'起きあがり'!$A$3:$A$115,0), MATCH(E$111,'起きあがり'!$J$2:$AD$2,0))</f>
        <v>18-19</v>
      </c>
      <c r="F124" s="308">
        <f t="array" ref="F124">INDEX('起きあがり'!$J$3:$M$115, MATCH($A$1,'起きあがり'!$A$3:$A$115,0), MATCH(F$111,'起きあがり'!$J$2:$AD$2,0))</f>
        <v>7</v>
      </c>
      <c r="G124" s="113">
        <f t="shared" ref="G124:G125" si="1">F124*1.2</f>
        <v>8.4</v>
      </c>
      <c r="H124" s="228"/>
      <c r="I124" s="228"/>
      <c r="J124" s="111"/>
      <c r="K124" s="156"/>
      <c r="L124" s="303" t="str">
        <f>'テンプレート'!L129</f>
        <v>下投げ</v>
      </c>
      <c r="M124" s="113" t="str">
        <f t="array" ref="M124">INDEX('アイテム'!$Y$3:$Z$115, MATCH($A$1,'アイテム'!$A$3:$A$115,0), MATCH(M$114,'アイテム'!$Y$2:$AK$2,0))</f>
        <v>7</v>
      </c>
      <c r="N124" s="113">
        <f t="array" ref="N124">INDEX('アイテム'!$Y$3:$Z$115, MATCH($A$1,'アイテム'!$A$3:$A$115,0), MATCH(N$114,'アイテム'!$Y$2:$AK$2,0))</f>
        <v>19</v>
      </c>
      <c r="O124" s="111"/>
      <c r="P124" s="111"/>
      <c r="Q124" s="111"/>
      <c r="R124" s="111"/>
      <c r="S124" s="111"/>
      <c r="T124" s="111"/>
      <c r="U124" s="111"/>
      <c r="V124" s="111"/>
    </row>
    <row r="125" outlineLevel="1">
      <c r="A125" s="156"/>
      <c r="B125" s="156"/>
      <c r="C125" s="156"/>
      <c r="D125" s="156"/>
      <c r="E125" s="307" t="str">
        <f t="array" ref="E125">INDEX('起きあがり'!$N$3:$O$115, MATCH($A$1,'起きあがり'!$A$3:$A$115,0), MATCH(E$111,'起きあがり'!$N$2:$AD$2,0))</f>
        <v>24-25</v>
      </c>
      <c r="F125" s="308">
        <f t="array" ref="F125">INDEX('起きあがり'!$N$3:$O$115, MATCH($A$1,'起きあがり'!$A$3:$A$115,0), MATCH(F$111,'起きあがり'!$N$2:$AD$2,0))</f>
        <v>7</v>
      </c>
      <c r="G125" s="113">
        <f t="shared" si="1"/>
        <v>8.4</v>
      </c>
      <c r="H125" s="228"/>
      <c r="I125" s="228"/>
      <c r="J125" s="111"/>
      <c r="K125" s="312" t="str">
        <f>'テンプレート'!K130</f>
        <v>踏み台ジャンプ</v>
      </c>
      <c r="L125" s="168"/>
      <c r="M125" s="298" t="str">
        <f>'テンプレート'!M130</f>
        <v>全体フレーム</v>
      </c>
      <c r="N125" s="114"/>
      <c r="O125" s="111"/>
      <c r="P125" s="111"/>
      <c r="Q125" s="111"/>
      <c r="R125" s="111"/>
      <c r="S125" s="111"/>
      <c r="T125" s="111"/>
      <c r="U125" s="111"/>
      <c r="V125" s="111"/>
    </row>
    <row r="126" outlineLevel="1">
      <c r="A126" s="299" t="str">
        <f>'テンプレート'!A131</f>
        <v>うつ伏せダウン</v>
      </c>
      <c r="B126" s="300" t="str">
        <f>'テンプレート'!B131</f>
        <v>倒れ</v>
      </c>
      <c r="C126" s="301"/>
      <c r="D126" s="307" t="str">
        <f t="array" ref="D126">INDEX('起きあがり'!$C$3:$C115,MATCH($A$1,'起きあがり'!$A$3:$A$115,0), MATCH(D$111,'起きあがり'!$C$2:$AD$2,0))</f>
        <v>25</v>
      </c>
      <c r="E126" s="301"/>
      <c r="F126" s="301"/>
      <c r="G126" s="301"/>
      <c r="H126" s="228"/>
      <c r="I126" s="228"/>
      <c r="J126" s="117"/>
      <c r="K126" s="313" t="str">
        <f>'テンプレート'!K131</f>
        <v>踏み</v>
      </c>
      <c r="L126" s="314" t="str">
        <f>'テンプレート'!L131</f>
        <v>踏み</v>
      </c>
      <c r="M126" s="113" t="str">
        <f t="array" ref="M126">INDEX('共通動作その他'!$C$3:$C$102, MATCH($A$1,'共通動作その他'!$A$3:$A$102,0), MATCH(M$125,'共通動作その他'!$C$2:$AA$2,0))</f>
        <v>-</v>
      </c>
      <c r="N126" s="315"/>
      <c r="O126" s="111"/>
      <c r="P126" s="111"/>
      <c r="Q126" s="111"/>
      <c r="R126" s="111"/>
      <c r="S126" s="111"/>
      <c r="T126" s="111"/>
      <c r="U126" s="111"/>
      <c r="V126" s="111"/>
    </row>
    <row r="127" outlineLevel="1">
      <c r="A127" s="146"/>
      <c r="B127" s="300" t="str">
        <f>'テンプレート'!B132</f>
        <v>その場</v>
      </c>
      <c r="C127" s="307" t="str">
        <f t="array" ref="C127">INDEX('起きあがり'!$P$3:$Q$115, MATCH($A$1,'起きあがり'!$A$3:$A$115,0), MATCH(C$111,'起きあがり'!$P$2:$AD$2,0))</f>
        <v>1-22</v>
      </c>
      <c r="D127" s="308">
        <f t="array" ref="D127">INDEX('起きあがり'!$P$3:$Q$115, MATCH($A$1,'起きあがり'!$A$3:$A$115,0), MATCH(D$111,'起きあがり'!$P$2:$AD$2,0))</f>
        <v>29</v>
      </c>
      <c r="E127" s="301"/>
      <c r="F127" s="301"/>
      <c r="G127" s="301"/>
      <c r="H127" s="228"/>
      <c r="I127" s="228"/>
      <c r="J127" s="111"/>
      <c r="K127" s="305" t="str">
        <f>'テンプレート'!K132</f>
        <v>踏まれ</v>
      </c>
      <c r="L127" s="314" t="str">
        <f>'テンプレート'!L132</f>
        <v>地上踏まれ</v>
      </c>
      <c r="M127" s="113" t="str">
        <f t="array" ref="M127">INDEX('共通動作その他'!$D$3:$D$102, MATCH($A$1,'共通動作その他'!$A$3:$A$102,0), MATCH(M$125,'共通動作その他'!$D$2:$AA$2,0))</f>
        <v>-</v>
      </c>
      <c r="N127" s="315"/>
      <c r="O127" s="228"/>
      <c r="P127" s="228"/>
      <c r="Q127" s="228"/>
      <c r="R127" s="228"/>
      <c r="S127" s="228"/>
      <c r="T127" s="228"/>
      <c r="U127" s="228"/>
      <c r="V127" s="228"/>
    </row>
    <row r="128" outlineLevel="1">
      <c r="A128" s="146"/>
      <c r="B128" s="300" t="str">
        <f>'テンプレート'!B133</f>
        <v>前方</v>
      </c>
      <c r="C128" s="307" t="str">
        <f t="array" ref="C128">INDEX('起きあがり'!$R$3:$S$115, MATCH($A$1,'起きあがり'!$A$3:$A$115,0), MATCH(C$111,'起きあがり'!$R$2:$AD$2,0))</f>
        <v>1-19</v>
      </c>
      <c r="D128" s="308">
        <f t="array" ref="D128">INDEX('起きあがり'!$R$3:$S$115, MATCH($A$1,'起きあがり'!$A$3:$A$115,0), MATCH(D$111,'起きあがり'!$R$2:$AD$2,0))</f>
        <v>35</v>
      </c>
      <c r="E128" s="301"/>
      <c r="F128" s="301"/>
      <c r="G128" s="301"/>
      <c r="H128" s="228"/>
      <c r="I128" s="228"/>
      <c r="J128" s="117"/>
      <c r="K128" s="146"/>
      <c r="L128" s="314" t="str">
        <f>'テンプレート'!L133</f>
        <v>地上硬直</v>
      </c>
      <c r="M128" s="113" t="str">
        <f t="array" ref="M128">INDEX('共通動作その他'!$E$3:$E$102, MATCH($A$1,'共通動作その他'!$A$3:$A$102,0), MATCH(M$125,'共通動作その他'!$E$2:$AA$2,0))</f>
        <v>-</v>
      </c>
      <c r="N128" s="102"/>
      <c r="O128" s="118"/>
      <c r="P128" s="118"/>
      <c r="Q128" s="118"/>
      <c r="R128" s="118"/>
      <c r="S128" s="118"/>
      <c r="T128" s="118"/>
      <c r="U128" s="118"/>
      <c r="V128" s="118"/>
    </row>
    <row r="129" outlineLevel="1">
      <c r="A129" s="146"/>
      <c r="B129" s="300" t="str">
        <f>'テンプレート'!B134</f>
        <v>後方</v>
      </c>
      <c r="C129" s="307" t="str">
        <f t="array" ref="C129">INDEX('起きあがり'!$T$3:$U$115, MATCH($A$1,'起きあがり'!$A$3:$A$115,0), MATCH(C$111,'起きあがり'!$T$2:$AD$2,0))</f>
        <v>1-24</v>
      </c>
      <c r="D129" s="308">
        <f t="array" ref="D129">INDEX('起きあがり'!$T$3:$U$115, MATCH($A$1,'起きあがり'!$A$3:$A$115,0), MATCH(D$111,'起きあがり'!$T$2:$AD$2,0))</f>
        <v>35</v>
      </c>
      <c r="E129" s="301"/>
      <c r="F129" s="301"/>
      <c r="G129" s="301"/>
      <c r="H129" s="228"/>
      <c r="I129" s="228"/>
      <c r="J129" s="111"/>
      <c r="K129" s="146"/>
      <c r="L129" s="314" t="str">
        <f>'テンプレート'!L134</f>
        <v>空中踏まれ</v>
      </c>
      <c r="M129" s="113" t="str">
        <f t="array" ref="M129">INDEX('共通動作その他'!$F$3:$F$102, MATCH($A$1,'共通動作その他'!$A$3:$A$102,0), MATCH(M$125,'共通動作その他'!$F$2:$AA$2,0))</f>
        <v>-</v>
      </c>
      <c r="N129" s="102"/>
      <c r="O129" s="118"/>
      <c r="P129" s="118"/>
      <c r="Q129" s="118"/>
      <c r="R129" s="118"/>
      <c r="S129" s="118"/>
      <c r="T129" s="118"/>
      <c r="U129" s="118"/>
      <c r="V129" s="118"/>
    </row>
    <row r="130" outlineLevel="1">
      <c r="A130" s="146"/>
      <c r="B130" s="1709" t="str">
        <f>'テンプレート'!B135</f>
        <v>攻撃1</v>
      </c>
      <c r="C130" s="309" t="str">
        <f t="array" ref="C130">INDEX('起きあがり'!$V$3:$Y$115, MATCH($A$1,'起きあがり'!$A$3:$A$115,0), MATCH(C$111,'起きあがり'!$V$2:$AD$2,0))</f>
        <v>1-25</v>
      </c>
      <c r="D130" s="310">
        <f t="array" ref="D130">INDEX('起きあがり'!$V$3:$Y$115, MATCH($A$1,'起きあがり'!$A$3:$A$115,0), MATCH(D$111,'起きあがり'!$V$2:$AD$2,0))</f>
        <v>45</v>
      </c>
      <c r="E130" s="307" t="str">
        <f t="array" ref="E130">INDEX('起きあがり'!$V$3:$Y$115, MATCH($A$1,'起きあがり'!$A$3:$A$115,0), MATCH(E$111,'起きあがり'!$V$2:$AD$2,0))</f>
        <v>18-19</v>
      </c>
      <c r="F130" s="308">
        <f t="array" ref="F130">INDEX('起きあがり'!$V$3:$Y$115, MATCH($A$1,'起きあがり'!$A$3:$A$115,0), MATCH(F$111,'起きあがり'!$V$2:$AD$2,0))</f>
        <v>7</v>
      </c>
      <c r="G130" s="113">
        <f t="shared" ref="G130:G131" si="2">F130*1.2</f>
        <v>8.4</v>
      </c>
      <c r="H130" s="228"/>
      <c r="I130" s="228"/>
      <c r="J130" s="117"/>
      <c r="K130" s="146"/>
      <c r="L130" s="314" t="str">
        <f>'テンプレート'!L135</f>
        <v>空中落下</v>
      </c>
      <c r="M130" s="113" t="str">
        <f t="array" ref="M130">INDEX('共通動作その他'!$G$3:$G$102, MATCH($A$1,'共通動作その他'!$A$3:$A$102,0), MATCH(M$125,'共通動作その他'!$G$2:$AA$2,0))</f>
        <v>-</v>
      </c>
      <c r="N130" s="102"/>
      <c r="O130" s="118"/>
      <c r="P130" s="118"/>
      <c r="Q130" s="118"/>
      <c r="R130" s="118"/>
      <c r="S130" s="118"/>
      <c r="T130" s="118"/>
      <c r="U130" s="118"/>
      <c r="V130" s="118"/>
    </row>
    <row r="131" outlineLevel="1">
      <c r="A131" s="156"/>
      <c r="B131" s="156"/>
      <c r="C131" s="156"/>
      <c r="D131" s="156"/>
      <c r="E131" s="307" t="str">
        <f t="array" ref="E131">INDEX('起きあがり'!$Z$3:$AA$115, MATCH($A$1,'起きあがり'!$A$3:$A$115,0), MATCH(E$111,'起きあがり'!$Z$2:$AD$2,0))</f>
        <v>24-25</v>
      </c>
      <c r="F131" s="308">
        <f t="array" ref="F131">INDEX('起きあがり'!$Z$3:$AA$115, MATCH($A$1,'起きあがり'!$A$3:$A$115,0), MATCH(F$111,'起きあがり'!$Z$2:$AD$2,0))</f>
        <v>7</v>
      </c>
      <c r="G131" s="113">
        <f t="shared" si="2"/>
        <v>8.4</v>
      </c>
      <c r="H131" s="228"/>
      <c r="I131" s="228"/>
      <c r="J131" s="117"/>
      <c r="K131" s="304" t="str">
        <f>'テンプレート'!K136</f>
        <v>倒れダメージ</v>
      </c>
      <c r="L131" s="110"/>
      <c r="M131" s="298" t="str">
        <f>'テンプレート'!M136</f>
        <v>全体フレーム</v>
      </c>
      <c r="N131" s="102"/>
      <c r="O131" s="118"/>
      <c r="P131" s="118"/>
      <c r="Q131" s="118"/>
      <c r="R131" s="118"/>
      <c r="S131" s="118"/>
      <c r="T131" s="118"/>
      <c r="U131" s="118"/>
      <c r="V131" s="118"/>
    </row>
    <row r="132" outlineLevel="1">
      <c r="A132" s="299" t="str">
        <f>'テンプレート'!A137</f>
        <v>転倒</v>
      </c>
      <c r="B132" s="300" t="str">
        <f>'テンプレート'!B137</f>
        <v>硬直(小)</v>
      </c>
      <c r="C132" s="307" t="str">
        <f t="array" ref="C132">INDEX('転倒'!$C$3:$D$115, MATCH($A$1,'転倒'!$A$3:$A$115,0), MATCH(C$111,'転倒'!$C$2:$AC$2,0))</f>
        <v>1-5</v>
      </c>
      <c r="D132" s="308">
        <f t="array" ref="D132">INDEX('転倒'!$C$3:$D$115, MATCH($A$1,'転倒'!$A$3:$A$115,0), MATCH(D$111,'転倒'!$C$2:$AC$2,0))</f>
        <v>29</v>
      </c>
      <c r="E132" s="301"/>
      <c r="F132" s="301"/>
      <c r="G132" s="301"/>
      <c r="H132" s="228"/>
      <c r="I132" s="228"/>
      <c r="J132" s="111"/>
      <c r="K132" s="313" t="str">
        <f>'テンプレート'!K137</f>
        <v>あお向け倒れ</v>
      </c>
      <c r="L132" s="306" t="str">
        <f>'テンプレート'!L137</f>
        <v>モーション大</v>
      </c>
      <c r="M132" s="113" t="str">
        <f t="array" ref="M132">INDEX('共通動作その他'!$H$3:$H$102, MATCH($A$1,'共通動作その他'!$A$3:$A$102,0), MATCH(M$131,'共通動作その他'!$H$2:$AA$2,0))</f>
        <v>-</v>
      </c>
      <c r="N132" s="315"/>
      <c r="O132" s="118"/>
      <c r="P132" s="118"/>
      <c r="Q132" s="118"/>
      <c r="R132" s="118"/>
      <c r="S132" s="118"/>
      <c r="T132" s="118"/>
      <c r="U132" s="118"/>
      <c r="V132" s="118"/>
    </row>
    <row r="133" outlineLevel="1">
      <c r="A133" s="146"/>
      <c r="B133" s="300" t="str">
        <f>'テンプレート'!B138</f>
        <v>硬直(大)</v>
      </c>
      <c r="C133" s="307" t="str">
        <f t="array" ref="C133">INDEX('転倒'!$E$3:$F$115, MATCH($A$1,'転倒'!$A$3:$A$115,0), MATCH(C$111,'転倒'!$E$2:$AC$2,0))</f>
        <v>1-5</v>
      </c>
      <c r="D133" s="308">
        <f t="array" ref="D133">INDEX('転倒'!$E$3:$F$115, MATCH($A$1,'転倒'!$A$3:$A$115,0), MATCH(D$111,'転倒'!$E$2:$AC$2,0))</f>
        <v>39</v>
      </c>
      <c r="E133" s="301"/>
      <c r="F133" s="301"/>
      <c r="G133" s="301"/>
      <c r="H133" s="228"/>
      <c r="I133" s="228"/>
      <c r="J133" s="117"/>
      <c r="K133" s="313" t="str">
        <f>'テンプレート'!K138</f>
        <v>うつ伏せ倒れ</v>
      </c>
      <c r="L133" s="306" t="str">
        <f>'テンプレート'!L138</f>
        <v>モーション大</v>
      </c>
      <c r="M133" s="113" t="str">
        <f t="array" ref="M133">INDEX('共通動作その他'!$I$3:$I$102, MATCH($A$1,'共通動作その他'!$A$3:$A$102,0), MATCH(M$131,'共通動作その他'!$I$2:$AA$2,0))</f>
        <v>-</v>
      </c>
      <c r="N133" s="315"/>
      <c r="O133" s="118"/>
      <c r="P133" s="118"/>
      <c r="Q133" s="118"/>
      <c r="R133" s="118"/>
      <c r="S133" s="118"/>
      <c r="T133" s="118"/>
      <c r="U133" s="118"/>
      <c r="V133" s="118"/>
    </row>
    <row r="134" outlineLevel="1">
      <c r="A134" s="146"/>
      <c r="B134" s="300" t="str">
        <f>'テンプレート'!B139</f>
        <v>その場</v>
      </c>
      <c r="C134" s="307" t="str">
        <f t="array" ref="C134">INDEX('転倒'!$G$3:$H$115, MATCH($A$1,'転倒'!$A$3:$A$115,0), MATCH(C$111,'転倒'!$G$2:$AC$2,0))</f>
        <v>1-16</v>
      </c>
      <c r="D134" s="308">
        <f t="array" ref="D134">INDEX('転倒'!$G$3:$H$115, MATCH($A$1,'転倒'!$A$3:$A$115,0), MATCH(D$111,'転倒'!$G$2:$AC$2,0))</f>
        <v>21</v>
      </c>
      <c r="E134" s="301"/>
      <c r="F134" s="301"/>
      <c r="G134" s="301"/>
      <c r="H134" s="228"/>
      <c r="I134" s="228"/>
      <c r="J134" s="111"/>
      <c r="K134" s="304" t="str">
        <f>'テンプレート'!K139</f>
        <v/>
      </c>
      <c r="L134" s="110"/>
      <c r="M134" s="298" t="str">
        <f>'テンプレート'!M139</f>
        <v/>
      </c>
      <c r="N134" s="102"/>
      <c r="O134" s="118"/>
      <c r="P134" s="118"/>
      <c r="Q134" s="118"/>
      <c r="R134" s="118"/>
      <c r="S134" s="118"/>
      <c r="T134" s="118"/>
      <c r="U134" s="118"/>
      <c r="V134" s="118"/>
    </row>
    <row r="135" outlineLevel="1">
      <c r="A135" s="146"/>
      <c r="B135" s="300" t="str">
        <f>'テンプレート'!B140</f>
        <v>前方</v>
      </c>
      <c r="C135" s="307" t="str">
        <f t="array" ref="C135">INDEX('転倒'!$I$3:$J$115, MATCH($A$1,'転倒'!$A$3:$A$115,0), MATCH(C$111,'転倒'!$I$2:$AC$2,0))</f>
        <v>1-9</v>
      </c>
      <c r="D135" s="308">
        <f t="array" ref="D135">INDEX('転倒'!$I$3:$J$115, MATCH($A$1,'転倒'!$A$3:$A$115,0), MATCH(D$111,'転倒'!$I$2:$AC$2,0))</f>
        <v>28</v>
      </c>
      <c r="E135" s="301"/>
      <c r="F135" s="301"/>
      <c r="G135" s="301"/>
      <c r="H135" s="228"/>
      <c r="I135" s="228"/>
      <c r="J135" s="228"/>
      <c r="K135" s="316" t="str">
        <f>'テンプレート'!K140</f>
        <v/>
      </c>
      <c r="L135" s="317" t="str">
        <f>'テンプレート'!L140</f>
        <v/>
      </c>
      <c r="M135" s="113" t="str">
        <f t="array" ref="M135">INDEX('共通動作その他'!$J$3:$J$102, MATCH($A$1,'共通動作その他'!$A$3:$A$102,0), MATCH(M$134,'共通動作その他'!$J$2:$AA$2,0))</f>
        <v>#N/A</v>
      </c>
      <c r="N135" s="102"/>
      <c r="O135" s="118"/>
      <c r="P135" s="118"/>
      <c r="Q135" s="118"/>
      <c r="R135" s="118"/>
      <c r="S135" s="118"/>
      <c r="T135" s="118"/>
      <c r="U135" s="118"/>
      <c r="V135" s="118"/>
    </row>
    <row r="136" outlineLevel="1">
      <c r="A136" s="146"/>
      <c r="B136" s="300" t="str">
        <f>'テンプレート'!B141</f>
        <v>後方</v>
      </c>
      <c r="C136" s="307" t="str">
        <f t="array" ref="C136">INDEX('転倒'!$K$3:$L$115, MATCH($A$1,'転倒'!$A$3:$A$115,0), MATCH(C$111,'転倒'!$K$2:$AC$2,0))</f>
        <v>1-9</v>
      </c>
      <c r="D136" s="308">
        <f t="array" ref="D136">INDEX('転倒'!$K$3:$L$115, MATCH($A$1,'転倒'!$A$3:$A$115,0), MATCH(D$111,'転倒'!$K$2:$AC$2,0))</f>
        <v>28</v>
      </c>
      <c r="E136" s="301"/>
      <c r="F136" s="301"/>
      <c r="G136" s="301"/>
      <c r="H136" s="228"/>
      <c r="I136" s="228"/>
      <c r="J136" s="228"/>
      <c r="K136" s="102"/>
      <c r="L136" s="118"/>
      <c r="M136" s="118"/>
      <c r="N136" s="102"/>
      <c r="O136" s="118"/>
      <c r="P136" s="118"/>
      <c r="Q136" s="118"/>
      <c r="R136" s="118"/>
      <c r="S136" s="118"/>
      <c r="T136" s="118"/>
      <c r="U136" s="118"/>
      <c r="V136" s="118"/>
    </row>
    <row r="137" outlineLevel="1">
      <c r="A137" s="146"/>
      <c r="B137" s="1709" t="str">
        <f>'テンプレート'!B142</f>
        <v>攻撃1</v>
      </c>
      <c r="C137" s="309" t="str">
        <f t="array" ref="C137">INDEX('転倒'!$M$3:$P$115, MATCH($A$1,'転倒'!$A$3:$A$115,0), MATCH(C$111,'転倒'!$M$2:$AC$2,0))</f>
        <v>1-7</v>
      </c>
      <c r="D137" s="310">
        <f t="array" ref="D137">INDEX('転倒'!$M$3:$P$115, MATCH($A$1,'転倒'!$A$3:$A$115,0), MATCH(D$111,'転倒'!$M$2:$AC$2,0))</f>
        <v>49</v>
      </c>
      <c r="E137" s="307" t="str">
        <f t="array" ref="E137">INDEX('転倒'!$M$3:$P$115, MATCH($A$1,'転倒'!$A$3:$A$115,0), MATCH(E$111,'転倒'!$M$2:$AC$2,0))</f>
        <v>19-20</v>
      </c>
      <c r="F137" s="308">
        <f t="array" ref="F137">INDEX('転倒'!$M$3:$P$115, MATCH($A$1,'転倒'!$A$3:$A$115,0), MATCH(F$111,'転倒'!$M$2:$AC$2,0))</f>
        <v>5</v>
      </c>
      <c r="G137" s="113">
        <f t="shared" ref="G137:G138" si="3">F137*1.2</f>
        <v>6</v>
      </c>
      <c r="H137" s="228"/>
      <c r="I137" s="228"/>
      <c r="J137" s="228"/>
      <c r="K137" s="118"/>
      <c r="L137" s="118"/>
      <c r="M137" s="118"/>
      <c r="N137" s="102"/>
      <c r="O137" s="102"/>
      <c r="P137" s="102"/>
      <c r="Q137" s="102"/>
      <c r="R137" s="118"/>
      <c r="S137" s="118"/>
      <c r="T137" s="118"/>
      <c r="U137" s="118"/>
      <c r="V137" s="118"/>
    </row>
    <row r="138" outlineLevel="1">
      <c r="A138" s="156"/>
      <c r="B138" s="156"/>
      <c r="C138" s="156"/>
      <c r="D138" s="156"/>
      <c r="E138" s="307" t="str">
        <f t="array" ref="E138">INDEX('転倒'!$Q$3:$R$115, MATCH($A$1,'転倒'!$A$3:$A$115,0), MATCH(E$111,'転倒'!$Q$2:$AC$2,0))</f>
        <v>31-32</v>
      </c>
      <c r="F138" s="308">
        <f t="array" ref="F138">INDEX('転倒'!$Q$3:$R$115, MATCH($A$1,'転倒'!$A$3:$A$115,0), MATCH(F$111,'転倒'!$Q$2:$AC$2,0))</f>
        <v>5</v>
      </c>
      <c r="G138" s="113">
        <f t="shared" si="3"/>
        <v>6</v>
      </c>
      <c r="H138" s="228"/>
      <c r="I138" s="228"/>
      <c r="J138" s="228"/>
      <c r="K138" s="118"/>
      <c r="L138" s="118"/>
      <c r="M138" s="118"/>
      <c r="N138" s="102"/>
      <c r="O138" s="102"/>
      <c r="P138" s="102"/>
      <c r="Q138" s="102"/>
      <c r="R138" s="118"/>
      <c r="S138" s="118"/>
      <c r="T138" s="118"/>
      <c r="U138" s="118"/>
      <c r="V138" s="118"/>
    </row>
    <row r="139" outlineLevel="1">
      <c r="A139" s="319"/>
      <c r="B139" s="320"/>
      <c r="C139" s="321"/>
      <c r="D139" s="321"/>
      <c r="E139" s="322"/>
      <c r="F139" s="322"/>
      <c r="G139" s="114"/>
      <c r="H139" s="228"/>
      <c r="I139" s="228"/>
      <c r="J139" s="228"/>
      <c r="K139" s="118"/>
      <c r="L139" s="118"/>
      <c r="M139" s="118"/>
      <c r="N139" s="102"/>
      <c r="O139" s="102"/>
      <c r="P139" s="102"/>
      <c r="Q139" s="102"/>
      <c r="R139" s="118"/>
      <c r="S139" s="118"/>
      <c r="T139" s="118"/>
      <c r="U139" s="118"/>
      <c r="V139" s="118"/>
    </row>
    <row r="140" outlineLevel="1">
      <c r="A140" s="323" t="s">
        <v>255</v>
      </c>
      <c r="B140" s="109"/>
      <c r="C140" s="321"/>
      <c r="D140" s="321"/>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256</v>
      </c>
      <c r="B141" s="109"/>
      <c r="C141" s="325" t="s">
        <v>257</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258</v>
      </c>
      <c r="B142" s="327" t="s">
        <v>216</v>
      </c>
      <c r="C142" s="328" t="str">
        <f t="array" ref="C142">INDEX('アイテム'!$C$3:$D$114, MATCH($A$1,'アイテム'!$A$3:$A$114,0), MATCH(C141,'アイテム'!$C$2:$AQ$2,0))</f>
        <v>2</v>
      </c>
      <c r="D142" s="328">
        <f t="array" ref="D142">INDEX('アイテム'!$C$3:$D$114, MATCH($A$1,'アイテム'!$A$3:$A$114,0), MATCH(D141,'アイテム'!$C$2:$AQ$2,0))</f>
        <v>7</v>
      </c>
      <c r="E142" s="322"/>
      <c r="F142" s="322"/>
      <c r="G142" s="114"/>
      <c r="H142" s="228"/>
      <c r="I142" s="228"/>
      <c r="J142" s="228"/>
      <c r="K142" s="118"/>
      <c r="L142" s="118"/>
      <c r="M142" s="118"/>
      <c r="N142" s="102"/>
      <c r="O142" s="102"/>
      <c r="P142" s="102"/>
      <c r="Q142" s="102"/>
      <c r="R142" s="118"/>
      <c r="S142" s="118"/>
      <c r="T142" s="118"/>
      <c r="U142" s="118"/>
      <c r="V142" s="118"/>
    </row>
    <row r="143" outlineLevel="1">
      <c r="A143" s="156"/>
      <c r="B143" s="327" t="s">
        <v>219</v>
      </c>
      <c r="C143" s="328" t="str">
        <f t="array" ref="C143">INDEX('アイテム'!$E$3:$F$114, MATCH($A$1,'アイテム'!$A$3:$A$114,0), MATCH(C141,'アイテム'!$C$2:$AQ$2,0))</f>
        <v>2</v>
      </c>
      <c r="D143" s="328">
        <f t="array" ref="D143">INDEX('アイテム'!$E$3:$F$114, MATCH($A$1,'アイテム'!$A$3:$A$114,0), MATCH(D141,'アイテム'!$C$2:$AQ$2,0))</f>
        <v>19</v>
      </c>
      <c r="E143" s="322"/>
      <c r="F143" s="322"/>
      <c r="G143" s="114"/>
      <c r="H143" s="228"/>
      <c r="I143" s="228"/>
      <c r="J143" s="228"/>
      <c r="K143" s="118"/>
      <c r="L143" s="118"/>
      <c r="M143" s="118"/>
      <c r="N143" s="102"/>
      <c r="O143" s="102"/>
      <c r="P143" s="102"/>
      <c r="Q143" s="102"/>
      <c r="R143" s="118"/>
      <c r="S143" s="118"/>
      <c r="T143" s="118"/>
      <c r="U143" s="118"/>
      <c r="V143" s="118"/>
    </row>
    <row r="144" outlineLevel="1">
      <c r="A144" s="329" t="s">
        <v>259</v>
      </c>
      <c r="B144" s="327" t="s">
        <v>216</v>
      </c>
      <c r="C144" s="328">
        <f t="array" ref="C144">INDEX('アイテム'!$AA$3:$AB$114, MATCH($A$1,'アイテム'!$A$3:$A$114,0), MATCH(C141,'アイテム'!$C$2:$AQ$2,0))</f>
        <v>3</v>
      </c>
      <c r="D144" s="328" t="str">
        <f t="array" ref="D144">INDEX('アイテム'!$AA$3:$AB$114, MATCH($A$1,'アイテム'!$A$3:$A$114,0), MATCH(D141,'アイテム'!$C$2:$AQ$2,0))</f>
        <v>12</v>
      </c>
      <c r="E144" s="322"/>
      <c r="F144" s="322"/>
      <c r="G144" s="114"/>
      <c r="H144" s="228"/>
      <c r="I144" s="228"/>
      <c r="J144" s="228"/>
      <c r="K144" s="118"/>
      <c r="L144" s="118"/>
      <c r="M144" s="118"/>
      <c r="N144" s="102"/>
      <c r="O144" s="102"/>
      <c r="P144" s="102"/>
      <c r="Q144" s="102"/>
      <c r="R144" s="118"/>
      <c r="S144" s="118"/>
      <c r="T144" s="118"/>
      <c r="U144" s="118"/>
      <c r="V144" s="118"/>
    </row>
    <row r="145" outlineLevel="1">
      <c r="A145" s="324" t="s">
        <v>260</v>
      </c>
      <c r="B145" s="109"/>
      <c r="C145" s="325" t="s">
        <v>261</v>
      </c>
      <c r="D145" s="325" t="s">
        <v>49</v>
      </c>
      <c r="E145" s="322"/>
      <c r="F145" s="322"/>
      <c r="G145" s="114"/>
      <c r="H145" s="228"/>
      <c r="I145" s="228"/>
      <c r="J145" s="228"/>
      <c r="K145" s="118"/>
      <c r="L145" s="118"/>
      <c r="M145" s="118"/>
      <c r="N145" s="102"/>
      <c r="O145" s="102"/>
      <c r="P145" s="102"/>
      <c r="Q145" s="102"/>
      <c r="R145" s="118"/>
      <c r="S145" s="118"/>
      <c r="T145" s="118"/>
      <c r="U145" s="118"/>
      <c r="V145" s="118"/>
    </row>
    <row r="146" outlineLevel="1">
      <c r="A146" s="326" t="s">
        <v>262</v>
      </c>
      <c r="B146" s="327" t="s">
        <v>226</v>
      </c>
      <c r="C146" s="328" t="str">
        <f t="array" ref="C146">INDEX('アイテム'!$G$3:$H$114, MATCH($A$1,'アイテム'!$A$3:$A$114,0), MATCH(C141,'アイテム'!$C$2:$AQ$2,0))</f>
        <v>8</v>
      </c>
      <c r="D146" s="328">
        <f t="array" ref="D146">INDEX('アイテム'!$G$3:$H$114, MATCH($A$1,'アイテム'!$A$3:$A$114,0), MATCH(D141,'アイテム'!$C$2:$AQ$2,0))</f>
        <v>24</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229</v>
      </c>
      <c r="C147" s="328" t="str">
        <f t="array" ref="C147">INDEX('アイテム'!$I$3:$J$114, MATCH($A$1,'アイテム'!$A$3:$A$114,0), MATCH(C141,'アイテム'!$C$2:$AQ$2,0))</f>
        <v>11</v>
      </c>
      <c r="D147" s="328">
        <f t="array" ref="D147">INDEX('アイテム'!$I$3:$J$114, MATCH($A$1,'アイテム'!$A$3:$A$114,0), MATCH(D141,'アイテム'!$C$2:$AQ$2,0))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233</v>
      </c>
      <c r="C148" s="328" t="str">
        <f t="array" ref="C148">INDEX('アイテム'!$K$3:$L$114, MATCH($A$1,'アイテム'!$A$3:$A$114,0), MATCH(C141,'アイテム'!$C$2:$AQ$2,0))</f>
        <v>12</v>
      </c>
      <c r="D148" s="328">
        <f t="array" ref="D148">INDEX('アイテム'!$K$3:$L$114, MATCH($A$1,'アイテム'!$A$3:$A$114,0), MATCH(D141,'アイテム'!$C$2:$AQ$2,0))</f>
        <v>23</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234</v>
      </c>
      <c r="C149" s="328" t="str">
        <f t="array" ref="C149">INDEX('アイテム'!$M$3:$N$114, MATCH($A$1,'アイテム'!$A$3:$A$114,0), MATCH(C141,'アイテム'!$C$2:$AQ$2,0))</f>
        <v>7</v>
      </c>
      <c r="D149" s="328">
        <f t="array" ref="D149">INDEX('アイテム'!$M$3:$N$114, MATCH($A$1,'アイテム'!$A$3:$A$114,0), MATCH(D141,'アイテム'!$C$2:$AQ$2,0))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219</v>
      </c>
      <c r="C150" s="328" t="str">
        <f t="array" ref="C150">INDEX('アイテム'!$O$3:$P$114, MATCH($A$1,'アイテム'!$A$3:$A$114,0), MATCH(C141,'アイテム'!$C$2:$AQ$2,0))</f>
        <v>5</v>
      </c>
      <c r="D150" s="328">
        <f t="array" ref="D150">INDEX('アイテム'!$O$3:$P$114, MATCH($A$1,'アイテム'!$A$3:$A$114,0), MATCH(D141,'アイテム'!$C$2:$AQ$2,0))</f>
        <v>29</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263</v>
      </c>
      <c r="C151" s="328" t="str">
        <f t="array" ref="C151">INDEX('アイテム'!$Q$3:$R$114, MATCH($A$1,'アイテム'!$A$3:$A$114,0), MATCH(C141,'アイテム'!$C$2:$AQ$2,0))</f>
        <v>6</v>
      </c>
      <c r="D151" s="328">
        <f t="array" ref="D151">INDEX('アイテム'!$Q$3:$R$114, MATCH($A$1,'アイテム'!$A$3:$A$114,0), MATCH(D141,'アイテム'!$C$2:$AQ$2,0))</f>
        <v>23</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264</v>
      </c>
      <c r="B152" s="327" t="s">
        <v>226</v>
      </c>
      <c r="C152" s="328" t="str">
        <f t="array" ref="C152">INDEX('アイテム'!$S$3:$T$114, MATCH($A$1,'アイテム'!$A$3:$A$114,0), MATCH(C141,'アイテム'!$C$2:$AQ$2,0))</f>
        <v>8</v>
      </c>
      <c r="D152" s="328">
        <f t="array" ref="D152">INDEX('アイテム'!$S$3:$T$114, MATCH($A$1,'アイテム'!$A$3:$A$114,0), MATCH(D141,'アイテム'!$C$2:$AQ$2,0))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t="str">
        <f t="array" ref="C153">INDEX('アイテム'!$U$3:$V$114, MATCH($A$1,'アイテム'!$A$3:$A$114,0), MATCH(C141,'アイテム'!$C$2:$AQ$2,0))</f>
        <v>11</v>
      </c>
      <c r="D153" s="328">
        <f t="array" ref="D153">INDEX('アイテム'!$U$3:$V$114, MATCH($A$1,'アイテム'!$A$3:$A$114,0), MATCH(D141,'アイテム'!$C$2:$AQ$2,0))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t="str">
        <f t="array" ref="C154">INDEX('アイテム'!$W$3:$X$114, MATCH($A$1,'アイテム'!$A$3:$A$114,0), MATCH(C141,'アイテム'!$C$2:$AQ$2,0))</f>
        <v>12</v>
      </c>
      <c r="D154" s="328">
        <f t="array" ref="D154">INDEX('アイテム'!$W$3:$X$114, MATCH($A$1,'アイテム'!$A$3:$A$114,0), MATCH(D141,'アイテム'!$C$2:$AQ$2,0))</f>
        <v>23</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t="str">
        <f t="array" ref="C155">INDEX('アイテム'!$Y$3:$Z$114, MATCH($A$1,'アイテム'!$A$3:$A$114,0), MATCH(C141,'アイテム'!$C$2:$AQ$2,0))</f>
        <v>7</v>
      </c>
      <c r="D155" s="328">
        <f t="array" ref="D155">INDEX('アイテム'!$Y$3:$Z$114, MATCH($A$1,'アイテム'!$A$3:$A$114,0), MATCH(D141,'アイテム'!$C$2:$AQ$2,0))</f>
        <v>19</v>
      </c>
      <c r="E155" s="322"/>
      <c r="F155" s="322"/>
      <c r="G155" s="114"/>
      <c r="H155" s="228"/>
      <c r="I155" s="228"/>
      <c r="J155" s="228"/>
      <c r="K155" s="118"/>
      <c r="L155" s="118"/>
      <c r="M155" s="118"/>
      <c r="N155" s="102"/>
      <c r="O155" s="102"/>
      <c r="P155" s="102"/>
      <c r="Q155" s="102"/>
      <c r="R155" s="118"/>
      <c r="S155" s="118"/>
      <c r="T155" s="118"/>
      <c r="U155" s="118"/>
      <c r="V155" s="118"/>
    </row>
    <row r="156" outlineLevel="1">
      <c r="A156" s="326" t="s">
        <v>265</v>
      </c>
      <c r="B156" s="327" t="s">
        <v>226</v>
      </c>
      <c r="C156" s="328">
        <f t="array" ref="C156">INDEX('アイテム'!$AC$3:$AD$114, MATCH($A$1,'アイテム'!$A$3:$A$114,0), MATCH(C141,'アイテム'!$C$2:$AQ$2,0))</f>
        <v>14</v>
      </c>
      <c r="D156" s="328" t="str">
        <f t="array" ref="D156">INDEX('アイテム'!$AC$3:$AD$114, MATCH($A$1,'アイテム'!$A$3:$A$114,0), MATCH(D141,'アイテム'!$C$2:$AQ$2,0))</f>
        <v>30</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229</v>
      </c>
      <c r="C157" s="328">
        <f t="array" ref="C157">INDEX('アイテム'!$AE$3:$AF$114, MATCH($A$1,'アイテム'!$A$3:$A$114,0), MATCH(C141,'アイテム'!$C$2:$AQ$2,0))</f>
        <v>15</v>
      </c>
      <c r="D157" s="328" t="str">
        <f t="array" ref="D157">INDEX('アイテム'!$AE$3:$AF$114, MATCH($A$1,'アイテム'!$A$3:$A$114,0), MATCH(D141,'アイテム'!$C$2:$AQ$2,0))</f>
        <v>30</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233</v>
      </c>
      <c r="C158" s="328">
        <f t="array" ref="C158">INDEX('アイテム'!$AG$3:$AH$114, MATCH($A$1,'アイテム'!$A$3:$A$114,0), MATCH(C141,'アイテム'!$C$2:$AQ$2,0))</f>
        <v>11</v>
      </c>
      <c r="D158" s="328" t="str">
        <f t="array" ref="D158">INDEX('アイテム'!$AG$3:$AH$114, MATCH($A$1,'アイテム'!$A$3:$A$114,0), MATCH(D141,'アイテム'!$C$2:$AQ$2,0))</f>
        <v>22</v>
      </c>
      <c r="E158" s="322"/>
      <c r="F158" s="322"/>
      <c r="G158" s="114"/>
      <c r="H158" s="228"/>
      <c r="I158" s="228"/>
      <c r="J158" s="228"/>
      <c r="K158" s="118"/>
      <c r="L158" s="118"/>
      <c r="M158" s="118"/>
      <c r="N158" s="102"/>
      <c r="O158" s="102"/>
      <c r="P158" s="102"/>
      <c r="Q158" s="102"/>
      <c r="R158" s="118"/>
      <c r="S158" s="118"/>
      <c r="T158" s="118"/>
      <c r="U158" s="118"/>
      <c r="V158" s="118"/>
    </row>
    <row r="159" outlineLevel="1">
      <c r="A159" s="156"/>
      <c r="B159" s="327" t="s">
        <v>234</v>
      </c>
      <c r="C159" s="328">
        <f t="array" ref="C159">INDEX('アイテム'!$AI$3:$AJ$114, MATCH($A$1,'アイテム'!$A$3:$A$114,0), MATCH(C141,'アイテム'!$C$2:$AQ$2,0))</f>
        <v>9</v>
      </c>
      <c r="D159" s="328" t="str">
        <f t="array" ref="D159">INDEX('アイテム'!$AI$3:$AJ$114, MATCH($A$1,'アイテム'!$A$3:$A$114,0), MATCH(D141,'アイテム'!$C$2:$AQ$2,0))</f>
        <v>22</v>
      </c>
      <c r="E159" s="322"/>
      <c r="F159" s="322"/>
      <c r="G159" s="114"/>
      <c r="H159" s="228"/>
      <c r="I159" s="228"/>
      <c r="J159" s="228"/>
      <c r="K159" s="118"/>
      <c r="L159" s="118"/>
      <c r="M159" s="118"/>
      <c r="N159" s="102"/>
      <c r="O159" s="102"/>
      <c r="P159" s="102"/>
      <c r="Q159" s="102"/>
      <c r="R159" s="118"/>
      <c r="S159" s="118"/>
      <c r="T159" s="118"/>
      <c r="U159" s="118"/>
      <c r="V159" s="118"/>
    </row>
  </sheetData>
  <mergeCells count="145">
    <mergeCell ref="H25:J25"/>
    <mergeCell ref="H26:J26"/>
    <mergeCell ref="H27:J28"/>
    <mergeCell ref="H29:J29"/>
    <mergeCell ref="H30:J30"/>
    <mergeCell ref="H31:J31"/>
    <mergeCell ref="H32:J33"/>
    <mergeCell ref="I42:I43"/>
    <mergeCell ref="J42:J43"/>
    <mergeCell ref="I47:I49"/>
    <mergeCell ref="J47:J49"/>
    <mergeCell ref="I50:I51"/>
    <mergeCell ref="J50:J51"/>
    <mergeCell ref="I52:I53"/>
    <mergeCell ref="J52:J53"/>
    <mergeCell ref="H56:J56"/>
    <mergeCell ref="H57:J57"/>
    <mergeCell ref="H64:J64"/>
    <mergeCell ref="H65:J74"/>
    <mergeCell ref="H75:J75"/>
    <mergeCell ref="H76:J76"/>
    <mergeCell ref="H77:J77"/>
    <mergeCell ref="H78:J84"/>
    <mergeCell ref="G92:J92"/>
    <mergeCell ref="G93:J94"/>
    <mergeCell ref="G95:J96"/>
    <mergeCell ref="G97:J98"/>
    <mergeCell ref="G99:J100"/>
    <mergeCell ref="K131:L131"/>
    <mergeCell ref="K134:L134"/>
    <mergeCell ref="K111:L111"/>
    <mergeCell ref="K112:K113"/>
    <mergeCell ref="K114:L114"/>
    <mergeCell ref="K115:K120"/>
    <mergeCell ref="K121:K124"/>
    <mergeCell ref="K125:L125"/>
    <mergeCell ref="K127:K130"/>
    <mergeCell ref="D44:D46"/>
    <mergeCell ref="D47:D49"/>
    <mergeCell ref="D71:D72"/>
    <mergeCell ref="D93:D94"/>
    <mergeCell ref="D95:D96"/>
    <mergeCell ref="D97:D98"/>
    <mergeCell ref="D99:D100"/>
    <mergeCell ref="D34:D36"/>
    <mergeCell ref="D37:D38"/>
    <mergeCell ref="A40:B41"/>
    <mergeCell ref="A42:A43"/>
    <mergeCell ref="D42:D43"/>
    <mergeCell ref="A44:A46"/>
    <mergeCell ref="A47:A49"/>
    <mergeCell ref="A50:A51"/>
    <mergeCell ref="D50:D51"/>
    <mergeCell ref="A52:A53"/>
    <mergeCell ref="D52:D53"/>
    <mergeCell ref="A55:B55"/>
    <mergeCell ref="A56:B56"/>
    <mergeCell ref="A64:B64"/>
    <mergeCell ref="A57:A63"/>
    <mergeCell ref="A65:A74"/>
    <mergeCell ref="A75:B75"/>
    <mergeCell ref="A77:B77"/>
    <mergeCell ref="A86:B87"/>
    <mergeCell ref="A89:A91"/>
    <mergeCell ref="A92:B92"/>
    <mergeCell ref="A93:A94"/>
    <mergeCell ref="A95:A96"/>
    <mergeCell ref="A97:A98"/>
    <mergeCell ref="A99:A100"/>
    <mergeCell ref="A102:B103"/>
    <mergeCell ref="A104:A106"/>
    <mergeCell ref="A110:B111"/>
    <mergeCell ref="A107:A108"/>
    <mergeCell ref="A112:A116"/>
    <mergeCell ref="A117:A119"/>
    <mergeCell ref="A120:A125"/>
    <mergeCell ref="B124:B125"/>
    <mergeCell ref="C124:C125"/>
    <mergeCell ref="D124:D125"/>
    <mergeCell ref="B137:B138"/>
    <mergeCell ref="A140:B140"/>
    <mergeCell ref="A141:B141"/>
    <mergeCell ref="A142:A143"/>
    <mergeCell ref="A145:B145"/>
    <mergeCell ref="A146:A151"/>
    <mergeCell ref="A152:A155"/>
    <mergeCell ref="A156:A159"/>
    <mergeCell ref="A126:A131"/>
    <mergeCell ref="B130:B131"/>
    <mergeCell ref="C130:C131"/>
    <mergeCell ref="D130:D131"/>
    <mergeCell ref="A132:A138"/>
    <mergeCell ref="C137:C138"/>
    <mergeCell ref="D137:D138"/>
    <mergeCell ref="H6:H7"/>
    <mergeCell ref="H10:H11"/>
    <mergeCell ref="I44:I46"/>
    <mergeCell ref="J44:J46"/>
    <mergeCell ref="H58:J58"/>
    <mergeCell ref="H59:J59"/>
    <mergeCell ref="H60:J60"/>
    <mergeCell ref="H61:J61"/>
    <mergeCell ref="H62:J62"/>
    <mergeCell ref="H1:J2"/>
    <mergeCell ref="K1:M2"/>
    <mergeCell ref="H4:H5"/>
    <mergeCell ref="I4:I5"/>
    <mergeCell ref="I6:I7"/>
    <mergeCell ref="H8:J9"/>
    <mergeCell ref="I10:I11"/>
    <mergeCell ref="K16:N16"/>
    <mergeCell ref="A27:A28"/>
    <mergeCell ref="D27:D28"/>
    <mergeCell ref="U27:U28"/>
    <mergeCell ref="C1:G12"/>
    <mergeCell ref="A11:B12"/>
    <mergeCell ref="A15:B16"/>
    <mergeCell ref="C16:D16"/>
    <mergeCell ref="E16:F16"/>
    <mergeCell ref="G16:H16"/>
    <mergeCell ref="A24:B25"/>
    <mergeCell ref="A32:A33"/>
    <mergeCell ref="D32:D33"/>
    <mergeCell ref="U32:U33"/>
    <mergeCell ref="A34:A36"/>
    <mergeCell ref="H34:J36"/>
    <mergeCell ref="A37:A38"/>
    <mergeCell ref="H37:J38"/>
    <mergeCell ref="U37:U38"/>
    <mergeCell ref="U57:U63"/>
    <mergeCell ref="V57:V63"/>
    <mergeCell ref="U65:U74"/>
    <mergeCell ref="V65:V74"/>
    <mergeCell ref="U78:U84"/>
    <mergeCell ref="V78:V84"/>
    <mergeCell ref="U34:U36"/>
    <mergeCell ref="R41:V41"/>
    <mergeCell ref="R42:V43"/>
    <mergeCell ref="R44:V46"/>
    <mergeCell ref="R47:V49"/>
    <mergeCell ref="R50:V51"/>
    <mergeCell ref="R52:V53"/>
    <mergeCell ref="H63:J63"/>
    <mergeCell ref="A79:A80"/>
    <mergeCell ref="A81:A84"/>
  </mergeCells>
  <conditionalFormatting sqref="K1:K15 K17:K92 L57:T63 E65:F67 G65:G74 L65:T67 C67 C73 E73:F74 L73:T74 C76:G76 L76:T76 C78:C80 E78:G80 L78:T80 D81 C93 E93:F93 C95 E95:F95 C97 E97:F97 C99 E99:F99 K101:K135">
    <cfRule type="containsText" dxfId="0" priority="1" operator="containsText" text="361">
      <formula>NOT(ISERROR(SEARCH(("361"),(K1))))</formula>
    </cfRule>
  </conditionalFormatting>
  <conditionalFormatting sqref="K1:K15 K17:K92 L57:T63 E65:F67 G65:G74 L65:T67 C67 C73 E73:F74 L73:T74 C76:G76 L76:T76 C78:C80 E78:G80 L78:T80 D81 C93 E93:F93 C95 E95:F95 C97 E97:F97 C99 E99:F99 K101:K135">
    <cfRule type="containsText" dxfId="1" priority="2" operator="containsText" text="363">
      <formula>NOT(ISERROR(SEARCH(("363"),(K1))))</formula>
    </cfRule>
  </conditionalFormatting>
  <conditionalFormatting sqref="K1:K15 K17:K92 L57:T63 E65:F67 G65:G74 L65:T67 C67 C73 E73:F74 L73:T74 C76:G76 L76:T76 C78:C80 E78:G80 L78:T80 D81 C93 E93:F93 C95 E95:F95 C97 E97:F97 C99 E99:F99 K101:K135">
    <cfRule type="containsText" dxfId="1" priority="3" operator="containsText" text="365">
      <formula>NOT(ISERROR(SEARCH(("365"),(K1))))</formula>
    </cfRule>
  </conditionalFormatting>
  <conditionalFormatting sqref="K1:K15 K17:K92 L57:T63 E65:F67 G65:G74 L65:T67 C67 C73 E73:F74 L73:T74 C76:G76 L76:T76 C78:C80 E78:G80 L78:T80 D81 C93 E93:F93 C95 E95:F95 C97 E97:F97 C99 E99:F99 K101:K135">
    <cfRule type="containsText" dxfId="1" priority="4" operator="containsText" text="366">
      <formula>NOT(ISERROR(SEARCH(("366"),(K1))))</formula>
    </cfRule>
  </conditionalFormatting>
  <conditionalFormatting sqref="K1:K15 K17:K92 L57:T63 E65:F67 G65:G74 L65:T67 C67 C73 E73:F74 L73:T74 C76:G76 L76:T76 C78:C80 E78:G80 L78:T80 D81 C93 E93:F93 C95 E95:F95 C97 E97:F97 C99 E99:F99 K101:K135">
    <cfRule type="containsText" dxfId="1" priority="5" operator="containsText" text="367">
      <formula>NOT(ISERROR(SEARCH(("367"),(K1))))</formula>
    </cfRule>
  </conditionalFormatting>
  <conditionalFormatting sqref="O93:O100">
    <cfRule type="cellIs" dxfId="2" priority="6" operator="equal">
      <formula>"敵のみ"</formula>
    </cfRule>
  </conditionalFormatting>
  <conditionalFormatting sqref="C93:C100">
    <cfRule type="cellIs" dxfId="3" priority="7" operator="equal">
      <formula>"-"</formula>
    </cfRule>
  </conditionalFormatting>
  <conditionalFormatting sqref="O1:O93 K57:N63 P57:T63 E65:F67 G65:G74 K65:N67 P65:T67 C67 C73 E73:F74 K73:N74 P73:T74 C76:G76 K76:N76 P76:T76 C78:C80 E78:G80 K78:N80 P78:T80 D81 C93 E93:F93 K93:M93 N93:N100 P93 C95 E95:F95 K95:M95 O95:P95 C97 E97:F97 K97:M97 O97:P97 C99 E99:F99 K99:M99 O99:O159 P99">
    <cfRule type="cellIs" dxfId="4" priority="8" operator="greaterThan">
      <formula>0</formula>
    </cfRule>
  </conditionalFormatting>
  <conditionalFormatting sqref="P1:P159 Q1:Q92 O93:O100 Q101:Q159">
    <cfRule type="cellIs" dxfId="5" priority="9" operator="lessThan">
      <formula>1</formula>
    </cfRule>
  </conditionalFormatting>
  <conditionalFormatting sqref="P1:P159 Q1:Q92 O93:O100 Q101:Q159">
    <cfRule type="cellIs" dxfId="4" priority="10" operator="greaterThan">
      <formula>1</formula>
    </cfRule>
  </conditionalFormatting>
  <conditionalFormatting sqref="N25:N92 M93:M100">
    <cfRule type="cellIs" dxfId="6" priority="11" operator="greaterThan">
      <formula>0</formula>
    </cfRule>
  </conditionalFormatting>
  <conditionalFormatting sqref="N1:N15 N17:N92 M93:M100 N101:N159">
    <cfRule type="containsText" dxfId="6" priority="12" operator="containsText" text="/">
      <formula>NOT(ISERROR(SEARCH(("/"),(N1))))</formula>
    </cfRule>
  </conditionalFormatting>
  <drawing r:id="rId2"/>
  <legacy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413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3080">
        <v>69.0</v>
      </c>
      <c r="B1" s="3081"/>
      <c r="C1" s="3082" t="str">
        <f>IMAGE(VLOOKUP($A$1,Fighters!A2:AI114,12,FALSE),1)</f>
        <v>#REF!</v>
      </c>
      <c r="D1" s="3083"/>
      <c r="E1" s="3083"/>
      <c r="F1" s="3083"/>
      <c r="G1" s="3084"/>
      <c r="H1" s="3085"/>
      <c r="I1" s="3083"/>
      <c r="J1" s="3084"/>
      <c r="K1" s="3086"/>
      <c r="L1" s="3083"/>
      <c r="M1" s="3084"/>
      <c r="N1" s="3087"/>
      <c r="O1" s="3087"/>
      <c r="P1" s="3087"/>
      <c r="Q1" s="3087"/>
      <c r="R1" s="3088"/>
      <c r="S1" s="3088"/>
      <c r="T1" s="3088"/>
      <c r="U1" s="3088"/>
      <c r="V1" s="3088"/>
    </row>
    <row r="2">
      <c r="A2" s="3089" t="str">
        <f>VLOOKUP($A$1,Fighters!$A$2:$AI$81,6,FALSE)</f>
        <v>#c84134</v>
      </c>
      <c r="B2" s="3081"/>
      <c r="C2" s="3090"/>
      <c r="G2" s="3091"/>
      <c r="H2" s="3092"/>
      <c r="I2" s="3093"/>
      <c r="J2" s="3094"/>
      <c r="K2" s="3092"/>
      <c r="L2" s="3093"/>
      <c r="M2" s="3094"/>
      <c r="N2" s="3087"/>
      <c r="O2" s="3087"/>
      <c r="P2" s="3087"/>
      <c r="Q2" s="3087"/>
      <c r="R2" s="3088"/>
      <c r="S2" s="3088"/>
      <c r="T2" s="3088"/>
      <c r="U2" s="3088"/>
      <c r="V2" s="3088"/>
    </row>
    <row r="3">
      <c r="A3" s="3089" t="str">
        <f>VLOOKUP($A$1,Fighters!$A$2:$AI$81,14,FALSE)</f>
        <v>69. ガオガエン</v>
      </c>
      <c r="B3" s="3081"/>
      <c r="C3" s="3090"/>
      <c r="G3" s="3091"/>
      <c r="H3" s="3095"/>
      <c r="I3" s="3095"/>
      <c r="J3" s="3095"/>
      <c r="K3" s="3096"/>
      <c r="L3" s="3096"/>
      <c r="M3" s="3096"/>
      <c r="N3" s="3087"/>
      <c r="O3" s="3087"/>
      <c r="P3" s="3087"/>
      <c r="Q3" s="3087"/>
      <c r="R3" s="3097"/>
      <c r="S3" s="3088"/>
      <c r="T3" s="3088"/>
      <c r="U3" s="3088"/>
      <c r="V3" s="3088"/>
    </row>
    <row r="4">
      <c r="A4" s="3089" t="str">
        <f>VLOOKUP($A$1,Fighters!$A$2:$AI$81,13,FALSE)</f>
        <v>1</v>
      </c>
      <c r="B4" s="3081"/>
      <c r="C4" s="3090"/>
      <c r="G4" s="3091"/>
      <c r="H4" s="3098"/>
      <c r="I4" s="3098"/>
      <c r="J4" s="3095"/>
      <c r="K4" s="3096"/>
      <c r="L4" s="3096"/>
      <c r="M4" s="3096"/>
      <c r="N4" s="3087"/>
      <c r="O4" s="3087"/>
      <c r="P4" s="3087"/>
      <c r="Q4" s="3087"/>
      <c r="R4" s="3097"/>
      <c r="S4" s="3088"/>
      <c r="T4" s="3088"/>
      <c r="U4" s="3088"/>
      <c r="V4" s="3088"/>
    </row>
    <row r="5" ht="16.5" customHeight="1">
      <c r="A5" s="3080"/>
      <c r="B5" s="3081"/>
      <c r="C5" s="3090"/>
      <c r="G5" s="3091"/>
      <c r="H5" s="3099"/>
      <c r="I5" s="3099"/>
      <c r="J5" s="3100"/>
      <c r="K5" s="3101"/>
      <c r="L5" s="3102"/>
      <c r="M5" s="3102"/>
      <c r="N5" s="3087"/>
      <c r="O5" s="3087"/>
      <c r="P5" s="3087"/>
      <c r="Q5" s="3087"/>
      <c r="R5" s="3097"/>
      <c r="S5" s="3088"/>
      <c r="T5" s="3088"/>
      <c r="U5" s="3088"/>
      <c r="V5" s="3088"/>
    </row>
    <row r="6">
      <c r="A6" s="3081"/>
      <c r="B6" s="3081"/>
      <c r="C6" s="3090"/>
      <c r="G6" s="3091"/>
      <c r="H6" s="3098"/>
      <c r="I6" s="3103" t="s">
        <v>39</v>
      </c>
      <c r="J6" s="3101"/>
      <c r="K6" s="3104"/>
      <c r="L6" s="3102"/>
      <c r="M6" s="3102"/>
      <c r="N6" s="3087"/>
      <c r="O6" s="3087"/>
      <c r="P6" s="3087"/>
      <c r="Q6" s="3087"/>
      <c r="R6" s="3097"/>
      <c r="S6" s="3088"/>
      <c r="T6" s="3088"/>
      <c r="U6" s="3088"/>
      <c r="V6" s="3088"/>
    </row>
    <row r="7">
      <c r="A7" s="3081"/>
      <c r="B7" s="3081"/>
      <c r="C7" s="3090"/>
      <c r="G7" s="3091"/>
      <c r="H7" s="3099"/>
      <c r="I7" s="3099"/>
      <c r="J7" s="3101"/>
      <c r="K7" s="3104"/>
      <c r="L7" s="3102"/>
      <c r="M7" s="3102"/>
      <c r="N7" s="3087"/>
      <c r="O7" s="3087"/>
      <c r="P7" s="3087"/>
      <c r="Q7" s="3087"/>
      <c r="R7" s="3097"/>
      <c r="S7" s="3088"/>
      <c r="T7" s="3088"/>
      <c r="U7" s="3088"/>
      <c r="V7" s="3088"/>
    </row>
    <row r="8">
      <c r="A8" s="3081"/>
      <c r="B8" s="3081"/>
      <c r="C8" s="3090"/>
      <c r="G8" s="3091"/>
      <c r="H8" s="3105">
        <v>44489.76267539352</v>
      </c>
      <c r="I8" s="3083"/>
      <c r="J8" s="3084"/>
      <c r="K8" s="3101"/>
      <c r="L8" s="3102"/>
      <c r="M8" s="3102"/>
      <c r="N8" s="3087"/>
      <c r="O8" s="3087"/>
      <c r="P8" s="3087"/>
      <c r="Q8" s="3087"/>
      <c r="R8" s="3097"/>
      <c r="S8" s="3088"/>
      <c r="T8" s="3088"/>
      <c r="U8" s="3088"/>
      <c r="V8" s="3088"/>
    </row>
    <row r="9">
      <c r="A9" s="3081"/>
      <c r="B9" s="3081"/>
      <c r="C9" s="3090"/>
      <c r="G9" s="3091"/>
      <c r="H9" s="3092"/>
      <c r="I9" s="3093"/>
      <c r="J9" s="3094"/>
      <c r="K9" s="3088"/>
      <c r="L9" s="3087"/>
      <c r="M9" s="3087"/>
      <c r="N9" s="3087"/>
      <c r="O9" s="3087"/>
      <c r="P9" s="3087"/>
      <c r="Q9" s="3087"/>
      <c r="R9" s="3097"/>
      <c r="S9" s="3088"/>
      <c r="T9" s="3088"/>
      <c r="U9" s="3088"/>
      <c r="V9" s="3088"/>
    </row>
    <row r="10">
      <c r="A10" s="3081"/>
      <c r="B10" s="3081"/>
      <c r="C10" s="3090"/>
      <c r="G10" s="3091"/>
      <c r="H10" s="3106"/>
      <c r="I10" s="3106"/>
      <c r="J10" s="3088"/>
      <c r="K10" s="3088"/>
      <c r="L10" s="3087"/>
      <c r="M10" s="3087"/>
      <c r="N10" s="3087"/>
      <c r="O10" s="3087"/>
      <c r="P10" s="3087"/>
      <c r="Q10" s="3087"/>
      <c r="R10" s="3097"/>
      <c r="S10" s="3088"/>
      <c r="T10" s="3088"/>
      <c r="U10" s="3088"/>
      <c r="V10" s="3088"/>
    </row>
    <row r="11">
      <c r="A11" s="3107" t="s">
        <v>40</v>
      </c>
      <c r="B11" s="3084"/>
      <c r="C11" s="3090"/>
      <c r="G11" s="3091"/>
      <c r="H11" s="3099"/>
      <c r="I11" s="3099"/>
      <c r="J11" s="3088"/>
      <c r="K11" s="3088"/>
      <c r="L11" s="3087"/>
      <c r="M11" s="3087"/>
      <c r="N11" s="3087"/>
      <c r="O11" s="3087"/>
      <c r="P11" s="3087"/>
      <c r="Q11" s="3087"/>
      <c r="R11" s="3097"/>
      <c r="S11" s="3088"/>
      <c r="T11" s="3088"/>
      <c r="U11" s="3088"/>
      <c r="V11" s="3088"/>
    </row>
    <row r="12">
      <c r="A12" s="3092"/>
      <c r="B12" s="3094"/>
      <c r="C12" s="3092"/>
      <c r="D12" s="3093"/>
      <c r="E12" s="3093"/>
      <c r="F12" s="3093"/>
      <c r="G12" s="3094"/>
      <c r="H12" s="3108"/>
      <c r="I12" s="3108"/>
      <c r="J12" s="3081"/>
      <c r="K12" s="3081"/>
      <c r="L12" s="3087"/>
      <c r="M12" s="3087"/>
      <c r="N12" s="3087"/>
      <c r="O12" s="3087"/>
      <c r="P12" s="3087"/>
      <c r="Q12" s="3087"/>
      <c r="R12" s="3097"/>
      <c r="S12" s="3088"/>
      <c r="T12" s="3088"/>
      <c r="U12" s="3088"/>
      <c r="V12" s="308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116 [6th]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1.76 [72nd]</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str">
        <f t="array" ref="B18">INDEX('行動フレーム・能力値'!$C$2:$AD$81, MATCH($A$1,'行動フレーム・能力値'!$A$2:$A$95,0), MATCH(A18,'行動フレーム・能力値'!$C$1:$AD$1,0))</f>
        <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0.62 [89th]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43F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[77th]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31.6 [53rd]</v>
      </c>
      <c r="O18" s="99"/>
      <c r="P18" s="99"/>
      <c r="Q18" s="99"/>
      <c r="R18" s="99"/>
      <c r="S18" s="111"/>
      <c r="T18" s="111"/>
      <c r="U18" s="111"/>
      <c r="V18" s="111"/>
    </row>
    <row r="19" outlineLevel="1">
      <c r="A19" s="112" t="str">
        <f>'テンプレート'!A19</f>
        <v>カベジャンプ</v>
      </c>
      <c r="B19" s="113" t="str">
        <f t="array" ref="B19">INDEX('行動フレーム・能力値'!$C$2:$AD$81, MATCH($A$1,'行動フレーム・能力値'!$A$2:$A$95,0), MATCH(A19,'行動フレーム・能力値'!$C$1:$AD$1,0))</f>
        <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1.18 [89th]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21F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0.114 [31st]</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14.4 [69th]</v>
      </c>
      <c r="O19" s="99"/>
      <c r="P19" s="99"/>
      <c r="Q19" s="99"/>
      <c r="R19" s="99"/>
      <c r="S19" s="111"/>
      <c r="T19" s="111"/>
      <c r="U19" s="111"/>
      <c r="V19" s="111"/>
    </row>
    <row r="20" outlineLevel="1">
      <c r="A20" s="112" t="str">
        <f>'テンプレート'!A20</f>
        <v>カベ張りつき</v>
      </c>
      <c r="B20" s="113" t="str">
        <f t="array" ref="B20">INDEX('行動フレーム・能力値'!$C$2:$AD$81, MATCH($A$1,'行動フレーム・能力値'!$A$2:$A$95,0), MATCH(A20,'行動フレーム・能力値'!$C$1:$AD$1,0))</f>
        <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0.88 [81st]</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31F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 [49th]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32.8 [46th]</v>
      </c>
      <c r="O20" s="99"/>
      <c r="P20" s="99"/>
      <c r="Q20" s="99"/>
      <c r="R20" s="99"/>
      <c r="S20" s="100"/>
      <c r="T20" s="100"/>
      <c r="U20" s="100"/>
      <c r="V20" s="100"/>
    </row>
    <row r="21" outlineLevel="1">
      <c r="A21" s="112" t="str">
        <f>'テンプレート'!A21</f>
        <v>空中ワイヤー</v>
      </c>
      <c r="B21" s="113" t="str">
        <f t="array" ref="B21">INDEX('行動フレーム・能力値'!$C$2:$AD$81, MATCH($A$1,'行動フレーム・能力値'!$A$2:$A$95,0), MATCH(A21,'行動フレーム・能力値'!$C$1:$AD$1,0))</f>
        <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1.76 [22nd]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2.816 [22nd]</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0.126 [12th]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
        <v>266</v>
      </c>
      <c r="B26" s="134" t="s">
        <v>55</v>
      </c>
      <c r="C26" s="701" t="s">
        <v>267</v>
      </c>
      <c r="D26" s="701" t="s">
        <v>173</v>
      </c>
      <c r="E26" s="139" t="s">
        <v>535</v>
      </c>
      <c r="F26" s="138">
        <v>3.0</v>
      </c>
      <c r="G26" s="139" t="s">
        <v>147</v>
      </c>
      <c r="H26" s="151" t="s">
        <v>5136</v>
      </c>
      <c r="I26" s="110"/>
      <c r="J26" s="109"/>
      <c r="K26" s="138"/>
      <c r="L26" s="282"/>
      <c r="M26" s="363"/>
      <c r="N26" s="363"/>
      <c r="O26" s="145">
        <v>0.0</v>
      </c>
      <c r="P26" s="145">
        <v>1.0</v>
      </c>
      <c r="Q26" s="145">
        <v>1.0</v>
      </c>
      <c r="R26" s="100"/>
      <c r="S26" s="100"/>
      <c r="T26" s="100"/>
      <c r="U26" s="145" t="s">
        <v>62</v>
      </c>
      <c r="V26" s="100"/>
    </row>
    <row r="27" outlineLevel="1">
      <c r="A27" s="146"/>
      <c r="B27" s="147" t="s">
        <v>63</v>
      </c>
      <c r="C27" s="467" t="s">
        <v>717</v>
      </c>
      <c r="D27" s="467" t="s">
        <v>271</v>
      </c>
      <c r="E27" s="216" t="s">
        <v>663</v>
      </c>
      <c r="F27" s="138">
        <v>3.36</v>
      </c>
      <c r="G27" s="139" t="s">
        <v>147</v>
      </c>
      <c r="H27" s="151" t="s">
        <v>5137</v>
      </c>
      <c r="I27" s="110"/>
      <c r="J27" s="109"/>
      <c r="K27" s="282"/>
      <c r="L27" s="282"/>
      <c r="M27" s="363"/>
      <c r="N27" s="363"/>
      <c r="O27" s="145">
        <v>0.0</v>
      </c>
      <c r="P27" s="145">
        <v>1.0</v>
      </c>
      <c r="Q27" s="145">
        <v>1.0</v>
      </c>
      <c r="R27" s="100"/>
      <c r="S27" s="100"/>
      <c r="T27" s="100"/>
      <c r="U27" s="145" t="s">
        <v>69</v>
      </c>
      <c r="V27" s="100"/>
    </row>
    <row r="28" outlineLevel="1">
      <c r="A28" s="156"/>
      <c r="B28" s="147" t="s">
        <v>70</v>
      </c>
      <c r="C28" s="467" t="s">
        <v>717</v>
      </c>
      <c r="D28" s="467" t="s">
        <v>79</v>
      </c>
      <c r="E28" s="450" t="s">
        <v>5138</v>
      </c>
      <c r="F28" s="138">
        <v>8.04</v>
      </c>
      <c r="G28" s="139" t="s">
        <v>95</v>
      </c>
      <c r="H28" s="151"/>
      <c r="I28" s="110"/>
      <c r="J28" s="109"/>
      <c r="K28" s="282"/>
      <c r="L28" s="282"/>
      <c r="M28" s="363"/>
      <c r="N28" s="363"/>
      <c r="O28" s="145">
        <v>0.0</v>
      </c>
      <c r="P28" s="145">
        <v>1.0</v>
      </c>
      <c r="Q28" s="145">
        <v>1.0</v>
      </c>
      <c r="R28" s="100"/>
      <c r="S28" s="100"/>
      <c r="T28" s="100"/>
      <c r="U28" s="145" t="s">
        <v>76</v>
      </c>
      <c r="V28" s="100"/>
    </row>
    <row r="29" outlineLevel="1">
      <c r="A29" s="133" t="s">
        <v>77</v>
      </c>
      <c r="B29" s="160"/>
      <c r="C29" s="467" t="s">
        <v>563</v>
      </c>
      <c r="D29" s="455" t="s">
        <v>384</v>
      </c>
      <c r="E29" s="467" t="s">
        <v>228</v>
      </c>
      <c r="F29" s="138">
        <v>15.6</v>
      </c>
      <c r="G29" s="139" t="s">
        <v>407</v>
      </c>
      <c r="H29" s="163" t="s">
        <v>5139</v>
      </c>
      <c r="I29" s="164"/>
      <c r="J29" s="104"/>
      <c r="K29" s="138"/>
      <c r="L29" s="282"/>
      <c r="M29" s="363"/>
      <c r="N29" s="363"/>
      <c r="O29" s="145">
        <v>0.0</v>
      </c>
      <c r="P29" s="145">
        <v>1.0</v>
      </c>
      <c r="Q29" s="145">
        <v>1.0</v>
      </c>
      <c r="R29" s="100"/>
      <c r="S29" s="100"/>
      <c r="T29" s="100"/>
      <c r="U29" s="166" t="s">
        <v>69</v>
      </c>
      <c r="V29" s="100"/>
    </row>
    <row r="30" outlineLevel="1">
      <c r="A30" s="156"/>
      <c r="B30" s="147" t="s">
        <v>84</v>
      </c>
      <c r="C30" s="467" t="s">
        <v>1128</v>
      </c>
      <c r="D30" s="107"/>
      <c r="E30" s="467" t="s">
        <v>274</v>
      </c>
      <c r="F30" s="138">
        <v>10.799999999999999</v>
      </c>
      <c r="G30" s="139" t="s">
        <v>275</v>
      </c>
      <c r="H30" s="106"/>
      <c r="I30" s="168"/>
      <c r="J30" s="107"/>
      <c r="K30" s="282"/>
      <c r="L30" s="282"/>
      <c r="M30" s="363"/>
      <c r="N30" s="363"/>
      <c r="O30" s="145">
        <v>0.0</v>
      </c>
      <c r="P30" s="145">
        <v>1.0</v>
      </c>
      <c r="Q30" s="145">
        <v>1.0</v>
      </c>
      <c r="R30" s="100"/>
      <c r="S30" s="100"/>
      <c r="T30" s="100"/>
      <c r="U30" s="156"/>
      <c r="V30" s="100"/>
    </row>
    <row r="31" outlineLevel="1">
      <c r="A31" s="170" t="s">
        <v>89</v>
      </c>
      <c r="B31" s="147" t="s">
        <v>90</v>
      </c>
      <c r="C31" s="467" t="s">
        <v>383</v>
      </c>
      <c r="D31" s="467" t="s">
        <v>224</v>
      </c>
      <c r="E31" s="467" t="s">
        <v>1962</v>
      </c>
      <c r="F31" s="138" t="s">
        <v>1963</v>
      </c>
      <c r="G31" s="139" t="s">
        <v>3417</v>
      </c>
      <c r="H31" s="151"/>
      <c r="I31" s="110"/>
      <c r="J31" s="109"/>
      <c r="K31" s="138"/>
      <c r="L31" s="282"/>
      <c r="M31" s="363"/>
      <c r="N31" s="363"/>
      <c r="O31" s="145">
        <v>0.0</v>
      </c>
      <c r="P31" s="145">
        <v>1.0</v>
      </c>
      <c r="Q31" s="145">
        <v>1.0</v>
      </c>
      <c r="R31" s="100"/>
      <c r="S31" s="100"/>
      <c r="T31" s="100"/>
      <c r="U31" s="145" t="s">
        <v>96</v>
      </c>
      <c r="V31" s="100"/>
    </row>
    <row r="32" outlineLevel="1">
      <c r="A32" s="170" t="s">
        <v>97</v>
      </c>
      <c r="B32" s="160"/>
      <c r="C32" s="467" t="s">
        <v>2692</v>
      </c>
      <c r="D32" s="467" t="s">
        <v>218</v>
      </c>
      <c r="E32" s="467" t="s">
        <v>274</v>
      </c>
      <c r="F32" s="138">
        <v>10.799999999999999</v>
      </c>
      <c r="G32" s="139" t="s">
        <v>275</v>
      </c>
      <c r="H32" s="151" t="s">
        <v>5140</v>
      </c>
      <c r="I32" s="110"/>
      <c r="J32" s="109"/>
      <c r="K32" s="282"/>
      <c r="L32" s="282"/>
      <c r="M32" s="363"/>
      <c r="N32" s="363"/>
      <c r="O32" s="145">
        <v>0.0</v>
      </c>
      <c r="P32" s="145">
        <v>1.0</v>
      </c>
      <c r="Q32" s="145">
        <v>1.0</v>
      </c>
      <c r="R32" s="100"/>
      <c r="S32" s="100"/>
      <c r="T32" s="100"/>
      <c r="U32" s="145" t="s">
        <v>69</v>
      </c>
      <c r="V32" s="100"/>
    </row>
    <row r="33" outlineLevel="1">
      <c r="A33" s="170" t="s">
        <v>103</v>
      </c>
      <c r="B33" s="160"/>
      <c r="C33" s="467" t="s">
        <v>835</v>
      </c>
      <c r="D33" s="467" t="s">
        <v>99</v>
      </c>
      <c r="E33" s="467" t="s">
        <v>274</v>
      </c>
      <c r="F33" s="138">
        <v>10.799999999999999</v>
      </c>
      <c r="G33" s="139" t="s">
        <v>275</v>
      </c>
      <c r="H33" s="151" t="s">
        <v>5141</v>
      </c>
      <c r="I33" s="110"/>
      <c r="J33" s="109"/>
      <c r="K33" s="145"/>
      <c r="L33" s="363"/>
      <c r="M33" s="363"/>
      <c r="N33" s="363"/>
      <c r="O33" s="145">
        <v>0.0</v>
      </c>
      <c r="P33" s="145">
        <v>1.0</v>
      </c>
      <c r="Q33" s="145">
        <v>1.0</v>
      </c>
      <c r="R33" s="100"/>
      <c r="S33" s="100"/>
      <c r="T33" s="100"/>
      <c r="U33" s="145" t="s">
        <v>62</v>
      </c>
      <c r="V33" s="100"/>
    </row>
    <row r="34" outlineLevel="1">
      <c r="A34" s="133" t="s">
        <v>109</v>
      </c>
      <c r="B34" s="147" t="s">
        <v>1193</v>
      </c>
      <c r="C34" s="455" t="s">
        <v>1137</v>
      </c>
      <c r="D34" s="450" t="s">
        <v>892</v>
      </c>
      <c r="E34" s="455" t="s">
        <v>2016</v>
      </c>
      <c r="F34" s="394" t="s">
        <v>2017</v>
      </c>
      <c r="G34" s="549" t="s">
        <v>2018</v>
      </c>
      <c r="H34" s="163" t="s">
        <v>1443</v>
      </c>
      <c r="I34" s="164"/>
      <c r="J34" s="104"/>
      <c r="K34" s="282"/>
      <c r="L34" s="282"/>
      <c r="M34" s="363"/>
      <c r="N34" s="363"/>
      <c r="O34" s="145">
        <v>0.0</v>
      </c>
      <c r="P34" s="145">
        <v>1.0</v>
      </c>
      <c r="Q34" s="145">
        <v>1.0</v>
      </c>
      <c r="R34" s="100"/>
      <c r="S34" s="100"/>
      <c r="T34" s="100"/>
      <c r="U34" s="166" t="s">
        <v>60</v>
      </c>
      <c r="V34" s="100"/>
    </row>
    <row r="35" outlineLevel="1">
      <c r="A35" s="156"/>
      <c r="B35" s="147" t="s">
        <v>1197</v>
      </c>
      <c r="C35" s="107"/>
      <c r="D35" s="450" t="s">
        <v>455</v>
      </c>
      <c r="E35" s="107"/>
      <c r="F35" s="156"/>
      <c r="G35" s="107"/>
      <c r="H35" s="106"/>
      <c r="I35" s="168"/>
      <c r="J35" s="107"/>
      <c r="K35" s="282"/>
      <c r="L35" s="282"/>
      <c r="M35" s="363"/>
      <c r="N35" s="363"/>
      <c r="O35" s="145"/>
      <c r="P35" s="145"/>
      <c r="Q35" s="145"/>
      <c r="R35" s="100"/>
      <c r="S35" s="100"/>
      <c r="T35" s="100"/>
      <c r="U35" s="156"/>
      <c r="V35" s="100"/>
    </row>
    <row r="36" outlineLevel="1">
      <c r="A36" s="170" t="s">
        <v>116</v>
      </c>
      <c r="B36" s="160"/>
      <c r="C36" s="467" t="s">
        <v>1691</v>
      </c>
      <c r="D36" s="467" t="s">
        <v>111</v>
      </c>
      <c r="E36" s="467" t="s">
        <v>394</v>
      </c>
      <c r="F36" s="138">
        <v>20.4</v>
      </c>
      <c r="G36" s="139" t="s">
        <v>88</v>
      </c>
      <c r="H36" s="151" t="s">
        <v>5142</v>
      </c>
      <c r="I36" s="110"/>
      <c r="J36" s="109"/>
      <c r="K36" s="363"/>
      <c r="L36" s="363"/>
      <c r="M36" s="363"/>
      <c r="N36" s="363"/>
      <c r="O36" s="145">
        <v>0.0</v>
      </c>
      <c r="P36" s="145">
        <v>1.0</v>
      </c>
      <c r="Q36" s="145">
        <v>1.0</v>
      </c>
      <c r="R36" s="100"/>
      <c r="S36" s="100"/>
      <c r="T36" s="100"/>
      <c r="U36" s="145" t="s">
        <v>95</v>
      </c>
      <c r="V36" s="100"/>
    </row>
    <row r="37" outlineLevel="1">
      <c r="A37" s="170" t="s">
        <v>124</v>
      </c>
      <c r="B37" s="147"/>
      <c r="C37" s="216" t="s">
        <v>312</v>
      </c>
      <c r="D37" s="467" t="s">
        <v>600</v>
      </c>
      <c r="E37" s="450" t="s">
        <v>394</v>
      </c>
      <c r="F37" s="138">
        <v>20.4</v>
      </c>
      <c r="G37" s="139" t="s">
        <v>88</v>
      </c>
      <c r="H37" s="151" t="s">
        <v>5143</v>
      </c>
      <c r="I37" s="110"/>
      <c r="J37" s="109"/>
      <c r="K37" s="282"/>
      <c r="L37" s="282"/>
      <c r="M37" s="363"/>
      <c r="N37" s="363"/>
      <c r="O37" s="145">
        <v>0.0</v>
      </c>
      <c r="P37" s="145">
        <v>1.0</v>
      </c>
      <c r="Q37" s="145">
        <v>1.0</v>
      </c>
      <c r="R37" s="100"/>
      <c r="S37" s="100"/>
      <c r="T37" s="100"/>
      <c r="U37" s="145" t="s">
        <v>62</v>
      </c>
      <c r="V37" s="100"/>
    </row>
    <row r="38">
      <c r="A38" s="118"/>
      <c r="B38" s="176"/>
      <c r="C38" s="118"/>
      <c r="D38" s="118"/>
      <c r="E38" s="118"/>
      <c r="F38" s="177"/>
      <c r="G38" s="177"/>
      <c r="H38" s="118"/>
      <c r="I38" s="118"/>
      <c r="J38" s="118"/>
      <c r="K38" s="118"/>
      <c r="L38" s="118"/>
      <c r="M38" s="118"/>
      <c r="N38" s="118"/>
      <c r="O38" s="118"/>
      <c r="P38" s="118"/>
      <c r="Q38" s="118"/>
      <c r="R38" s="118"/>
      <c r="S38" s="118"/>
      <c r="T38" s="118"/>
      <c r="U38" s="118"/>
      <c r="V38" s="118"/>
    </row>
    <row r="39">
      <c r="A39" s="178" t="s">
        <v>133</v>
      </c>
      <c r="B39" s="104"/>
      <c r="C39" s="179"/>
      <c r="D39" s="179"/>
      <c r="E39" s="179"/>
      <c r="F39" s="180"/>
      <c r="G39" s="179"/>
      <c r="H39" s="180"/>
      <c r="I39" s="180"/>
      <c r="J39" s="181"/>
      <c r="K39" s="180"/>
      <c r="L39" s="180"/>
      <c r="M39" s="180"/>
      <c r="N39" s="180"/>
      <c r="O39" s="180"/>
      <c r="P39" s="180"/>
      <c r="Q39" s="180"/>
      <c r="R39" s="180"/>
      <c r="S39" s="180"/>
      <c r="T39" s="180"/>
      <c r="U39" s="180"/>
      <c r="V39" s="180"/>
    </row>
    <row r="40" outlineLevel="1">
      <c r="A40" s="106"/>
      <c r="B40" s="107"/>
      <c r="C40" s="182" t="s">
        <v>48</v>
      </c>
      <c r="D40" s="183" t="s">
        <v>49</v>
      </c>
      <c r="E40" s="182" t="s">
        <v>50</v>
      </c>
      <c r="F40" s="184" t="s">
        <v>51</v>
      </c>
      <c r="G40" s="184" t="s">
        <v>134</v>
      </c>
      <c r="H40" s="185" t="s">
        <v>52</v>
      </c>
      <c r="I40" s="184" t="s">
        <v>135</v>
      </c>
      <c r="J40" s="184" t="s">
        <v>136</v>
      </c>
      <c r="K40" s="184" t="s">
        <v>137</v>
      </c>
      <c r="L40" s="184" t="s">
        <v>138</v>
      </c>
      <c r="M40" s="184" t="s">
        <v>139</v>
      </c>
      <c r="N40" s="184" t="s">
        <v>140</v>
      </c>
      <c r="O40" s="186" t="s">
        <v>141</v>
      </c>
      <c r="P40" s="184" t="s">
        <v>142</v>
      </c>
      <c r="Q40" s="186" t="s">
        <v>143</v>
      </c>
      <c r="R40" s="187" t="s">
        <v>53</v>
      </c>
      <c r="S40" s="110"/>
      <c r="T40" s="110"/>
      <c r="U40" s="110"/>
      <c r="V40" s="110"/>
    </row>
    <row r="41" outlineLevel="1">
      <c r="A41" s="188" t="s">
        <v>144</v>
      </c>
      <c r="B41" s="373"/>
      <c r="C41" s="239" t="s">
        <v>267</v>
      </c>
      <c r="D41" s="455" t="s">
        <v>384</v>
      </c>
      <c r="E41" s="401" t="s">
        <v>228</v>
      </c>
      <c r="F41" s="193">
        <v>15.6</v>
      </c>
      <c r="G41" s="193">
        <v>13.26</v>
      </c>
      <c r="H41" s="138" t="s">
        <v>75</v>
      </c>
      <c r="I41" s="452" t="str">
        <f t="array" ref="I41">INDEX('空中攻撃'!$O$3:$AB$109, MATCH($A$1,'空中攻撃'!$A$3:$A$109,0), MATCH(A41,'空中攻撃'!$O$2:$S$2,0))</f>
        <v>11</v>
      </c>
      <c r="J41" s="455" t="s">
        <v>452</v>
      </c>
      <c r="K41" s="138"/>
      <c r="L41" s="282"/>
      <c r="M41" s="363"/>
      <c r="N41" s="363"/>
      <c r="O41" s="145">
        <v>0.0</v>
      </c>
      <c r="P41" s="145">
        <v>1.0</v>
      </c>
      <c r="Q41" s="145">
        <v>1.0</v>
      </c>
      <c r="R41" s="163"/>
      <c r="S41" s="164"/>
      <c r="T41" s="164"/>
      <c r="U41" s="164"/>
      <c r="V41" s="104"/>
    </row>
    <row r="42" outlineLevel="1">
      <c r="A42" s="156"/>
      <c r="B42" s="373" t="s">
        <v>84</v>
      </c>
      <c r="C42" s="239" t="s">
        <v>5144</v>
      </c>
      <c r="D42" s="107"/>
      <c r="E42" s="239" t="s">
        <v>93</v>
      </c>
      <c r="F42" s="138">
        <v>8.4</v>
      </c>
      <c r="G42" s="138">
        <v>7.140000000000001</v>
      </c>
      <c r="H42" s="138" t="s">
        <v>60</v>
      </c>
      <c r="I42" s="107"/>
      <c r="J42" s="107"/>
      <c r="K42" s="138"/>
      <c r="L42" s="282"/>
      <c r="M42" s="363"/>
      <c r="N42" s="363"/>
      <c r="O42" s="145">
        <v>0.0</v>
      </c>
      <c r="P42" s="145">
        <v>1.0</v>
      </c>
      <c r="Q42" s="145">
        <v>1.0</v>
      </c>
      <c r="R42" s="106"/>
      <c r="S42" s="168"/>
      <c r="T42" s="168"/>
      <c r="U42" s="168"/>
      <c r="V42" s="107"/>
    </row>
    <row r="43" outlineLevel="1">
      <c r="A43" s="188" t="s">
        <v>151</v>
      </c>
      <c r="B43" s="373"/>
      <c r="C43" s="239" t="s">
        <v>161</v>
      </c>
      <c r="D43" s="455" t="s">
        <v>393</v>
      </c>
      <c r="E43" s="239" t="s">
        <v>5145</v>
      </c>
      <c r="F43" s="138" t="s">
        <v>5146</v>
      </c>
      <c r="G43" s="138" t="s">
        <v>5147</v>
      </c>
      <c r="H43" s="138" t="s">
        <v>318</v>
      </c>
      <c r="I43" s="452" t="str">
        <f t="array" ref="I43">INDEX('空中攻撃'!$O$3:$AB$109, MATCH($A$1,'空中攻撃'!$A$3:$A$109,0), MATCH(A43,'空中攻撃'!$O$2:$S$2,0))</f>
        <v>14</v>
      </c>
      <c r="J43" s="455" t="s">
        <v>5148</v>
      </c>
      <c r="K43" s="138"/>
      <c r="L43" s="282"/>
      <c r="M43" s="363"/>
      <c r="N43" s="363"/>
      <c r="O43" s="145">
        <v>0.0</v>
      </c>
      <c r="P43" s="145">
        <v>1.0</v>
      </c>
      <c r="Q43" s="145">
        <v>1.0</v>
      </c>
      <c r="R43" s="163"/>
      <c r="S43" s="164"/>
      <c r="T43" s="164"/>
      <c r="U43" s="164"/>
      <c r="V43" s="104"/>
    </row>
    <row r="44" outlineLevel="1">
      <c r="A44" s="156"/>
      <c r="B44" s="1090" t="s">
        <v>84</v>
      </c>
      <c r="C44" s="239" t="s">
        <v>580</v>
      </c>
      <c r="D44" s="107"/>
      <c r="E44" s="239" t="s">
        <v>5149</v>
      </c>
      <c r="F44" s="138" t="s">
        <v>5150</v>
      </c>
      <c r="G44" s="138" t="s">
        <v>5151</v>
      </c>
      <c r="H44" s="138" t="s">
        <v>1132</v>
      </c>
      <c r="I44" s="107"/>
      <c r="J44" s="107"/>
      <c r="K44" s="138"/>
      <c r="L44" s="282"/>
      <c r="M44" s="363"/>
      <c r="N44" s="363"/>
      <c r="O44" s="145">
        <v>0.0</v>
      </c>
      <c r="P44" s="145">
        <v>1.0</v>
      </c>
      <c r="Q44" s="145">
        <v>1.0</v>
      </c>
      <c r="R44" s="106"/>
      <c r="S44" s="168"/>
      <c r="T44" s="168"/>
      <c r="U44" s="168"/>
      <c r="V44" s="107"/>
    </row>
    <row r="45" outlineLevel="1">
      <c r="A45" s="213" t="s">
        <v>157</v>
      </c>
      <c r="B45" s="373"/>
      <c r="C45" s="239" t="s">
        <v>975</v>
      </c>
      <c r="D45" s="467" t="s">
        <v>384</v>
      </c>
      <c r="E45" s="239" t="s">
        <v>2641</v>
      </c>
      <c r="F45" s="138" t="s">
        <v>2642</v>
      </c>
      <c r="G45" s="138" t="s">
        <v>5152</v>
      </c>
      <c r="H45" s="138" t="s">
        <v>1808</v>
      </c>
      <c r="I45" s="774">
        <f t="array" ref="I45">INDEX('空中攻撃'!$O$3:$AB$109, MATCH($A$1,'空中攻撃'!$A$3:$A$109,0), MATCH(A45,'空中攻撃'!$O$2:$S$2,0))</f>
        <v>11</v>
      </c>
      <c r="J45" s="467" t="s">
        <v>2986</v>
      </c>
      <c r="K45" s="138"/>
      <c r="L45" s="282"/>
      <c r="M45" s="363"/>
      <c r="N45" s="363"/>
      <c r="O45" s="145">
        <v>0.0</v>
      </c>
      <c r="P45" s="145">
        <v>1.0</v>
      </c>
      <c r="Q45" s="145">
        <v>1.0</v>
      </c>
      <c r="R45" s="151"/>
      <c r="S45" s="110"/>
      <c r="T45" s="110"/>
      <c r="U45" s="110"/>
      <c r="V45" s="109"/>
    </row>
    <row r="46" outlineLevel="1">
      <c r="A46" s="213" t="s">
        <v>162</v>
      </c>
      <c r="B46" s="373"/>
      <c r="C46" s="239" t="s">
        <v>733</v>
      </c>
      <c r="D46" s="467" t="s">
        <v>271</v>
      </c>
      <c r="E46" s="365" t="s">
        <v>274</v>
      </c>
      <c r="F46" s="138">
        <v>10.8</v>
      </c>
      <c r="G46" s="138">
        <v>9.18</v>
      </c>
      <c r="H46" s="138" t="s">
        <v>147</v>
      </c>
      <c r="I46" s="774" t="str">
        <f t="array" ref="I46">INDEX('空中攻撃'!$O$3:$AB$109, MATCH($A$1,'空中攻撃'!$A$3:$A$109,0), MATCH(A46,'空中攻撃'!$O$2:$S$2,0))</f>
        <v>8</v>
      </c>
      <c r="J46" s="467" t="s">
        <v>323</v>
      </c>
      <c r="K46" s="282"/>
      <c r="L46" s="282"/>
      <c r="M46" s="363"/>
      <c r="N46" s="363"/>
      <c r="O46" s="145">
        <v>0.0</v>
      </c>
      <c r="P46" s="145">
        <v>1.0</v>
      </c>
      <c r="Q46" s="145">
        <v>1.0</v>
      </c>
      <c r="R46" s="151"/>
      <c r="S46" s="110"/>
      <c r="T46" s="110"/>
      <c r="U46" s="110"/>
      <c r="V46" s="109"/>
    </row>
    <row r="47" outlineLevel="1">
      <c r="A47" s="188" t="s">
        <v>166</v>
      </c>
      <c r="B47" s="373"/>
      <c r="C47" s="239" t="s">
        <v>409</v>
      </c>
      <c r="D47" s="455" t="s">
        <v>393</v>
      </c>
      <c r="E47" s="365" t="s">
        <v>646</v>
      </c>
      <c r="F47" s="138" t="s">
        <v>647</v>
      </c>
      <c r="G47" s="138" t="s">
        <v>648</v>
      </c>
      <c r="H47" s="138" t="s">
        <v>318</v>
      </c>
      <c r="I47" s="452">
        <f t="array" ref="I47">INDEX('空中攻撃'!$O$3:$AB$109, MATCH($A$1,'空中攻撃'!$A$3:$A$109,0), MATCH(A47,'空中攻撃'!$O$2:$S$2,0))</f>
        <v>16</v>
      </c>
      <c r="J47" s="379" t="s">
        <v>4260</v>
      </c>
      <c r="K47" s="282"/>
      <c r="L47" s="282"/>
      <c r="M47" s="363"/>
      <c r="N47" s="363"/>
      <c r="O47" s="145">
        <v>0.0</v>
      </c>
      <c r="P47" s="145">
        <v>1.0</v>
      </c>
      <c r="Q47" s="145">
        <v>1.0</v>
      </c>
      <c r="R47" s="163"/>
      <c r="S47" s="164"/>
      <c r="T47" s="164"/>
      <c r="U47" s="164"/>
      <c r="V47" s="104"/>
    </row>
    <row r="48" outlineLevel="1">
      <c r="A48" s="156"/>
      <c r="B48" s="373" t="s">
        <v>84</v>
      </c>
      <c r="C48" s="239" t="s">
        <v>351</v>
      </c>
      <c r="D48" s="107"/>
      <c r="E48" s="365" t="s">
        <v>1134</v>
      </c>
      <c r="F48" s="138" t="s">
        <v>1135</v>
      </c>
      <c r="G48" s="138" t="s">
        <v>1136</v>
      </c>
      <c r="H48" s="138" t="s">
        <v>1132</v>
      </c>
      <c r="I48" s="107"/>
      <c r="J48" s="107"/>
      <c r="K48" s="282"/>
      <c r="L48" s="282"/>
      <c r="M48" s="363"/>
      <c r="N48" s="363"/>
      <c r="O48" s="145">
        <v>0.0</v>
      </c>
      <c r="P48" s="145">
        <v>1.0</v>
      </c>
      <c r="Q48" s="145">
        <v>1.0</v>
      </c>
      <c r="R48" s="106"/>
      <c r="S48" s="168"/>
      <c r="T48" s="168"/>
      <c r="U48" s="168"/>
      <c r="V48" s="107"/>
    </row>
    <row r="49">
      <c r="A49" s="223"/>
      <c r="B49" s="224"/>
      <c r="C49" s="225"/>
      <c r="D49" s="225"/>
      <c r="E49" s="226"/>
      <c r="F49" s="226"/>
      <c r="G49" s="226"/>
      <c r="H49" s="227"/>
      <c r="I49" s="227"/>
      <c r="J49" s="228"/>
      <c r="K49" s="228"/>
      <c r="L49" s="228"/>
      <c r="M49" s="228"/>
      <c r="N49" s="228"/>
      <c r="O49" s="228"/>
      <c r="P49" s="228"/>
      <c r="Q49" s="118"/>
      <c r="R49" s="118"/>
      <c r="S49" s="118"/>
      <c r="T49" s="118"/>
      <c r="U49" s="118"/>
      <c r="V49" s="118"/>
    </row>
    <row r="50">
      <c r="A50" s="229" t="s">
        <v>177</v>
      </c>
      <c r="B50" s="109"/>
      <c r="C50" s="225"/>
      <c r="D50" s="225"/>
      <c r="E50" s="226"/>
      <c r="F50" s="226"/>
      <c r="G50" s="226"/>
      <c r="H50" s="227"/>
      <c r="I50" s="227"/>
      <c r="J50" s="228"/>
      <c r="K50" s="228"/>
      <c r="L50" s="228"/>
      <c r="M50" s="228"/>
      <c r="N50" s="228"/>
      <c r="O50" s="228"/>
      <c r="P50" s="228"/>
      <c r="Q50" s="118"/>
      <c r="R50" s="118"/>
      <c r="S50" s="118"/>
      <c r="T50" s="118"/>
      <c r="U50" s="118"/>
      <c r="V50" s="118"/>
    </row>
    <row r="51" outlineLevel="1">
      <c r="A51" s="230" t="s">
        <v>5153</v>
      </c>
      <c r="B51" s="109"/>
      <c r="C51" s="231" t="s">
        <v>48</v>
      </c>
      <c r="D51" s="231" t="s">
        <v>49</v>
      </c>
      <c r="E51" s="232" t="s">
        <v>50</v>
      </c>
      <c r="F51" s="233" t="s">
        <v>51</v>
      </c>
      <c r="G51" s="232" t="s">
        <v>52</v>
      </c>
      <c r="H51" s="382" t="s">
        <v>53</v>
      </c>
      <c r="I51" s="110"/>
      <c r="J51" s="109"/>
      <c r="K51" s="235" t="s">
        <v>137</v>
      </c>
      <c r="L51" s="235" t="s">
        <v>138</v>
      </c>
      <c r="M51" s="235" t="s">
        <v>139</v>
      </c>
      <c r="N51" s="235" t="s">
        <v>140</v>
      </c>
      <c r="O51" s="236" t="s">
        <v>141</v>
      </c>
      <c r="P51" s="235" t="s">
        <v>142</v>
      </c>
      <c r="Q51" s="236" t="s">
        <v>143</v>
      </c>
      <c r="R51" s="235" t="s">
        <v>179</v>
      </c>
      <c r="S51" s="236" t="s">
        <v>180</v>
      </c>
      <c r="T51" s="236" t="s">
        <v>181</v>
      </c>
      <c r="U51" s="236" t="s">
        <v>182</v>
      </c>
      <c r="V51" s="236" t="s">
        <v>183</v>
      </c>
    </row>
    <row r="52" outlineLevel="1">
      <c r="A52" s="237" t="s">
        <v>184</v>
      </c>
      <c r="B52" s="243" t="s">
        <v>5154</v>
      </c>
      <c r="C52" s="365" t="s">
        <v>91</v>
      </c>
      <c r="D52" s="455" t="s">
        <v>1419</v>
      </c>
      <c r="E52" s="365" t="s">
        <v>5155</v>
      </c>
      <c r="F52" s="138" t="s">
        <v>5156</v>
      </c>
      <c r="G52" s="139" t="s">
        <v>5157</v>
      </c>
      <c r="H52" s="163" t="s">
        <v>5158</v>
      </c>
      <c r="I52" s="164"/>
      <c r="J52" s="104"/>
      <c r="K52" s="282"/>
      <c r="L52" s="282"/>
      <c r="M52" s="363"/>
      <c r="N52" s="363"/>
      <c r="O52" s="138">
        <v>0.0</v>
      </c>
      <c r="P52" s="138">
        <v>1.0</v>
      </c>
      <c r="Q52" s="138">
        <v>1.0</v>
      </c>
      <c r="R52" s="145" t="b">
        <v>1</v>
      </c>
      <c r="S52" s="145" t="b">
        <v>1</v>
      </c>
      <c r="T52" s="145"/>
      <c r="U52" s="166" t="s">
        <v>186</v>
      </c>
      <c r="V52" s="166" t="b">
        <v>1</v>
      </c>
    </row>
    <row r="53" outlineLevel="1">
      <c r="A53" s="146"/>
      <c r="B53" s="243" t="s">
        <v>5159</v>
      </c>
      <c r="C53" s="239" t="s">
        <v>267</v>
      </c>
      <c r="D53" s="210"/>
      <c r="E53" s="365" t="s">
        <v>5155</v>
      </c>
      <c r="F53" s="138" t="s">
        <v>5156</v>
      </c>
      <c r="G53" s="139" t="s">
        <v>5157</v>
      </c>
      <c r="H53" s="212"/>
      <c r="J53" s="210"/>
      <c r="K53" s="282"/>
      <c r="L53" s="282"/>
      <c r="M53" s="363"/>
      <c r="N53" s="363"/>
      <c r="O53" s="138"/>
      <c r="P53" s="138"/>
      <c r="Q53" s="138"/>
      <c r="R53" s="145" t="b">
        <v>0</v>
      </c>
      <c r="S53" s="145" t="b">
        <v>0</v>
      </c>
      <c r="T53" s="145" t="b">
        <v>0</v>
      </c>
      <c r="U53" s="146"/>
      <c r="V53" s="146"/>
    </row>
    <row r="54" outlineLevel="1">
      <c r="A54" s="146"/>
      <c r="B54" s="243" t="s">
        <v>131</v>
      </c>
      <c r="C54" s="239" t="s">
        <v>220</v>
      </c>
      <c r="D54" s="210"/>
      <c r="E54" s="239" t="s">
        <v>640</v>
      </c>
      <c r="F54" s="138" t="s">
        <v>641</v>
      </c>
      <c r="G54" s="139" t="s">
        <v>1302</v>
      </c>
      <c r="H54" s="212"/>
      <c r="J54" s="210"/>
      <c r="K54" s="282"/>
      <c r="L54" s="282"/>
      <c r="M54" s="363"/>
      <c r="N54" s="363"/>
      <c r="O54" s="138"/>
      <c r="P54" s="138"/>
      <c r="Q54" s="138"/>
      <c r="R54" s="145" t="b">
        <v>0</v>
      </c>
      <c r="S54" s="145" t="b">
        <v>0</v>
      </c>
      <c r="T54" s="145" t="b">
        <v>0</v>
      </c>
      <c r="U54" s="146"/>
      <c r="V54" s="146"/>
    </row>
    <row r="55" outlineLevel="1">
      <c r="A55" s="146"/>
      <c r="B55" s="243" t="s">
        <v>434</v>
      </c>
      <c r="C55" s="239" t="s">
        <v>561</v>
      </c>
      <c r="D55" s="210"/>
      <c r="E55" s="239" t="s">
        <v>640</v>
      </c>
      <c r="F55" s="138" t="s">
        <v>641</v>
      </c>
      <c r="G55" s="139" t="s">
        <v>1302</v>
      </c>
      <c r="H55" s="212"/>
      <c r="J55" s="210"/>
      <c r="K55" s="282"/>
      <c r="L55" s="282"/>
      <c r="M55" s="363"/>
      <c r="N55" s="363"/>
      <c r="O55" s="138"/>
      <c r="P55" s="138"/>
      <c r="Q55" s="138"/>
      <c r="R55" s="145" t="b">
        <v>0</v>
      </c>
      <c r="S55" s="145" t="b">
        <v>0</v>
      </c>
      <c r="T55" s="145" t="b">
        <v>0</v>
      </c>
      <c r="U55" s="146"/>
      <c r="V55" s="146"/>
    </row>
    <row r="56" outlineLevel="1">
      <c r="A56" s="146"/>
      <c r="B56" s="243" t="s">
        <v>520</v>
      </c>
      <c r="C56" s="239" t="s">
        <v>377</v>
      </c>
      <c r="D56" s="210"/>
      <c r="E56" s="239" t="s">
        <v>2447</v>
      </c>
      <c r="F56" s="138" t="s">
        <v>2448</v>
      </c>
      <c r="G56" s="139" t="s">
        <v>2449</v>
      </c>
      <c r="H56" s="212"/>
      <c r="J56" s="210"/>
      <c r="K56" s="282"/>
      <c r="L56" s="282"/>
      <c r="M56" s="363"/>
      <c r="N56" s="363"/>
      <c r="O56" s="138"/>
      <c r="P56" s="138"/>
      <c r="Q56" s="138"/>
      <c r="R56" s="145" t="b">
        <v>0</v>
      </c>
      <c r="S56" s="145" t="b">
        <v>0</v>
      </c>
      <c r="T56" s="145" t="b">
        <v>0</v>
      </c>
      <c r="U56" s="146"/>
      <c r="V56" s="146"/>
    </row>
    <row r="57" outlineLevel="1">
      <c r="A57" s="146"/>
      <c r="B57" s="243" t="s">
        <v>521</v>
      </c>
      <c r="C57" s="239" t="s">
        <v>433</v>
      </c>
      <c r="D57" s="210"/>
      <c r="E57" s="239" t="s">
        <v>2447</v>
      </c>
      <c r="F57" s="138" t="s">
        <v>2448</v>
      </c>
      <c r="G57" s="139" t="s">
        <v>2449</v>
      </c>
      <c r="H57" s="212"/>
      <c r="J57" s="210"/>
      <c r="K57" s="282"/>
      <c r="L57" s="282"/>
      <c r="M57" s="363"/>
      <c r="N57" s="363"/>
      <c r="O57" s="138"/>
      <c r="P57" s="138"/>
      <c r="Q57" s="138"/>
      <c r="R57" s="145" t="b">
        <v>0</v>
      </c>
      <c r="S57" s="145" t="b">
        <v>0</v>
      </c>
      <c r="T57" s="145" t="b">
        <v>0</v>
      </c>
      <c r="U57" s="146"/>
      <c r="V57" s="146"/>
    </row>
    <row r="58" outlineLevel="1">
      <c r="A58" s="146"/>
      <c r="B58" s="243" t="s">
        <v>172</v>
      </c>
      <c r="C58" s="239" t="s">
        <v>2346</v>
      </c>
      <c r="D58" s="210"/>
      <c r="E58" s="239" t="s">
        <v>352</v>
      </c>
      <c r="F58" s="138" t="s">
        <v>353</v>
      </c>
      <c r="G58" s="139" t="s">
        <v>969</v>
      </c>
      <c r="H58" s="212"/>
      <c r="J58" s="210"/>
      <c r="K58" s="282"/>
      <c r="L58" s="282"/>
      <c r="M58" s="363"/>
      <c r="N58" s="363"/>
      <c r="O58" s="138"/>
      <c r="P58" s="138"/>
      <c r="Q58" s="138"/>
      <c r="R58" s="145" t="b">
        <v>0</v>
      </c>
      <c r="S58" s="145" t="b">
        <v>0</v>
      </c>
      <c r="T58" s="145" t="b">
        <v>0</v>
      </c>
      <c r="U58" s="146"/>
      <c r="V58" s="146"/>
    </row>
    <row r="59" outlineLevel="1">
      <c r="A59" s="146"/>
      <c r="B59" s="243" t="s">
        <v>365</v>
      </c>
      <c r="C59" s="239" t="s">
        <v>5160</v>
      </c>
      <c r="D59" s="210"/>
      <c r="E59" s="239" t="s">
        <v>352</v>
      </c>
      <c r="F59" s="138" t="s">
        <v>353</v>
      </c>
      <c r="G59" s="139" t="s">
        <v>969</v>
      </c>
      <c r="H59" s="212"/>
      <c r="J59" s="210"/>
      <c r="K59" s="282"/>
      <c r="L59" s="282"/>
      <c r="M59" s="363"/>
      <c r="N59" s="363"/>
      <c r="O59" s="138"/>
      <c r="P59" s="138"/>
      <c r="Q59" s="138"/>
      <c r="R59" s="145"/>
      <c r="S59" s="145"/>
      <c r="T59" s="145"/>
      <c r="U59" s="146"/>
      <c r="V59" s="146"/>
    </row>
    <row r="60" outlineLevel="1">
      <c r="A60" s="146"/>
      <c r="B60" s="243" t="s">
        <v>524</v>
      </c>
      <c r="C60" s="239" t="s">
        <v>5161</v>
      </c>
      <c r="D60" s="210"/>
      <c r="E60" s="239" t="s">
        <v>1966</v>
      </c>
      <c r="F60" s="138" t="s">
        <v>1967</v>
      </c>
      <c r="G60" s="139" t="s">
        <v>1590</v>
      </c>
      <c r="H60" s="212"/>
      <c r="J60" s="210"/>
      <c r="K60" s="282"/>
      <c r="L60" s="282"/>
      <c r="M60" s="363"/>
      <c r="N60" s="363"/>
      <c r="O60" s="138"/>
      <c r="P60" s="138"/>
      <c r="Q60" s="138"/>
      <c r="R60" s="145"/>
      <c r="S60" s="145"/>
      <c r="T60" s="145"/>
      <c r="U60" s="146"/>
      <c r="V60" s="146"/>
    </row>
    <row r="61" outlineLevel="1">
      <c r="A61" s="146"/>
      <c r="B61" s="243" t="s">
        <v>526</v>
      </c>
      <c r="C61" s="239" t="s">
        <v>5162</v>
      </c>
      <c r="D61" s="107"/>
      <c r="E61" s="239" t="s">
        <v>1966</v>
      </c>
      <c r="F61" s="138" t="s">
        <v>1967</v>
      </c>
      <c r="G61" s="139" t="s">
        <v>1590</v>
      </c>
      <c r="H61" s="106"/>
      <c r="I61" s="168"/>
      <c r="J61" s="107"/>
      <c r="K61" s="282"/>
      <c r="L61" s="282"/>
      <c r="M61" s="363"/>
      <c r="N61" s="363"/>
      <c r="O61" s="138"/>
      <c r="P61" s="138"/>
      <c r="Q61" s="138"/>
      <c r="R61" s="145" t="b">
        <v>0</v>
      </c>
      <c r="S61" s="145" t="b">
        <v>0</v>
      </c>
      <c r="T61" s="145" t="b">
        <v>0</v>
      </c>
      <c r="U61" s="156"/>
      <c r="V61" s="156"/>
    </row>
    <row r="62" outlineLevel="1">
      <c r="A62" s="230" t="s">
        <v>5163</v>
      </c>
      <c r="B62" s="109"/>
      <c r="C62" s="231" t="s">
        <v>48</v>
      </c>
      <c r="D62" s="231" t="s">
        <v>49</v>
      </c>
      <c r="E62" s="232" t="s">
        <v>50</v>
      </c>
      <c r="F62" s="233" t="s">
        <v>51</v>
      </c>
      <c r="G62" s="232" t="s">
        <v>52</v>
      </c>
      <c r="H62" s="382"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236" t="s">
        <v>183</v>
      </c>
    </row>
    <row r="63" outlineLevel="1">
      <c r="A63" s="237" t="s">
        <v>184</v>
      </c>
      <c r="B63" s="243" t="s">
        <v>5164</v>
      </c>
      <c r="C63" s="365" t="s">
        <v>228</v>
      </c>
      <c r="D63" s="901" t="s">
        <v>600</v>
      </c>
      <c r="E63" s="239" t="s">
        <v>209</v>
      </c>
      <c r="F63" s="138">
        <v>0.0</v>
      </c>
      <c r="G63" s="281"/>
      <c r="H63" s="163" t="s">
        <v>5165</v>
      </c>
      <c r="I63" s="164"/>
      <c r="J63" s="104"/>
      <c r="K63" s="281"/>
      <c r="L63" s="281"/>
      <c r="M63" s="281"/>
      <c r="N63" s="281"/>
      <c r="O63" s="281"/>
      <c r="P63" s="281"/>
      <c r="Q63" s="281"/>
      <c r="R63" s="281"/>
      <c r="S63" s="281"/>
      <c r="T63" s="281"/>
      <c r="U63" s="166" t="s">
        <v>186</v>
      </c>
      <c r="V63" s="166" t="b">
        <v>1</v>
      </c>
    </row>
    <row r="64" outlineLevel="1">
      <c r="A64" s="146"/>
      <c r="B64" s="243" t="s">
        <v>5166</v>
      </c>
      <c r="C64" s="365" t="s">
        <v>295</v>
      </c>
      <c r="D64" s="146"/>
      <c r="E64" s="239" t="s">
        <v>209</v>
      </c>
      <c r="F64" s="138">
        <v>0.0</v>
      </c>
      <c r="G64" s="281"/>
      <c r="H64" s="212"/>
      <c r="J64" s="210"/>
      <c r="K64" s="138"/>
      <c r="L64" s="138"/>
      <c r="M64" s="145"/>
      <c r="N64" s="145"/>
      <c r="O64" s="138"/>
      <c r="P64" s="138"/>
      <c r="Q64" s="138"/>
      <c r="R64" s="145" t="b">
        <v>0</v>
      </c>
      <c r="S64" s="145" t="b">
        <v>0</v>
      </c>
      <c r="T64" s="145" t="b">
        <v>0</v>
      </c>
      <c r="U64" s="146"/>
      <c r="V64" s="146"/>
    </row>
    <row r="65" outlineLevel="1">
      <c r="A65" s="146"/>
      <c r="B65" s="243" t="s">
        <v>1152</v>
      </c>
      <c r="C65" s="365" t="s">
        <v>5167</v>
      </c>
      <c r="D65" s="156"/>
      <c r="E65" s="281"/>
      <c r="F65" s="281"/>
      <c r="G65" s="281"/>
      <c r="H65" s="212"/>
      <c r="J65" s="210"/>
      <c r="K65" s="138"/>
      <c r="L65" s="138"/>
      <c r="M65" s="145"/>
      <c r="N65" s="145"/>
      <c r="O65" s="138"/>
      <c r="P65" s="138"/>
      <c r="Q65" s="138"/>
      <c r="R65" s="145" t="b">
        <v>0</v>
      </c>
      <c r="S65" s="145" t="b">
        <v>0</v>
      </c>
      <c r="T65" s="145" t="b">
        <v>0</v>
      </c>
      <c r="U65" s="146"/>
      <c r="V65" s="146"/>
    </row>
    <row r="66" outlineLevel="1">
      <c r="A66" s="146"/>
      <c r="B66" s="243" t="s">
        <v>5168</v>
      </c>
      <c r="C66" s="3109"/>
      <c r="D66" s="3110" t="s">
        <v>4277</v>
      </c>
      <c r="E66" s="239" t="s">
        <v>209</v>
      </c>
      <c r="F66" s="138">
        <v>0.0</v>
      </c>
      <c r="G66" s="281"/>
      <c r="H66" s="212"/>
      <c r="J66" s="210"/>
      <c r="K66" s="138"/>
      <c r="L66" s="138"/>
      <c r="M66" s="145"/>
      <c r="N66" s="145"/>
      <c r="O66" s="138"/>
      <c r="P66" s="138"/>
      <c r="Q66" s="138"/>
      <c r="R66" s="145" t="b">
        <v>0</v>
      </c>
      <c r="S66" s="145" t="b">
        <v>0</v>
      </c>
      <c r="T66" s="145" t="b">
        <v>0</v>
      </c>
      <c r="U66" s="146"/>
      <c r="V66" s="146"/>
    </row>
    <row r="67" outlineLevel="1">
      <c r="A67" s="146"/>
      <c r="B67" s="243" t="s">
        <v>5169</v>
      </c>
      <c r="C67" s="3109" t="s">
        <v>455</v>
      </c>
      <c r="D67" s="156"/>
      <c r="E67" s="239" t="s">
        <v>718</v>
      </c>
      <c r="F67" s="138">
        <v>24.0</v>
      </c>
      <c r="G67" s="139" t="s">
        <v>1008</v>
      </c>
      <c r="H67" s="212"/>
      <c r="J67" s="210"/>
      <c r="K67" s="138"/>
      <c r="L67" s="138"/>
      <c r="M67" s="145"/>
      <c r="N67" s="145"/>
      <c r="O67" s="138">
        <v>0.0</v>
      </c>
      <c r="P67" s="138">
        <v>1.0</v>
      </c>
      <c r="Q67" s="138">
        <v>1.0</v>
      </c>
      <c r="R67" s="145" t="b">
        <v>1</v>
      </c>
      <c r="S67" s="145" t="b">
        <v>1</v>
      </c>
      <c r="T67" s="145"/>
      <c r="U67" s="146"/>
      <c r="V67" s="146"/>
    </row>
    <row r="68" outlineLevel="1">
      <c r="A68" s="146"/>
      <c r="B68" s="243" t="s">
        <v>5170</v>
      </c>
      <c r="C68" s="3109"/>
      <c r="D68" s="3110" t="s">
        <v>1419</v>
      </c>
      <c r="E68" s="239" t="s">
        <v>209</v>
      </c>
      <c r="F68" s="138">
        <v>0.0</v>
      </c>
      <c r="G68" s="281"/>
      <c r="H68" s="212"/>
      <c r="J68" s="210"/>
      <c r="K68" s="138"/>
      <c r="L68" s="138"/>
      <c r="M68" s="145"/>
      <c r="N68" s="145"/>
      <c r="O68" s="138"/>
      <c r="P68" s="138"/>
      <c r="Q68" s="138"/>
      <c r="R68" s="145" t="b">
        <v>0</v>
      </c>
      <c r="S68" s="145" t="b">
        <v>0</v>
      </c>
      <c r="T68" s="145" t="b">
        <v>0</v>
      </c>
      <c r="U68" s="146"/>
      <c r="V68" s="146"/>
    </row>
    <row r="69" outlineLevel="1">
      <c r="A69" s="146"/>
      <c r="B69" s="243" t="s">
        <v>5171</v>
      </c>
      <c r="C69" s="3109" t="s">
        <v>413</v>
      </c>
      <c r="D69" s="156"/>
      <c r="E69" s="239" t="s">
        <v>129</v>
      </c>
      <c r="F69" s="138">
        <v>14.399999999999999</v>
      </c>
      <c r="G69" s="139" t="s">
        <v>88</v>
      </c>
      <c r="H69" s="212"/>
      <c r="J69" s="210"/>
      <c r="K69" s="138"/>
      <c r="L69" s="138"/>
      <c r="M69" s="145"/>
      <c r="N69" s="145"/>
      <c r="O69" s="138">
        <v>0.0</v>
      </c>
      <c r="P69" s="138">
        <v>1.0</v>
      </c>
      <c r="Q69" s="138">
        <v>1.0</v>
      </c>
      <c r="R69" s="145" t="b">
        <v>1</v>
      </c>
      <c r="S69" s="145" t="b">
        <v>1</v>
      </c>
      <c r="T69" s="145"/>
      <c r="U69" s="146"/>
      <c r="V69" s="146"/>
    </row>
    <row r="70" outlineLevel="1">
      <c r="A70" s="146"/>
      <c r="B70" s="243" t="s">
        <v>666</v>
      </c>
      <c r="C70" s="3109" t="s">
        <v>185</v>
      </c>
      <c r="D70" s="3109" t="s">
        <v>1348</v>
      </c>
      <c r="E70" s="239" t="s">
        <v>73</v>
      </c>
      <c r="F70" s="138">
        <v>4.8</v>
      </c>
      <c r="G70" s="139" t="s">
        <v>75</v>
      </c>
      <c r="H70" s="106"/>
      <c r="I70" s="168"/>
      <c r="J70" s="107"/>
      <c r="K70" s="138"/>
      <c r="L70" s="138"/>
      <c r="M70" s="145"/>
      <c r="N70" s="145"/>
      <c r="O70" s="138">
        <v>0.0</v>
      </c>
      <c r="P70" s="138">
        <v>1.0</v>
      </c>
      <c r="Q70" s="138">
        <v>1.0</v>
      </c>
      <c r="R70" s="145" t="b">
        <v>1</v>
      </c>
      <c r="S70" s="145" t="b">
        <v>1</v>
      </c>
      <c r="T70" s="145"/>
      <c r="U70" s="156"/>
      <c r="V70" s="156"/>
    </row>
    <row r="71" outlineLevel="1">
      <c r="A71" s="230" t="s">
        <v>5172</v>
      </c>
      <c r="B71" s="109"/>
      <c r="C71" s="231" t="s">
        <v>48</v>
      </c>
      <c r="D71" s="231" t="s">
        <v>49</v>
      </c>
      <c r="E71" s="232" t="s">
        <v>50</v>
      </c>
      <c r="F71" s="233" t="s">
        <v>51</v>
      </c>
      <c r="G71" s="232" t="s">
        <v>52</v>
      </c>
      <c r="H71" s="382" t="s">
        <v>53</v>
      </c>
      <c r="I71" s="110"/>
      <c r="J71" s="109"/>
      <c r="K71" s="235" t="s">
        <v>137</v>
      </c>
      <c r="L71" s="235" t="s">
        <v>138</v>
      </c>
      <c r="M71" s="235" t="s">
        <v>139</v>
      </c>
      <c r="N71" s="235" t="s">
        <v>140</v>
      </c>
      <c r="O71" s="236" t="s">
        <v>141</v>
      </c>
      <c r="P71" s="235" t="s">
        <v>142</v>
      </c>
      <c r="Q71" s="236" t="s">
        <v>143</v>
      </c>
      <c r="R71" s="235" t="s">
        <v>179</v>
      </c>
      <c r="S71" s="236" t="s">
        <v>180</v>
      </c>
      <c r="T71" s="236" t="s">
        <v>181</v>
      </c>
      <c r="U71" s="236" t="s">
        <v>182</v>
      </c>
      <c r="V71" s="236" t="s">
        <v>183</v>
      </c>
    </row>
    <row r="72" outlineLevel="1">
      <c r="A72" s="546" t="s">
        <v>184</v>
      </c>
      <c r="B72" s="402" t="s">
        <v>5173</v>
      </c>
      <c r="C72" s="367" t="s">
        <v>299</v>
      </c>
      <c r="D72" s="367" t="s">
        <v>5174</v>
      </c>
      <c r="E72" s="239" t="s">
        <v>204</v>
      </c>
      <c r="F72" s="138">
        <v>3.5999999999999996</v>
      </c>
      <c r="G72" s="139" t="s">
        <v>147</v>
      </c>
      <c r="H72" s="163" t="s">
        <v>5175</v>
      </c>
      <c r="I72" s="164"/>
      <c r="J72" s="104"/>
      <c r="K72" s="138"/>
      <c r="L72" s="138"/>
      <c r="M72" s="145"/>
      <c r="N72" s="145"/>
      <c r="O72" s="138">
        <v>0.0</v>
      </c>
      <c r="P72" s="138">
        <v>1.0</v>
      </c>
      <c r="Q72" s="138">
        <v>1.0</v>
      </c>
      <c r="R72" s="145" t="b">
        <v>1</v>
      </c>
      <c r="S72" s="145" t="b">
        <v>1</v>
      </c>
      <c r="T72" s="145"/>
      <c r="U72" s="166" t="s">
        <v>5176</v>
      </c>
      <c r="V72" s="166" t="b">
        <v>1</v>
      </c>
    </row>
    <row r="73" outlineLevel="1">
      <c r="A73" s="146"/>
      <c r="B73" s="402" t="s">
        <v>5177</v>
      </c>
      <c r="C73" s="156"/>
      <c r="D73" s="146"/>
      <c r="E73" s="239" t="s">
        <v>5178</v>
      </c>
      <c r="F73" s="138" t="s">
        <v>5179</v>
      </c>
      <c r="G73" s="281"/>
      <c r="H73" s="212"/>
      <c r="J73" s="210"/>
      <c r="K73" s="138"/>
      <c r="L73" s="138"/>
      <c r="M73" s="145"/>
      <c r="N73" s="145"/>
      <c r="O73" s="138"/>
      <c r="P73" s="138"/>
      <c r="Q73" s="138"/>
      <c r="R73" s="145" t="b">
        <v>0</v>
      </c>
      <c r="S73" s="145" t="b">
        <v>0</v>
      </c>
      <c r="T73" s="145" t="b">
        <v>0</v>
      </c>
      <c r="U73" s="146"/>
      <c r="V73" s="146"/>
    </row>
    <row r="74" outlineLevel="1">
      <c r="A74" s="146"/>
      <c r="B74" s="402" t="s">
        <v>1233</v>
      </c>
      <c r="C74" s="239" t="s">
        <v>305</v>
      </c>
      <c r="D74" s="146"/>
      <c r="E74" s="239" t="s">
        <v>73</v>
      </c>
      <c r="F74" s="138">
        <v>4.8</v>
      </c>
      <c r="G74" s="139" t="s">
        <v>75</v>
      </c>
      <c r="H74" s="212"/>
      <c r="J74" s="210"/>
      <c r="K74" s="138"/>
      <c r="L74" s="138"/>
      <c r="M74" s="145"/>
      <c r="N74" s="145"/>
      <c r="O74" s="138"/>
      <c r="P74" s="138"/>
      <c r="Q74" s="138"/>
      <c r="R74" s="145"/>
      <c r="S74" s="145"/>
      <c r="T74" s="145"/>
      <c r="U74" s="146"/>
      <c r="V74" s="146"/>
    </row>
    <row r="75" outlineLevel="1">
      <c r="A75" s="146"/>
      <c r="B75" s="402" t="s">
        <v>2254</v>
      </c>
      <c r="C75" s="239" t="s">
        <v>386</v>
      </c>
      <c r="D75" s="146"/>
      <c r="E75" s="239" t="s">
        <v>73</v>
      </c>
      <c r="F75" s="138">
        <v>4.8</v>
      </c>
      <c r="G75" s="139" t="s">
        <v>75</v>
      </c>
      <c r="H75" s="212"/>
      <c r="J75" s="210"/>
      <c r="K75" s="138"/>
      <c r="L75" s="138"/>
      <c r="M75" s="145"/>
      <c r="N75" s="145"/>
      <c r="O75" s="138"/>
      <c r="P75" s="138"/>
      <c r="Q75" s="138"/>
      <c r="R75" s="145" t="b">
        <v>0</v>
      </c>
      <c r="S75" s="145" t="b">
        <v>0</v>
      </c>
      <c r="T75" s="145" t="b">
        <v>0</v>
      </c>
      <c r="U75" s="146"/>
      <c r="V75" s="146"/>
    </row>
    <row r="76" outlineLevel="1">
      <c r="A76" s="146"/>
      <c r="B76" s="402" t="s">
        <v>5180</v>
      </c>
      <c r="C76" s="239" t="s">
        <v>409</v>
      </c>
      <c r="D76" s="146"/>
      <c r="E76" s="239" t="s">
        <v>535</v>
      </c>
      <c r="F76" s="138">
        <v>3.0</v>
      </c>
      <c r="G76" s="139" t="s">
        <v>147</v>
      </c>
      <c r="H76" s="212"/>
      <c r="J76" s="210"/>
      <c r="K76" s="138"/>
      <c r="L76" s="138"/>
      <c r="M76" s="145"/>
      <c r="N76" s="145"/>
      <c r="O76" s="138"/>
      <c r="P76" s="138"/>
      <c r="Q76" s="138"/>
      <c r="R76" s="145" t="b">
        <v>0</v>
      </c>
      <c r="S76" s="145" t="b">
        <v>0</v>
      </c>
      <c r="T76" s="145" t="b">
        <v>0</v>
      </c>
      <c r="U76" s="146"/>
      <c r="V76" s="146"/>
    </row>
    <row r="77" outlineLevel="1">
      <c r="A77" s="146"/>
      <c r="B77" s="402" t="s">
        <v>5181</v>
      </c>
      <c r="C77" s="239" t="s">
        <v>1169</v>
      </c>
      <c r="D77" s="146"/>
      <c r="E77" s="239" t="s">
        <v>535</v>
      </c>
      <c r="F77" s="138">
        <v>3.0</v>
      </c>
      <c r="G77" s="139" t="s">
        <v>147</v>
      </c>
      <c r="H77" s="212"/>
      <c r="J77" s="210"/>
      <c r="K77" s="138"/>
      <c r="L77" s="138"/>
      <c r="M77" s="145"/>
      <c r="N77" s="145"/>
      <c r="O77" s="138"/>
      <c r="P77" s="138"/>
      <c r="Q77" s="138"/>
      <c r="R77" s="145"/>
      <c r="S77" s="145"/>
      <c r="T77" s="145"/>
      <c r="U77" s="146"/>
      <c r="V77" s="146"/>
    </row>
    <row r="78" outlineLevel="1">
      <c r="A78" s="146"/>
      <c r="B78" s="402" t="s">
        <v>5182</v>
      </c>
      <c r="C78" s="239" t="s">
        <v>282</v>
      </c>
      <c r="D78" s="146"/>
      <c r="E78" s="239" t="s">
        <v>93</v>
      </c>
      <c r="F78" s="138">
        <v>8.4</v>
      </c>
      <c r="G78" s="139" t="s">
        <v>95</v>
      </c>
      <c r="H78" s="212"/>
      <c r="J78" s="210"/>
      <c r="K78" s="138"/>
      <c r="L78" s="138"/>
      <c r="M78" s="145"/>
      <c r="N78" s="145"/>
      <c r="O78" s="138"/>
      <c r="P78" s="138"/>
      <c r="Q78" s="138"/>
      <c r="R78" s="145" t="b">
        <v>0</v>
      </c>
      <c r="S78" s="145" t="b">
        <v>0</v>
      </c>
      <c r="T78" s="145" t="b">
        <v>0</v>
      </c>
      <c r="U78" s="146"/>
      <c r="V78" s="146"/>
    </row>
    <row r="79" outlineLevel="1">
      <c r="A79" s="146"/>
      <c r="B79" s="402" t="s">
        <v>3216</v>
      </c>
      <c r="C79" s="367" t="s">
        <v>370</v>
      </c>
      <c r="D79" s="146"/>
      <c r="E79" s="239" t="s">
        <v>651</v>
      </c>
      <c r="F79" s="138">
        <v>4.2</v>
      </c>
      <c r="G79" s="139" t="s">
        <v>147</v>
      </c>
      <c r="H79" s="212"/>
      <c r="J79" s="210"/>
      <c r="K79" s="138"/>
      <c r="L79" s="138"/>
      <c r="M79" s="145"/>
      <c r="N79" s="145"/>
      <c r="O79" s="138"/>
      <c r="P79" s="138"/>
      <c r="Q79" s="138"/>
      <c r="R79" s="145" t="b">
        <v>0</v>
      </c>
      <c r="S79" s="145" t="b">
        <v>0</v>
      </c>
      <c r="T79" s="145" t="b">
        <v>0</v>
      </c>
      <c r="U79" s="146"/>
      <c r="V79" s="146"/>
    </row>
    <row r="80" outlineLevel="1">
      <c r="A80" s="146"/>
      <c r="B80" s="402" t="s">
        <v>5183</v>
      </c>
      <c r="C80" s="156"/>
      <c r="D80" s="146"/>
      <c r="E80" s="365" t="s">
        <v>228</v>
      </c>
      <c r="F80" s="138">
        <v>15.6</v>
      </c>
      <c r="G80" s="281"/>
      <c r="H80" s="212"/>
      <c r="J80" s="210"/>
      <c r="K80" s="138"/>
      <c r="L80" s="138"/>
      <c r="M80" s="145"/>
      <c r="N80" s="145"/>
      <c r="O80" s="138"/>
      <c r="P80" s="138"/>
      <c r="Q80" s="138"/>
      <c r="R80" s="145" t="b">
        <v>0</v>
      </c>
      <c r="S80" s="145" t="b">
        <v>0</v>
      </c>
      <c r="T80" s="145" t="b">
        <v>0</v>
      </c>
      <c r="U80" s="146"/>
      <c r="V80" s="146"/>
    </row>
    <row r="81" outlineLevel="1">
      <c r="A81" s="146"/>
      <c r="B81" s="402" t="s">
        <v>5184</v>
      </c>
      <c r="C81" s="239" t="s">
        <v>5185</v>
      </c>
      <c r="D81" s="146"/>
      <c r="E81" s="239" t="s">
        <v>651</v>
      </c>
      <c r="F81" s="138">
        <v>4.2</v>
      </c>
      <c r="G81" s="281"/>
      <c r="H81" s="212"/>
      <c r="J81" s="210"/>
      <c r="K81" s="138"/>
      <c r="L81" s="138"/>
      <c r="M81" s="145"/>
      <c r="N81" s="145"/>
      <c r="O81" s="138"/>
      <c r="P81" s="138"/>
      <c r="Q81" s="138"/>
      <c r="R81" s="145" t="b">
        <v>0</v>
      </c>
      <c r="S81" s="145" t="b">
        <v>0</v>
      </c>
      <c r="T81" s="145" t="b">
        <v>0</v>
      </c>
      <c r="U81" s="146"/>
      <c r="V81" s="146"/>
    </row>
    <row r="82" outlineLevel="1">
      <c r="A82" s="146"/>
      <c r="B82" s="402" t="s">
        <v>5186</v>
      </c>
      <c r="C82" s="239" t="s">
        <v>527</v>
      </c>
      <c r="D82" s="146"/>
      <c r="E82" s="239" t="s">
        <v>651</v>
      </c>
      <c r="F82" s="138">
        <v>4.2</v>
      </c>
      <c r="G82" s="281"/>
      <c r="H82" s="212"/>
      <c r="J82" s="210"/>
      <c r="K82" s="138"/>
      <c r="L82" s="138"/>
      <c r="M82" s="145"/>
      <c r="N82" s="145"/>
      <c r="O82" s="138"/>
      <c r="P82" s="138"/>
      <c r="Q82" s="138"/>
      <c r="R82" s="145" t="b">
        <v>0</v>
      </c>
      <c r="S82" s="145" t="b">
        <v>0</v>
      </c>
      <c r="T82" s="145" t="b">
        <v>0</v>
      </c>
      <c r="U82" s="146"/>
      <c r="V82" s="146"/>
    </row>
    <row r="83" outlineLevel="1">
      <c r="A83" s="146"/>
      <c r="B83" s="402" t="s">
        <v>5187</v>
      </c>
      <c r="C83" s="239" t="s">
        <v>3658</v>
      </c>
      <c r="D83" s="146"/>
      <c r="E83" s="239" t="s">
        <v>651</v>
      </c>
      <c r="F83" s="138">
        <v>4.2</v>
      </c>
      <c r="G83" s="281"/>
      <c r="H83" s="212"/>
      <c r="J83" s="210"/>
      <c r="K83" s="138"/>
      <c r="L83" s="138"/>
      <c r="M83" s="145"/>
      <c r="N83" s="145"/>
      <c r="O83" s="138"/>
      <c r="P83" s="138"/>
      <c r="Q83" s="138"/>
      <c r="R83" s="145" t="b">
        <v>0</v>
      </c>
      <c r="S83" s="145" t="b">
        <v>0</v>
      </c>
      <c r="T83" s="145" t="b">
        <v>0</v>
      </c>
      <c r="U83" s="146"/>
      <c r="V83" s="146"/>
    </row>
    <row r="84" outlineLevel="1">
      <c r="A84" s="146"/>
      <c r="B84" s="402" t="s">
        <v>5188</v>
      </c>
      <c r="C84" s="239" t="s">
        <v>5189</v>
      </c>
      <c r="D84" s="156"/>
      <c r="E84" s="239" t="s">
        <v>651</v>
      </c>
      <c r="F84" s="138">
        <v>4.2</v>
      </c>
      <c r="G84" s="281"/>
      <c r="H84" s="212"/>
      <c r="J84" s="210"/>
      <c r="K84" s="138"/>
      <c r="L84" s="138"/>
      <c r="M84" s="145"/>
      <c r="N84" s="145"/>
      <c r="O84" s="138">
        <v>0.0</v>
      </c>
      <c r="P84" s="138">
        <v>1.0</v>
      </c>
      <c r="Q84" s="138">
        <v>1.0</v>
      </c>
      <c r="R84" s="145" t="b">
        <v>1</v>
      </c>
      <c r="S84" s="145" t="b">
        <v>1</v>
      </c>
      <c r="T84" s="145"/>
      <c r="U84" s="146"/>
      <c r="V84" s="146"/>
    </row>
    <row r="85" outlineLevel="1">
      <c r="A85" s="156"/>
      <c r="B85" s="402" t="s">
        <v>174</v>
      </c>
      <c r="C85" s="239" t="s">
        <v>2153</v>
      </c>
      <c r="D85" s="239" t="s">
        <v>5190</v>
      </c>
      <c r="E85" s="365" t="s">
        <v>5191</v>
      </c>
      <c r="F85" s="138" t="s">
        <v>5192</v>
      </c>
      <c r="G85" s="139" t="s">
        <v>5193</v>
      </c>
      <c r="H85" s="106"/>
      <c r="I85" s="168"/>
      <c r="J85" s="107"/>
      <c r="K85" s="138"/>
      <c r="L85" s="138"/>
      <c r="M85" s="145"/>
      <c r="N85" s="145"/>
      <c r="O85" s="138">
        <v>0.0</v>
      </c>
      <c r="P85" s="138">
        <v>1.0</v>
      </c>
      <c r="Q85" s="138">
        <v>1.0</v>
      </c>
      <c r="R85" s="145" t="b">
        <v>1</v>
      </c>
      <c r="S85" s="145" t="b">
        <v>1</v>
      </c>
      <c r="T85" s="145"/>
      <c r="U85" s="156"/>
      <c r="V85" s="156"/>
    </row>
    <row r="86" outlineLevel="1">
      <c r="A86" s="230" t="s">
        <v>5194</v>
      </c>
      <c r="B86" s="109"/>
      <c r="C86" s="231" t="s">
        <v>48</v>
      </c>
      <c r="D86" s="231" t="s">
        <v>49</v>
      </c>
      <c r="E86" s="232" t="s">
        <v>50</v>
      </c>
      <c r="F86" s="233" t="s">
        <v>51</v>
      </c>
      <c r="G86" s="232" t="s">
        <v>52</v>
      </c>
      <c r="H86" s="382" t="s">
        <v>53</v>
      </c>
      <c r="I86" s="110"/>
      <c r="J86" s="109"/>
      <c r="K86" s="235" t="s">
        <v>137</v>
      </c>
      <c r="L86" s="235" t="s">
        <v>138</v>
      </c>
      <c r="M86" s="235" t="s">
        <v>139</v>
      </c>
      <c r="N86" s="235" t="s">
        <v>140</v>
      </c>
      <c r="O86" s="236" t="s">
        <v>141</v>
      </c>
      <c r="P86" s="235" t="s">
        <v>142</v>
      </c>
      <c r="Q86" s="236" t="s">
        <v>143</v>
      </c>
      <c r="R86" s="235" t="s">
        <v>179</v>
      </c>
      <c r="S86" s="236" t="s">
        <v>180</v>
      </c>
      <c r="T86" s="236" t="s">
        <v>181</v>
      </c>
      <c r="U86" s="236" t="s">
        <v>182</v>
      </c>
      <c r="V86" s="236" t="s">
        <v>183</v>
      </c>
    </row>
    <row r="87" outlineLevel="1">
      <c r="A87" s="546" t="s">
        <v>184</v>
      </c>
      <c r="B87" s="402" t="s">
        <v>1837</v>
      </c>
      <c r="C87" s="365" t="s">
        <v>5195</v>
      </c>
      <c r="D87" s="365" t="s">
        <v>185</v>
      </c>
      <c r="E87" s="281"/>
      <c r="F87" s="281"/>
      <c r="G87" s="281"/>
      <c r="H87" s="151" t="s">
        <v>5196</v>
      </c>
      <c r="I87" s="110"/>
      <c r="J87" s="109"/>
      <c r="K87" s="281"/>
      <c r="L87" s="281"/>
      <c r="M87" s="281"/>
      <c r="N87" s="281"/>
      <c r="O87" s="281"/>
      <c r="P87" s="281"/>
      <c r="Q87" s="281"/>
      <c r="R87" s="281"/>
      <c r="S87" s="281"/>
      <c r="T87" s="281"/>
      <c r="U87" s="166" t="b">
        <v>0</v>
      </c>
      <c r="V87" s="166" t="b">
        <v>0</v>
      </c>
    </row>
    <row r="88" outlineLevel="1">
      <c r="A88" s="156"/>
      <c r="B88" s="402" t="s">
        <v>1242</v>
      </c>
      <c r="C88" s="239" t="s">
        <v>319</v>
      </c>
      <c r="D88" s="365" t="s">
        <v>92</v>
      </c>
      <c r="E88" s="239" t="s">
        <v>1823</v>
      </c>
      <c r="F88" s="138">
        <v>2.88</v>
      </c>
      <c r="G88" s="139" t="s">
        <v>60</v>
      </c>
      <c r="H88" s="151" t="s">
        <v>5197</v>
      </c>
      <c r="I88" s="110"/>
      <c r="J88" s="109"/>
      <c r="K88" s="138"/>
      <c r="L88" s="138"/>
      <c r="M88" s="145"/>
      <c r="N88" s="145"/>
      <c r="O88" s="138">
        <v>0.0</v>
      </c>
      <c r="P88" s="138">
        <v>1.0</v>
      </c>
      <c r="Q88" s="138">
        <v>1.0</v>
      </c>
      <c r="R88" s="145" t="b">
        <v>1</v>
      </c>
      <c r="S88" s="145" t="b">
        <v>1</v>
      </c>
      <c r="T88" s="145"/>
      <c r="U88" s="156"/>
      <c r="V88" s="156"/>
    </row>
    <row r="89">
      <c r="A89" s="223"/>
      <c r="B89" s="224"/>
      <c r="C89" s="225"/>
      <c r="D89" s="225"/>
      <c r="E89" s="226"/>
      <c r="F89" s="226"/>
      <c r="G89" s="226"/>
      <c r="H89" s="227"/>
      <c r="I89" s="227"/>
      <c r="J89" s="228"/>
      <c r="K89" s="228"/>
      <c r="L89" s="228"/>
      <c r="M89" s="228"/>
      <c r="N89" s="228"/>
      <c r="O89" s="228"/>
      <c r="P89" s="228"/>
      <c r="Q89" s="118"/>
      <c r="R89" s="118"/>
      <c r="S89" s="118"/>
      <c r="T89" s="118"/>
      <c r="U89" s="118"/>
      <c r="V89" s="118"/>
    </row>
    <row r="90">
      <c r="A90" s="264" t="s">
        <v>211</v>
      </c>
      <c r="B90" s="104"/>
      <c r="C90" s="227"/>
      <c r="D90" s="227"/>
      <c r="E90" s="228"/>
      <c r="F90" s="265"/>
      <c r="G90" s="265"/>
      <c r="H90" s="228"/>
      <c r="I90" s="228"/>
      <c r="J90" s="228"/>
      <c r="K90" s="228"/>
      <c r="L90" s="228"/>
      <c r="M90" s="228"/>
      <c r="N90" s="118"/>
      <c r="O90" s="118"/>
      <c r="P90" s="118"/>
      <c r="Q90" s="228"/>
      <c r="R90" s="228"/>
      <c r="S90" s="228"/>
      <c r="T90" s="228"/>
      <c r="U90" s="228"/>
      <c r="V90" s="228"/>
    </row>
    <row r="91" outlineLevel="1">
      <c r="A91" s="106"/>
      <c r="B91" s="107"/>
      <c r="C91" s="266" t="s">
        <v>48</v>
      </c>
      <c r="D91" s="266" t="s">
        <v>49</v>
      </c>
      <c r="E91" s="266" t="s">
        <v>50</v>
      </c>
      <c r="F91" s="267" t="s">
        <v>51</v>
      </c>
      <c r="G91" s="227"/>
      <c r="H91" s="227"/>
      <c r="I91" s="227"/>
      <c r="J91" s="228"/>
      <c r="K91" s="228"/>
      <c r="L91" s="228"/>
      <c r="M91" s="228"/>
      <c r="N91" s="228"/>
      <c r="O91" s="228"/>
      <c r="P91" s="228"/>
      <c r="Q91" s="228"/>
      <c r="R91" s="228"/>
      <c r="S91" s="228"/>
      <c r="T91" s="228"/>
      <c r="U91" s="228"/>
      <c r="V91" s="228"/>
    </row>
    <row r="92" outlineLevel="1">
      <c r="A92" s="268" t="s">
        <v>212</v>
      </c>
      <c r="B92" s="269" t="s">
        <v>212</v>
      </c>
      <c r="C92" s="113" t="s">
        <v>213</v>
      </c>
      <c r="D92" s="113" t="s">
        <v>86</v>
      </c>
      <c r="E92" s="113" t="s">
        <v>381</v>
      </c>
      <c r="F92" s="138">
        <v>1.92</v>
      </c>
      <c r="G92" s="227"/>
      <c r="H92" s="227"/>
      <c r="I92" s="227"/>
      <c r="J92" s="228"/>
      <c r="K92" s="228"/>
      <c r="L92" s="228"/>
      <c r="M92" s="228"/>
      <c r="N92" s="228"/>
      <c r="O92" s="228"/>
      <c r="P92" s="228"/>
      <c r="Q92" s="228"/>
      <c r="R92" s="228"/>
      <c r="S92" s="228"/>
      <c r="T92" s="228"/>
      <c r="U92" s="228"/>
      <c r="V92" s="228"/>
    </row>
    <row r="93" outlineLevel="1">
      <c r="A93" s="270" t="s">
        <v>215</v>
      </c>
      <c r="B93" s="269" t="s">
        <v>216</v>
      </c>
      <c r="C93" s="365" t="s">
        <v>277</v>
      </c>
      <c r="D93" s="365" t="s">
        <v>79</v>
      </c>
      <c r="E93" s="271"/>
      <c r="F93" s="272"/>
      <c r="G93" s="272"/>
      <c r="H93" s="227"/>
      <c r="I93" s="227"/>
      <c r="J93" s="228"/>
      <c r="K93" s="228"/>
      <c r="L93" s="228"/>
      <c r="M93" s="228"/>
      <c r="N93" s="228"/>
      <c r="O93" s="228"/>
      <c r="P93" s="228"/>
      <c r="Q93" s="228"/>
      <c r="R93" s="228"/>
      <c r="S93" s="228"/>
      <c r="T93" s="228"/>
      <c r="U93" s="228"/>
      <c r="V93" s="228"/>
    </row>
    <row r="94" outlineLevel="1">
      <c r="A94" s="212"/>
      <c r="B94" s="269" t="s">
        <v>219</v>
      </c>
      <c r="C94" s="365" t="s">
        <v>382</v>
      </c>
      <c r="D94" s="365" t="s">
        <v>146</v>
      </c>
      <c r="E94" s="271"/>
      <c r="F94" s="272"/>
      <c r="G94" s="272"/>
      <c r="H94" s="227"/>
      <c r="I94" s="227"/>
      <c r="J94" s="228"/>
      <c r="K94" s="228"/>
      <c r="L94" s="228"/>
      <c r="M94" s="228"/>
      <c r="N94" s="228"/>
      <c r="O94" s="228"/>
      <c r="P94" s="228"/>
      <c r="Q94" s="228"/>
      <c r="R94" s="228"/>
      <c r="S94" s="228"/>
      <c r="T94" s="228"/>
      <c r="U94" s="228"/>
      <c r="V94" s="228"/>
    </row>
    <row r="95" outlineLevel="1">
      <c r="A95" s="106"/>
      <c r="B95" s="269" t="s">
        <v>222</v>
      </c>
      <c r="C95" s="365" t="s">
        <v>383</v>
      </c>
      <c r="D95" s="365" t="s">
        <v>127</v>
      </c>
      <c r="E95" s="227"/>
      <c r="F95" s="272"/>
      <c r="G95" s="272"/>
      <c r="H95" s="227"/>
      <c r="I95" s="227"/>
      <c r="J95" s="228"/>
      <c r="K95" s="228"/>
      <c r="L95" s="228"/>
      <c r="M95" s="228"/>
      <c r="N95" s="228"/>
      <c r="O95" s="228"/>
      <c r="P95" s="228"/>
      <c r="Q95" s="228"/>
      <c r="R95" s="228"/>
      <c r="S95" s="228"/>
      <c r="T95" s="228"/>
      <c r="U95" s="228"/>
      <c r="V95" s="228"/>
    </row>
    <row r="96" outlineLevel="1">
      <c r="A96" s="273" t="s">
        <v>225</v>
      </c>
      <c r="B96" s="109"/>
      <c r="C96" s="266" t="s">
        <v>48</v>
      </c>
      <c r="D96" s="266" t="s">
        <v>49</v>
      </c>
      <c r="E96" s="266" t="s">
        <v>50</v>
      </c>
      <c r="F96" s="267" t="s">
        <v>51</v>
      </c>
      <c r="G96" s="1168" t="s">
        <v>53</v>
      </c>
      <c r="H96" s="110"/>
      <c r="I96" s="110"/>
      <c r="J96" s="109"/>
      <c r="K96" s="275" t="str">
        <f>'テンプレート'!K97</f>
        <v>ベクトル</v>
      </c>
      <c r="L96" s="275" t="str">
        <f>'テンプレート'!L97</f>
        <v>KBG (R.E.)</v>
      </c>
      <c r="M96" s="275" t="str">
        <f>'テンプレート'!M97</f>
        <v>BKB (R.A.)</v>
      </c>
      <c r="N96" s="275" t="str">
        <f>'テンプレート'!N97</f>
        <v>FKB (R.F.)</v>
      </c>
      <c r="O96" s="276" t="str">
        <f>'テンプレート'!O97</f>
        <v>盾削り値</v>
      </c>
      <c r="P96" s="275" t="str">
        <f>'テンプレート'!P97</f>
        <v>ﾋｯﾄｽﾄｯﾌﾟ</v>
      </c>
      <c r="Q96" s="276" t="str">
        <f>'テンプレート'!Q97</f>
        <v>ずらし</v>
      </c>
      <c r="R96" s="277"/>
      <c r="S96" s="277"/>
      <c r="T96" s="277"/>
      <c r="U96" s="277"/>
      <c r="V96" s="277"/>
    </row>
    <row r="97" outlineLevel="1">
      <c r="A97" s="278" t="s">
        <v>226</v>
      </c>
      <c r="B97" s="269" t="s">
        <v>227</v>
      </c>
      <c r="C97" s="239" t="s">
        <v>3105</v>
      </c>
      <c r="D97" s="279" t="s">
        <v>1348</v>
      </c>
      <c r="E97" s="239" t="s">
        <v>73</v>
      </c>
      <c r="F97" s="138">
        <v>4.8</v>
      </c>
      <c r="G97" s="283" t="s">
        <v>231</v>
      </c>
      <c r="H97" s="164"/>
      <c r="I97" s="164"/>
      <c r="J97" s="104"/>
      <c r="K97" s="282"/>
      <c r="L97" s="282"/>
      <c r="M97" s="363"/>
      <c r="N97" s="363"/>
      <c r="O97" s="282"/>
      <c r="P97" s="282"/>
      <c r="Q97" s="282"/>
      <c r="R97" s="277"/>
      <c r="S97" s="228"/>
      <c r="T97" s="228"/>
      <c r="U97" s="228"/>
      <c r="V97" s="228"/>
    </row>
    <row r="98" outlineLevel="1">
      <c r="A98" s="146"/>
      <c r="B98" s="269" t="s">
        <v>5198</v>
      </c>
      <c r="C98" s="113" t="s">
        <v>5199</v>
      </c>
      <c r="D98" s="146"/>
      <c r="E98" s="239" t="s">
        <v>86</v>
      </c>
      <c r="F98" s="138">
        <v>7.2</v>
      </c>
      <c r="G98" s="212"/>
      <c r="J98" s="210"/>
      <c r="K98" s="282"/>
      <c r="L98" s="282"/>
      <c r="M98" s="363"/>
      <c r="N98" s="363"/>
      <c r="O98" s="261"/>
      <c r="P98" s="261"/>
      <c r="Q98" s="261"/>
      <c r="R98" s="277"/>
      <c r="S98" s="228"/>
      <c r="T98" s="228"/>
      <c r="U98" s="228"/>
      <c r="V98" s="228"/>
    </row>
    <row r="99" outlineLevel="1">
      <c r="A99" s="146"/>
      <c r="B99" s="269" t="s">
        <v>5200</v>
      </c>
      <c r="C99" s="113" t="s">
        <v>5201</v>
      </c>
      <c r="D99" s="146"/>
      <c r="E99" s="239" t="s">
        <v>80</v>
      </c>
      <c r="F99" s="138">
        <v>9.6</v>
      </c>
      <c r="G99" s="212"/>
      <c r="J99" s="210"/>
      <c r="K99" s="282"/>
      <c r="L99" s="282"/>
      <c r="M99" s="363"/>
      <c r="N99" s="363"/>
      <c r="O99" s="261"/>
      <c r="P99" s="261"/>
      <c r="Q99" s="261"/>
      <c r="R99" s="277"/>
      <c r="S99" s="228"/>
      <c r="T99" s="228"/>
      <c r="U99" s="228"/>
      <c r="V99" s="228"/>
    </row>
    <row r="100" outlineLevel="1">
      <c r="A100" s="146"/>
      <c r="B100" s="269" t="s">
        <v>5202</v>
      </c>
      <c r="C100" s="113" t="s">
        <v>5203</v>
      </c>
      <c r="D100" s="146"/>
      <c r="E100" s="239" t="s">
        <v>128</v>
      </c>
      <c r="F100" s="138">
        <v>12.0</v>
      </c>
      <c r="G100" s="212"/>
      <c r="J100" s="210"/>
      <c r="K100" s="282"/>
      <c r="L100" s="282"/>
      <c r="M100" s="363"/>
      <c r="N100" s="363"/>
      <c r="O100" s="261"/>
      <c r="P100" s="261"/>
      <c r="Q100" s="261"/>
      <c r="R100" s="277"/>
      <c r="S100" s="228"/>
      <c r="T100" s="228"/>
      <c r="U100" s="228"/>
      <c r="V100" s="228"/>
    </row>
    <row r="101" outlineLevel="1">
      <c r="A101" s="156"/>
      <c r="B101" s="269" t="s">
        <v>225</v>
      </c>
      <c r="C101" s="113" t="s">
        <v>810</v>
      </c>
      <c r="D101" s="156"/>
      <c r="E101" s="239" t="s">
        <v>129</v>
      </c>
      <c r="F101" s="138">
        <v>14.4</v>
      </c>
      <c r="G101" s="106"/>
      <c r="H101" s="168"/>
      <c r="I101" s="168"/>
      <c r="J101" s="107"/>
      <c r="K101" s="282"/>
      <c r="L101" s="282"/>
      <c r="M101" s="363"/>
      <c r="N101" s="363"/>
      <c r="O101" s="261"/>
      <c r="P101" s="261"/>
      <c r="Q101" s="261"/>
      <c r="R101" s="277"/>
      <c r="S101" s="228"/>
      <c r="T101" s="228"/>
      <c r="U101" s="228"/>
      <c r="V101" s="228"/>
    </row>
    <row r="102" outlineLevel="1">
      <c r="A102" s="278" t="s">
        <v>229</v>
      </c>
      <c r="B102" s="269" t="s">
        <v>227</v>
      </c>
      <c r="C102" s="239" t="s">
        <v>593</v>
      </c>
      <c r="D102" s="279" t="s">
        <v>455</v>
      </c>
      <c r="E102" s="239" t="s">
        <v>119</v>
      </c>
      <c r="F102" s="138">
        <v>16.8</v>
      </c>
      <c r="G102" s="283" t="s">
        <v>5204</v>
      </c>
      <c r="H102" s="164"/>
      <c r="I102" s="164"/>
      <c r="J102" s="104"/>
      <c r="K102" s="281"/>
      <c r="L102" s="281"/>
      <c r="M102" s="281"/>
      <c r="N102" s="281"/>
      <c r="O102" s="281"/>
      <c r="P102" s="281"/>
      <c r="Q102" s="281"/>
      <c r="R102" s="277"/>
      <c r="S102" s="228"/>
      <c r="T102" s="228"/>
      <c r="U102" s="228"/>
      <c r="V102" s="228"/>
    </row>
    <row r="103" outlineLevel="1">
      <c r="A103" s="156"/>
      <c r="B103" s="269" t="s">
        <v>225</v>
      </c>
      <c r="C103" s="113" t="s">
        <v>164</v>
      </c>
      <c r="D103" s="156"/>
      <c r="E103" s="239" t="s">
        <v>209</v>
      </c>
      <c r="F103" s="138">
        <v>0.0</v>
      </c>
      <c r="G103" s="106"/>
      <c r="H103" s="168"/>
      <c r="I103" s="168"/>
      <c r="J103" s="107"/>
      <c r="K103" s="282"/>
      <c r="L103" s="282"/>
      <c r="M103" s="363"/>
      <c r="N103" s="363"/>
      <c r="O103" s="261"/>
      <c r="P103" s="261"/>
      <c r="Q103" s="261"/>
      <c r="R103" s="277"/>
      <c r="S103" s="228"/>
      <c r="T103" s="228"/>
      <c r="U103" s="228"/>
      <c r="V103" s="228"/>
    </row>
    <row r="104" outlineLevel="1">
      <c r="A104" s="278" t="s">
        <v>233</v>
      </c>
      <c r="B104" s="269" t="s">
        <v>227</v>
      </c>
      <c r="C104" s="281"/>
      <c r="D104" s="279" t="s">
        <v>300</v>
      </c>
      <c r="E104" s="281"/>
      <c r="F104" s="281"/>
      <c r="G104" s="283" t="s">
        <v>5205</v>
      </c>
      <c r="H104" s="164"/>
      <c r="I104" s="164"/>
      <c r="J104" s="104"/>
      <c r="K104" s="281"/>
      <c r="L104" s="281"/>
      <c r="M104" s="281"/>
      <c r="N104" s="281"/>
      <c r="O104" s="281"/>
      <c r="P104" s="281"/>
      <c r="Q104" s="281"/>
      <c r="R104" s="277"/>
      <c r="S104" s="228"/>
      <c r="T104" s="228"/>
      <c r="U104" s="228"/>
      <c r="V104" s="228"/>
    </row>
    <row r="105" outlineLevel="1">
      <c r="A105" s="156"/>
      <c r="B105" s="269" t="s">
        <v>225</v>
      </c>
      <c r="C105" s="113" t="s">
        <v>105</v>
      </c>
      <c r="D105" s="156"/>
      <c r="E105" s="239" t="s">
        <v>129</v>
      </c>
      <c r="F105" s="138">
        <v>14.4</v>
      </c>
      <c r="G105" s="106"/>
      <c r="H105" s="168"/>
      <c r="I105" s="168"/>
      <c r="J105" s="107"/>
      <c r="K105" s="282"/>
      <c r="L105" s="282"/>
      <c r="M105" s="363"/>
      <c r="N105" s="363"/>
      <c r="O105" s="261"/>
      <c r="P105" s="261"/>
      <c r="Q105" s="261"/>
      <c r="R105" s="277"/>
      <c r="S105" s="117"/>
      <c r="T105" s="117"/>
      <c r="U105" s="117"/>
      <c r="V105" s="117"/>
    </row>
    <row r="106" outlineLevel="1">
      <c r="A106" s="278" t="s">
        <v>234</v>
      </c>
      <c r="B106" s="269" t="s">
        <v>227</v>
      </c>
      <c r="C106" s="281"/>
      <c r="D106" s="279" t="s">
        <v>193</v>
      </c>
      <c r="E106" s="281"/>
      <c r="F106" s="281"/>
      <c r="G106" s="283" t="s">
        <v>5206</v>
      </c>
      <c r="H106" s="164"/>
      <c r="I106" s="164"/>
      <c r="J106" s="104"/>
      <c r="K106" s="281"/>
      <c r="L106" s="281"/>
      <c r="M106" s="281"/>
      <c r="N106" s="281"/>
      <c r="O106" s="281"/>
      <c r="P106" s="281"/>
      <c r="Q106" s="281"/>
      <c r="R106" s="277"/>
      <c r="S106" s="117"/>
      <c r="T106" s="117"/>
      <c r="U106" s="117"/>
      <c r="V106" s="117"/>
    </row>
    <row r="107" outlineLevel="1">
      <c r="A107" s="156"/>
      <c r="B107" s="269" t="s">
        <v>225</v>
      </c>
      <c r="C107" s="113" t="s">
        <v>268</v>
      </c>
      <c r="D107" s="156"/>
      <c r="E107" s="239" t="s">
        <v>274</v>
      </c>
      <c r="F107" s="138">
        <v>10.799999999999999</v>
      </c>
      <c r="G107" s="106"/>
      <c r="H107" s="168"/>
      <c r="I107" s="168"/>
      <c r="J107" s="107"/>
      <c r="K107" s="282"/>
      <c r="L107" s="282"/>
      <c r="M107" s="363"/>
      <c r="N107" s="363"/>
      <c r="O107" s="261"/>
      <c r="P107" s="261"/>
      <c r="Q107" s="261"/>
      <c r="R107" s="277"/>
      <c r="S107" s="117"/>
      <c r="T107" s="117"/>
      <c r="U107" s="117"/>
      <c r="V107" s="117"/>
    </row>
    <row r="108">
      <c r="A108" s="223"/>
      <c r="B108" s="224"/>
      <c r="C108" s="225"/>
      <c r="D108" s="225"/>
      <c r="E108" s="227"/>
      <c r="F108" s="177"/>
      <c r="G108" s="177"/>
      <c r="H108" s="227"/>
      <c r="I108" s="227"/>
      <c r="J108" s="228"/>
      <c r="K108" s="228"/>
      <c r="L108" s="111"/>
      <c r="M108" s="111"/>
      <c r="N108" s="111"/>
      <c r="O108" s="117"/>
      <c r="P108" s="117"/>
      <c r="Q108" s="111"/>
      <c r="R108" s="111"/>
      <c r="S108" s="111"/>
      <c r="T108" s="111"/>
      <c r="U108" s="111"/>
      <c r="V108" s="111"/>
    </row>
    <row r="109">
      <c r="A109" s="284" t="s">
        <v>241</v>
      </c>
      <c r="B109" s="104"/>
      <c r="C109" s="265"/>
      <c r="D109" s="111"/>
      <c r="E109" s="111"/>
      <c r="F109" s="111"/>
      <c r="G109" s="111"/>
      <c r="H109" s="111"/>
      <c r="I109" s="111"/>
      <c r="J109" s="118"/>
      <c r="K109" s="111"/>
      <c r="L109" s="111"/>
      <c r="M109" s="111"/>
      <c r="N109" s="111"/>
      <c r="O109" s="111"/>
      <c r="P109" s="111"/>
      <c r="Q109" s="118"/>
      <c r="R109" s="111"/>
      <c r="S109" s="111"/>
      <c r="T109" s="111"/>
      <c r="U109" s="111"/>
      <c r="V109" s="111"/>
    </row>
    <row r="110" outlineLevel="1">
      <c r="A110" s="106"/>
      <c r="B110" s="107"/>
      <c r="C110" s="285" t="s">
        <v>235</v>
      </c>
      <c r="D110" s="285" t="s">
        <v>236</v>
      </c>
      <c r="E110" s="285" t="s">
        <v>49</v>
      </c>
      <c r="F110" s="285" t="s">
        <v>237</v>
      </c>
      <c r="G110" s="286"/>
      <c r="H110" s="227"/>
      <c r="I110" s="227"/>
      <c r="J110" s="228"/>
      <c r="K110" s="228"/>
      <c r="L110" s="111"/>
      <c r="M110" s="111"/>
      <c r="N110" s="111"/>
      <c r="O110" s="111"/>
      <c r="P110" s="111"/>
      <c r="Q110" s="111"/>
      <c r="R110" s="111"/>
      <c r="S110" s="111"/>
      <c r="T110" s="111"/>
      <c r="U110" s="111"/>
      <c r="V110" s="111"/>
    </row>
    <row r="111" outlineLevel="1">
      <c r="A111" s="287" t="s">
        <v>395</v>
      </c>
      <c r="B111" s="288" t="s">
        <v>216</v>
      </c>
      <c r="C111" s="113" t="str">
        <f t="array" ref="C111">INDEX('回避'!$C$3:$U$84, MATCH($A$1,'回避'!$A$3:$A$91,0), MATCH(C110,'回避'!$C$2:$F$2,0))</f>
        <v>3-17</v>
      </c>
      <c r="D111" s="113" t="str">
        <f t="array" ref="D111">INDEX('回避'!$C$3:$U$84, MATCH($A$1,'回避'!$A$3:$A$91,0), MATCH(D110,'回避'!$C$2:$F$2,0))</f>
        <v>6-17</v>
      </c>
      <c r="E111" s="113" t="str">
        <f t="array" ref="E111">INDEX('回避'!$C$3:$U$84, MATCH($A$1,'回避'!$A$3:$A$91,0), MATCH(E110,'回避'!$C$2:$F$2,0))</f>
        <v>26 (21)</v>
      </c>
      <c r="F111" s="113" t="str">
        <f t="array" ref="F111">INDEX('回避'!$C$3:$U$84, MATCH($A$1,'回避'!$A$3:$A$91,0), MATCH(F110,'回避'!$C$2:$F$2,0))</f>
        <v>35 (28)</v>
      </c>
      <c r="G111" s="272"/>
      <c r="H111" s="227"/>
      <c r="I111" s="227"/>
      <c r="J111" s="228"/>
      <c r="K111" s="228"/>
      <c r="L111" s="228"/>
      <c r="M111" s="111"/>
      <c r="N111" s="111"/>
      <c r="O111" s="111"/>
      <c r="P111" s="111"/>
      <c r="Q111" s="111"/>
      <c r="R111" s="111"/>
      <c r="S111" s="111"/>
      <c r="T111" s="111"/>
      <c r="U111" s="111"/>
      <c r="V111" s="111"/>
    </row>
    <row r="112" outlineLevel="1">
      <c r="A112" s="212"/>
      <c r="B112" s="288" t="s">
        <v>245</v>
      </c>
      <c r="C112" s="113" t="str">
        <f t="array" ref="C112">INDEX('回避'!$G$3:$U$84, MATCH($A$1,'回避'!$A$3:$A$91,0), MATCH(C110,'回避'!$G$2:$J$2,0))</f>
        <v>4-15</v>
      </c>
      <c r="D112" s="113" t="str">
        <f t="array" ref="D112">INDEX('回避'!$G$3:$U$84, MATCH($A$1,'回避'!$A$3:$A$91,0), MATCH(D110,'回避'!$G$2:$J$2,0))</f>
        <v>8-14</v>
      </c>
      <c r="E112" s="113" t="str">
        <f t="array" ref="E112">INDEX('回避'!$G$3:$U$84, MATCH($A$1,'回避'!$A$3:$A$91,0), MATCH(E110,'回避'!$G$2:$J$2,0))</f>
        <v>30</v>
      </c>
      <c r="F112" s="113">
        <f t="array" ref="F112">INDEX('回避'!$G$3:$U$84, MATCH($A$1,'回避'!$A$3:$A$91,0), MATCH(F110,'回避'!$G$2:$J$2,0))</f>
        <v>40</v>
      </c>
      <c r="G112" s="289"/>
      <c r="H112" s="227"/>
      <c r="I112" s="227"/>
      <c r="J112" s="228"/>
      <c r="K112" s="228"/>
      <c r="L112" s="228"/>
      <c r="M112" s="228"/>
      <c r="N112" s="228"/>
      <c r="O112" s="111"/>
      <c r="P112" s="111"/>
      <c r="Q112" s="111"/>
      <c r="R112" s="111"/>
      <c r="S112" s="111"/>
      <c r="T112" s="111"/>
      <c r="U112" s="111"/>
      <c r="V112" s="111"/>
    </row>
    <row r="113" outlineLevel="1">
      <c r="A113" s="106"/>
      <c r="B113" s="288" t="s">
        <v>246</v>
      </c>
      <c r="C113" s="113" t="str">
        <f t="array" ref="C113">INDEX('回避'!$K$3:$U$84, MATCH($A$1,'回避'!$A$3:$A$91,0), MATCH(C110,'回避'!$K$2:$N$2,0))</f>
        <v>5-16</v>
      </c>
      <c r="D113" s="113" t="str">
        <f t="array" ref="D113">INDEX('回避'!$K$3:$U$84, MATCH($A$1,'回避'!$A$3:$A$91,0), MATCH(D110,'回避'!$K$2:$N$2,0))</f>
        <v>9-14</v>
      </c>
      <c r="E113" s="113" t="str">
        <f t="array" ref="E113">INDEX('回避'!$K$3:$U$84, MATCH($A$1,'回避'!$A$3:$A$91,0), MATCH(E110,'回避'!$K$2:$N$2,0))</f>
        <v>35</v>
      </c>
      <c r="F113" s="113" t="str">
        <f t="array" ref="F113">INDEX('回避'!$K$3:$U$84, MATCH($A$1,'回避'!$A$3:$A$91,0), MATCH(F110,'回避'!$K$2:$N$2,0))</f>
        <v>53</v>
      </c>
      <c r="G113" s="289"/>
      <c r="H113" s="290"/>
      <c r="I113" s="290"/>
      <c r="J113" s="117"/>
      <c r="K113" s="117"/>
      <c r="L113" s="117"/>
      <c r="M113" s="117"/>
      <c r="N113" s="117"/>
      <c r="O113" s="111"/>
      <c r="P113" s="111"/>
      <c r="Q113" s="111"/>
      <c r="R113" s="111"/>
      <c r="S113" s="111"/>
      <c r="T113" s="111"/>
      <c r="U113" s="111"/>
      <c r="V113" s="111"/>
    </row>
    <row r="114" outlineLevel="1">
      <c r="A114" s="287" t="s">
        <v>396</v>
      </c>
      <c r="B114" s="288" t="s">
        <v>397</v>
      </c>
      <c r="C114" s="113" t="str">
        <f t="array" ref="C114">INDEX('回避'!$O$3:$U$84, MATCH($A$1,'回避'!$A$3:$A$91,0), MATCH(C110,'回避'!$O$2:$R$2,0))</f>
        <v>3-29</v>
      </c>
      <c r="D114" s="113" t="str">
        <f t="array" ref="D114">INDEX('回避'!$O$3:$U$84, MATCH($A$1,'回避'!$A$3:$A$91,0), MATCH(D110,'回避'!$O$2:$R$2,0))</f>
        <v>6-27</v>
      </c>
      <c r="E114" s="113" t="str">
        <f t="array" ref="E114">INDEX('回避'!$O$3:$U$84, MATCH($A$1,'回避'!$A$3:$A$91,0), MATCH(E110,'回避'!$O$2:$R$2,0))</f>
        <v>44</v>
      </c>
      <c r="F114" s="177"/>
      <c r="G114" s="177"/>
      <c r="H114" s="118"/>
      <c r="I114" s="118"/>
      <c r="J114" s="111"/>
      <c r="K114" s="111"/>
      <c r="L114" s="111"/>
      <c r="M114" s="111"/>
      <c r="N114" s="111"/>
      <c r="O114" s="228"/>
      <c r="P114" s="228"/>
      <c r="Q114" s="228"/>
      <c r="R114" s="228"/>
      <c r="S114" s="228"/>
      <c r="T114" s="228"/>
      <c r="U114" s="228"/>
      <c r="V114" s="228"/>
    </row>
    <row r="115" outlineLevel="1">
      <c r="A115" s="106"/>
      <c r="B115" s="288" t="s">
        <v>398</v>
      </c>
      <c r="C115" s="113" t="str">
        <f t="array" ref="C115">INDEX('回避'!$S$3:$U$84, MATCH($A$1,'回避'!$A$3:$A$91,0), MATCH(C110,'回避'!$S$2:$U$2,0))</f>
        <v>3-21</v>
      </c>
      <c r="D115" s="113" t="str">
        <f t="array" ref="D115">INDEX('回避'!$S$3:$U$84, MATCH($A$1,'回避'!$A$3:$A$91,0), MATCH(D110,'回避'!$S$2:$U$2,0))</f>
        <v>6-20</v>
      </c>
      <c r="E115" s="113" t="str">
        <f t="array" ref="E115">INDEX('回避'!$S$3:$U$84, MATCH($A$1,'回避'!$A$3:$A$91,0), MATCH(E110,'回避'!$S$2:$U$2,0))</f>
        <v>真横：76
真上：96
真下：63</v>
      </c>
      <c r="F115" s="289"/>
      <c r="G115" s="289"/>
      <c r="H115" s="118"/>
      <c r="I115" s="118"/>
      <c r="J115" s="117"/>
      <c r="K115" s="117"/>
      <c r="L115" s="117"/>
      <c r="M115" s="117"/>
      <c r="N115" s="111"/>
      <c r="O115" s="118"/>
      <c r="P115" s="118"/>
      <c r="Q115" s="118"/>
      <c r="R115" s="118"/>
      <c r="S115" s="118"/>
      <c r="T115" s="118"/>
      <c r="U115" s="118"/>
      <c r="V115" s="118"/>
    </row>
    <row r="116">
      <c r="A116" s="291"/>
      <c r="B116" s="292"/>
      <c r="C116" s="286"/>
      <c r="D116" s="286"/>
      <c r="E116" s="293"/>
      <c r="F116" s="286"/>
      <c r="G116" s="286"/>
      <c r="H116" s="286"/>
      <c r="I116" s="286"/>
      <c r="J116" s="111"/>
      <c r="K116" s="227"/>
      <c r="L116" s="227"/>
      <c r="M116" s="227"/>
      <c r="N116" s="227"/>
      <c r="O116" s="118"/>
      <c r="P116" s="118"/>
      <c r="Q116" s="118"/>
      <c r="R116" s="118"/>
      <c r="S116" s="118"/>
      <c r="T116" s="118"/>
      <c r="U116" s="118"/>
      <c r="V116" s="118"/>
    </row>
    <row r="117">
      <c r="A117" s="294" t="s">
        <v>238</v>
      </c>
      <c r="B117" s="104"/>
      <c r="C117" s="228"/>
      <c r="D117" s="117"/>
      <c r="E117" s="228"/>
      <c r="F117" s="114"/>
      <c r="G117" s="114"/>
      <c r="H117" s="117"/>
      <c r="I117" s="117"/>
      <c r="J117" s="118"/>
      <c r="K117" s="118"/>
      <c r="L117" s="118"/>
      <c r="M117" s="118"/>
      <c r="N117" s="118"/>
      <c r="O117" s="118"/>
      <c r="P117" s="118"/>
      <c r="Q117" s="118"/>
      <c r="R117" s="118"/>
      <c r="S117" s="118"/>
      <c r="T117" s="118"/>
      <c r="U117" s="118"/>
      <c r="V117" s="118"/>
    </row>
    <row r="118" outlineLevel="1">
      <c r="A118" s="106"/>
      <c r="B118" s="107"/>
      <c r="C118" s="295" t="s">
        <v>235</v>
      </c>
      <c r="D118" s="295" t="s">
        <v>49</v>
      </c>
      <c r="E118" s="295" t="s">
        <v>48</v>
      </c>
      <c r="F118" s="295" t="s">
        <v>50</v>
      </c>
      <c r="G118" s="296" t="s">
        <v>51</v>
      </c>
      <c r="H118" s="228"/>
      <c r="I118" s="228"/>
      <c r="J118" s="117"/>
      <c r="K118" s="297" t="str">
        <f>'テンプレート'!K116</f>
        <v>アイテム取得</v>
      </c>
      <c r="L118" s="109"/>
      <c r="M118" s="298" t="str">
        <f>'テンプレート'!M116</f>
        <v>取得フレーム</v>
      </c>
      <c r="N118" s="298" t="str">
        <f>'テンプレート'!N116</f>
        <v>全体フレーム</v>
      </c>
      <c r="O118" s="118"/>
      <c r="P118" s="118"/>
      <c r="Q118" s="118"/>
      <c r="R118" s="118"/>
      <c r="S118" s="118"/>
      <c r="T118" s="118"/>
      <c r="U118" s="118"/>
      <c r="V118" s="118"/>
    </row>
    <row r="119" outlineLevel="1">
      <c r="A119" s="299" t="s">
        <v>239</v>
      </c>
      <c r="B119" s="300" t="s">
        <v>240</v>
      </c>
      <c r="C119" s="301"/>
      <c r="D119" s="113">
        <f t="array" ref="D119">INDEX('崖行動・受け身'!$C$3:$C115, MATCH($A$1,'崖行動・受け身'!$A$3:$A$115,0), MATCH(D118,'崖行動・受け身'!$C$2,0))</f>
        <v>19</v>
      </c>
      <c r="E119" s="301"/>
      <c r="F119" s="301"/>
      <c r="G119" s="301"/>
      <c r="H119" s="228"/>
      <c r="I119" s="228"/>
      <c r="J119" s="111"/>
      <c r="K119" s="302" t="str">
        <f>'テンプレート'!K117</f>
        <v>小アイテム</v>
      </c>
      <c r="L119" s="303" t="str">
        <f>'テンプレート'!L117</f>
        <v>その場</v>
      </c>
      <c r="M119" s="113" t="str">
        <f t="array" ref="M119">INDEX('アイテム'!$C$3:$D$115, MATCH($A$1,'アイテム'!$A$3:$A$115,0), MATCH(M$118,'アイテム'!$C$2:$AK$2,0))</f>
        <v>2</v>
      </c>
      <c r="N119" s="113">
        <f t="array" ref="N119">INDEX('アイテム'!$C$3:$D$115, MATCH($A$1,'アイテム'!$A$3:$A$115,0), MATCH(N$118,'アイテム'!$C$2:$AK$2,0))</f>
        <v>7</v>
      </c>
      <c r="O119" s="118"/>
      <c r="P119" s="118"/>
      <c r="Q119" s="118"/>
      <c r="R119" s="118"/>
      <c r="S119" s="118"/>
      <c r="T119" s="118"/>
      <c r="U119" s="118"/>
      <c r="V119" s="118"/>
    </row>
    <row r="120" outlineLevel="1">
      <c r="A120" s="146"/>
      <c r="B120" s="300" t="s">
        <v>216</v>
      </c>
      <c r="C120" s="113" t="str">
        <f t="array" ref="C120">INDEX('崖行動・受け身'!$D$3:$E115, MATCH($A$1,'崖行動・受け身'!$A$3:$A$115,0), MATCH(C118,'崖行動・受け身'!$D$2:$E$2,0))</f>
        <v>1-33</v>
      </c>
      <c r="D120" s="113">
        <f t="array" ref="D120">INDEX('崖行動・受け身'!$D$3:$E115, MATCH($A$1,'崖行動・受け身'!$A$3:$A$115,0), MATCH(D118,'崖行動・受け身'!$D$2:$E$2,0))</f>
        <v>34</v>
      </c>
      <c r="E120" s="301"/>
      <c r="F120" s="301"/>
      <c r="G120" s="301"/>
      <c r="H120" s="228"/>
      <c r="I120" s="228"/>
      <c r="J120" s="117"/>
      <c r="K120" s="156"/>
      <c r="L120" s="303" t="str">
        <f>'テンプレート'!L118</f>
        <v>歩き</v>
      </c>
      <c r="M120" s="113" t="str">
        <f t="array" ref="M120">INDEX('アイテム'!$E$3:$F$115, MATCH($A$1,'アイテム'!$A$3:$A$115,0), MATCH(M$118,'アイテム'!$E$2:$AK$2,0))</f>
        <v>2</v>
      </c>
      <c r="N120" s="113">
        <f t="array" ref="N120">INDEX('アイテム'!$E$3:$F$115, MATCH($A$1,'アイテム'!$A$3:$A$115,0), MATCH(N$118,'アイテム'!$E$2:$AK$2,0))</f>
        <v>19</v>
      </c>
      <c r="O120" s="118"/>
      <c r="P120" s="118"/>
      <c r="Q120" s="118"/>
      <c r="R120" s="118"/>
      <c r="S120" s="118"/>
      <c r="T120" s="118"/>
      <c r="U120" s="118"/>
      <c r="V120" s="118"/>
    </row>
    <row r="121" outlineLevel="1">
      <c r="A121" s="146"/>
      <c r="B121" s="300" t="s">
        <v>241</v>
      </c>
      <c r="C121" s="113" t="str">
        <f t="array" ref="C121">INDEX('崖行動・受け身'!$F$3:$G$115, MATCH($A$1,'崖行動・受け身'!$A$3:$A$115,0), MATCH(C118,'崖行動・受け身'!$F$2:$G$2,0))</f>
        <v>1-18</v>
      </c>
      <c r="D121" s="113">
        <f t="array" ref="D121">INDEX('崖行動・受け身'!$F$3:$G$115, MATCH($A$1,'崖行動・受け身'!$A$3:$A$115,0), MATCH(D118,'崖行動・受け身'!$F$2:$G$2,0))</f>
        <v>45</v>
      </c>
      <c r="E121" s="301"/>
      <c r="F121" s="301"/>
      <c r="G121" s="301"/>
      <c r="H121" s="228"/>
      <c r="I121" s="228"/>
      <c r="J121" s="111"/>
      <c r="K121" s="304" t="str">
        <f>'テンプレート'!K119</f>
        <v>アイテム投擲</v>
      </c>
      <c r="L121" s="109"/>
      <c r="M121" s="298" t="str">
        <f>'テンプレート'!M119</f>
        <v>投擲フレーム</v>
      </c>
      <c r="N121" s="298" t="str">
        <f>'テンプレート'!N119</f>
        <v>全体フレーム</v>
      </c>
      <c r="O121" s="118"/>
      <c r="P121" s="118"/>
      <c r="Q121" s="118"/>
      <c r="R121" s="118"/>
      <c r="S121" s="118"/>
      <c r="T121" s="118"/>
      <c r="U121" s="118"/>
      <c r="V121" s="118"/>
    </row>
    <row r="122" outlineLevel="1">
      <c r="A122" s="146"/>
      <c r="B122" s="300" t="s">
        <v>242</v>
      </c>
      <c r="C122" s="113" t="str">
        <f t="array" ref="C122">INDEX('崖行動・受け身'!$H$3:$I$115, MATCH($A$1,'崖行動・受け身'!$A$3:$A$115,0), MATCH(C118,'崖行動・受け身'!$H$2:$I$2,0))</f>
        <v>1-12</v>
      </c>
      <c r="D122" s="113">
        <f t="array" ref="D122">INDEX('崖行動・受け身'!$H$3:$I$115, MATCH($A$1,'崖行動・受け身'!$A$3:$A$115,0), MATCH(D118,'崖行動・受け身'!$H$2:$I$2,0))</f>
        <v>14</v>
      </c>
      <c r="E122" s="301"/>
      <c r="F122" s="301"/>
      <c r="G122" s="301"/>
      <c r="H122" s="228"/>
      <c r="I122" s="228"/>
      <c r="J122" s="117"/>
      <c r="K122" s="1030" t="str">
        <f>'テンプレート'!K120</f>
        <v>地上投擲</v>
      </c>
      <c r="L122" s="303" t="str">
        <f>'テンプレート'!L120</f>
        <v>前投げ</v>
      </c>
      <c r="M122" s="113" t="str">
        <f t="array" ref="M122">INDEX('アイテム'!$G$3:$H$115, MATCH($A$1,'アイテム'!$A$3:$A$115,0), MATCH(M$121,'アイテム'!$G$2:$AK$2,0))</f>
        <v>8</v>
      </c>
      <c r="N122" s="113">
        <f t="array" ref="N122">INDEX('アイテム'!$G$3:$H$115, MATCH($A$1,'アイテム'!$A$3:$A$115,0), MATCH(N$121,'アイテム'!$G$2:$AK$2,0))</f>
        <v>24</v>
      </c>
      <c r="O122" s="111"/>
      <c r="P122" s="111"/>
      <c r="Q122" s="111"/>
      <c r="R122" s="111"/>
      <c r="S122" s="111"/>
      <c r="T122" s="111"/>
      <c r="U122" s="111"/>
      <c r="V122" s="111"/>
    </row>
    <row r="123" outlineLevel="1">
      <c r="A123" s="156"/>
      <c r="B123" s="300" t="s">
        <v>243</v>
      </c>
      <c r="C123" s="113" t="str">
        <f t="array" ref="C123">INDEX('崖行動・受け身'!$J$3:$M$115, MATCH($A$1,'崖行動・受け身'!$A$3:$A$115,0), MATCH(C118,'崖行動・受け身'!$J$2:$M$2,0))</f>
        <v>1-26</v>
      </c>
      <c r="D123" s="113">
        <f t="array" ref="D123">INDEX('崖行動・受け身'!$J$3:$M$115, MATCH($A$1,'崖行動・受け身'!$A$3:$A$115,0), MATCH(D118,'崖行動・受け身'!$J$2:$M$2,0))</f>
        <v>55</v>
      </c>
      <c r="E123" s="113" t="str">
        <f t="array" ref="E123">INDEX('崖行動・受け身'!$J$3:$M$115, MATCH($A$1,'崖行動・受け身'!$A$3:$A$115,0), MATCH(E118,'崖行動・受け身'!$J$2:$M$2,0))</f>
        <v>24-26</v>
      </c>
      <c r="F123" s="113">
        <f t="array" ref="F123">INDEX('崖行動・受け身'!$J$3:$M$115, MATCH($A$1,'崖行動・受け身'!$A$3:$A$115,0), MATCH(F118,'崖行動・受け身'!$J$2:$M$2,0))</f>
        <v>10</v>
      </c>
      <c r="G123" s="113">
        <f>F123*1.2</f>
        <v>12</v>
      </c>
      <c r="H123" s="228"/>
      <c r="I123" s="228"/>
      <c r="J123" s="111"/>
      <c r="K123" s="146"/>
      <c r="L123" s="303" t="str">
        <f>'テンプレート'!L121</f>
        <v>後投げ</v>
      </c>
      <c r="M123" s="113" t="str">
        <f t="array" ref="M123">INDEX('アイテム'!$I$3:$J$115, MATCH($A$1,'アイテム'!$A$3:$A$115,0), MATCH(M$121,'アイテム'!$I$2:$AK$2,0))</f>
        <v>11</v>
      </c>
      <c r="N123" s="113">
        <f t="array" ref="N123">INDEX('アイテム'!$I$3:$J$115, MATCH($A$1,'アイテム'!$A$3:$A$115,0), MATCH(N$121,'アイテム'!$I$2:$AK$2,0))</f>
        <v>24</v>
      </c>
      <c r="O123" s="111"/>
      <c r="P123" s="111"/>
      <c r="Q123" s="111"/>
      <c r="R123" s="111"/>
      <c r="S123" s="111"/>
      <c r="T123" s="111"/>
      <c r="U123" s="111"/>
      <c r="V123" s="111"/>
    </row>
    <row r="124" outlineLevel="1">
      <c r="A124" s="299" t="s">
        <v>244</v>
      </c>
      <c r="B124" s="300" t="s">
        <v>216</v>
      </c>
      <c r="C124" s="113" t="str">
        <f t="array" ref="C124">INDEX('崖行動・受け身'!$N$3:$O$115, MATCH($A$1,'崖行動・受け身'!$A$3:$A$115,0), MATCH(C118,'崖行動・受け身'!$N$2:$O$2,0))</f>
        <v>1-20</v>
      </c>
      <c r="D124" s="113">
        <f t="array" ref="D124">INDEX('崖行動・受け身'!$N$3:$O$115, MATCH($A$1,'崖行動・受け身'!$A$3:$A$115,0), MATCH(D118,'崖行動・受け身'!$N$2:$O$2,0))</f>
        <v>26</v>
      </c>
      <c r="E124" s="301"/>
      <c r="F124" s="301"/>
      <c r="G124" s="301"/>
      <c r="H124" s="228"/>
      <c r="I124" s="228"/>
      <c r="J124" s="117"/>
      <c r="K124" s="146"/>
      <c r="L124" s="303" t="str">
        <f>'テンプレート'!L122</f>
        <v>上投げ</v>
      </c>
      <c r="M124" s="113" t="str">
        <f t="array" ref="M124">INDEX('アイテム'!$K$3:$L$115, MATCH($A$1,'アイテム'!$A$3:$A$115,0), MATCH(M$121,'アイテム'!$K$2:$AK$2,0))</f>
        <v>12</v>
      </c>
      <c r="N124" s="113">
        <f t="array" ref="N124">INDEX('アイテム'!$K$3:$L$115, MATCH($A$1,'アイテム'!$A$3:$A$115,0), MATCH(N$121,'アイテム'!$K$2:$AK$2,0))</f>
        <v>23</v>
      </c>
      <c r="O124" s="228"/>
      <c r="P124" s="228"/>
      <c r="Q124" s="228"/>
      <c r="R124" s="228"/>
      <c r="S124" s="228"/>
      <c r="T124" s="228"/>
      <c r="U124" s="228"/>
      <c r="V124" s="228"/>
    </row>
    <row r="125" outlineLevel="1">
      <c r="A125" s="146"/>
      <c r="B125" s="300" t="s">
        <v>245</v>
      </c>
      <c r="C125" s="113" t="str">
        <f t="array" ref="C125">INDEX('崖行動・受け身'!$P$3:$Q$115, MATCH($A$1,'崖行動・受け身'!$A$3:$A$115,0), MATCH(C118,'崖行動・受け身'!$P$2:$Q$2,0))</f>
        <v>1-20</v>
      </c>
      <c r="D125" s="113">
        <f t="array" ref="D125">INDEX('崖行動・受け身'!$P$3:$Q$115, MATCH($A$1,'崖行動・受け身'!$A$3:$A$115,0), MATCH(D118,'崖行動・受け身'!$P$2:$Q$2,0))</f>
        <v>40</v>
      </c>
      <c r="E125" s="301"/>
      <c r="F125" s="301"/>
      <c r="G125" s="301"/>
      <c r="H125" s="228"/>
      <c r="I125" s="228"/>
      <c r="J125" s="111"/>
      <c r="K125" s="146"/>
      <c r="L125" s="303" t="str">
        <f>'テンプレート'!L123</f>
        <v>下投げ</v>
      </c>
      <c r="M125" s="113" t="str">
        <f t="array" ref="M125">INDEX('アイテム'!$M$3:$N$115, MATCH($A$1,'アイテム'!$A$3:$A$115,0), MATCH(M$121,'アイテム'!$M$2:$AK$2,0))</f>
        <v>7</v>
      </c>
      <c r="N125" s="113">
        <f t="array" ref="N125">INDEX('アイテム'!$M$3:$N$115, MATCH($A$1,'アイテム'!$A$3:$A$115,0), MATCH(N$121,'アイテム'!$M$2:$AK$2,0))</f>
        <v>19</v>
      </c>
      <c r="O125" s="118"/>
      <c r="P125" s="118"/>
      <c r="Q125" s="118"/>
      <c r="R125" s="118"/>
      <c r="S125" s="118"/>
      <c r="T125" s="118"/>
      <c r="U125" s="118"/>
      <c r="V125" s="118"/>
    </row>
    <row r="126" outlineLevel="1">
      <c r="A126" s="156"/>
      <c r="B126" s="300" t="s">
        <v>246</v>
      </c>
      <c r="C126" s="113" t="str">
        <f t="array" ref="C126">INDEX('崖行動・受け身'!$R$3:$S$115, MATCH($A$1,'崖行動・受け身'!$A$3:$A$115,0), MATCH(C118,'崖行動・受け身'!$R$2:$S$2,0))</f>
        <v>1-20</v>
      </c>
      <c r="D126" s="113">
        <f t="array" ref="D126">INDEX('崖行動・受け身'!$R$3:$S$115, MATCH($A$1,'崖行動・受け身'!$A$3:$A$115,0), MATCH(D118,'崖行動・受け身'!$R$2:$S$2,0))</f>
        <v>40</v>
      </c>
      <c r="E126" s="301"/>
      <c r="F126" s="301"/>
      <c r="G126" s="301"/>
      <c r="H126" s="228"/>
      <c r="I126" s="228"/>
      <c r="J126" s="117"/>
      <c r="K126" s="146"/>
      <c r="L126" s="306" t="str">
        <f>'テンプレート'!L124</f>
        <v>ダッシュ</v>
      </c>
      <c r="M126" s="113" t="str">
        <f t="array" ref="M126">INDEX('アイテム'!$O$3:$P$115, MATCH($A$1,'アイテム'!$A$3:$A$115,0), MATCH(M$121,'アイテム'!$O$2:$AK$2,0))</f>
        <v>5</v>
      </c>
      <c r="N126" s="113">
        <f t="array" ref="N126">INDEX('アイテム'!$O$3:$P$115, MATCH($A$1,'アイテム'!$A$3:$A$115,0), MATCH(N$121,'アイテム'!$O$2:$AK$2,0))</f>
        <v>29</v>
      </c>
      <c r="O126" s="118"/>
      <c r="P126" s="118"/>
      <c r="Q126" s="118"/>
      <c r="R126" s="118"/>
      <c r="S126" s="118"/>
      <c r="T126" s="118"/>
      <c r="U126" s="118"/>
      <c r="V126" s="118"/>
    </row>
    <row r="127" outlineLevel="1">
      <c r="A127" s="299" t="s">
        <v>247</v>
      </c>
      <c r="B127" s="300" t="s">
        <v>248</v>
      </c>
      <c r="C127" s="301"/>
      <c r="D127" s="113" t="str">
        <f t="array" ref="D127">INDEX('起きあがり'!$C$3:$C115, MATCH($A$1,'起きあがり'!$A$3:$A$115,0), MATCH(D118,'起きあがり'!$C$2:$AD$2,0))</f>
        <v>25</v>
      </c>
      <c r="E127" s="301"/>
      <c r="F127" s="301"/>
      <c r="G127" s="301"/>
      <c r="H127" s="228"/>
      <c r="I127" s="228"/>
      <c r="J127" s="111"/>
      <c r="K127" s="156"/>
      <c r="L127" s="306" t="str">
        <f>'テンプレート'!L125</f>
        <v>その場捨て</v>
      </c>
      <c r="M127" s="113" t="str">
        <f t="array" ref="M127">INDEX('アイテム'!$Q$3:$R$115, MATCH($A$1,'アイテム'!$A$3:$A$115,0), MATCH(M$121,'アイテム'!$Q$2:$AK$2,0))</f>
        <v>6</v>
      </c>
      <c r="N127" s="113">
        <f t="array" ref="N127">INDEX('アイテム'!$Q$3:$R$115, MATCH($A$1,'アイテム'!$A$3:$A$115,0), MATCH(N$121,'アイテム'!$Q$2:$AK$2,0))</f>
        <v>23</v>
      </c>
      <c r="O127" s="118"/>
      <c r="P127" s="118"/>
      <c r="Q127" s="118"/>
      <c r="R127" s="118"/>
      <c r="S127" s="118"/>
      <c r="T127" s="118"/>
      <c r="U127" s="118"/>
      <c r="V127" s="118"/>
    </row>
    <row r="128" outlineLevel="1">
      <c r="A128" s="146"/>
      <c r="B128" s="300" t="s">
        <v>216</v>
      </c>
      <c r="C128" s="307" t="str">
        <f t="array" ref="C128">INDEX('起きあがり'!$D$3:$E115, MATCH($A$1,'起きあがり'!$A$3:$A$115,0), MATCH(C118,'起きあがり'!$D$2:$AD$2,0))</f>
        <v>1-22</v>
      </c>
      <c r="D128" s="308">
        <f t="array" ref="D128">INDEX('起きあがり'!$D$3:$E115, MATCH($A$1,'起きあがり'!$A$3:$A$115,0), MATCH(D118,'起きあがり'!$D$2:$AD$2,0))</f>
        <v>29</v>
      </c>
      <c r="E128" s="301"/>
      <c r="F128" s="301"/>
      <c r="G128" s="301"/>
      <c r="H128" s="228"/>
      <c r="I128" s="228"/>
      <c r="J128" s="117"/>
      <c r="K128" s="1030" t="str">
        <f>'テンプレート'!K126</f>
        <v>空中投擲</v>
      </c>
      <c r="L128" s="303" t="str">
        <f>'テンプレート'!L126</f>
        <v>前投げ</v>
      </c>
      <c r="M128" s="113" t="str">
        <f t="array" ref="M128">INDEX('アイテム'!$S$3:$T$115, MATCH($A$1,'アイテム'!$A$3:$A$115,0), MATCH(M$121,'アイテム'!$S$2:$AK$2,0))</f>
        <v>8</v>
      </c>
      <c r="N128" s="113">
        <f t="array" ref="N128">INDEX('アイテム'!$S$3:$T$115, MATCH($A$1,'アイテム'!$A$3:$A$115,0), MATCH(N$121,'アイテム'!$S$2:$AK$2,0))</f>
        <v>24</v>
      </c>
      <c r="O128" s="118"/>
      <c r="P128" s="118"/>
      <c r="Q128" s="118"/>
      <c r="R128" s="118"/>
      <c r="S128" s="118"/>
      <c r="T128" s="118"/>
      <c r="U128" s="118"/>
      <c r="V128" s="118"/>
    </row>
    <row r="129" outlineLevel="1">
      <c r="A129" s="146"/>
      <c r="B129" s="300" t="s">
        <v>245</v>
      </c>
      <c r="C129" s="307" t="str">
        <f t="array" ref="C129">INDEX('起きあがり'!$F$3:$G$115, MATCH($A$1,'起きあがり'!$A$3:$A$115,0), MATCH(C118,'起きあがり'!$F$2:$AD$2,0))</f>
        <v>1-21</v>
      </c>
      <c r="D129" s="308">
        <f t="array" ref="D129">INDEX('起きあがり'!$F$3:$G$115, MATCH($A$1,'起きあがり'!$A$3:$A$115,0), MATCH(D118,'起きあがり'!$F$2:$AD$2,0))</f>
        <v>35</v>
      </c>
      <c r="E129" s="301"/>
      <c r="F129" s="301"/>
      <c r="G129" s="301"/>
      <c r="H129" s="228"/>
      <c r="I129" s="228"/>
      <c r="J129" s="111"/>
      <c r="K129" s="146"/>
      <c r="L129" s="303" t="str">
        <f>'テンプレート'!L127</f>
        <v>後投げ</v>
      </c>
      <c r="M129" s="113" t="str">
        <f t="array" ref="M129">INDEX('アイテム'!$U$3:$V$115, MATCH($A$1,'アイテム'!$A$3:$A$115,0), MATCH(M$121,'アイテム'!$U$2:$AK$2,0))</f>
        <v>11</v>
      </c>
      <c r="N129" s="113">
        <f t="array" ref="N129">INDEX('アイテム'!$U$3:$V$115, MATCH($A$1,'アイテム'!$A$3:$A$115,0), MATCH(N$121,'アイテム'!$U$2:$AK$2,0))</f>
        <v>24</v>
      </c>
      <c r="O129" s="118"/>
      <c r="P129" s="118"/>
      <c r="Q129" s="118"/>
      <c r="R129" s="118"/>
      <c r="S129" s="118"/>
      <c r="T129" s="118"/>
      <c r="U129" s="118"/>
      <c r="V129" s="118"/>
    </row>
    <row r="130" outlineLevel="1">
      <c r="A130" s="146"/>
      <c r="B130" s="300" t="s">
        <v>246</v>
      </c>
      <c r="C130" s="113" t="str">
        <f t="array" ref="C130">INDEX('起きあがり'!$H$3:$I$115, MATCH($A$1,'起きあがり'!$A$3:$A$115,0), MATCH(C118,'起きあがり'!$H$2:$AD$2,0))</f>
        <v>1-22</v>
      </c>
      <c r="D130" s="113">
        <f t="array" ref="D130">INDEX('起きあがり'!$H$3:$I$115, MATCH($A$1,'起きあがり'!$A$3:$A$115,0), MATCH(D118,'起きあがり'!$H$2:$AD$2,0))</f>
        <v>35</v>
      </c>
      <c r="E130" s="301"/>
      <c r="F130" s="301"/>
      <c r="G130" s="301"/>
      <c r="H130" s="228"/>
      <c r="I130" s="228"/>
      <c r="J130" s="117"/>
      <c r="K130" s="146"/>
      <c r="L130" s="303" t="str">
        <f>'テンプレート'!L128</f>
        <v>上投げ</v>
      </c>
      <c r="M130" s="113" t="str">
        <f t="array" ref="M130">INDEX('アイテム'!$W$3:$X$115, MATCH($A$1,'アイテム'!$A$3:$A$115,0), MATCH(M$121,'アイテム'!$W$2:$AK$2,0))</f>
        <v>12</v>
      </c>
      <c r="N130" s="113">
        <f t="array" ref="N130">INDEX('アイテム'!$W$3:$X$115, MATCH($A$1,'アイテム'!$A$3:$A$115,0), MATCH(N$121,'アイテム'!$W$2:$AK$2,0))</f>
        <v>23</v>
      </c>
      <c r="O130" s="118"/>
      <c r="P130" s="118"/>
      <c r="Q130" s="118"/>
      <c r="R130" s="118"/>
      <c r="S130" s="118"/>
      <c r="T130" s="118"/>
      <c r="U130" s="118"/>
      <c r="V130" s="118"/>
    </row>
    <row r="131" outlineLevel="1">
      <c r="A131" s="146"/>
      <c r="B131" s="300" t="s">
        <v>249</v>
      </c>
      <c r="C131" s="309" t="str">
        <f t="array" ref="C131">INDEX('起きあがり'!$J$3:$M$115, MATCH($A$1,'起きあがり'!$A$3:$A$115,0), MATCH(C118,'起きあがり'!$J$2:$AD$2,0))</f>
        <v>1-24</v>
      </c>
      <c r="D131" s="310">
        <f t="array" ref="D131">INDEX('起きあがり'!$J$3:$M$115, MATCH($A$1,'起きあがり'!$A$3:$A$115,0), MATCH(D118,'起きあがり'!$J$2:$AD$2,0))</f>
        <v>45</v>
      </c>
      <c r="E131" s="307" t="str">
        <f t="array" ref="E131">INDEX('起きあがり'!$J$3:$M$115, MATCH($A$1,'起きあがり'!$A$3:$A$115,0), MATCH(E118,'起きあがり'!$J$2:$AD$2,0))</f>
        <v>18-19</v>
      </c>
      <c r="F131" s="308">
        <f t="array" ref="F131">INDEX('起きあがり'!$J$3:$M$115, MATCH($A$1,'起きあがり'!$A$3:$A$115,0), MATCH(F118,'起きあがり'!$J$2:$AD$2,0))</f>
        <v>7</v>
      </c>
      <c r="G131" s="113">
        <f t="shared" ref="G131:G132" si="1">F131*1.2</f>
        <v>8.4</v>
      </c>
      <c r="H131" s="228"/>
      <c r="I131" s="228"/>
      <c r="J131" s="111"/>
      <c r="K131" s="156"/>
      <c r="L131" s="303" t="str">
        <f>'テンプレート'!L129</f>
        <v>下投げ</v>
      </c>
      <c r="M131" s="113" t="str">
        <f t="array" ref="M131">INDEX('アイテム'!$Y$3:$Z$115, MATCH($A$1,'アイテム'!$A$3:$A$115,0), MATCH(M$121,'アイテム'!$Y$2:$AK$2,0))</f>
        <v>7</v>
      </c>
      <c r="N131" s="113">
        <f t="array" ref="N131">INDEX('アイテム'!$Y$3:$Z$115, MATCH($A$1,'アイテム'!$A$3:$A$115,0), MATCH(N$121,'アイテム'!$Y$2:$AK$2,0))</f>
        <v>19</v>
      </c>
      <c r="O131" s="111"/>
      <c r="P131" s="111"/>
      <c r="Q131" s="111"/>
      <c r="R131" s="111"/>
      <c r="S131" s="111"/>
      <c r="T131" s="111"/>
      <c r="U131" s="111"/>
      <c r="V131" s="111"/>
    </row>
    <row r="132" outlineLevel="1">
      <c r="A132" s="156"/>
      <c r="B132" s="311" t="s">
        <v>250</v>
      </c>
      <c r="C132" s="156"/>
      <c r="D132" s="156"/>
      <c r="E132" s="307" t="str">
        <f t="array" ref="E132">INDEX('起きあがり'!$N$3:$O$115, MATCH($A$1,'起きあがり'!$A$3:$A$115,0), MATCH(E118,'起きあがり'!$N$2:$AD$2,0))</f>
        <v>23-24</v>
      </c>
      <c r="F132" s="308">
        <f t="array" ref="F132">INDEX('起きあがり'!$N$3:$O$115, MATCH($A$1,'起きあがり'!$A$3:$A$115,0), MATCH(F118,'起きあがり'!$N$2:$AD$2,0))</f>
        <v>7</v>
      </c>
      <c r="G132" s="113">
        <f t="shared" si="1"/>
        <v>8.4</v>
      </c>
      <c r="H132" s="228"/>
      <c r="I132" s="228"/>
      <c r="J132" s="111"/>
      <c r="K132" s="312" t="str">
        <f>'テンプレート'!K130</f>
        <v>踏み台ジャンプ</v>
      </c>
      <c r="L132" s="168"/>
      <c r="M132" s="298" t="str">
        <f>'テンプレート'!M130</f>
        <v>全体フレーム</v>
      </c>
      <c r="N132" s="114"/>
      <c r="O132" s="111"/>
      <c r="P132" s="111"/>
      <c r="Q132" s="111"/>
      <c r="R132" s="111"/>
      <c r="S132" s="111"/>
      <c r="T132" s="111"/>
      <c r="U132" s="111"/>
      <c r="V132" s="111"/>
    </row>
    <row r="133" outlineLevel="1">
      <c r="A133" s="299" t="s">
        <v>251</v>
      </c>
      <c r="B133" s="300" t="s">
        <v>248</v>
      </c>
      <c r="C133" s="301"/>
      <c r="D133" s="307" t="str">
        <f t="array" ref="D133">INDEX('起きあがり'!$C$3:$C115, MATCH($A$1,'起きあがり'!$A$3:$A$115,0), MATCH(D118,'起きあがり'!$C$2,0))</f>
        <v>25</v>
      </c>
      <c r="E133" s="301"/>
      <c r="F133" s="301"/>
      <c r="G133" s="301"/>
      <c r="H133" s="228"/>
      <c r="I133" s="228"/>
      <c r="J133" s="117"/>
      <c r="K133" s="313" t="str">
        <f>'テンプレート'!K131</f>
        <v>踏み</v>
      </c>
      <c r="L133" s="314" t="str">
        <f>'テンプレート'!L131</f>
        <v>踏み</v>
      </c>
      <c r="M133" s="113" t="str">
        <f t="array" ref="M133">INDEX('共通動作その他'!$C$3:$C$102, MATCH($A$1,'共通動作その他'!$A$3:$A$102,0), MATCH(M$132,'共通動作その他'!$C$2:$AA$2,0))</f>
        <v>-</v>
      </c>
      <c r="N133" s="315"/>
      <c r="O133" s="111"/>
      <c r="P133" s="111"/>
      <c r="Q133" s="111"/>
      <c r="R133" s="111"/>
      <c r="S133" s="111"/>
      <c r="T133" s="111"/>
      <c r="U133" s="111"/>
      <c r="V133" s="111"/>
    </row>
    <row r="134" outlineLevel="1">
      <c r="A134" s="146"/>
      <c r="B134" s="300" t="s">
        <v>216</v>
      </c>
      <c r="C134" s="307" t="str">
        <f t="array" ref="C134">INDEX('起きあがり'!$P$3:$Q$115, MATCH($A$1,'起きあがり'!$A$3:$A$115,0), MATCH(C118,'起きあがり'!$P$2:$AD$2,0))</f>
        <v>1-22</v>
      </c>
      <c r="D134" s="308">
        <f t="array" ref="D134">INDEX('起きあがり'!$P$3:$Q$115, MATCH($A$1,'起きあがり'!$A$3:$A$115,0), MATCH(D118,'起きあがり'!$P$2:$AD$2,0))</f>
        <v>29</v>
      </c>
      <c r="E134" s="301"/>
      <c r="F134" s="301"/>
      <c r="G134" s="301"/>
      <c r="H134" s="228"/>
      <c r="I134" s="228"/>
      <c r="J134" s="111"/>
      <c r="K134" s="305" t="str">
        <f>'テンプレート'!K132</f>
        <v>踏まれ</v>
      </c>
      <c r="L134" s="314" t="str">
        <f>'テンプレート'!L132</f>
        <v>地上踏まれ</v>
      </c>
      <c r="M134" s="113" t="str">
        <f t="array" ref="M134">INDEX('共通動作その他'!$D$3:$D$102, MATCH($A$1,'共通動作その他'!$A$3:$A$102,0), MATCH(M$132,'共通動作その他'!$D$2:$AA$2,0))</f>
        <v>-</v>
      </c>
      <c r="N134" s="315"/>
      <c r="O134" s="228"/>
      <c r="P134" s="228"/>
      <c r="Q134" s="228"/>
      <c r="R134" s="228"/>
      <c r="S134" s="228"/>
      <c r="T134" s="228"/>
      <c r="U134" s="228"/>
      <c r="V134" s="228"/>
    </row>
    <row r="135" outlineLevel="1">
      <c r="A135" s="146"/>
      <c r="B135" s="300" t="s">
        <v>245</v>
      </c>
      <c r="C135" s="307" t="str">
        <f t="array" ref="C135">INDEX('起きあがり'!$R$3:$S$115, MATCH($A$1,'起きあがり'!$A$3:$A$115,0), MATCH(C118,'起きあがり'!$R$2:$AD$2,0))</f>
        <v>1-19</v>
      </c>
      <c r="D135" s="308">
        <f t="array" ref="D135">INDEX('起きあがり'!$R$3:$S$115, MATCH($A$1,'起きあがり'!$A$3:$A$115,0), MATCH(D118,'起きあがり'!$R$2:$AD$2,0))</f>
        <v>35</v>
      </c>
      <c r="E135" s="301"/>
      <c r="F135" s="301"/>
      <c r="G135" s="301"/>
      <c r="H135" s="228"/>
      <c r="I135" s="228"/>
      <c r="J135" s="117"/>
      <c r="K135" s="146"/>
      <c r="L135" s="314" t="str">
        <f>'テンプレート'!L133</f>
        <v>地上硬直</v>
      </c>
      <c r="M135" s="113" t="str">
        <f t="array" ref="M135">INDEX('共通動作その他'!$E$3:$E$102, MATCH($A$1,'共通動作その他'!$A$3:$A$102,0), MATCH(M$132,'共通動作その他'!$E$2:$AA$2,0))</f>
        <v>-</v>
      </c>
      <c r="N135" s="102"/>
      <c r="O135" s="118"/>
      <c r="P135" s="118"/>
      <c r="Q135" s="118"/>
      <c r="R135" s="118"/>
      <c r="S135" s="118"/>
      <c r="T135" s="118"/>
      <c r="U135" s="118"/>
      <c r="V135" s="118"/>
    </row>
    <row r="136" outlineLevel="1">
      <c r="A136" s="146"/>
      <c r="B136" s="300" t="s">
        <v>246</v>
      </c>
      <c r="C136" s="307" t="str">
        <f t="array" ref="C136">INDEX('起きあがり'!$T$3:$U$115, MATCH($A$1,'起きあがり'!$A$3:$A$115,0), MATCH(C118,'起きあがり'!$T$2:$AD$2,0))</f>
        <v>1-24</v>
      </c>
      <c r="D136" s="308">
        <f t="array" ref="D136">INDEX('起きあがり'!$T$3:$U$115, MATCH($A$1,'起きあがり'!$A$3:$A$115,0), MATCH(D118,'起きあがり'!$T$2:$AD$2,0))</f>
        <v>35</v>
      </c>
      <c r="E136" s="301"/>
      <c r="F136" s="301"/>
      <c r="G136" s="301"/>
      <c r="H136" s="228"/>
      <c r="I136" s="228"/>
      <c r="J136" s="111"/>
      <c r="K136" s="146"/>
      <c r="L136" s="314" t="str">
        <f>'テンプレート'!L134</f>
        <v>空中踏まれ</v>
      </c>
      <c r="M136" s="113" t="str">
        <f t="array" ref="M136">INDEX('共通動作その他'!$F$3:$F$102, MATCH($A$1,'共通動作その他'!$A$3:$A$102,0), MATCH(M$132,'共通動作その他'!$F$2:$AA$2,0))</f>
        <v>-</v>
      </c>
      <c r="N136" s="102"/>
      <c r="O136" s="118"/>
      <c r="P136" s="118"/>
      <c r="Q136" s="118"/>
      <c r="R136" s="118"/>
      <c r="S136" s="118"/>
      <c r="T136" s="118"/>
      <c r="U136" s="118"/>
      <c r="V136" s="118"/>
    </row>
    <row r="137" outlineLevel="1">
      <c r="A137" s="146"/>
      <c r="B137" s="300" t="s">
        <v>249</v>
      </c>
      <c r="C137" s="309" t="str">
        <f t="array" ref="C137">INDEX('起きあがり'!$V$3:$Y$115, MATCH($A$1,'起きあがり'!$A$3:$A$115,0), MATCH(C118,'起きあがり'!$V$2:$AD$2,0))</f>
        <v>1-24</v>
      </c>
      <c r="D137" s="310">
        <f t="array" ref="D137">INDEX('起きあがり'!$V$3:$Y$115, MATCH($A$1,'起きあがり'!$A$3:$A$115,0), MATCH(D118,'起きあがり'!$V$2:$AD$2,0))</f>
        <v>45</v>
      </c>
      <c r="E137" s="307" t="str">
        <f t="array" ref="E137">INDEX('起きあがり'!$V$3:$Y$115, MATCH($A$1,'起きあがり'!$A$3:$A$115,0), MATCH(E118,'起きあがり'!$V$2:$AD$2,0))</f>
        <v>18-19</v>
      </c>
      <c r="F137" s="308">
        <f t="array" ref="F137">INDEX('起きあがり'!$V$3:$Y$115, MATCH($A$1,'起きあがり'!$A$3:$A$115,0), MATCH(F118,'起きあがり'!$V$2:$AD$2,0))</f>
        <v>7</v>
      </c>
      <c r="G137" s="113">
        <f t="shared" ref="G137:G138" si="2">F137*1.2</f>
        <v>8.4</v>
      </c>
      <c r="H137" s="228"/>
      <c r="I137" s="228"/>
      <c r="J137" s="117"/>
      <c r="K137" s="146"/>
      <c r="L137" s="314" t="str">
        <f>'テンプレート'!L135</f>
        <v>空中落下</v>
      </c>
      <c r="M137" s="113" t="str">
        <f t="array" ref="M137">INDEX('共通動作その他'!$G$3:$G$102, MATCH($A$1,'共通動作その他'!$A$3:$A$102,0), MATCH(M$132,'共通動作その他'!$G$2:$AA$2,0))</f>
        <v>-</v>
      </c>
      <c r="N137" s="102"/>
      <c r="O137" s="118"/>
      <c r="P137" s="118"/>
      <c r="Q137" s="118"/>
      <c r="R137" s="118"/>
      <c r="S137" s="118"/>
      <c r="T137" s="118"/>
      <c r="U137" s="118"/>
      <c r="V137" s="118"/>
    </row>
    <row r="138" outlineLevel="1">
      <c r="A138" s="156"/>
      <c r="B138" s="311" t="s">
        <v>250</v>
      </c>
      <c r="C138" s="156"/>
      <c r="D138" s="156"/>
      <c r="E138" s="307" t="str">
        <f t="array" ref="E138">INDEX('起きあがり'!$Z$3:$AA$115, MATCH($A$1,'起きあがり'!$A$3:$A$115,0), MATCH(E118,'起きあがり'!$Z$2:$AD$2,0))</f>
        <v>23-24</v>
      </c>
      <c r="F138" s="308">
        <f t="array" ref="F138">INDEX('起きあがり'!$Z$3:$AA$115, MATCH($A$1,'起きあがり'!$A$3:$A$115,0), MATCH(F118,'起きあがり'!$Z$2:$AD$2,0))</f>
        <v>7</v>
      </c>
      <c r="G138" s="113">
        <f t="shared" si="2"/>
        <v>8.4</v>
      </c>
      <c r="H138" s="228"/>
      <c r="I138" s="228"/>
      <c r="J138" s="117"/>
      <c r="K138" s="304" t="str">
        <f>'テンプレート'!K136</f>
        <v>倒れダメージ</v>
      </c>
      <c r="L138" s="110"/>
      <c r="M138" s="298" t="str">
        <f>'テンプレート'!M136</f>
        <v>全体フレーム</v>
      </c>
      <c r="N138" s="102"/>
      <c r="O138" s="118"/>
      <c r="P138" s="118"/>
      <c r="Q138" s="118"/>
      <c r="R138" s="118"/>
      <c r="S138" s="118"/>
      <c r="T138" s="118"/>
      <c r="U138" s="118"/>
      <c r="V138" s="118"/>
    </row>
    <row r="139" outlineLevel="1">
      <c r="A139" s="299" t="s">
        <v>252</v>
      </c>
      <c r="B139" s="300" t="s">
        <v>253</v>
      </c>
      <c r="C139" s="307" t="str">
        <f t="array" ref="C139">INDEX('転倒'!$C$3:$D115, MATCH($A$1,'転倒'!$A$3:$A$115,0), MATCH(C118,'転倒'!$C$2:$AC$2,0))</f>
        <v>1-5</v>
      </c>
      <c r="D139" s="308">
        <f t="array" ref="D139">INDEX('転倒'!$C$3:$D115, MATCH($A$1,'転倒'!$A$3:$A$115,0), MATCH(D118,'転倒'!$C$2:$AC$2,0))</f>
        <v>29</v>
      </c>
      <c r="E139" s="301"/>
      <c r="F139" s="301"/>
      <c r="G139" s="301"/>
      <c r="H139" s="228"/>
      <c r="I139" s="228"/>
      <c r="J139" s="111"/>
      <c r="K139" s="313" t="str">
        <f>'テンプレート'!K137</f>
        <v>あお向け倒れ</v>
      </c>
      <c r="L139" s="306" t="str">
        <f>'テンプレート'!L137</f>
        <v>モーション大</v>
      </c>
      <c r="M139" s="113" t="str">
        <f t="array" ref="M139">INDEX('共通動作その他'!$H$3:$H$102, MATCH($A$1,'共通動作その他'!$A$3:$A$102,0), MATCH(M$138,'共通動作その他'!$H$2:$AA$2,0))</f>
        <v>-</v>
      </c>
      <c r="N139" s="315"/>
      <c r="O139" s="118"/>
      <c r="P139" s="118"/>
      <c r="Q139" s="118"/>
      <c r="R139" s="118"/>
      <c r="S139" s="118"/>
      <c r="T139" s="118"/>
      <c r="U139" s="118"/>
      <c r="V139" s="118"/>
    </row>
    <row r="140" outlineLevel="1">
      <c r="A140" s="146"/>
      <c r="B140" s="300" t="s">
        <v>254</v>
      </c>
      <c r="C140" s="307" t="str">
        <f t="array" ref="C140">INDEX('転倒'!$E$3:$F115, MATCH($A$1,'転倒'!$A$3:$A$115,0), MATCH(C118,'転倒'!$E$2:$AC$2,0))</f>
        <v>1-5</v>
      </c>
      <c r="D140" s="308">
        <f t="array" ref="D140">INDEX('転倒'!$E$3:$F115, MATCH($A$1,'転倒'!$A$3:$A$115,0), MATCH(D118,'転倒'!$E$2:$AC$2,0))</f>
        <v>39</v>
      </c>
      <c r="E140" s="301"/>
      <c r="F140" s="301"/>
      <c r="G140" s="301"/>
      <c r="H140" s="228"/>
      <c r="I140" s="228"/>
      <c r="J140" s="117"/>
      <c r="K140" s="313" t="str">
        <f>'テンプレート'!K138</f>
        <v>うつ伏せ倒れ</v>
      </c>
      <c r="L140" s="306" t="str">
        <f>'テンプレート'!L138</f>
        <v>モーション大</v>
      </c>
      <c r="M140" s="113" t="str">
        <f t="array" ref="M140">INDEX('共通動作その他'!$I$3:$I$102, MATCH($A$1,'共通動作その他'!$A$3:$A$102,0), MATCH(M$138,'共通動作その他'!$I$2:$AA$2,0))</f>
        <v>-</v>
      </c>
      <c r="N140" s="315"/>
      <c r="O140" s="118"/>
      <c r="P140" s="118"/>
      <c r="Q140" s="118"/>
      <c r="R140" s="118"/>
      <c r="S140" s="118"/>
      <c r="T140" s="118"/>
      <c r="U140" s="118"/>
      <c r="V140" s="118"/>
    </row>
    <row r="141" outlineLevel="1">
      <c r="A141" s="146"/>
      <c r="B141" s="300" t="s">
        <v>216</v>
      </c>
      <c r="C141" s="307" t="str">
        <f t="array" ref="C141">INDEX('転倒'!$G$3:$H$115, MATCH($A$1,'転倒'!$A$3:$A$115,0), MATCH(C118,'転倒'!$G$2:$AC$2,0))</f>
        <v>1-16</v>
      </c>
      <c r="D141" s="308">
        <f t="array" ref="D141">INDEX('転倒'!$G$3:$H$115, MATCH($A$1,'転倒'!$A$3:$A$115,0), MATCH(D118,'転倒'!$G$2:$AC$2,0))</f>
        <v>21</v>
      </c>
      <c r="E141" s="301"/>
      <c r="F141" s="301"/>
      <c r="G141" s="301"/>
      <c r="H141" s="228"/>
      <c r="I141" s="228"/>
      <c r="J141" s="111"/>
      <c r="K141" s="304" t="str">
        <f>'テンプレート'!K139</f>
        <v/>
      </c>
      <c r="L141" s="110"/>
      <c r="M141" s="298" t="str">
        <f>'テンプレート'!M139</f>
        <v/>
      </c>
      <c r="N141" s="102"/>
      <c r="O141" s="118"/>
      <c r="P141" s="118"/>
      <c r="Q141" s="118"/>
      <c r="R141" s="118"/>
      <c r="S141" s="118"/>
      <c r="T141" s="118"/>
      <c r="U141" s="118"/>
      <c r="V141" s="118"/>
    </row>
    <row r="142" outlineLevel="1">
      <c r="A142" s="146"/>
      <c r="B142" s="300" t="s">
        <v>245</v>
      </c>
      <c r="C142" s="307" t="str">
        <f t="array" ref="C142">INDEX('転倒'!$I$3:$J$115, MATCH($A$1,'転倒'!$A$3:$A$115,0), MATCH(C118,'転倒'!$I$2:$AC$2,0))</f>
        <v>1-9</v>
      </c>
      <c r="D142" s="308">
        <f t="array" ref="D142">INDEX('転倒'!$I$3:$J$115, MATCH($A$1,'転倒'!$A$3:$A$115,0), MATCH(D118,'転倒'!$I$2:$AC$2,0))</f>
        <v>28</v>
      </c>
      <c r="E142" s="301"/>
      <c r="F142" s="301"/>
      <c r="G142" s="301"/>
      <c r="H142" s="228"/>
      <c r="I142" s="228"/>
      <c r="J142" s="228"/>
      <c r="K142" s="316" t="str">
        <f>'テンプレート'!K140</f>
        <v/>
      </c>
      <c r="L142" s="317" t="str">
        <f>'テンプレート'!L140</f>
        <v/>
      </c>
      <c r="M142" s="113" t="str">
        <f t="array" ref="M142">INDEX('共通動作その他'!$J$3:$J$102, MATCH($A$1,'共通動作その他'!$A$3:$A$102,0), MATCH(M$141,'共通動作その他'!$J$2:$AA$2,0))</f>
        <v>#N/A</v>
      </c>
      <c r="N142" s="102"/>
      <c r="O142" s="118"/>
      <c r="P142" s="118"/>
      <c r="Q142" s="118"/>
      <c r="R142" s="118"/>
      <c r="S142" s="118"/>
      <c r="T142" s="118"/>
      <c r="U142" s="118"/>
      <c r="V142" s="118"/>
    </row>
    <row r="143" outlineLevel="1">
      <c r="A143" s="146"/>
      <c r="B143" s="300" t="s">
        <v>246</v>
      </c>
      <c r="C143" s="307" t="str">
        <f t="array" ref="C143">INDEX('転倒'!$K$3:$L$115, MATCH($A$1,'転倒'!$A$3:$A$115,0), MATCH(C118,'転倒'!$K$2:$AC$2,0))</f>
        <v>1-9</v>
      </c>
      <c r="D143" s="308">
        <f t="array" ref="D143">INDEX('転倒'!$K$3:$L$115, MATCH($A$1,'転倒'!$A$3:$A$115,0), MATCH(D118,'転倒'!$K$2:$AC$2,0))</f>
        <v>28</v>
      </c>
      <c r="E143" s="301"/>
      <c r="F143" s="301"/>
      <c r="G143" s="301"/>
      <c r="H143" s="228"/>
      <c r="I143" s="228"/>
      <c r="J143" s="228"/>
      <c r="K143" s="102"/>
      <c r="L143" s="118"/>
      <c r="M143" s="118"/>
      <c r="N143" s="102"/>
      <c r="O143" s="118"/>
      <c r="P143" s="118"/>
      <c r="Q143" s="118"/>
      <c r="R143" s="118"/>
      <c r="S143" s="118"/>
      <c r="T143" s="118"/>
      <c r="U143" s="118"/>
      <c r="V143" s="118"/>
    </row>
    <row r="144" outlineLevel="1">
      <c r="A144" s="146"/>
      <c r="B144" s="300" t="s">
        <v>249</v>
      </c>
      <c r="C144" s="309" t="str">
        <f t="array" ref="C144">INDEX('転倒'!$M$3:$P$115, MATCH($A$1,'転倒'!$A$3:$A$115,0), MATCH(C118,'転倒'!$M$2:$AC$2,0))</f>
        <v>1-7</v>
      </c>
      <c r="D144" s="310">
        <f t="array" ref="D144">INDEX('転倒'!$M$3:$P$115, MATCH($A$1,'転倒'!$A$3:$A$115,0), MATCH(D118,'転倒'!$M$2:$AC$2,0))</f>
        <v>49</v>
      </c>
      <c r="E144" s="307" t="str">
        <f t="array" ref="E144">INDEX('転倒'!$M$3:$P$115, MATCH($A$1,'転倒'!$A$3:$A$115,0), MATCH(E118,'転倒'!$M$2:$AC$2,0))</f>
        <v>19-20</v>
      </c>
      <c r="F144" s="308">
        <f t="array" ref="F144">INDEX('転倒'!$M$3:$P$115, MATCH($A$1,'転倒'!$A$3:$A$115,0), MATCH(F118,'転倒'!$M$2:$AC$2,0))</f>
        <v>5</v>
      </c>
      <c r="G144" s="113">
        <f t="shared" ref="G144:G145" si="3">F144*1.2</f>
        <v>6</v>
      </c>
      <c r="H144" s="228"/>
      <c r="I144" s="228"/>
      <c r="J144" s="228"/>
      <c r="K144" s="118"/>
      <c r="L144" s="118"/>
      <c r="M144" s="118"/>
      <c r="N144" s="102"/>
      <c r="O144" s="102"/>
      <c r="P144" s="102"/>
      <c r="Q144" s="102"/>
      <c r="R144" s="118"/>
      <c r="S144" s="118"/>
      <c r="T144" s="118"/>
      <c r="U144" s="118"/>
      <c r="V144" s="118"/>
    </row>
    <row r="145" outlineLevel="1">
      <c r="A145" s="156"/>
      <c r="B145" s="311" t="s">
        <v>250</v>
      </c>
      <c r="C145" s="156"/>
      <c r="D145" s="156"/>
      <c r="E145" s="307" t="str">
        <f t="array" ref="E145">INDEX('転倒'!$Q$3:$R$115, MATCH($A$1,'転倒'!$A$3:$A$115,0), MATCH(E118,'転倒'!$Q$2:$AC$2,0))</f>
        <v>31-32</v>
      </c>
      <c r="F145" s="308">
        <f t="array" ref="F145">INDEX('転倒'!$Q$3:$R$115, MATCH($A$1,'転倒'!$A$3:$A$115,0), MATCH(F118,'転倒'!$Q$2:$AC$2,0))</f>
        <v>5</v>
      </c>
      <c r="G145" s="113">
        <f t="shared" si="3"/>
        <v>6</v>
      </c>
      <c r="H145" s="228"/>
      <c r="I145" s="228"/>
      <c r="J145" s="228"/>
      <c r="K145" s="118"/>
      <c r="L145" s="118"/>
      <c r="M145" s="118"/>
      <c r="N145" s="102"/>
      <c r="O145" s="102"/>
      <c r="P145" s="102"/>
      <c r="Q145" s="102"/>
      <c r="R145" s="118"/>
      <c r="S145" s="118"/>
      <c r="T145" s="118"/>
      <c r="U145" s="118"/>
      <c r="V145" s="118"/>
    </row>
    <row r="146" outlineLevel="1">
      <c r="A146" s="319"/>
      <c r="B146" s="320"/>
      <c r="C146" s="321"/>
      <c r="D146" s="321"/>
      <c r="E146" s="322"/>
      <c r="F146" s="322"/>
      <c r="G146" s="114"/>
      <c r="H146" s="228"/>
      <c r="I146" s="228"/>
      <c r="J146" s="228"/>
      <c r="K146" s="118"/>
      <c r="L146" s="118"/>
      <c r="M146" s="118"/>
      <c r="N146" s="102"/>
      <c r="O146" s="102"/>
      <c r="P146" s="102"/>
      <c r="Q146" s="102"/>
      <c r="R146" s="118"/>
      <c r="S146" s="118"/>
      <c r="T146" s="118"/>
      <c r="U146" s="118"/>
      <c r="V146" s="118"/>
    </row>
    <row r="147" outlineLevel="1">
      <c r="A147" s="323" t="s">
        <v>255</v>
      </c>
      <c r="B147" s="109"/>
      <c r="C147" s="321"/>
      <c r="D147" s="321"/>
      <c r="E147" s="322"/>
      <c r="F147" s="322"/>
      <c r="G147" s="114"/>
      <c r="H147" s="228"/>
      <c r="I147" s="228"/>
      <c r="J147" s="228"/>
      <c r="K147" s="118"/>
      <c r="L147" s="118"/>
      <c r="M147" s="118"/>
      <c r="N147" s="102"/>
      <c r="O147" s="102"/>
      <c r="P147" s="102"/>
      <c r="Q147" s="102"/>
      <c r="R147" s="118"/>
      <c r="S147" s="118"/>
      <c r="T147" s="118"/>
      <c r="U147" s="118"/>
      <c r="V147" s="118"/>
    </row>
    <row r="148" outlineLevel="1">
      <c r="A148" s="324" t="s">
        <v>256</v>
      </c>
      <c r="B148" s="109"/>
      <c r="C148" s="325" t="s">
        <v>257</v>
      </c>
      <c r="D148" s="325" t="s">
        <v>49</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258</v>
      </c>
      <c r="B149" s="327" t="s">
        <v>216</v>
      </c>
      <c r="C149" s="328" t="str">
        <f t="array" ref="C149">INDEX('アイテム'!$C$3:$D$114, MATCH($A$1,'アイテム'!$A$3:$A$114,0), MATCH(C148,'アイテム'!$C$2:$AQ$2,0))</f>
        <v>2</v>
      </c>
      <c r="D149" s="328">
        <f t="array" ref="D149">INDEX('アイテム'!$C$3:$D$114, MATCH($A$1,'アイテム'!$A$3:$A$114,0), MATCH(D148,'アイテム'!$C$2:$AQ$2,0))</f>
        <v>7</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219</v>
      </c>
      <c r="C150" s="328" t="str">
        <f t="array" ref="C150">INDEX('アイテム'!$E$3:$F$114, MATCH($A$1,'アイテム'!$A$3:$A$114,0), MATCH(C148,'アイテム'!$C$2:$AQ$2,0))</f>
        <v>2</v>
      </c>
      <c r="D150" s="328">
        <f t="array" ref="D150">INDEX('アイテム'!$E$3:$F$114, MATCH($A$1,'アイテム'!$A$3:$A$114,0), MATCH(D148,'アイテム'!$C$2:$AQ$2,0))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9" t="s">
        <v>259</v>
      </c>
      <c r="B151" s="327" t="s">
        <v>216</v>
      </c>
      <c r="C151" s="328">
        <f t="array" ref="C151">INDEX('アイテム'!$AA$3:$AB$114, MATCH($A$1,'アイテム'!$A$3:$A$114,0), MATCH(C148,'アイテム'!$C$2:$AQ$2,0))</f>
        <v>3</v>
      </c>
      <c r="D151" s="328" t="str">
        <f t="array" ref="D151">INDEX('アイテム'!$AA$3:$AB$114, MATCH($A$1,'アイテム'!$A$3:$A$114,0), MATCH(D148,'アイテム'!$C$2:$AQ$2,0))</f>
        <v>12</v>
      </c>
      <c r="E151" s="322"/>
      <c r="F151" s="322"/>
      <c r="G151" s="114"/>
      <c r="H151" s="228"/>
      <c r="I151" s="228"/>
      <c r="J151" s="228"/>
      <c r="K151" s="118"/>
      <c r="L151" s="118"/>
      <c r="M151" s="118"/>
      <c r="N151" s="102"/>
      <c r="O151" s="102"/>
      <c r="P151" s="102"/>
      <c r="Q151" s="102"/>
      <c r="R151" s="118"/>
      <c r="S151" s="118"/>
      <c r="T151" s="118"/>
      <c r="U151" s="118"/>
      <c r="V151" s="118"/>
    </row>
    <row r="152" outlineLevel="1">
      <c r="A152" s="324" t="s">
        <v>260</v>
      </c>
      <c r="B152" s="109"/>
      <c r="C152" s="325" t="s">
        <v>261</v>
      </c>
      <c r="D152" s="325" t="s">
        <v>49</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262</v>
      </c>
      <c r="B153" s="327" t="s">
        <v>226</v>
      </c>
      <c r="C153" s="328" t="str">
        <f t="array" ref="C153">INDEX('アイテム'!$G$3:$H$114, MATCH($A$1,'アイテム'!$A$3:$A$114,0), MATCH(C148,'アイテム'!$C$2:$AQ$2,0))</f>
        <v>8</v>
      </c>
      <c r="D153" s="328">
        <f t="array" ref="D153">INDEX('アイテム'!$G$3:$H$114, MATCH($A$1,'アイテム'!$A$3:$A$114,0), MATCH(D148,'アイテム'!$C$2:$AQ$2,0))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t="str">
        <f t="array" ref="C154">INDEX('アイテム'!$I$3:$J$114, MATCH($A$1,'アイテム'!$A$3:$A$114,0), MATCH(C148,'アイテム'!$C$2:$AQ$2,0))</f>
        <v>11</v>
      </c>
      <c r="D154" s="328">
        <f t="array" ref="D154">INDEX('アイテム'!$I$3:$J$114, MATCH($A$1,'アイテム'!$A$3:$A$114,0), MATCH(D148,'アイテム'!$C$2:$AQ$2,0))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t="str">
        <f t="array" ref="C155">INDEX('アイテム'!$K$3:$L$114, MATCH($A$1,'アイテム'!$A$3:$A$114,0), MATCH(C148,'アイテム'!$C$2:$AQ$2,0))</f>
        <v>12</v>
      </c>
      <c r="D155" s="328">
        <f t="array" ref="D155">INDEX('アイテム'!$K$3:$L$114, MATCH($A$1,'アイテム'!$A$3:$A$114,0), MATCH(D148,'アイテム'!$C$2:$AQ$2,0))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234</v>
      </c>
      <c r="C156" s="328" t="str">
        <f t="array" ref="C156">INDEX('アイテム'!$M$3:$N$114, MATCH($A$1,'アイテム'!$A$3:$A$114,0), MATCH(C148,'アイテム'!$C$2:$AQ$2,0))</f>
        <v>7</v>
      </c>
      <c r="D156" s="328">
        <f t="array" ref="D156">INDEX('アイテム'!$M$3:$N$114, MATCH($A$1,'アイテム'!$A$3:$A$114,0), MATCH(D148,'アイテム'!$C$2:$AQ$2,0))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219</v>
      </c>
      <c r="C157" s="328" t="str">
        <f t="array" ref="C157">INDEX('アイテム'!$O$3:$P$114, MATCH($A$1,'アイテム'!$A$3:$A$114,0), MATCH(C148,'アイテム'!$C$2:$AQ$2,0))</f>
        <v>5</v>
      </c>
      <c r="D157" s="328">
        <f t="array" ref="D157">INDEX('アイテム'!$O$3:$P$114, MATCH($A$1,'アイテム'!$A$3:$A$114,0), MATCH(D148,'アイテム'!$C$2:$AQ$2,0))</f>
        <v>29</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263</v>
      </c>
      <c r="C158" s="328" t="str">
        <f t="array" ref="C158">INDEX('アイテム'!$Q$3:$R$114, MATCH($A$1,'アイテム'!$A$3:$A$114,0), MATCH(C148,'アイテム'!$C$2:$AQ$2,0))</f>
        <v>6</v>
      </c>
      <c r="D158" s="328">
        <f t="array" ref="D158">INDEX('アイテム'!$Q$3:$R$114, MATCH($A$1,'アイテム'!$A$3:$A$114,0), MATCH(D148,'アイテム'!$C$2:$AQ$2,0))</f>
        <v>23</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264</v>
      </c>
      <c r="B159" s="327" t="s">
        <v>226</v>
      </c>
      <c r="C159" s="328" t="str">
        <f t="array" ref="C159">INDEX('アイテム'!$S$3:$T$114, MATCH($A$1,'アイテム'!$A$3:$A$114,0), MATCH(C148,'アイテム'!$C$2:$AQ$2,0))</f>
        <v>8</v>
      </c>
      <c r="D159" s="328">
        <f t="array" ref="D159">INDEX('アイテム'!$S$3:$T$114, MATCH($A$1,'アイテム'!$A$3:$A$114,0), MATCH(D148,'アイテム'!$C$2:$AQ$2,0))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t="str">
        <f t="array" ref="C160">INDEX('アイテム'!$U$3:$V$114, MATCH($A$1,'アイテム'!$A$3:$A$114,0), MATCH(C148,'アイテム'!$C$2:$AQ$2,0))</f>
        <v>11</v>
      </c>
      <c r="D160" s="328">
        <f t="array" ref="D160">INDEX('アイテム'!$U$3:$V$114, MATCH($A$1,'アイテム'!$A$3:$A$114,0), MATCH(D148,'アイテム'!$C$2:$AQ$2,0))</f>
        <v>24</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t="str">
        <f t="array" ref="C161">INDEX('アイテム'!$W$3:$X$114, MATCH($A$1,'アイテム'!$A$3:$A$114,0), MATCH(C148,'アイテム'!$C$2:$AQ$2,0))</f>
        <v>12</v>
      </c>
      <c r="D161" s="328">
        <f t="array" ref="D161">INDEX('アイテム'!$W$3:$X$114, MATCH($A$1,'アイテム'!$A$3:$A$114,0), MATCH(D148,'アイテム'!$C$2:$AQ$2,0))</f>
        <v>23</v>
      </c>
      <c r="E161" s="322"/>
      <c r="F161" s="322"/>
      <c r="G161" s="114"/>
      <c r="H161" s="228"/>
      <c r="I161" s="228"/>
      <c r="J161" s="228"/>
      <c r="K161" s="118"/>
      <c r="L161" s="118"/>
      <c r="M161" s="118"/>
      <c r="N161" s="102"/>
      <c r="O161" s="102"/>
      <c r="P161" s="102"/>
      <c r="Q161" s="102"/>
      <c r="R161" s="118"/>
      <c r="S161" s="118"/>
      <c r="T161" s="118"/>
      <c r="U161" s="118"/>
      <c r="V161" s="118"/>
    </row>
    <row r="162" outlineLevel="1">
      <c r="A162" s="156"/>
      <c r="B162" s="327" t="s">
        <v>234</v>
      </c>
      <c r="C162" s="328" t="str">
        <f t="array" ref="C162">INDEX('アイテム'!$Y$3:$Z$114, MATCH($A$1,'アイテム'!$A$3:$A$114,0), MATCH(C148,'アイテム'!$C$2:$AQ$2,0))</f>
        <v>7</v>
      </c>
      <c r="D162" s="328">
        <f t="array" ref="D162">INDEX('アイテム'!$Y$3:$Z$114, MATCH($A$1,'アイテム'!$A$3:$A$114,0), MATCH(D148,'アイテム'!$C$2:$AQ$2,0))</f>
        <v>19</v>
      </c>
      <c r="E162" s="322"/>
      <c r="F162" s="322"/>
      <c r="G162" s="114"/>
      <c r="H162" s="228"/>
      <c r="I162" s="228"/>
      <c r="J162" s="228"/>
      <c r="K162" s="118"/>
      <c r="L162" s="118"/>
      <c r="M162" s="118"/>
      <c r="N162" s="102"/>
      <c r="O162" s="102"/>
      <c r="P162" s="102"/>
      <c r="Q162" s="102"/>
      <c r="R162" s="118"/>
      <c r="S162" s="118"/>
      <c r="T162" s="118"/>
      <c r="U162" s="118"/>
      <c r="V162" s="118"/>
    </row>
    <row r="163" outlineLevel="1">
      <c r="A163" s="326" t="s">
        <v>265</v>
      </c>
      <c r="B163" s="327" t="s">
        <v>226</v>
      </c>
      <c r="C163" s="328">
        <f t="array" ref="C163">INDEX('アイテム'!$AC$3:$AD$114, MATCH($A$1,'アイテム'!$A$3:$A$114,0), MATCH(C148,'アイテム'!$C$2:$AQ$2,0))</f>
        <v>14</v>
      </c>
      <c r="D163" s="328" t="str">
        <f t="array" ref="D163">INDEX('アイテム'!$AC$3:$AD$114, MATCH($A$1,'アイテム'!$A$3:$A$114,0), MATCH(D148,'アイテム'!$C$2:$AQ$2,0))</f>
        <v>30</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229</v>
      </c>
      <c r="C164" s="328">
        <f t="array" ref="C164">INDEX('アイテム'!$AE$3:$AF$114, MATCH($A$1,'アイテム'!$A$3:$A$114,0), MATCH(C148,'アイテム'!$C$2:$AQ$2,0))</f>
        <v>15</v>
      </c>
      <c r="D164" s="328" t="str">
        <f t="array" ref="D164">INDEX('アイテム'!$AE$3:$AF$114, MATCH($A$1,'アイテム'!$A$3:$A$114,0), MATCH(D148,'アイテム'!$C$2:$AQ$2,0))</f>
        <v>30</v>
      </c>
      <c r="E164" s="322"/>
      <c r="F164" s="322"/>
      <c r="G164" s="114"/>
      <c r="H164" s="228"/>
      <c r="I164" s="228"/>
      <c r="J164" s="228"/>
      <c r="K164" s="118"/>
      <c r="L164" s="118"/>
      <c r="M164" s="118"/>
      <c r="N164" s="102"/>
      <c r="O164" s="102"/>
      <c r="P164" s="102"/>
      <c r="Q164" s="102"/>
      <c r="R164" s="118"/>
      <c r="S164" s="118"/>
      <c r="T164" s="118"/>
      <c r="U164" s="118"/>
      <c r="V164" s="118"/>
    </row>
    <row r="165" outlineLevel="1">
      <c r="A165" s="146"/>
      <c r="B165" s="327" t="s">
        <v>233</v>
      </c>
      <c r="C165" s="328">
        <f t="array" ref="C165">INDEX('アイテム'!$AG$3:$AH$114, MATCH($A$1,'アイテム'!$A$3:$A$114,0), MATCH(C148,'アイテム'!$C$2:$AQ$2,0))</f>
        <v>11</v>
      </c>
      <c r="D165" s="328" t="str">
        <f t="array" ref="D165">INDEX('アイテム'!$AG$3:$AH$114, MATCH($A$1,'アイテム'!$A$3:$A$114,0), MATCH(D148,'アイテム'!$C$2:$AQ$2,0))</f>
        <v>22</v>
      </c>
      <c r="E165" s="322"/>
      <c r="F165" s="322"/>
      <c r="G165" s="114"/>
      <c r="H165" s="228"/>
      <c r="I165" s="228"/>
      <c r="J165" s="228"/>
      <c r="K165" s="118"/>
      <c r="L165" s="118"/>
      <c r="M165" s="118"/>
      <c r="N165" s="102"/>
      <c r="O165" s="102"/>
      <c r="P165" s="102"/>
      <c r="Q165" s="102"/>
      <c r="R165" s="118"/>
      <c r="S165" s="118"/>
      <c r="T165" s="118"/>
      <c r="U165" s="118"/>
      <c r="V165" s="118"/>
    </row>
    <row r="166" outlineLevel="1">
      <c r="A166" s="156"/>
      <c r="B166" s="327" t="s">
        <v>234</v>
      </c>
      <c r="C166" s="328">
        <f t="array" ref="C166">INDEX('アイテム'!$AI$3:$AJ$114, MATCH($A$1,'アイテム'!$A$3:$A$114,0), MATCH(C148,'アイテム'!$C$2:$AQ$2,0))</f>
        <v>9</v>
      </c>
      <c r="D166" s="328" t="str">
        <f t="array" ref="D166">INDEX('アイテム'!$AI$3:$AJ$114, MATCH($A$1,'アイテム'!$A$3:$A$114,0), MATCH(D148,'アイテム'!$C$2:$AQ$2,0))</f>
        <v>22</v>
      </c>
      <c r="E166" s="322"/>
      <c r="F166" s="322"/>
      <c r="G166" s="114"/>
      <c r="H166" s="228"/>
      <c r="I166" s="228"/>
      <c r="J166" s="228"/>
      <c r="K166" s="118"/>
      <c r="L166" s="118"/>
      <c r="M166" s="118"/>
      <c r="N166" s="102"/>
      <c r="O166" s="102"/>
      <c r="P166" s="102"/>
      <c r="Q166" s="102"/>
      <c r="R166" s="118"/>
      <c r="S166" s="118"/>
      <c r="T166" s="118"/>
      <c r="U166" s="118"/>
      <c r="V166" s="118"/>
    </row>
  </sheetData>
  <mergeCells count="137">
    <mergeCell ref="H6:H7"/>
    <mergeCell ref="H10:H11"/>
    <mergeCell ref="H1:J2"/>
    <mergeCell ref="K1:M2"/>
    <mergeCell ref="H4:H5"/>
    <mergeCell ref="I4:I5"/>
    <mergeCell ref="I6:I7"/>
    <mergeCell ref="H8:J9"/>
    <mergeCell ref="I10:I11"/>
    <mergeCell ref="K16:N16"/>
    <mergeCell ref="H26:J26"/>
    <mergeCell ref="H27:J27"/>
    <mergeCell ref="H28:J28"/>
    <mergeCell ref="H29:J30"/>
    <mergeCell ref="U29:U30"/>
    <mergeCell ref="H31:J31"/>
    <mergeCell ref="H32:J32"/>
    <mergeCell ref="H33:J33"/>
    <mergeCell ref="C1:G12"/>
    <mergeCell ref="A11:B12"/>
    <mergeCell ref="A15:B16"/>
    <mergeCell ref="C16:D16"/>
    <mergeCell ref="E16:F16"/>
    <mergeCell ref="G16:H16"/>
    <mergeCell ref="H25:J25"/>
    <mergeCell ref="F34:F35"/>
    <mergeCell ref="G34:G35"/>
    <mergeCell ref="H34:J35"/>
    <mergeCell ref="U34:U35"/>
    <mergeCell ref="H36:J36"/>
    <mergeCell ref="H37:J37"/>
    <mergeCell ref="R40:V40"/>
    <mergeCell ref="R41:V42"/>
    <mergeCell ref="A24:B25"/>
    <mergeCell ref="A26:A28"/>
    <mergeCell ref="A29:A30"/>
    <mergeCell ref="D29:D30"/>
    <mergeCell ref="A34:A35"/>
    <mergeCell ref="C34:C35"/>
    <mergeCell ref="E34:E35"/>
    <mergeCell ref="I43:I44"/>
    <mergeCell ref="J43:J44"/>
    <mergeCell ref="R43:V44"/>
    <mergeCell ref="R45:V45"/>
    <mergeCell ref="R46:V46"/>
    <mergeCell ref="R47:V48"/>
    <mergeCell ref="A50:B50"/>
    <mergeCell ref="A51:B51"/>
    <mergeCell ref="A52:A61"/>
    <mergeCell ref="A62:B62"/>
    <mergeCell ref="A63:A70"/>
    <mergeCell ref="A71:B71"/>
    <mergeCell ref="A86:B86"/>
    <mergeCell ref="D102:D103"/>
    <mergeCell ref="D104:D105"/>
    <mergeCell ref="A72:A85"/>
    <mergeCell ref="A87:A88"/>
    <mergeCell ref="A93:A95"/>
    <mergeCell ref="A97:A101"/>
    <mergeCell ref="D97:D101"/>
    <mergeCell ref="A102:A103"/>
    <mergeCell ref="A104:A105"/>
    <mergeCell ref="A106:A107"/>
    <mergeCell ref="D106:D107"/>
    <mergeCell ref="A109:B110"/>
    <mergeCell ref="A111:A113"/>
    <mergeCell ref="A114:A115"/>
    <mergeCell ref="A117:B118"/>
    <mergeCell ref="A119:A123"/>
    <mergeCell ref="C144:C145"/>
    <mergeCell ref="D144:D145"/>
    <mergeCell ref="A147:B147"/>
    <mergeCell ref="A148:B148"/>
    <mergeCell ref="A149:A150"/>
    <mergeCell ref="A152:B152"/>
    <mergeCell ref="A153:A158"/>
    <mergeCell ref="A159:A162"/>
    <mergeCell ref="A163:A166"/>
    <mergeCell ref="A127:A132"/>
    <mergeCell ref="C131:C132"/>
    <mergeCell ref="D131:D132"/>
    <mergeCell ref="A133:A138"/>
    <mergeCell ref="C137:C138"/>
    <mergeCell ref="D137:D138"/>
    <mergeCell ref="A139:A145"/>
    <mergeCell ref="K134:K137"/>
    <mergeCell ref="K138:L138"/>
    <mergeCell ref="K141:L141"/>
    <mergeCell ref="K118:L118"/>
    <mergeCell ref="K119:K120"/>
    <mergeCell ref="K121:L121"/>
    <mergeCell ref="K122:K127"/>
    <mergeCell ref="A124:A126"/>
    <mergeCell ref="K128:K131"/>
    <mergeCell ref="K132:L132"/>
    <mergeCell ref="A39:B40"/>
    <mergeCell ref="A41:A42"/>
    <mergeCell ref="D41:D42"/>
    <mergeCell ref="I41:I42"/>
    <mergeCell ref="J41:J42"/>
    <mergeCell ref="A43:A44"/>
    <mergeCell ref="A47:A48"/>
    <mergeCell ref="U52:U61"/>
    <mergeCell ref="U63:U70"/>
    <mergeCell ref="U72:U85"/>
    <mergeCell ref="V72:V85"/>
    <mergeCell ref="U87:U88"/>
    <mergeCell ref="V87:V88"/>
    <mergeCell ref="H63:J70"/>
    <mergeCell ref="H71:J71"/>
    <mergeCell ref="H72:J85"/>
    <mergeCell ref="H86:J86"/>
    <mergeCell ref="H87:J87"/>
    <mergeCell ref="H88:J88"/>
    <mergeCell ref="I47:I48"/>
    <mergeCell ref="J47:J48"/>
    <mergeCell ref="H51:J51"/>
    <mergeCell ref="H52:J61"/>
    <mergeCell ref="V52:V61"/>
    <mergeCell ref="H62:J62"/>
    <mergeCell ref="V63:V70"/>
    <mergeCell ref="C72:C73"/>
    <mergeCell ref="C79:C80"/>
    <mergeCell ref="D43:D44"/>
    <mergeCell ref="D47:D48"/>
    <mergeCell ref="D52:D61"/>
    <mergeCell ref="D63:D65"/>
    <mergeCell ref="D66:D67"/>
    <mergeCell ref="D68:D69"/>
    <mergeCell ref="D72:D84"/>
    <mergeCell ref="A90:B91"/>
    <mergeCell ref="A96:B96"/>
    <mergeCell ref="G96:J96"/>
    <mergeCell ref="G97:J101"/>
    <mergeCell ref="G102:J103"/>
    <mergeCell ref="G104:J105"/>
    <mergeCell ref="G106:J107"/>
  </mergeCells>
  <conditionalFormatting sqref="K1:K15 K17:K62 K64:K86 K88:K101 K103 K105 K107:K142">
    <cfRule type="containsText" dxfId="0" priority="1" operator="containsText" text="361">
      <formula>NOT(ISERROR(SEARCH(("361"),(K1))))</formula>
    </cfRule>
  </conditionalFormatting>
  <conditionalFormatting sqref="K1:K15 K17:K62 K64:K86 K88:K101 K103 K105 K107:K142">
    <cfRule type="containsText" dxfId="1" priority="2" operator="containsText" text="363">
      <formula>NOT(ISERROR(SEARCH(("363"),(K1))))</formula>
    </cfRule>
  </conditionalFormatting>
  <conditionalFormatting sqref="K1:K15 K17:K62 K64:K86 K88:K101 K103 K105 K107:K142">
    <cfRule type="containsText" dxfId="1" priority="3" operator="containsText" text="365">
      <formula>NOT(ISERROR(SEARCH(("365"),(K1))))</formula>
    </cfRule>
  </conditionalFormatting>
  <conditionalFormatting sqref="K1:K15 K17:K62 K64:K86 K88:K101 K103 K105 K107:K142">
    <cfRule type="containsText" dxfId="1" priority="4" operator="containsText" text="366">
      <formula>NOT(ISERROR(SEARCH(("366"),(K1))))</formula>
    </cfRule>
  </conditionalFormatting>
  <conditionalFormatting sqref="K1:K15 K17:K62 K64:K86 K88:K101 K103 K105 K107:K142">
    <cfRule type="containsText" dxfId="1" priority="5" operator="containsText" text="367">
      <formula>NOT(ISERROR(SEARCH(("367"),(K1))))</formula>
    </cfRule>
  </conditionalFormatting>
  <conditionalFormatting sqref="P98:P101 P103 P105 P107">
    <cfRule type="cellIs" dxfId="2" priority="6" operator="equal">
      <formula>"敵のみ"</formula>
    </cfRule>
  </conditionalFormatting>
  <conditionalFormatting sqref="C98:C101 C103 C105 C107">
    <cfRule type="cellIs" dxfId="3" priority="7" operator="equal">
      <formula>"-"</formula>
    </cfRule>
  </conditionalFormatting>
  <conditionalFormatting sqref="O1:O62 O64:O86 O88:O96 O98:O101 O103 O105 O107:O166 P107">
    <cfRule type="cellIs" dxfId="4" priority="8" operator="greaterThan">
      <formula>0</formula>
    </cfRule>
  </conditionalFormatting>
  <conditionalFormatting sqref="P1:Q62 P64:Q86 P88:Q96 P98:Q101 P103:Q103 P105:Q105 P107:Q166">
    <cfRule type="cellIs" dxfId="5" priority="9" operator="lessThan">
      <formula>1</formula>
    </cfRule>
  </conditionalFormatting>
  <conditionalFormatting sqref="P1:Q62 P64:Q86 P88:Q96 P98:Q101 P103:Q103 P105:Q105 P107:Q166">
    <cfRule type="cellIs" dxfId="4" priority="10" operator="greaterThan">
      <formula>1</formula>
    </cfRule>
  </conditionalFormatting>
  <conditionalFormatting sqref="N25:N62 N64:N86 N88:N101 N103 N105 N107">
    <cfRule type="cellIs" dxfId="6" priority="11" operator="greaterThan">
      <formula>0</formula>
    </cfRule>
  </conditionalFormatting>
  <conditionalFormatting sqref="N1:N15 N17:N62 N64:N86 N88:N101 N103 N105 N107:N166">
    <cfRule type="containsText" dxfId="6" priority="12" operator="containsText" text="/">
      <formula>NOT(ISERROR(SEARCH(("/"),(N1))))</formula>
    </cfRule>
  </conditionalFormatting>
  <drawing r:id="rId2"/>
  <legacyDrawing r:id="rId3"/>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A7F2E"/>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3111">
        <v>70.0</v>
      </c>
      <c r="B1" s="3112"/>
      <c r="C1" s="3113" t="str">
        <f>IMAGE(VLOOKUP($A$1,Fighters!A2:AI114,12,FALSE),1)</f>
        <v>#REF!</v>
      </c>
      <c r="D1" s="3114"/>
      <c r="E1" s="3114"/>
      <c r="F1" s="3114"/>
      <c r="G1" s="3115"/>
      <c r="H1" s="3116"/>
      <c r="I1" s="3114"/>
      <c r="J1" s="3115"/>
      <c r="K1" s="3117"/>
      <c r="L1" s="3114"/>
      <c r="M1" s="3115"/>
      <c r="N1" s="3118"/>
      <c r="O1" s="3118"/>
      <c r="P1" s="3118"/>
      <c r="Q1" s="3118"/>
      <c r="R1" s="3119"/>
      <c r="S1" s="3119"/>
      <c r="T1" s="3119"/>
      <c r="U1" s="3119"/>
      <c r="V1" s="3119"/>
    </row>
    <row r="2">
      <c r="A2" s="3120" t="str">
        <f>VLOOKUP($A$1,Fighters!$A$2:$AI$81,6,FALSE)</f>
        <v>#1a7f2e</v>
      </c>
      <c r="B2" s="3112"/>
      <c r="C2" s="3121"/>
      <c r="G2" s="3122"/>
      <c r="H2" s="3123"/>
      <c r="I2" s="3124"/>
      <c r="J2" s="3125"/>
      <c r="K2" s="3123"/>
      <c r="L2" s="3124"/>
      <c r="M2" s="3125"/>
      <c r="N2" s="3118"/>
      <c r="O2" s="3118"/>
      <c r="P2" s="3118"/>
      <c r="Q2" s="3118"/>
      <c r="R2" s="3119"/>
      <c r="S2" s="3119"/>
      <c r="T2" s="3119"/>
      <c r="U2" s="3119"/>
      <c r="V2" s="3119"/>
    </row>
    <row r="3">
      <c r="A3" s="3120" t="str">
        <f>VLOOKUP($A$1,Fighters!$A$2:$AI$81,14,FALSE)</f>
        <v>70. パックンフラワー</v>
      </c>
      <c r="B3" s="3112"/>
      <c r="C3" s="3121"/>
      <c r="G3" s="3122"/>
      <c r="H3" s="3126"/>
      <c r="I3" s="3126"/>
      <c r="J3" s="3126"/>
      <c r="K3" s="3127"/>
      <c r="L3" s="3127"/>
      <c r="M3" s="3127"/>
      <c r="N3" s="3118"/>
      <c r="O3" s="3118"/>
      <c r="P3" s="3118"/>
      <c r="Q3" s="3118"/>
      <c r="R3" s="3128"/>
      <c r="S3" s="3119"/>
      <c r="T3" s="3119"/>
      <c r="U3" s="3119"/>
      <c r="V3" s="3119"/>
    </row>
    <row r="4">
      <c r="A4" s="3120" t="str">
        <f>VLOOKUP($A$1,Fighters!$A$2:$AI$81,13,FALSE)</f>
        <v>0</v>
      </c>
      <c r="B4" s="3112"/>
      <c r="C4" s="3121"/>
      <c r="G4" s="3122"/>
      <c r="H4" s="3129"/>
      <c r="I4" s="3129"/>
      <c r="J4" s="3126"/>
      <c r="K4" s="3127"/>
      <c r="L4" s="3127"/>
      <c r="M4" s="3127"/>
      <c r="N4" s="3118"/>
      <c r="O4" s="3118"/>
      <c r="P4" s="3118"/>
      <c r="Q4" s="3118"/>
      <c r="R4" s="3128"/>
      <c r="S4" s="3119"/>
      <c r="T4" s="3119"/>
      <c r="U4" s="3119"/>
      <c r="V4" s="3119"/>
    </row>
    <row r="5" ht="16.5" customHeight="1">
      <c r="A5" s="3111"/>
      <c r="B5" s="3112"/>
      <c r="C5" s="3121"/>
      <c r="G5" s="3122"/>
      <c r="H5" s="3130"/>
      <c r="I5" s="3130"/>
      <c r="J5" s="3131"/>
      <c r="K5" s="3132"/>
      <c r="L5" s="3133"/>
      <c r="M5" s="3133"/>
      <c r="N5" s="3118"/>
      <c r="O5" s="3118"/>
      <c r="P5" s="3118"/>
      <c r="Q5" s="3118"/>
      <c r="R5" s="3128"/>
      <c r="S5" s="3119"/>
      <c r="T5" s="3119"/>
      <c r="U5" s="3119"/>
      <c r="V5" s="3119"/>
    </row>
    <row r="6">
      <c r="A6" s="3112"/>
      <c r="B6" s="3112"/>
      <c r="C6" s="3121"/>
      <c r="G6" s="3122"/>
      <c r="H6" s="3129"/>
      <c r="I6" s="3134" t="s">
        <v>39</v>
      </c>
      <c r="J6" s="3132"/>
      <c r="K6" s="3135"/>
      <c r="L6" s="3133"/>
      <c r="M6" s="3133"/>
      <c r="N6" s="3118"/>
      <c r="O6" s="3118"/>
      <c r="P6" s="3118"/>
      <c r="Q6" s="3118"/>
      <c r="R6" s="3128"/>
      <c r="S6" s="3119"/>
      <c r="T6" s="3119"/>
      <c r="U6" s="3119"/>
      <c r="V6" s="3119"/>
    </row>
    <row r="7">
      <c r="A7" s="3112"/>
      <c r="B7" s="3112"/>
      <c r="C7" s="3121"/>
      <c r="G7" s="3122"/>
      <c r="H7" s="3130"/>
      <c r="I7" s="3130"/>
      <c r="J7" s="3132"/>
      <c r="K7" s="3135"/>
      <c r="L7" s="3133"/>
      <c r="M7" s="3133"/>
      <c r="N7" s="3118"/>
      <c r="O7" s="3118"/>
      <c r="P7" s="3118"/>
      <c r="Q7" s="3118"/>
      <c r="R7" s="3128"/>
      <c r="S7" s="3119"/>
      <c r="T7" s="3119"/>
      <c r="U7" s="3119"/>
      <c r="V7" s="3119"/>
    </row>
    <row r="8">
      <c r="A8" s="3112"/>
      <c r="B8" s="3112"/>
      <c r="C8" s="3121"/>
      <c r="G8" s="3122"/>
      <c r="H8" s="3136">
        <v>44533.43503329861</v>
      </c>
      <c r="I8" s="3114"/>
      <c r="J8" s="3115"/>
      <c r="K8" s="3132"/>
      <c r="L8" s="3133"/>
      <c r="M8" s="3133"/>
      <c r="N8" s="3118"/>
      <c r="O8" s="3118"/>
      <c r="P8" s="3118"/>
      <c r="Q8" s="3118"/>
      <c r="R8" s="3128"/>
      <c r="S8" s="3119"/>
      <c r="T8" s="3119"/>
      <c r="U8" s="3119"/>
      <c r="V8" s="3119"/>
    </row>
    <row r="9">
      <c r="A9" s="3112"/>
      <c r="B9" s="3112"/>
      <c r="C9" s="3121"/>
      <c r="G9" s="3122"/>
      <c r="H9" s="3123"/>
      <c r="I9" s="3124"/>
      <c r="J9" s="3125"/>
      <c r="K9" s="3119"/>
      <c r="L9" s="3118"/>
      <c r="M9" s="3118"/>
      <c r="N9" s="3118"/>
      <c r="O9" s="3118"/>
      <c r="P9" s="3118"/>
      <c r="Q9" s="3118"/>
      <c r="R9" s="3128"/>
      <c r="S9" s="3119"/>
      <c r="T9" s="3119"/>
      <c r="U9" s="3119"/>
      <c r="V9" s="3119"/>
    </row>
    <row r="10">
      <c r="A10" s="3112"/>
      <c r="B10" s="3112"/>
      <c r="C10" s="3121"/>
      <c r="G10" s="3122"/>
      <c r="H10" s="3137"/>
      <c r="I10" s="3137"/>
      <c r="J10" s="3119"/>
      <c r="K10" s="3119"/>
      <c r="L10" s="3118"/>
      <c r="M10" s="3118"/>
      <c r="N10" s="3118"/>
      <c r="O10" s="3118"/>
      <c r="P10" s="3118"/>
      <c r="Q10" s="3118"/>
      <c r="R10" s="3128"/>
      <c r="S10" s="3119"/>
      <c r="T10" s="3119"/>
      <c r="U10" s="3119"/>
      <c r="V10" s="3119"/>
    </row>
    <row r="11">
      <c r="A11" s="3138" t="s">
        <v>40</v>
      </c>
      <c r="B11" s="3115"/>
      <c r="C11" s="3121"/>
      <c r="G11" s="3122"/>
      <c r="H11" s="3130"/>
      <c r="I11" s="3130"/>
      <c r="J11" s="3119"/>
      <c r="K11" s="3119"/>
      <c r="L11" s="3118"/>
      <c r="M11" s="3118"/>
      <c r="N11" s="3118"/>
      <c r="O11" s="3118"/>
      <c r="P11" s="3118"/>
      <c r="Q11" s="3118"/>
      <c r="R11" s="3128"/>
      <c r="S11" s="3119"/>
      <c r="T11" s="3119"/>
      <c r="U11" s="3119"/>
      <c r="V11" s="3119"/>
    </row>
    <row r="12">
      <c r="A12" s="3123"/>
      <c r="B12" s="3125"/>
      <c r="C12" s="3123"/>
      <c r="D12" s="3124"/>
      <c r="E12" s="3124"/>
      <c r="F12" s="3124"/>
      <c r="G12" s="3125"/>
      <c r="H12" s="3139"/>
      <c r="I12" s="3139"/>
      <c r="J12" s="3112"/>
      <c r="K12" s="3112"/>
      <c r="L12" s="3118"/>
      <c r="M12" s="3118"/>
      <c r="N12" s="3118"/>
      <c r="O12" s="3118"/>
      <c r="P12" s="3118"/>
      <c r="Q12" s="3118"/>
      <c r="R12" s="3128"/>
      <c r="S12" s="3119"/>
      <c r="T12" s="3119"/>
      <c r="U12" s="3119"/>
      <c r="V12" s="311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112 [9th]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31F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1.82 [61st]</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0</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0.76 [83rd]</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45F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 [52nd]</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37.4 [11th]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0</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1.72 [44th]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23F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0.088 [73rd]</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17.5 [18th]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 [58th]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34F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38.52 [15th]</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24F [87th]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1.95 [2nd]</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2.73 [27th]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0.14 [5th]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
        <v>48</v>
      </c>
      <c r="D25" s="128" t="s">
        <v>49</v>
      </c>
      <c r="E25" s="128" t="s">
        <v>50</v>
      </c>
      <c r="F25" s="129" t="s">
        <v>51</v>
      </c>
      <c r="G25" s="128" t="s">
        <v>52</v>
      </c>
      <c r="H25" s="130" t="s">
        <v>53</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27" t="s">
        <v>54</v>
      </c>
      <c r="V25" s="100"/>
    </row>
    <row r="26" outlineLevel="1">
      <c r="A26" s="133" t="str">
        <f>'テンプレート'!A26</f>
        <v>弱攻撃</v>
      </c>
      <c r="B26" s="134" t="s">
        <v>55</v>
      </c>
      <c r="C26" s="701" t="s">
        <v>64</v>
      </c>
      <c r="D26" s="701" t="s">
        <v>57</v>
      </c>
      <c r="E26" s="139" t="s">
        <v>1823</v>
      </c>
      <c r="F26" s="138">
        <v>2.88</v>
      </c>
      <c r="G26" s="139" t="s">
        <v>60</v>
      </c>
      <c r="H26" s="151" t="s">
        <v>5207</v>
      </c>
      <c r="I26" s="110"/>
      <c r="J26" s="109"/>
      <c r="K26" s="138"/>
      <c r="L26" s="282"/>
      <c r="M26" s="363"/>
      <c r="N26" s="363"/>
      <c r="O26" s="145">
        <v>0.0</v>
      </c>
      <c r="P26" s="145">
        <v>1.0</v>
      </c>
      <c r="Q26" s="145">
        <v>1.0</v>
      </c>
      <c r="R26" s="100"/>
      <c r="S26" s="100"/>
      <c r="T26" s="100"/>
      <c r="U26" s="145" t="s">
        <v>62</v>
      </c>
      <c r="V26" s="100"/>
    </row>
    <row r="27" outlineLevel="1">
      <c r="A27" s="146"/>
      <c r="B27" s="147" t="s">
        <v>63</v>
      </c>
      <c r="C27" s="467" t="s">
        <v>64</v>
      </c>
      <c r="D27" s="467" t="s">
        <v>718</v>
      </c>
      <c r="E27" s="216" t="s">
        <v>58</v>
      </c>
      <c r="F27" s="138">
        <v>2.64</v>
      </c>
      <c r="G27" s="139" t="s">
        <v>60</v>
      </c>
      <c r="H27" s="151" t="s">
        <v>5208</v>
      </c>
      <c r="I27" s="110"/>
      <c r="J27" s="109"/>
      <c r="K27" s="282"/>
      <c r="L27" s="282"/>
      <c r="M27" s="363"/>
      <c r="N27" s="363"/>
      <c r="O27" s="145">
        <v>0.0</v>
      </c>
      <c r="P27" s="145">
        <v>1.0</v>
      </c>
      <c r="Q27" s="145">
        <v>1.0</v>
      </c>
      <c r="R27" s="100"/>
      <c r="S27" s="100"/>
      <c r="T27" s="100"/>
      <c r="U27" s="145" t="s">
        <v>69</v>
      </c>
      <c r="V27" s="100"/>
    </row>
    <row r="28" outlineLevel="1">
      <c r="A28" s="146"/>
      <c r="B28" s="147" t="s">
        <v>70</v>
      </c>
      <c r="C28" s="467" t="s">
        <v>319</v>
      </c>
      <c r="D28" s="467" t="s">
        <v>92</v>
      </c>
      <c r="E28" s="216" t="s">
        <v>5209</v>
      </c>
      <c r="F28" s="138">
        <v>5.28</v>
      </c>
      <c r="G28" s="139" t="s">
        <v>75</v>
      </c>
      <c r="H28" s="151"/>
      <c r="I28" s="110"/>
      <c r="J28" s="109"/>
      <c r="K28" s="282"/>
      <c r="L28" s="282"/>
      <c r="M28" s="363"/>
      <c r="N28" s="363"/>
      <c r="O28" s="145">
        <v>0.0</v>
      </c>
      <c r="P28" s="145">
        <v>1.0</v>
      </c>
      <c r="Q28" s="145">
        <v>1.0</v>
      </c>
      <c r="R28" s="100"/>
      <c r="S28" s="100"/>
      <c r="T28" s="100"/>
      <c r="U28" s="145" t="s">
        <v>76</v>
      </c>
      <c r="V28" s="100"/>
    </row>
    <row r="29" outlineLevel="1">
      <c r="A29" s="146"/>
      <c r="B29" s="147" t="s">
        <v>703</v>
      </c>
      <c r="C29" s="659"/>
      <c r="D29" s="467" t="s">
        <v>204</v>
      </c>
      <c r="E29" s="659"/>
      <c r="F29" s="658"/>
      <c r="G29" s="659"/>
      <c r="H29" s="151"/>
      <c r="I29" s="110"/>
      <c r="J29" s="109"/>
      <c r="K29" s="261"/>
      <c r="L29" s="261"/>
      <c r="M29" s="261"/>
      <c r="N29" s="261"/>
      <c r="O29" s="261"/>
      <c r="P29" s="261"/>
      <c r="Q29" s="261"/>
      <c r="R29" s="100"/>
      <c r="S29" s="100"/>
      <c r="T29" s="100"/>
      <c r="U29" s="145" t="s">
        <v>76</v>
      </c>
      <c r="V29" s="100"/>
    </row>
    <row r="30" outlineLevel="1">
      <c r="A30" s="146"/>
      <c r="B30" s="147" t="s">
        <v>704</v>
      </c>
      <c r="C30" s="467" t="s">
        <v>4574</v>
      </c>
      <c r="D30" s="467" t="s">
        <v>394</v>
      </c>
      <c r="E30" s="467" t="s">
        <v>201</v>
      </c>
      <c r="F30" s="138">
        <v>0.72</v>
      </c>
      <c r="G30" s="450" t="s">
        <v>102</v>
      </c>
      <c r="H30" s="151" t="s">
        <v>5210</v>
      </c>
      <c r="I30" s="110"/>
      <c r="J30" s="109"/>
      <c r="K30" s="282"/>
      <c r="L30" s="282"/>
      <c r="M30" s="363"/>
      <c r="N30" s="363"/>
      <c r="O30" s="145">
        <v>0.0</v>
      </c>
      <c r="P30" s="145">
        <v>1.0</v>
      </c>
      <c r="Q30" s="145">
        <v>1.0</v>
      </c>
      <c r="R30" s="100"/>
      <c r="S30" s="100"/>
      <c r="T30" s="100"/>
      <c r="U30" s="145" t="s">
        <v>76</v>
      </c>
      <c r="V30" s="100"/>
    </row>
    <row r="31" outlineLevel="1">
      <c r="A31" s="156"/>
      <c r="B31" s="147" t="s">
        <v>708</v>
      </c>
      <c r="C31" s="467" t="s">
        <v>217</v>
      </c>
      <c r="D31" s="467" t="s">
        <v>118</v>
      </c>
      <c r="E31" s="467" t="s">
        <v>5211</v>
      </c>
      <c r="F31" s="138">
        <v>4.08</v>
      </c>
      <c r="G31" s="467" t="s">
        <v>147</v>
      </c>
      <c r="H31" s="151"/>
      <c r="I31" s="110"/>
      <c r="J31" s="109"/>
      <c r="K31" s="282"/>
      <c r="L31" s="282"/>
      <c r="M31" s="363"/>
      <c r="N31" s="363"/>
      <c r="O31" s="145">
        <v>0.0</v>
      </c>
      <c r="P31" s="145">
        <v>1.0</v>
      </c>
      <c r="Q31" s="145">
        <v>1.0</v>
      </c>
      <c r="R31" s="100"/>
      <c r="S31" s="100"/>
      <c r="T31" s="100"/>
      <c r="U31" s="145" t="s">
        <v>76</v>
      </c>
      <c r="V31" s="100"/>
    </row>
    <row r="32" outlineLevel="1">
      <c r="A32" s="133" t="s">
        <v>77</v>
      </c>
      <c r="B32" s="160"/>
      <c r="C32" s="467" t="s">
        <v>277</v>
      </c>
      <c r="D32" s="455" t="s">
        <v>111</v>
      </c>
      <c r="E32" s="467" t="s">
        <v>128</v>
      </c>
      <c r="F32" s="138">
        <v>12.0</v>
      </c>
      <c r="G32" s="162" t="s">
        <v>407</v>
      </c>
      <c r="H32" s="163" t="s">
        <v>2003</v>
      </c>
      <c r="I32" s="164"/>
      <c r="J32" s="104"/>
      <c r="K32" s="138"/>
      <c r="L32" s="282"/>
      <c r="M32" s="363"/>
      <c r="N32" s="363"/>
      <c r="O32" s="145">
        <v>0.0</v>
      </c>
      <c r="P32" s="145">
        <v>1.0</v>
      </c>
      <c r="Q32" s="145">
        <v>1.0</v>
      </c>
      <c r="R32" s="100"/>
      <c r="S32" s="100"/>
      <c r="T32" s="100"/>
      <c r="U32" s="166" t="s">
        <v>69</v>
      </c>
      <c r="V32" s="100"/>
    </row>
    <row r="33" outlineLevel="1">
      <c r="A33" s="156"/>
      <c r="B33" s="147" t="s">
        <v>84</v>
      </c>
      <c r="C33" s="467" t="s">
        <v>1290</v>
      </c>
      <c r="D33" s="107"/>
      <c r="E33" s="467" t="s">
        <v>93</v>
      </c>
      <c r="F33" s="138">
        <v>8.4</v>
      </c>
      <c r="G33" s="162" t="s">
        <v>275</v>
      </c>
      <c r="H33" s="106"/>
      <c r="I33" s="168"/>
      <c r="J33" s="107"/>
      <c r="K33" s="282"/>
      <c r="L33" s="282"/>
      <c r="M33" s="363"/>
      <c r="N33" s="363"/>
      <c r="O33" s="145">
        <v>0.0</v>
      </c>
      <c r="P33" s="145">
        <v>1.0</v>
      </c>
      <c r="Q33" s="145">
        <v>1.0</v>
      </c>
      <c r="R33" s="100"/>
      <c r="S33" s="100"/>
      <c r="T33" s="100"/>
      <c r="U33" s="156"/>
      <c r="V33" s="100"/>
    </row>
    <row r="34" outlineLevel="1">
      <c r="A34" s="133" t="s">
        <v>89</v>
      </c>
      <c r="B34" s="147" t="s">
        <v>2224</v>
      </c>
      <c r="C34" s="467" t="s">
        <v>319</v>
      </c>
      <c r="D34" s="467" t="s">
        <v>105</v>
      </c>
      <c r="E34" s="467" t="s">
        <v>100</v>
      </c>
      <c r="F34" s="138">
        <v>6.6</v>
      </c>
      <c r="G34" s="139" t="s">
        <v>102</v>
      </c>
      <c r="H34" s="163" t="s">
        <v>5212</v>
      </c>
      <c r="I34" s="164"/>
      <c r="J34" s="104"/>
      <c r="K34" s="138"/>
      <c r="L34" s="282"/>
      <c r="M34" s="363"/>
      <c r="N34" s="363"/>
      <c r="O34" s="145">
        <v>0.0</v>
      </c>
      <c r="P34" s="145">
        <v>1.0</v>
      </c>
      <c r="Q34" s="145">
        <v>1.0</v>
      </c>
      <c r="R34" s="100"/>
      <c r="S34" s="100"/>
      <c r="T34" s="100"/>
      <c r="U34" s="166" t="s">
        <v>96</v>
      </c>
      <c r="V34" s="100"/>
    </row>
    <row r="35" outlineLevel="1">
      <c r="A35" s="156"/>
      <c r="B35" s="147" t="s">
        <v>2226</v>
      </c>
      <c r="C35" s="467" t="s">
        <v>267</v>
      </c>
      <c r="D35" s="467" t="s">
        <v>271</v>
      </c>
      <c r="E35" s="467" t="s">
        <v>86</v>
      </c>
      <c r="F35" s="138">
        <v>7.199999999999999</v>
      </c>
      <c r="G35" s="139" t="s">
        <v>102</v>
      </c>
      <c r="H35" s="151"/>
      <c r="I35" s="110"/>
      <c r="J35" s="109"/>
      <c r="K35" s="138"/>
      <c r="L35" s="282"/>
      <c r="M35" s="363"/>
      <c r="N35" s="363"/>
      <c r="O35" s="145">
        <v>0.0</v>
      </c>
      <c r="P35" s="145">
        <v>1.0</v>
      </c>
      <c r="Q35" s="145">
        <v>1.0</v>
      </c>
      <c r="R35" s="100"/>
      <c r="S35" s="100"/>
      <c r="T35" s="100"/>
      <c r="U35" s="156"/>
      <c r="V35" s="100"/>
    </row>
    <row r="36" outlineLevel="1">
      <c r="A36" s="170" t="s">
        <v>97</v>
      </c>
      <c r="B36" s="160"/>
      <c r="C36" s="450" t="s">
        <v>3054</v>
      </c>
      <c r="D36" s="450" t="s">
        <v>876</v>
      </c>
      <c r="E36" s="467" t="s">
        <v>5213</v>
      </c>
      <c r="F36" s="138" t="s">
        <v>1032</v>
      </c>
      <c r="G36" s="139" t="s">
        <v>5214</v>
      </c>
      <c r="H36" s="903" t="s">
        <v>5215</v>
      </c>
      <c r="I36" s="110"/>
      <c r="J36" s="109"/>
      <c r="K36" s="282"/>
      <c r="L36" s="282"/>
      <c r="M36" s="363"/>
      <c r="N36" s="363"/>
      <c r="O36" s="145">
        <v>0.0</v>
      </c>
      <c r="P36" s="145">
        <v>1.0</v>
      </c>
      <c r="Q36" s="145">
        <v>1.0</v>
      </c>
      <c r="R36" s="100"/>
      <c r="S36" s="100"/>
      <c r="T36" s="100"/>
      <c r="U36" s="145" t="s">
        <v>62</v>
      </c>
      <c r="V36" s="100"/>
    </row>
    <row r="37" outlineLevel="1">
      <c r="A37" s="170" t="s">
        <v>103</v>
      </c>
      <c r="B37" s="160"/>
      <c r="C37" s="450" t="s">
        <v>835</v>
      </c>
      <c r="D37" s="450" t="s">
        <v>876</v>
      </c>
      <c r="E37" s="467" t="s">
        <v>3050</v>
      </c>
      <c r="F37" s="138" t="s">
        <v>3051</v>
      </c>
      <c r="G37" s="139" t="s">
        <v>3052</v>
      </c>
      <c r="H37" s="151"/>
      <c r="I37" s="110"/>
      <c r="J37" s="109"/>
      <c r="K37" s="145"/>
      <c r="L37" s="363"/>
      <c r="M37" s="363"/>
      <c r="N37" s="363"/>
      <c r="O37" s="145">
        <v>0.0</v>
      </c>
      <c r="P37" s="145">
        <v>1.0</v>
      </c>
      <c r="Q37" s="145">
        <v>1.0</v>
      </c>
      <c r="R37" s="100"/>
      <c r="S37" s="100"/>
      <c r="T37" s="100"/>
      <c r="U37" s="145" t="s">
        <v>62</v>
      </c>
      <c r="V37" s="100"/>
    </row>
    <row r="38" outlineLevel="1">
      <c r="A38" s="170" t="s">
        <v>109</v>
      </c>
      <c r="B38" s="147"/>
      <c r="C38" s="467" t="s">
        <v>454</v>
      </c>
      <c r="D38" s="467" t="s">
        <v>455</v>
      </c>
      <c r="E38" s="467" t="s">
        <v>5216</v>
      </c>
      <c r="F38" s="138" t="s">
        <v>5217</v>
      </c>
      <c r="G38" s="139" t="s">
        <v>5218</v>
      </c>
      <c r="H38" s="151" t="s">
        <v>5219</v>
      </c>
      <c r="I38" s="110"/>
      <c r="J38" s="109"/>
      <c r="K38" s="282"/>
      <c r="L38" s="282"/>
      <c r="M38" s="363"/>
      <c r="N38" s="363"/>
      <c r="O38" s="145">
        <v>0.0</v>
      </c>
      <c r="P38" s="145">
        <v>1.0</v>
      </c>
      <c r="Q38" s="145">
        <v>1.0</v>
      </c>
      <c r="R38" s="100"/>
      <c r="S38" s="100"/>
      <c r="T38" s="100"/>
      <c r="U38" s="145" t="s">
        <v>95</v>
      </c>
      <c r="V38" s="100"/>
    </row>
    <row r="39" outlineLevel="1">
      <c r="A39" s="133" t="s">
        <v>116</v>
      </c>
      <c r="B39" s="147" t="s">
        <v>125</v>
      </c>
      <c r="C39" s="467" t="s">
        <v>1128</v>
      </c>
      <c r="D39" s="455" t="s">
        <v>455</v>
      </c>
      <c r="E39" s="467" t="s">
        <v>204</v>
      </c>
      <c r="F39" s="138">
        <v>3.5999999999999996</v>
      </c>
      <c r="G39" s="139" t="s">
        <v>60</v>
      </c>
      <c r="H39" s="163" t="s">
        <v>5220</v>
      </c>
      <c r="I39" s="164"/>
      <c r="J39" s="104"/>
      <c r="K39" s="363"/>
      <c r="L39" s="363"/>
      <c r="M39" s="363"/>
      <c r="N39" s="363"/>
      <c r="O39" s="145">
        <v>0.0</v>
      </c>
      <c r="P39" s="145">
        <v>1.0</v>
      </c>
      <c r="Q39" s="145">
        <v>1.0</v>
      </c>
      <c r="R39" s="100"/>
      <c r="S39" s="100"/>
      <c r="T39" s="100"/>
      <c r="U39" s="166" t="s">
        <v>123</v>
      </c>
      <c r="V39" s="100"/>
    </row>
    <row r="40" outlineLevel="1">
      <c r="A40" s="156"/>
      <c r="B40" s="147" t="s">
        <v>131</v>
      </c>
      <c r="C40" s="216" t="s">
        <v>1137</v>
      </c>
      <c r="D40" s="107"/>
      <c r="E40" s="467" t="s">
        <v>129</v>
      </c>
      <c r="F40" s="138">
        <v>14.399999999999999</v>
      </c>
      <c r="G40" s="139" t="s">
        <v>123</v>
      </c>
      <c r="H40" s="106"/>
      <c r="I40" s="168"/>
      <c r="J40" s="107"/>
      <c r="K40" s="363"/>
      <c r="L40" s="363"/>
      <c r="M40" s="363"/>
      <c r="N40" s="363"/>
      <c r="O40" s="145">
        <v>0.0</v>
      </c>
      <c r="P40" s="145">
        <v>1.0</v>
      </c>
      <c r="Q40" s="145">
        <v>1.0</v>
      </c>
      <c r="R40" s="100"/>
      <c r="S40" s="100"/>
      <c r="T40" s="100"/>
      <c r="U40" s="156"/>
      <c r="V40" s="100"/>
    </row>
    <row r="41" outlineLevel="1">
      <c r="A41" s="133" t="s">
        <v>124</v>
      </c>
      <c r="B41" s="147" t="s">
        <v>125</v>
      </c>
      <c r="C41" s="450" t="s">
        <v>223</v>
      </c>
      <c r="D41" s="379" t="s">
        <v>127</v>
      </c>
      <c r="E41" s="467" t="s">
        <v>129</v>
      </c>
      <c r="F41" s="138">
        <v>14.399999999999999</v>
      </c>
      <c r="G41" s="139" t="s">
        <v>123</v>
      </c>
      <c r="H41" s="163" t="s">
        <v>1214</v>
      </c>
      <c r="I41" s="164"/>
      <c r="J41" s="104"/>
      <c r="K41" s="282"/>
      <c r="L41" s="282"/>
      <c r="M41" s="363"/>
      <c r="N41" s="363"/>
      <c r="O41" s="145">
        <v>0.0</v>
      </c>
      <c r="P41" s="145">
        <v>1.0</v>
      </c>
      <c r="Q41" s="145">
        <v>1.0</v>
      </c>
      <c r="R41" s="100"/>
      <c r="S41" s="100"/>
      <c r="T41" s="100"/>
      <c r="U41" s="166" t="s">
        <v>62</v>
      </c>
      <c r="V41" s="100"/>
    </row>
    <row r="42" outlineLevel="1">
      <c r="A42" s="156"/>
      <c r="B42" s="147" t="s">
        <v>131</v>
      </c>
      <c r="C42" s="450" t="s">
        <v>295</v>
      </c>
      <c r="D42" s="107"/>
      <c r="E42" s="467" t="s">
        <v>119</v>
      </c>
      <c r="F42" s="138">
        <v>16.8</v>
      </c>
      <c r="G42" s="139" t="s">
        <v>121</v>
      </c>
      <c r="H42" s="106"/>
      <c r="I42" s="168"/>
      <c r="J42" s="107"/>
      <c r="K42" s="282"/>
      <c r="L42" s="282"/>
      <c r="M42" s="363"/>
      <c r="N42" s="363"/>
      <c r="O42" s="145">
        <v>0.0</v>
      </c>
      <c r="P42" s="145">
        <v>1.0</v>
      </c>
      <c r="Q42" s="145">
        <v>1.0</v>
      </c>
      <c r="R42" s="100"/>
      <c r="S42" s="100"/>
      <c r="T42" s="100"/>
      <c r="U42" s="156"/>
      <c r="V42" s="100"/>
    </row>
    <row r="43" outlineLevel="1">
      <c r="A43" s="771" t="s">
        <v>16</v>
      </c>
      <c r="B43" s="109"/>
      <c r="C43" s="127" t="s">
        <v>48</v>
      </c>
      <c r="D43" s="128" t="s">
        <v>49</v>
      </c>
      <c r="E43" s="128" t="s">
        <v>50</v>
      </c>
      <c r="F43" s="129" t="s">
        <v>51</v>
      </c>
      <c r="G43" s="128" t="s">
        <v>52</v>
      </c>
      <c r="H43" s="361" t="s">
        <v>53</v>
      </c>
      <c r="I43" s="110"/>
      <c r="J43" s="109"/>
      <c r="K43" s="131" t="s">
        <v>137</v>
      </c>
      <c r="L43" s="131" t="s">
        <v>138</v>
      </c>
      <c r="M43" s="131" t="s">
        <v>139</v>
      </c>
      <c r="N43" s="131" t="s">
        <v>140</v>
      </c>
      <c r="O43" s="132" t="s">
        <v>141</v>
      </c>
      <c r="P43" s="131" t="s">
        <v>142</v>
      </c>
      <c r="Q43" s="132" t="s">
        <v>143</v>
      </c>
      <c r="R43" s="100"/>
      <c r="S43" s="100"/>
      <c r="T43" s="100"/>
      <c r="U43" s="127" t="s">
        <v>54</v>
      </c>
      <c r="V43" s="100"/>
    </row>
    <row r="44">
      <c r="A44" s="170" t="s">
        <v>5221</v>
      </c>
      <c r="B44" s="160"/>
      <c r="C44" s="467" t="s">
        <v>5222</v>
      </c>
      <c r="D44" s="467" t="s">
        <v>5223</v>
      </c>
      <c r="E44" s="467" t="s">
        <v>73</v>
      </c>
      <c r="F44" s="138">
        <v>4.8</v>
      </c>
      <c r="G44" s="139" t="s">
        <v>75</v>
      </c>
      <c r="H44" s="151" t="s">
        <v>5224</v>
      </c>
      <c r="I44" s="110"/>
      <c r="J44" s="109"/>
      <c r="K44" s="118"/>
      <c r="L44" s="118"/>
      <c r="M44" s="118"/>
      <c r="N44" s="118"/>
      <c r="O44" s="118"/>
      <c r="P44" s="118"/>
      <c r="Q44" s="118"/>
      <c r="R44" s="118"/>
      <c r="S44" s="118"/>
      <c r="T44" s="118"/>
      <c r="U44" s="138" t="s">
        <v>62</v>
      </c>
      <c r="V44" s="118"/>
    </row>
    <row r="45">
      <c r="A45" s="118"/>
      <c r="B45" s="176"/>
      <c r="C45" s="118"/>
      <c r="D45" s="118"/>
      <c r="E45" s="118"/>
      <c r="F45" s="177"/>
      <c r="G45" s="177"/>
      <c r="H45" s="118"/>
      <c r="I45" s="118"/>
      <c r="J45" s="118"/>
      <c r="K45" s="118"/>
      <c r="L45" s="118"/>
      <c r="M45" s="118"/>
      <c r="N45" s="118"/>
      <c r="O45" s="118"/>
      <c r="P45" s="118"/>
      <c r="Q45" s="118"/>
      <c r="R45" s="118"/>
      <c r="S45" s="118"/>
      <c r="T45" s="118"/>
      <c r="U45" s="118"/>
      <c r="V45" s="118"/>
    </row>
    <row r="46">
      <c r="A46" s="178" t="s">
        <v>133</v>
      </c>
      <c r="B46" s="104"/>
      <c r="C46" s="179"/>
      <c r="D46" s="179"/>
      <c r="E46" s="179"/>
      <c r="F46" s="180"/>
      <c r="G46" s="179"/>
      <c r="H46" s="180"/>
      <c r="I46" s="180"/>
      <c r="J46" s="181"/>
      <c r="K46" s="180"/>
      <c r="L46" s="180"/>
      <c r="M46" s="180"/>
      <c r="N46" s="180"/>
      <c r="O46" s="180"/>
      <c r="P46" s="180"/>
      <c r="Q46" s="180"/>
      <c r="R46" s="180"/>
      <c r="S46" s="180"/>
      <c r="T46" s="180"/>
      <c r="U46" s="180"/>
      <c r="V46" s="180"/>
    </row>
    <row r="47" outlineLevel="1">
      <c r="A47" s="106"/>
      <c r="B47" s="107"/>
      <c r="C47" s="182" t="s">
        <v>48</v>
      </c>
      <c r="D47" s="183" t="s">
        <v>49</v>
      </c>
      <c r="E47" s="182" t="s">
        <v>50</v>
      </c>
      <c r="F47" s="184" t="s">
        <v>51</v>
      </c>
      <c r="G47" s="184" t="s">
        <v>134</v>
      </c>
      <c r="H47" s="185" t="s">
        <v>52</v>
      </c>
      <c r="I47" s="184" t="s">
        <v>135</v>
      </c>
      <c r="J47" s="184" t="s">
        <v>136</v>
      </c>
      <c r="K47" s="184" t="s">
        <v>137</v>
      </c>
      <c r="L47" s="184" t="s">
        <v>138</v>
      </c>
      <c r="M47" s="184" t="s">
        <v>139</v>
      </c>
      <c r="N47" s="184" t="s">
        <v>140</v>
      </c>
      <c r="O47" s="186" t="s">
        <v>141</v>
      </c>
      <c r="P47" s="184" t="s">
        <v>142</v>
      </c>
      <c r="Q47" s="186" t="s">
        <v>143</v>
      </c>
      <c r="R47" s="187" t="s">
        <v>53</v>
      </c>
      <c r="S47" s="110"/>
      <c r="T47" s="110"/>
      <c r="U47" s="110"/>
      <c r="V47" s="110"/>
    </row>
    <row r="48" outlineLevel="1">
      <c r="A48" s="188" t="s">
        <v>144</v>
      </c>
      <c r="B48" s="373" t="s">
        <v>199</v>
      </c>
      <c r="C48" s="239" t="s">
        <v>5225</v>
      </c>
      <c r="D48" s="455" t="s">
        <v>111</v>
      </c>
      <c r="E48" s="401" t="s">
        <v>176</v>
      </c>
      <c r="F48" s="193">
        <v>2.4</v>
      </c>
      <c r="G48" s="193">
        <v>2.04</v>
      </c>
      <c r="H48" s="138" t="s">
        <v>170</v>
      </c>
      <c r="I48" s="452" t="str">
        <f t="array" ref="I48">INDEX('空中攻撃'!$O$3:$AB$109, MATCH($A$1,'空中攻撃'!$A$3:$A$109,0), MATCH(A48,'空中攻撃'!$O$2:$S$2,0))</f>
        <v>15</v>
      </c>
      <c r="J48" s="455" t="s">
        <v>2883</v>
      </c>
      <c r="K48" s="138"/>
      <c r="L48" s="282"/>
      <c r="M48" s="363"/>
      <c r="N48" s="363"/>
      <c r="O48" s="145">
        <v>0.0</v>
      </c>
      <c r="P48" s="145">
        <v>1.0</v>
      </c>
      <c r="Q48" s="145">
        <v>1.0</v>
      </c>
      <c r="R48" s="619"/>
      <c r="S48" s="164"/>
      <c r="T48" s="164"/>
      <c r="U48" s="164"/>
      <c r="V48" s="104"/>
    </row>
    <row r="49" outlineLevel="1">
      <c r="A49" s="156"/>
      <c r="B49" s="373" t="s">
        <v>202</v>
      </c>
      <c r="C49" s="239" t="s">
        <v>653</v>
      </c>
      <c r="D49" s="107"/>
      <c r="E49" s="239" t="s">
        <v>204</v>
      </c>
      <c r="F49" s="138">
        <v>3.5999999999999996</v>
      </c>
      <c r="G49" s="138">
        <v>3.06</v>
      </c>
      <c r="H49" s="138" t="s">
        <v>170</v>
      </c>
      <c r="I49" s="107"/>
      <c r="J49" s="107"/>
      <c r="K49" s="138"/>
      <c r="L49" s="282"/>
      <c r="M49" s="363"/>
      <c r="N49" s="363"/>
      <c r="O49" s="145">
        <v>0.0</v>
      </c>
      <c r="P49" s="145">
        <v>1.0</v>
      </c>
      <c r="Q49" s="145">
        <v>1.0</v>
      </c>
      <c r="R49" s="106"/>
      <c r="S49" s="168"/>
      <c r="T49" s="168"/>
      <c r="U49" s="168"/>
      <c r="V49" s="107"/>
    </row>
    <row r="50" outlineLevel="1">
      <c r="A50" s="213" t="s">
        <v>151</v>
      </c>
      <c r="B50" s="373"/>
      <c r="C50" s="365" t="s">
        <v>277</v>
      </c>
      <c r="D50" s="450" t="s">
        <v>393</v>
      </c>
      <c r="E50" s="239" t="s">
        <v>5226</v>
      </c>
      <c r="F50" s="138" t="s">
        <v>2448</v>
      </c>
      <c r="G50" s="138" t="s">
        <v>4212</v>
      </c>
      <c r="H50" s="138" t="s">
        <v>1132</v>
      </c>
      <c r="I50" s="774" t="str">
        <f t="array" ref="I50">INDEX('空中攻撃'!$O$3:$AB$109, MATCH($A$1,'空中攻撃'!$A$3:$A$109,0), MATCH(A50,'空中攻撃'!$O$2:$S$2,0))</f>
        <v>13</v>
      </c>
      <c r="J50" s="450" t="s">
        <v>148</v>
      </c>
      <c r="K50" s="138"/>
      <c r="L50" s="282"/>
      <c r="M50" s="363"/>
      <c r="N50" s="363"/>
      <c r="O50" s="145">
        <v>0.0</v>
      </c>
      <c r="P50" s="145">
        <v>1.0</v>
      </c>
      <c r="Q50" s="145">
        <v>1.0</v>
      </c>
      <c r="R50" s="622"/>
      <c r="S50" s="110"/>
      <c r="T50" s="110"/>
      <c r="U50" s="110"/>
      <c r="V50" s="109"/>
    </row>
    <row r="51" outlineLevel="1">
      <c r="A51" s="213" t="s">
        <v>157</v>
      </c>
      <c r="B51" s="373"/>
      <c r="C51" s="239" t="s">
        <v>295</v>
      </c>
      <c r="D51" s="467" t="s">
        <v>601</v>
      </c>
      <c r="E51" s="239" t="s">
        <v>2454</v>
      </c>
      <c r="F51" s="138">
        <v>17.4</v>
      </c>
      <c r="G51" s="138">
        <v>14.790000000000001</v>
      </c>
      <c r="H51" s="138" t="s">
        <v>75</v>
      </c>
      <c r="I51" s="774">
        <f t="array" ref="I51">INDEX('空中攻撃'!$O$3:$AB$109, MATCH($A$1,'空中攻撃'!$A$3:$A$109,0), MATCH(A51,'空中攻撃'!$O$2:$S$2,0))</f>
        <v>16</v>
      </c>
      <c r="J51" s="467" t="s">
        <v>5227</v>
      </c>
      <c r="K51" s="138"/>
      <c r="L51" s="282"/>
      <c r="M51" s="363"/>
      <c r="N51" s="363"/>
      <c r="O51" s="145">
        <v>0.0</v>
      </c>
      <c r="P51" s="145">
        <v>1.0</v>
      </c>
      <c r="Q51" s="145">
        <v>1.0</v>
      </c>
      <c r="R51" s="622"/>
      <c r="S51" s="110"/>
      <c r="T51" s="110"/>
      <c r="U51" s="110"/>
      <c r="V51" s="109"/>
    </row>
    <row r="52" outlineLevel="1">
      <c r="A52" s="213" t="s">
        <v>162</v>
      </c>
      <c r="B52" s="373"/>
      <c r="C52" s="239" t="s">
        <v>277</v>
      </c>
      <c r="D52" s="467" t="s">
        <v>282</v>
      </c>
      <c r="E52" s="365" t="s">
        <v>128</v>
      </c>
      <c r="F52" s="138">
        <v>12.0</v>
      </c>
      <c r="G52" s="138">
        <v>10.2</v>
      </c>
      <c r="H52" s="138" t="s">
        <v>147</v>
      </c>
      <c r="I52" s="774" t="str">
        <f t="array" ref="I52">INDEX('空中攻撃'!$O$3:$AB$109, MATCH($A$1,'空中攻撃'!$A$3:$A$109,0), MATCH(A52,'空中攻撃'!$O$2:$S$2,0))</f>
        <v>10</v>
      </c>
      <c r="J52" s="467" t="s">
        <v>5228</v>
      </c>
      <c r="K52" s="282"/>
      <c r="L52" s="282"/>
      <c r="M52" s="363"/>
      <c r="N52" s="363"/>
      <c r="O52" s="145">
        <v>0.0</v>
      </c>
      <c r="P52" s="145">
        <v>1.0</v>
      </c>
      <c r="Q52" s="145">
        <v>1.0</v>
      </c>
      <c r="R52" s="1027" t="s">
        <v>5229</v>
      </c>
      <c r="S52" s="110"/>
      <c r="T52" s="110"/>
      <c r="U52" s="110"/>
      <c r="V52" s="109"/>
    </row>
    <row r="53" outlineLevel="1">
      <c r="A53" s="188" t="s">
        <v>166</v>
      </c>
      <c r="B53" s="373"/>
      <c r="C53" s="365" t="s">
        <v>835</v>
      </c>
      <c r="D53" s="455" t="s">
        <v>393</v>
      </c>
      <c r="E53" s="239" t="s">
        <v>232</v>
      </c>
      <c r="F53" s="138">
        <v>13.2</v>
      </c>
      <c r="G53" s="138">
        <v>11.22</v>
      </c>
      <c r="H53" s="138" t="s">
        <v>147</v>
      </c>
      <c r="I53" s="452">
        <f t="array" ref="I53">INDEX('空中攻撃'!$O$3:$AB$109, MATCH($A$1,'空中攻撃'!$A$3:$A$109,0), MATCH(A53,'空中攻撃'!$O$2:$S$2,0))</f>
        <v>18</v>
      </c>
      <c r="J53" s="455" t="s">
        <v>981</v>
      </c>
      <c r="K53" s="282"/>
      <c r="L53" s="282"/>
      <c r="M53" s="363"/>
      <c r="N53" s="363"/>
      <c r="O53" s="145">
        <v>0.0</v>
      </c>
      <c r="P53" s="145">
        <v>1.0</v>
      </c>
      <c r="Q53" s="145">
        <v>1.0</v>
      </c>
      <c r="R53" s="163"/>
      <c r="S53" s="164"/>
      <c r="T53" s="164"/>
      <c r="U53" s="164"/>
      <c r="V53" s="104"/>
    </row>
    <row r="54" outlineLevel="1">
      <c r="A54" s="156"/>
      <c r="B54" s="373" t="s">
        <v>84</v>
      </c>
      <c r="C54" s="365" t="s">
        <v>383</v>
      </c>
      <c r="D54" s="107"/>
      <c r="E54" s="239" t="s">
        <v>274</v>
      </c>
      <c r="F54" s="138">
        <v>10.799999999999999</v>
      </c>
      <c r="G54" s="138">
        <v>9.18</v>
      </c>
      <c r="H54" s="138" t="s">
        <v>147</v>
      </c>
      <c r="I54" s="107"/>
      <c r="J54" s="107"/>
      <c r="K54" s="282"/>
      <c r="L54" s="282"/>
      <c r="M54" s="363"/>
      <c r="N54" s="363"/>
      <c r="O54" s="145">
        <v>0.0</v>
      </c>
      <c r="P54" s="145">
        <v>1.0</v>
      </c>
      <c r="Q54" s="145">
        <v>1.0</v>
      </c>
      <c r="R54" s="106"/>
      <c r="S54" s="168"/>
      <c r="T54" s="168"/>
      <c r="U54" s="168"/>
      <c r="V54" s="107"/>
    </row>
    <row r="55">
      <c r="A55" s="223"/>
      <c r="B55" s="224"/>
      <c r="C55" s="225"/>
      <c r="D55" s="225"/>
      <c r="E55" s="226"/>
      <c r="F55" s="226"/>
      <c r="G55" s="226"/>
      <c r="H55" s="227"/>
      <c r="I55" s="227"/>
      <c r="J55" s="228"/>
      <c r="K55" s="228"/>
      <c r="L55" s="228"/>
      <c r="M55" s="228"/>
      <c r="N55" s="228"/>
      <c r="O55" s="228"/>
      <c r="P55" s="228"/>
      <c r="Q55" s="118"/>
      <c r="R55" s="118"/>
      <c r="S55" s="118"/>
      <c r="T55" s="118"/>
      <c r="U55" s="118"/>
      <c r="V55" s="118"/>
    </row>
    <row r="56">
      <c r="A56" s="229" t="s">
        <v>177</v>
      </c>
      <c r="B56" s="109"/>
      <c r="C56" s="225"/>
      <c r="D56" s="225"/>
      <c r="E56" s="226"/>
      <c r="F56" s="226"/>
      <c r="G56" s="226"/>
      <c r="H56" s="227"/>
      <c r="I56" s="227"/>
      <c r="J56" s="228"/>
      <c r="K56" s="228"/>
      <c r="L56" s="228"/>
      <c r="M56" s="228"/>
      <c r="N56" s="228"/>
      <c r="O56" s="228"/>
      <c r="P56" s="228"/>
      <c r="Q56" s="118"/>
      <c r="R56" s="118"/>
      <c r="S56" s="118"/>
      <c r="T56" s="118"/>
      <c r="U56" s="118"/>
      <c r="V56" s="118"/>
    </row>
    <row r="57" outlineLevel="1">
      <c r="A57" s="230" t="s">
        <v>5230</v>
      </c>
      <c r="B57" s="109"/>
      <c r="C57" s="231" t="s">
        <v>48</v>
      </c>
      <c r="D57" s="231" t="s">
        <v>49</v>
      </c>
      <c r="E57" s="232" t="s">
        <v>50</v>
      </c>
      <c r="F57" s="233" t="s">
        <v>51</v>
      </c>
      <c r="G57" s="232" t="s">
        <v>52</v>
      </c>
      <c r="H57" s="382" t="s">
        <v>53</v>
      </c>
      <c r="I57" s="110"/>
      <c r="J57" s="109"/>
      <c r="K57" s="235" t="s">
        <v>137</v>
      </c>
      <c r="L57" s="235" t="s">
        <v>138</v>
      </c>
      <c r="M57" s="235" t="s">
        <v>139</v>
      </c>
      <c r="N57" s="235" t="s">
        <v>140</v>
      </c>
      <c r="O57" s="236" t="s">
        <v>141</v>
      </c>
      <c r="P57" s="235" t="s">
        <v>142</v>
      </c>
      <c r="Q57" s="236" t="s">
        <v>143</v>
      </c>
      <c r="R57" s="235" t="s">
        <v>179</v>
      </c>
      <c r="S57" s="236" t="s">
        <v>180</v>
      </c>
      <c r="T57" s="236" t="s">
        <v>181</v>
      </c>
      <c r="U57" s="236" t="s">
        <v>182</v>
      </c>
      <c r="V57" s="236" t="s">
        <v>183</v>
      </c>
    </row>
    <row r="58" outlineLevel="1">
      <c r="A58" s="383" t="s">
        <v>184</v>
      </c>
      <c r="B58" s="384" t="s">
        <v>529</v>
      </c>
      <c r="C58" s="137" t="s">
        <v>1176</v>
      </c>
      <c r="D58" s="3140"/>
      <c r="E58" s="397" t="s">
        <v>119</v>
      </c>
      <c r="F58" s="252">
        <v>16.8</v>
      </c>
      <c r="G58" s="448" t="s">
        <v>297</v>
      </c>
      <c r="H58" s="2404" t="s">
        <v>5231</v>
      </c>
      <c r="I58" s="164"/>
      <c r="J58" s="104"/>
      <c r="K58" s="3141"/>
      <c r="L58" s="3141"/>
      <c r="M58" s="3142"/>
      <c r="N58" s="3142"/>
      <c r="O58" s="779">
        <v>0.0</v>
      </c>
      <c r="P58" s="779">
        <v>1.0</v>
      </c>
      <c r="Q58" s="779">
        <v>1.0</v>
      </c>
      <c r="R58" s="1490" t="b">
        <v>1</v>
      </c>
      <c r="S58" s="2577" t="b">
        <v>0</v>
      </c>
      <c r="T58" s="2577" t="b">
        <v>1</v>
      </c>
      <c r="U58" s="3143" t="s">
        <v>186</v>
      </c>
      <c r="V58" s="3144" t="b">
        <v>1</v>
      </c>
    </row>
    <row r="59" outlineLevel="1">
      <c r="A59" s="146"/>
      <c r="B59" s="2406" t="s">
        <v>5232</v>
      </c>
      <c r="C59" s="137" t="s">
        <v>5233</v>
      </c>
      <c r="D59" s="107"/>
      <c r="E59" s="397" t="s">
        <v>119</v>
      </c>
      <c r="F59" s="252">
        <v>16.8</v>
      </c>
      <c r="G59" s="397" t="s">
        <v>75</v>
      </c>
      <c r="J59" s="210"/>
      <c r="K59" s="3145"/>
      <c r="L59" s="3145"/>
      <c r="M59" s="2755"/>
      <c r="N59" s="2755"/>
      <c r="O59" s="2718"/>
      <c r="P59" s="2718"/>
      <c r="Q59" s="2718"/>
      <c r="R59" s="2754" t="b">
        <v>0</v>
      </c>
      <c r="S59" s="2756" t="b">
        <v>0</v>
      </c>
      <c r="T59" s="2756" t="b">
        <v>0</v>
      </c>
      <c r="U59" s="146"/>
      <c r="V59" s="146"/>
    </row>
    <row r="60" outlineLevel="1">
      <c r="A60" s="146"/>
      <c r="B60" s="3146" t="s">
        <v>5234</v>
      </c>
      <c r="C60" s="137" t="s">
        <v>5235</v>
      </c>
      <c r="D60" s="2866" t="s">
        <v>384</v>
      </c>
      <c r="E60" s="397" t="s">
        <v>119</v>
      </c>
      <c r="F60" s="252">
        <v>16.8</v>
      </c>
      <c r="G60" s="397" t="s">
        <v>75</v>
      </c>
      <c r="J60" s="210"/>
      <c r="K60" s="3145"/>
      <c r="L60" s="3145"/>
      <c r="M60" s="2755"/>
      <c r="N60" s="2755"/>
      <c r="O60" s="2718">
        <v>0.0</v>
      </c>
      <c r="P60" s="2718">
        <v>1.0</v>
      </c>
      <c r="Q60" s="2718">
        <v>1.0</v>
      </c>
      <c r="R60" s="2754" t="b">
        <v>1</v>
      </c>
      <c r="S60" s="2756" t="b">
        <v>0</v>
      </c>
      <c r="T60" s="2756" t="b">
        <v>1</v>
      </c>
      <c r="U60" s="146"/>
      <c r="V60" s="146"/>
    </row>
    <row r="61" outlineLevel="1">
      <c r="A61" s="146"/>
      <c r="B61" s="107"/>
      <c r="C61" s="137" t="s">
        <v>5236</v>
      </c>
      <c r="D61" s="107"/>
      <c r="E61" s="157" t="s">
        <v>466</v>
      </c>
      <c r="F61" s="256">
        <v>21.599999999999998</v>
      </c>
      <c r="G61" s="136" t="s">
        <v>102</v>
      </c>
      <c r="J61" s="210"/>
      <c r="K61" s="1162"/>
      <c r="L61" s="1162"/>
      <c r="M61" s="1162"/>
      <c r="N61" s="1162"/>
      <c r="O61" s="1162"/>
      <c r="P61" s="1162"/>
      <c r="Q61" s="1162"/>
      <c r="R61" s="1162"/>
      <c r="S61" s="1162"/>
      <c r="T61" s="1162"/>
      <c r="U61" s="146"/>
      <c r="V61" s="146"/>
    </row>
    <row r="62" outlineLevel="1">
      <c r="A62" s="146"/>
      <c r="B62" s="3146" t="s">
        <v>5237</v>
      </c>
      <c r="C62" s="137" t="s">
        <v>5235</v>
      </c>
      <c r="D62" s="770" t="s">
        <v>111</v>
      </c>
      <c r="E62" s="397" t="s">
        <v>119</v>
      </c>
      <c r="F62" s="252">
        <v>16.8</v>
      </c>
      <c r="G62" s="397" t="s">
        <v>75</v>
      </c>
      <c r="J62" s="210"/>
      <c r="K62" s="1162"/>
      <c r="L62" s="1162"/>
      <c r="M62" s="1162"/>
      <c r="N62" s="1162"/>
      <c r="O62" s="1162"/>
      <c r="P62" s="1162"/>
      <c r="Q62" s="1162"/>
      <c r="R62" s="1162"/>
      <c r="S62" s="1162"/>
      <c r="T62" s="1162"/>
      <c r="U62" s="146"/>
      <c r="V62" s="146"/>
    </row>
    <row r="63" outlineLevel="1">
      <c r="A63" s="146"/>
      <c r="B63" s="107"/>
      <c r="C63" s="137" t="s">
        <v>5236</v>
      </c>
      <c r="D63" s="107"/>
      <c r="E63" s="157" t="s">
        <v>466</v>
      </c>
      <c r="F63" s="256">
        <v>21.599999999999998</v>
      </c>
      <c r="G63" s="136" t="s">
        <v>102</v>
      </c>
      <c r="J63" s="210"/>
      <c r="K63" s="1162"/>
      <c r="L63" s="1162"/>
      <c r="M63" s="1162"/>
      <c r="N63" s="1162"/>
      <c r="O63" s="1162"/>
      <c r="P63" s="1162"/>
      <c r="Q63" s="1162"/>
      <c r="R63" s="1162"/>
      <c r="S63" s="1162"/>
      <c r="T63" s="1162"/>
      <c r="U63" s="156"/>
      <c r="V63" s="156"/>
    </row>
    <row r="64" outlineLevel="1">
      <c r="A64" s="146"/>
      <c r="B64" s="387" t="s">
        <v>666</v>
      </c>
      <c r="C64" s="1162"/>
      <c r="D64" s="518" t="s">
        <v>1580</v>
      </c>
      <c r="E64" s="1162"/>
      <c r="F64" s="1163"/>
      <c r="G64" s="1162"/>
      <c r="J64" s="210"/>
      <c r="K64" s="1162"/>
      <c r="L64" s="1162"/>
      <c r="M64" s="1162"/>
      <c r="N64" s="1162"/>
      <c r="O64" s="1162"/>
      <c r="P64" s="1162"/>
      <c r="Q64" s="1162"/>
      <c r="R64" s="1162"/>
      <c r="S64" s="1162"/>
      <c r="T64" s="1162"/>
      <c r="U64" s="3147" t="s">
        <v>3287</v>
      </c>
      <c r="V64" s="3148"/>
    </row>
    <row r="65" outlineLevel="1">
      <c r="A65" s="146"/>
      <c r="B65" s="387" t="s">
        <v>5238</v>
      </c>
      <c r="C65" s="1162"/>
      <c r="D65" s="518" t="s">
        <v>718</v>
      </c>
      <c r="E65" s="1162"/>
      <c r="F65" s="1163"/>
      <c r="G65" s="1162"/>
      <c r="J65" s="210"/>
      <c r="K65" s="1162"/>
      <c r="L65" s="1162"/>
      <c r="M65" s="1162"/>
      <c r="N65" s="1162"/>
      <c r="O65" s="1162"/>
      <c r="P65" s="1162"/>
      <c r="Q65" s="1162"/>
      <c r="R65" s="1162"/>
      <c r="S65" s="1162"/>
      <c r="T65" s="1162"/>
      <c r="U65" s="3147"/>
      <c r="V65" s="3148"/>
    </row>
    <row r="66" outlineLevel="1">
      <c r="A66" s="156"/>
      <c r="B66" s="387" t="s">
        <v>5239</v>
      </c>
      <c r="C66" s="1162"/>
      <c r="D66" s="518" t="s">
        <v>296</v>
      </c>
      <c r="E66" s="1162"/>
      <c r="F66" s="1163"/>
      <c r="G66" s="1162"/>
      <c r="H66" s="168"/>
      <c r="I66" s="168"/>
      <c r="J66" s="107"/>
      <c r="K66" s="1162"/>
      <c r="L66" s="1162"/>
      <c r="M66" s="1162"/>
      <c r="N66" s="1162"/>
      <c r="O66" s="1162"/>
      <c r="P66" s="1162"/>
      <c r="Q66" s="1162"/>
      <c r="R66" s="1162"/>
      <c r="S66" s="1162"/>
      <c r="T66" s="1162"/>
      <c r="U66" s="3147"/>
      <c r="V66" s="3148"/>
    </row>
    <row r="67" outlineLevel="1">
      <c r="A67" s="230" t="s">
        <v>5240</v>
      </c>
      <c r="B67" s="109"/>
      <c r="C67" s="231" t="s">
        <v>48</v>
      </c>
      <c r="D67" s="231" t="s">
        <v>49</v>
      </c>
      <c r="E67" s="232" t="s">
        <v>50</v>
      </c>
      <c r="F67" s="233" t="s">
        <v>51</v>
      </c>
      <c r="G67" s="232" t="s">
        <v>52</v>
      </c>
      <c r="H67" s="382" t="s">
        <v>53</v>
      </c>
      <c r="I67" s="110"/>
      <c r="J67" s="109"/>
      <c r="K67" s="235" t="s">
        <v>137</v>
      </c>
      <c r="L67" s="235" t="s">
        <v>138</v>
      </c>
      <c r="M67" s="235" t="s">
        <v>139</v>
      </c>
      <c r="N67" s="235" t="s">
        <v>140</v>
      </c>
      <c r="O67" s="236" t="s">
        <v>141</v>
      </c>
      <c r="P67" s="235" t="s">
        <v>142</v>
      </c>
      <c r="Q67" s="236" t="s">
        <v>143</v>
      </c>
      <c r="R67" s="235" t="s">
        <v>179</v>
      </c>
      <c r="S67" s="236" t="s">
        <v>180</v>
      </c>
      <c r="T67" s="236" t="s">
        <v>181</v>
      </c>
      <c r="U67" s="236" t="s">
        <v>182</v>
      </c>
      <c r="V67" s="236" t="s">
        <v>183</v>
      </c>
    </row>
    <row r="68" ht="31.5" customHeight="1" outlineLevel="1">
      <c r="A68" s="237" t="s">
        <v>184</v>
      </c>
      <c r="B68" s="249" t="s">
        <v>5241</v>
      </c>
      <c r="C68" s="136" t="s">
        <v>644</v>
      </c>
      <c r="D68" s="1165" t="s">
        <v>541</v>
      </c>
      <c r="E68" s="136" t="s">
        <v>209</v>
      </c>
      <c r="F68" s="3149">
        <v>0.0</v>
      </c>
      <c r="G68" s="1162"/>
      <c r="H68" s="2404" t="s">
        <v>5242</v>
      </c>
      <c r="I68" s="164"/>
      <c r="J68" s="104"/>
      <c r="K68" s="3150"/>
      <c r="L68" s="3150"/>
      <c r="M68" s="3151"/>
      <c r="N68" s="3151"/>
      <c r="O68" s="252"/>
      <c r="P68" s="252"/>
      <c r="Q68" s="252"/>
      <c r="R68" s="3152" t="b">
        <v>0</v>
      </c>
      <c r="S68" s="1775" t="b">
        <v>0</v>
      </c>
      <c r="T68" s="3152" t="b">
        <v>0</v>
      </c>
      <c r="U68" s="3153" t="s">
        <v>186</v>
      </c>
      <c r="V68" s="3154" t="b">
        <v>1</v>
      </c>
    </row>
    <row r="69" ht="31.5" customHeight="1" outlineLevel="1">
      <c r="A69" s="146"/>
      <c r="B69" s="405" t="s">
        <v>5243</v>
      </c>
      <c r="C69" s="448" t="s">
        <v>5244</v>
      </c>
      <c r="D69" s="210"/>
      <c r="E69" s="397" t="s">
        <v>5245</v>
      </c>
      <c r="F69" s="252" t="s">
        <v>5246</v>
      </c>
      <c r="G69" s="397" t="s">
        <v>931</v>
      </c>
      <c r="J69" s="210"/>
      <c r="K69" s="3150"/>
      <c r="L69" s="3150"/>
      <c r="M69" s="3151"/>
      <c r="N69" s="3151"/>
      <c r="O69" s="252">
        <v>0.0</v>
      </c>
      <c r="P69" s="252">
        <v>1.0</v>
      </c>
      <c r="Q69" s="252">
        <v>1.0</v>
      </c>
      <c r="R69" s="3152" t="b">
        <v>0</v>
      </c>
      <c r="S69" s="1775" t="b">
        <v>0</v>
      </c>
      <c r="T69" s="3152" t="b">
        <v>1</v>
      </c>
      <c r="U69" s="210"/>
      <c r="V69" s="210"/>
    </row>
    <row r="70" ht="31.5" customHeight="1" outlineLevel="1">
      <c r="A70" s="146"/>
      <c r="B70" s="407" t="s">
        <v>5247</v>
      </c>
      <c r="C70" s="517" t="s">
        <v>5248</v>
      </c>
      <c r="D70" s="210"/>
      <c r="E70" s="157" t="s">
        <v>5245</v>
      </c>
      <c r="F70" s="256" t="s">
        <v>5246</v>
      </c>
      <c r="G70" s="397" t="s">
        <v>931</v>
      </c>
      <c r="J70" s="210"/>
      <c r="K70" s="3155"/>
      <c r="L70" s="3155"/>
      <c r="M70" s="3156"/>
      <c r="N70" s="3156"/>
      <c r="O70" s="252">
        <v>0.0</v>
      </c>
      <c r="P70" s="252">
        <v>1.0</v>
      </c>
      <c r="Q70" s="252">
        <v>1.0</v>
      </c>
      <c r="R70" s="3152" t="b">
        <v>0</v>
      </c>
      <c r="S70" s="1775" t="b">
        <v>0</v>
      </c>
      <c r="T70" s="3152" t="b">
        <v>1</v>
      </c>
      <c r="U70" s="210"/>
      <c r="V70" s="210"/>
    </row>
    <row r="71" ht="31.5" customHeight="1" outlineLevel="1">
      <c r="A71" s="146"/>
      <c r="B71" s="407" t="s">
        <v>5249</v>
      </c>
      <c r="C71" s="448" t="s">
        <v>5244</v>
      </c>
      <c r="D71" s="210"/>
      <c r="E71" s="157" t="s">
        <v>5250</v>
      </c>
      <c r="F71" s="256" t="s">
        <v>5251</v>
      </c>
      <c r="G71" s="397" t="s">
        <v>931</v>
      </c>
      <c r="J71" s="210"/>
      <c r="K71" s="3155"/>
      <c r="L71" s="3155"/>
      <c r="M71" s="3156"/>
      <c r="N71" s="3156"/>
      <c r="O71" s="252">
        <v>0.0</v>
      </c>
      <c r="P71" s="252">
        <v>1.0</v>
      </c>
      <c r="Q71" s="252">
        <v>1.0</v>
      </c>
      <c r="R71" s="3152" t="b">
        <v>0</v>
      </c>
      <c r="S71" s="1775" t="b">
        <v>0</v>
      </c>
      <c r="T71" s="3152" t="b">
        <v>1</v>
      </c>
      <c r="U71" s="210"/>
      <c r="V71" s="210"/>
    </row>
    <row r="72" ht="31.5" customHeight="1" outlineLevel="1">
      <c r="A72" s="146"/>
      <c r="B72" s="407" t="s">
        <v>5252</v>
      </c>
      <c r="C72" s="517" t="s">
        <v>5253</v>
      </c>
      <c r="D72" s="107"/>
      <c r="E72" s="157" t="s">
        <v>5250</v>
      </c>
      <c r="F72" s="256" t="s">
        <v>5251</v>
      </c>
      <c r="G72" s="397" t="s">
        <v>931</v>
      </c>
      <c r="H72" s="168"/>
      <c r="I72" s="168"/>
      <c r="J72" s="107"/>
      <c r="K72" s="3155"/>
      <c r="L72" s="3155"/>
      <c r="M72" s="3156"/>
      <c r="N72" s="3156"/>
      <c r="O72" s="252">
        <v>0.0</v>
      </c>
      <c r="P72" s="252">
        <v>1.0</v>
      </c>
      <c r="Q72" s="252">
        <v>1.0</v>
      </c>
      <c r="R72" s="3152" t="b">
        <v>0</v>
      </c>
      <c r="S72" s="1775" t="b">
        <v>0</v>
      </c>
      <c r="T72" s="3152" t="b">
        <v>1</v>
      </c>
      <c r="U72" s="107"/>
      <c r="V72" s="107"/>
    </row>
    <row r="73" outlineLevel="1">
      <c r="A73" s="230" t="s">
        <v>5254</v>
      </c>
      <c r="B73" s="109"/>
      <c r="C73" s="231" t="s">
        <v>48</v>
      </c>
      <c r="D73" s="231" t="s">
        <v>49</v>
      </c>
      <c r="E73" s="232" t="s">
        <v>50</v>
      </c>
      <c r="F73" s="233" t="s">
        <v>51</v>
      </c>
      <c r="G73" s="232" t="s">
        <v>52</v>
      </c>
      <c r="H73" s="382" t="s">
        <v>53</v>
      </c>
      <c r="I73" s="110"/>
      <c r="J73" s="109"/>
      <c r="K73" s="235" t="s">
        <v>137</v>
      </c>
      <c r="L73" s="235" t="s">
        <v>138</v>
      </c>
      <c r="M73" s="235" t="s">
        <v>139</v>
      </c>
      <c r="N73" s="235" t="s">
        <v>140</v>
      </c>
      <c r="O73" s="236" t="s">
        <v>141</v>
      </c>
      <c r="P73" s="235" t="s">
        <v>142</v>
      </c>
      <c r="Q73" s="236" t="s">
        <v>143</v>
      </c>
      <c r="R73" s="235" t="s">
        <v>179</v>
      </c>
      <c r="S73" s="236" t="s">
        <v>180</v>
      </c>
      <c r="T73" s="236" t="s">
        <v>181</v>
      </c>
      <c r="U73" s="236" t="s">
        <v>182</v>
      </c>
      <c r="V73" s="236" t="s">
        <v>183</v>
      </c>
    </row>
    <row r="74" outlineLevel="1">
      <c r="A74" s="383" t="s">
        <v>184</v>
      </c>
      <c r="B74" s="2406" t="s">
        <v>152</v>
      </c>
      <c r="C74" s="397" t="s">
        <v>305</v>
      </c>
      <c r="D74" s="3140"/>
      <c r="E74" s="397" t="s">
        <v>1614</v>
      </c>
      <c r="F74" s="252">
        <v>1.44</v>
      </c>
      <c r="G74" s="397" t="s">
        <v>170</v>
      </c>
      <c r="H74" s="2404" t="s">
        <v>5255</v>
      </c>
      <c r="I74" s="164"/>
      <c r="J74" s="104"/>
      <c r="K74" s="3157"/>
      <c r="L74" s="3157"/>
      <c r="M74" s="1775"/>
      <c r="N74" s="1775"/>
      <c r="O74" s="252">
        <v>0.0</v>
      </c>
      <c r="P74" s="252">
        <v>1.0</v>
      </c>
      <c r="Q74" s="252">
        <v>1.0</v>
      </c>
      <c r="R74" s="3152" t="b">
        <v>1</v>
      </c>
      <c r="S74" s="1775" t="b">
        <v>0</v>
      </c>
      <c r="T74" s="1775" t="b">
        <v>0</v>
      </c>
      <c r="U74" s="3158" t="b">
        <v>0</v>
      </c>
      <c r="V74" s="3158" t="b">
        <v>0</v>
      </c>
    </row>
    <row r="75" outlineLevel="1">
      <c r="A75" s="146"/>
      <c r="B75" s="540" t="s">
        <v>604</v>
      </c>
      <c r="C75" s="149" t="s">
        <v>5256</v>
      </c>
      <c r="D75" s="210"/>
      <c r="E75" s="157" t="s">
        <v>1614</v>
      </c>
      <c r="F75" s="256">
        <v>1.44</v>
      </c>
      <c r="G75" s="397" t="s">
        <v>170</v>
      </c>
      <c r="J75" s="210"/>
      <c r="K75" s="3155"/>
      <c r="L75" s="3155"/>
      <c r="M75" s="3156"/>
      <c r="N75" s="3156"/>
      <c r="O75" s="252"/>
      <c r="P75" s="252"/>
      <c r="Q75" s="252"/>
      <c r="R75" s="3156" t="b">
        <v>0</v>
      </c>
      <c r="S75" s="3159" t="b">
        <v>0</v>
      </c>
      <c r="T75" s="3156" t="b">
        <v>0</v>
      </c>
      <c r="U75" s="210"/>
      <c r="V75" s="210"/>
    </row>
    <row r="76" outlineLevel="1">
      <c r="A76" s="146"/>
      <c r="B76" s="540" t="s">
        <v>606</v>
      </c>
      <c r="C76" s="149" t="s">
        <v>5257</v>
      </c>
      <c r="D76" s="210"/>
      <c r="E76" s="157" t="s">
        <v>1614</v>
      </c>
      <c r="F76" s="256">
        <v>1.44</v>
      </c>
      <c r="G76" s="397" t="s">
        <v>170</v>
      </c>
      <c r="J76" s="210"/>
      <c r="K76" s="3155"/>
      <c r="L76" s="3155"/>
      <c r="M76" s="3156"/>
      <c r="N76" s="3156"/>
      <c r="O76" s="252"/>
      <c r="P76" s="252"/>
      <c r="Q76" s="252"/>
      <c r="R76" s="3156" t="b">
        <v>0</v>
      </c>
      <c r="S76" s="3159" t="b">
        <v>0</v>
      </c>
      <c r="T76" s="3156" t="b">
        <v>0</v>
      </c>
      <c r="U76" s="210"/>
      <c r="V76" s="210"/>
    </row>
    <row r="77" outlineLevel="1">
      <c r="A77" s="146"/>
      <c r="B77" s="540" t="s">
        <v>608</v>
      </c>
      <c r="C77" s="149" t="s">
        <v>5258</v>
      </c>
      <c r="D77" s="210"/>
      <c r="E77" s="157" t="s">
        <v>5259</v>
      </c>
      <c r="F77" s="256" t="s">
        <v>5260</v>
      </c>
      <c r="G77" s="397" t="s">
        <v>5261</v>
      </c>
      <c r="J77" s="210"/>
      <c r="K77" s="3155"/>
      <c r="L77" s="3155"/>
      <c r="M77" s="3156"/>
      <c r="N77" s="3156"/>
      <c r="O77" s="252">
        <v>0.0</v>
      </c>
      <c r="P77" s="252">
        <v>1.0</v>
      </c>
      <c r="Q77" s="252">
        <v>1.0</v>
      </c>
      <c r="R77" s="3156" t="b">
        <v>1</v>
      </c>
      <c r="S77" s="3159" t="b">
        <v>0</v>
      </c>
      <c r="T77" s="3156"/>
      <c r="U77" s="210"/>
      <c r="V77" s="210"/>
    </row>
    <row r="78" outlineLevel="1">
      <c r="A78" s="156"/>
      <c r="B78" s="540" t="s">
        <v>5262</v>
      </c>
      <c r="C78" s="149" t="s">
        <v>5263</v>
      </c>
      <c r="D78" s="107"/>
      <c r="E78" s="149" t="s">
        <v>73</v>
      </c>
      <c r="F78" s="544">
        <v>4.8</v>
      </c>
      <c r="G78" s="136" t="s">
        <v>75</v>
      </c>
      <c r="H78" s="168"/>
      <c r="I78" s="168"/>
      <c r="J78" s="107"/>
      <c r="K78" s="3155"/>
      <c r="L78" s="3155"/>
      <c r="M78" s="3156"/>
      <c r="N78" s="3156"/>
      <c r="O78" s="252">
        <v>0.0</v>
      </c>
      <c r="P78" s="252">
        <v>1.0</v>
      </c>
      <c r="Q78" s="252">
        <v>1.0</v>
      </c>
      <c r="R78" s="3156" t="b">
        <v>1</v>
      </c>
      <c r="S78" s="3159" t="b">
        <v>0</v>
      </c>
      <c r="T78" s="3156"/>
      <c r="U78" s="107"/>
      <c r="V78" s="107"/>
    </row>
    <row r="79" outlineLevel="1">
      <c r="A79" s="230" t="s">
        <v>5264</v>
      </c>
      <c r="B79" s="109"/>
      <c r="C79" s="231" t="s">
        <v>48</v>
      </c>
      <c r="D79" s="231" t="s">
        <v>49</v>
      </c>
      <c r="E79" s="232" t="s">
        <v>50</v>
      </c>
      <c r="F79" s="233" t="s">
        <v>51</v>
      </c>
      <c r="G79" s="232" t="s">
        <v>52</v>
      </c>
      <c r="H79" s="382" t="s">
        <v>53</v>
      </c>
      <c r="I79" s="110"/>
      <c r="J79" s="109"/>
      <c r="K79" s="235" t="s">
        <v>137</v>
      </c>
      <c r="L79" s="235" t="s">
        <v>138</v>
      </c>
      <c r="M79" s="235" t="s">
        <v>139</v>
      </c>
      <c r="N79" s="235" t="s">
        <v>140</v>
      </c>
      <c r="O79" s="236" t="s">
        <v>141</v>
      </c>
      <c r="P79" s="235" t="s">
        <v>142</v>
      </c>
      <c r="Q79" s="236" t="s">
        <v>143</v>
      </c>
      <c r="R79" s="235" t="s">
        <v>179</v>
      </c>
      <c r="S79" s="236" t="s">
        <v>180</v>
      </c>
      <c r="T79" s="236" t="s">
        <v>181</v>
      </c>
      <c r="U79" s="236" t="s">
        <v>182</v>
      </c>
      <c r="V79" s="236" t="s">
        <v>183</v>
      </c>
    </row>
    <row r="80" ht="35.25" customHeight="1" outlineLevel="1">
      <c r="A80" s="383" t="s">
        <v>184</v>
      </c>
      <c r="B80" s="2406" t="s">
        <v>5265</v>
      </c>
      <c r="C80" s="136" t="s">
        <v>334</v>
      </c>
      <c r="D80" s="2402" t="s">
        <v>810</v>
      </c>
      <c r="E80" s="397" t="s">
        <v>94</v>
      </c>
      <c r="F80" s="252">
        <v>10.08</v>
      </c>
      <c r="G80" s="397" t="s">
        <v>123</v>
      </c>
      <c r="H80" s="1161" t="s">
        <v>5266</v>
      </c>
      <c r="I80" s="164"/>
      <c r="J80" s="104"/>
      <c r="K80" s="3157"/>
      <c r="L80" s="3157"/>
      <c r="M80" s="1775"/>
      <c r="N80" s="1775"/>
      <c r="O80" s="252">
        <v>0.0</v>
      </c>
      <c r="P80" s="252">
        <v>1.0</v>
      </c>
      <c r="Q80" s="252">
        <v>1.0</v>
      </c>
      <c r="R80" s="3152" t="b">
        <v>1</v>
      </c>
      <c r="S80" s="1775" t="b">
        <v>0</v>
      </c>
      <c r="T80" s="1775" t="b">
        <v>0</v>
      </c>
      <c r="U80" s="3158" t="b">
        <v>0</v>
      </c>
      <c r="V80" s="3154" t="b">
        <v>0</v>
      </c>
    </row>
    <row r="81" ht="35.25" customHeight="1" outlineLevel="1">
      <c r="A81" s="146"/>
      <c r="B81" s="1167" t="s">
        <v>5267</v>
      </c>
      <c r="C81" s="157" t="s">
        <v>610</v>
      </c>
      <c r="D81" s="518" t="s">
        <v>1839</v>
      </c>
      <c r="E81" s="157" t="s">
        <v>129</v>
      </c>
      <c r="F81" s="256">
        <v>14.399999999999999</v>
      </c>
      <c r="G81" s="397" t="s">
        <v>88</v>
      </c>
      <c r="J81" s="210"/>
      <c r="K81" s="3155"/>
      <c r="L81" s="3155"/>
      <c r="M81" s="3156"/>
      <c r="N81" s="3156"/>
      <c r="O81" s="252">
        <v>0.0</v>
      </c>
      <c r="P81" s="252">
        <v>1.0</v>
      </c>
      <c r="Q81" s="252">
        <v>1.0</v>
      </c>
      <c r="R81" s="3152" t="b">
        <v>1</v>
      </c>
      <c r="S81" s="1775" t="b">
        <v>0</v>
      </c>
      <c r="T81" s="1775" t="b">
        <v>0</v>
      </c>
      <c r="U81" s="210"/>
      <c r="V81" s="210"/>
    </row>
    <row r="82" ht="35.25" customHeight="1" outlineLevel="1">
      <c r="A82" s="146"/>
      <c r="B82" s="1167" t="s">
        <v>5268</v>
      </c>
      <c r="C82" s="2864" t="s">
        <v>5269</v>
      </c>
      <c r="D82" s="517" t="s">
        <v>5270</v>
      </c>
      <c r="E82" s="161" t="s">
        <v>5271</v>
      </c>
      <c r="F82" s="3160">
        <v>21.84</v>
      </c>
      <c r="G82" s="734" t="s">
        <v>294</v>
      </c>
      <c r="J82" s="210"/>
      <c r="K82" s="3155"/>
      <c r="L82" s="3155"/>
      <c r="M82" s="3156"/>
      <c r="N82" s="3156"/>
      <c r="O82" s="252">
        <v>0.0</v>
      </c>
      <c r="P82" s="252">
        <v>1.0</v>
      </c>
      <c r="Q82" s="252">
        <v>1.0</v>
      </c>
      <c r="R82" s="3152" t="b">
        <v>1</v>
      </c>
      <c r="S82" s="1775" t="b">
        <v>0</v>
      </c>
      <c r="T82" s="1775" t="b">
        <v>0</v>
      </c>
      <c r="U82" s="210"/>
      <c r="V82" s="210"/>
    </row>
    <row r="83" ht="35.25" customHeight="1" outlineLevel="1">
      <c r="A83" s="146"/>
      <c r="B83" s="540" t="s">
        <v>5272</v>
      </c>
      <c r="C83" s="107"/>
      <c r="D83" s="517" t="s">
        <v>1145</v>
      </c>
      <c r="E83" s="107"/>
      <c r="F83" s="107"/>
      <c r="G83" s="107"/>
      <c r="J83" s="210"/>
      <c r="K83" s="3155"/>
      <c r="L83" s="3155"/>
      <c r="M83" s="3156"/>
      <c r="N83" s="3156"/>
      <c r="O83" s="252">
        <v>0.0</v>
      </c>
      <c r="P83" s="252">
        <v>1.0</v>
      </c>
      <c r="Q83" s="252">
        <v>1.0</v>
      </c>
      <c r="R83" s="3152" t="b">
        <v>1</v>
      </c>
      <c r="S83" s="1775" t="b">
        <v>0</v>
      </c>
      <c r="T83" s="1775" t="b">
        <v>0</v>
      </c>
      <c r="U83" s="210"/>
      <c r="V83" s="210"/>
    </row>
    <row r="84" ht="35.25" customHeight="1" outlineLevel="1">
      <c r="A84" s="146"/>
      <c r="B84" s="540" t="s">
        <v>5273</v>
      </c>
      <c r="C84" s="2864" t="s">
        <v>5274</v>
      </c>
      <c r="D84" s="517" t="s">
        <v>2781</v>
      </c>
      <c r="E84" s="161" t="s">
        <v>876</v>
      </c>
      <c r="F84" s="3160">
        <v>31.2</v>
      </c>
      <c r="G84" s="734" t="s">
        <v>348</v>
      </c>
      <c r="J84" s="210"/>
      <c r="K84" s="3155"/>
      <c r="L84" s="3155"/>
      <c r="M84" s="3156"/>
      <c r="N84" s="3156"/>
      <c r="O84" s="252">
        <v>0.0</v>
      </c>
      <c r="P84" s="252">
        <v>1.0</v>
      </c>
      <c r="Q84" s="252">
        <v>1.0</v>
      </c>
      <c r="R84" s="3152" t="b">
        <v>1</v>
      </c>
      <c r="S84" s="1775" t="b">
        <v>0</v>
      </c>
      <c r="T84" s="1775" t="b">
        <v>0</v>
      </c>
      <c r="U84" s="210"/>
      <c r="V84" s="210"/>
    </row>
    <row r="85" ht="35.25" customHeight="1" outlineLevel="1">
      <c r="A85" s="156"/>
      <c r="B85" s="540" t="s">
        <v>5275</v>
      </c>
      <c r="C85" s="107"/>
      <c r="D85" s="517" t="s">
        <v>4943</v>
      </c>
      <c r="E85" s="107"/>
      <c r="F85" s="107"/>
      <c r="G85" s="107"/>
      <c r="H85" s="168"/>
      <c r="I85" s="168"/>
      <c r="J85" s="107"/>
      <c r="K85" s="3155"/>
      <c r="L85" s="3161"/>
      <c r="M85" s="3162"/>
      <c r="N85" s="3162"/>
      <c r="O85" s="252">
        <v>0.0</v>
      </c>
      <c r="P85" s="252">
        <v>1.0</v>
      </c>
      <c r="Q85" s="252">
        <v>1.0</v>
      </c>
      <c r="R85" s="3152" t="b">
        <v>1</v>
      </c>
      <c r="S85" s="1775" t="b">
        <v>0</v>
      </c>
      <c r="T85" s="1775" t="b">
        <v>0</v>
      </c>
      <c r="U85" s="107"/>
      <c r="V85" s="107"/>
    </row>
    <row r="86">
      <c r="A86" s="223"/>
      <c r="B86" s="224"/>
      <c r="C86" s="225"/>
      <c r="D86" s="225"/>
      <c r="E86" s="226"/>
      <c r="F86" s="226"/>
      <c r="G86" s="226"/>
      <c r="H86" s="227"/>
      <c r="I86" s="227"/>
      <c r="J86" s="228"/>
      <c r="K86" s="228"/>
      <c r="L86" s="228"/>
      <c r="M86" s="228"/>
      <c r="N86" s="228"/>
      <c r="O86" s="228"/>
      <c r="P86" s="228"/>
      <c r="Q86" s="118"/>
      <c r="R86" s="118"/>
      <c r="S86" s="118"/>
      <c r="T86" s="118"/>
      <c r="U86" s="118"/>
      <c r="V86" s="118"/>
    </row>
    <row r="87">
      <c r="A87" s="264" t="s">
        <v>211</v>
      </c>
      <c r="B87" s="104"/>
      <c r="C87" s="227"/>
      <c r="D87" s="227"/>
      <c r="E87" s="228"/>
      <c r="F87" s="265"/>
      <c r="G87" s="265"/>
      <c r="H87" s="228"/>
      <c r="I87" s="228"/>
      <c r="J87" s="228"/>
      <c r="K87" s="228"/>
      <c r="L87" s="228"/>
      <c r="M87" s="228"/>
      <c r="N87" s="118"/>
      <c r="O87" s="118"/>
      <c r="P87" s="118"/>
      <c r="Q87" s="228"/>
      <c r="R87" s="228"/>
      <c r="S87" s="228"/>
      <c r="T87" s="228"/>
      <c r="U87" s="228"/>
      <c r="V87" s="228"/>
    </row>
    <row r="88" outlineLevel="1">
      <c r="A88" s="106"/>
      <c r="B88" s="107"/>
      <c r="C88" s="266" t="s">
        <v>48</v>
      </c>
      <c r="D88" s="266" t="s">
        <v>49</v>
      </c>
      <c r="E88" s="266" t="s">
        <v>50</v>
      </c>
      <c r="F88" s="267" t="s">
        <v>51</v>
      </c>
      <c r="G88" s="227"/>
      <c r="H88" s="227"/>
      <c r="I88" s="227"/>
      <c r="J88" s="228"/>
      <c r="K88" s="228"/>
      <c r="L88" s="228"/>
      <c r="M88" s="228"/>
      <c r="N88" s="228"/>
      <c r="O88" s="228"/>
      <c r="P88" s="228"/>
      <c r="Q88" s="228"/>
      <c r="R88" s="228"/>
      <c r="S88" s="228"/>
      <c r="T88" s="228"/>
      <c r="U88" s="228"/>
      <c r="V88" s="228"/>
    </row>
    <row r="89" outlineLevel="1">
      <c r="A89" s="268" t="s">
        <v>212</v>
      </c>
      <c r="B89" s="269" t="s">
        <v>212</v>
      </c>
      <c r="C89" s="113" t="s">
        <v>213</v>
      </c>
      <c r="D89" s="113" t="s">
        <v>86</v>
      </c>
      <c r="E89" s="113" t="s">
        <v>169</v>
      </c>
      <c r="F89" s="138">
        <f>IFERROR(IFS(E89="-","-",LEN(E89)-LEN(SUBSTITUTE(E89,"/",""))=0,MULTIPLY(E89,1.2),LEN(E89)-LEN(SUBSTITUTE(E89,"/",""))=1,MULTIPLY(LEFT(E89,FIND("/",E89)-1),1.2)&amp;"/"&amp;MULTIPLY(MID(E89,FIND("/",E89)+1,10),1.2),LEN(E89)-LEN(SUBSTITUTE(E89,"/",""))=2,MULTIPLY(LEFT(E89,FIND("!",SUBSTITUTE(E89,"/","!",1))-1),1.2)&amp;"/"&amp;MULTIPLY(MID(E89,FIND("!",SUBSTITUTE(E89,"/","!",1))+1,FIND("!",SUBSTITUTE(E89,"/","!",2))-FIND("!",SUBSTITUTE(E89,"/","!",1))-1),1.2)&amp;"/"&amp;MULTIPLY(RIGHT(E89,LEN(E89)-FIND("!",SUBSTITUTE(E89,"/","!",2))),1.2),LEN(E89)-LEN(SUBSTITUTE(E89,"/",""))=3,MULTIPLY(LEFT(E89,FIND("!",SUBSTITUTE(E89,"/","!",1))-1),1.2)&amp;"/"&amp;MULTIPLY(MID(E89,FIND("!",SUBSTITUTE(E89,"/","!",1))+1,FIND("!",SUBSTITUTE(E89,"/","!",2))-FIND("!",SUBSTITUTE(E89,"/","!",1))-1),1.2)&amp;"/"&amp;MULTIPLY(MID(E89,FIND("!",SUBSTITUTE(E89,"/","!",2))+1,FIND("!",SUBSTITUTE(E89,"/","!",3))-FIND("!",SUBSTITUTE(E89,"/","!",2))-1),1.2)&amp;"/"&amp;MULTIPLY(RIGHT(E89,LEN(E89)-FIND("!",SUBSTITUTE(E89,"/","!",3))),1.2),LEN(E89)-LEN(SUBSTITUTE(E89,"/",""))=4,MULTIPLY(LEFT(E89,FIND("!",SUBSTITUTE(E89,"/","!",1))-1),1.2)&amp;"/"&amp;MULTIPLY(MID(E89,FIND("!",SUBSTITUTE(E89,"/","!",1))+1,FIND("!",SUBSTITUTE(E89,"/","!",2))-FIND("!",SUBSTITUTE(E89,"/","!",1))-1),1.2)&amp;"/"&amp;MULTIPLY(MID(E89,FIND("!",SUBSTITUTE(E89,"/","!",2))+1,FIND("!",SUBSTITUTE(E89,"/","!",3))-FIND("!",SUBSTITUTE(E89,"/","!",2))-1),1.2)&amp;"/"&amp;MULTIPLY(MID(E89,FIND("!",SUBSTITUTE(E89,"/","!",3))+1,FIND("!",SUBSTITUTE(E89,"/","!",4))-FIND("!",SUBSTITUTE(E89,"/","!",3))-1),1.2)&amp;"/"&amp;MULTIPLY(RIGHT(E89,LEN(E89)-FIND("!",SUBSTITUTE(E89,"/","!",4))),1.2)),"")</f>
        <v>1.68</v>
      </c>
      <c r="G89" s="227"/>
      <c r="H89" s="227"/>
      <c r="I89" s="227"/>
      <c r="J89" s="228"/>
      <c r="K89" s="228"/>
      <c r="L89" s="228"/>
      <c r="M89" s="228"/>
      <c r="N89" s="228"/>
      <c r="O89" s="228"/>
      <c r="P89" s="228"/>
      <c r="Q89" s="228"/>
      <c r="R89" s="228"/>
      <c r="S89" s="228"/>
      <c r="T89" s="228"/>
      <c r="U89" s="228"/>
      <c r="V89" s="228"/>
    </row>
    <row r="90" outlineLevel="1">
      <c r="A90" s="270" t="s">
        <v>215</v>
      </c>
      <c r="B90" s="269" t="s">
        <v>216</v>
      </c>
      <c r="C90" s="113" t="s">
        <v>217</v>
      </c>
      <c r="D90" s="113" t="s">
        <v>218</v>
      </c>
      <c r="E90" s="271"/>
      <c r="F90" s="272"/>
      <c r="G90" s="272"/>
      <c r="H90" s="227"/>
      <c r="I90" s="227"/>
      <c r="J90" s="228"/>
      <c r="K90" s="228"/>
      <c r="L90" s="228"/>
      <c r="M90" s="228"/>
      <c r="N90" s="228"/>
      <c r="O90" s="228"/>
      <c r="P90" s="228"/>
      <c r="Q90" s="228"/>
      <c r="R90" s="228"/>
      <c r="S90" s="228"/>
      <c r="T90" s="228"/>
      <c r="U90" s="228"/>
      <c r="V90" s="228"/>
    </row>
    <row r="91" outlineLevel="1">
      <c r="A91" s="212"/>
      <c r="B91" s="269" t="s">
        <v>219</v>
      </c>
      <c r="C91" s="113" t="s">
        <v>220</v>
      </c>
      <c r="D91" s="113" t="s">
        <v>221</v>
      </c>
      <c r="E91" s="271"/>
      <c r="F91" s="272"/>
      <c r="G91" s="272"/>
      <c r="H91" s="227"/>
      <c r="I91" s="227"/>
      <c r="J91" s="228"/>
      <c r="K91" s="228"/>
      <c r="L91" s="228"/>
      <c r="M91" s="228"/>
      <c r="N91" s="228"/>
      <c r="O91" s="228"/>
      <c r="P91" s="228"/>
      <c r="Q91" s="228"/>
      <c r="R91" s="228"/>
      <c r="S91" s="228"/>
      <c r="T91" s="228"/>
      <c r="U91" s="228"/>
      <c r="V91" s="228"/>
    </row>
    <row r="92" outlineLevel="1">
      <c r="A92" s="106"/>
      <c r="B92" s="269" t="s">
        <v>222</v>
      </c>
      <c r="C92" s="113" t="s">
        <v>220</v>
      </c>
      <c r="D92" s="113" t="s">
        <v>224</v>
      </c>
      <c r="E92" s="227"/>
      <c r="F92" s="272"/>
      <c r="G92" s="272"/>
      <c r="H92" s="227"/>
      <c r="I92" s="227"/>
      <c r="J92" s="228"/>
      <c r="K92" s="228"/>
      <c r="L92" s="228"/>
      <c r="M92" s="228"/>
      <c r="N92" s="228"/>
      <c r="O92" s="228"/>
      <c r="P92" s="228"/>
      <c r="Q92" s="228"/>
      <c r="R92" s="228"/>
      <c r="S92" s="228"/>
      <c r="T92" s="228"/>
      <c r="U92" s="228"/>
      <c r="V92" s="228"/>
    </row>
    <row r="93" outlineLevel="1">
      <c r="A93" s="273" t="s">
        <v>225</v>
      </c>
      <c r="B93" s="109"/>
      <c r="C93" s="266" t="s">
        <v>48</v>
      </c>
      <c r="D93" s="266" t="s">
        <v>49</v>
      </c>
      <c r="E93" s="266" t="s">
        <v>50</v>
      </c>
      <c r="F93" s="267" t="s">
        <v>51</v>
      </c>
      <c r="G93" s="1168" t="s">
        <v>53</v>
      </c>
      <c r="H93" s="110"/>
      <c r="I93" s="110"/>
      <c r="J93" s="109"/>
      <c r="K93" s="275" t="str">
        <f>'テンプレート'!K97</f>
        <v>ベクトル</v>
      </c>
      <c r="L93" s="275" t="str">
        <f>'テンプレート'!L97</f>
        <v>KBG (R.E.)</v>
      </c>
      <c r="M93" s="275" t="str">
        <f>'テンプレート'!M97</f>
        <v>BKB (R.A.)</v>
      </c>
      <c r="N93" s="275" t="str">
        <f>'テンプレート'!N97</f>
        <v>FKB (R.F.)</v>
      </c>
      <c r="O93" s="276" t="str">
        <f>'テンプレート'!O97</f>
        <v>盾削り値</v>
      </c>
      <c r="P93" s="275" t="str">
        <f>'テンプレート'!P97</f>
        <v>ﾋｯﾄｽﾄｯﾌﾟ</v>
      </c>
      <c r="Q93" s="276" t="str">
        <f>'テンプレート'!Q97</f>
        <v>ずらし</v>
      </c>
      <c r="R93" s="277"/>
      <c r="S93" s="277"/>
      <c r="T93" s="277"/>
      <c r="U93" s="277"/>
      <c r="V93" s="277"/>
    </row>
    <row r="94" outlineLevel="1">
      <c r="A94" s="278" t="s">
        <v>226</v>
      </c>
      <c r="B94" s="269" t="s">
        <v>227</v>
      </c>
      <c r="C94" s="113" t="s">
        <v>228</v>
      </c>
      <c r="D94" s="279" t="s">
        <v>271</v>
      </c>
      <c r="E94" s="239" t="s">
        <v>204</v>
      </c>
      <c r="F94" s="138">
        <v>3.5999999999999996</v>
      </c>
      <c r="G94" s="1170"/>
      <c r="H94" s="164"/>
      <c r="I94" s="164"/>
      <c r="J94" s="104"/>
      <c r="K94" s="282"/>
      <c r="L94" s="282"/>
      <c r="M94" s="363"/>
      <c r="N94" s="363"/>
      <c r="O94" s="145">
        <v>0.0</v>
      </c>
      <c r="P94" s="145">
        <v>1.0</v>
      </c>
      <c r="Q94" s="145">
        <v>1.0</v>
      </c>
      <c r="R94" s="277"/>
      <c r="S94" s="228"/>
      <c r="T94" s="228"/>
      <c r="U94" s="228"/>
      <c r="V94" s="228"/>
    </row>
    <row r="95" outlineLevel="1">
      <c r="A95" s="156"/>
      <c r="B95" s="269" t="s">
        <v>225</v>
      </c>
      <c r="C95" s="113" t="s">
        <v>119</v>
      </c>
      <c r="D95" s="156"/>
      <c r="E95" s="239" t="s">
        <v>80</v>
      </c>
      <c r="F95" s="138">
        <v>9.6</v>
      </c>
      <c r="G95" s="106"/>
      <c r="H95" s="168"/>
      <c r="I95" s="168"/>
      <c r="J95" s="107"/>
      <c r="K95" s="282"/>
      <c r="L95" s="282"/>
      <c r="M95" s="363"/>
      <c r="N95" s="363"/>
      <c r="O95" s="261"/>
      <c r="P95" s="261"/>
      <c r="Q95" s="261"/>
      <c r="R95" s="277"/>
      <c r="S95" s="228"/>
      <c r="T95" s="228"/>
      <c r="U95" s="228"/>
      <c r="V95" s="228"/>
    </row>
    <row r="96" outlineLevel="1">
      <c r="A96" s="278" t="s">
        <v>229</v>
      </c>
      <c r="B96" s="269" t="s">
        <v>227</v>
      </c>
      <c r="C96" s="281"/>
      <c r="D96" s="279" t="s">
        <v>218</v>
      </c>
      <c r="E96" s="281"/>
      <c r="F96" s="476"/>
      <c r="G96" s="1170"/>
      <c r="H96" s="164"/>
      <c r="I96" s="164"/>
      <c r="J96" s="104"/>
      <c r="K96" s="282"/>
      <c r="L96" s="282"/>
      <c r="M96" s="363"/>
      <c r="N96" s="363"/>
      <c r="O96" s="145">
        <v>0.0</v>
      </c>
      <c r="P96" s="145">
        <v>1.0</v>
      </c>
      <c r="Q96" s="145">
        <v>1.0</v>
      </c>
      <c r="R96" s="277"/>
      <c r="S96" s="228"/>
      <c r="T96" s="228"/>
      <c r="U96" s="228"/>
      <c r="V96" s="228"/>
    </row>
    <row r="97" outlineLevel="1">
      <c r="A97" s="156"/>
      <c r="B97" s="269" t="s">
        <v>225</v>
      </c>
      <c r="C97" s="113" t="s">
        <v>296</v>
      </c>
      <c r="D97" s="156"/>
      <c r="E97" s="239" t="s">
        <v>232</v>
      </c>
      <c r="F97" s="138">
        <v>13.2</v>
      </c>
      <c r="G97" s="106"/>
      <c r="H97" s="168"/>
      <c r="I97" s="168"/>
      <c r="J97" s="107"/>
      <c r="K97" s="282"/>
      <c r="L97" s="282"/>
      <c r="M97" s="363"/>
      <c r="N97" s="363"/>
      <c r="O97" s="261"/>
      <c r="P97" s="261"/>
      <c r="Q97" s="261"/>
      <c r="R97" s="277"/>
      <c r="S97" s="228"/>
      <c r="T97" s="228"/>
      <c r="U97" s="228"/>
      <c r="V97" s="228"/>
    </row>
    <row r="98" outlineLevel="1">
      <c r="A98" s="278" t="s">
        <v>233</v>
      </c>
      <c r="B98" s="269" t="s">
        <v>227</v>
      </c>
      <c r="C98" s="239" t="s">
        <v>296</v>
      </c>
      <c r="D98" s="279" t="s">
        <v>185</v>
      </c>
      <c r="E98" s="239" t="s">
        <v>150</v>
      </c>
      <c r="F98" s="138">
        <v>6.0</v>
      </c>
      <c r="G98" s="283" t="s">
        <v>5276</v>
      </c>
      <c r="H98" s="164"/>
      <c r="I98" s="164"/>
      <c r="J98" s="104"/>
      <c r="K98" s="282"/>
      <c r="L98" s="282"/>
      <c r="M98" s="363"/>
      <c r="N98" s="363"/>
      <c r="O98" s="145">
        <v>0.0</v>
      </c>
      <c r="P98" s="145">
        <v>1.0</v>
      </c>
      <c r="Q98" s="145">
        <v>1.0</v>
      </c>
      <c r="R98" s="277"/>
      <c r="S98" s="228"/>
      <c r="T98" s="228"/>
      <c r="U98" s="228"/>
      <c r="V98" s="228"/>
    </row>
    <row r="99" outlineLevel="1">
      <c r="A99" s="156"/>
      <c r="B99" s="269" t="s">
        <v>225</v>
      </c>
      <c r="C99" s="113" t="s">
        <v>718</v>
      </c>
      <c r="D99" s="156"/>
      <c r="E99" s="239" t="s">
        <v>129</v>
      </c>
      <c r="F99" s="138">
        <v>14.399999999999999</v>
      </c>
      <c r="G99" s="106"/>
      <c r="H99" s="168"/>
      <c r="I99" s="168"/>
      <c r="J99" s="107"/>
      <c r="K99" s="282"/>
      <c r="L99" s="282"/>
      <c r="M99" s="363"/>
      <c r="N99" s="363"/>
      <c r="O99" s="261"/>
      <c r="P99" s="261"/>
      <c r="Q99" s="261"/>
      <c r="R99" s="277"/>
      <c r="S99" s="117"/>
      <c r="T99" s="117"/>
      <c r="U99" s="117"/>
      <c r="V99" s="117"/>
    </row>
    <row r="100" outlineLevel="1">
      <c r="A100" s="278" t="s">
        <v>234</v>
      </c>
      <c r="B100" s="269" t="s">
        <v>5277</v>
      </c>
      <c r="C100" s="113" t="s">
        <v>5278</v>
      </c>
      <c r="D100" s="279" t="s">
        <v>111</v>
      </c>
      <c r="E100" s="239" t="s">
        <v>535</v>
      </c>
      <c r="F100" s="138">
        <v>3.0</v>
      </c>
      <c r="G100" s="1170"/>
      <c r="H100" s="164"/>
      <c r="I100" s="164"/>
      <c r="J100" s="104"/>
      <c r="K100" s="282"/>
      <c r="L100" s="282"/>
      <c r="M100" s="363"/>
      <c r="N100" s="363"/>
      <c r="O100" s="145">
        <v>0.0</v>
      </c>
      <c r="P100" s="145">
        <v>1.0</v>
      </c>
      <c r="Q100" s="145">
        <v>1.0</v>
      </c>
      <c r="R100" s="277"/>
      <c r="S100" s="117"/>
      <c r="T100" s="117"/>
      <c r="U100" s="117"/>
      <c r="V100" s="117"/>
    </row>
    <row r="101" outlineLevel="1">
      <c r="A101" s="156"/>
      <c r="B101" s="269" t="s">
        <v>225</v>
      </c>
      <c r="C101" s="113" t="s">
        <v>271</v>
      </c>
      <c r="D101" s="156"/>
      <c r="E101" s="239" t="s">
        <v>204</v>
      </c>
      <c r="F101" s="138">
        <v>3.5999999999999996</v>
      </c>
      <c r="G101" s="106"/>
      <c r="H101" s="168"/>
      <c r="I101" s="168"/>
      <c r="J101" s="107"/>
      <c r="K101" s="282"/>
      <c r="L101" s="282"/>
      <c r="M101" s="363"/>
      <c r="N101" s="363"/>
      <c r="O101" s="261"/>
      <c r="P101" s="261"/>
      <c r="Q101" s="261"/>
      <c r="R101" s="277"/>
      <c r="S101" s="117"/>
      <c r="T101" s="117"/>
      <c r="U101" s="117"/>
      <c r="V101" s="117"/>
    </row>
    <row r="102">
      <c r="A102" s="223"/>
      <c r="B102" s="224"/>
      <c r="C102" s="225"/>
      <c r="D102" s="225"/>
      <c r="E102" s="227"/>
      <c r="F102" s="177"/>
      <c r="G102" s="177"/>
      <c r="H102" s="227"/>
      <c r="I102" s="227"/>
      <c r="J102" s="228"/>
      <c r="K102" s="228"/>
      <c r="L102" s="111"/>
      <c r="M102" s="111"/>
      <c r="N102" s="111"/>
      <c r="O102" s="117"/>
      <c r="P102" s="117"/>
      <c r="Q102" s="111"/>
      <c r="R102" s="111"/>
      <c r="S102" s="111"/>
      <c r="T102" s="111"/>
      <c r="U102" s="111"/>
      <c r="V102" s="111"/>
    </row>
    <row r="103">
      <c r="A103" s="284" t="s">
        <v>241</v>
      </c>
      <c r="B103" s="104"/>
      <c r="C103" s="265"/>
      <c r="D103" s="111"/>
      <c r="E103" s="111"/>
      <c r="F103" s="111"/>
      <c r="G103" s="111"/>
      <c r="H103" s="111"/>
      <c r="I103" s="111"/>
      <c r="J103" s="118"/>
      <c r="K103" s="111"/>
      <c r="L103" s="111"/>
      <c r="M103" s="111"/>
      <c r="N103" s="111"/>
      <c r="O103" s="111"/>
      <c r="P103" s="111"/>
      <c r="Q103" s="118"/>
      <c r="R103" s="111"/>
      <c r="S103" s="111"/>
      <c r="T103" s="111"/>
      <c r="U103" s="111"/>
      <c r="V103" s="111"/>
    </row>
    <row r="104" outlineLevel="1">
      <c r="A104" s="106"/>
      <c r="B104" s="107"/>
      <c r="C104" s="285" t="s">
        <v>235</v>
      </c>
      <c r="D104" s="285" t="s">
        <v>236</v>
      </c>
      <c r="E104" s="285" t="s">
        <v>49</v>
      </c>
      <c r="F104" s="285" t="s">
        <v>237</v>
      </c>
      <c r="G104" s="286"/>
      <c r="H104" s="227"/>
      <c r="I104" s="227"/>
      <c r="J104" s="228"/>
      <c r="K104" s="228"/>
      <c r="L104" s="111"/>
      <c r="M104" s="111"/>
      <c r="N104" s="111"/>
      <c r="O104" s="111"/>
      <c r="P104" s="111"/>
      <c r="Q104" s="111"/>
      <c r="R104" s="111"/>
      <c r="S104" s="111"/>
      <c r="T104" s="111"/>
      <c r="U104" s="111"/>
      <c r="V104" s="111"/>
    </row>
    <row r="105" outlineLevel="1">
      <c r="A105" s="287" t="s">
        <v>395</v>
      </c>
      <c r="B105" s="288" t="s">
        <v>216</v>
      </c>
      <c r="C105" s="113" t="str">
        <f t="array" ref="C105">INDEX('回避'!$C$3:$U$84, MATCH($A$1,'回避'!$A$3:$A$91,0), MATCH(C$104,'回避'!$C$2:$F$2,0))</f>
        <v>3-17</v>
      </c>
      <c r="D105" s="113" t="str">
        <f t="array" ref="D105">INDEX('回避'!$C$3:$U$84, MATCH($A$1,'回避'!$A$3:$A$91,0), MATCH(D104,'回避'!$C$2:$F$2,0))</f>
        <v>6-17</v>
      </c>
      <c r="E105" s="113" t="str">
        <f t="array" ref="E105">INDEX('回避'!$C$3:$U$84, MATCH($A$1,'回避'!$A$3:$A$91,0), MATCH(E104,'回避'!$C$2:$F$2,0))</f>
        <v>25 (20)</v>
      </c>
      <c r="F105" s="113" t="str">
        <f t="array" ref="F105">INDEX('回避'!$C$3:$U$84, MATCH($A$1,'回避'!$A$3:$A$91,0), MATCH(F104,'回避'!$C$2:$F$2,0))</f>
        <v>33 (27)</v>
      </c>
      <c r="G105" s="272"/>
      <c r="H105" s="227"/>
      <c r="I105" s="227"/>
      <c r="J105" s="228"/>
      <c r="K105" s="228"/>
      <c r="L105" s="228"/>
      <c r="M105" s="111"/>
      <c r="N105" s="111"/>
      <c r="O105" s="111"/>
      <c r="P105" s="111"/>
      <c r="Q105" s="111"/>
      <c r="R105" s="111"/>
      <c r="S105" s="111"/>
      <c r="T105" s="111"/>
      <c r="U105" s="111"/>
      <c r="V105" s="111"/>
    </row>
    <row r="106" outlineLevel="1">
      <c r="A106" s="212"/>
      <c r="B106" s="288" t="s">
        <v>245</v>
      </c>
      <c r="C106" s="113" t="str">
        <f t="array" ref="C106">INDEX('回避'!$G$3:$U$84, MATCH($A$1,'回避'!$A$3:$A$91,0), MATCH(C$104,'回避'!$G$2:$J$2,0))</f>
        <v>4-15</v>
      </c>
      <c r="D106" s="113" t="str">
        <f t="array" ref="D106">INDEX('回避'!$G$3:$U$84, MATCH($A$1,'回避'!$A$3:$A$91,0), MATCH(D$104,'回避'!$G$2:$J$2,0))</f>
        <v>8-14</v>
      </c>
      <c r="E106" s="113" t="str">
        <f t="array" ref="E106">INDEX('回避'!$G$3:$U$84, MATCH($A$1,'回避'!$A$3:$A$91,0), MATCH(E$104,'回避'!$G$2:$J$2,0))</f>
        <v>29</v>
      </c>
      <c r="F106" s="113">
        <f t="array" ref="F106">INDEX('回避'!$G$3:$U$84, MATCH($A$1,'回避'!$A$3:$A$91,0), MATCH(F$104,'回避'!$G$2:$J$2,0))</f>
        <v>38</v>
      </c>
      <c r="G106" s="289"/>
      <c r="H106" s="227"/>
      <c r="I106" s="227"/>
      <c r="J106" s="228"/>
      <c r="K106" s="228"/>
      <c r="L106" s="228"/>
      <c r="M106" s="228"/>
      <c r="N106" s="228"/>
      <c r="O106" s="111"/>
      <c r="P106" s="111"/>
      <c r="Q106" s="111"/>
      <c r="R106" s="111"/>
      <c r="S106" s="111"/>
      <c r="T106" s="111"/>
      <c r="U106" s="111"/>
      <c r="V106" s="111"/>
    </row>
    <row r="107" outlineLevel="1">
      <c r="A107" s="106"/>
      <c r="B107" s="288" t="s">
        <v>246</v>
      </c>
      <c r="C107" s="113" t="str">
        <f t="array" ref="C107">INDEX('回避'!$K$3:$U$84, MATCH($A$1,'回避'!$A$3:$A$91,0), MATCH(C$104,'回避'!$K$2:$N$2,0))</f>
        <v>5-16</v>
      </c>
      <c r="D107" s="113" t="str">
        <f t="array" ref="D107">INDEX('回避'!$K$3:$U$84, MATCH($A$1,'回避'!$A$3:$A$91,0), MATCH(D$104,'回避'!$K$2:$N$2,0))</f>
        <v>9-14</v>
      </c>
      <c r="E107" s="113" t="str">
        <f t="array" ref="E107">INDEX('回避'!$K$3:$U$84, MATCH($A$1,'回避'!$A$3:$A$91,0), MATCH(E$104,'回避'!$K$2:$N$2,0))</f>
        <v>34</v>
      </c>
      <c r="F107" s="113" t="str">
        <f t="array" ref="F107">INDEX('回避'!$K$3:$U$84, MATCH($A$1,'回避'!$A$3:$A$91,0), MATCH(F$104,'回避'!$K$2:$N$2,0))</f>
        <v>51</v>
      </c>
      <c r="G107" s="289"/>
      <c r="H107" s="290"/>
      <c r="I107" s="290"/>
      <c r="J107" s="117"/>
      <c r="K107" s="117"/>
      <c r="L107" s="117"/>
      <c r="M107" s="117"/>
      <c r="N107" s="117"/>
      <c r="O107" s="111"/>
      <c r="P107" s="111"/>
      <c r="Q107" s="111"/>
      <c r="R107" s="111"/>
      <c r="S107" s="111"/>
      <c r="T107" s="111"/>
      <c r="U107" s="111"/>
      <c r="V107" s="111"/>
    </row>
    <row r="108" outlineLevel="1">
      <c r="A108" s="287" t="s">
        <v>396</v>
      </c>
      <c r="B108" s="288" t="s">
        <v>397</v>
      </c>
      <c r="C108" s="113" t="str">
        <f t="array" ref="C108">INDEX('回避'!$O$3:$U$84, MATCH($A$1,'回避'!$A$3:$A$91,0), MATCH(C$104,'回避'!$O$2:$R$2,0))</f>
        <v>3-30</v>
      </c>
      <c r="D108" s="113" t="str">
        <f t="array" ref="D108">INDEX('回避'!$O$3:$U$84, MATCH($A$1,'回避'!$A$3:$A$91,0), MATCH(D$104,'回避'!$O$2:$R$2,0))</f>
        <v>6-27</v>
      </c>
      <c r="E108" s="113" t="str">
        <f t="array" ref="E108">INDEX('回避'!$O$3:$U$84, MATCH($A$1,'回避'!$A$3:$A$91,0), MATCH(E$104,'回避'!$O$2:$R$2,0))</f>
        <v>42</v>
      </c>
      <c r="F108" s="177"/>
      <c r="G108" s="177"/>
      <c r="H108" s="118"/>
      <c r="I108" s="118"/>
      <c r="J108" s="111"/>
      <c r="K108" s="111"/>
      <c r="L108" s="111"/>
      <c r="M108" s="111"/>
      <c r="N108" s="111"/>
      <c r="O108" s="228"/>
      <c r="P108" s="228"/>
      <c r="Q108" s="228"/>
      <c r="R108" s="228"/>
      <c r="S108" s="228"/>
      <c r="T108" s="228"/>
      <c r="U108" s="228"/>
      <c r="V108" s="228"/>
    </row>
    <row r="109" outlineLevel="1">
      <c r="A109" s="106"/>
      <c r="B109" s="288" t="s">
        <v>398</v>
      </c>
      <c r="C109" s="113" t="str">
        <f t="array" ref="C109">INDEX('回避'!$S$3:$U$84, MATCH($A$1,'回避'!$A$3:$A$91,0), MATCH(C$104,'回避'!$S$2:$U$2,0))</f>
        <v>3-21</v>
      </c>
      <c r="D109" s="113" t="str">
        <f t="array" ref="D109">INDEX('回避'!$S$3:$U$84, MATCH($A$1,'回避'!$A$3:$A$91,0), MATCH(D$104,'回避'!$S$2:$U$2,0))</f>
        <v>6-20</v>
      </c>
      <c r="E109" s="113" t="str">
        <f t="array" ref="E109">INDEX('回避'!$S$3:$U$84, MATCH($A$1,'回避'!$A$3:$A$91,0), MATCH(E$104,'回避'!$S$2:$U$2,0))</f>
        <v>真横：69
真上：88
真下：58</v>
      </c>
      <c r="F109" s="289"/>
      <c r="G109" s="289"/>
      <c r="H109" s="118"/>
      <c r="I109" s="118"/>
      <c r="J109" s="117"/>
      <c r="K109" s="117"/>
      <c r="L109" s="117"/>
      <c r="M109" s="117"/>
      <c r="N109" s="111"/>
      <c r="O109" s="118"/>
      <c r="P109" s="118"/>
      <c r="Q109" s="118"/>
      <c r="R109" s="118"/>
      <c r="S109" s="118"/>
      <c r="T109" s="118"/>
      <c r="U109" s="118"/>
      <c r="V109" s="118"/>
    </row>
    <row r="110">
      <c r="A110" s="291"/>
      <c r="B110" s="292"/>
      <c r="C110" s="286"/>
      <c r="D110" s="286"/>
      <c r="E110" s="293"/>
      <c r="F110" s="286"/>
      <c r="G110" s="286"/>
      <c r="H110" s="286"/>
      <c r="I110" s="286"/>
      <c r="J110" s="111"/>
      <c r="K110" s="227"/>
      <c r="L110" s="227"/>
      <c r="M110" s="227"/>
      <c r="N110" s="227"/>
      <c r="O110" s="118"/>
      <c r="P110" s="118"/>
      <c r="Q110" s="118"/>
      <c r="R110" s="118"/>
      <c r="S110" s="118"/>
      <c r="T110" s="118"/>
      <c r="U110" s="118"/>
      <c r="V110" s="118"/>
    </row>
    <row r="111">
      <c r="A111" s="294" t="s">
        <v>238</v>
      </c>
      <c r="B111" s="104"/>
      <c r="C111" s="228"/>
      <c r="D111" s="117"/>
      <c r="E111" s="228"/>
      <c r="F111" s="114"/>
      <c r="G111" s="114"/>
      <c r="H111" s="117"/>
      <c r="I111" s="117"/>
      <c r="J111" s="118"/>
      <c r="K111" s="118"/>
      <c r="L111" s="118"/>
      <c r="M111" s="118"/>
      <c r="N111" s="118"/>
      <c r="O111" s="118"/>
      <c r="P111" s="118"/>
      <c r="Q111" s="118"/>
      <c r="R111" s="118"/>
      <c r="S111" s="118"/>
      <c r="T111" s="118"/>
      <c r="U111" s="118"/>
      <c r="V111" s="118"/>
    </row>
    <row r="112" outlineLevel="1">
      <c r="A112" s="106"/>
      <c r="B112" s="107"/>
      <c r="C112" s="295" t="s">
        <v>235</v>
      </c>
      <c r="D112" s="295" t="s">
        <v>49</v>
      </c>
      <c r="E112" s="295" t="s">
        <v>48</v>
      </c>
      <c r="F112" s="295" t="s">
        <v>50</v>
      </c>
      <c r="G112" s="296" t="s">
        <v>51</v>
      </c>
      <c r="H112" s="228"/>
      <c r="I112" s="228"/>
      <c r="J112" s="117"/>
      <c r="K112" s="297" t="str">
        <f>'テンプレート'!K116</f>
        <v>アイテム取得</v>
      </c>
      <c r="L112" s="109"/>
      <c r="M112" s="298" t="str">
        <f>'テンプレート'!M116</f>
        <v>取得フレーム</v>
      </c>
      <c r="N112" s="298" t="str">
        <f>'テンプレート'!N116</f>
        <v>全体フレーム</v>
      </c>
      <c r="O112" s="118"/>
      <c r="P112" s="118"/>
      <c r="Q112" s="118"/>
      <c r="R112" s="118"/>
      <c r="S112" s="118"/>
      <c r="T112" s="118"/>
      <c r="U112" s="118"/>
      <c r="V112" s="118"/>
    </row>
    <row r="113" outlineLevel="1">
      <c r="A113" s="299" t="s">
        <v>239</v>
      </c>
      <c r="B113" s="300" t="s">
        <v>240</v>
      </c>
      <c r="C113" s="301"/>
      <c r="D113" s="113">
        <f t="array" ref="D113">INDEX('崖行動・受け身'!$C$3:$C110, MATCH($A$1,'崖行動・受け身'!$A$3:$A$115,0), MATCH(D112,'崖行動・受け身'!$C$2,0))</f>
        <v>19</v>
      </c>
      <c r="E113" s="301"/>
      <c r="F113" s="301"/>
      <c r="G113" s="301"/>
      <c r="H113" s="228"/>
      <c r="I113" s="228"/>
      <c r="J113" s="111"/>
      <c r="K113" s="302" t="str">
        <f>'テンプレート'!K117</f>
        <v>小アイテム</v>
      </c>
      <c r="L113" s="303" t="str">
        <f>'テンプレート'!L117</f>
        <v>その場</v>
      </c>
      <c r="M113" s="113" t="str">
        <f t="array" ref="M113">INDEX('アイテム'!$C$3:$D$115, MATCH($A$1,'アイテム'!$A$3:$A$115,0), MATCH(M$112,'アイテム'!$C$2:$AK$2,0))</f>
        <v>2</v>
      </c>
      <c r="N113" s="113">
        <f t="array" ref="N113">INDEX('アイテム'!$C$3:$D$115, MATCH($A$1,'アイテム'!$A$3:$A$115,0), MATCH(N$112,'アイテム'!$C$2:$AK$2,0))</f>
        <v>7</v>
      </c>
      <c r="O113" s="118"/>
      <c r="P113" s="118"/>
      <c r="Q113" s="118"/>
      <c r="R113" s="118"/>
      <c r="S113" s="118"/>
      <c r="T113" s="118"/>
      <c r="U113" s="118"/>
      <c r="V113" s="118"/>
    </row>
    <row r="114" outlineLevel="1">
      <c r="A114" s="146"/>
      <c r="B114" s="300" t="s">
        <v>216</v>
      </c>
      <c r="C114" s="113" t="str">
        <f t="array" ref="C114">INDEX('崖行動・受け身'!$D$3:$E110, MATCH($A$1,'崖行動・受け身'!$A$3:$A$115,0), MATCH(C112,'崖行動・受け身'!$D$2:$E$2,0))</f>
        <v>1-33</v>
      </c>
      <c r="D114" s="113">
        <f t="array" ref="D114">INDEX('崖行動・受け身'!$D$3:$E110, MATCH($A$1,'崖行動・受け身'!$A$3:$A$115,0), MATCH(D112,'崖行動・受け身'!$D$2:$E$2,0))</f>
        <v>34</v>
      </c>
      <c r="E114" s="301"/>
      <c r="F114" s="301"/>
      <c r="G114" s="301"/>
      <c r="H114" s="228"/>
      <c r="I114" s="228"/>
      <c r="J114" s="117"/>
      <c r="K114" s="156"/>
      <c r="L114" s="303" t="str">
        <f>'テンプレート'!L118</f>
        <v>歩き</v>
      </c>
      <c r="M114" s="113" t="str">
        <f t="array" ref="M114">INDEX('アイテム'!$E$3:$F$115, MATCH($A$1,'アイテム'!$A$3:$A$115,0), MATCH(M$112,'アイテム'!$E$2:$AK$2,0))</f>
        <v>2</v>
      </c>
      <c r="N114" s="113">
        <f t="array" ref="N114">INDEX('アイテム'!$E$3:$F$115, MATCH($A$1,'アイテム'!$A$3:$A$115,0), MATCH(N$112,'アイテム'!$E$2:$AK$2,0))</f>
        <v>19</v>
      </c>
      <c r="O114" s="118"/>
      <c r="P114" s="118"/>
      <c r="Q114" s="118"/>
      <c r="R114" s="118"/>
      <c r="S114" s="118"/>
      <c r="T114" s="118"/>
      <c r="U114" s="118"/>
      <c r="V114" s="118"/>
    </row>
    <row r="115" outlineLevel="1">
      <c r="A115" s="146"/>
      <c r="B115" s="300" t="s">
        <v>241</v>
      </c>
      <c r="C115" s="113" t="str">
        <f t="array" ref="C115">INDEX('崖行動・受け身'!$F$3:$G$115, MATCH($A$1,'崖行動・受け身'!$A$3:$A$115,0), MATCH(C112,'崖行動・受け身'!$F$2:$G$2,0))</f>
        <v>1-25</v>
      </c>
      <c r="D115" s="113">
        <f t="array" ref="D115">INDEX('崖行動・受け身'!$F$3:$G$115, MATCH($A$1,'崖行動・受け身'!$A$3:$A$115,0), MATCH(D112,'崖行動・受け身'!$F$2:$G$2,0))</f>
        <v>45</v>
      </c>
      <c r="E115" s="301"/>
      <c r="F115" s="301"/>
      <c r="G115" s="301"/>
      <c r="H115" s="228"/>
      <c r="I115" s="228"/>
      <c r="J115" s="111"/>
      <c r="K115" s="304" t="str">
        <f>'テンプレート'!K119</f>
        <v>アイテム投擲</v>
      </c>
      <c r="L115" s="109"/>
      <c r="M115" s="298" t="str">
        <f>'テンプレート'!M119</f>
        <v>投擲フレーム</v>
      </c>
      <c r="N115" s="298" t="str">
        <f>'テンプレート'!N119</f>
        <v>全体フレーム</v>
      </c>
      <c r="O115" s="118"/>
      <c r="P115" s="118"/>
      <c r="Q115" s="118"/>
      <c r="R115" s="118"/>
      <c r="S115" s="118"/>
      <c r="T115" s="118"/>
      <c r="U115" s="118"/>
      <c r="V115" s="118"/>
    </row>
    <row r="116" outlineLevel="1">
      <c r="A116" s="146"/>
      <c r="B116" s="300" t="s">
        <v>242</v>
      </c>
      <c r="C116" s="113" t="str">
        <f t="array" ref="C116">INDEX('崖行動・受け身'!$H$3:$I$115, MATCH($A$1,'崖行動・受け身'!$A$3:$A$115,0), MATCH(C112,'崖行動・受け身'!$H$2:$I$2,0))</f>
        <v>1-12</v>
      </c>
      <c r="D116" s="113">
        <f t="array" ref="D116">INDEX('崖行動・受け身'!$H$3:$I$115, MATCH($A$1,'崖行動・受け身'!$A$3:$A$115,0), MATCH(D112,'崖行動・受け身'!$H$2:$I$2,0))</f>
        <v>14</v>
      </c>
      <c r="E116" s="301"/>
      <c r="F116" s="301"/>
      <c r="G116" s="301"/>
      <c r="H116" s="228"/>
      <c r="I116" s="228"/>
      <c r="J116" s="117"/>
      <c r="K116" s="1030" t="str">
        <f>'テンプレート'!K120</f>
        <v>地上投擲</v>
      </c>
      <c r="L116" s="303" t="str">
        <f>'テンプレート'!L120</f>
        <v>前投げ</v>
      </c>
      <c r="M116" s="113" t="str">
        <f t="array" ref="M116">INDEX('アイテム'!$G$3:$H$115, MATCH($A$1,'アイテム'!$A$3:$A$115,0), MATCH(M$115,'アイテム'!$G$2:$AK$2,0))</f>
        <v>8</v>
      </c>
      <c r="N116" s="113">
        <f t="array" ref="N116">INDEX('アイテム'!$G$3:$H$115, MATCH($A$1,'アイテム'!$A$3:$A$115,0), MATCH(N$115,'アイテム'!$G$2:$AK$2,0))</f>
        <v>24</v>
      </c>
      <c r="O116" s="111"/>
      <c r="P116" s="111"/>
      <c r="Q116" s="111"/>
      <c r="R116" s="111"/>
      <c r="S116" s="111"/>
      <c r="T116" s="111"/>
      <c r="U116" s="111"/>
      <c r="V116" s="111"/>
    </row>
    <row r="117" outlineLevel="1">
      <c r="A117" s="156"/>
      <c r="B117" s="300" t="s">
        <v>243</v>
      </c>
      <c r="C117" s="113" t="str">
        <f t="array" ref="C117">INDEX('崖行動・受け身'!$J$3:$M$115, MATCH($A$1,'崖行動・受け身'!$A$3:$A$115,0), MATCH(C112,'崖行動・受け身'!$J$2:$M$2,0))</f>
        <v>1-23</v>
      </c>
      <c r="D117" s="113">
        <f t="array" ref="D117">INDEX('崖行動・受け身'!$J$3:$M$115, MATCH($A$1,'崖行動・受け身'!$A$3:$A$115,0), MATCH(D112,'崖行動・受け身'!$J$2:$M$2,0))</f>
        <v>55</v>
      </c>
      <c r="E117" s="113" t="str">
        <f t="array" ref="E117">INDEX('崖行動・受け身'!$J$3:$M$115, MATCH($A$1,'崖行動・受け身'!$A$3:$A$115,0), MATCH(E112,'崖行動・受け身'!$J$2:$M$2,0))</f>
        <v>21-23</v>
      </c>
      <c r="F117" s="113">
        <f t="array" ref="F117">INDEX('崖行動・受け身'!$J$3:$M$115, MATCH($A$1,'崖行動・受け身'!$A$3:$A$115,0), MATCH(F112,'崖行動・受け身'!$J$2:$M$2,0))</f>
        <v>10</v>
      </c>
      <c r="G117" s="113">
        <f>F117*1.2</f>
        <v>12</v>
      </c>
      <c r="H117" s="228"/>
      <c r="I117" s="228"/>
      <c r="J117" s="111"/>
      <c r="K117" s="146"/>
      <c r="L117" s="303" t="str">
        <f>'テンプレート'!L121</f>
        <v>後投げ</v>
      </c>
      <c r="M117" s="113" t="str">
        <f t="array" ref="M117">INDEX('アイテム'!$I$3:$J$115, MATCH($A$1,'アイテム'!$A$3:$A$115,0), MATCH(M$115,'アイテム'!$I$2:$AK$2,0))</f>
        <v>11</v>
      </c>
      <c r="N117" s="113">
        <f t="array" ref="N117">INDEX('アイテム'!$I$3:$J$115, MATCH($A$1,'アイテム'!$A$3:$A$115,0), MATCH(N$115,'アイテム'!$I$2:$AK$2,0))</f>
        <v>24</v>
      </c>
      <c r="O117" s="111"/>
      <c r="P117" s="111"/>
      <c r="Q117" s="111"/>
      <c r="R117" s="111"/>
      <c r="S117" s="111"/>
      <c r="T117" s="111"/>
      <c r="U117" s="111"/>
      <c r="V117" s="111"/>
    </row>
    <row r="118" outlineLevel="1">
      <c r="A118" s="299" t="s">
        <v>244</v>
      </c>
      <c r="B118" s="300" t="s">
        <v>216</v>
      </c>
      <c r="C118" s="113" t="str">
        <f t="array" ref="C118">INDEX('崖行動・受け身'!$N$3:$O$115, MATCH($A$1,'崖行動・受け身'!$A$3:$A$115,0), MATCH(C112,'崖行動・受け身'!$N$2:$O$2,0))</f>
        <v>1-20</v>
      </c>
      <c r="D118" s="113">
        <f t="array" ref="D118">INDEX('崖行動・受け身'!$N$3:$O$115, MATCH($A$1,'崖行動・受け身'!$A$3:$A$115,0), MATCH(D112,'崖行動・受け身'!$N$2:$O$2,0))</f>
        <v>26</v>
      </c>
      <c r="E118" s="301"/>
      <c r="F118" s="301"/>
      <c r="G118" s="301"/>
      <c r="H118" s="228"/>
      <c r="I118" s="228"/>
      <c r="J118" s="117"/>
      <c r="K118" s="146"/>
      <c r="L118" s="303" t="str">
        <f>'テンプレート'!L122</f>
        <v>上投げ</v>
      </c>
      <c r="M118" s="113" t="str">
        <f t="array" ref="M118">INDEX('アイテム'!$K$3:$L$115, MATCH($A$1,'アイテム'!$A$3:$A$115,0), MATCH(M$115,'アイテム'!$K$2:$AK$2,0))</f>
        <v>12</v>
      </c>
      <c r="N118" s="113">
        <f t="array" ref="N118">INDEX('アイテム'!$K$3:$L$115, MATCH($A$1,'アイテム'!$A$3:$A$115,0), MATCH(N$115,'アイテム'!$K$2:$AK$2,0))</f>
        <v>23</v>
      </c>
      <c r="O118" s="228"/>
      <c r="P118" s="228"/>
      <c r="Q118" s="228"/>
      <c r="R118" s="228"/>
      <c r="S118" s="228"/>
      <c r="T118" s="228"/>
      <c r="U118" s="228"/>
      <c r="V118" s="228"/>
    </row>
    <row r="119" outlineLevel="1">
      <c r="A119" s="146"/>
      <c r="B119" s="300" t="s">
        <v>245</v>
      </c>
      <c r="C119" s="113" t="str">
        <f t="array" ref="C119">INDEX('崖行動・受け身'!$P$3:$Q$115, MATCH($A$1,'崖行動・受け身'!$A$3:$A$115,0), MATCH(C112,'崖行動・受け身'!$P$2:$Q$2,0))</f>
        <v>1-20</v>
      </c>
      <c r="D119" s="113">
        <f t="array" ref="D119">INDEX('崖行動・受け身'!$P$3:$Q$115, MATCH($A$1,'崖行動・受け身'!$A$3:$A$115,0), MATCH(D112,'崖行動・受け身'!$P$2:$Q$2,0))</f>
        <v>40</v>
      </c>
      <c r="E119" s="301"/>
      <c r="F119" s="301"/>
      <c r="G119" s="301"/>
      <c r="H119" s="228"/>
      <c r="I119" s="228"/>
      <c r="J119" s="111"/>
      <c r="K119" s="146"/>
      <c r="L119" s="303" t="str">
        <f>'テンプレート'!L123</f>
        <v>下投げ</v>
      </c>
      <c r="M119" s="113" t="str">
        <f t="array" ref="M119">INDEX('アイテム'!$M$3:$N$115, MATCH($A$1,'アイテム'!$A$3:$A$115,0), MATCH(M$115,'アイテム'!$M$2:$AK$2,0))</f>
        <v>7</v>
      </c>
      <c r="N119" s="113">
        <f t="array" ref="N119">INDEX('アイテム'!$M$3:$N$115, MATCH($A$1,'アイテム'!$A$3:$A$115,0), MATCH(N$115,'アイテム'!$M$2:$AK$2,0))</f>
        <v>19</v>
      </c>
      <c r="O119" s="118"/>
      <c r="P119" s="118"/>
      <c r="Q119" s="118"/>
      <c r="R119" s="118"/>
      <c r="S119" s="118"/>
      <c r="T119" s="118"/>
      <c r="U119" s="118"/>
      <c r="V119" s="118"/>
    </row>
    <row r="120" outlineLevel="1">
      <c r="A120" s="156"/>
      <c r="B120" s="300" t="s">
        <v>246</v>
      </c>
      <c r="C120" s="113" t="str">
        <f t="array" ref="C120">INDEX('崖行動・受け身'!$R$3:$S$115, MATCH($A$1,'崖行動・受け身'!$A$3:$A$115,0), MATCH(C112,'崖行動・受け身'!$R$2:$S$2,0))</f>
        <v>1-20</v>
      </c>
      <c r="D120" s="113">
        <f t="array" ref="D120">INDEX('崖行動・受け身'!$R$3:$S$115, MATCH($A$1,'崖行動・受け身'!$A$3:$A$115,0), MATCH(D112,'崖行動・受け身'!$R$2:$S$2,0))</f>
        <v>40</v>
      </c>
      <c r="E120" s="301"/>
      <c r="F120" s="301"/>
      <c r="G120" s="301"/>
      <c r="H120" s="228"/>
      <c r="I120" s="228"/>
      <c r="J120" s="117"/>
      <c r="K120" s="146"/>
      <c r="L120" s="306" t="str">
        <f>'テンプレート'!L124</f>
        <v>ダッシュ</v>
      </c>
      <c r="M120" s="113" t="str">
        <f t="array" ref="M120">INDEX('アイテム'!$O$3:$P$115, MATCH($A$1,'アイテム'!$A$3:$A$115,0), MATCH(M$115,'アイテム'!$O$2:$AK$2,0))</f>
        <v>5</v>
      </c>
      <c r="N120" s="113">
        <f t="array" ref="N120">INDEX('アイテム'!$O$3:$P$115, MATCH($A$1,'アイテム'!$A$3:$A$115,0), MATCH(N$115,'アイテム'!$O$2:$AK$2,0))</f>
        <v>29</v>
      </c>
      <c r="O120" s="118"/>
      <c r="P120" s="118"/>
      <c r="Q120" s="118"/>
      <c r="R120" s="118"/>
      <c r="S120" s="118"/>
      <c r="T120" s="118"/>
      <c r="U120" s="118"/>
      <c r="V120" s="118"/>
    </row>
    <row r="121" outlineLevel="1">
      <c r="A121" s="299" t="s">
        <v>247</v>
      </c>
      <c r="B121" s="300" t="s">
        <v>248</v>
      </c>
      <c r="C121" s="301"/>
      <c r="D121" s="113" t="str">
        <f t="array" ref="D121">INDEX('起きあがり'!$C$3:$C110, MATCH($A$1,'起きあがり'!$A$3:$A$115,0), MATCH(D112,'起きあがり'!$C$2:$AD$2,0))</f>
        <v>25</v>
      </c>
      <c r="E121" s="301"/>
      <c r="F121" s="301"/>
      <c r="G121" s="301"/>
      <c r="H121" s="228"/>
      <c r="I121" s="228"/>
      <c r="J121" s="111"/>
      <c r="K121" s="156"/>
      <c r="L121" s="306" t="str">
        <f>'テンプレート'!L125</f>
        <v>その場捨て</v>
      </c>
      <c r="M121" s="113" t="str">
        <f t="array" ref="M121">INDEX('アイテム'!$Q$3:$R$115, MATCH($A$1,'アイテム'!$A$3:$A$115,0), MATCH(M$115,'アイテム'!$Q$2:$AK$2,0))</f>
        <v>6</v>
      </c>
      <c r="N121" s="113">
        <f t="array" ref="N121">INDEX('アイテム'!$Q$3:$R$115, MATCH($A$1,'アイテム'!$A$3:$A$115,0), MATCH(N$115,'アイテム'!$Q$2:$AK$2,0))</f>
        <v>23</v>
      </c>
      <c r="O121" s="118"/>
      <c r="P121" s="118"/>
      <c r="Q121" s="118"/>
      <c r="R121" s="118"/>
      <c r="S121" s="118"/>
      <c r="T121" s="118"/>
      <c r="U121" s="118"/>
      <c r="V121" s="118"/>
    </row>
    <row r="122" outlineLevel="1">
      <c r="A122" s="146"/>
      <c r="B122" s="300" t="s">
        <v>216</v>
      </c>
      <c r="C122" s="307" t="str">
        <f t="array" ref="C122">INDEX('起きあがり'!$D$3:$E110, MATCH($A$1,'起きあがり'!$A$3:$A$115,0), MATCH(C112,'起きあがり'!$D$2:$AD$2,0))</f>
        <v>1-22</v>
      </c>
      <c r="D122" s="308">
        <f t="array" ref="D122">INDEX('起きあがり'!$D$3:$E110, MATCH($A$1,'起きあがり'!$A$3:$A$115,0), MATCH(D112,'起きあがり'!$D$2:$AD$2,0))</f>
        <v>29</v>
      </c>
      <c r="E122" s="301"/>
      <c r="F122" s="301"/>
      <c r="G122" s="301"/>
      <c r="H122" s="228"/>
      <c r="I122" s="228"/>
      <c r="J122" s="117"/>
      <c r="K122" s="1030" t="str">
        <f>'テンプレート'!K126</f>
        <v>空中投擲</v>
      </c>
      <c r="L122" s="303" t="str">
        <f>'テンプレート'!L126</f>
        <v>前投げ</v>
      </c>
      <c r="M122" s="113" t="str">
        <f t="array" ref="M122">INDEX('アイテム'!$S$3:$T$115, MATCH($A$1,'アイテム'!$A$3:$A$115,0), MATCH(M$115,'アイテム'!$S$2:$AK$2,0))</f>
        <v>8</v>
      </c>
      <c r="N122" s="113">
        <f t="array" ref="N122">INDEX('アイテム'!$S$3:$T$115, MATCH($A$1,'アイテム'!$A$3:$A$115,0), MATCH(N$115,'アイテム'!$S$2:$AK$2,0))</f>
        <v>24</v>
      </c>
      <c r="O122" s="118"/>
      <c r="P122" s="118"/>
      <c r="Q122" s="118"/>
      <c r="R122" s="118"/>
      <c r="S122" s="118"/>
      <c r="T122" s="118"/>
      <c r="U122" s="118"/>
      <c r="V122" s="118"/>
    </row>
    <row r="123" outlineLevel="1">
      <c r="A123" s="146"/>
      <c r="B123" s="300" t="s">
        <v>245</v>
      </c>
      <c r="C123" s="307" t="str">
        <f t="array" ref="C123">INDEX('起きあがり'!$F$3:$G$115, MATCH($A$1,'起きあがり'!$A$3:$A$115,0), MATCH(C112,'起きあがり'!$F$2:$AD$2,0))</f>
        <v>1-21</v>
      </c>
      <c r="D123" s="308">
        <f t="array" ref="D123">INDEX('起きあがり'!$F$3:$G$115, MATCH($A$1,'起きあがり'!$A$3:$A$115,0), MATCH(D112,'起きあがり'!$F$2:$AD$2,0))</f>
        <v>35</v>
      </c>
      <c r="E123" s="301"/>
      <c r="F123" s="301"/>
      <c r="G123" s="301"/>
      <c r="H123" s="228"/>
      <c r="I123" s="228"/>
      <c r="J123" s="111"/>
      <c r="K123" s="146"/>
      <c r="L123" s="303" t="str">
        <f>'テンプレート'!L127</f>
        <v>後投げ</v>
      </c>
      <c r="M123" s="113" t="str">
        <f t="array" ref="M123">INDEX('アイテム'!$U$3:$V$115, MATCH($A$1,'アイテム'!$A$3:$A$115,0), MATCH(M$115,'アイテム'!$U$2:$AK$2,0))</f>
        <v>11</v>
      </c>
      <c r="N123" s="113">
        <f t="array" ref="N123">INDEX('アイテム'!$U$3:$V$115, MATCH($A$1,'アイテム'!$A$3:$A$115,0), MATCH(N$115,'アイテム'!$U$2:$AK$2,0))</f>
        <v>24</v>
      </c>
      <c r="O123" s="118"/>
      <c r="P123" s="118"/>
      <c r="Q123" s="118"/>
      <c r="R123" s="118"/>
      <c r="S123" s="118"/>
      <c r="T123" s="118"/>
      <c r="U123" s="118"/>
      <c r="V123" s="118"/>
    </row>
    <row r="124" outlineLevel="1">
      <c r="A124" s="146"/>
      <c r="B124" s="300" t="s">
        <v>246</v>
      </c>
      <c r="C124" s="113" t="str">
        <f t="array" ref="C124">INDEX('起きあがり'!$H$3:$I$115, MATCH($A$1,'起きあがり'!$A$3:$A$115,0), MATCH(C112,'起きあがり'!$H$2:$AD$2,0))</f>
        <v>1-22</v>
      </c>
      <c r="D124" s="113">
        <f t="array" ref="D124">INDEX('起きあがり'!$H$3:$I$115, MATCH($A$1,'起きあがり'!$A$3:$A$115,0), MATCH(D112,'起きあがり'!$H$2:$AD$2,0))</f>
        <v>35</v>
      </c>
      <c r="E124" s="301"/>
      <c r="F124" s="301"/>
      <c r="G124" s="301"/>
      <c r="H124" s="228"/>
      <c r="I124" s="228"/>
      <c r="J124" s="117"/>
      <c r="K124" s="146"/>
      <c r="L124" s="303" t="str">
        <f>'テンプレート'!L128</f>
        <v>上投げ</v>
      </c>
      <c r="M124" s="113" t="str">
        <f t="array" ref="M124">INDEX('アイテム'!$W$3:$X$115, MATCH($A$1,'アイテム'!$A$3:$A$115,0), MATCH(M$115,'アイテム'!$W$2:$AK$2,0))</f>
        <v>12</v>
      </c>
      <c r="N124" s="113">
        <f t="array" ref="N124">INDEX('アイテム'!$W$3:$X$115, MATCH($A$1,'アイテム'!$A$3:$A$115,0), MATCH(N$115,'アイテム'!$W$2:$AK$2,0))</f>
        <v>23</v>
      </c>
      <c r="O124" s="118"/>
      <c r="P124" s="118"/>
      <c r="Q124" s="118"/>
      <c r="R124" s="118"/>
      <c r="S124" s="118"/>
      <c r="T124" s="118"/>
      <c r="U124" s="118"/>
      <c r="V124" s="118"/>
    </row>
    <row r="125" outlineLevel="1">
      <c r="A125" s="146"/>
      <c r="B125" s="300" t="s">
        <v>249</v>
      </c>
      <c r="C125" s="309" t="str">
        <f t="array" ref="C125">INDEX('起きあがり'!$J$3:$M$115, MATCH($A$1,'起きあがり'!$A$3:$A$115,0), MATCH(C112,'起きあがり'!$J$2:$AD$2,0))</f>
        <v>1-25</v>
      </c>
      <c r="D125" s="310">
        <f t="array" ref="D125">INDEX('起きあがり'!$J$3:$M$115, MATCH($A$1,'起きあがり'!$A$3:$A$115,0), MATCH(D112,'起きあがり'!$J$2:$AD$2,0))</f>
        <v>45</v>
      </c>
      <c r="E125" s="307" t="str">
        <f t="array" ref="E125">INDEX('起きあがり'!$J$3:$M$115, MATCH($A$1,'起きあがり'!$A$3:$A$115,0), MATCH(E112,'起きあがり'!$J$2:$AD$2,0))</f>
        <v>19-20</v>
      </c>
      <c r="F125" s="308">
        <f t="array" ref="F125">INDEX('起きあがり'!$J$3:$M$115, MATCH($A$1,'起きあがり'!$A$3:$A$115,0), MATCH(F112,'起きあがり'!$J$2:$AD$2,0))</f>
        <v>7</v>
      </c>
      <c r="G125" s="113">
        <f t="shared" ref="G125:G126" si="1">F125*1.2</f>
        <v>8.4</v>
      </c>
      <c r="H125" s="228"/>
      <c r="I125" s="228"/>
      <c r="J125" s="111"/>
      <c r="K125" s="156"/>
      <c r="L125" s="303" t="str">
        <f>'テンプレート'!L129</f>
        <v>下投げ</v>
      </c>
      <c r="M125" s="113" t="str">
        <f t="array" ref="M125">INDEX('アイテム'!$Y$3:$Z$115, MATCH($A$1,'アイテム'!$A$3:$A$115,0), MATCH(M$115,'アイテム'!$Y$2:$AK$2,0))</f>
        <v>7</v>
      </c>
      <c r="N125" s="113">
        <f t="array" ref="N125">INDEX('アイテム'!$Y$3:$Z$115, MATCH($A$1,'アイテム'!$A$3:$A$115,0), MATCH(N$115,'アイテム'!$Y$2:$AK$2,0))</f>
        <v>19</v>
      </c>
      <c r="O125" s="111"/>
      <c r="P125" s="111"/>
      <c r="Q125" s="111"/>
      <c r="R125" s="111"/>
      <c r="S125" s="111"/>
      <c r="T125" s="111"/>
      <c r="U125" s="111"/>
      <c r="V125" s="111"/>
    </row>
    <row r="126" outlineLevel="1">
      <c r="A126" s="156"/>
      <c r="B126" s="311" t="s">
        <v>250</v>
      </c>
      <c r="C126" s="156"/>
      <c r="D126" s="156"/>
      <c r="E126" s="307" t="str">
        <f t="array" ref="E126">INDEX('起きあがり'!$N$3:$O$115, MATCH($A$1,'起きあがり'!$A$3:$A$115,0), MATCH(E112,'起きあがり'!$N$2:$AD$2,0))</f>
        <v>24-25</v>
      </c>
      <c r="F126" s="308">
        <f t="array" ref="F126">INDEX('起きあがり'!$N$3:$O$115, MATCH($A$1,'起きあがり'!$A$3:$A$115,0), MATCH(F112,'起きあがり'!$N$2:$AD$2,0))</f>
        <v>7</v>
      </c>
      <c r="G126" s="113">
        <f t="shared" si="1"/>
        <v>8.4</v>
      </c>
      <c r="H126" s="228"/>
      <c r="I126" s="228"/>
      <c r="J126" s="111"/>
      <c r="K126" s="312" t="str">
        <f>'テンプレート'!K130</f>
        <v>踏み台ジャンプ</v>
      </c>
      <c r="L126" s="168"/>
      <c r="M126" s="298" t="str">
        <f>'テンプレート'!M130</f>
        <v>全体フレーム</v>
      </c>
      <c r="N126" s="114"/>
      <c r="O126" s="111"/>
      <c r="P126" s="111"/>
      <c r="Q126" s="111"/>
      <c r="R126" s="111"/>
      <c r="S126" s="111"/>
      <c r="T126" s="111"/>
      <c r="U126" s="111"/>
      <c r="V126" s="111"/>
    </row>
    <row r="127" outlineLevel="1">
      <c r="A127" s="299" t="s">
        <v>251</v>
      </c>
      <c r="B127" s="300" t="s">
        <v>248</v>
      </c>
      <c r="C127" s="301"/>
      <c r="D127" s="307" t="str">
        <f t="array" ref="D127">INDEX('起きあがり'!$C$3:$C110, MATCH($A$1,'起きあがり'!$A$3:$A$115,0), MATCH(D112,'起きあがり'!$C$2,0))</f>
        <v>25</v>
      </c>
      <c r="E127" s="301"/>
      <c r="F127" s="301"/>
      <c r="G127" s="301"/>
      <c r="H127" s="228"/>
      <c r="I127" s="228"/>
      <c r="J127" s="117"/>
      <c r="K127" s="313" t="str">
        <f>'テンプレート'!K131</f>
        <v>踏み</v>
      </c>
      <c r="L127" s="314" t="str">
        <f>'テンプレート'!L131</f>
        <v>踏み</v>
      </c>
      <c r="M127" s="113" t="str">
        <f t="array" ref="M127">INDEX('共通動作その他'!$C$3:$C$102, MATCH($A$1,'共通動作その他'!$A$3:$A$102,0), MATCH(M$126,'共通動作その他'!$C$2:$AA$2,0))</f>
        <v>-</v>
      </c>
      <c r="N127" s="315"/>
      <c r="O127" s="111"/>
      <c r="P127" s="111"/>
      <c r="Q127" s="111"/>
      <c r="R127" s="111"/>
      <c r="S127" s="111"/>
      <c r="T127" s="111"/>
      <c r="U127" s="111"/>
      <c r="V127" s="111"/>
    </row>
    <row r="128" outlineLevel="1">
      <c r="A128" s="146"/>
      <c r="B128" s="300" t="s">
        <v>216</v>
      </c>
      <c r="C128" s="307" t="str">
        <f t="array" ref="C128">INDEX('起きあがり'!$P$3:$Q$115, MATCH($A$1,'起きあがり'!$A$3:$A$115,0), MATCH(C112,'起きあがり'!$P$2:$AD$2,0))</f>
        <v>1-22</v>
      </c>
      <c r="D128" s="308">
        <f t="array" ref="D128">INDEX('起きあがり'!$P$3:$Q$115, MATCH($A$1,'起きあがり'!$A$3:$A$115,0), MATCH(D112,'起きあがり'!$P$2:$AD$2,0))</f>
        <v>29</v>
      </c>
      <c r="E128" s="301"/>
      <c r="F128" s="301"/>
      <c r="G128" s="301"/>
      <c r="H128" s="228"/>
      <c r="I128" s="228"/>
      <c r="J128" s="111"/>
      <c r="K128" s="305" t="str">
        <f>'テンプレート'!K132</f>
        <v>踏まれ</v>
      </c>
      <c r="L128" s="314" t="str">
        <f>'テンプレート'!L132</f>
        <v>地上踏まれ</v>
      </c>
      <c r="M128" s="113" t="str">
        <f t="array" ref="M128">INDEX('共通動作その他'!$D$3:$D$102, MATCH($A$1,'共通動作その他'!$A$3:$A$102,0), MATCH(M$126,'共通動作その他'!$D$2:$AA$2,0))</f>
        <v>-</v>
      </c>
      <c r="N128" s="315"/>
      <c r="O128" s="228"/>
      <c r="P128" s="228"/>
      <c r="Q128" s="228"/>
      <c r="R128" s="228"/>
      <c r="S128" s="228"/>
      <c r="T128" s="228"/>
      <c r="U128" s="228"/>
      <c r="V128" s="228"/>
    </row>
    <row r="129" outlineLevel="1">
      <c r="A129" s="146"/>
      <c r="B129" s="300" t="s">
        <v>245</v>
      </c>
      <c r="C129" s="307" t="str">
        <f t="array" ref="C129">INDEX('起きあがり'!$R$3:$S$115, MATCH($A$1,'起きあがり'!$A$3:$A$115,0), MATCH(C112,'起きあがり'!$R$2:$AD$2,0))</f>
        <v>1-19</v>
      </c>
      <c r="D129" s="308">
        <f t="array" ref="D129">INDEX('起きあがり'!$R$3:$S$115, MATCH($A$1,'起きあがり'!$A$3:$A$115,0), MATCH(D112,'起きあがり'!$R$2:$AD$2,0))</f>
        <v>35</v>
      </c>
      <c r="E129" s="301"/>
      <c r="F129" s="301"/>
      <c r="G129" s="301"/>
      <c r="H129" s="228"/>
      <c r="I129" s="228"/>
      <c r="J129" s="117"/>
      <c r="K129" s="146"/>
      <c r="L129" s="314" t="str">
        <f>'テンプレート'!L133</f>
        <v>地上硬直</v>
      </c>
      <c r="M129" s="113" t="str">
        <f t="array" ref="M129">INDEX('共通動作その他'!$E$3:$E$102, MATCH($A$1,'共通動作その他'!$A$3:$A$102,0), MATCH(M$126,'共通動作その他'!$E$2:$AA$2,0))</f>
        <v>-</v>
      </c>
      <c r="N129" s="102"/>
      <c r="O129" s="118"/>
      <c r="P129" s="118"/>
      <c r="Q129" s="118"/>
      <c r="R129" s="118"/>
      <c r="S129" s="118"/>
      <c r="T129" s="118"/>
      <c r="U129" s="118"/>
      <c r="V129" s="118"/>
    </row>
    <row r="130" outlineLevel="1">
      <c r="A130" s="146"/>
      <c r="B130" s="300" t="s">
        <v>246</v>
      </c>
      <c r="C130" s="307" t="str">
        <f t="array" ref="C130">INDEX('起きあがり'!$T$3:$U$115, MATCH($A$1,'起きあがり'!$A$3:$A$115,0), MATCH(C112,'起きあがり'!$T$2:$AD$2,0))</f>
        <v>1-24</v>
      </c>
      <c r="D130" s="308">
        <f t="array" ref="D130">INDEX('起きあがり'!$T$3:$U$115, MATCH($A$1,'起きあがり'!$A$3:$A$115,0), MATCH(D112,'起きあがり'!$T$2:$AD$2,0))</f>
        <v>35</v>
      </c>
      <c r="E130" s="301"/>
      <c r="F130" s="301"/>
      <c r="G130" s="301"/>
      <c r="H130" s="228"/>
      <c r="I130" s="228"/>
      <c r="J130" s="111"/>
      <c r="K130" s="146"/>
      <c r="L130" s="314" t="str">
        <f>'テンプレート'!L134</f>
        <v>空中踏まれ</v>
      </c>
      <c r="M130" s="113" t="str">
        <f t="array" ref="M130">INDEX('共通動作その他'!$F$3:$F$102, MATCH($A$1,'共通動作その他'!$A$3:$A$102,0), MATCH(M$126,'共通動作その他'!$F$2:$AA$2,0))</f>
        <v>-</v>
      </c>
      <c r="N130" s="102"/>
      <c r="O130" s="118"/>
      <c r="P130" s="118"/>
      <c r="Q130" s="118"/>
      <c r="R130" s="118"/>
      <c r="S130" s="118"/>
      <c r="T130" s="118"/>
      <c r="U130" s="118"/>
      <c r="V130" s="118"/>
    </row>
    <row r="131" outlineLevel="1">
      <c r="A131" s="146"/>
      <c r="B131" s="300" t="s">
        <v>249</v>
      </c>
      <c r="C131" s="309" t="str">
        <f t="array" ref="C131">INDEX('起きあがり'!$V$3:$Y$115, MATCH($A$1,'起きあがり'!$A$3:$A$115,0), MATCH(C112,'起きあがり'!$V$2:$AD$2,0))</f>
        <v>1-25</v>
      </c>
      <c r="D131" s="310">
        <f t="array" ref="D131">INDEX('起きあがり'!$V$3:$Y$115, MATCH($A$1,'起きあがり'!$A$3:$A$115,0), MATCH(D112,'起きあがり'!$V$2:$AD$2,0))</f>
        <v>45</v>
      </c>
      <c r="E131" s="307" t="str">
        <f t="array" ref="E131">INDEX('起きあがり'!$V$3:$Y$115, MATCH($A$1,'起きあがり'!$A$3:$A$115,0), MATCH(E112,'起きあがり'!$V$2:$AD$2,0))</f>
        <v>19-20</v>
      </c>
      <c r="F131" s="308">
        <f t="array" ref="F131">INDEX('起きあがり'!$V$3:$Y$115, MATCH($A$1,'起きあがり'!$A$3:$A$115,0), MATCH(F112,'起きあがり'!$V$2:$AD$2,0))</f>
        <v>7</v>
      </c>
      <c r="G131" s="113">
        <f t="shared" ref="G131:G132" si="2">F131*1.2</f>
        <v>8.4</v>
      </c>
      <c r="H131" s="228"/>
      <c r="I131" s="228"/>
      <c r="J131" s="117"/>
      <c r="K131" s="146"/>
      <c r="L131" s="314" t="str">
        <f>'テンプレート'!L135</f>
        <v>空中落下</v>
      </c>
      <c r="M131" s="113" t="str">
        <f t="array" ref="M131">INDEX('共通動作その他'!$G$3:$G$102, MATCH($A$1,'共通動作その他'!$A$3:$A$102,0), MATCH(M$126,'共通動作その他'!$G$2:$AA$2,0))</f>
        <v>-</v>
      </c>
      <c r="N131" s="102"/>
      <c r="O131" s="118"/>
      <c r="P131" s="118"/>
      <c r="Q131" s="118"/>
      <c r="R131" s="118"/>
      <c r="S131" s="118"/>
      <c r="T131" s="118"/>
      <c r="U131" s="118"/>
      <c r="V131" s="118"/>
    </row>
    <row r="132" outlineLevel="1">
      <c r="A132" s="156"/>
      <c r="B132" s="311" t="s">
        <v>250</v>
      </c>
      <c r="C132" s="156"/>
      <c r="D132" s="156"/>
      <c r="E132" s="307" t="str">
        <f t="array" ref="E132">INDEX('起きあがり'!$Z$3:$AA$115, MATCH($A$1,'起きあがり'!$A$3:$A$115,0), MATCH(E112,'起きあがり'!$Z$2:$AD$2,0))</f>
        <v>24-25</v>
      </c>
      <c r="F132" s="308">
        <f t="array" ref="F132">INDEX('起きあがり'!$Z$3:$AA$115, MATCH($A$1,'起きあがり'!$A$3:$A$115,0), MATCH(F112,'起きあがり'!$Z$2:$AD$2,0))</f>
        <v>7</v>
      </c>
      <c r="G132" s="113">
        <f t="shared" si="2"/>
        <v>8.4</v>
      </c>
      <c r="H132" s="228"/>
      <c r="I132" s="228"/>
      <c r="J132" s="117"/>
      <c r="K132" s="304" t="str">
        <f>'テンプレート'!K136</f>
        <v>倒れダメージ</v>
      </c>
      <c r="L132" s="110"/>
      <c r="M132" s="298" t="str">
        <f>'テンプレート'!M136</f>
        <v>全体フレーム</v>
      </c>
      <c r="N132" s="102"/>
      <c r="O132" s="118"/>
      <c r="P132" s="118"/>
      <c r="Q132" s="118"/>
      <c r="R132" s="118"/>
      <c r="S132" s="118"/>
      <c r="T132" s="118"/>
      <c r="U132" s="118"/>
      <c r="V132" s="118"/>
    </row>
    <row r="133" outlineLevel="1">
      <c r="A133" s="299" t="s">
        <v>252</v>
      </c>
      <c r="B133" s="300" t="s">
        <v>253</v>
      </c>
      <c r="C133" s="307" t="str">
        <f t="array" ref="C133">INDEX('転倒'!$C$3:$D110, MATCH($A$1,'転倒'!$A$3:$A$115,0), MATCH(C112,'転倒'!$C$2:$AC$2,0))</f>
        <v>1-5</v>
      </c>
      <c r="D133" s="308">
        <f t="array" ref="D133">INDEX('転倒'!$C$3:$D110, MATCH($A$1,'転倒'!$A$3:$A$115,0), MATCH(D112,'転倒'!$C$2:$AC$2,0))</f>
        <v>29</v>
      </c>
      <c r="E133" s="301"/>
      <c r="F133" s="301"/>
      <c r="G133" s="301"/>
      <c r="H133" s="228"/>
      <c r="I133" s="228"/>
      <c r="J133" s="111"/>
      <c r="K133" s="313" t="str">
        <f>'テンプレート'!K137</f>
        <v>あお向け倒れ</v>
      </c>
      <c r="L133" s="306" t="str">
        <f>'テンプレート'!L137</f>
        <v>モーション大</v>
      </c>
      <c r="M133" s="113" t="str">
        <f t="array" ref="M133">INDEX('共通動作その他'!$H$3:$H$102, MATCH($A$1,'共通動作その他'!$A$3:$A$102,0), MATCH(M$132,'共通動作その他'!$H$2:$AA$2,0))</f>
        <v>-</v>
      </c>
      <c r="N133" s="315"/>
      <c r="O133" s="118"/>
      <c r="P133" s="118"/>
      <c r="Q133" s="118"/>
      <c r="R133" s="118"/>
      <c r="S133" s="118"/>
      <c r="T133" s="118"/>
      <c r="U133" s="118"/>
      <c r="V133" s="118"/>
    </row>
    <row r="134" outlineLevel="1">
      <c r="A134" s="146"/>
      <c r="B134" s="300" t="s">
        <v>254</v>
      </c>
      <c r="C134" s="307" t="str">
        <f t="array" ref="C134">INDEX('転倒'!$E$3:$F110, MATCH($A$1,'転倒'!$A$3:$A$115,0), MATCH(C112,'転倒'!$E$2:$AC$2,0))</f>
        <v>1-5</v>
      </c>
      <c r="D134" s="308">
        <f t="array" ref="D134">INDEX('転倒'!$E$3:$F110, MATCH($A$1,'転倒'!$A$3:$A$115,0), MATCH(D112,'転倒'!$E$2:$AC$2,0))</f>
        <v>39</v>
      </c>
      <c r="E134" s="301"/>
      <c r="F134" s="301"/>
      <c r="G134" s="301"/>
      <c r="H134" s="228"/>
      <c r="I134" s="228"/>
      <c r="J134" s="117"/>
      <c r="K134" s="313" t="str">
        <f>'テンプレート'!K138</f>
        <v>うつ伏せ倒れ</v>
      </c>
      <c r="L134" s="306" t="str">
        <f>'テンプレート'!L138</f>
        <v>モーション大</v>
      </c>
      <c r="M134" s="113" t="str">
        <f t="array" ref="M134">INDEX('共通動作その他'!$I$3:$I$102, MATCH($A$1,'共通動作その他'!$A$3:$A$102,0), MATCH(M$132,'共通動作その他'!$I$2:$AA$2,0))</f>
        <v>-</v>
      </c>
      <c r="N134" s="315"/>
      <c r="O134" s="118"/>
      <c r="P134" s="118"/>
      <c r="Q134" s="118"/>
      <c r="R134" s="118"/>
      <c r="S134" s="118"/>
      <c r="T134" s="118"/>
      <c r="U134" s="118"/>
      <c r="V134" s="118"/>
    </row>
    <row r="135" outlineLevel="1">
      <c r="A135" s="146"/>
      <c r="B135" s="300" t="s">
        <v>216</v>
      </c>
      <c r="C135" s="307" t="str">
        <f t="array" ref="C135">INDEX('転倒'!$G$3:$H$115, MATCH($A$1,'転倒'!$A$3:$A$115,0), MATCH(C112,'転倒'!$G$2:$AC$2,0))</f>
        <v>1-16</v>
      </c>
      <c r="D135" s="308">
        <f t="array" ref="D135">INDEX('転倒'!$G$3:$H$115, MATCH($A$1,'転倒'!$A$3:$A$115,0), MATCH(D112,'転倒'!$G$2:$AC$2,0))</f>
        <v>21</v>
      </c>
      <c r="E135" s="301"/>
      <c r="F135" s="301"/>
      <c r="G135" s="301"/>
      <c r="H135" s="228"/>
      <c r="I135" s="228"/>
      <c r="J135" s="111"/>
      <c r="K135" s="304" t="str">
        <f>'テンプレート'!K139</f>
        <v/>
      </c>
      <c r="L135" s="110"/>
      <c r="M135" s="298" t="str">
        <f>'テンプレート'!M139</f>
        <v/>
      </c>
      <c r="N135" s="102"/>
      <c r="O135" s="118"/>
      <c r="P135" s="118"/>
      <c r="Q135" s="118"/>
      <c r="R135" s="118"/>
      <c r="S135" s="118"/>
      <c r="T135" s="118"/>
      <c r="U135" s="118"/>
      <c r="V135" s="118"/>
    </row>
    <row r="136" outlineLevel="1">
      <c r="A136" s="146"/>
      <c r="B136" s="300" t="s">
        <v>245</v>
      </c>
      <c r="C136" s="307" t="str">
        <f t="array" ref="C136">INDEX('転倒'!$I$3:$J$115, MATCH($A$1,'転倒'!$A$3:$A$115,0), MATCH(C112,'転倒'!$I$2:$AC$2,0))</f>
        <v>1-9</v>
      </c>
      <c r="D136" s="308">
        <f t="array" ref="D136">INDEX('転倒'!$I$3:$J$115, MATCH($A$1,'転倒'!$A$3:$A$115,0), MATCH(D112,'転倒'!$I$2:$AC$2,0))</f>
        <v>28</v>
      </c>
      <c r="E136" s="301"/>
      <c r="F136" s="301"/>
      <c r="G136" s="301"/>
      <c r="H136" s="228"/>
      <c r="I136" s="228"/>
      <c r="J136" s="228"/>
      <c r="K136" s="316" t="str">
        <f>'テンプレート'!K140</f>
        <v/>
      </c>
      <c r="L136" s="317" t="str">
        <f>'テンプレート'!L140</f>
        <v/>
      </c>
      <c r="M136" s="113" t="str">
        <f t="array" ref="M136">INDEX('共通動作その他'!$J$3:$J$102, MATCH($A$1,'共通動作その他'!$A$3:$A$102,0), MATCH(M$135,'共通動作その他'!$J$2:$AA$2,0))</f>
        <v>#N/A</v>
      </c>
      <c r="N136" s="102"/>
      <c r="O136" s="118"/>
      <c r="P136" s="118"/>
      <c r="Q136" s="118"/>
      <c r="R136" s="118"/>
      <c r="S136" s="118"/>
      <c r="T136" s="118"/>
      <c r="U136" s="118"/>
      <c r="V136" s="118"/>
    </row>
    <row r="137" outlineLevel="1">
      <c r="A137" s="146"/>
      <c r="B137" s="300" t="s">
        <v>246</v>
      </c>
      <c r="C137" s="307" t="str">
        <f t="array" ref="C137">INDEX('転倒'!$K$3:$L$115, MATCH($A$1,'転倒'!$A$3:$A$115,0), MATCH(C112,'転倒'!$K$2:$AC$2,0))</f>
        <v>1-9</v>
      </c>
      <c r="D137" s="308">
        <f t="array" ref="D137">INDEX('転倒'!$K$3:$L$115, MATCH($A$1,'転倒'!$A$3:$A$115,0), MATCH(D112,'転倒'!$K$2:$AC$2,0))</f>
        <v>28</v>
      </c>
      <c r="E137" s="301"/>
      <c r="F137" s="301"/>
      <c r="G137" s="301"/>
      <c r="H137" s="228"/>
      <c r="I137" s="228"/>
      <c r="J137" s="228"/>
      <c r="K137" s="102"/>
      <c r="L137" s="118"/>
      <c r="M137" s="118"/>
      <c r="N137" s="102"/>
      <c r="O137" s="118"/>
      <c r="P137" s="118"/>
      <c r="Q137" s="118"/>
      <c r="R137" s="118"/>
      <c r="S137" s="118"/>
      <c r="T137" s="118"/>
      <c r="U137" s="118"/>
      <c r="V137" s="118"/>
    </row>
    <row r="138" outlineLevel="1">
      <c r="A138" s="146"/>
      <c r="B138" s="300" t="s">
        <v>249</v>
      </c>
      <c r="C138" s="309" t="str">
        <f t="array" ref="C138">INDEX('転倒'!$M$3:$P$115, MATCH($A$1,'転倒'!$A$3:$A$115,0), MATCH(C112,'転倒'!$M$2:$AC$2,0))</f>
        <v>1-7</v>
      </c>
      <c r="D138" s="310">
        <f t="array" ref="D138">INDEX('転倒'!$M$3:$P$115, MATCH($A$1,'転倒'!$A$3:$A$115,0), MATCH(D112,'転倒'!$M$2:$AC$2,0))</f>
        <v>49</v>
      </c>
      <c r="E138" s="307" t="str">
        <f t="array" ref="E138">INDEX('転倒'!$M$3:$P$115, MATCH($A$1,'転倒'!$A$3:$A$115,0), MATCH(E112,'転倒'!$M$2:$AC$2,0))</f>
        <v>19-20</v>
      </c>
      <c r="F138" s="308">
        <f t="array" ref="F138">INDEX('転倒'!$M$3:$P$115, MATCH($A$1,'転倒'!$A$3:$A$115,0), MATCH(F112,'転倒'!$M$2:$AC$2,0))</f>
        <v>5</v>
      </c>
      <c r="G138" s="113">
        <f t="shared" ref="G138:G139" si="3">F138*1.2</f>
        <v>6</v>
      </c>
      <c r="H138" s="228"/>
      <c r="I138" s="228"/>
      <c r="J138" s="228"/>
      <c r="K138" s="118"/>
      <c r="L138" s="118"/>
      <c r="M138" s="118"/>
      <c r="N138" s="102"/>
      <c r="O138" s="102"/>
      <c r="P138" s="102"/>
      <c r="Q138" s="102"/>
      <c r="R138" s="118"/>
      <c r="S138" s="118"/>
      <c r="T138" s="118"/>
      <c r="U138" s="118"/>
      <c r="V138" s="118"/>
    </row>
    <row r="139" outlineLevel="1">
      <c r="A139" s="156"/>
      <c r="B139" s="311" t="s">
        <v>250</v>
      </c>
      <c r="C139" s="156"/>
      <c r="D139" s="156"/>
      <c r="E139" s="307" t="str">
        <f t="array" ref="E139">INDEX('転倒'!$Q$3:$R$115, MATCH($A$1,'転倒'!$A$3:$A$115,0), MATCH(E112,'転倒'!$Q$2:$AC$2,0))</f>
        <v>31-32</v>
      </c>
      <c r="F139" s="308">
        <f t="array" ref="F139">INDEX('転倒'!$Q$3:$R$115, MATCH($A$1,'転倒'!$A$3:$A$115,0), MATCH(F112,'転倒'!$Q$2:$AC$2,0))</f>
        <v>5</v>
      </c>
      <c r="G139" s="113">
        <f t="shared" si="3"/>
        <v>6</v>
      </c>
      <c r="H139" s="228"/>
      <c r="I139" s="228"/>
      <c r="J139" s="228"/>
      <c r="K139" s="118"/>
      <c r="L139" s="118"/>
      <c r="M139" s="118"/>
      <c r="N139" s="102"/>
      <c r="O139" s="102"/>
      <c r="P139" s="102"/>
      <c r="Q139" s="102"/>
      <c r="R139" s="118"/>
      <c r="S139" s="118"/>
      <c r="T139" s="118"/>
      <c r="U139" s="118"/>
      <c r="V139" s="118"/>
    </row>
    <row r="140" outlineLevel="1">
      <c r="A140" s="319"/>
      <c r="B140" s="320"/>
      <c r="C140" s="321"/>
      <c r="D140" s="321"/>
      <c r="E140" s="322"/>
      <c r="F140" s="322"/>
      <c r="G140" s="114"/>
      <c r="H140" s="228"/>
      <c r="I140" s="228"/>
      <c r="J140" s="228"/>
      <c r="K140" s="118"/>
      <c r="L140" s="118"/>
      <c r="M140" s="118"/>
      <c r="N140" s="102"/>
      <c r="O140" s="102"/>
      <c r="P140" s="102"/>
      <c r="Q140" s="102"/>
      <c r="R140" s="118"/>
      <c r="S140" s="118"/>
      <c r="T140" s="118"/>
      <c r="U140" s="118"/>
      <c r="V140" s="118"/>
    </row>
    <row r="141" outlineLevel="1">
      <c r="A141" s="323" t="s">
        <v>255</v>
      </c>
      <c r="B141" s="109"/>
      <c r="C141" s="321"/>
      <c r="D141" s="321"/>
      <c r="E141" s="322"/>
      <c r="F141" s="322"/>
      <c r="G141" s="114"/>
      <c r="H141" s="228"/>
      <c r="I141" s="228"/>
      <c r="J141" s="228"/>
      <c r="K141" s="118"/>
      <c r="L141" s="118"/>
      <c r="M141" s="118"/>
      <c r="N141" s="102"/>
      <c r="O141" s="102"/>
      <c r="P141" s="102"/>
      <c r="Q141" s="102"/>
      <c r="R141" s="118"/>
      <c r="S141" s="118"/>
      <c r="T141" s="118"/>
      <c r="U141" s="118"/>
      <c r="V141" s="118"/>
    </row>
    <row r="142" outlineLevel="1">
      <c r="A142" s="324" t="s">
        <v>256</v>
      </c>
      <c r="B142" s="109"/>
      <c r="C142" s="325" t="s">
        <v>257</v>
      </c>
      <c r="D142" s="325" t="s">
        <v>49</v>
      </c>
      <c r="E142" s="322"/>
      <c r="F142" s="322"/>
      <c r="G142" s="114"/>
      <c r="H142" s="228"/>
      <c r="I142" s="228"/>
      <c r="J142" s="228"/>
      <c r="K142" s="118"/>
      <c r="L142" s="118"/>
      <c r="M142" s="118"/>
      <c r="N142" s="102"/>
      <c r="O142" s="102"/>
      <c r="P142" s="102"/>
      <c r="Q142" s="102"/>
      <c r="R142" s="118"/>
      <c r="S142" s="118"/>
      <c r="T142" s="118"/>
      <c r="U142" s="118"/>
      <c r="V142" s="118"/>
    </row>
    <row r="143" outlineLevel="1">
      <c r="A143" s="326" t="s">
        <v>258</v>
      </c>
      <c r="B143" s="327" t="s">
        <v>216</v>
      </c>
      <c r="C143" s="328" t="str">
        <f t="array" ref="C143">INDEX('アイテム'!$C$3:$D$114, MATCH($A$1,'アイテム'!$A$3:$A$114,0), MATCH(C142,'アイテム'!$C$2:$AQ$2,0))</f>
        <v>2</v>
      </c>
      <c r="D143" s="328">
        <f t="array" ref="D143">INDEX('アイテム'!$C$3:$D$114, MATCH($A$1,'アイテム'!$A$3:$A$114,0), MATCH(D142,'アイテム'!$C$2:$AQ$2,0))</f>
        <v>7</v>
      </c>
      <c r="E143" s="322"/>
      <c r="F143" s="322"/>
      <c r="G143" s="114"/>
      <c r="H143" s="228"/>
      <c r="I143" s="228"/>
      <c r="J143" s="228"/>
      <c r="K143" s="118"/>
      <c r="L143" s="118"/>
      <c r="M143" s="118"/>
      <c r="N143" s="102"/>
      <c r="O143" s="102"/>
      <c r="P143" s="102"/>
      <c r="Q143" s="102"/>
      <c r="R143" s="118"/>
      <c r="S143" s="118"/>
      <c r="T143" s="118"/>
      <c r="U143" s="118"/>
      <c r="V143" s="118"/>
    </row>
    <row r="144" outlineLevel="1">
      <c r="A144" s="156"/>
      <c r="B144" s="327" t="s">
        <v>219</v>
      </c>
      <c r="C144" s="328" t="str">
        <f t="array" ref="C144">INDEX('アイテム'!$E$3:$F$114, MATCH($A$1,'アイテム'!$A$3:$A$114,0), MATCH(C142,'アイテム'!$C$2:$AQ$2,0))</f>
        <v>2</v>
      </c>
      <c r="D144" s="328">
        <f t="array" ref="D144">INDEX('アイテム'!$E$3:$F$114, MATCH($A$1,'アイテム'!$A$3:$A$114,0), MATCH(D142,'アイテム'!$C$2:$AQ$2,0))</f>
        <v>19</v>
      </c>
      <c r="E144" s="322"/>
      <c r="F144" s="322"/>
      <c r="G144" s="114"/>
      <c r="H144" s="228"/>
      <c r="I144" s="228"/>
      <c r="J144" s="228"/>
      <c r="K144" s="118"/>
      <c r="L144" s="118"/>
      <c r="M144" s="118"/>
      <c r="N144" s="102"/>
      <c r="O144" s="102"/>
      <c r="P144" s="102"/>
      <c r="Q144" s="102"/>
      <c r="R144" s="118"/>
      <c r="S144" s="118"/>
      <c r="T144" s="118"/>
      <c r="U144" s="118"/>
      <c r="V144" s="118"/>
    </row>
    <row r="145" outlineLevel="1">
      <c r="A145" s="329" t="s">
        <v>259</v>
      </c>
      <c r="B145" s="327" t="s">
        <v>216</v>
      </c>
      <c r="C145" s="328">
        <f t="array" ref="C145">INDEX('アイテム'!$AA$3:$AB$114, MATCH($A$1,'アイテム'!$A$3:$A$114,0), MATCH(C142,'アイテム'!$C$2:$AQ$2,0))</f>
        <v>3</v>
      </c>
      <c r="D145" s="328" t="str">
        <f t="array" ref="D145">INDEX('アイテム'!$AA$3:$AB$114, MATCH($A$1,'アイテム'!$A$3:$A$114,0), MATCH(D142,'アイテム'!$C$2:$AQ$2,0))</f>
        <v>12</v>
      </c>
      <c r="E145" s="322"/>
      <c r="F145" s="322"/>
      <c r="G145" s="114"/>
      <c r="H145" s="228"/>
      <c r="I145" s="228"/>
      <c r="J145" s="228"/>
      <c r="K145" s="118"/>
      <c r="L145" s="118"/>
      <c r="M145" s="118"/>
      <c r="N145" s="102"/>
      <c r="O145" s="102"/>
      <c r="P145" s="102"/>
      <c r="Q145" s="102"/>
      <c r="R145" s="118"/>
      <c r="S145" s="118"/>
      <c r="T145" s="118"/>
      <c r="U145" s="118"/>
      <c r="V145" s="118"/>
    </row>
    <row r="146" outlineLevel="1">
      <c r="A146" s="324" t="s">
        <v>260</v>
      </c>
      <c r="B146" s="109"/>
      <c r="C146" s="325" t="s">
        <v>261</v>
      </c>
      <c r="D146" s="325" t="s">
        <v>49</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262</v>
      </c>
      <c r="B147" s="327" t="s">
        <v>226</v>
      </c>
      <c r="C147" s="328" t="str">
        <f t="array" ref="C147">INDEX('アイテム'!$G$3:$H$114, MATCH($A$1,'アイテム'!$A$3:$A$114,0), MATCH(C142,'アイテム'!$C$2:$AQ$2,0))</f>
        <v>8</v>
      </c>
      <c r="D147" s="328">
        <f t="array" ref="D147">INDEX('アイテム'!$G$3:$H$114, MATCH($A$1,'アイテム'!$A$3:$A$114,0), MATCH(D142,'アイテム'!$C$2:$AQ$2,0))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229</v>
      </c>
      <c r="C148" s="328" t="str">
        <f t="array" ref="C148">INDEX('アイテム'!$I$3:$J$114, MATCH($A$1,'アイテム'!$A$3:$A$114,0), MATCH(C142,'アイテム'!$C$2:$AQ$2,0))</f>
        <v>11</v>
      </c>
      <c r="D148" s="328">
        <f t="array" ref="D148">INDEX('アイテム'!$I$3:$J$114, MATCH($A$1,'アイテム'!$A$3:$A$114,0), MATCH(D142,'アイテム'!$C$2:$AQ$2,0))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233</v>
      </c>
      <c r="C149" s="328" t="str">
        <f t="array" ref="C149">INDEX('アイテム'!$K$3:$L$114, MATCH($A$1,'アイテム'!$A$3:$A$114,0), MATCH(C142,'アイテム'!$C$2:$AQ$2,0))</f>
        <v>12</v>
      </c>
      <c r="D149" s="328">
        <f t="array" ref="D149">INDEX('アイテム'!$K$3:$L$114, MATCH($A$1,'アイテム'!$A$3:$A$114,0), MATCH(D142,'アイテム'!$C$2:$AQ$2,0))</f>
        <v>23</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234</v>
      </c>
      <c r="C150" s="328" t="str">
        <f t="array" ref="C150">INDEX('アイテム'!$M$3:$N$114, MATCH($A$1,'アイテム'!$A$3:$A$114,0), MATCH(C142,'アイテム'!$C$2:$AQ$2,0))</f>
        <v>7</v>
      </c>
      <c r="D150" s="328">
        <f t="array" ref="D150">INDEX('アイテム'!$M$3:$N$114, MATCH($A$1,'アイテム'!$A$3:$A$114,0), MATCH(D142,'アイテム'!$C$2:$AQ$2,0))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219</v>
      </c>
      <c r="C151" s="328" t="str">
        <f t="array" ref="C151">INDEX('アイテム'!$O$3:$P$114, MATCH($A$1,'アイテム'!$A$3:$A$114,0), MATCH(C142,'アイテム'!$C$2:$AQ$2,0))</f>
        <v>5</v>
      </c>
      <c r="D151" s="328">
        <f t="array" ref="D151">INDEX('アイテム'!$O$3:$P$114, MATCH($A$1,'アイテム'!$A$3:$A$114,0), MATCH(D142,'アイテム'!$C$2:$AQ$2,0))</f>
        <v>29</v>
      </c>
      <c r="E151" s="322"/>
      <c r="F151" s="322"/>
      <c r="G151" s="114"/>
      <c r="H151" s="228"/>
      <c r="I151" s="228"/>
      <c r="J151" s="228"/>
      <c r="K151" s="118"/>
      <c r="L151" s="118"/>
      <c r="M151" s="118"/>
      <c r="N151" s="102"/>
      <c r="O151" s="102"/>
      <c r="P151" s="102"/>
      <c r="Q151" s="102"/>
      <c r="R151" s="118"/>
      <c r="S151" s="118"/>
      <c r="T151" s="118"/>
      <c r="U151" s="118"/>
      <c r="V151" s="118"/>
    </row>
    <row r="152" outlineLevel="1">
      <c r="A152" s="156"/>
      <c r="B152" s="327" t="s">
        <v>263</v>
      </c>
      <c r="C152" s="328" t="str">
        <f t="array" ref="C152">INDEX('アイテム'!$Q$3:$R$114, MATCH($A$1,'アイテム'!$A$3:$A$114,0), MATCH(C142,'アイテム'!$C$2:$AQ$2,0))</f>
        <v>6</v>
      </c>
      <c r="D152" s="328">
        <f t="array" ref="D152">INDEX('アイテム'!$Q$3:$R$114, MATCH($A$1,'アイテム'!$A$3:$A$114,0), MATCH(D142,'アイテム'!$C$2:$AQ$2,0))</f>
        <v>23</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264</v>
      </c>
      <c r="B153" s="327" t="s">
        <v>226</v>
      </c>
      <c r="C153" s="328" t="str">
        <f t="array" ref="C153">INDEX('アイテム'!$S$3:$T$114, MATCH($A$1,'アイテム'!$A$3:$A$114,0), MATCH(C142,'アイテム'!$C$2:$AQ$2,0))</f>
        <v>8</v>
      </c>
      <c r="D153" s="328">
        <f t="array" ref="D153">INDEX('アイテム'!$S$3:$T$114, MATCH($A$1,'アイテム'!$A$3:$A$114,0), MATCH(D142,'アイテム'!$C$2:$AQ$2,0))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t="str">
        <f t="array" ref="C154">INDEX('アイテム'!$U$3:$V$114, MATCH($A$1,'アイテム'!$A$3:$A$114,0), MATCH(C142,'アイテム'!$C$2:$AQ$2,0))</f>
        <v>11</v>
      </c>
      <c r="D154" s="328">
        <f t="array" ref="D154">INDEX('アイテム'!$U$3:$V$114, MATCH($A$1,'アイテム'!$A$3:$A$114,0), MATCH(D142,'アイテム'!$C$2:$AQ$2,0))</f>
        <v>24</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t="str">
        <f t="array" ref="C155">INDEX('アイテム'!$W$3:$X$114, MATCH($A$1,'アイテム'!$A$3:$A$114,0), MATCH(C142,'アイテム'!$C$2:$AQ$2,0))</f>
        <v>12</v>
      </c>
      <c r="D155" s="328">
        <f t="array" ref="D155">INDEX('アイテム'!$W$3:$X$114, MATCH($A$1,'アイテム'!$A$3:$A$114,0), MATCH(D142,'アイテム'!$C$2:$AQ$2,0))</f>
        <v>23</v>
      </c>
      <c r="E155" s="322"/>
      <c r="F155" s="322"/>
      <c r="G155" s="114"/>
      <c r="H155" s="228"/>
      <c r="I155" s="228"/>
      <c r="J155" s="228"/>
      <c r="K155" s="118"/>
      <c r="L155" s="118"/>
      <c r="M155" s="118"/>
      <c r="N155" s="102"/>
      <c r="O155" s="102"/>
      <c r="P155" s="102"/>
      <c r="Q155" s="102"/>
      <c r="R155" s="118"/>
      <c r="S155" s="118"/>
      <c r="T155" s="118"/>
      <c r="U155" s="118"/>
      <c r="V155" s="118"/>
    </row>
    <row r="156" outlineLevel="1">
      <c r="A156" s="156"/>
      <c r="B156" s="327" t="s">
        <v>234</v>
      </c>
      <c r="C156" s="328" t="str">
        <f t="array" ref="C156">INDEX('アイテム'!$Y$3:$Z$114, MATCH($A$1,'アイテム'!$A$3:$A$114,0), MATCH(C142,'アイテム'!$C$2:$AQ$2,0))</f>
        <v>7</v>
      </c>
      <c r="D156" s="328">
        <f t="array" ref="D156">INDEX('アイテム'!$Y$3:$Z$114, MATCH($A$1,'アイテム'!$A$3:$A$114,0), MATCH(D142,'アイテム'!$C$2:$AQ$2,0))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326" t="s">
        <v>265</v>
      </c>
      <c r="B157" s="327" t="s">
        <v>226</v>
      </c>
      <c r="C157" s="328">
        <f t="array" ref="C157">INDEX('アイテム'!$AC$3:$AD$114, MATCH($A$1,'アイテム'!$A$3:$A$114,0), MATCH(C142,'アイテム'!$C$2:$AQ$2,0))</f>
        <v>14</v>
      </c>
      <c r="D157" s="328" t="str">
        <f t="array" ref="D157">INDEX('アイテム'!$AC$3:$AD$114, MATCH($A$1,'アイテム'!$A$3:$A$114,0), MATCH(D142,'アイテム'!$C$2:$AQ$2,0))</f>
        <v>30</v>
      </c>
      <c r="E157" s="322"/>
      <c r="F157" s="322"/>
      <c r="G157" s="114"/>
      <c r="H157" s="228"/>
      <c r="I157" s="228"/>
      <c r="J157" s="228"/>
      <c r="K157" s="118"/>
      <c r="L157" s="118"/>
      <c r="M157" s="118"/>
      <c r="N157" s="102"/>
      <c r="O157" s="102"/>
      <c r="P157" s="102"/>
      <c r="Q157" s="102"/>
      <c r="R157" s="118"/>
      <c r="S157" s="118"/>
      <c r="T157" s="118"/>
      <c r="U157" s="118"/>
      <c r="V157" s="118"/>
    </row>
    <row r="158" outlineLevel="1">
      <c r="A158" s="146"/>
      <c r="B158" s="327" t="s">
        <v>229</v>
      </c>
      <c r="C158" s="328">
        <f t="array" ref="C158">INDEX('アイテム'!$AE$3:$AF$114, MATCH($A$1,'アイテム'!$A$3:$A$114,0), MATCH(C142,'アイテム'!$C$2:$AQ$2,0))</f>
        <v>15</v>
      </c>
      <c r="D158" s="328" t="str">
        <f t="array" ref="D158">INDEX('アイテム'!$AE$3:$AF$114, MATCH($A$1,'アイテム'!$A$3:$A$114,0), MATCH(D142,'アイテム'!$C$2:$AQ$2,0))</f>
        <v>30</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233</v>
      </c>
      <c r="C159" s="328">
        <f t="array" ref="C159">INDEX('アイテム'!$AG$3:$AH$114, MATCH($A$1,'アイテム'!$A$3:$A$114,0), MATCH(C142,'アイテム'!$C$2:$AQ$2,0))</f>
        <v>11</v>
      </c>
      <c r="D159" s="328" t="str">
        <f t="array" ref="D159">INDEX('アイテム'!$AG$3:$AH$114, MATCH($A$1,'アイテム'!$A$3:$A$114,0), MATCH(D142,'アイテム'!$C$2:$AQ$2,0))</f>
        <v>22</v>
      </c>
      <c r="E159" s="322"/>
      <c r="F159" s="322"/>
      <c r="G159" s="114"/>
      <c r="H159" s="228"/>
      <c r="I159" s="228"/>
      <c r="J159" s="228"/>
      <c r="K159" s="118"/>
      <c r="L159" s="118"/>
      <c r="M159" s="118"/>
      <c r="N159" s="102"/>
      <c r="O159" s="102"/>
      <c r="P159" s="102"/>
      <c r="Q159" s="102"/>
      <c r="R159" s="118"/>
      <c r="S159" s="118"/>
      <c r="T159" s="118"/>
      <c r="U159" s="118"/>
      <c r="V159" s="118"/>
    </row>
    <row r="160" outlineLevel="1">
      <c r="A160" s="156"/>
      <c r="B160" s="327" t="s">
        <v>234</v>
      </c>
      <c r="C160" s="328">
        <f t="array" ref="C160">INDEX('アイテム'!$AI$3:$AJ$114, MATCH($A$1,'アイテム'!$A$3:$A$114,0), MATCH(C142,'アイテム'!$C$2:$AQ$2,0))</f>
        <v>9</v>
      </c>
      <c r="D160" s="328" t="str">
        <f t="array" ref="D160">INDEX('アイテム'!$AI$3:$AJ$114, MATCH($A$1,'アイテム'!$A$3:$A$114,0), MATCH(D142,'アイテム'!$C$2:$AQ$2,0))</f>
        <v>22</v>
      </c>
      <c r="E160" s="322"/>
      <c r="F160" s="322"/>
      <c r="G160" s="114"/>
      <c r="H160" s="228"/>
      <c r="I160" s="228"/>
      <c r="J160" s="228"/>
      <c r="K160" s="118"/>
      <c r="L160" s="118"/>
      <c r="M160" s="118"/>
      <c r="N160" s="102"/>
      <c r="O160" s="102"/>
      <c r="P160" s="102"/>
      <c r="Q160" s="102"/>
      <c r="R160" s="118"/>
      <c r="S160" s="118"/>
      <c r="T160" s="118"/>
      <c r="U160" s="118"/>
      <c r="V160" s="118"/>
    </row>
  </sheetData>
  <mergeCells count="149">
    <mergeCell ref="H32:J33"/>
    <mergeCell ref="H34:J34"/>
    <mergeCell ref="H26:J26"/>
    <mergeCell ref="H27:J27"/>
    <mergeCell ref="H28:J28"/>
    <mergeCell ref="H29:J29"/>
    <mergeCell ref="H30:J30"/>
    <mergeCell ref="U32:U33"/>
    <mergeCell ref="U34:U35"/>
    <mergeCell ref="H43:J43"/>
    <mergeCell ref="H44:J44"/>
    <mergeCell ref="I48:I49"/>
    <mergeCell ref="J48:J49"/>
    <mergeCell ref="I53:I54"/>
    <mergeCell ref="J53:J54"/>
    <mergeCell ref="H57:J57"/>
    <mergeCell ref="H58:J66"/>
    <mergeCell ref="H67:J67"/>
    <mergeCell ref="H68:J72"/>
    <mergeCell ref="H73:J73"/>
    <mergeCell ref="H74:J78"/>
    <mergeCell ref="H79:J79"/>
    <mergeCell ref="H80:J85"/>
    <mergeCell ref="K113:K114"/>
    <mergeCell ref="K116:K121"/>
    <mergeCell ref="K122:K125"/>
    <mergeCell ref="K126:L126"/>
    <mergeCell ref="K128:K131"/>
    <mergeCell ref="K132:L132"/>
    <mergeCell ref="K135:L135"/>
    <mergeCell ref="G93:J93"/>
    <mergeCell ref="G94:J95"/>
    <mergeCell ref="G96:J97"/>
    <mergeCell ref="G98:J99"/>
    <mergeCell ref="G100:J101"/>
    <mergeCell ref="K112:L112"/>
    <mergeCell ref="K115:L115"/>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31:J31"/>
    <mergeCell ref="H35:J35"/>
    <mergeCell ref="H36:J36"/>
    <mergeCell ref="H37:J37"/>
    <mergeCell ref="H38:J38"/>
    <mergeCell ref="H39:J40"/>
    <mergeCell ref="H41:J42"/>
    <mergeCell ref="A43:B43"/>
    <mergeCell ref="A46:B47"/>
    <mergeCell ref="U39:U40"/>
    <mergeCell ref="R47:V47"/>
    <mergeCell ref="R48:V49"/>
    <mergeCell ref="R50:V50"/>
    <mergeCell ref="R51:V51"/>
    <mergeCell ref="R52:V52"/>
    <mergeCell ref="R53:V54"/>
    <mergeCell ref="U80:U85"/>
    <mergeCell ref="V80:V85"/>
    <mergeCell ref="E82:E83"/>
    <mergeCell ref="F82:F83"/>
    <mergeCell ref="G82:G83"/>
    <mergeCell ref="E84:E85"/>
    <mergeCell ref="F84:F85"/>
    <mergeCell ref="G84:G85"/>
    <mergeCell ref="U41:U42"/>
    <mergeCell ref="U58:U63"/>
    <mergeCell ref="V58:V63"/>
    <mergeCell ref="U68:U72"/>
    <mergeCell ref="V68:V72"/>
    <mergeCell ref="U74:U78"/>
    <mergeCell ref="V74:V78"/>
    <mergeCell ref="D98:D99"/>
    <mergeCell ref="D100:D101"/>
    <mergeCell ref="A90:A92"/>
    <mergeCell ref="A94:A95"/>
    <mergeCell ref="D94:D95"/>
    <mergeCell ref="A96:A97"/>
    <mergeCell ref="D96:D97"/>
    <mergeCell ref="A98:A99"/>
    <mergeCell ref="A100:A101"/>
    <mergeCell ref="A103:B104"/>
    <mergeCell ref="A105:A107"/>
    <mergeCell ref="A108:A109"/>
    <mergeCell ref="A111:B112"/>
    <mergeCell ref="A113:A117"/>
    <mergeCell ref="A118:A120"/>
    <mergeCell ref="A121:A126"/>
    <mergeCell ref="A153:A156"/>
    <mergeCell ref="A157:A160"/>
    <mergeCell ref="A127:A132"/>
    <mergeCell ref="A133:A139"/>
    <mergeCell ref="A141:B141"/>
    <mergeCell ref="A142:B142"/>
    <mergeCell ref="A143:A144"/>
    <mergeCell ref="A146:B146"/>
    <mergeCell ref="A147:A152"/>
    <mergeCell ref="D39:D40"/>
    <mergeCell ref="D41:D42"/>
    <mergeCell ref="A24:B25"/>
    <mergeCell ref="A26:A31"/>
    <mergeCell ref="A32:A33"/>
    <mergeCell ref="D32:D33"/>
    <mergeCell ref="A34:A35"/>
    <mergeCell ref="A39:A40"/>
    <mergeCell ref="A41:A42"/>
    <mergeCell ref="A57:B57"/>
    <mergeCell ref="B60:B61"/>
    <mergeCell ref="A48:A49"/>
    <mergeCell ref="D48:D49"/>
    <mergeCell ref="A53:A54"/>
    <mergeCell ref="D53:D54"/>
    <mergeCell ref="A56:B56"/>
    <mergeCell ref="D58:D59"/>
    <mergeCell ref="D60:D61"/>
    <mergeCell ref="D62:D63"/>
    <mergeCell ref="A58:A66"/>
    <mergeCell ref="B62:B63"/>
    <mergeCell ref="A67:B67"/>
    <mergeCell ref="A68:A72"/>
    <mergeCell ref="D68:D72"/>
    <mergeCell ref="A73:B73"/>
    <mergeCell ref="D74:D78"/>
    <mergeCell ref="A74:A78"/>
    <mergeCell ref="A79:B79"/>
    <mergeCell ref="A80:A85"/>
    <mergeCell ref="C82:C83"/>
    <mergeCell ref="C84:C85"/>
    <mergeCell ref="A87:B88"/>
    <mergeCell ref="A93:B93"/>
    <mergeCell ref="C125:C126"/>
    <mergeCell ref="D125:D126"/>
    <mergeCell ref="C131:C132"/>
    <mergeCell ref="D131:D132"/>
    <mergeCell ref="C138:C139"/>
    <mergeCell ref="D138:D139"/>
  </mergeCells>
  <conditionalFormatting sqref="K1:K15 K17:K60 K67:K136">
    <cfRule type="containsText" dxfId="0" priority="1" operator="containsText" text="361">
      <formula>NOT(ISERROR(SEARCH(("361"),(K1))))</formula>
    </cfRule>
  </conditionalFormatting>
  <conditionalFormatting sqref="K1:K15 K17:K60 K67:K136">
    <cfRule type="containsText" dxfId="1" priority="2" operator="containsText" text="363">
      <formula>NOT(ISERROR(SEARCH(("363"),(K1))))</formula>
    </cfRule>
  </conditionalFormatting>
  <conditionalFormatting sqref="K1:K15 K17:K60 K67:K136">
    <cfRule type="containsText" dxfId="1" priority="3" operator="containsText" text="365">
      <formula>NOT(ISERROR(SEARCH(("365"),(K1))))</formula>
    </cfRule>
  </conditionalFormatting>
  <conditionalFormatting sqref="K1:K15 K17:K60 K67:K136">
    <cfRule type="containsText" dxfId="1" priority="4" operator="containsText" text="366">
      <formula>NOT(ISERROR(SEARCH(("366"),(K1))))</formula>
    </cfRule>
  </conditionalFormatting>
  <conditionalFormatting sqref="K1:K15 K17:K60 K67:K136">
    <cfRule type="containsText" dxfId="1" priority="5" operator="containsText" text="367">
      <formula>NOT(ISERROR(SEARCH(("367"),(K1))))</formula>
    </cfRule>
  </conditionalFormatting>
  <conditionalFormatting sqref="P94:P101">
    <cfRule type="cellIs" dxfId="2" priority="6" operator="equal">
      <formula>"敵のみ"</formula>
    </cfRule>
  </conditionalFormatting>
  <conditionalFormatting sqref="C94:C101">
    <cfRule type="cellIs" dxfId="3" priority="7" operator="equal">
      <formula>"-"</formula>
    </cfRule>
  </conditionalFormatting>
  <conditionalFormatting sqref="O1:O60 K43 N43 O67:O160 P101">
    <cfRule type="cellIs" dxfId="4" priority="8" operator="greaterThan">
      <formula>0</formula>
    </cfRule>
  </conditionalFormatting>
  <conditionalFormatting sqref="P1:Q60 L43:M43 O43 P67:Q160">
    <cfRule type="cellIs" dxfId="5" priority="9" operator="lessThan">
      <formula>1</formula>
    </cfRule>
  </conditionalFormatting>
  <conditionalFormatting sqref="P1:Q60 L43:M43 O43 P67:Q160">
    <cfRule type="cellIs" dxfId="4" priority="10" operator="greaterThan">
      <formula>1</formula>
    </cfRule>
  </conditionalFormatting>
  <conditionalFormatting sqref="N25:N60 N67:N101">
    <cfRule type="cellIs" dxfId="6" priority="11" operator="greaterThan">
      <formula>0</formula>
    </cfRule>
  </conditionalFormatting>
  <conditionalFormatting sqref="N1:N15 N17:N60 N67:N160">
    <cfRule type="containsText" dxfId="6" priority="12" operator="containsText" text="/">
      <formula>NOT(ISERROR(SEARCH(("/"),(N1))))</formula>
    </cfRule>
  </conditionalFormatting>
  <drawing r:id="rId2"/>
  <legacyDrawing r:id="rId3"/>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20101"/>
    <outlinePr summaryBelow="0" summaryRight="0"/>
  </sheetPr>
  <sheetViews>
    <sheetView workbookViewId="0"/>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2" width="7.0"/>
  </cols>
  <sheetData>
    <row r="1">
      <c r="A1" s="3163">
        <v>71.0</v>
      </c>
      <c r="B1" s="3164"/>
      <c r="C1" s="3165" t="str">
        <f>IMAGE(VLOOKUP($A$1,Fighters!A2:AI114,12,FALSE),1)</f>
        <v>#REF!</v>
      </c>
      <c r="D1" s="3166"/>
      <c r="E1" s="3166"/>
      <c r="F1" s="3166"/>
      <c r="G1" s="3167"/>
      <c r="H1" s="3168"/>
      <c r="I1" s="3166"/>
      <c r="J1" s="3167"/>
      <c r="K1" s="3169"/>
      <c r="L1" s="3166"/>
      <c r="M1" s="3167"/>
      <c r="N1" s="3170"/>
      <c r="O1" s="3170"/>
      <c r="P1" s="3170"/>
      <c r="Q1" s="3170"/>
      <c r="R1" s="3171"/>
      <c r="S1" s="3171"/>
      <c r="T1" s="3171"/>
      <c r="U1" s="3171"/>
      <c r="V1" s="3171"/>
    </row>
    <row r="2">
      <c r="A2" s="3172" t="str">
        <f>VLOOKUP($A$1,Fighters!$A$2:$AI$81,6,FALSE)</f>
        <v>#b20101</v>
      </c>
      <c r="B2" s="3164"/>
      <c r="C2" s="3173"/>
      <c r="G2" s="3174"/>
      <c r="H2" s="3175"/>
      <c r="I2" s="3176"/>
      <c r="J2" s="3177"/>
      <c r="K2" s="3175"/>
      <c r="L2" s="3176"/>
      <c r="M2" s="3177"/>
      <c r="N2" s="3170"/>
      <c r="O2" s="3170"/>
      <c r="P2" s="3170"/>
      <c r="Q2" s="3170"/>
      <c r="R2" s="3171"/>
      <c r="S2" s="3171"/>
      <c r="T2" s="3171"/>
      <c r="U2" s="3171"/>
      <c r="V2" s="3171"/>
    </row>
    <row r="3">
      <c r="A3" s="3172" t="str">
        <f>VLOOKUP($A$1,Fighters!$A$2:$AI$81,14,FALSE)</f>
        <v>71. ジョーカー</v>
      </c>
      <c r="B3" s="3164"/>
      <c r="C3" s="3173"/>
      <c r="G3" s="3174"/>
      <c r="H3" s="3178"/>
      <c r="I3" s="3178"/>
      <c r="J3" s="3178"/>
      <c r="K3" s="3179"/>
      <c r="L3" s="3179"/>
      <c r="M3" s="3179"/>
      <c r="N3" s="3170"/>
      <c r="O3" s="3170"/>
      <c r="P3" s="3170"/>
      <c r="Q3" s="3170"/>
      <c r="R3" s="3180"/>
      <c r="S3" s="3171"/>
      <c r="T3" s="3171"/>
      <c r="U3" s="3171"/>
      <c r="V3" s="3171"/>
    </row>
    <row r="4">
      <c r="A4" s="3172" t="str">
        <f>VLOOKUP($A$1,Fighters!$A$2:$AI$81,13,FALSE)</f>
        <v>1</v>
      </c>
      <c r="B4" s="3164"/>
      <c r="C4" s="3173"/>
      <c r="G4" s="3174"/>
      <c r="H4" s="3181"/>
      <c r="I4" s="3181"/>
      <c r="J4" s="3178"/>
      <c r="K4" s="3179"/>
      <c r="L4" s="3179"/>
      <c r="M4" s="3179"/>
      <c r="N4" s="3170"/>
      <c r="O4" s="3170"/>
      <c r="P4" s="3170"/>
      <c r="Q4" s="3170"/>
      <c r="R4" s="3180"/>
      <c r="S4" s="3171"/>
      <c r="T4" s="3171"/>
      <c r="U4" s="3171"/>
      <c r="V4" s="3171"/>
    </row>
    <row r="5" ht="16.5" customHeight="1">
      <c r="A5" s="3163"/>
      <c r="B5" s="3164"/>
      <c r="C5" s="3173"/>
      <c r="G5" s="3174"/>
      <c r="H5" s="3182"/>
      <c r="I5" s="3182"/>
      <c r="J5" s="3183"/>
      <c r="K5" s="3184"/>
      <c r="L5" s="3185"/>
      <c r="M5" s="3185"/>
      <c r="N5" s="3170"/>
      <c r="O5" s="3170"/>
      <c r="P5" s="3170"/>
      <c r="Q5" s="3170"/>
      <c r="R5" s="3180"/>
      <c r="S5" s="3171"/>
      <c r="T5" s="3171"/>
      <c r="U5" s="3171"/>
      <c r="V5" s="3171"/>
    </row>
    <row r="6">
      <c r="A6" s="3164"/>
      <c r="B6" s="3164"/>
      <c r="C6" s="3173"/>
      <c r="G6" s="3174"/>
      <c r="H6" s="3181"/>
      <c r="I6" s="3186" t="s">
        <v>39</v>
      </c>
      <c r="J6" s="3184"/>
      <c r="K6" s="3187"/>
      <c r="L6" s="3185"/>
      <c r="M6" s="3185"/>
      <c r="N6" s="3170"/>
      <c r="O6" s="3170"/>
      <c r="P6" s="3170"/>
      <c r="Q6" s="3170"/>
      <c r="R6" s="3180"/>
      <c r="S6" s="3171"/>
      <c r="T6" s="3171"/>
      <c r="U6" s="3171"/>
      <c r="V6" s="3171"/>
    </row>
    <row r="7">
      <c r="A7" s="3164"/>
      <c r="B7" s="3164"/>
      <c r="C7" s="3173"/>
      <c r="G7" s="3174"/>
      <c r="H7" s="3182"/>
      <c r="I7" s="3182"/>
      <c r="J7" s="3184"/>
      <c r="K7" s="3187"/>
      <c r="L7" s="3185"/>
      <c r="M7" s="3185"/>
      <c r="N7" s="3170"/>
      <c r="O7" s="3170"/>
      <c r="P7" s="3170"/>
      <c r="Q7" s="3170"/>
      <c r="R7" s="3180"/>
      <c r="S7" s="3171"/>
      <c r="T7" s="3171"/>
      <c r="U7" s="3171"/>
      <c r="V7" s="3171"/>
    </row>
    <row r="8">
      <c r="A8" s="3164"/>
      <c r="B8" s="3164"/>
      <c r="C8" s="3173"/>
      <c r="G8" s="3174"/>
      <c r="H8" s="3188">
        <v>44379.84688118055</v>
      </c>
      <c r="I8" s="3166"/>
      <c r="J8" s="3167"/>
      <c r="K8" s="3184"/>
      <c r="L8" s="3185"/>
      <c r="M8" s="3185"/>
      <c r="N8" s="3170"/>
      <c r="O8" s="3170"/>
      <c r="P8" s="3170"/>
      <c r="Q8" s="3170"/>
      <c r="R8" s="3180"/>
      <c r="S8" s="3171"/>
      <c r="T8" s="3171"/>
      <c r="U8" s="3171"/>
      <c r="V8" s="3171"/>
    </row>
    <row r="9">
      <c r="A9" s="3164"/>
      <c r="B9" s="3164"/>
      <c r="C9" s="3173"/>
      <c r="G9" s="3174"/>
      <c r="H9" s="3175"/>
      <c r="I9" s="3176"/>
      <c r="J9" s="3177"/>
      <c r="K9" s="3171"/>
      <c r="L9" s="3170"/>
      <c r="M9" s="3170"/>
      <c r="N9" s="3170"/>
      <c r="O9" s="3170"/>
      <c r="P9" s="3170"/>
      <c r="Q9" s="3170"/>
      <c r="R9" s="3180"/>
      <c r="S9" s="3171"/>
      <c r="T9" s="3171"/>
      <c r="U9" s="3171"/>
      <c r="V9" s="3171"/>
    </row>
    <row r="10">
      <c r="A10" s="3189"/>
      <c r="B10" s="3164"/>
      <c r="C10" s="3173"/>
      <c r="G10" s="3174"/>
      <c r="H10" s="3190"/>
      <c r="I10" s="3190"/>
      <c r="J10" s="3171"/>
      <c r="K10" s="3171"/>
      <c r="L10" s="3170"/>
      <c r="M10" s="3170"/>
      <c r="N10" s="3170"/>
      <c r="O10" s="3170"/>
      <c r="P10" s="3170"/>
      <c r="Q10" s="3170"/>
      <c r="R10" s="3180"/>
      <c r="S10" s="3171"/>
      <c r="T10" s="3171"/>
      <c r="U10" s="3171"/>
      <c r="V10" s="3171"/>
    </row>
    <row r="11">
      <c r="A11" s="3191"/>
      <c r="B11" s="3164"/>
      <c r="C11" s="3173"/>
      <c r="G11" s="3174"/>
      <c r="H11" s="3182"/>
      <c r="I11" s="3182"/>
      <c r="J11" s="3171"/>
      <c r="K11" s="3171"/>
      <c r="L11" s="3170"/>
      <c r="M11" s="3170"/>
      <c r="N11" s="3170"/>
      <c r="O11" s="3170"/>
      <c r="P11" s="3170"/>
      <c r="Q11" s="3170"/>
      <c r="R11" s="3180"/>
      <c r="S11" s="3171"/>
      <c r="T11" s="3171"/>
      <c r="U11" s="3171"/>
      <c r="V11" s="3171"/>
    </row>
    <row r="12">
      <c r="A12" s="3182"/>
      <c r="B12" s="3164"/>
      <c r="C12" s="3175"/>
      <c r="D12" s="3176"/>
      <c r="E12" s="3176"/>
      <c r="F12" s="3176"/>
      <c r="G12" s="3177"/>
      <c r="H12" s="3192"/>
      <c r="I12" s="3192"/>
      <c r="J12" s="3164"/>
      <c r="K12" s="3164"/>
      <c r="L12" s="3170"/>
      <c r="M12" s="3170"/>
      <c r="N12" s="3170"/>
      <c r="O12" s="3170"/>
      <c r="P12" s="3170"/>
      <c r="Q12" s="3170"/>
      <c r="R12" s="3180"/>
      <c r="S12" s="3171"/>
      <c r="T12" s="3171"/>
      <c r="U12" s="3171"/>
      <c r="V12" s="3171"/>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INDEX('行動フレーム・能力値'!$C$2:$AD$81,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93 [52nd]</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 [46th]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INDEX('行動フレーム・能力値'!$C$2:$AD$81, MATCH($A$1,'行動フレーム・能力値'!$A$2:$A$95,0),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1.12 [43rd]</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45F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 [41st]</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32.5 [45th]</v>
      </c>
      <c r="O18" s="99"/>
      <c r="P18" s="99"/>
      <c r="Q18" s="99"/>
      <c r="R18" s="99"/>
      <c r="S18" s="111"/>
      <c r="T18" s="111"/>
      <c r="U18" s="111"/>
      <c r="V18" s="111"/>
    </row>
    <row r="19" outlineLevel="1">
      <c r="A19" s="112" t="s">
        <v>5288</v>
      </c>
      <c r="B19" s="113" t="b">
        <f t="array" ref="B19">INDEX('行動フレーム・能力値'!$C$2:$AD$81, MATCH($A$1,'行動フレーム・能力値'!$A$2:$A$95,0), MATCH(A19,'行動フレーム・能力値'!$C$1:$AD$1,0))</f>
        <v>1</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2.06 [18th]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20F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 [9th]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14.2 [70th]</v>
      </c>
      <c r="O19" s="99"/>
      <c r="P19" s="99"/>
      <c r="Q19" s="99"/>
      <c r="R19" s="99"/>
      <c r="S19" s="111"/>
      <c r="T19" s="111"/>
      <c r="U19" s="111"/>
      <c r="V19" s="111"/>
    </row>
    <row r="20" outlineLevel="1">
      <c r="A20" s="112" t="s">
        <v>5292</v>
      </c>
      <c r="B20" s="113" t="b">
        <f t="array" ref="B20">INDEX('行動フレーム・能力値'!$C$2:$AD$81,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 [37th]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30F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20.53 [89th]</v>
      </c>
      <c r="O20" s="99"/>
      <c r="P20" s="99"/>
      <c r="Q20" s="99"/>
      <c r="R20" s="99"/>
      <c r="S20" s="100"/>
      <c r="T20" s="100"/>
      <c r="U20" s="100"/>
      <c r="V20" s="100"/>
    </row>
    <row r="21" outlineLevel="1">
      <c r="A21" s="112" t="s">
        <v>587</v>
      </c>
      <c r="B21" s="113" t="b">
        <f t="array" ref="B21">INDEX('行動フレーム・能力値'!$C$2:$AD$81,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1.63 [39th]</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3.097 [4th]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0.127 [11th]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717</v>
      </c>
      <c r="D26" s="3193" t="s">
        <v>173</v>
      </c>
      <c r="E26" s="139" t="s">
        <v>176</v>
      </c>
      <c r="F26" s="138">
        <v>2.4</v>
      </c>
      <c r="G26" s="139" t="s">
        <v>60</v>
      </c>
      <c r="H26" s="163" t="s">
        <v>5297</v>
      </c>
      <c r="I26" s="164"/>
      <c r="J26" s="104"/>
      <c r="K26" s="282"/>
      <c r="L26" s="282"/>
      <c r="M26" s="363"/>
      <c r="N26" s="363"/>
      <c r="O26" s="145">
        <v>0.0</v>
      </c>
      <c r="P26" s="145">
        <v>1.0</v>
      </c>
      <c r="Q26" s="145">
        <v>1.0</v>
      </c>
      <c r="R26" s="100"/>
      <c r="S26" s="100"/>
      <c r="T26" s="100"/>
      <c r="U26" s="166" t="s">
        <v>62</v>
      </c>
      <c r="V26" s="100"/>
    </row>
    <row r="27" outlineLevel="1">
      <c r="A27" s="146"/>
      <c r="B27" s="134" t="s">
        <v>5298</v>
      </c>
      <c r="C27" s="2208" t="s">
        <v>717</v>
      </c>
      <c r="D27" s="107"/>
      <c r="E27" s="2208" t="s">
        <v>2278</v>
      </c>
      <c r="F27" s="1940">
        <v>0.84</v>
      </c>
      <c r="G27" s="2576" t="s">
        <v>60</v>
      </c>
      <c r="H27" s="106"/>
      <c r="I27" s="168"/>
      <c r="J27" s="107"/>
      <c r="K27" s="282"/>
      <c r="L27" s="282"/>
      <c r="M27" s="363"/>
      <c r="N27" s="363"/>
      <c r="O27" s="145"/>
      <c r="P27" s="145"/>
      <c r="Q27" s="145"/>
      <c r="R27" s="100"/>
      <c r="S27" s="100"/>
      <c r="T27" s="100"/>
      <c r="U27" s="156"/>
      <c r="V27" s="100"/>
    </row>
    <row r="28" outlineLevel="1">
      <c r="A28" s="146"/>
      <c r="B28" s="147" t="s">
        <v>63</v>
      </c>
      <c r="C28" s="467" t="s">
        <v>71</v>
      </c>
      <c r="D28" s="455" t="s">
        <v>173</v>
      </c>
      <c r="E28" s="216" t="s">
        <v>1024</v>
      </c>
      <c r="F28" s="138">
        <v>1.7999999999999998</v>
      </c>
      <c r="G28" s="139" t="s">
        <v>60</v>
      </c>
      <c r="H28" s="163" t="s">
        <v>5299</v>
      </c>
      <c r="I28" s="164"/>
      <c r="J28" s="104"/>
      <c r="K28" s="282"/>
      <c r="L28" s="282"/>
      <c r="M28" s="363"/>
      <c r="N28" s="363"/>
      <c r="O28" s="145">
        <v>0.0</v>
      </c>
      <c r="P28" s="145">
        <v>1.0</v>
      </c>
      <c r="Q28" s="145">
        <v>1.0</v>
      </c>
      <c r="R28" s="100"/>
      <c r="S28" s="100"/>
      <c r="T28" s="100"/>
      <c r="U28" s="166" t="s">
        <v>69</v>
      </c>
      <c r="V28" s="100"/>
    </row>
    <row r="29" outlineLevel="1">
      <c r="A29" s="146"/>
      <c r="B29" s="147" t="s">
        <v>5300</v>
      </c>
      <c r="C29" s="2208" t="s">
        <v>71</v>
      </c>
      <c r="D29" s="107"/>
      <c r="E29" s="2208" t="s">
        <v>2278</v>
      </c>
      <c r="F29" s="1940">
        <v>0.84</v>
      </c>
      <c r="G29" s="2576" t="s">
        <v>60</v>
      </c>
      <c r="H29" s="106"/>
      <c r="I29" s="168"/>
      <c r="J29" s="107"/>
      <c r="K29" s="282"/>
      <c r="L29" s="282"/>
      <c r="M29" s="363"/>
      <c r="N29" s="363"/>
      <c r="O29" s="145"/>
      <c r="P29" s="145"/>
      <c r="Q29" s="145"/>
      <c r="R29" s="100"/>
      <c r="S29" s="100"/>
      <c r="T29" s="100"/>
      <c r="U29" s="156"/>
      <c r="V29" s="100"/>
    </row>
    <row r="30" outlineLevel="1">
      <c r="A30" s="146"/>
      <c r="B30" s="147" t="s">
        <v>70</v>
      </c>
      <c r="C30" s="467" t="s">
        <v>71</v>
      </c>
      <c r="D30" s="455" t="s">
        <v>218</v>
      </c>
      <c r="E30" s="216" t="s">
        <v>73</v>
      </c>
      <c r="F30" s="138">
        <v>4.8</v>
      </c>
      <c r="G30" s="139" t="s">
        <v>75</v>
      </c>
      <c r="H30" s="163" t="s">
        <v>5301</v>
      </c>
      <c r="I30" s="164"/>
      <c r="J30" s="104"/>
      <c r="K30" s="282"/>
      <c r="L30" s="282"/>
      <c r="M30" s="363"/>
      <c r="N30" s="363"/>
      <c r="O30" s="145"/>
      <c r="P30" s="145"/>
      <c r="Q30" s="145"/>
      <c r="R30" s="100"/>
      <c r="S30" s="100"/>
      <c r="T30" s="100"/>
      <c r="U30" s="166" t="s">
        <v>76</v>
      </c>
      <c r="V30" s="100"/>
    </row>
    <row r="31" outlineLevel="1">
      <c r="A31" s="156"/>
      <c r="B31" s="147" t="s">
        <v>5302</v>
      </c>
      <c r="C31" s="2208" t="s">
        <v>71</v>
      </c>
      <c r="D31" s="107"/>
      <c r="E31" s="2208" t="s">
        <v>5303</v>
      </c>
      <c r="F31" s="1940">
        <v>3.7199999999999998</v>
      </c>
      <c r="G31" s="2576" t="s">
        <v>75</v>
      </c>
      <c r="H31" s="106"/>
      <c r="I31" s="168"/>
      <c r="J31" s="107"/>
      <c r="K31" s="282"/>
      <c r="L31" s="282"/>
      <c r="M31" s="363"/>
      <c r="N31" s="363"/>
      <c r="O31" s="145">
        <v>0.0</v>
      </c>
      <c r="P31" s="145">
        <v>1.0</v>
      </c>
      <c r="Q31" s="145">
        <v>1.0</v>
      </c>
      <c r="R31" s="100"/>
      <c r="S31" s="100"/>
      <c r="T31" s="100"/>
      <c r="U31" s="156"/>
      <c r="V31" s="100"/>
    </row>
    <row r="32" outlineLevel="1">
      <c r="A32" s="133" t="s">
        <v>77</v>
      </c>
      <c r="B32" s="147" t="s">
        <v>125</v>
      </c>
      <c r="C32" s="467" t="s">
        <v>217</v>
      </c>
      <c r="D32" s="455" t="s">
        <v>146</v>
      </c>
      <c r="E32" s="467" t="s">
        <v>176</v>
      </c>
      <c r="F32" s="138">
        <v>2.4</v>
      </c>
      <c r="G32" s="139" t="s">
        <v>60</v>
      </c>
      <c r="H32" s="163" t="s">
        <v>5304</v>
      </c>
      <c r="I32" s="164"/>
      <c r="J32" s="104"/>
      <c r="K32" s="282"/>
      <c r="L32" s="282"/>
      <c r="M32" s="363"/>
      <c r="N32" s="363"/>
      <c r="O32" s="145">
        <v>0.0</v>
      </c>
      <c r="P32" s="145">
        <v>1.0</v>
      </c>
      <c r="Q32" s="145">
        <v>1.0</v>
      </c>
      <c r="R32" s="100"/>
      <c r="S32" s="100"/>
      <c r="T32" s="100"/>
      <c r="U32" s="166" t="s">
        <v>69</v>
      </c>
      <c r="V32" s="100"/>
    </row>
    <row r="33" outlineLevel="1">
      <c r="A33" s="146"/>
      <c r="B33" s="147" t="s">
        <v>131</v>
      </c>
      <c r="C33" s="467" t="s">
        <v>1749</v>
      </c>
      <c r="D33" s="210"/>
      <c r="E33" s="467" t="s">
        <v>86</v>
      </c>
      <c r="F33" s="138">
        <v>7.199999999999999</v>
      </c>
      <c r="G33" s="139" t="s">
        <v>102</v>
      </c>
      <c r="H33" s="212"/>
      <c r="J33" s="210"/>
      <c r="K33" s="282"/>
      <c r="L33" s="282"/>
      <c r="M33" s="363"/>
      <c r="N33" s="363"/>
      <c r="O33" s="145">
        <v>0.0</v>
      </c>
      <c r="P33" s="145">
        <v>1.0</v>
      </c>
      <c r="Q33" s="145">
        <v>1.0</v>
      </c>
      <c r="R33" s="100"/>
      <c r="S33" s="100"/>
      <c r="T33" s="100"/>
      <c r="U33" s="146"/>
      <c r="V33" s="100"/>
    </row>
    <row r="34" outlineLevel="1">
      <c r="A34" s="156"/>
      <c r="B34" s="147" t="s">
        <v>5305</v>
      </c>
      <c r="C34" s="2208" t="s">
        <v>1749</v>
      </c>
      <c r="D34" s="107"/>
      <c r="E34" s="2208" t="s">
        <v>86</v>
      </c>
      <c r="F34" s="1940">
        <v>7.199999999999999</v>
      </c>
      <c r="G34" s="3194" t="s">
        <v>95</v>
      </c>
      <c r="H34" s="106"/>
      <c r="I34" s="168"/>
      <c r="J34" s="107"/>
      <c r="K34" s="282"/>
      <c r="L34" s="282"/>
      <c r="M34" s="363"/>
      <c r="N34" s="363"/>
      <c r="O34" s="145"/>
      <c r="P34" s="145"/>
      <c r="Q34" s="145"/>
      <c r="R34" s="100"/>
      <c r="S34" s="100"/>
      <c r="T34" s="100"/>
      <c r="U34" s="156"/>
      <c r="V34" s="100"/>
    </row>
    <row r="35" outlineLevel="1">
      <c r="A35" s="133" t="s">
        <v>89</v>
      </c>
      <c r="B35" s="147" t="s">
        <v>2812</v>
      </c>
      <c r="C35" s="467" t="s">
        <v>518</v>
      </c>
      <c r="D35" s="455" t="s">
        <v>218</v>
      </c>
      <c r="E35" s="467" t="s">
        <v>204</v>
      </c>
      <c r="F35" s="138">
        <v>3.5999999999999996</v>
      </c>
      <c r="G35" s="467" t="s">
        <v>147</v>
      </c>
      <c r="H35" s="163" t="s">
        <v>5306</v>
      </c>
      <c r="I35" s="164"/>
      <c r="J35" s="104"/>
      <c r="K35" s="282"/>
      <c r="L35" s="282"/>
      <c r="M35" s="363"/>
      <c r="N35" s="363"/>
      <c r="O35" s="145">
        <v>0.0</v>
      </c>
      <c r="P35" s="145">
        <v>1.0</v>
      </c>
      <c r="Q35" s="145">
        <v>1.0</v>
      </c>
      <c r="R35" s="100"/>
      <c r="S35" s="100"/>
      <c r="T35" s="100"/>
      <c r="U35" s="166" t="s">
        <v>96</v>
      </c>
      <c r="V35" s="100"/>
    </row>
    <row r="36" outlineLevel="1">
      <c r="A36" s="146"/>
      <c r="B36" s="147" t="s">
        <v>2814</v>
      </c>
      <c r="C36" s="467" t="s">
        <v>721</v>
      </c>
      <c r="D36" s="210"/>
      <c r="E36" s="467" t="s">
        <v>150</v>
      </c>
      <c r="F36" s="138">
        <v>6.0</v>
      </c>
      <c r="G36" s="467" t="s">
        <v>102</v>
      </c>
      <c r="H36" s="212"/>
      <c r="J36" s="210"/>
      <c r="K36" s="282"/>
      <c r="L36" s="282"/>
      <c r="M36" s="363"/>
      <c r="N36" s="363"/>
      <c r="O36" s="145">
        <v>0.0</v>
      </c>
      <c r="P36" s="145">
        <v>1.0</v>
      </c>
      <c r="Q36" s="145">
        <v>1.0</v>
      </c>
      <c r="R36" s="100"/>
      <c r="S36" s="100"/>
      <c r="T36" s="100"/>
      <c r="U36" s="146"/>
      <c r="V36" s="100"/>
    </row>
    <row r="37" outlineLevel="1">
      <c r="A37" s="156"/>
      <c r="B37" s="147" t="s">
        <v>5307</v>
      </c>
      <c r="C37" s="2208" t="s">
        <v>842</v>
      </c>
      <c r="D37" s="107"/>
      <c r="E37" s="2208" t="s">
        <v>150</v>
      </c>
      <c r="F37" s="1940">
        <v>6.0</v>
      </c>
      <c r="G37" s="3195" t="s">
        <v>121</v>
      </c>
      <c r="H37" s="106"/>
      <c r="I37" s="168"/>
      <c r="J37" s="107"/>
      <c r="K37" s="282"/>
      <c r="L37" s="282"/>
      <c r="M37" s="363"/>
      <c r="N37" s="363"/>
      <c r="O37" s="145">
        <v>0.0</v>
      </c>
      <c r="P37" s="145">
        <v>1.0</v>
      </c>
      <c r="Q37" s="145">
        <v>1.0</v>
      </c>
      <c r="R37" s="100"/>
      <c r="S37" s="100"/>
      <c r="T37" s="100"/>
      <c r="U37" s="156"/>
      <c r="V37" s="100"/>
    </row>
    <row r="38" outlineLevel="1">
      <c r="A38" s="133" t="s">
        <v>97</v>
      </c>
      <c r="B38" s="147" t="s">
        <v>152</v>
      </c>
      <c r="C38" s="467" t="s">
        <v>5308</v>
      </c>
      <c r="D38" s="455" t="s">
        <v>628</v>
      </c>
      <c r="E38" s="467" t="s">
        <v>73</v>
      </c>
      <c r="F38" s="138">
        <v>4.8</v>
      </c>
      <c r="G38" s="139" t="s">
        <v>75</v>
      </c>
      <c r="H38" s="163" t="s">
        <v>5309</v>
      </c>
      <c r="I38" s="164"/>
      <c r="J38" s="104"/>
      <c r="K38" s="282"/>
      <c r="L38" s="282"/>
      <c r="M38" s="363"/>
      <c r="N38" s="363"/>
      <c r="O38" s="145">
        <v>0.0</v>
      </c>
      <c r="P38" s="145">
        <v>1.0</v>
      </c>
      <c r="Q38" s="145">
        <v>1.0</v>
      </c>
      <c r="R38" s="100"/>
      <c r="S38" s="100"/>
      <c r="T38" s="100"/>
      <c r="U38" s="166" t="s">
        <v>62</v>
      </c>
      <c r="V38" s="100"/>
    </row>
    <row r="39" outlineLevel="1">
      <c r="A39" s="146"/>
      <c r="B39" s="147" t="s">
        <v>199</v>
      </c>
      <c r="C39" s="467" t="s">
        <v>5310</v>
      </c>
      <c r="D39" s="210"/>
      <c r="E39" s="467" t="s">
        <v>213</v>
      </c>
      <c r="F39" s="138">
        <v>1.2</v>
      </c>
      <c r="G39" s="139" t="s">
        <v>170</v>
      </c>
      <c r="H39" s="212"/>
      <c r="J39" s="210"/>
      <c r="K39" s="145"/>
      <c r="L39" s="363"/>
      <c r="M39" s="363"/>
      <c r="N39" s="363"/>
      <c r="O39" s="145"/>
      <c r="P39" s="145"/>
      <c r="Q39" s="145"/>
      <c r="R39" s="100"/>
      <c r="S39" s="100"/>
      <c r="T39" s="100"/>
      <c r="U39" s="146"/>
      <c r="V39" s="100"/>
    </row>
    <row r="40" outlineLevel="1">
      <c r="A40" s="146"/>
      <c r="B40" s="147" t="s">
        <v>202</v>
      </c>
      <c r="C40" s="467" t="s">
        <v>401</v>
      </c>
      <c r="D40" s="210"/>
      <c r="E40" s="467" t="s">
        <v>213</v>
      </c>
      <c r="F40" s="138">
        <v>1.2</v>
      </c>
      <c r="G40" s="139" t="s">
        <v>170</v>
      </c>
      <c r="H40" s="212"/>
      <c r="J40" s="210"/>
      <c r="K40" s="145"/>
      <c r="L40" s="363"/>
      <c r="M40" s="363"/>
      <c r="N40" s="363"/>
      <c r="O40" s="145"/>
      <c r="P40" s="145"/>
      <c r="Q40" s="145"/>
      <c r="R40" s="100"/>
      <c r="S40" s="100"/>
      <c r="T40" s="100"/>
      <c r="U40" s="146"/>
      <c r="V40" s="100"/>
    </row>
    <row r="41" outlineLevel="1">
      <c r="A41" s="146"/>
      <c r="B41" s="147" t="s">
        <v>5311</v>
      </c>
      <c r="C41" s="2208" t="s">
        <v>2128</v>
      </c>
      <c r="D41" s="210"/>
      <c r="E41" s="2208" t="s">
        <v>2278</v>
      </c>
      <c r="F41" s="1940">
        <v>0.84</v>
      </c>
      <c r="G41" s="2576" t="s">
        <v>170</v>
      </c>
      <c r="H41" s="212"/>
      <c r="J41" s="210"/>
      <c r="K41" s="145"/>
      <c r="L41" s="363"/>
      <c r="M41" s="363"/>
      <c r="N41" s="363"/>
      <c r="O41" s="145"/>
      <c r="P41" s="145"/>
      <c r="Q41" s="145"/>
      <c r="R41" s="100"/>
      <c r="S41" s="100"/>
      <c r="T41" s="100"/>
      <c r="U41" s="146"/>
      <c r="V41" s="100"/>
    </row>
    <row r="42" outlineLevel="1">
      <c r="A42" s="156"/>
      <c r="B42" s="147" t="s">
        <v>5312</v>
      </c>
      <c r="C42" s="2208" t="s">
        <v>401</v>
      </c>
      <c r="D42" s="107"/>
      <c r="E42" s="2208" t="s">
        <v>5313</v>
      </c>
      <c r="F42" s="1940">
        <v>4.68</v>
      </c>
      <c r="G42" s="2576" t="s">
        <v>75</v>
      </c>
      <c r="H42" s="106"/>
      <c r="I42" s="168"/>
      <c r="J42" s="107"/>
      <c r="K42" s="145"/>
      <c r="L42" s="363"/>
      <c r="M42" s="363"/>
      <c r="N42" s="363"/>
      <c r="O42" s="145">
        <v>0.0</v>
      </c>
      <c r="P42" s="145">
        <v>1.0</v>
      </c>
      <c r="Q42" s="145">
        <v>1.0</v>
      </c>
      <c r="R42" s="100"/>
      <c r="S42" s="100"/>
      <c r="T42" s="100"/>
      <c r="U42" s="156"/>
      <c r="V42" s="100"/>
    </row>
    <row r="43" outlineLevel="1">
      <c r="A43" s="133" t="s">
        <v>103</v>
      </c>
      <c r="B43" s="160"/>
      <c r="C43" s="467" t="s">
        <v>518</v>
      </c>
      <c r="D43" s="455" t="s">
        <v>79</v>
      </c>
      <c r="E43" s="467" t="s">
        <v>86</v>
      </c>
      <c r="F43" s="138">
        <v>7.199999999999999</v>
      </c>
      <c r="G43" s="467" t="s">
        <v>102</v>
      </c>
      <c r="H43" s="163" t="s">
        <v>5314</v>
      </c>
      <c r="I43" s="164"/>
      <c r="J43" s="104"/>
      <c r="K43" s="145"/>
      <c r="L43" s="363"/>
      <c r="M43" s="363"/>
      <c r="N43" s="363"/>
      <c r="O43" s="145">
        <v>0.0</v>
      </c>
      <c r="P43" s="145">
        <v>1.0</v>
      </c>
      <c r="Q43" s="145">
        <v>1.0</v>
      </c>
      <c r="R43" s="100"/>
      <c r="S43" s="100"/>
      <c r="T43" s="100"/>
      <c r="U43" s="166" t="s">
        <v>62</v>
      </c>
      <c r="V43" s="100"/>
    </row>
    <row r="44" outlineLevel="1">
      <c r="A44" s="146"/>
      <c r="B44" s="147" t="s">
        <v>187</v>
      </c>
      <c r="C44" s="216" t="s">
        <v>223</v>
      </c>
      <c r="D44" s="210"/>
      <c r="E44" s="467" t="s">
        <v>86</v>
      </c>
      <c r="F44" s="138">
        <v>7.199999999999999</v>
      </c>
      <c r="G44" s="467" t="s">
        <v>102</v>
      </c>
      <c r="H44" s="212"/>
      <c r="J44" s="210"/>
      <c r="K44" s="363"/>
      <c r="L44" s="363"/>
      <c r="M44" s="363"/>
      <c r="N44" s="363"/>
      <c r="O44" s="145"/>
      <c r="P44" s="145"/>
      <c r="Q44" s="145"/>
      <c r="R44" s="100"/>
      <c r="S44" s="100"/>
      <c r="T44" s="100"/>
      <c r="U44" s="146"/>
      <c r="V44" s="100"/>
    </row>
    <row r="45" outlineLevel="1">
      <c r="A45" s="146"/>
      <c r="B45" s="147" t="s">
        <v>189</v>
      </c>
      <c r="C45" s="216" t="s">
        <v>383</v>
      </c>
      <c r="D45" s="210"/>
      <c r="E45" s="467" t="s">
        <v>86</v>
      </c>
      <c r="F45" s="138">
        <v>7.199999999999999</v>
      </c>
      <c r="G45" s="467" t="s">
        <v>102</v>
      </c>
      <c r="H45" s="212"/>
      <c r="J45" s="210"/>
      <c r="K45" s="363"/>
      <c r="L45" s="363"/>
      <c r="M45" s="363"/>
      <c r="N45" s="363"/>
      <c r="O45" s="145"/>
      <c r="P45" s="145"/>
      <c r="Q45" s="145"/>
      <c r="R45" s="100"/>
      <c r="S45" s="100"/>
      <c r="T45" s="100"/>
      <c r="U45" s="146"/>
      <c r="V45" s="100"/>
    </row>
    <row r="46" outlineLevel="1">
      <c r="A46" s="146"/>
      <c r="B46" s="147" t="s">
        <v>5315</v>
      </c>
      <c r="C46" s="2208" t="s">
        <v>518</v>
      </c>
      <c r="D46" s="210"/>
      <c r="E46" s="2208" t="s">
        <v>93</v>
      </c>
      <c r="F46" s="1940">
        <v>8.4</v>
      </c>
      <c r="G46" s="3195" t="s">
        <v>121</v>
      </c>
      <c r="H46" s="212"/>
      <c r="J46" s="210"/>
      <c r="K46" s="363"/>
      <c r="L46" s="363"/>
      <c r="M46" s="363"/>
      <c r="N46" s="363"/>
      <c r="O46" s="145"/>
      <c r="P46" s="145"/>
      <c r="Q46" s="145"/>
      <c r="R46" s="100"/>
      <c r="S46" s="100"/>
      <c r="T46" s="100"/>
      <c r="U46" s="146"/>
      <c r="V46" s="100"/>
    </row>
    <row r="47" outlineLevel="1">
      <c r="A47" s="146"/>
      <c r="B47" s="147" t="s">
        <v>187</v>
      </c>
      <c r="C47" s="2208" t="s">
        <v>223</v>
      </c>
      <c r="D47" s="210"/>
      <c r="E47" s="2208" t="s">
        <v>93</v>
      </c>
      <c r="F47" s="1940">
        <v>8.4</v>
      </c>
      <c r="G47" s="3195" t="s">
        <v>121</v>
      </c>
      <c r="H47" s="212"/>
      <c r="J47" s="210"/>
      <c r="K47" s="363"/>
      <c r="L47" s="363"/>
      <c r="M47" s="363"/>
      <c r="N47" s="363"/>
      <c r="O47" s="145"/>
      <c r="P47" s="145"/>
      <c r="Q47" s="145"/>
      <c r="R47" s="100"/>
      <c r="S47" s="100"/>
      <c r="T47" s="100"/>
      <c r="U47" s="146"/>
      <c r="V47" s="100"/>
    </row>
    <row r="48" outlineLevel="1">
      <c r="A48" s="156"/>
      <c r="B48" s="147" t="s">
        <v>189</v>
      </c>
      <c r="C48" s="2208" t="s">
        <v>383</v>
      </c>
      <c r="D48" s="107"/>
      <c r="E48" s="2208" t="s">
        <v>93</v>
      </c>
      <c r="F48" s="1940">
        <v>8.4</v>
      </c>
      <c r="G48" s="3195" t="s">
        <v>121</v>
      </c>
      <c r="H48" s="106"/>
      <c r="I48" s="168"/>
      <c r="J48" s="107"/>
      <c r="K48" s="363"/>
      <c r="L48" s="363"/>
      <c r="M48" s="363"/>
      <c r="N48" s="363"/>
      <c r="O48" s="145">
        <v>0.0</v>
      </c>
      <c r="P48" s="145">
        <v>1.0</v>
      </c>
      <c r="Q48" s="145">
        <v>1.0</v>
      </c>
      <c r="R48" s="100"/>
      <c r="S48" s="100"/>
      <c r="T48" s="100"/>
      <c r="U48" s="156"/>
      <c r="V48" s="100"/>
    </row>
    <row r="49" ht="37.5" customHeight="1" outlineLevel="1">
      <c r="A49" s="133" t="s">
        <v>109</v>
      </c>
      <c r="B49" s="147"/>
      <c r="C49" s="467" t="s">
        <v>1137</v>
      </c>
      <c r="D49" s="455" t="s">
        <v>111</v>
      </c>
      <c r="E49" s="467" t="s">
        <v>119</v>
      </c>
      <c r="F49" s="138">
        <v>16.8</v>
      </c>
      <c r="G49" s="467" t="s">
        <v>121</v>
      </c>
      <c r="H49" s="163" t="s">
        <v>5316</v>
      </c>
      <c r="I49" s="164"/>
      <c r="J49" s="104"/>
      <c r="K49" s="282"/>
      <c r="L49" s="282"/>
      <c r="M49" s="363"/>
      <c r="N49" s="363"/>
      <c r="O49" s="145">
        <v>0.0</v>
      </c>
      <c r="P49" s="145">
        <v>1.0</v>
      </c>
      <c r="Q49" s="145">
        <v>1.0</v>
      </c>
      <c r="R49" s="100"/>
      <c r="S49" s="100"/>
      <c r="T49" s="100"/>
      <c r="U49" s="166" t="s">
        <v>95</v>
      </c>
      <c r="V49" s="100"/>
    </row>
    <row r="50" ht="37.5" customHeight="1" outlineLevel="1">
      <c r="A50" s="156"/>
      <c r="B50" s="147" t="s">
        <v>5315</v>
      </c>
      <c r="C50" s="2208" t="s">
        <v>409</v>
      </c>
      <c r="D50" s="107"/>
      <c r="E50" s="2208" t="s">
        <v>80</v>
      </c>
      <c r="F50" s="1940">
        <v>9.6</v>
      </c>
      <c r="G50" s="3195" t="s">
        <v>407</v>
      </c>
      <c r="H50" s="106"/>
      <c r="I50" s="168"/>
      <c r="J50" s="107"/>
      <c r="K50" s="282"/>
      <c r="L50" s="282"/>
      <c r="M50" s="363"/>
      <c r="N50" s="363"/>
      <c r="O50" s="145">
        <v>0.0</v>
      </c>
      <c r="P50" s="145">
        <v>1.0</v>
      </c>
      <c r="Q50" s="145">
        <v>1.0</v>
      </c>
      <c r="R50" s="100"/>
      <c r="S50" s="100"/>
      <c r="T50" s="100"/>
      <c r="U50" s="156"/>
      <c r="V50" s="100"/>
    </row>
    <row r="51" ht="31.5" customHeight="1" outlineLevel="1">
      <c r="A51" s="133" t="s">
        <v>116</v>
      </c>
      <c r="B51" s="160"/>
      <c r="C51" s="467" t="s">
        <v>1290</v>
      </c>
      <c r="D51" s="455" t="s">
        <v>455</v>
      </c>
      <c r="E51" s="467" t="s">
        <v>129</v>
      </c>
      <c r="F51" s="138">
        <v>14.399999999999999</v>
      </c>
      <c r="G51" s="139" t="s">
        <v>123</v>
      </c>
      <c r="H51" s="163" t="s">
        <v>5317</v>
      </c>
      <c r="I51" s="164"/>
      <c r="J51" s="104"/>
      <c r="K51" s="363"/>
      <c r="L51" s="363"/>
      <c r="M51" s="363"/>
      <c r="N51" s="363"/>
      <c r="O51" s="145">
        <v>0.0</v>
      </c>
      <c r="P51" s="145">
        <v>1.0</v>
      </c>
      <c r="Q51" s="145">
        <v>1.0</v>
      </c>
      <c r="R51" s="100"/>
      <c r="S51" s="100"/>
      <c r="T51" s="100"/>
      <c r="U51" s="166" t="s">
        <v>62</v>
      </c>
      <c r="V51" s="100"/>
    </row>
    <row r="52" ht="31.5" customHeight="1" outlineLevel="1">
      <c r="A52" s="156"/>
      <c r="B52" s="147" t="s">
        <v>5315</v>
      </c>
      <c r="C52" s="2208" t="s">
        <v>1290</v>
      </c>
      <c r="D52" s="107"/>
      <c r="E52" s="2208" t="s">
        <v>150</v>
      </c>
      <c r="F52" s="1940">
        <v>6.0</v>
      </c>
      <c r="G52" s="3194" t="s">
        <v>121</v>
      </c>
      <c r="H52" s="106"/>
      <c r="I52" s="168"/>
      <c r="J52" s="107"/>
      <c r="K52" s="363"/>
      <c r="L52" s="363"/>
      <c r="M52" s="363"/>
      <c r="N52" s="363"/>
      <c r="O52" s="145">
        <v>0.0</v>
      </c>
      <c r="P52" s="145">
        <v>1.0</v>
      </c>
      <c r="Q52" s="145">
        <v>1.0</v>
      </c>
      <c r="R52" s="100"/>
      <c r="S52" s="100"/>
      <c r="T52" s="100"/>
      <c r="U52" s="156"/>
      <c r="V52" s="100"/>
    </row>
    <row r="53" outlineLevel="1">
      <c r="A53" s="133" t="s">
        <v>124</v>
      </c>
      <c r="B53" s="134" t="s">
        <v>125</v>
      </c>
      <c r="C53" s="239" t="s">
        <v>373</v>
      </c>
      <c r="D53" s="279" t="s">
        <v>146</v>
      </c>
      <c r="E53" s="113" t="s">
        <v>129</v>
      </c>
      <c r="F53" s="138">
        <v>14.399999999999999</v>
      </c>
      <c r="G53" s="239" t="s">
        <v>123</v>
      </c>
      <c r="H53" s="163" t="s">
        <v>5318</v>
      </c>
      <c r="I53" s="164"/>
      <c r="J53" s="104"/>
      <c r="K53" s="282"/>
      <c r="L53" s="282"/>
      <c r="M53" s="363"/>
      <c r="N53" s="363"/>
      <c r="O53" s="145"/>
      <c r="P53" s="145"/>
      <c r="Q53" s="145"/>
      <c r="R53" s="100"/>
      <c r="S53" s="100"/>
      <c r="T53" s="100"/>
      <c r="U53" s="166" t="s">
        <v>62</v>
      </c>
      <c r="V53" s="100"/>
    </row>
    <row r="54" outlineLevel="1">
      <c r="A54" s="146"/>
      <c r="B54" s="134" t="s">
        <v>131</v>
      </c>
      <c r="C54" s="239" t="s">
        <v>454</v>
      </c>
      <c r="D54" s="146"/>
      <c r="E54" s="113" t="s">
        <v>129</v>
      </c>
      <c r="F54" s="138">
        <v>14.399999999999999</v>
      </c>
      <c r="G54" s="239" t="s">
        <v>123</v>
      </c>
      <c r="H54" s="212"/>
      <c r="J54" s="210"/>
      <c r="K54" s="282"/>
      <c r="L54" s="282"/>
      <c r="M54" s="363"/>
      <c r="N54" s="363"/>
      <c r="O54" s="145"/>
      <c r="P54" s="145"/>
      <c r="Q54" s="145"/>
      <c r="R54" s="100"/>
      <c r="S54" s="100"/>
      <c r="T54" s="100"/>
      <c r="U54" s="146"/>
      <c r="V54" s="100"/>
    </row>
    <row r="55" outlineLevel="1">
      <c r="A55" s="146"/>
      <c r="B55" s="134" t="s">
        <v>5319</v>
      </c>
      <c r="C55" s="1938" t="s">
        <v>373</v>
      </c>
      <c r="D55" s="146"/>
      <c r="E55" s="1938" t="s">
        <v>86</v>
      </c>
      <c r="F55" s="1940">
        <v>7.199999999999999</v>
      </c>
      <c r="G55" s="1938" t="s">
        <v>123</v>
      </c>
      <c r="H55" s="212"/>
      <c r="J55" s="210"/>
      <c r="K55" s="282"/>
      <c r="L55" s="282"/>
      <c r="M55" s="363"/>
      <c r="N55" s="363"/>
      <c r="O55" s="145">
        <v>0.0</v>
      </c>
      <c r="P55" s="145">
        <v>1.0</v>
      </c>
      <c r="Q55" s="145">
        <v>1.0</v>
      </c>
      <c r="R55" s="100"/>
      <c r="S55" s="100"/>
      <c r="T55" s="100"/>
      <c r="U55" s="146"/>
      <c r="V55" s="100"/>
    </row>
    <row r="56" outlineLevel="1">
      <c r="A56" s="156"/>
      <c r="B56" s="134" t="s">
        <v>5305</v>
      </c>
      <c r="C56" s="1938" t="s">
        <v>454</v>
      </c>
      <c r="D56" s="156"/>
      <c r="E56" s="1938" t="s">
        <v>86</v>
      </c>
      <c r="F56" s="1940">
        <v>7.199999999999999</v>
      </c>
      <c r="G56" s="3196" t="s">
        <v>88</v>
      </c>
      <c r="H56" s="106"/>
      <c r="I56" s="168"/>
      <c r="J56" s="107"/>
      <c r="K56" s="282"/>
      <c r="L56" s="282"/>
      <c r="M56" s="363"/>
      <c r="N56" s="363"/>
      <c r="O56" s="145">
        <v>0.0</v>
      </c>
      <c r="P56" s="145">
        <v>1.0</v>
      </c>
      <c r="Q56" s="145">
        <v>1.0</v>
      </c>
      <c r="R56" s="100"/>
      <c r="S56" s="100"/>
      <c r="T56" s="100"/>
      <c r="U56" s="156"/>
      <c r="V56" s="100"/>
    </row>
    <row r="57" outlineLevel="1">
      <c r="A57" s="771" t="s">
        <v>16</v>
      </c>
      <c r="B57" s="109"/>
      <c r="C57" s="127" t="s">
        <v>48</v>
      </c>
      <c r="D57" s="128" t="s">
        <v>49</v>
      </c>
      <c r="E57" s="128" t="s">
        <v>50</v>
      </c>
      <c r="F57" s="129" t="s">
        <v>51</v>
      </c>
      <c r="G57" s="128" t="s">
        <v>52</v>
      </c>
      <c r="H57" s="361" t="s">
        <v>53</v>
      </c>
      <c r="I57" s="110"/>
      <c r="J57" s="109"/>
      <c r="K57" s="131" t="s">
        <v>137</v>
      </c>
      <c r="L57" s="131" t="s">
        <v>138</v>
      </c>
      <c r="M57" s="131" t="s">
        <v>139</v>
      </c>
      <c r="N57" s="131" t="s">
        <v>140</v>
      </c>
      <c r="O57" s="132" t="s">
        <v>141</v>
      </c>
      <c r="P57" s="131" t="s">
        <v>142</v>
      </c>
      <c r="Q57" s="132" t="s">
        <v>143</v>
      </c>
      <c r="R57" s="100"/>
      <c r="S57" s="100"/>
      <c r="T57" s="100"/>
      <c r="U57" s="127" t="s">
        <v>54</v>
      </c>
      <c r="V57" s="100"/>
    </row>
    <row r="58" ht="19.5" customHeight="1" outlineLevel="1">
      <c r="A58" s="133" t="s">
        <v>5315</v>
      </c>
      <c r="B58" s="134" t="s">
        <v>5320</v>
      </c>
      <c r="C58" s="281"/>
      <c r="D58" s="113" t="s">
        <v>393</v>
      </c>
      <c r="E58" s="281"/>
      <c r="F58" s="281"/>
      <c r="G58" s="281"/>
      <c r="H58" s="3197" t="s">
        <v>5321</v>
      </c>
      <c r="I58" s="164"/>
      <c r="J58" s="104"/>
      <c r="K58" s="227"/>
      <c r="L58" s="227"/>
      <c r="M58" s="228"/>
      <c r="N58" s="228"/>
      <c r="O58" s="117"/>
      <c r="P58" s="117"/>
      <c r="Q58" s="117"/>
      <c r="R58" s="100"/>
      <c r="S58" s="100"/>
      <c r="T58" s="100"/>
      <c r="U58" s="145" t="s">
        <v>76</v>
      </c>
      <c r="V58" s="100"/>
    </row>
    <row r="59" ht="19.5" customHeight="1" outlineLevel="1">
      <c r="A59" s="156"/>
      <c r="B59" s="134" t="s">
        <v>5322</v>
      </c>
      <c r="C59" s="281"/>
      <c r="D59" s="113" t="s">
        <v>185</v>
      </c>
      <c r="E59" s="281"/>
      <c r="F59" s="281"/>
      <c r="G59" s="281"/>
      <c r="H59" s="106"/>
      <c r="I59" s="168"/>
      <c r="J59" s="107"/>
      <c r="K59" s="227"/>
      <c r="L59" s="227"/>
      <c r="M59" s="228"/>
      <c r="N59" s="228"/>
      <c r="O59" s="117"/>
      <c r="P59" s="117"/>
      <c r="Q59" s="117"/>
      <c r="R59" s="100"/>
      <c r="S59" s="100"/>
      <c r="T59" s="100"/>
      <c r="U59" s="145" t="s">
        <v>76</v>
      </c>
      <c r="V59" s="100"/>
    </row>
    <row r="60">
      <c r="A60" s="118"/>
      <c r="B60" s="176"/>
      <c r="C60" s="118"/>
      <c r="D60" s="118"/>
      <c r="E60" s="118"/>
      <c r="F60" s="177"/>
      <c r="G60" s="177"/>
      <c r="H60" s="118"/>
      <c r="I60" s="118"/>
      <c r="J60" s="118"/>
      <c r="K60" s="118"/>
      <c r="L60" s="118"/>
      <c r="M60" s="118"/>
      <c r="N60" s="118"/>
      <c r="O60" s="118"/>
      <c r="P60" s="118"/>
      <c r="Q60" s="118"/>
      <c r="R60" s="118"/>
      <c r="S60" s="118"/>
      <c r="T60" s="118"/>
      <c r="U60" s="118"/>
      <c r="V60" s="118"/>
    </row>
    <row r="61">
      <c r="A61" s="178" t="s">
        <v>133</v>
      </c>
      <c r="B61" s="104"/>
      <c r="C61" s="179"/>
      <c r="D61" s="179"/>
      <c r="E61" s="179"/>
      <c r="F61" s="180"/>
      <c r="G61" s="179"/>
      <c r="H61" s="180"/>
      <c r="I61" s="180"/>
      <c r="J61" s="181"/>
      <c r="K61" s="180"/>
      <c r="L61" s="180"/>
      <c r="M61" s="180"/>
      <c r="N61" s="180"/>
      <c r="O61" s="180"/>
      <c r="P61" s="180"/>
      <c r="Q61" s="180"/>
      <c r="R61" s="180"/>
      <c r="S61" s="180"/>
      <c r="T61" s="180"/>
      <c r="U61" s="180"/>
      <c r="V61" s="180"/>
    </row>
    <row r="62" outlineLevel="1">
      <c r="A62" s="106"/>
      <c r="B62" s="107"/>
      <c r="C62" s="182" t="s">
        <v>48</v>
      </c>
      <c r="D62" s="183" t="s">
        <v>49</v>
      </c>
      <c r="E62" s="182" t="s">
        <v>50</v>
      </c>
      <c r="F62" s="184" t="s">
        <v>51</v>
      </c>
      <c r="G62" s="184" t="s">
        <v>134</v>
      </c>
      <c r="H62" s="185" t="s">
        <v>52</v>
      </c>
      <c r="I62" s="184" t="s">
        <v>135</v>
      </c>
      <c r="J62" s="184" t="s">
        <v>136</v>
      </c>
      <c r="K62" s="184" t="s">
        <v>137</v>
      </c>
      <c r="L62" s="184" t="s">
        <v>138</v>
      </c>
      <c r="M62" s="184" t="s">
        <v>139</v>
      </c>
      <c r="N62" s="184" t="s">
        <v>140</v>
      </c>
      <c r="O62" s="186" t="s">
        <v>141</v>
      </c>
      <c r="P62" s="184" t="s">
        <v>142</v>
      </c>
      <c r="Q62" s="186" t="s">
        <v>143</v>
      </c>
      <c r="R62" s="372" t="s">
        <v>53</v>
      </c>
      <c r="S62" s="110"/>
      <c r="T62" s="110"/>
      <c r="U62" s="110"/>
      <c r="V62" s="109"/>
    </row>
    <row r="63" outlineLevel="1">
      <c r="A63" s="188" t="s">
        <v>144</v>
      </c>
      <c r="B63" s="373"/>
      <c r="C63" s="239" t="s">
        <v>4981</v>
      </c>
      <c r="D63" s="455" t="s">
        <v>289</v>
      </c>
      <c r="E63" s="401" t="s">
        <v>93</v>
      </c>
      <c r="F63" s="193">
        <f t="shared" ref="F63:F74" si="1">IFERROR(IFS(E63="-","-",LEN(E63)-LEN(SUBSTITUTE(E63,"/",""))=0,MULTIPLY(E63,1.2),LEN(E63)-LEN(SUBSTITUTE(E63,"/",""))=1,MULTIPLY(LEFT(E63,FIND("/",E63)-1),1.2)&amp;"/"&amp;MULTIPLY(MID(E63,FIND("/",E63)+1,10),1.2),LEN(E63)-LEN(SUBSTITUTE(E63,"/",""))=2,MULTIPLY(LEFT(E63,FIND("!",SUBSTITUTE(E63,"/","!",1))-1),1.2)&amp;"/"&amp;MULTIPLY(MID(E63,FIND("!",SUBSTITUTE(E63,"/","!",1))+1,FIND("!",SUBSTITUTE(E63,"/","!",2))-FIND("!",SUBSTITUTE(E63,"/","!",1))-1),1.2)&amp;"/"&amp;MULTIPLY(RIGHT(E63,LEN(E63)-FIND("!",SUBSTITUTE(E63,"/","!",2))),1.2),LEN(E63)-LEN(SUBSTITUTE(E63,"/",""))=3,MULTIPLY(LEFT(E63,FIND("!",SUBSTITUTE(E63,"/","!",1))-1),1.2)&amp;"/"&amp;MULTIPLY(MID(E63,FIND("!",SUBSTITUTE(E63,"/","!",1))+1,FIND("!",SUBSTITUTE(E63,"/","!",2))-FIND("!",SUBSTITUTE(E63,"/","!",1))-1),1.2)&amp;"/"&amp;MULTIPLY(MID(E63,FIND("!",SUBSTITUTE(E63,"/","!",2))+1,FIND("!",SUBSTITUTE(E63,"/","!",3))-FIND("!",SUBSTITUTE(E63,"/","!",2))-1),1.2)&amp;"/"&amp;MULTIPLY(RIGHT(E63,LEN(E63)-FIND("!",SUBSTITUTE(E63,"/","!",3))),1.2),LEN(E63)-LEN(SUBSTITUTE(E63,"/",""))=4,MULTIPLY(LEFT(E63,FIND("!",SUBSTITUTE(E63,"/","!",1))-1),1.2)&amp;"/"&amp;MULTIPLY(MID(E63,FIND("!",SUBSTITUTE(E63,"/","!",1))+1,FIND("!",SUBSTITUTE(E63,"/","!",2))-FIND("!",SUBSTITUTE(E63,"/","!",1))-1),1.2)&amp;"/"&amp;MULTIPLY(MID(E63,FIND("!",SUBSTITUTE(E63,"/","!",2))+1,FIND("!",SUBSTITUTE(E63,"/","!",3))-FIND("!",SUBSTITUTE(E63,"/","!",2))-1),1.2)&amp;"/"&amp;MULTIPLY(MID(E63,FIND("!",SUBSTITUTE(E63,"/","!",3))+1,FIND("!",SUBSTITUTE(E63,"/","!",4))-FIND("!",SUBSTITUTE(E63,"/","!",3))-1),1.2)&amp;"/"&amp;MULTIPLY(RIGHT(E63,LEN(E63)-FIND("!",SUBSTITUTE(E63,"/","!",4))),1.2)),"")</f>
        <v>8.4</v>
      </c>
      <c r="G63" s="193">
        <f t="shared" ref="G63:G74" si="2">IFERROR(IFS(E63="-","-",LEN(E63)-LEN(SUBSTITUTE(E63,"/",""))=0,MULTIPLY(E63,1.02),LEN(E63)-LEN(SUBSTITUTE(E63,"/",""))=1,MULTIPLY(LEFT(E63,FIND("/",E63)-1),1.02)&amp;"/"&amp;MULTIPLY(MID(E63,FIND("/",E63)+1,10),1.02),LEN(E63)-LEN(SUBSTITUTE(E63,"/",""))=2,MULTIPLY(LEFT(E63,FIND("!",SUBSTITUTE(E63,"/","!",1))-1),1.02)&amp;"/"&amp;MULTIPLY(MID(E63,FIND("!",SUBSTITUTE(E63,"/","!",1))+1,FIND("!",SUBSTITUTE(E63,"/","!",2))-FIND("!",SUBSTITUTE(E63,"/","!",1))-1),1.02)&amp;"/"&amp;MULTIPLY(RIGHT(E63,LEN(E63)-FIND("!",SUBSTITUTE(E63,"/","!",2))),1.02),LEN(E63)-LEN(SUBSTITUTE(E63,"/",""))=3,MULTIPLY(LEFT(E63,FIND("!",SUBSTITUTE(E63,"/","!",1))-1),1.02)&amp;"/"&amp;MULTIPLY(MID(E63,FIND("!",SUBSTITUTE(E63,"/","!",1))+1,FIND("!",SUBSTITUTE(E63,"/","!",2))-FIND("!",SUBSTITUTE(E63,"/","!",1))-1),1.02)&amp;"/"&amp;MULTIPLY(MID(E63,FIND("!",SUBSTITUTE(E63,"/","!",2))+1,FIND("!",SUBSTITUTE(E63,"/","!",3))-FIND("!",SUBSTITUTE(E63,"/","!",2))-1),1.02)&amp;"/"&amp;MULTIPLY(RIGHT(E63,LEN(E63)-FIND("!",SUBSTITUTE(E63,"/","!",3))),1.02),LEN(E63)-LEN(SUBSTITUTE(E63,"/",""))=4,MULTIPLY(LEFT(E63,FIND("!",SUBSTITUTE(E63,"/","!",1))-1),1.02)&amp;"/"&amp;MULTIPLY(MID(E63,FIND("!",SUBSTITUTE(E63,"/","!",1))+1,FIND("!",SUBSTITUTE(E63,"/","!",2))-FIND("!",SUBSTITUTE(E63,"/","!",1))-1),1.02)&amp;"/"&amp;MULTIPLY(MID(E63,FIND("!",SUBSTITUTE(E63,"/","!",2))+1,FIND("!",SUBSTITUTE(E63,"/","!",3))-FIND("!",SUBSTITUTE(E63,"/","!",2))-1),1.02)&amp;"/"&amp;MULTIPLY(MID(E63,FIND("!",SUBSTITUTE(E63,"/","!",3))+1,FIND("!",SUBSTITUTE(E63,"/","!",4))-FIND("!",SUBSTITUTE(E63,"/","!",3))-1),1.02)&amp;"/"&amp;MULTIPLY(RIGHT(E63,LEN(E63)-FIND("!",SUBSTITUTE(E63,"/","!",4))),1.02)),"")</f>
        <v>7.14</v>
      </c>
      <c r="H63" s="138" t="s">
        <v>60</v>
      </c>
      <c r="I63" s="455" t="str">
        <f t="array" ref="I63">INDEX('空中攻撃'!$O$3:$AB$109, MATCH($A$1,'空中攻撃'!$A$3:$A$109,0), MATCH(A63,'空中攻撃'!$O$2:$S$2,0))</f>
        <v>8</v>
      </c>
      <c r="J63" s="455" t="s">
        <v>2531</v>
      </c>
      <c r="K63" s="138">
        <v>361.0</v>
      </c>
      <c r="L63" s="282"/>
      <c r="M63" s="363"/>
      <c r="N63" s="363"/>
      <c r="O63" s="145">
        <v>0.0</v>
      </c>
      <c r="P63" s="145">
        <v>1.0</v>
      </c>
      <c r="Q63" s="145">
        <v>1.0</v>
      </c>
      <c r="R63" s="163"/>
      <c r="S63" s="164"/>
      <c r="T63" s="164"/>
      <c r="U63" s="164"/>
      <c r="V63" s="104"/>
    </row>
    <row r="64" outlineLevel="1">
      <c r="A64" s="156"/>
      <c r="B64" s="373" t="s">
        <v>5315</v>
      </c>
      <c r="C64" s="1938" t="s">
        <v>4981</v>
      </c>
      <c r="D64" s="107"/>
      <c r="E64" s="1938" t="s">
        <v>73</v>
      </c>
      <c r="F64" s="1940">
        <f t="shared" si="1"/>
        <v>4.8</v>
      </c>
      <c r="G64" s="1940">
        <f t="shared" si="2"/>
        <v>4.08</v>
      </c>
      <c r="H64" s="1940" t="s">
        <v>60</v>
      </c>
      <c r="I64" s="107"/>
      <c r="J64" s="107"/>
      <c r="K64" s="138">
        <v>363.0</v>
      </c>
      <c r="L64" s="282"/>
      <c r="M64" s="363"/>
      <c r="N64" s="363"/>
      <c r="O64" s="145">
        <v>0.0</v>
      </c>
      <c r="P64" s="145">
        <v>1.0</v>
      </c>
      <c r="Q64" s="145">
        <v>1.0</v>
      </c>
      <c r="R64" s="106"/>
      <c r="S64" s="168"/>
      <c r="T64" s="168"/>
      <c r="U64" s="168"/>
      <c r="V64" s="107"/>
    </row>
    <row r="65" outlineLevel="1">
      <c r="A65" s="188" t="s">
        <v>151</v>
      </c>
      <c r="B65" s="373" t="s">
        <v>125</v>
      </c>
      <c r="C65" s="239" t="s">
        <v>319</v>
      </c>
      <c r="D65" s="455" t="s">
        <v>111</v>
      </c>
      <c r="E65" s="239" t="s">
        <v>176</v>
      </c>
      <c r="F65" s="138">
        <f t="shared" si="1"/>
        <v>2.4</v>
      </c>
      <c r="G65" s="138">
        <f t="shared" si="2"/>
        <v>2.04</v>
      </c>
      <c r="H65" s="138" t="s">
        <v>170</v>
      </c>
      <c r="I65" s="452" t="str">
        <f t="array" ref="I65">INDEX('空中攻撃'!$O$3:$AB$109, MATCH($A$1,'空中攻撃'!$A$3:$A$109,0), MATCH(A65,'空中攻撃'!$O$2:$S$2,0))</f>
        <v>12</v>
      </c>
      <c r="J65" s="455" t="s">
        <v>2027</v>
      </c>
      <c r="K65" s="138">
        <v>45.0</v>
      </c>
      <c r="L65" s="282"/>
      <c r="M65" s="363"/>
      <c r="N65" s="363"/>
      <c r="O65" s="145">
        <v>0.0</v>
      </c>
      <c r="P65" s="145">
        <v>1.0</v>
      </c>
      <c r="Q65" s="145">
        <v>1.0</v>
      </c>
      <c r="R65" s="163"/>
      <c r="S65" s="164"/>
      <c r="T65" s="164"/>
      <c r="U65" s="164"/>
      <c r="V65" s="104"/>
    </row>
    <row r="66" outlineLevel="1">
      <c r="A66" s="146"/>
      <c r="B66" s="373" t="s">
        <v>131</v>
      </c>
      <c r="C66" s="239" t="s">
        <v>383</v>
      </c>
      <c r="D66" s="210"/>
      <c r="E66" s="239" t="s">
        <v>150</v>
      </c>
      <c r="F66" s="138">
        <f t="shared" si="1"/>
        <v>6</v>
      </c>
      <c r="G66" s="138">
        <f t="shared" si="2"/>
        <v>5.1</v>
      </c>
      <c r="H66" s="138" t="s">
        <v>60</v>
      </c>
      <c r="I66" s="210"/>
      <c r="J66" s="210"/>
      <c r="K66" s="138">
        <v>365.0</v>
      </c>
      <c r="L66" s="282"/>
      <c r="M66" s="363"/>
      <c r="N66" s="363"/>
      <c r="O66" s="145">
        <v>0.0</v>
      </c>
      <c r="P66" s="145">
        <v>1.0</v>
      </c>
      <c r="Q66" s="145">
        <v>1.0</v>
      </c>
      <c r="R66" s="212"/>
      <c r="V66" s="210"/>
    </row>
    <row r="67" outlineLevel="1">
      <c r="A67" s="156"/>
      <c r="B67" s="373" t="s">
        <v>5305</v>
      </c>
      <c r="C67" s="1938" t="s">
        <v>383</v>
      </c>
      <c r="D67" s="107"/>
      <c r="E67" s="1938" t="s">
        <v>80</v>
      </c>
      <c r="F67" s="1940">
        <f t="shared" si="1"/>
        <v>9.6</v>
      </c>
      <c r="G67" s="1940">
        <f t="shared" si="2"/>
        <v>8.16</v>
      </c>
      <c r="H67" s="1940" t="s">
        <v>147</v>
      </c>
      <c r="I67" s="107"/>
      <c r="J67" s="107"/>
      <c r="K67" s="138"/>
      <c r="L67" s="282"/>
      <c r="M67" s="363"/>
      <c r="N67" s="363"/>
      <c r="O67" s="145"/>
      <c r="P67" s="145"/>
      <c r="Q67" s="145"/>
      <c r="R67" s="106"/>
      <c r="S67" s="168"/>
      <c r="T67" s="168"/>
      <c r="U67" s="168"/>
      <c r="V67" s="107"/>
    </row>
    <row r="68" outlineLevel="1">
      <c r="A68" s="188" t="s">
        <v>157</v>
      </c>
      <c r="B68" s="373"/>
      <c r="C68" s="239" t="s">
        <v>319</v>
      </c>
      <c r="D68" s="455" t="s">
        <v>271</v>
      </c>
      <c r="E68" s="239" t="s">
        <v>274</v>
      </c>
      <c r="F68" s="138">
        <f t="shared" si="1"/>
        <v>10.8</v>
      </c>
      <c r="G68" s="138">
        <f t="shared" si="2"/>
        <v>9.18</v>
      </c>
      <c r="H68" s="138" t="s">
        <v>147</v>
      </c>
      <c r="I68" s="452">
        <f t="array" ref="I68">INDEX('空中攻撃'!$O$3:$AB$109, MATCH($A$1,'空中攻撃'!$A$3:$A$109,0), MATCH(A68,'空中攻撃'!$O$2:$S$2,0))</f>
        <v>9</v>
      </c>
      <c r="J68" s="455" t="s">
        <v>1685</v>
      </c>
      <c r="K68" s="138">
        <v>57.0</v>
      </c>
      <c r="L68" s="282"/>
      <c r="M68" s="363"/>
      <c r="N68" s="363"/>
      <c r="O68" s="145">
        <v>0.0</v>
      </c>
      <c r="P68" s="145">
        <v>1.0</v>
      </c>
      <c r="Q68" s="145">
        <v>1.0</v>
      </c>
      <c r="R68" s="163"/>
      <c r="S68" s="164"/>
      <c r="T68" s="164"/>
      <c r="U68" s="164"/>
      <c r="V68" s="104"/>
    </row>
    <row r="69" outlineLevel="1">
      <c r="A69" s="156"/>
      <c r="B69" s="373" t="s">
        <v>5315</v>
      </c>
      <c r="C69" s="1938" t="s">
        <v>319</v>
      </c>
      <c r="D69" s="107"/>
      <c r="E69" s="1938" t="s">
        <v>93</v>
      </c>
      <c r="F69" s="1940">
        <f t="shared" si="1"/>
        <v>8.4</v>
      </c>
      <c r="G69" s="1940">
        <f t="shared" si="2"/>
        <v>7.14</v>
      </c>
      <c r="H69" s="1940" t="s">
        <v>60</v>
      </c>
      <c r="I69" s="107"/>
      <c r="J69" s="107"/>
      <c r="K69" s="138">
        <v>241.0</v>
      </c>
      <c r="L69" s="282"/>
      <c r="M69" s="363"/>
      <c r="N69" s="363"/>
      <c r="O69" s="145">
        <v>0.0</v>
      </c>
      <c r="P69" s="145">
        <v>1.0</v>
      </c>
      <c r="Q69" s="145">
        <v>1.0</v>
      </c>
      <c r="R69" s="106"/>
      <c r="S69" s="168"/>
      <c r="T69" s="168"/>
      <c r="U69" s="168"/>
      <c r="V69" s="107"/>
    </row>
    <row r="70" outlineLevel="1">
      <c r="A70" s="188" t="s">
        <v>162</v>
      </c>
      <c r="B70" s="373" t="s">
        <v>199</v>
      </c>
      <c r="C70" s="239" t="s">
        <v>5323</v>
      </c>
      <c r="D70" s="455" t="s">
        <v>118</v>
      </c>
      <c r="E70" s="239" t="s">
        <v>2790</v>
      </c>
      <c r="F70" s="138">
        <f t="shared" si="1"/>
        <v>0.9</v>
      </c>
      <c r="G70" s="138">
        <f t="shared" si="2"/>
        <v>0.765</v>
      </c>
      <c r="H70" s="138" t="s">
        <v>170</v>
      </c>
      <c r="I70" s="452" t="str">
        <f t="array" ref="I70">INDEX('空中攻撃'!$O$3:$AB$109, MATCH($A$1,'空中攻撃'!$A$3:$A$109,0), MATCH(A70,'空中攻撃'!$O$2:$S$2,0))</f>
        <v>14</v>
      </c>
      <c r="J70" s="455" t="s">
        <v>2883</v>
      </c>
      <c r="K70" s="282"/>
      <c r="L70" s="282"/>
      <c r="M70" s="363"/>
      <c r="N70" s="363"/>
      <c r="O70" s="145">
        <v>0.0</v>
      </c>
      <c r="P70" s="145">
        <v>1.0</v>
      </c>
      <c r="Q70" s="145">
        <v>1.0</v>
      </c>
      <c r="R70" s="163"/>
      <c r="S70" s="164"/>
      <c r="T70" s="164"/>
      <c r="U70" s="164"/>
      <c r="V70" s="104"/>
    </row>
    <row r="71" outlineLevel="1">
      <c r="A71" s="146"/>
      <c r="B71" s="373" t="s">
        <v>202</v>
      </c>
      <c r="C71" s="239" t="s">
        <v>351</v>
      </c>
      <c r="D71" s="210"/>
      <c r="E71" s="239" t="s">
        <v>204</v>
      </c>
      <c r="F71" s="138">
        <f t="shared" si="1"/>
        <v>3.6</v>
      </c>
      <c r="G71" s="138">
        <f t="shared" si="2"/>
        <v>3.06</v>
      </c>
      <c r="H71" s="138" t="s">
        <v>170</v>
      </c>
      <c r="I71" s="210"/>
      <c r="J71" s="210"/>
      <c r="K71" s="282"/>
      <c r="L71" s="282"/>
      <c r="M71" s="363"/>
      <c r="N71" s="363"/>
      <c r="O71" s="145"/>
      <c r="P71" s="145"/>
      <c r="Q71" s="145"/>
      <c r="R71" s="212"/>
      <c r="V71" s="210"/>
    </row>
    <row r="72" outlineLevel="1">
      <c r="A72" s="156"/>
      <c r="B72" s="373" t="s">
        <v>5312</v>
      </c>
      <c r="C72" s="1938" t="s">
        <v>351</v>
      </c>
      <c r="D72" s="107"/>
      <c r="E72" s="1938" t="s">
        <v>93</v>
      </c>
      <c r="F72" s="1940">
        <f t="shared" si="1"/>
        <v>8.4</v>
      </c>
      <c r="G72" s="1940">
        <f t="shared" si="2"/>
        <v>7.14</v>
      </c>
      <c r="H72" s="1940" t="s">
        <v>60</v>
      </c>
      <c r="I72" s="107"/>
      <c r="J72" s="107"/>
      <c r="K72" s="282"/>
      <c r="L72" s="282"/>
      <c r="M72" s="363"/>
      <c r="N72" s="363"/>
      <c r="O72" s="145">
        <v>0.0</v>
      </c>
      <c r="P72" s="145">
        <v>1.0</v>
      </c>
      <c r="Q72" s="145">
        <v>1.0</v>
      </c>
      <c r="R72" s="106"/>
      <c r="S72" s="168"/>
      <c r="T72" s="168"/>
      <c r="U72" s="168"/>
      <c r="V72" s="107"/>
    </row>
    <row r="73" ht="38.25" customHeight="1" outlineLevel="1">
      <c r="A73" s="188" t="s">
        <v>166</v>
      </c>
      <c r="B73" s="373"/>
      <c r="C73" s="239" t="s">
        <v>1159</v>
      </c>
      <c r="D73" s="455" t="s">
        <v>374</v>
      </c>
      <c r="E73" s="239" t="s">
        <v>80</v>
      </c>
      <c r="F73" s="138">
        <f t="shared" si="1"/>
        <v>9.6</v>
      </c>
      <c r="G73" s="138">
        <f t="shared" si="2"/>
        <v>8.16</v>
      </c>
      <c r="H73" s="138" t="s">
        <v>147</v>
      </c>
      <c r="I73" s="452">
        <f t="array" ref="I73">INDEX('空中攻撃'!$O$3:$AB$109, MATCH($A$1,'空中攻撃'!$A$3:$A$109,0), MATCH(A73,'空中攻撃'!$O$2:$S$2,0))</f>
        <v>11</v>
      </c>
      <c r="J73" s="455" t="s">
        <v>649</v>
      </c>
      <c r="K73" s="282"/>
      <c r="L73" s="282"/>
      <c r="M73" s="363"/>
      <c r="N73" s="363"/>
      <c r="O73" s="145">
        <v>0.0</v>
      </c>
      <c r="P73" s="145">
        <v>1.0</v>
      </c>
      <c r="Q73" s="145">
        <v>1.0</v>
      </c>
      <c r="R73" s="163" t="s">
        <v>5324</v>
      </c>
      <c r="S73" s="164"/>
      <c r="T73" s="164"/>
      <c r="U73" s="164"/>
      <c r="V73" s="104"/>
    </row>
    <row r="74" ht="38.25" customHeight="1" outlineLevel="1">
      <c r="A74" s="156"/>
      <c r="B74" s="373" t="s">
        <v>5315</v>
      </c>
      <c r="C74" s="1938" t="s">
        <v>561</v>
      </c>
      <c r="D74" s="107"/>
      <c r="E74" s="1938" t="s">
        <v>80</v>
      </c>
      <c r="F74" s="1940">
        <f t="shared" si="1"/>
        <v>9.6</v>
      </c>
      <c r="G74" s="1940">
        <f t="shared" si="2"/>
        <v>8.16</v>
      </c>
      <c r="H74" s="1940" t="s">
        <v>147</v>
      </c>
      <c r="I74" s="107"/>
      <c r="J74" s="107"/>
      <c r="K74" s="282"/>
      <c r="L74" s="282"/>
      <c r="M74" s="363"/>
      <c r="N74" s="363"/>
      <c r="O74" s="145">
        <v>0.0</v>
      </c>
      <c r="P74" s="145">
        <v>1.0</v>
      </c>
      <c r="Q74" s="145">
        <v>1.0</v>
      </c>
      <c r="R74" s="106"/>
      <c r="S74" s="168"/>
      <c r="T74" s="168"/>
      <c r="U74" s="168"/>
      <c r="V74" s="107"/>
    </row>
    <row r="75">
      <c r="A75" s="223"/>
      <c r="B75" s="224"/>
      <c r="C75" s="225"/>
      <c r="D75" s="225"/>
      <c r="E75" s="226"/>
      <c r="F75" s="226"/>
      <c r="G75" s="226"/>
      <c r="H75" s="227"/>
      <c r="I75" s="227"/>
      <c r="J75" s="228"/>
      <c r="K75" s="228"/>
      <c r="L75" s="228"/>
      <c r="M75" s="228"/>
      <c r="N75" s="228"/>
      <c r="O75" s="228"/>
      <c r="P75" s="228"/>
      <c r="Q75" s="118"/>
      <c r="R75" s="118"/>
      <c r="S75" s="118"/>
      <c r="T75" s="118"/>
      <c r="U75" s="118"/>
      <c r="V75" s="118"/>
    </row>
    <row r="76">
      <c r="A76" s="229" t="s">
        <v>177</v>
      </c>
      <c r="B76" s="109"/>
      <c r="C76" s="225"/>
      <c r="D76" s="225"/>
      <c r="E76" s="226"/>
      <c r="F76" s="226"/>
      <c r="G76" s="226"/>
      <c r="H76" s="227"/>
      <c r="I76" s="227"/>
      <c r="J76" s="228"/>
      <c r="K76" s="228"/>
      <c r="L76" s="228"/>
      <c r="M76" s="228"/>
      <c r="N76" s="228"/>
      <c r="O76" s="228"/>
      <c r="P76" s="228"/>
      <c r="Q76" s="118"/>
      <c r="R76" s="118"/>
      <c r="S76" s="118"/>
      <c r="T76" s="118"/>
      <c r="U76" s="118"/>
      <c r="V76" s="118"/>
    </row>
    <row r="77" outlineLevel="1">
      <c r="A77" s="230" t="str">
        <f>"NB ("&amp;VLOOKUP($A$1,Fighters!$A$2:$AI$81,15,FALSE)&amp;")"</f>
        <v>NB (ガン / ガンスペシャル)</v>
      </c>
      <c r="B77" s="109"/>
      <c r="C77" s="231" t="s">
        <v>48</v>
      </c>
      <c r="D77" s="231" t="s">
        <v>49</v>
      </c>
      <c r="E77" s="232" t="s">
        <v>50</v>
      </c>
      <c r="F77" s="233" t="s">
        <v>51</v>
      </c>
      <c r="G77" s="232" t="s">
        <v>52</v>
      </c>
      <c r="H77" s="382" t="s">
        <v>53</v>
      </c>
      <c r="I77" s="110"/>
      <c r="J77" s="109"/>
      <c r="K77" s="235" t="s">
        <v>137</v>
      </c>
      <c r="L77" s="235" t="s">
        <v>138</v>
      </c>
      <c r="M77" s="235" t="s">
        <v>139</v>
      </c>
      <c r="N77" s="235" t="s">
        <v>140</v>
      </c>
      <c r="O77" s="236" t="s">
        <v>141</v>
      </c>
      <c r="P77" s="235" t="s">
        <v>142</v>
      </c>
      <c r="Q77" s="236" t="s">
        <v>143</v>
      </c>
      <c r="R77" s="235" t="s">
        <v>179</v>
      </c>
      <c r="S77" s="236" t="s">
        <v>180</v>
      </c>
      <c r="T77" s="236" t="s">
        <v>181</v>
      </c>
      <c r="U77" s="236" t="s">
        <v>182</v>
      </c>
      <c r="V77" s="3198" t="s">
        <v>183</v>
      </c>
    </row>
    <row r="78" outlineLevel="1">
      <c r="A78" s="237" t="s">
        <v>5325</v>
      </c>
      <c r="B78" s="243" t="s">
        <v>5326</v>
      </c>
      <c r="C78" s="239" t="s">
        <v>129</v>
      </c>
      <c r="D78" s="113" t="s">
        <v>224</v>
      </c>
      <c r="E78" s="239" t="s">
        <v>5327</v>
      </c>
      <c r="F78" s="193" t="str">
        <f t="shared" ref="F78:F98" si="3">IFERROR(IFS(E78="-","-",LEN(E78)-LEN(SUBSTITUTE(E78,"/",""))=0,MULTIPLY(E78,1.2),LEN(E78)-LEN(SUBSTITUTE(E78,"/",""))=1,MULTIPLY(LEFT(E78,FIND("/",E78)-1),1.2)&amp;"/"&amp;MULTIPLY(MID(E78,FIND("/",E78)+1,10),1.2),LEN(E78)-LEN(SUBSTITUTE(E78,"/",""))=2,MULTIPLY(LEFT(E78,FIND("!",SUBSTITUTE(E78,"/","!",1))-1),1.2)&amp;"/"&amp;MULTIPLY(MID(E78,FIND("!",SUBSTITUTE(E78,"/","!",1))+1,FIND("!",SUBSTITUTE(E78,"/","!",2))-FIND("!",SUBSTITUTE(E78,"/","!",1))-1),1.2)&amp;"/"&amp;MULTIPLY(RIGHT(E78,LEN(E78)-FIND("!",SUBSTITUTE(E78,"/","!",2))),1.2),LEN(E78)-LEN(SUBSTITUTE(E78,"/",""))=3,MULTIPLY(LEFT(E78,FIND("!",SUBSTITUTE(E78,"/","!",1))-1),1.2)&amp;"/"&amp;MULTIPLY(MID(E78,FIND("!",SUBSTITUTE(E78,"/","!",1))+1,FIND("!",SUBSTITUTE(E78,"/","!",2))-FIND("!",SUBSTITUTE(E78,"/","!",1))-1),1.2)&amp;"/"&amp;MULTIPLY(MID(E78,FIND("!",SUBSTITUTE(E78,"/","!",2))+1,FIND("!",SUBSTITUTE(E78,"/","!",3))-FIND("!",SUBSTITUTE(E78,"/","!",2))-1),1.2)&amp;"/"&amp;MULTIPLY(RIGHT(E78,LEN(E78)-FIND("!",SUBSTITUTE(E78,"/","!",3))),1.2),LEN(E78)-LEN(SUBSTITUTE(E78,"/",""))=4,MULTIPLY(LEFT(E78,FIND("!",SUBSTITUTE(E78,"/","!",1))-1),1.2)&amp;"/"&amp;MULTIPLY(MID(E78,FIND("!",SUBSTITUTE(E78,"/","!",1))+1,FIND("!",SUBSTITUTE(E78,"/","!",2))-FIND("!",SUBSTITUTE(E78,"/","!",1))-1),1.2)&amp;"/"&amp;MULTIPLY(MID(E78,FIND("!",SUBSTITUTE(E78,"/","!",2))+1,FIND("!",SUBSTITUTE(E78,"/","!",3))-FIND("!",SUBSTITUTE(E78,"/","!",2))-1),1.2)&amp;"/"&amp;MULTIPLY(MID(E78,FIND("!",SUBSTITUTE(E78,"/","!",3))+1,FIND("!",SUBSTITUTE(E78,"/","!",4))-FIND("!",SUBSTITUTE(E78,"/","!",3))-1),1.2)&amp;"/"&amp;MULTIPLY(RIGHT(E78,LEN(E78)-FIND("!",SUBSTITUTE(E78,"/","!",4))),1.2)),"")</f>
        <v>6/3.6/1.2</v>
      </c>
      <c r="G78" s="239" t="s">
        <v>5328</v>
      </c>
      <c r="H78" s="163" t="s">
        <v>5329</v>
      </c>
      <c r="I78" s="164"/>
      <c r="J78" s="104"/>
      <c r="K78" s="282"/>
      <c r="L78" s="282"/>
      <c r="M78" s="363"/>
      <c r="N78" s="363"/>
      <c r="O78" s="145">
        <v>0.0</v>
      </c>
      <c r="P78" s="145">
        <v>1.0</v>
      </c>
      <c r="Q78" s="145">
        <v>1.0</v>
      </c>
      <c r="R78" s="145" t="b">
        <v>1</v>
      </c>
      <c r="S78" s="145" t="b">
        <v>1</v>
      </c>
      <c r="T78" s="145"/>
      <c r="U78" s="166" t="s">
        <v>186</v>
      </c>
      <c r="V78" s="166" t="b">
        <v>1</v>
      </c>
    </row>
    <row r="79" outlineLevel="1">
      <c r="A79" s="146"/>
      <c r="B79" s="663" t="s">
        <v>5330</v>
      </c>
      <c r="C79" s="239" t="s">
        <v>718</v>
      </c>
      <c r="D79" s="113" t="s">
        <v>5331</v>
      </c>
      <c r="E79" s="239" t="s">
        <v>5332</v>
      </c>
      <c r="F79" s="193" t="str">
        <f t="shared" si="3"/>
        <v>7.2/4.8/2.4</v>
      </c>
      <c r="G79" s="239" t="s">
        <v>5333</v>
      </c>
      <c r="H79" s="212"/>
      <c r="J79" s="210"/>
      <c r="K79" s="282"/>
      <c r="L79" s="282"/>
      <c r="M79" s="363"/>
      <c r="N79" s="363"/>
      <c r="O79" s="145"/>
      <c r="P79" s="145"/>
      <c r="Q79" s="145"/>
      <c r="R79" s="145" t="b">
        <v>0</v>
      </c>
      <c r="S79" s="145" t="b">
        <v>0</v>
      </c>
      <c r="T79" s="145" t="b">
        <v>0</v>
      </c>
      <c r="U79" s="146"/>
      <c r="V79" s="146"/>
    </row>
    <row r="80" outlineLevel="1">
      <c r="A80" s="146"/>
      <c r="B80" s="663" t="s">
        <v>5334</v>
      </c>
      <c r="C80" s="239" t="s">
        <v>1114</v>
      </c>
      <c r="D80" s="113" t="s">
        <v>5335</v>
      </c>
      <c r="E80" s="239" t="s">
        <v>5327</v>
      </c>
      <c r="F80" s="193" t="str">
        <f t="shared" si="3"/>
        <v>6/3.6/1.2</v>
      </c>
      <c r="G80" s="239" t="s">
        <v>5328</v>
      </c>
      <c r="H80" s="212"/>
      <c r="J80" s="210"/>
      <c r="K80" s="282"/>
      <c r="L80" s="282"/>
      <c r="M80" s="363"/>
      <c r="N80" s="363"/>
      <c r="O80" s="145"/>
      <c r="P80" s="145"/>
      <c r="Q80" s="145"/>
      <c r="R80" s="145" t="b">
        <v>0</v>
      </c>
      <c r="S80" s="145" t="b">
        <v>0</v>
      </c>
      <c r="T80" s="145" t="b">
        <v>0</v>
      </c>
      <c r="U80" s="146"/>
      <c r="V80" s="146"/>
    </row>
    <row r="81" outlineLevel="1">
      <c r="A81" s="146"/>
      <c r="B81" s="663" t="s">
        <v>5336</v>
      </c>
      <c r="C81" s="239" t="s">
        <v>5337</v>
      </c>
      <c r="D81" s="113" t="s">
        <v>462</v>
      </c>
      <c r="E81" s="239" t="s">
        <v>5338</v>
      </c>
      <c r="F81" s="193" t="str">
        <f t="shared" si="3"/>
        <v>3.6/0.96</v>
      </c>
      <c r="G81" s="239" t="s">
        <v>5339</v>
      </c>
      <c r="H81" s="212"/>
      <c r="J81" s="210"/>
      <c r="K81" s="282"/>
      <c r="L81" s="282"/>
      <c r="M81" s="363"/>
      <c r="N81" s="363"/>
      <c r="O81" s="145"/>
      <c r="P81" s="145"/>
      <c r="Q81" s="145"/>
      <c r="R81" s="145" t="b">
        <v>0</v>
      </c>
      <c r="S81" s="145" t="b">
        <v>0</v>
      </c>
      <c r="T81" s="145" t="b">
        <v>0</v>
      </c>
      <c r="U81" s="146"/>
      <c r="V81" s="146"/>
    </row>
    <row r="82" outlineLevel="1">
      <c r="A82" s="146"/>
      <c r="B82" s="663" t="s">
        <v>5340</v>
      </c>
      <c r="C82" s="239" t="s">
        <v>5341</v>
      </c>
      <c r="D82" s="113" t="s">
        <v>5342</v>
      </c>
      <c r="E82" s="239" t="s">
        <v>204</v>
      </c>
      <c r="F82" s="193">
        <f t="shared" si="3"/>
        <v>3.6</v>
      </c>
      <c r="G82" s="239" t="s">
        <v>147</v>
      </c>
      <c r="H82" s="212"/>
      <c r="J82" s="210"/>
      <c r="K82" s="282"/>
      <c r="L82" s="282"/>
      <c r="M82" s="363"/>
      <c r="N82" s="363"/>
      <c r="O82" s="145"/>
      <c r="P82" s="145"/>
      <c r="Q82" s="145"/>
      <c r="R82" s="145" t="b">
        <v>0</v>
      </c>
      <c r="S82" s="145" t="b">
        <v>0</v>
      </c>
      <c r="T82" s="145" t="b">
        <v>0</v>
      </c>
      <c r="U82" s="146"/>
      <c r="V82" s="146"/>
    </row>
    <row r="83" outlineLevel="1">
      <c r="A83" s="146"/>
      <c r="B83" s="2248" t="s">
        <v>5343</v>
      </c>
      <c r="C83" s="239" t="s">
        <v>5344</v>
      </c>
      <c r="D83" s="279" t="s">
        <v>5345</v>
      </c>
      <c r="E83" s="239" t="s">
        <v>5346</v>
      </c>
      <c r="F83" s="193" t="str">
        <f t="shared" si="3"/>
        <v>4.8/1.44</v>
      </c>
      <c r="G83" s="239" t="s">
        <v>5261</v>
      </c>
      <c r="H83" s="212"/>
      <c r="J83" s="210"/>
      <c r="K83" s="282"/>
      <c r="L83" s="282"/>
      <c r="M83" s="363"/>
      <c r="N83" s="363"/>
      <c r="O83" s="145"/>
      <c r="P83" s="145"/>
      <c r="Q83" s="145"/>
      <c r="R83" s="145" t="b">
        <v>0</v>
      </c>
      <c r="S83" s="145" t="b">
        <v>0</v>
      </c>
      <c r="T83" s="145" t="b">
        <v>0</v>
      </c>
      <c r="U83" s="146"/>
      <c r="V83" s="146"/>
    </row>
    <row r="84" outlineLevel="1">
      <c r="A84" s="156"/>
      <c r="B84" s="156"/>
      <c r="C84" s="239" t="s">
        <v>393</v>
      </c>
      <c r="D84" s="156"/>
      <c r="E84" s="239" t="s">
        <v>5346</v>
      </c>
      <c r="F84" s="193" t="str">
        <f t="shared" si="3"/>
        <v>4.8/1.44</v>
      </c>
      <c r="G84" s="239" t="s">
        <v>5261</v>
      </c>
      <c r="H84" s="212"/>
      <c r="J84" s="210"/>
      <c r="K84" s="282"/>
      <c r="L84" s="282"/>
      <c r="M84" s="363"/>
      <c r="N84" s="363"/>
      <c r="O84" s="145"/>
      <c r="P84" s="145"/>
      <c r="Q84" s="145"/>
      <c r="R84" s="145" t="b">
        <v>0</v>
      </c>
      <c r="S84" s="145" t="b">
        <v>0</v>
      </c>
      <c r="T84" s="145" t="b">
        <v>0</v>
      </c>
      <c r="U84" s="146"/>
      <c r="V84" s="146"/>
    </row>
    <row r="85" outlineLevel="1">
      <c r="A85" s="237" t="s">
        <v>5347</v>
      </c>
      <c r="B85" s="462" t="s">
        <v>5348</v>
      </c>
      <c r="C85" s="239" t="s">
        <v>129</v>
      </c>
      <c r="D85" s="279" t="s">
        <v>384</v>
      </c>
      <c r="E85" s="239" t="s">
        <v>5349</v>
      </c>
      <c r="F85" s="193" t="str">
        <f t="shared" si="3"/>
        <v>7.2/3.6/1.2</v>
      </c>
      <c r="G85" s="239" t="s">
        <v>5328</v>
      </c>
      <c r="H85" s="212"/>
      <c r="J85" s="210"/>
      <c r="K85" s="282"/>
      <c r="L85" s="282"/>
      <c r="M85" s="363"/>
      <c r="N85" s="363"/>
      <c r="O85" s="145"/>
      <c r="P85" s="145"/>
      <c r="Q85" s="145"/>
      <c r="R85" s="145" t="b">
        <v>0</v>
      </c>
      <c r="S85" s="145" t="b">
        <v>0</v>
      </c>
      <c r="T85" s="145" t="b">
        <v>0</v>
      </c>
      <c r="U85" s="166" t="s">
        <v>186</v>
      </c>
      <c r="V85" s="166" t="b">
        <v>1</v>
      </c>
    </row>
    <row r="86" outlineLevel="1">
      <c r="A86" s="146"/>
      <c r="B86" s="156"/>
      <c r="C86" s="239" t="s">
        <v>5350</v>
      </c>
      <c r="D86" s="156"/>
      <c r="E86" s="239" t="s">
        <v>4952</v>
      </c>
      <c r="F86" s="193" t="str">
        <f t="shared" si="3"/>
        <v>2.4/1.8/1.2</v>
      </c>
      <c r="G86" s="239" t="s">
        <v>887</v>
      </c>
      <c r="H86" s="212"/>
      <c r="J86" s="210"/>
      <c r="K86" s="282"/>
      <c r="L86" s="282"/>
      <c r="M86" s="363"/>
      <c r="N86" s="363"/>
      <c r="O86" s="145"/>
      <c r="P86" s="145"/>
      <c r="Q86" s="145"/>
      <c r="R86" s="145" t="b">
        <v>0</v>
      </c>
      <c r="S86" s="145" t="b">
        <v>0</v>
      </c>
      <c r="T86" s="145" t="b">
        <v>0</v>
      </c>
      <c r="U86" s="146"/>
      <c r="V86" s="146"/>
    </row>
    <row r="87" outlineLevel="1">
      <c r="A87" s="146"/>
      <c r="B87" s="462" t="s">
        <v>5351</v>
      </c>
      <c r="C87" s="239" t="s">
        <v>228</v>
      </c>
      <c r="D87" s="279" t="s">
        <v>79</v>
      </c>
      <c r="E87" s="239" t="s">
        <v>5349</v>
      </c>
      <c r="F87" s="193" t="str">
        <f t="shared" si="3"/>
        <v>7.2/3.6/1.2</v>
      </c>
      <c r="G87" s="239" t="s">
        <v>5328</v>
      </c>
      <c r="H87" s="212"/>
      <c r="J87" s="210"/>
      <c r="K87" s="282"/>
      <c r="L87" s="282"/>
      <c r="M87" s="363"/>
      <c r="N87" s="363"/>
      <c r="O87" s="145"/>
      <c r="P87" s="145"/>
      <c r="Q87" s="145"/>
      <c r="R87" s="145" t="b">
        <v>0</v>
      </c>
      <c r="S87" s="145" t="b">
        <v>0</v>
      </c>
      <c r="T87" s="145" t="b">
        <v>0</v>
      </c>
      <c r="U87" s="146"/>
      <c r="V87" s="146"/>
    </row>
    <row r="88" outlineLevel="1">
      <c r="A88" s="146"/>
      <c r="B88" s="156"/>
      <c r="C88" s="239" t="s">
        <v>5352</v>
      </c>
      <c r="D88" s="156"/>
      <c r="E88" s="239" t="s">
        <v>4952</v>
      </c>
      <c r="F88" s="193" t="str">
        <f t="shared" si="3"/>
        <v>2.4/1.8/1.2</v>
      </c>
      <c r="G88" s="239" t="s">
        <v>887</v>
      </c>
      <c r="H88" s="212"/>
      <c r="J88" s="210"/>
      <c r="K88" s="282"/>
      <c r="L88" s="282"/>
      <c r="M88" s="363"/>
      <c r="N88" s="363"/>
      <c r="O88" s="145"/>
      <c r="P88" s="145"/>
      <c r="Q88" s="145"/>
      <c r="R88" s="145" t="b">
        <v>0</v>
      </c>
      <c r="S88" s="145" t="b">
        <v>0</v>
      </c>
      <c r="T88" s="145" t="b">
        <v>0</v>
      </c>
      <c r="U88" s="146"/>
      <c r="V88" s="146"/>
    </row>
    <row r="89" outlineLevel="1">
      <c r="A89" s="146"/>
      <c r="B89" s="2248" t="s">
        <v>5330</v>
      </c>
      <c r="C89" s="239" t="s">
        <v>65</v>
      </c>
      <c r="D89" s="279" t="s">
        <v>5353</v>
      </c>
      <c r="E89" s="239" t="s">
        <v>5354</v>
      </c>
      <c r="F89" s="193" t="str">
        <f t="shared" si="3"/>
        <v>8.4/4.8/2.4</v>
      </c>
      <c r="G89" s="239" t="s">
        <v>5355</v>
      </c>
      <c r="H89" s="212"/>
      <c r="J89" s="210"/>
      <c r="K89" s="282"/>
      <c r="L89" s="282"/>
      <c r="M89" s="363"/>
      <c r="N89" s="363"/>
      <c r="O89" s="145"/>
      <c r="P89" s="145"/>
      <c r="Q89" s="145"/>
      <c r="R89" s="145" t="b">
        <v>0</v>
      </c>
      <c r="S89" s="145" t="b">
        <v>0</v>
      </c>
      <c r="T89" s="145" t="b">
        <v>0</v>
      </c>
      <c r="U89" s="146"/>
      <c r="V89" s="146"/>
    </row>
    <row r="90" outlineLevel="1">
      <c r="A90" s="146"/>
      <c r="B90" s="156"/>
      <c r="C90" s="239" t="s">
        <v>5356</v>
      </c>
      <c r="D90" s="156"/>
      <c r="E90" s="239" t="s">
        <v>4952</v>
      </c>
      <c r="F90" s="193" t="str">
        <f t="shared" si="3"/>
        <v>2.4/1.8/1.2</v>
      </c>
      <c r="G90" s="239" t="s">
        <v>887</v>
      </c>
      <c r="H90" s="212"/>
      <c r="J90" s="210"/>
      <c r="K90" s="282"/>
      <c r="L90" s="282"/>
      <c r="M90" s="363"/>
      <c r="N90" s="363"/>
      <c r="O90" s="145"/>
      <c r="P90" s="145"/>
      <c r="Q90" s="145"/>
      <c r="R90" s="145" t="b">
        <v>0</v>
      </c>
      <c r="S90" s="145" t="b">
        <v>0</v>
      </c>
      <c r="T90" s="145" t="b">
        <v>0</v>
      </c>
      <c r="U90" s="146"/>
      <c r="V90" s="146"/>
    </row>
    <row r="91" outlineLevel="1">
      <c r="A91" s="146"/>
      <c r="B91" s="2248" t="s">
        <v>5334</v>
      </c>
      <c r="C91" s="239" t="s">
        <v>173</v>
      </c>
      <c r="D91" s="279" t="s">
        <v>5357</v>
      </c>
      <c r="E91" s="239" t="s">
        <v>5327</v>
      </c>
      <c r="F91" s="193" t="str">
        <f t="shared" si="3"/>
        <v>6/3.6/1.2</v>
      </c>
      <c r="G91" s="239" t="s">
        <v>5328</v>
      </c>
      <c r="H91" s="212"/>
      <c r="J91" s="210"/>
      <c r="K91" s="282"/>
      <c r="L91" s="282"/>
      <c r="M91" s="363"/>
      <c r="N91" s="363"/>
      <c r="O91" s="145"/>
      <c r="P91" s="145"/>
      <c r="Q91" s="145"/>
      <c r="R91" s="145" t="b">
        <v>0</v>
      </c>
      <c r="S91" s="145" t="b">
        <v>0</v>
      </c>
      <c r="T91" s="145" t="b">
        <v>0</v>
      </c>
      <c r="U91" s="146"/>
      <c r="V91" s="146"/>
    </row>
    <row r="92" outlineLevel="1">
      <c r="A92" s="146"/>
      <c r="B92" s="156"/>
      <c r="C92" s="239" t="s">
        <v>5358</v>
      </c>
      <c r="D92" s="156"/>
      <c r="E92" s="239" t="s">
        <v>4952</v>
      </c>
      <c r="F92" s="193" t="str">
        <f t="shared" si="3"/>
        <v>2.4/1.8/1.2</v>
      </c>
      <c r="G92" s="239" t="s">
        <v>887</v>
      </c>
      <c r="H92" s="212"/>
      <c r="J92" s="210"/>
      <c r="K92" s="282"/>
      <c r="L92" s="282"/>
      <c r="M92" s="363"/>
      <c r="N92" s="363"/>
      <c r="O92" s="145"/>
      <c r="P92" s="145"/>
      <c r="Q92" s="145"/>
      <c r="R92" s="145" t="b">
        <v>0</v>
      </c>
      <c r="S92" s="145" t="b">
        <v>0</v>
      </c>
      <c r="T92" s="145" t="b">
        <v>0</v>
      </c>
      <c r="U92" s="146"/>
      <c r="V92" s="146"/>
    </row>
    <row r="93" outlineLevel="1">
      <c r="A93" s="146"/>
      <c r="B93" s="2248" t="s">
        <v>5336</v>
      </c>
      <c r="C93" s="239" t="s">
        <v>5337</v>
      </c>
      <c r="D93" s="279" t="s">
        <v>462</v>
      </c>
      <c r="E93" s="239" t="s">
        <v>5338</v>
      </c>
      <c r="F93" s="193" t="str">
        <f t="shared" si="3"/>
        <v>3.6/0.96</v>
      </c>
      <c r="G93" s="239" t="s">
        <v>5339</v>
      </c>
      <c r="H93" s="212"/>
      <c r="J93" s="210"/>
      <c r="K93" s="282"/>
      <c r="L93" s="282"/>
      <c r="M93" s="363"/>
      <c r="N93" s="363"/>
      <c r="O93" s="145"/>
      <c r="P93" s="145"/>
      <c r="Q93" s="145"/>
      <c r="R93" s="145" t="b">
        <v>0</v>
      </c>
      <c r="S93" s="145" t="b">
        <v>0</v>
      </c>
      <c r="T93" s="145" t="b">
        <v>0</v>
      </c>
      <c r="U93" s="146"/>
      <c r="V93" s="146"/>
    </row>
    <row r="94" outlineLevel="1">
      <c r="A94" s="146"/>
      <c r="B94" s="156"/>
      <c r="C94" s="239" t="s">
        <v>5359</v>
      </c>
      <c r="D94" s="156"/>
      <c r="E94" s="239" t="s">
        <v>4552</v>
      </c>
      <c r="F94" s="193" t="str">
        <f t="shared" si="3"/>
        <v>1.2/0.6</v>
      </c>
      <c r="G94" s="239" t="s">
        <v>931</v>
      </c>
      <c r="H94" s="212"/>
      <c r="J94" s="210"/>
      <c r="K94" s="282"/>
      <c r="L94" s="282"/>
      <c r="M94" s="363"/>
      <c r="N94" s="363"/>
      <c r="O94" s="145"/>
      <c r="P94" s="145"/>
      <c r="Q94" s="145"/>
      <c r="R94" s="145" t="b">
        <v>0</v>
      </c>
      <c r="S94" s="145" t="b">
        <v>0</v>
      </c>
      <c r="T94" s="145" t="b">
        <v>0</v>
      </c>
      <c r="U94" s="146"/>
      <c r="V94" s="146"/>
    </row>
    <row r="95" outlineLevel="1">
      <c r="A95" s="146"/>
      <c r="B95" s="663" t="s">
        <v>5340</v>
      </c>
      <c r="C95" s="239" t="s">
        <v>5341</v>
      </c>
      <c r="D95" s="113" t="s">
        <v>5342</v>
      </c>
      <c r="E95" s="239" t="s">
        <v>1438</v>
      </c>
      <c r="F95" s="193">
        <f t="shared" si="3"/>
        <v>5.4</v>
      </c>
      <c r="G95" s="239" t="s">
        <v>75</v>
      </c>
      <c r="H95" s="212"/>
      <c r="J95" s="210"/>
      <c r="K95" s="282"/>
      <c r="L95" s="282"/>
      <c r="M95" s="363"/>
      <c r="N95" s="363"/>
      <c r="O95" s="145"/>
      <c r="P95" s="145"/>
      <c r="Q95" s="145"/>
      <c r="R95" s="145" t="b">
        <v>0</v>
      </c>
      <c r="S95" s="145" t="b">
        <v>0</v>
      </c>
      <c r="T95" s="145" t="b">
        <v>0</v>
      </c>
      <c r="U95" s="146"/>
      <c r="V95" s="146"/>
    </row>
    <row r="96" outlineLevel="1">
      <c r="A96" s="146"/>
      <c r="B96" s="2248" t="s">
        <v>5343</v>
      </c>
      <c r="C96" s="239" t="s">
        <v>5344</v>
      </c>
      <c r="D96" s="279" t="s">
        <v>5345</v>
      </c>
      <c r="E96" s="239" t="s">
        <v>5346</v>
      </c>
      <c r="F96" s="193" t="str">
        <f t="shared" si="3"/>
        <v>4.8/1.44</v>
      </c>
      <c r="G96" s="239" t="s">
        <v>5261</v>
      </c>
      <c r="H96" s="212"/>
      <c r="J96" s="210"/>
      <c r="K96" s="282"/>
      <c r="L96" s="282"/>
      <c r="M96" s="363"/>
      <c r="N96" s="363"/>
      <c r="O96" s="145"/>
      <c r="P96" s="145"/>
      <c r="Q96" s="145"/>
      <c r="R96" s="145" t="b">
        <v>0</v>
      </c>
      <c r="S96" s="145" t="b">
        <v>0</v>
      </c>
      <c r="T96" s="145" t="b">
        <v>0</v>
      </c>
      <c r="U96" s="146"/>
      <c r="V96" s="146"/>
    </row>
    <row r="97" outlineLevel="1">
      <c r="A97" s="146"/>
      <c r="B97" s="146"/>
      <c r="C97" s="239" t="s">
        <v>5360</v>
      </c>
      <c r="D97" s="146"/>
      <c r="E97" s="239" t="s">
        <v>5361</v>
      </c>
      <c r="F97" s="193" t="str">
        <f t="shared" si="3"/>
        <v>1.92/0.96</v>
      </c>
      <c r="G97" s="239" t="s">
        <v>926</v>
      </c>
      <c r="H97" s="212"/>
      <c r="J97" s="210"/>
      <c r="K97" s="282"/>
      <c r="L97" s="282"/>
      <c r="M97" s="363"/>
      <c r="N97" s="363"/>
      <c r="O97" s="145"/>
      <c r="P97" s="145"/>
      <c r="Q97" s="145"/>
      <c r="R97" s="145" t="b">
        <v>0</v>
      </c>
      <c r="S97" s="145" t="b">
        <v>0</v>
      </c>
      <c r="T97" s="145" t="b">
        <v>0</v>
      </c>
      <c r="U97" s="146"/>
      <c r="V97" s="146"/>
    </row>
    <row r="98" outlineLevel="1">
      <c r="A98" s="156"/>
      <c r="B98" s="156"/>
      <c r="C98" s="239" t="s">
        <v>5362</v>
      </c>
      <c r="D98" s="156"/>
      <c r="E98" s="239" t="s">
        <v>5346</v>
      </c>
      <c r="F98" s="193" t="str">
        <f t="shared" si="3"/>
        <v>4.8/1.44</v>
      </c>
      <c r="G98" s="239" t="s">
        <v>5261</v>
      </c>
      <c r="H98" s="106"/>
      <c r="I98" s="168"/>
      <c r="J98" s="107"/>
      <c r="K98" s="282"/>
      <c r="L98" s="282"/>
      <c r="M98" s="363"/>
      <c r="N98" s="363"/>
      <c r="O98" s="145"/>
      <c r="P98" s="145"/>
      <c r="Q98" s="145"/>
      <c r="R98" s="145" t="b">
        <v>0</v>
      </c>
      <c r="S98" s="145" t="b">
        <v>0</v>
      </c>
      <c r="T98" s="145" t="b">
        <v>0</v>
      </c>
      <c r="U98" s="156"/>
      <c r="V98" s="156"/>
    </row>
    <row r="99" outlineLevel="1">
      <c r="A99" s="230" t="str">
        <f>"横B ("&amp;VLOOKUP($A$1,Fighters!$A$2:$AI$81,16,FALSE)&amp;")"</f>
        <v>横B (エイハ / エイガオン)</v>
      </c>
      <c r="B99" s="109"/>
      <c r="C99" s="231" t="s">
        <v>48</v>
      </c>
      <c r="D99" s="231" t="s">
        <v>49</v>
      </c>
      <c r="E99" s="232" t="s">
        <v>50</v>
      </c>
      <c r="F99" s="233" t="s">
        <v>51</v>
      </c>
      <c r="G99" s="232" t="s">
        <v>52</v>
      </c>
      <c r="H99" s="382" t="s">
        <v>53</v>
      </c>
      <c r="I99" s="110"/>
      <c r="J99" s="109"/>
      <c r="K99" s="235" t="s">
        <v>137</v>
      </c>
      <c r="L99" s="235" t="s">
        <v>138</v>
      </c>
      <c r="M99" s="235" t="s">
        <v>139</v>
      </c>
      <c r="N99" s="235" t="s">
        <v>140</v>
      </c>
      <c r="O99" s="236" t="s">
        <v>141</v>
      </c>
      <c r="P99" s="235" t="s">
        <v>142</v>
      </c>
      <c r="Q99" s="236" t="s">
        <v>143</v>
      </c>
      <c r="R99" s="235" t="s">
        <v>179</v>
      </c>
      <c r="S99" s="236" t="s">
        <v>180</v>
      </c>
      <c r="T99" s="236" t="s">
        <v>181</v>
      </c>
      <c r="U99" s="236" t="s">
        <v>182</v>
      </c>
      <c r="V99" s="3198" t="s">
        <v>183</v>
      </c>
    </row>
    <row r="100" outlineLevel="1">
      <c r="A100" s="237" t="s">
        <v>5363</v>
      </c>
      <c r="B100" s="243" t="s">
        <v>3208</v>
      </c>
      <c r="C100" s="239" t="s">
        <v>5364</v>
      </c>
      <c r="D100" s="379" t="s">
        <v>634</v>
      </c>
      <c r="E100" s="239" t="s">
        <v>213</v>
      </c>
      <c r="F100" s="138">
        <f t="shared" ref="F100:F104" si="4">IFERROR(IFS(E100="-","-",LEN(E100)-LEN(SUBSTITUTE(E100,"/",""))=0,MULTIPLY(E100,1.2),LEN(E100)-LEN(SUBSTITUTE(E100,"/",""))=1,MULTIPLY(LEFT(E100,FIND("/",E100)-1),1.2)&amp;"/"&amp;MULTIPLY(MID(E100,FIND("/",E100)+1,10),1.2),LEN(E100)-LEN(SUBSTITUTE(E100,"/",""))=2,MULTIPLY(LEFT(E100,FIND("!",SUBSTITUTE(E100,"/","!",1))-1),1.2)&amp;"/"&amp;MULTIPLY(MID(E100,FIND("!",SUBSTITUTE(E100,"/","!",1))+1,FIND("!",SUBSTITUTE(E100,"/","!",2))-FIND("!",SUBSTITUTE(E100,"/","!",1))-1),1.2)&amp;"/"&amp;MULTIPLY(RIGHT(E100,LEN(E100)-FIND("!",SUBSTITUTE(E100,"/","!",2))),1.2),LEN(E100)-LEN(SUBSTITUTE(E100,"/",""))=3,MULTIPLY(LEFT(E100,FIND("!",SUBSTITUTE(E100,"/","!",1))-1),1.2)&amp;"/"&amp;MULTIPLY(MID(E100,FIND("!",SUBSTITUTE(E100,"/","!",1))+1,FIND("!",SUBSTITUTE(E100,"/","!",2))-FIND("!",SUBSTITUTE(E100,"/","!",1))-1),1.2)&amp;"/"&amp;MULTIPLY(MID(E100,FIND("!",SUBSTITUTE(E100,"/","!",2))+1,FIND("!",SUBSTITUTE(E100,"/","!",3))-FIND("!",SUBSTITUTE(E100,"/","!",2))-1),1.2)&amp;"/"&amp;MULTIPLY(RIGHT(E100,LEN(E100)-FIND("!",SUBSTITUTE(E100,"/","!",3))),1.2),LEN(E100)-LEN(SUBSTITUTE(E100,"/",""))=4,MULTIPLY(LEFT(E100,FIND("!",SUBSTITUTE(E100,"/","!",1))-1),1.2)&amp;"/"&amp;MULTIPLY(MID(E100,FIND("!",SUBSTITUTE(E100,"/","!",1))+1,FIND("!",SUBSTITUTE(E100,"/","!",2))-FIND("!",SUBSTITUTE(E100,"/","!",1))-1),1.2)&amp;"/"&amp;MULTIPLY(MID(E100,FIND("!",SUBSTITUTE(E100,"/","!",2))+1,FIND("!",SUBSTITUTE(E100,"/","!",3))-FIND("!",SUBSTITUTE(E100,"/","!",2))-1),1.2)&amp;"/"&amp;MULTIPLY(MID(E100,FIND("!",SUBSTITUTE(E100,"/","!",3))+1,FIND("!",SUBSTITUTE(E100,"/","!",4))-FIND("!",SUBSTITUTE(E100,"/","!",3))-1),1.2)&amp;"/"&amp;MULTIPLY(RIGHT(E100,LEN(E100)-FIND("!",SUBSTITUTE(E100,"/","!",4))),1.2)),"")</f>
        <v>1.2</v>
      </c>
      <c r="G100" s="239" t="s">
        <v>170</v>
      </c>
      <c r="H100" s="163" t="s">
        <v>5365</v>
      </c>
      <c r="I100" s="164"/>
      <c r="J100" s="104"/>
      <c r="K100" s="282"/>
      <c r="L100" s="282"/>
      <c r="M100" s="363"/>
      <c r="N100" s="363"/>
      <c r="O100" s="145">
        <v>0.0</v>
      </c>
      <c r="P100" s="145">
        <v>1.0</v>
      </c>
      <c r="Q100" s="145">
        <v>1.0</v>
      </c>
      <c r="R100" s="145" t="b">
        <v>1</v>
      </c>
      <c r="S100" s="145" t="b">
        <v>1</v>
      </c>
      <c r="T100" s="145"/>
      <c r="U100" s="166" t="s">
        <v>186</v>
      </c>
      <c r="V100" s="166" t="b">
        <v>1</v>
      </c>
    </row>
    <row r="101" outlineLevel="1">
      <c r="A101" s="146"/>
      <c r="B101" s="243" t="s">
        <v>680</v>
      </c>
      <c r="C101" s="239" t="s">
        <v>878</v>
      </c>
      <c r="D101" s="107"/>
      <c r="E101" s="239" t="s">
        <v>176</v>
      </c>
      <c r="F101" s="138">
        <f t="shared" si="4"/>
        <v>2.4</v>
      </c>
      <c r="G101" s="239" t="s">
        <v>170</v>
      </c>
      <c r="H101" s="106"/>
      <c r="I101" s="168"/>
      <c r="J101" s="107"/>
      <c r="K101" s="138"/>
      <c r="L101" s="138"/>
      <c r="M101" s="145"/>
      <c r="N101" s="145"/>
      <c r="O101" s="145">
        <v>0.0</v>
      </c>
      <c r="P101" s="145">
        <v>1.0</v>
      </c>
      <c r="Q101" s="145">
        <v>1.0</v>
      </c>
      <c r="R101" s="145" t="b">
        <v>1</v>
      </c>
      <c r="S101" s="145" t="b">
        <v>1</v>
      </c>
      <c r="T101" s="145"/>
      <c r="U101" s="146"/>
      <c r="V101" s="146"/>
    </row>
    <row r="102" outlineLevel="1">
      <c r="A102" s="237" t="s">
        <v>5366</v>
      </c>
      <c r="B102" s="243" t="s">
        <v>3208</v>
      </c>
      <c r="C102" s="239" t="s">
        <v>5167</v>
      </c>
      <c r="D102" s="455" t="s">
        <v>600</v>
      </c>
      <c r="E102" s="239" t="s">
        <v>213</v>
      </c>
      <c r="F102" s="138">
        <f t="shared" si="4"/>
        <v>1.2</v>
      </c>
      <c r="G102" s="239" t="s">
        <v>170</v>
      </c>
      <c r="H102" s="163" t="s">
        <v>5367</v>
      </c>
      <c r="I102" s="164"/>
      <c r="J102" s="104"/>
      <c r="K102" s="138"/>
      <c r="L102" s="138"/>
      <c r="M102" s="145"/>
      <c r="N102" s="145"/>
      <c r="O102" s="145">
        <v>0.0</v>
      </c>
      <c r="P102" s="145">
        <v>1.0</v>
      </c>
      <c r="Q102" s="145">
        <v>1.0</v>
      </c>
      <c r="R102" s="145" t="b">
        <v>1</v>
      </c>
      <c r="S102" s="145" t="b">
        <v>1</v>
      </c>
      <c r="T102" s="145"/>
      <c r="U102" s="166" t="s">
        <v>186</v>
      </c>
      <c r="V102" s="166" t="b">
        <v>1</v>
      </c>
    </row>
    <row r="103" outlineLevel="1">
      <c r="A103" s="146"/>
      <c r="B103" s="243" t="s">
        <v>5368</v>
      </c>
      <c r="C103" s="239" t="s">
        <v>5369</v>
      </c>
      <c r="D103" s="210"/>
      <c r="E103" s="239" t="s">
        <v>1098</v>
      </c>
      <c r="F103" s="138">
        <f t="shared" si="4"/>
        <v>0.6</v>
      </c>
      <c r="G103" s="239" t="s">
        <v>170</v>
      </c>
      <c r="H103" s="212"/>
      <c r="J103" s="210"/>
      <c r="K103" s="138"/>
      <c r="L103" s="138"/>
      <c r="M103" s="145"/>
      <c r="N103" s="145"/>
      <c r="O103" s="145"/>
      <c r="P103" s="145"/>
      <c r="Q103" s="145"/>
      <c r="R103" s="145" t="b">
        <v>0</v>
      </c>
      <c r="S103" s="145" t="b">
        <v>0</v>
      </c>
      <c r="T103" s="145" t="b">
        <v>0</v>
      </c>
      <c r="U103" s="146"/>
      <c r="V103" s="146"/>
    </row>
    <row r="104" outlineLevel="1">
      <c r="A104" s="146"/>
      <c r="B104" s="243" t="s">
        <v>5370</v>
      </c>
      <c r="C104" s="239" t="s">
        <v>5371</v>
      </c>
      <c r="D104" s="107"/>
      <c r="E104" s="239" t="s">
        <v>535</v>
      </c>
      <c r="F104" s="138">
        <f t="shared" si="4"/>
        <v>3</v>
      </c>
      <c r="G104" s="239" t="s">
        <v>170</v>
      </c>
      <c r="H104" s="106"/>
      <c r="I104" s="168"/>
      <c r="J104" s="107"/>
      <c r="K104" s="138"/>
      <c r="L104" s="138"/>
      <c r="M104" s="145"/>
      <c r="N104" s="145"/>
      <c r="O104" s="145">
        <v>0.0</v>
      </c>
      <c r="P104" s="145">
        <v>1.0</v>
      </c>
      <c r="Q104" s="145">
        <v>1.0</v>
      </c>
      <c r="R104" s="145" t="b">
        <v>1</v>
      </c>
      <c r="S104" s="145" t="b">
        <v>1</v>
      </c>
      <c r="T104" s="145"/>
      <c r="U104" s="156"/>
      <c r="V104" s="156"/>
    </row>
    <row r="105" outlineLevel="1">
      <c r="A105" s="230" t="str">
        <f>"上B ("&amp;VLOOKUP($A$1,Fighters!$A$2:$AI$81,17,FALSE)&amp;")"</f>
        <v>上B (ワイヤーアクション / 反逆の翼)</v>
      </c>
      <c r="B105" s="109"/>
      <c r="C105" s="231" t="s">
        <v>48</v>
      </c>
      <c r="D105" s="231" t="s">
        <v>49</v>
      </c>
      <c r="E105" s="232" t="s">
        <v>50</v>
      </c>
      <c r="F105" s="233" t="s">
        <v>51</v>
      </c>
      <c r="G105" s="232" t="s">
        <v>52</v>
      </c>
      <c r="H105" s="382" t="s">
        <v>53</v>
      </c>
      <c r="I105" s="110"/>
      <c r="J105" s="109"/>
      <c r="K105" s="235" t="s">
        <v>137</v>
      </c>
      <c r="L105" s="235" t="s">
        <v>138</v>
      </c>
      <c r="M105" s="235" t="s">
        <v>139</v>
      </c>
      <c r="N105" s="235" t="s">
        <v>140</v>
      </c>
      <c r="O105" s="236" t="s">
        <v>141</v>
      </c>
      <c r="P105" s="235" t="s">
        <v>142</v>
      </c>
      <c r="Q105" s="236" t="s">
        <v>143</v>
      </c>
      <c r="R105" s="235" t="s">
        <v>179</v>
      </c>
      <c r="S105" s="236" t="s">
        <v>180</v>
      </c>
      <c r="T105" s="236" t="s">
        <v>181</v>
      </c>
      <c r="U105" s="236" t="s">
        <v>182</v>
      </c>
      <c r="V105" s="3198" t="s">
        <v>183</v>
      </c>
    </row>
    <row r="106" ht="21.75" customHeight="1" outlineLevel="1">
      <c r="A106" s="546" t="s">
        <v>5372</v>
      </c>
      <c r="B106" s="402" t="s">
        <v>5373</v>
      </c>
      <c r="C106" s="239" t="s">
        <v>2256</v>
      </c>
      <c r="D106" s="239" t="s">
        <v>462</v>
      </c>
      <c r="E106" s="281"/>
      <c r="F106" s="476"/>
      <c r="G106" s="281"/>
      <c r="H106" s="163" t="s">
        <v>5374</v>
      </c>
      <c r="I106" s="164"/>
      <c r="J106" s="104"/>
      <c r="K106" s="138"/>
      <c r="L106" s="138"/>
      <c r="M106" s="145"/>
      <c r="N106" s="145"/>
      <c r="O106" s="145">
        <v>0.0</v>
      </c>
      <c r="P106" s="145">
        <v>1.0</v>
      </c>
      <c r="Q106" s="145">
        <v>1.0</v>
      </c>
      <c r="R106" s="145" t="b">
        <v>1</v>
      </c>
      <c r="S106" s="145" t="b">
        <v>1</v>
      </c>
      <c r="T106" s="145"/>
      <c r="U106" s="166" t="s">
        <v>1006</v>
      </c>
      <c r="V106" s="166" t="b">
        <v>0</v>
      </c>
    </row>
    <row r="107" ht="21.75" customHeight="1" outlineLevel="1">
      <c r="A107" s="146"/>
      <c r="B107" s="402" t="s">
        <v>5375</v>
      </c>
      <c r="C107" s="239" t="s">
        <v>150</v>
      </c>
      <c r="D107" s="239" t="s">
        <v>593</v>
      </c>
      <c r="E107" s="239" t="s">
        <v>232</v>
      </c>
      <c r="F107" s="138">
        <f t="shared" ref="F107:F108" si="5">IFERROR(IFS(E107="-","-",LEN(E107)-LEN(SUBSTITUTE(E107,"/",""))=0,MULTIPLY(E107,1.2),LEN(E107)-LEN(SUBSTITUTE(E107,"/",""))=1,MULTIPLY(LEFT(E107,FIND("/",E107)-1),1.2)&amp;"/"&amp;MULTIPLY(MID(E107,FIND("/",E107)+1,10),1.2),LEN(E107)-LEN(SUBSTITUTE(E107,"/",""))=2,MULTIPLY(LEFT(E107,FIND("!",SUBSTITUTE(E107,"/","!",1))-1),1.2)&amp;"/"&amp;MULTIPLY(MID(E107,FIND("!",SUBSTITUTE(E107,"/","!",1))+1,FIND("!",SUBSTITUTE(E107,"/","!",2))-FIND("!",SUBSTITUTE(E107,"/","!",1))-1),1.2)&amp;"/"&amp;MULTIPLY(RIGHT(E107,LEN(E107)-FIND("!",SUBSTITUTE(E107,"/","!",2))),1.2),LEN(E107)-LEN(SUBSTITUTE(E107,"/",""))=3,MULTIPLY(LEFT(E107,FIND("!",SUBSTITUTE(E107,"/","!",1))-1),1.2)&amp;"/"&amp;MULTIPLY(MID(E107,FIND("!",SUBSTITUTE(E107,"/","!",1))+1,FIND("!",SUBSTITUTE(E107,"/","!",2))-FIND("!",SUBSTITUTE(E107,"/","!",1))-1),1.2)&amp;"/"&amp;MULTIPLY(MID(E107,FIND("!",SUBSTITUTE(E107,"/","!",2))+1,FIND("!",SUBSTITUTE(E107,"/","!",3))-FIND("!",SUBSTITUTE(E107,"/","!",2))-1),1.2)&amp;"/"&amp;MULTIPLY(RIGHT(E107,LEN(E107)-FIND("!",SUBSTITUTE(E107,"/","!",3))),1.2),LEN(E107)-LEN(SUBSTITUTE(E107,"/",""))=4,MULTIPLY(LEFT(E107,FIND("!",SUBSTITUTE(E107,"/","!",1))-1),1.2)&amp;"/"&amp;MULTIPLY(MID(E107,FIND("!",SUBSTITUTE(E107,"/","!",1))+1,FIND("!",SUBSTITUTE(E107,"/","!",2))-FIND("!",SUBSTITUTE(E107,"/","!",1))-1),1.2)&amp;"/"&amp;MULTIPLY(MID(E107,FIND("!",SUBSTITUTE(E107,"/","!",2))+1,FIND("!",SUBSTITUTE(E107,"/","!",3))-FIND("!",SUBSTITUTE(E107,"/","!",2))-1),1.2)&amp;"/"&amp;MULTIPLY(MID(E107,FIND("!",SUBSTITUTE(E107,"/","!",3))+1,FIND("!",SUBSTITUTE(E107,"/","!",4))-FIND("!",SUBSTITUTE(E107,"/","!",3))-1),1.2)&amp;"/"&amp;MULTIPLY(RIGHT(E107,LEN(E107)-FIND("!",SUBSTITUTE(E107,"/","!",4))),1.2)),"")</f>
        <v>13.2</v>
      </c>
      <c r="G107" s="281"/>
      <c r="H107" s="212"/>
      <c r="J107" s="210"/>
      <c r="K107" s="138"/>
      <c r="L107" s="138"/>
      <c r="M107" s="145"/>
      <c r="N107" s="145"/>
      <c r="O107" s="145"/>
      <c r="P107" s="145"/>
      <c r="Q107" s="145"/>
      <c r="R107" s="145" t="b">
        <v>0</v>
      </c>
      <c r="S107" s="145" t="b">
        <v>0</v>
      </c>
      <c r="T107" s="145" t="b">
        <v>0</v>
      </c>
      <c r="U107" s="146"/>
      <c r="V107" s="146"/>
    </row>
    <row r="108" ht="21.75" customHeight="1" outlineLevel="1">
      <c r="A108" s="146"/>
      <c r="B108" s="402" t="s">
        <v>344</v>
      </c>
      <c r="C108" s="239" t="s">
        <v>401</v>
      </c>
      <c r="D108" s="239" t="s">
        <v>393</v>
      </c>
      <c r="E108" s="239" t="s">
        <v>150</v>
      </c>
      <c r="F108" s="138">
        <f t="shared" si="5"/>
        <v>6</v>
      </c>
      <c r="G108" s="239" t="s">
        <v>102</v>
      </c>
      <c r="H108" s="212"/>
      <c r="J108" s="210"/>
      <c r="K108" s="138"/>
      <c r="L108" s="138"/>
      <c r="M108" s="145"/>
      <c r="N108" s="145"/>
      <c r="O108" s="145">
        <v>0.0</v>
      </c>
      <c r="P108" s="145">
        <v>1.0</v>
      </c>
      <c r="Q108" s="145">
        <v>1.0</v>
      </c>
      <c r="R108" s="145" t="b">
        <v>1</v>
      </c>
      <c r="S108" s="145" t="b">
        <v>1</v>
      </c>
      <c r="T108" s="145"/>
      <c r="U108" s="146"/>
      <c r="V108" s="146"/>
    </row>
    <row r="109" ht="21.75" customHeight="1" outlineLevel="1">
      <c r="A109" s="156"/>
      <c r="B109" s="402" t="s">
        <v>256</v>
      </c>
      <c r="C109" s="281"/>
      <c r="D109" s="239" t="s">
        <v>268</v>
      </c>
      <c r="E109" s="281"/>
      <c r="F109" s="476"/>
      <c r="G109" s="281"/>
      <c r="H109" s="106"/>
      <c r="I109" s="168"/>
      <c r="J109" s="107"/>
      <c r="K109" s="138"/>
      <c r="L109" s="138"/>
      <c r="M109" s="145"/>
      <c r="N109" s="145"/>
      <c r="O109" s="145"/>
      <c r="P109" s="145"/>
      <c r="Q109" s="145"/>
      <c r="R109" s="145" t="b">
        <v>0</v>
      </c>
      <c r="S109" s="145" t="b">
        <v>0</v>
      </c>
      <c r="T109" s="145" t="b">
        <v>0</v>
      </c>
      <c r="U109" s="156"/>
      <c r="V109" s="156"/>
    </row>
    <row r="110" outlineLevel="1">
      <c r="A110" s="1202" t="s">
        <v>5376</v>
      </c>
      <c r="B110" s="870"/>
      <c r="C110" s="281"/>
      <c r="D110" s="281"/>
      <c r="E110" s="281"/>
      <c r="F110" s="476"/>
      <c r="G110" s="281"/>
      <c r="H110" s="151" t="s">
        <v>5377</v>
      </c>
      <c r="I110" s="110"/>
      <c r="J110" s="109"/>
      <c r="K110" s="138"/>
      <c r="L110" s="138"/>
      <c r="M110" s="145"/>
      <c r="N110" s="145"/>
      <c r="O110" s="145">
        <v>0.0</v>
      </c>
      <c r="P110" s="145">
        <v>1.0</v>
      </c>
      <c r="Q110" s="145">
        <v>1.0</v>
      </c>
      <c r="R110" s="145" t="b">
        <v>1</v>
      </c>
      <c r="S110" s="145" t="b">
        <v>1</v>
      </c>
      <c r="T110" s="145"/>
      <c r="U110" s="145" t="s">
        <v>1256</v>
      </c>
      <c r="V110" s="145"/>
    </row>
    <row r="111" outlineLevel="1">
      <c r="A111" s="230" t="str">
        <f>"下B ("&amp;VLOOKUP($A$1,Fighters!$A$2:$AI$81,18,FALSE)&amp;")"</f>
        <v>下B (反逆ガード / テトラカーン / マカラカーン)</v>
      </c>
      <c r="B111" s="109"/>
      <c r="C111" s="231" t="s">
        <v>48</v>
      </c>
      <c r="D111" s="231" t="s">
        <v>49</v>
      </c>
      <c r="E111" s="232" t="s">
        <v>50</v>
      </c>
      <c r="F111" s="233" t="s">
        <v>51</v>
      </c>
      <c r="G111" s="232" t="s">
        <v>52</v>
      </c>
      <c r="H111" s="382" t="s">
        <v>53</v>
      </c>
      <c r="I111" s="110"/>
      <c r="J111" s="109"/>
      <c r="K111" s="235" t="s">
        <v>137</v>
      </c>
      <c r="L111" s="235" t="s">
        <v>138</v>
      </c>
      <c r="M111" s="235" t="s">
        <v>139</v>
      </c>
      <c r="N111" s="235" t="s">
        <v>140</v>
      </c>
      <c r="O111" s="236" t="s">
        <v>141</v>
      </c>
      <c r="P111" s="235" t="s">
        <v>142</v>
      </c>
      <c r="Q111" s="236" t="s">
        <v>143</v>
      </c>
      <c r="R111" s="235" t="s">
        <v>179</v>
      </c>
      <c r="S111" s="236" t="s">
        <v>180</v>
      </c>
      <c r="T111" s="236" t="s">
        <v>181</v>
      </c>
      <c r="U111" s="236" t="s">
        <v>182</v>
      </c>
      <c r="V111" s="3198" t="s">
        <v>183</v>
      </c>
    </row>
    <row r="112" outlineLevel="1">
      <c r="A112" s="546" t="s">
        <v>5378</v>
      </c>
      <c r="B112" s="402" t="s">
        <v>860</v>
      </c>
      <c r="C112" s="239" t="s">
        <v>5379</v>
      </c>
      <c r="D112" s="113" t="s">
        <v>634</v>
      </c>
      <c r="E112" s="281"/>
      <c r="F112" s="476"/>
      <c r="G112" s="281"/>
      <c r="H112" s="163" t="s">
        <v>5380</v>
      </c>
      <c r="I112" s="164"/>
      <c r="J112" s="104"/>
      <c r="K112" s="138"/>
      <c r="L112" s="138"/>
      <c r="M112" s="145"/>
      <c r="N112" s="145"/>
      <c r="O112" s="145">
        <v>0.0</v>
      </c>
      <c r="P112" s="145">
        <v>1.0</v>
      </c>
      <c r="Q112" s="145">
        <v>1.0</v>
      </c>
      <c r="R112" s="145" t="b">
        <v>1</v>
      </c>
      <c r="S112" s="145" t="b">
        <v>1</v>
      </c>
      <c r="T112" s="145"/>
      <c r="U112" s="166" t="b">
        <v>0</v>
      </c>
      <c r="V112" s="166" t="b">
        <v>0</v>
      </c>
    </row>
    <row r="113" outlineLevel="1">
      <c r="A113" s="146"/>
      <c r="B113" s="402" t="s">
        <v>677</v>
      </c>
      <c r="C113" s="281"/>
      <c r="D113" s="113" t="s">
        <v>72</v>
      </c>
      <c r="E113" s="281"/>
      <c r="F113" s="476"/>
      <c r="G113" s="281"/>
      <c r="H113" s="106"/>
      <c r="I113" s="168"/>
      <c r="J113" s="107"/>
      <c r="K113" s="138"/>
      <c r="L113" s="138"/>
      <c r="M113" s="145"/>
      <c r="N113" s="145"/>
      <c r="O113" s="145"/>
      <c r="P113" s="145"/>
      <c r="Q113" s="145"/>
      <c r="R113" s="145" t="b">
        <v>0</v>
      </c>
      <c r="S113" s="145" t="b">
        <v>0</v>
      </c>
      <c r="T113" s="145" t="b">
        <v>0</v>
      </c>
      <c r="U113" s="146"/>
      <c r="V113" s="146"/>
    </row>
    <row r="114" outlineLevel="1">
      <c r="A114" s="156"/>
      <c r="B114" s="402" t="s">
        <v>5381</v>
      </c>
      <c r="C114" s="239" t="s">
        <v>518</v>
      </c>
      <c r="D114" s="113" t="s">
        <v>164</v>
      </c>
      <c r="E114" s="239" t="s">
        <v>1823</v>
      </c>
      <c r="F114" s="138">
        <f>IFERROR(IFS(E114="-","-",LEN(E114)-LEN(SUBSTITUTE(E114,"/",""))=0,MULTIPLY(E114,1.2),LEN(E114)-LEN(SUBSTITUTE(E114,"/",""))=1,MULTIPLY(LEFT(E114,FIND("/",E114)-1),1.2)&amp;"/"&amp;MULTIPLY(MID(E114,FIND("/",E114)+1,10),1.2),LEN(E114)-LEN(SUBSTITUTE(E114,"/",""))=2,MULTIPLY(LEFT(E114,FIND("!",SUBSTITUTE(E114,"/","!",1))-1),1.2)&amp;"/"&amp;MULTIPLY(MID(E114,FIND("!",SUBSTITUTE(E114,"/","!",1))+1,FIND("!",SUBSTITUTE(E114,"/","!",2))-FIND("!",SUBSTITUTE(E114,"/","!",1))-1),1.2)&amp;"/"&amp;MULTIPLY(RIGHT(E114,LEN(E114)-FIND("!",SUBSTITUTE(E114,"/","!",2))),1.2),LEN(E114)-LEN(SUBSTITUTE(E114,"/",""))=3,MULTIPLY(LEFT(E114,FIND("!",SUBSTITUTE(E114,"/","!",1))-1),1.2)&amp;"/"&amp;MULTIPLY(MID(E114,FIND("!",SUBSTITUTE(E114,"/","!",1))+1,FIND("!",SUBSTITUTE(E114,"/","!",2))-FIND("!",SUBSTITUTE(E114,"/","!",1))-1),1.2)&amp;"/"&amp;MULTIPLY(MID(E114,FIND("!",SUBSTITUTE(E114,"/","!",2))+1,FIND("!",SUBSTITUTE(E114,"/","!",3))-FIND("!",SUBSTITUTE(E114,"/","!",2))-1),1.2)&amp;"/"&amp;MULTIPLY(RIGHT(E114,LEN(E114)-FIND("!",SUBSTITUTE(E114,"/","!",3))),1.2),LEN(E114)-LEN(SUBSTITUTE(E114,"/",""))=4,MULTIPLY(LEFT(E114,FIND("!",SUBSTITUTE(E114,"/","!",1))-1),1.2)&amp;"/"&amp;MULTIPLY(MID(E114,FIND("!",SUBSTITUTE(E114,"/","!",1))+1,FIND("!",SUBSTITUTE(E114,"/","!",2))-FIND("!",SUBSTITUTE(E114,"/","!",1))-1),1.2)&amp;"/"&amp;MULTIPLY(MID(E114,FIND("!",SUBSTITUTE(E114,"/","!",2))+1,FIND("!",SUBSTITUTE(E114,"/","!",3))-FIND("!",SUBSTITUTE(E114,"/","!",2))-1),1.2)&amp;"/"&amp;MULTIPLY(MID(E114,FIND("!",SUBSTITUTE(E114,"/","!",3))+1,FIND("!",SUBSTITUTE(E114,"/","!",4))-FIND("!",SUBSTITUTE(E114,"/","!",3))-1),1.2)&amp;"/"&amp;MULTIPLY(RIGHT(E114,LEN(E114)-FIND("!",SUBSTITUTE(E114,"/","!",4))),1.2)),"")</f>
        <v>2.88</v>
      </c>
      <c r="G114" s="239" t="s">
        <v>60</v>
      </c>
      <c r="H114" s="151" t="s">
        <v>5382</v>
      </c>
      <c r="I114" s="110"/>
      <c r="J114" s="109"/>
      <c r="K114" s="138"/>
      <c r="L114" s="138"/>
      <c r="M114" s="145"/>
      <c r="N114" s="145"/>
      <c r="O114" s="145">
        <v>0.0</v>
      </c>
      <c r="P114" s="145">
        <v>1.0</v>
      </c>
      <c r="Q114" s="145">
        <v>1.0</v>
      </c>
      <c r="R114" s="145" t="b">
        <v>1</v>
      </c>
      <c r="S114" s="145" t="b">
        <v>1</v>
      </c>
      <c r="T114" s="145"/>
      <c r="U114" s="156"/>
      <c r="V114" s="156"/>
    </row>
    <row r="115" outlineLevel="1">
      <c r="A115" s="546" t="s">
        <v>5383</v>
      </c>
      <c r="B115" s="870"/>
      <c r="C115" s="239" t="s">
        <v>5384</v>
      </c>
      <c r="D115" s="365" t="s">
        <v>402</v>
      </c>
      <c r="E115" s="281"/>
      <c r="F115" s="476"/>
      <c r="G115" s="281"/>
      <c r="H115" s="151" t="s">
        <v>5385</v>
      </c>
      <c r="I115" s="110"/>
      <c r="J115" s="109"/>
      <c r="K115" s="138"/>
      <c r="L115" s="138"/>
      <c r="M115" s="145"/>
      <c r="N115" s="145"/>
      <c r="O115" s="145">
        <v>0.0</v>
      </c>
      <c r="P115" s="145">
        <v>1.0</v>
      </c>
      <c r="Q115" s="145">
        <v>1.0</v>
      </c>
      <c r="R115" s="145" t="b">
        <v>1</v>
      </c>
      <c r="S115" s="145" t="b">
        <v>1</v>
      </c>
      <c r="T115" s="145"/>
      <c r="U115" s="166"/>
      <c r="V115" s="166"/>
    </row>
    <row r="116" outlineLevel="1">
      <c r="A116" s="146"/>
      <c r="B116" s="402" t="s">
        <v>1242</v>
      </c>
      <c r="C116" s="239" t="s">
        <v>91</v>
      </c>
      <c r="D116" s="113" t="s">
        <v>118</v>
      </c>
      <c r="E116" s="239" t="s">
        <v>674</v>
      </c>
      <c r="F116" s="138" t="s">
        <v>2916</v>
      </c>
      <c r="G116" s="239" t="s">
        <v>2917</v>
      </c>
      <c r="H116" s="151" t="s">
        <v>5386</v>
      </c>
      <c r="I116" s="110"/>
      <c r="J116" s="109"/>
      <c r="K116" s="138"/>
      <c r="L116" s="282"/>
      <c r="M116" s="363"/>
      <c r="N116" s="363"/>
      <c r="O116" s="145"/>
      <c r="P116" s="145"/>
      <c r="Q116" s="145"/>
      <c r="R116" s="145" t="b">
        <v>0</v>
      </c>
      <c r="S116" s="145" t="b">
        <v>0</v>
      </c>
      <c r="T116" s="145" t="b">
        <v>0</v>
      </c>
      <c r="U116" s="146"/>
      <c r="V116" s="146"/>
    </row>
    <row r="117" outlineLevel="1">
      <c r="A117" s="156"/>
      <c r="B117" s="402" t="s">
        <v>3928</v>
      </c>
      <c r="C117" s="239" t="s">
        <v>5387</v>
      </c>
      <c r="D117" s="113" t="s">
        <v>384</v>
      </c>
      <c r="E117" s="281"/>
      <c r="F117" s="476"/>
      <c r="G117" s="281"/>
      <c r="H117" s="151" t="s">
        <v>5388</v>
      </c>
      <c r="I117" s="110"/>
      <c r="J117" s="109"/>
      <c r="K117" s="138"/>
      <c r="L117" s="282"/>
      <c r="M117" s="363"/>
      <c r="N117" s="363"/>
      <c r="O117" s="145">
        <v>0.0</v>
      </c>
      <c r="P117" s="145">
        <v>1.0</v>
      </c>
      <c r="Q117" s="145">
        <v>1.0</v>
      </c>
      <c r="R117" s="145" t="b">
        <v>1</v>
      </c>
      <c r="S117" s="145" t="b">
        <v>1</v>
      </c>
      <c r="T117" s="145"/>
      <c r="U117" s="156"/>
      <c r="V117" s="156"/>
    </row>
    <row r="118">
      <c r="A118" s="223"/>
      <c r="B118" s="224"/>
      <c r="C118" s="225"/>
      <c r="D118" s="225"/>
      <c r="E118" s="226"/>
      <c r="F118" s="226"/>
      <c r="G118" s="226"/>
      <c r="H118" s="227"/>
      <c r="I118" s="227"/>
      <c r="J118" s="228"/>
      <c r="K118" s="228"/>
      <c r="L118" s="228"/>
      <c r="M118" s="228"/>
      <c r="N118" s="228"/>
      <c r="O118" s="228"/>
      <c r="P118" s="228"/>
      <c r="Q118" s="118"/>
      <c r="R118" s="118"/>
      <c r="S118" s="118"/>
      <c r="T118" s="118"/>
      <c r="U118" s="118"/>
      <c r="V118" s="118"/>
    </row>
    <row r="119">
      <c r="A119" s="264" t="s">
        <v>211</v>
      </c>
      <c r="B119" s="104"/>
      <c r="C119" s="227"/>
      <c r="D119" s="227"/>
      <c r="E119" s="228"/>
      <c r="F119" s="265"/>
      <c r="G119" s="265"/>
      <c r="H119" s="228"/>
      <c r="I119" s="228"/>
      <c r="J119" s="228"/>
      <c r="K119" s="228"/>
      <c r="L119" s="228"/>
      <c r="M119" s="228"/>
      <c r="N119" s="118"/>
      <c r="O119" s="118"/>
      <c r="P119" s="118"/>
      <c r="Q119" s="228"/>
      <c r="R119" s="228"/>
      <c r="S119" s="228"/>
      <c r="T119" s="228"/>
      <c r="U119" s="228"/>
      <c r="V119" s="228"/>
    </row>
    <row r="120" outlineLevel="1">
      <c r="A120" s="106"/>
      <c r="B120" s="107"/>
      <c r="C120" s="266" t="s">
        <v>48</v>
      </c>
      <c r="D120" s="266" t="s">
        <v>49</v>
      </c>
      <c r="E120" s="266" t="s">
        <v>50</v>
      </c>
      <c r="F120" s="267" t="s">
        <v>51</v>
      </c>
      <c r="G120" s="227"/>
      <c r="H120" s="227"/>
      <c r="I120" s="227"/>
      <c r="J120" s="228"/>
      <c r="K120" s="228"/>
      <c r="L120" s="228"/>
      <c r="M120" s="228"/>
      <c r="N120" s="228"/>
      <c r="O120" s="228"/>
      <c r="P120" s="228"/>
      <c r="Q120" s="228"/>
      <c r="R120" s="228"/>
      <c r="S120" s="228"/>
      <c r="T120" s="228"/>
      <c r="U120" s="228"/>
      <c r="V120" s="228"/>
    </row>
    <row r="121" outlineLevel="1">
      <c r="A121" s="268" t="s">
        <v>212</v>
      </c>
      <c r="B121" s="269" t="s">
        <v>212</v>
      </c>
      <c r="C121" s="113" t="s">
        <v>213</v>
      </c>
      <c r="D121" s="113" t="s">
        <v>86</v>
      </c>
      <c r="E121" s="113" t="s">
        <v>1024</v>
      </c>
      <c r="F121" s="138">
        <v>1.8</v>
      </c>
      <c r="G121" s="227"/>
      <c r="H121" s="227"/>
      <c r="I121" s="227"/>
      <c r="J121" s="228"/>
      <c r="K121" s="228"/>
      <c r="L121" s="228"/>
      <c r="M121" s="228"/>
      <c r="N121" s="228"/>
      <c r="O121" s="228"/>
      <c r="P121" s="228"/>
      <c r="Q121" s="228"/>
      <c r="R121" s="228"/>
      <c r="S121" s="228"/>
      <c r="T121" s="228"/>
      <c r="U121" s="228"/>
      <c r="V121" s="228"/>
    </row>
    <row r="122" outlineLevel="1">
      <c r="A122" s="270" t="s">
        <v>215</v>
      </c>
      <c r="B122" s="269" t="s">
        <v>216</v>
      </c>
      <c r="C122" s="113" t="s">
        <v>217</v>
      </c>
      <c r="D122" s="113" t="s">
        <v>218</v>
      </c>
      <c r="E122" s="271"/>
      <c r="F122" s="272"/>
      <c r="G122" s="272"/>
      <c r="H122" s="227"/>
      <c r="I122" s="227"/>
      <c r="J122" s="228"/>
      <c r="K122" s="228"/>
      <c r="L122" s="228"/>
      <c r="M122" s="228"/>
      <c r="N122" s="228"/>
      <c r="O122" s="228"/>
      <c r="P122" s="228"/>
      <c r="Q122" s="228"/>
      <c r="R122" s="228"/>
      <c r="S122" s="228"/>
      <c r="T122" s="228"/>
      <c r="U122" s="228"/>
      <c r="V122" s="228"/>
    </row>
    <row r="123" outlineLevel="1">
      <c r="A123" s="212"/>
      <c r="B123" s="269" t="s">
        <v>219</v>
      </c>
      <c r="C123" s="113" t="s">
        <v>518</v>
      </c>
      <c r="D123" s="113" t="s">
        <v>221</v>
      </c>
      <c r="E123" s="271"/>
      <c r="F123" s="272"/>
      <c r="G123" s="272"/>
      <c r="H123" s="227"/>
      <c r="I123" s="227"/>
      <c r="J123" s="228"/>
      <c r="K123" s="228"/>
      <c r="L123" s="228"/>
      <c r="M123" s="228"/>
      <c r="N123" s="228"/>
      <c r="O123" s="228"/>
      <c r="P123" s="228"/>
      <c r="Q123" s="228"/>
      <c r="R123" s="228"/>
      <c r="S123" s="228"/>
      <c r="T123" s="228"/>
      <c r="U123" s="228"/>
      <c r="V123" s="228"/>
    </row>
    <row r="124" outlineLevel="1">
      <c r="A124" s="106"/>
      <c r="B124" s="269" t="s">
        <v>222</v>
      </c>
      <c r="C124" s="113" t="s">
        <v>220</v>
      </c>
      <c r="D124" s="113" t="s">
        <v>79</v>
      </c>
      <c r="E124" s="227"/>
      <c r="F124" s="272"/>
      <c r="G124" s="272"/>
      <c r="H124" s="227"/>
      <c r="I124" s="227"/>
      <c r="J124" s="228"/>
      <c r="K124" s="228"/>
      <c r="L124" s="228"/>
      <c r="M124" s="228"/>
      <c r="N124" s="228"/>
      <c r="O124" s="228"/>
      <c r="P124" s="228"/>
      <c r="Q124" s="228"/>
      <c r="R124" s="228"/>
      <c r="S124" s="228"/>
      <c r="T124" s="228"/>
      <c r="U124" s="228"/>
      <c r="V124" s="228"/>
    </row>
    <row r="125" outlineLevel="1">
      <c r="A125" s="273" t="s">
        <v>225</v>
      </c>
      <c r="B125" s="109"/>
      <c r="C125" s="266" t="s">
        <v>48</v>
      </c>
      <c r="D125" s="266" t="s">
        <v>49</v>
      </c>
      <c r="E125" s="266" t="s">
        <v>50</v>
      </c>
      <c r="F125" s="267" t="s">
        <v>51</v>
      </c>
      <c r="G125" s="1168" t="s">
        <v>53</v>
      </c>
      <c r="H125" s="110"/>
      <c r="I125" s="110"/>
      <c r="J125" s="109"/>
      <c r="K125" s="275" t="s">
        <v>137</v>
      </c>
      <c r="L125" s="275" t="s">
        <v>138</v>
      </c>
      <c r="M125" s="275" t="s">
        <v>139</v>
      </c>
      <c r="N125" s="275" t="s">
        <v>140</v>
      </c>
      <c r="O125" s="276" t="s">
        <v>141</v>
      </c>
      <c r="P125" s="275" t="s">
        <v>142</v>
      </c>
      <c r="Q125" s="276" t="s">
        <v>143</v>
      </c>
      <c r="R125" s="277"/>
      <c r="S125" s="277"/>
      <c r="T125" s="277"/>
      <c r="U125" s="277"/>
      <c r="V125" s="277"/>
    </row>
    <row r="126" outlineLevel="1">
      <c r="A126" s="278" t="s">
        <v>226</v>
      </c>
      <c r="B126" s="269" t="s">
        <v>227</v>
      </c>
      <c r="C126" s="281"/>
      <c r="D126" s="279" t="s">
        <v>99</v>
      </c>
      <c r="E126" s="281"/>
      <c r="F126" s="281"/>
      <c r="G126" s="1170"/>
      <c r="H126" s="164"/>
      <c r="I126" s="164"/>
      <c r="J126" s="104"/>
      <c r="K126" s="282"/>
      <c r="L126" s="282"/>
      <c r="M126" s="363"/>
      <c r="N126" s="145"/>
      <c r="O126" s="145">
        <v>0.0</v>
      </c>
      <c r="P126" s="145">
        <v>1.0</v>
      </c>
      <c r="Q126" s="145">
        <v>1.0</v>
      </c>
      <c r="R126" s="277"/>
      <c r="S126" s="228"/>
      <c r="T126" s="228"/>
      <c r="U126" s="228"/>
      <c r="V126" s="228"/>
    </row>
    <row r="127" outlineLevel="1">
      <c r="A127" s="156"/>
      <c r="B127" s="269" t="s">
        <v>225</v>
      </c>
      <c r="C127" s="113" t="s">
        <v>274</v>
      </c>
      <c r="D127" s="156"/>
      <c r="E127" s="239" t="s">
        <v>80</v>
      </c>
      <c r="F127" s="138">
        <f>IFERROR(E127*1.2, "-")</f>
        <v>9.6</v>
      </c>
      <c r="G127" s="106"/>
      <c r="H127" s="168"/>
      <c r="I127" s="168"/>
      <c r="J127" s="107"/>
      <c r="K127" s="282"/>
      <c r="L127" s="282"/>
      <c r="M127" s="363"/>
      <c r="N127" s="145"/>
      <c r="O127" s="261"/>
      <c r="P127" s="261"/>
      <c r="Q127" s="261"/>
      <c r="R127" s="277"/>
      <c r="S127" s="228"/>
      <c r="T127" s="228"/>
      <c r="U127" s="228"/>
      <c r="V127" s="228"/>
    </row>
    <row r="128" outlineLevel="1">
      <c r="A128" s="278" t="s">
        <v>229</v>
      </c>
      <c r="B128" s="269" t="s">
        <v>227</v>
      </c>
      <c r="C128" s="281"/>
      <c r="D128" s="279" t="s">
        <v>118</v>
      </c>
      <c r="E128" s="281"/>
      <c r="F128" s="281"/>
      <c r="G128" s="1170"/>
      <c r="H128" s="164"/>
      <c r="I128" s="164"/>
      <c r="J128" s="104"/>
      <c r="K128" s="282"/>
      <c r="L128" s="282"/>
      <c r="M128" s="363"/>
      <c r="N128" s="363"/>
      <c r="O128" s="145">
        <v>0.0</v>
      </c>
      <c r="P128" s="145">
        <v>1.0</v>
      </c>
      <c r="Q128" s="145">
        <v>1.0</v>
      </c>
      <c r="R128" s="277"/>
      <c r="S128" s="228"/>
      <c r="T128" s="228"/>
      <c r="U128" s="228"/>
      <c r="V128" s="228"/>
    </row>
    <row r="129" outlineLevel="1">
      <c r="A129" s="156"/>
      <c r="B129" s="269" t="s">
        <v>225</v>
      </c>
      <c r="C129" s="113" t="s">
        <v>119</v>
      </c>
      <c r="D129" s="156"/>
      <c r="E129" s="239" t="s">
        <v>128</v>
      </c>
      <c r="F129" s="138">
        <f>IFERROR(E129*1.2, "-")</f>
        <v>12</v>
      </c>
      <c r="G129" s="106"/>
      <c r="H129" s="168"/>
      <c r="I129" s="168"/>
      <c r="J129" s="107"/>
      <c r="K129" s="282"/>
      <c r="L129" s="282"/>
      <c r="M129" s="363"/>
      <c r="N129" s="363"/>
      <c r="O129" s="261"/>
      <c r="P129" s="261"/>
      <c r="Q129" s="261"/>
      <c r="R129" s="277"/>
      <c r="S129" s="228"/>
      <c r="T129" s="228"/>
      <c r="U129" s="228"/>
      <c r="V129" s="228"/>
    </row>
    <row r="130" outlineLevel="1">
      <c r="A130" s="278" t="s">
        <v>233</v>
      </c>
      <c r="B130" s="269" t="s">
        <v>227</v>
      </c>
      <c r="C130" s="281"/>
      <c r="D130" s="279" t="s">
        <v>79</v>
      </c>
      <c r="E130" s="281"/>
      <c r="F130" s="281"/>
      <c r="G130" s="1170"/>
      <c r="H130" s="164"/>
      <c r="I130" s="164"/>
      <c r="J130" s="104"/>
      <c r="K130" s="282"/>
      <c r="L130" s="282"/>
      <c r="M130" s="363"/>
      <c r="N130" s="363"/>
      <c r="O130" s="145">
        <v>0.0</v>
      </c>
      <c r="P130" s="145">
        <v>1.0</v>
      </c>
      <c r="Q130" s="145">
        <v>1.0</v>
      </c>
      <c r="R130" s="277"/>
      <c r="S130" s="228"/>
      <c r="T130" s="228"/>
      <c r="U130" s="228"/>
      <c r="V130" s="228"/>
    </row>
    <row r="131" outlineLevel="1">
      <c r="A131" s="156"/>
      <c r="B131" s="269" t="s">
        <v>225</v>
      </c>
      <c r="C131" s="113" t="s">
        <v>153</v>
      </c>
      <c r="D131" s="156"/>
      <c r="E131" s="239" t="s">
        <v>93</v>
      </c>
      <c r="F131" s="138">
        <f>IFERROR(E131*1.2, "-")</f>
        <v>8.4</v>
      </c>
      <c r="G131" s="106"/>
      <c r="H131" s="168"/>
      <c r="I131" s="168"/>
      <c r="J131" s="107"/>
      <c r="K131" s="282"/>
      <c r="L131" s="282"/>
      <c r="M131" s="363"/>
      <c r="N131" s="363"/>
      <c r="O131" s="261"/>
      <c r="P131" s="261"/>
      <c r="Q131" s="261"/>
      <c r="R131" s="277"/>
      <c r="S131" s="117"/>
      <c r="T131" s="117"/>
      <c r="U131" s="117"/>
      <c r="V131" s="117"/>
    </row>
    <row r="132" outlineLevel="1">
      <c r="A132" s="278" t="s">
        <v>234</v>
      </c>
      <c r="B132" s="269" t="s">
        <v>227</v>
      </c>
      <c r="C132" s="281"/>
      <c r="D132" s="279" t="s">
        <v>628</v>
      </c>
      <c r="E132" s="281"/>
      <c r="F132" s="281"/>
      <c r="G132" s="1170"/>
      <c r="H132" s="164"/>
      <c r="I132" s="164"/>
      <c r="J132" s="104"/>
      <c r="K132" s="282"/>
      <c r="L132" s="282"/>
      <c r="M132" s="363"/>
      <c r="N132" s="363"/>
      <c r="O132" s="145">
        <v>0.0</v>
      </c>
      <c r="P132" s="145">
        <v>1.0</v>
      </c>
      <c r="Q132" s="145">
        <v>1.0</v>
      </c>
      <c r="R132" s="277"/>
      <c r="S132" s="117"/>
      <c r="T132" s="117"/>
      <c r="U132" s="117"/>
      <c r="V132" s="117"/>
    </row>
    <row r="133" outlineLevel="1">
      <c r="A133" s="156"/>
      <c r="B133" s="269" t="s">
        <v>225</v>
      </c>
      <c r="C133" s="113" t="s">
        <v>173</v>
      </c>
      <c r="D133" s="156"/>
      <c r="E133" s="239" t="s">
        <v>93</v>
      </c>
      <c r="F133" s="138">
        <f>IFERROR(E133*1.2, "-")</f>
        <v>8.4</v>
      </c>
      <c r="G133" s="106"/>
      <c r="H133" s="168"/>
      <c r="I133" s="168"/>
      <c r="J133" s="107"/>
      <c r="K133" s="282"/>
      <c r="L133" s="282"/>
      <c r="M133" s="363"/>
      <c r="N133" s="363"/>
      <c r="O133" s="261"/>
      <c r="P133" s="261"/>
      <c r="Q133" s="261"/>
      <c r="R133" s="277"/>
      <c r="S133" s="117"/>
      <c r="T133" s="117"/>
      <c r="U133" s="117"/>
      <c r="V133" s="117"/>
    </row>
    <row r="134">
      <c r="A134" s="223"/>
      <c r="B134" s="224"/>
      <c r="C134" s="225"/>
      <c r="D134" s="225"/>
      <c r="E134" s="227"/>
      <c r="F134" s="177"/>
      <c r="G134" s="177"/>
      <c r="H134" s="227"/>
      <c r="I134" s="227"/>
      <c r="J134" s="228"/>
      <c r="K134" s="228"/>
      <c r="L134" s="111"/>
      <c r="M134" s="111"/>
      <c r="N134" s="111"/>
      <c r="O134" s="117"/>
      <c r="P134" s="117"/>
      <c r="Q134" s="111"/>
      <c r="R134" s="111"/>
      <c r="S134" s="111"/>
      <c r="T134" s="111"/>
      <c r="U134" s="111"/>
      <c r="V134" s="111"/>
    </row>
    <row r="135">
      <c r="A135" s="284" t="s">
        <v>241</v>
      </c>
      <c r="B135" s="104"/>
      <c r="C135" s="265"/>
      <c r="D135" s="111"/>
      <c r="E135" s="111"/>
      <c r="F135" s="111"/>
      <c r="G135" s="111"/>
      <c r="H135" s="111"/>
      <c r="I135" s="111"/>
      <c r="J135" s="118"/>
      <c r="K135" s="111"/>
      <c r="L135" s="111"/>
      <c r="M135" s="111"/>
      <c r="N135" s="111"/>
      <c r="O135" s="111"/>
      <c r="P135" s="111"/>
      <c r="Q135" s="118"/>
      <c r="R135" s="111"/>
      <c r="S135" s="111"/>
      <c r="T135" s="111"/>
      <c r="U135" s="111"/>
      <c r="V135" s="111"/>
    </row>
    <row r="136" outlineLevel="1">
      <c r="A136" s="106"/>
      <c r="B136" s="107"/>
      <c r="C136" s="285" t="s">
        <v>235</v>
      </c>
      <c r="D136" s="285" t="s">
        <v>236</v>
      </c>
      <c r="E136" s="285" t="s">
        <v>49</v>
      </c>
      <c r="F136" s="285" t="s">
        <v>237</v>
      </c>
      <c r="G136" s="286"/>
      <c r="H136" s="227"/>
      <c r="I136" s="227"/>
      <c r="J136" s="228"/>
      <c r="K136" s="228"/>
      <c r="L136" s="111"/>
      <c r="M136" s="111"/>
      <c r="N136" s="111"/>
      <c r="O136" s="111"/>
      <c r="P136" s="111"/>
      <c r="Q136" s="111"/>
      <c r="R136" s="111"/>
      <c r="S136" s="111"/>
      <c r="T136" s="111"/>
      <c r="U136" s="111"/>
      <c r="V136" s="111"/>
    </row>
    <row r="137" outlineLevel="1">
      <c r="A137" s="287" t="s">
        <v>395</v>
      </c>
      <c r="B137" s="288" t="s">
        <v>216</v>
      </c>
      <c r="C137" s="113" t="str">
        <f t="array" ref="C137">INDEX('回避'!$C$3:$U$84, MATCH($A$1,'回避'!$A$3:$A$91,0), MATCH(C136,'回避'!$C$2:$F$2,0))</f>
        <v>3-17</v>
      </c>
      <c r="D137" s="113" t="str">
        <f t="array" ref="D137">INDEX('回避'!$C$3:$U$84, MATCH($A$1,'回避'!$A$3:$A$91,0), MATCH(D136,'回避'!$C$2:$F$2,0))</f>
        <v>6-17</v>
      </c>
      <c r="E137" s="113" t="str">
        <f t="array" ref="E137">INDEX('回避'!$C$3:$U$84, MATCH($A$1,'回避'!$A$3:$A$91,0), MATCH(E136,'回避'!$C$2:$F$2,0))</f>
        <v>25 (20)</v>
      </c>
      <c r="F137" s="113" t="str">
        <f t="array" ref="F137">INDEX('回避'!$C$3:$U$84, MATCH($A$1,'回避'!$A$3:$A$91,0), MATCH(F136,'回避'!$C$2:$F$2,0))</f>
        <v>33 (27)</v>
      </c>
      <c r="G137" s="272"/>
      <c r="H137" s="227"/>
      <c r="I137" s="227"/>
      <c r="J137" s="228"/>
      <c r="K137" s="228"/>
      <c r="L137" s="228"/>
      <c r="M137" s="111"/>
      <c r="N137" s="111"/>
      <c r="O137" s="111"/>
      <c r="P137" s="111"/>
      <c r="Q137" s="111"/>
      <c r="R137" s="111"/>
      <c r="S137" s="111"/>
      <c r="T137" s="111"/>
      <c r="U137" s="111"/>
      <c r="V137" s="111"/>
    </row>
    <row r="138" outlineLevel="1">
      <c r="A138" s="212"/>
      <c r="B138" s="288" t="s">
        <v>245</v>
      </c>
      <c r="C138" s="113" t="str">
        <f t="array" ref="C138">INDEX('回避'!$G$3:$U$84, MATCH($A$1,'回避'!$A$3:$A$91,0), MATCH(C136,'回避'!$G$2:$J$2,0))</f>
        <v>4-15</v>
      </c>
      <c r="D138" s="113" t="str">
        <f t="array" ref="D138">INDEX('回避'!$G$3:$U$84, MATCH($A$1,'回避'!$A$3:$A$91,0), MATCH(D136,'回避'!$G$2:$J$2,0))</f>
        <v>8-14</v>
      </c>
      <c r="E138" s="113" t="str">
        <f t="array" ref="E138">INDEX('回避'!$G$3:$U$84, MATCH($A$1,'回避'!$A$3:$A$91,0), MATCH(E136,'回避'!$G$2:$J$2,0))</f>
        <v>29</v>
      </c>
      <c r="F138" s="113">
        <f t="array" ref="F138">INDEX('回避'!$G$3:$U$84, MATCH($A$1,'回避'!$A$3:$A$91,0), MATCH(F136,'回避'!$G$2:$J$2,0))</f>
        <v>38</v>
      </c>
      <c r="G138" s="289"/>
      <c r="H138" s="227"/>
      <c r="I138" s="227"/>
      <c r="J138" s="228"/>
      <c r="K138" s="228"/>
      <c r="L138" s="228"/>
      <c r="M138" s="228"/>
      <c r="N138" s="228"/>
      <c r="O138" s="111"/>
      <c r="P138" s="111"/>
      <c r="Q138" s="111"/>
      <c r="R138" s="111"/>
      <c r="S138" s="111"/>
      <c r="T138" s="111"/>
      <c r="U138" s="111"/>
      <c r="V138" s="111"/>
    </row>
    <row r="139" outlineLevel="1">
      <c r="A139" s="106"/>
      <c r="B139" s="288" t="s">
        <v>246</v>
      </c>
      <c r="C139" s="113" t="str">
        <f t="array" ref="C139">INDEX('回避'!$K$3:$U$84, MATCH($A$1,'回避'!$A$3:$A$91,0), MATCH(C136,'回避'!$K$2:$N$2,0))</f>
        <v>5-16</v>
      </c>
      <c r="D139" s="113" t="str">
        <f t="array" ref="D139">INDEX('回避'!$K$3:$U$84, MATCH($A$1,'回避'!$A$3:$A$91,0), MATCH(D136,'回避'!$K$2:$N$2,0))</f>
        <v>9-14</v>
      </c>
      <c r="E139" s="113" t="str">
        <f t="array" ref="E139">INDEX('回避'!$K$3:$U$84, MATCH($A$1,'回避'!$A$3:$A$91,0), MATCH(E136,'回避'!$K$2:$N$2,0))</f>
        <v>34</v>
      </c>
      <c r="F139" s="113" t="str">
        <f t="array" ref="F139">INDEX('回避'!$K$3:$U$84, MATCH($A$1,'回避'!$A$3:$A$91,0), MATCH(F136,'回避'!$K$2:$N$2,0))</f>
        <v>51</v>
      </c>
      <c r="G139" s="289"/>
      <c r="H139" s="290"/>
      <c r="I139" s="290"/>
      <c r="J139" s="117"/>
      <c r="K139" s="117"/>
      <c r="L139" s="117"/>
      <c r="M139" s="117"/>
      <c r="N139" s="117"/>
      <c r="O139" s="111"/>
      <c r="P139" s="111"/>
      <c r="Q139" s="111"/>
      <c r="R139" s="111"/>
      <c r="S139" s="111"/>
      <c r="T139" s="111"/>
      <c r="U139" s="111"/>
      <c r="V139" s="111"/>
    </row>
    <row r="140" outlineLevel="1">
      <c r="A140" s="287" t="s">
        <v>396</v>
      </c>
      <c r="B140" s="288" t="s">
        <v>397</v>
      </c>
      <c r="C140" s="113" t="str">
        <f t="array" ref="C140">INDEX('回避'!$O$3:$U$84, MATCH($A$1,'回避'!$A$3:$A$91,0), MATCH(C136,'回避'!$O$2:$R$2,0))</f>
        <v>3-30</v>
      </c>
      <c r="D140" s="113" t="str">
        <f t="array" ref="D140">INDEX('回避'!$O$3:$U$84, MATCH($A$1,'回避'!$A$3:$A$91,0), MATCH(D136,'回避'!$O$2:$R$2,0))</f>
        <v>6-27</v>
      </c>
      <c r="E140" s="113" t="str">
        <f t="array" ref="E140">INDEX('回避'!$O$3:$U$84, MATCH($A$1,'回避'!$A$3:$A$91,0), MATCH(E136,'回避'!$O$2:$R$2,0))</f>
        <v>47</v>
      </c>
      <c r="F140" s="177"/>
      <c r="G140" s="177"/>
      <c r="H140" s="118"/>
      <c r="I140" s="118"/>
      <c r="J140" s="111"/>
      <c r="K140" s="111"/>
      <c r="L140" s="111"/>
      <c r="M140" s="111"/>
      <c r="N140" s="111"/>
      <c r="O140" s="228"/>
      <c r="P140" s="228"/>
      <c r="Q140" s="228"/>
      <c r="R140" s="228"/>
      <c r="S140" s="228"/>
      <c r="T140" s="228"/>
      <c r="U140" s="228"/>
      <c r="V140" s="228"/>
    </row>
    <row r="141" outlineLevel="1">
      <c r="A141" s="106"/>
      <c r="B141" s="288" t="s">
        <v>398</v>
      </c>
      <c r="C141" s="113" t="str">
        <f t="array" ref="C141">INDEX('回避'!$S$3:$U$84, MATCH($A$1,'回避'!$A$3:$A$91,0), MATCH(C136,'回避'!$S$2:$U$2,0))</f>
        <v>3-21</v>
      </c>
      <c r="D141" s="113" t="str">
        <f t="array" ref="D141">INDEX('回避'!$S$3:$U$84, MATCH($A$1,'回避'!$A$3:$A$91,0), MATCH(D136,'回避'!$S$2:$U$2,0))</f>
        <v>6-20</v>
      </c>
      <c r="E141" s="113" t="str">
        <f t="array" ref="E141">INDEX('回避'!$S$3:$U$84, MATCH($A$1,'回避'!$A$3:$A$91,0), MATCH(E136,'回避'!$S$2:$U$2,0))</f>
        <v>真横：79
真上：100
真下：67</v>
      </c>
      <c r="F141" s="289"/>
      <c r="G141" s="289"/>
      <c r="H141" s="118"/>
      <c r="I141" s="118"/>
      <c r="J141" s="117"/>
      <c r="K141" s="117"/>
      <c r="L141" s="117"/>
      <c r="M141" s="117"/>
      <c r="N141" s="111"/>
      <c r="O141" s="118"/>
      <c r="P141" s="118"/>
      <c r="Q141" s="118"/>
      <c r="R141" s="118"/>
      <c r="S141" s="118"/>
      <c r="T141" s="118"/>
      <c r="U141" s="118"/>
      <c r="V141" s="118"/>
    </row>
    <row r="142">
      <c r="A142" s="291"/>
      <c r="B142" s="292"/>
      <c r="C142" s="286"/>
      <c r="D142" s="286"/>
      <c r="E142" s="293"/>
      <c r="F142" s="286"/>
      <c r="G142" s="286"/>
      <c r="H142" s="286"/>
      <c r="I142" s="286"/>
      <c r="J142" s="111"/>
      <c r="K142" s="227"/>
      <c r="L142" s="227"/>
      <c r="M142" s="227"/>
      <c r="N142" s="227"/>
      <c r="O142" s="118"/>
      <c r="P142" s="118"/>
      <c r="Q142" s="118"/>
      <c r="R142" s="118"/>
      <c r="S142" s="118"/>
      <c r="T142" s="118"/>
      <c r="U142" s="118"/>
      <c r="V142" s="118"/>
    </row>
    <row r="143">
      <c r="A143" s="294" t="s">
        <v>238</v>
      </c>
      <c r="B143" s="104"/>
      <c r="C143" s="228"/>
      <c r="D143" s="117"/>
      <c r="E143" s="228"/>
      <c r="F143" s="114"/>
      <c r="G143" s="114"/>
      <c r="H143" s="117"/>
      <c r="I143" s="117"/>
      <c r="J143" s="118"/>
      <c r="K143" s="118"/>
      <c r="L143" s="118"/>
      <c r="M143" s="118"/>
      <c r="N143" s="118"/>
      <c r="O143" s="118"/>
      <c r="P143" s="118"/>
      <c r="Q143" s="118"/>
      <c r="R143" s="118"/>
      <c r="S143" s="118"/>
      <c r="T143" s="118"/>
      <c r="U143" s="118"/>
      <c r="V143" s="118"/>
    </row>
    <row r="144" outlineLevel="1">
      <c r="A144" s="106"/>
      <c r="B144" s="107"/>
      <c r="C144" s="295" t="s">
        <v>235</v>
      </c>
      <c r="D144" s="295" t="s">
        <v>49</v>
      </c>
      <c r="E144" s="295" t="s">
        <v>48</v>
      </c>
      <c r="F144" s="295" t="s">
        <v>50</v>
      </c>
      <c r="G144" s="296" t="s">
        <v>51</v>
      </c>
      <c r="H144" s="228"/>
      <c r="I144" s="228"/>
      <c r="J144" s="117"/>
      <c r="K144" s="297" t="s">
        <v>256</v>
      </c>
      <c r="L144" s="109"/>
      <c r="M144" s="298" t="s">
        <v>257</v>
      </c>
      <c r="N144" s="298" t="s">
        <v>49</v>
      </c>
      <c r="O144" s="118"/>
      <c r="P144" s="118"/>
      <c r="Q144" s="118"/>
      <c r="R144" s="118"/>
      <c r="S144" s="118"/>
      <c r="T144" s="118"/>
      <c r="U144" s="118"/>
      <c r="V144" s="118"/>
    </row>
    <row r="145" outlineLevel="1">
      <c r="A145" s="299" t="s">
        <v>239</v>
      </c>
      <c r="B145" s="300" t="s">
        <v>240</v>
      </c>
      <c r="C145" s="301"/>
      <c r="D145" s="113">
        <f t="array" ref="D145">INDEX('崖行動・受け身'!$C$3:$C$115, MATCH($A$1,'崖行動・受け身'!$A$3:$A$115,0), MATCH(D144,'崖行動・受け身'!$C$2,0))</f>
        <v>19</v>
      </c>
      <c r="E145" s="301"/>
      <c r="F145" s="301"/>
      <c r="G145" s="301"/>
      <c r="H145" s="228"/>
      <c r="I145" s="228"/>
      <c r="J145" s="111"/>
      <c r="K145" s="302" t="s">
        <v>258</v>
      </c>
      <c r="L145" s="303" t="s">
        <v>216</v>
      </c>
      <c r="M145" s="113" t="str">
        <f t="array" ref="M145">INDEX('アイテム'!$C$3:$D$115, MATCH($A$1,'アイテム'!$A$3:$A$115,0), MATCH(M$144,'アイテム'!$C$2:$AK$2,0))</f>
        <v>2</v>
      </c>
      <c r="N145" s="113">
        <f t="array" ref="N145">INDEX('アイテム'!$C$3:$D$115, MATCH($A$1,'アイテム'!$A$3:$A$115,0), MATCH(N$144,'アイテム'!$C$2:$AK$2,0))</f>
        <v>7</v>
      </c>
      <c r="O145" s="118"/>
      <c r="P145" s="118"/>
      <c r="Q145" s="118"/>
      <c r="R145" s="118"/>
      <c r="S145" s="118"/>
      <c r="T145" s="118"/>
      <c r="U145" s="118"/>
      <c r="V145" s="118"/>
    </row>
    <row r="146" outlineLevel="1">
      <c r="A146" s="146"/>
      <c r="B146" s="300" t="s">
        <v>216</v>
      </c>
      <c r="C146" s="113" t="str">
        <f t="array" ref="C146">INDEX('崖行動・受け身'!$D$3:$E$115, MATCH($A$1,'崖行動・受け身'!$A$3:$A$115,0), MATCH(C$144,'崖行動・受け身'!$D$2:$E$2,0))</f>
        <v>1-33</v>
      </c>
      <c r="D146" s="113">
        <f t="array" ref="D146">INDEX('崖行動・受け身'!$D$3:$E$115, MATCH($A$1,'崖行動・受け身'!$A$3:$A$115,0), MATCH(D$144,'崖行動・受け身'!$D$2:$E$2,0))</f>
        <v>34</v>
      </c>
      <c r="E146" s="301"/>
      <c r="F146" s="301"/>
      <c r="G146" s="301"/>
      <c r="H146" s="228"/>
      <c r="I146" s="228"/>
      <c r="J146" s="117"/>
      <c r="K146" s="156"/>
      <c r="L146" s="303" t="s">
        <v>5389</v>
      </c>
      <c r="M146" s="113" t="str">
        <f t="array" ref="M146">INDEX('アイテム'!$E$3:$F$115, MATCH($A$1,'アイテム'!$A$3:$A$115,0), MATCH(M$144,'アイテム'!$E$2:$AK$2,0))</f>
        <v>2</v>
      </c>
      <c r="N146" s="113">
        <f t="array" ref="N146">INDEX('アイテム'!$E$3:$F$115, MATCH($A$1,'アイテム'!$A$3:$A$115,0), MATCH(N$144,'アイテム'!$E$2:$AK$2,0))</f>
        <v>19</v>
      </c>
      <c r="O146" s="118"/>
      <c r="P146" s="118"/>
      <c r="Q146" s="118"/>
      <c r="R146" s="118"/>
      <c r="S146" s="118"/>
      <c r="T146" s="118"/>
      <c r="U146" s="118"/>
      <c r="V146" s="118"/>
    </row>
    <row r="147" outlineLevel="1">
      <c r="A147" s="146"/>
      <c r="B147" s="300" t="s">
        <v>241</v>
      </c>
      <c r="C147" s="113" t="str">
        <f t="array" ref="C147">INDEX('崖行動・受け身'!$F$3:$G$115, MATCH($A$1,'崖行動・受け身'!$A$3:$A$115,0), MATCH(C$144,'崖行動・受け身'!$F$2:$G$2,0))</f>
        <v>1-24</v>
      </c>
      <c r="D147" s="113">
        <f t="array" ref="D147">INDEX('崖行動・受け身'!$F$3:$G$115, MATCH($A$1,'崖行動・受け身'!$A$3:$A$115,0), MATCH(D$144,'崖行動・受け身'!$F$2:$G$2,0))</f>
        <v>45</v>
      </c>
      <c r="E147" s="301"/>
      <c r="F147" s="301"/>
      <c r="G147" s="301"/>
      <c r="H147" s="228"/>
      <c r="I147" s="228"/>
      <c r="J147" s="111"/>
      <c r="K147" s="304" t="s">
        <v>260</v>
      </c>
      <c r="L147" s="109"/>
      <c r="M147" s="298" t="s">
        <v>261</v>
      </c>
      <c r="N147" s="298" t="s">
        <v>49</v>
      </c>
      <c r="O147" s="118"/>
      <c r="P147" s="118"/>
      <c r="Q147" s="118"/>
      <c r="R147" s="118"/>
      <c r="S147" s="118"/>
      <c r="T147" s="118"/>
      <c r="U147" s="118"/>
      <c r="V147" s="118"/>
    </row>
    <row r="148" outlineLevel="1">
      <c r="A148" s="146"/>
      <c r="B148" s="300" t="s">
        <v>242</v>
      </c>
      <c r="C148" s="113" t="str">
        <f t="array" ref="C148">INDEX('崖行動・受け身'!$H$3:$I$115, MATCH($A$1,'崖行動・受け身'!$A$3:$A$115,0), MATCH(C$144,'崖行動・受け身'!$H$2:$I$2,0))</f>
        <v>1-12</v>
      </c>
      <c r="D148" s="113">
        <f t="array" ref="D148">INDEX('崖行動・受け身'!$H$3:$I$115, MATCH($A$1,'崖行動・受け身'!$A$3:$A$115,0), MATCH(D$144,'崖行動・受け身'!$H$2:$I$2,0))</f>
        <v>14</v>
      </c>
      <c r="E148" s="301"/>
      <c r="F148" s="301"/>
      <c r="G148" s="301"/>
      <c r="H148" s="228"/>
      <c r="I148" s="228"/>
      <c r="J148" s="117"/>
      <c r="K148" s="305" t="s">
        <v>262</v>
      </c>
      <c r="L148" s="303" t="s">
        <v>226</v>
      </c>
      <c r="M148" s="113" t="str">
        <f t="array" ref="M148">INDEX('アイテム'!$G$3:$H$115, MATCH($A$1,'アイテム'!$A$3:$A$115,0), MATCH(M$147,'アイテム'!$G$2:$AK$2,0))</f>
        <v>8</v>
      </c>
      <c r="N148" s="113">
        <f t="array" ref="N148">INDEX('アイテム'!$G$3:$H$115, MATCH($A$1,'アイテム'!$A$3:$A$115,0), MATCH(N$147,'アイテム'!$G$2:$AK$2,0))</f>
        <v>24</v>
      </c>
      <c r="O148" s="111"/>
      <c r="P148" s="111"/>
      <c r="Q148" s="111"/>
      <c r="R148" s="111"/>
      <c r="S148" s="111"/>
      <c r="T148" s="111"/>
      <c r="U148" s="111"/>
      <c r="V148" s="111"/>
    </row>
    <row r="149" outlineLevel="1">
      <c r="A149" s="156"/>
      <c r="B149" s="300" t="s">
        <v>243</v>
      </c>
      <c r="C149" s="113" t="str">
        <f t="array" ref="C149">INDEX('崖行動・受け身'!$J$3:$M$115, MATCH($A$1,'崖行動・受け身'!$A$3:$A$115,0), MATCH(C$144,'崖行動・受け身'!$J$2:$M$2,0))</f>
        <v>1-26</v>
      </c>
      <c r="D149" s="113">
        <f t="array" ref="D149">INDEX('崖行動・受け身'!$J$3:$M$115, MATCH($A$1,'崖行動・受け身'!$A$3:$A$115,0), MATCH(D$144,'崖行動・受け身'!$J$2:$M$2,0))</f>
        <v>55</v>
      </c>
      <c r="E149" s="113" t="str">
        <f t="array" ref="E149">INDEX('崖行動・受け身'!$J$3:$M$115, MATCH($A$1,'崖行動・受け身'!$A$3:$A$115,0), MATCH(E$144,'崖行動・受け身'!$J$2:$M$2,0))</f>
        <v>24-26</v>
      </c>
      <c r="F149" s="113">
        <f t="array" ref="F149">INDEX('崖行動・受け身'!$J$3:$M$115, MATCH($A$1,'崖行動・受け身'!$A$3:$A$115,0), MATCH(F$144,'崖行動・受け身'!$J$2:$M$2,0))</f>
        <v>9</v>
      </c>
      <c r="G149" s="113">
        <f>F149*1.2</f>
        <v>10.8</v>
      </c>
      <c r="H149" s="228"/>
      <c r="I149" s="228"/>
      <c r="J149" s="111"/>
      <c r="K149" s="146"/>
      <c r="L149" s="303" t="s">
        <v>229</v>
      </c>
      <c r="M149" s="113" t="str">
        <f t="array" ref="M149">INDEX('アイテム'!$I$3:$J$115, MATCH($A$1,'アイテム'!$A$3:$A$115,0), MATCH(M$147,'アイテム'!$I$2:$AK$2,0))</f>
        <v>11</v>
      </c>
      <c r="N149" s="113">
        <f t="array" ref="N149">INDEX('アイテム'!$I$3:$J$115, MATCH($A$1,'アイテム'!$A$3:$A$115,0), MATCH(N$147,'アイテム'!$I$2:$AK$2,0))</f>
        <v>24</v>
      </c>
      <c r="O149" s="111"/>
      <c r="P149" s="111"/>
      <c r="Q149" s="111"/>
      <c r="R149" s="111"/>
      <c r="S149" s="111"/>
      <c r="T149" s="111"/>
      <c r="U149" s="111"/>
      <c r="V149" s="111"/>
    </row>
    <row r="150" outlineLevel="1">
      <c r="A150" s="299" t="s">
        <v>244</v>
      </c>
      <c r="B150" s="300" t="s">
        <v>216</v>
      </c>
      <c r="C150" s="113" t="str">
        <f t="array" ref="C150">INDEX('崖行動・受け身'!$N$3:$O$115, MATCH($A$1,'崖行動・受け身'!$A$3:$A$115,0), MATCH(C$144,'崖行動・受け身'!$N$2:$O$2,0))</f>
        <v>1-20</v>
      </c>
      <c r="D150" s="113">
        <f t="array" ref="D150">INDEX('崖行動・受け身'!$N$3:$O$115, MATCH($A$1,'崖行動・受け身'!$A$3:$A$115,0), MATCH(D$144,'崖行動・受け身'!$N$2:$O$2,0))</f>
        <v>26</v>
      </c>
      <c r="E150" s="301"/>
      <c r="F150" s="301"/>
      <c r="G150" s="301"/>
      <c r="H150" s="228"/>
      <c r="I150" s="228"/>
      <c r="J150" s="117"/>
      <c r="K150" s="146"/>
      <c r="L150" s="303" t="s">
        <v>233</v>
      </c>
      <c r="M150" s="113" t="str">
        <f t="array" ref="M150">INDEX('アイテム'!$K$3:$L$115, MATCH($A$1,'アイテム'!$A$3:$A$115,0), MATCH(M$147,'アイテム'!$K$2:$AK$2,0))</f>
        <v>12</v>
      </c>
      <c r="N150" s="113">
        <f t="array" ref="N150">INDEX('アイテム'!$K$3:$L$115, MATCH($A$1,'アイテム'!$A$3:$A$115,0), MATCH(N$147,'アイテム'!$K$2:$AK$2,0))</f>
        <v>23</v>
      </c>
      <c r="O150" s="228"/>
      <c r="P150" s="228"/>
      <c r="Q150" s="228"/>
      <c r="R150" s="228"/>
      <c r="S150" s="228"/>
      <c r="T150" s="228"/>
      <c r="U150" s="228"/>
      <c r="V150" s="228"/>
    </row>
    <row r="151" outlineLevel="1">
      <c r="A151" s="146"/>
      <c r="B151" s="300" t="s">
        <v>245</v>
      </c>
      <c r="C151" s="113" t="str">
        <f t="array" ref="C151">INDEX('崖行動・受け身'!$P$3:$Q$115, MATCH($A$1,'崖行動・受け身'!$A$3:$A$115,0), MATCH(C$144,'崖行動・受け身'!$P$2:$Q$2,0))</f>
        <v>1-20</v>
      </c>
      <c r="D151" s="113">
        <f t="array" ref="D151">INDEX('崖行動・受け身'!$P$3:$Q$115, MATCH($A$1,'崖行動・受け身'!$A$3:$A$115,0), MATCH(D$144,'崖行動・受け身'!$P$2:$Q$2,0))</f>
        <v>40</v>
      </c>
      <c r="E151" s="301"/>
      <c r="F151" s="301"/>
      <c r="G151" s="301"/>
      <c r="H151" s="228"/>
      <c r="I151" s="228"/>
      <c r="J151" s="111"/>
      <c r="K151" s="146"/>
      <c r="L151" s="303" t="s">
        <v>234</v>
      </c>
      <c r="M151" s="113" t="str">
        <f t="array" ref="M151">INDEX('アイテム'!$M$3:$N$115, MATCH($A$1,'アイテム'!$A$3:$A$115,0), MATCH(M$147,'アイテム'!$M$2:$AK$2,0))</f>
        <v>7</v>
      </c>
      <c r="N151" s="113">
        <f t="array" ref="N151">INDEX('アイテム'!$M$3:$N$115, MATCH($A$1,'アイテム'!$A$3:$A$115,0), MATCH(N$147,'アイテム'!$M$2:$AK$2,0))</f>
        <v>19</v>
      </c>
      <c r="O151" s="118"/>
      <c r="P151" s="118"/>
      <c r="Q151" s="118"/>
      <c r="R151" s="118"/>
      <c r="S151" s="118"/>
      <c r="T151" s="118"/>
      <c r="U151" s="118"/>
      <c r="V151" s="118"/>
    </row>
    <row r="152" outlineLevel="1">
      <c r="A152" s="156"/>
      <c r="B152" s="300" t="s">
        <v>246</v>
      </c>
      <c r="C152" s="113" t="str">
        <f t="array" ref="C152">INDEX('崖行動・受け身'!$R$3:$S$115, MATCH($A$1,'崖行動・受け身'!$A$3:$A$115,0), MATCH(C$144,'崖行動・受け身'!$R$2:$S$2,0))</f>
        <v>1-20</v>
      </c>
      <c r="D152" s="113">
        <f t="array" ref="D152">INDEX('崖行動・受け身'!$R$3:$S$115, MATCH($A$1,'崖行動・受け身'!$A$3:$A$115,0), MATCH(D$144,'崖行動・受け身'!$R$2:$S$2,0))</f>
        <v>40</v>
      </c>
      <c r="E152" s="301"/>
      <c r="F152" s="301"/>
      <c r="G152" s="301"/>
      <c r="H152" s="228"/>
      <c r="I152" s="228"/>
      <c r="J152" s="117"/>
      <c r="K152" s="146"/>
      <c r="L152" s="306" t="s">
        <v>219</v>
      </c>
      <c r="M152" s="113" t="str">
        <f t="array" ref="M152">INDEX('アイテム'!$O$3:$P$115, MATCH($A$1,'アイテム'!$A$3:$A$115,0), MATCH(M$147,'アイテム'!$O$2:$AK$2,0))</f>
        <v>5</v>
      </c>
      <c r="N152" s="113">
        <f t="array" ref="N152">INDEX('アイテム'!$O$3:$P$115, MATCH($A$1,'アイテム'!$A$3:$A$115,0), MATCH(N$147,'アイテム'!$O$2:$AK$2,0))</f>
        <v>29</v>
      </c>
      <c r="O152" s="118"/>
      <c r="P152" s="118"/>
      <c r="Q152" s="118"/>
      <c r="R152" s="118"/>
      <c r="S152" s="118"/>
      <c r="T152" s="118"/>
      <c r="U152" s="118"/>
      <c r="V152" s="118"/>
    </row>
    <row r="153" outlineLevel="1">
      <c r="A153" s="299" t="s">
        <v>247</v>
      </c>
      <c r="B153" s="300" t="s">
        <v>248</v>
      </c>
      <c r="C153" s="301"/>
      <c r="D153" s="113" t="str">
        <f t="array" ref="D153">INDEX('起きあがり'!$C$3:$C$115, MATCH($A$1,'起きあがり'!$A$3:$A$115,0), MATCH(D$144,'起きあがり'!$C$2:$AD$2,0))</f>
        <v>25</v>
      </c>
      <c r="E153" s="301"/>
      <c r="F153" s="301"/>
      <c r="G153" s="301"/>
      <c r="H153" s="228"/>
      <c r="I153" s="228"/>
      <c r="J153" s="111"/>
      <c r="K153" s="156"/>
      <c r="L153" s="306" t="s">
        <v>263</v>
      </c>
      <c r="M153" s="113" t="str">
        <f t="array" ref="M153">INDEX('アイテム'!$Q$3:$R$115, MATCH($A$1,'アイテム'!$A$3:$A$115,0), MATCH(M$147,'アイテム'!$Q$2:$AK$2,0))</f>
        <v>6</v>
      </c>
      <c r="N153" s="113">
        <f t="array" ref="N153">INDEX('アイテム'!$Q$3:$R$115, MATCH($A$1,'アイテム'!$A$3:$A$115,0), MATCH(N$147,'アイテム'!$Q$2:$AK$2,0))</f>
        <v>23</v>
      </c>
      <c r="O153" s="118"/>
      <c r="P153" s="118"/>
      <c r="Q153" s="118"/>
      <c r="R153" s="118"/>
      <c r="S153" s="118"/>
      <c r="T153" s="118"/>
      <c r="U153" s="118"/>
      <c r="V153" s="118"/>
    </row>
    <row r="154" outlineLevel="1">
      <c r="A154" s="146"/>
      <c r="B154" s="300" t="s">
        <v>216</v>
      </c>
      <c r="C154" s="307" t="str">
        <f t="array" ref="C154">INDEX('起きあがり'!$D$3:$E$115, MATCH($A$1,'起きあがり'!$A$3:$A$115,0), MATCH(C$144,'起きあがり'!$D$2:$AD$2,0))</f>
        <v>1-22</v>
      </c>
      <c r="D154" s="308">
        <f t="array" ref="D154">INDEX('起きあがり'!$D$3:$E$115, MATCH($A$1,'起きあがり'!$A$3:$A$115,0), MATCH(D$144,'起きあがり'!$D$2:$AD$2,0))</f>
        <v>29</v>
      </c>
      <c r="E154" s="301"/>
      <c r="F154" s="301"/>
      <c r="G154" s="301"/>
      <c r="H154" s="228"/>
      <c r="I154" s="228"/>
      <c r="J154" s="117"/>
      <c r="K154" s="305" t="s">
        <v>264</v>
      </c>
      <c r="L154" s="303" t="s">
        <v>226</v>
      </c>
      <c r="M154" s="113" t="str">
        <f t="array" ref="M154">INDEX('アイテム'!$S$3:$T$115, MATCH($A$1,'アイテム'!$A$3:$A$115,0), MATCH(M$147,'アイテム'!$S$2:$AK$2,0))</f>
        <v>8</v>
      </c>
      <c r="N154" s="113">
        <f t="array" ref="N154">INDEX('アイテム'!$S$3:$T$115, MATCH($A$1,'アイテム'!$A$3:$A$115,0), MATCH(N$147,'アイテム'!$S$2:$AK$2,0))</f>
        <v>24</v>
      </c>
      <c r="O154" s="118"/>
      <c r="P154" s="118"/>
      <c r="Q154" s="118"/>
      <c r="R154" s="118"/>
      <c r="S154" s="118"/>
      <c r="T154" s="118"/>
      <c r="U154" s="118"/>
      <c r="V154" s="118"/>
    </row>
    <row r="155" outlineLevel="1">
      <c r="A155" s="146"/>
      <c r="B155" s="300" t="s">
        <v>245</v>
      </c>
      <c r="C155" s="307" t="str">
        <f t="array" ref="C155">INDEX('起きあがり'!$F$3:$G$115, MATCH($A$1,'起きあがり'!$A$3:$A$115,0), MATCH(C$144,'起きあがり'!$F$2:$AD$2,0))</f>
        <v>1-21</v>
      </c>
      <c r="D155" s="308">
        <f t="array" ref="D155">INDEX('起きあがり'!$F$3:$G$115, MATCH($A$1,'起きあがり'!$A$3:$A$115,0), MATCH(D$144,'起きあがり'!$F$2:$AD$2,0))</f>
        <v>35</v>
      </c>
      <c r="E155" s="301"/>
      <c r="F155" s="301"/>
      <c r="G155" s="301"/>
      <c r="H155" s="228"/>
      <c r="I155" s="228"/>
      <c r="J155" s="111"/>
      <c r="K155" s="146"/>
      <c r="L155" s="303" t="s">
        <v>229</v>
      </c>
      <c r="M155" s="113" t="str">
        <f t="array" ref="M155">INDEX('アイテム'!$U$3:$V$115, MATCH($A$1,'アイテム'!$A$3:$A$115,0), MATCH(M$147,'アイテム'!$U$2:$AK$2,0))</f>
        <v>11</v>
      </c>
      <c r="N155" s="113">
        <f t="array" ref="N155">INDEX('アイテム'!$U$3:$V$115, MATCH($A$1,'アイテム'!$A$3:$A$115,0), MATCH(N$147,'アイテム'!$U$2:$AK$2,0))</f>
        <v>24</v>
      </c>
      <c r="O155" s="118"/>
      <c r="P155" s="118"/>
      <c r="Q155" s="118"/>
      <c r="R155" s="118"/>
      <c r="S155" s="118"/>
      <c r="T155" s="118"/>
      <c r="U155" s="118"/>
      <c r="V155" s="118"/>
    </row>
    <row r="156" outlineLevel="1">
      <c r="A156" s="146"/>
      <c r="B156" s="300" t="s">
        <v>246</v>
      </c>
      <c r="C156" s="113" t="str">
        <f t="array" ref="C156">INDEX('起きあがり'!$H$3:$I$115, MATCH($A$1,'起きあがり'!$A$3:$A$115,0), MATCH(C$144,'起きあがり'!$H$2:$AD$2,0))</f>
        <v>1-22</v>
      </c>
      <c r="D156" s="113">
        <f t="array" ref="D156">INDEX('起きあがり'!$H$3:$I$115, MATCH($A$1,'起きあがり'!$A$3:$A$115,0), MATCH(D$144,'起きあがり'!$H$2:$AD$2,0))</f>
        <v>35</v>
      </c>
      <c r="E156" s="301"/>
      <c r="F156" s="301"/>
      <c r="G156" s="301"/>
      <c r="H156" s="228"/>
      <c r="I156" s="228"/>
      <c r="J156" s="117"/>
      <c r="K156" s="146"/>
      <c r="L156" s="303" t="s">
        <v>233</v>
      </c>
      <c r="M156" s="113" t="str">
        <f t="array" ref="M156">INDEX('アイテム'!$W$3:$X$115, MATCH($A$1,'アイテム'!$A$3:$A$115,0), MATCH(M$147,'アイテム'!$W$2:$AK$2,0))</f>
        <v>12</v>
      </c>
      <c r="N156" s="113">
        <f t="array" ref="N156">INDEX('アイテム'!$W$3:$X$115, MATCH($A$1,'アイテム'!$A$3:$A$115,0), MATCH(N$147,'アイテム'!$W$2:$AK$2,0))</f>
        <v>23</v>
      </c>
      <c r="O156" s="118"/>
      <c r="P156" s="118"/>
      <c r="Q156" s="118"/>
      <c r="R156" s="118"/>
      <c r="S156" s="118"/>
      <c r="T156" s="118"/>
      <c r="U156" s="118"/>
      <c r="V156" s="118"/>
    </row>
    <row r="157" outlineLevel="1">
      <c r="A157" s="146"/>
      <c r="B157" s="300" t="s">
        <v>249</v>
      </c>
      <c r="C157" s="309" t="str">
        <f t="array" ref="C157">INDEX('起きあがり'!$J$3:$M$115, MATCH($A$1,'起きあがり'!$A$3:$A$115,0), MATCH(C$144,'起きあがり'!$J$2:$AD$2,0))</f>
        <v>1-25</v>
      </c>
      <c r="D157" s="310">
        <f t="array" ref="D157">INDEX('起きあがり'!$J$3:$M$115, MATCH($A$1,'起きあがり'!$A$3:$A$115,0), MATCH(D$144,'起きあがり'!$J$2:$AD$2,0))</f>
        <v>45</v>
      </c>
      <c r="E157" s="307" t="str">
        <f t="array" ref="E157">INDEX('起きあがり'!$J$3:$M$115, MATCH($A$1,'起きあがり'!$A$3:$A$115,0), MATCH(E$144,'起きあがり'!$J$2:$AD$2,0))</f>
        <v>15-16</v>
      </c>
      <c r="F157" s="308">
        <f t="array" ref="F157">INDEX('起きあがり'!$J$3:$M$115, MATCH($A$1,'起きあがり'!$A$3:$A$115,0), MATCH(F$144,'起きあがり'!$J$2:$AD$2,0))</f>
        <v>7</v>
      </c>
      <c r="G157" s="113">
        <f t="shared" ref="G157:G158" si="6">F157*1.2</f>
        <v>8.4</v>
      </c>
      <c r="H157" s="228"/>
      <c r="I157" s="228"/>
      <c r="J157" s="111"/>
      <c r="K157" s="156"/>
      <c r="L157" s="303" t="s">
        <v>234</v>
      </c>
      <c r="M157" s="113" t="str">
        <f t="array" ref="M157">INDEX('アイテム'!$Y$3:$Z$115, MATCH($A$1,'アイテム'!$A$3:$A$115,0), MATCH(M$147,'アイテム'!$Y$2:$AK$2,0))</f>
        <v>7</v>
      </c>
      <c r="N157" s="113">
        <f t="array" ref="N157">INDEX('アイテム'!$Y$3:$Z$115, MATCH($A$1,'アイテム'!$A$3:$A$115,0), MATCH(N$147,'アイテム'!$Y$2:$AK$2,0))</f>
        <v>19</v>
      </c>
      <c r="O157" s="111"/>
      <c r="P157" s="111"/>
      <c r="Q157" s="111"/>
      <c r="R157" s="111"/>
      <c r="S157" s="111"/>
      <c r="T157" s="111"/>
      <c r="U157" s="111"/>
      <c r="V157" s="111"/>
    </row>
    <row r="158" outlineLevel="1">
      <c r="A158" s="156"/>
      <c r="B158" s="311" t="s">
        <v>250</v>
      </c>
      <c r="C158" s="156"/>
      <c r="D158" s="156"/>
      <c r="E158" s="307" t="str">
        <f t="array" ref="E158">INDEX('起きあがり'!$N$3:$O$115, MATCH($A$1,'起きあがり'!$A$3:$A$115,0), MATCH(E$144,'起きあがり'!$N$2:$AD$2,0))</f>
        <v>24-25</v>
      </c>
      <c r="F158" s="308">
        <f t="array" ref="F158">INDEX('起きあがり'!$N$3:$O$115, MATCH($A$1,'起きあがり'!$A$3:$A$115,0), MATCH(F$144,'起きあがり'!$N$2:$AD$2,0))</f>
        <v>7</v>
      </c>
      <c r="G158" s="113">
        <f t="shared" si="6"/>
        <v>8.4</v>
      </c>
      <c r="H158" s="228"/>
      <c r="I158" s="228"/>
      <c r="J158" s="111"/>
      <c r="K158" s="312" t="s">
        <v>5390</v>
      </c>
      <c r="L158" s="168"/>
      <c r="M158" s="298" t="s">
        <v>49</v>
      </c>
      <c r="N158" s="114"/>
      <c r="O158" s="111"/>
      <c r="P158" s="111"/>
      <c r="Q158" s="111"/>
      <c r="R158" s="111"/>
      <c r="S158" s="111"/>
      <c r="T158" s="111"/>
      <c r="U158" s="111"/>
      <c r="V158" s="111"/>
    </row>
    <row r="159" outlineLevel="1">
      <c r="A159" s="299" t="s">
        <v>251</v>
      </c>
      <c r="B159" s="300" t="s">
        <v>248</v>
      </c>
      <c r="C159" s="301"/>
      <c r="D159" s="307" t="str">
        <f t="array" ref="D159">INDEX('起きあがり'!$C$3:$C$115, MATCH($A$1,'起きあがり'!$A$3:$A$115,0), MATCH(D$144,'起きあがり'!$C$2:$AD$2,0))</f>
        <v>25</v>
      </c>
      <c r="E159" s="301"/>
      <c r="F159" s="301"/>
      <c r="G159" s="301"/>
      <c r="H159" s="228"/>
      <c r="I159" s="228"/>
      <c r="J159" s="117"/>
      <c r="K159" s="313" t="s">
        <v>693</v>
      </c>
      <c r="L159" s="314" t="s">
        <v>693</v>
      </c>
      <c r="M159" s="113" t="str">
        <f t="array" ref="M159">INDEX('共通動作その他'!$C$3:$C$102, MATCH($A$1,'共通動作その他'!$A$3:$A$102,0), MATCH(M$158,'共通動作その他'!$C$2:$AA$2,0))</f>
        <v>-</v>
      </c>
      <c r="N159" s="315"/>
      <c r="O159" s="111"/>
      <c r="P159" s="111"/>
      <c r="Q159" s="111"/>
      <c r="R159" s="111"/>
      <c r="S159" s="111"/>
      <c r="T159" s="111"/>
      <c r="U159" s="111"/>
      <c r="V159" s="111"/>
    </row>
    <row r="160" outlineLevel="1">
      <c r="A160" s="146"/>
      <c r="B160" s="300" t="s">
        <v>216</v>
      </c>
      <c r="C160" s="307" t="str">
        <f t="array" ref="C160">INDEX('起きあがり'!$P$3:$Q$115, MATCH($A$1,'起きあがり'!$A$3:$A$115,0), MATCH(C$144,'起きあがり'!$P$2:$AD$2,0))</f>
        <v>1-22</v>
      </c>
      <c r="D160" s="308">
        <f t="array" ref="D160">INDEX('起きあがり'!$P$3:$Q$115, MATCH($A$1,'起きあがり'!$A$3:$A$115,0), MATCH(D$144,'起きあがり'!$P$2:$AD$2,0))</f>
        <v>29</v>
      </c>
      <c r="E160" s="301"/>
      <c r="F160" s="301"/>
      <c r="G160" s="301"/>
      <c r="H160" s="228"/>
      <c r="I160" s="228"/>
      <c r="J160" s="111"/>
      <c r="K160" s="305" t="s">
        <v>2602</v>
      </c>
      <c r="L160" s="314" t="s">
        <v>5391</v>
      </c>
      <c r="M160" s="113" t="str">
        <f t="array" ref="M160">INDEX('共通動作その他'!$D$3:$D$102, MATCH($A$1,'共通動作その他'!$A$3:$A$102,0), MATCH(M$158,'共通動作その他'!$D$2:$AA$2,0))</f>
        <v>-</v>
      </c>
      <c r="N160" s="315"/>
      <c r="O160" s="228"/>
      <c r="P160" s="228"/>
      <c r="Q160" s="228"/>
      <c r="R160" s="228"/>
      <c r="S160" s="228"/>
      <c r="T160" s="228"/>
      <c r="U160" s="228"/>
      <c r="V160" s="228"/>
    </row>
    <row r="161" outlineLevel="1">
      <c r="A161" s="146"/>
      <c r="B161" s="300" t="s">
        <v>245</v>
      </c>
      <c r="C161" s="307" t="str">
        <f t="array" ref="C161">INDEX('起きあがり'!$R$3:$S$115, MATCH($A$1,'起きあがり'!$A$3:$A$115,0), MATCH(C$144,'起きあがり'!$R$2:$AD$2,0))</f>
        <v>1-19</v>
      </c>
      <c r="D161" s="308">
        <f t="array" ref="D161">INDEX('起きあがり'!$R$3:$S$115, MATCH($A$1,'起きあがり'!$A$3:$A$115,0), MATCH(D$144,'起きあがり'!$R$2:$AD$2,0))</f>
        <v>35</v>
      </c>
      <c r="E161" s="301"/>
      <c r="F161" s="301"/>
      <c r="G161" s="301"/>
      <c r="H161" s="228"/>
      <c r="I161" s="228"/>
      <c r="J161" s="117"/>
      <c r="K161" s="146"/>
      <c r="L161" s="314" t="s">
        <v>5392</v>
      </c>
      <c r="M161" s="113" t="str">
        <f t="array" ref="M161">INDEX('共通動作その他'!$E$3:$E$102, MATCH($A$1,'共通動作その他'!$A$3:$A$102,0), MATCH(M$158,'共通動作その他'!$E$2:$AA$2,0))</f>
        <v>-</v>
      </c>
      <c r="N161" s="102"/>
      <c r="O161" s="118"/>
      <c r="P161" s="118"/>
      <c r="Q161" s="118"/>
      <c r="R161" s="118"/>
      <c r="S161" s="118"/>
      <c r="T161" s="118"/>
      <c r="U161" s="118"/>
      <c r="V161" s="118"/>
    </row>
    <row r="162" outlineLevel="1">
      <c r="A162" s="146"/>
      <c r="B162" s="300" t="s">
        <v>246</v>
      </c>
      <c r="C162" s="307" t="str">
        <f t="array" ref="C162">INDEX('起きあがり'!$T$3:$U$115, MATCH($A$1,'起きあがり'!$A$3:$A$115,0), MATCH(C$144,'起きあがり'!$T$2:$AD$2,0))</f>
        <v>1-24</v>
      </c>
      <c r="D162" s="308">
        <f t="array" ref="D162">INDEX('起きあがり'!$T$3:$U$115, MATCH($A$1,'起きあがり'!$A$3:$A$115,0), MATCH(D$144,'起きあがり'!$T$2:$AD$2,0))</f>
        <v>35</v>
      </c>
      <c r="E162" s="301"/>
      <c r="F162" s="301"/>
      <c r="G162" s="301"/>
      <c r="H162" s="228"/>
      <c r="I162" s="228"/>
      <c r="J162" s="111"/>
      <c r="K162" s="146"/>
      <c r="L162" s="314" t="s">
        <v>5393</v>
      </c>
      <c r="M162" s="113" t="str">
        <f t="array" ref="M162">INDEX('共通動作その他'!$F$3:$F$102, MATCH($A$1,'共通動作その他'!$A$3:$A$102,0), MATCH(M$158,'共通動作その他'!$F$2:$AA$2,0))</f>
        <v>-</v>
      </c>
      <c r="N162" s="102"/>
      <c r="O162" s="118"/>
      <c r="P162" s="118"/>
      <c r="Q162" s="118"/>
      <c r="R162" s="118"/>
      <c r="S162" s="118"/>
      <c r="T162" s="118"/>
      <c r="U162" s="118"/>
      <c r="V162" s="118"/>
    </row>
    <row r="163" outlineLevel="1">
      <c r="A163" s="146"/>
      <c r="B163" s="300" t="s">
        <v>249</v>
      </c>
      <c r="C163" s="309" t="str">
        <f t="array" ref="C163">INDEX('起きあがり'!$V$3:$Y$115, MATCH($A$1,'起きあがり'!$A$3:$A$115,0), MATCH(C$144,'起きあがり'!$V$2:$AD$2,0))</f>
        <v>1-25</v>
      </c>
      <c r="D163" s="310">
        <f t="array" ref="D163">INDEX('起きあがり'!$V$3:$Y$115, MATCH($A$1,'起きあがり'!$A$3:$A$115,0), MATCH(D$144,'起きあがり'!$V$2:$AD$2,0))</f>
        <v>45</v>
      </c>
      <c r="E163" s="307" t="str">
        <f t="array" ref="E163">INDEX('起きあがり'!$V$3:$Y$115, MATCH($A$1,'起きあがり'!$A$3:$A$115,0), MATCH(E$144,'起きあがり'!$V$2:$AD$2,0))</f>
        <v>15-16</v>
      </c>
      <c r="F163" s="308">
        <f t="array" ref="F163">INDEX('起きあがり'!$V$3:$Y$115, MATCH($A$1,'起きあがり'!$A$3:$A$115,0), MATCH(F$144,'起きあがり'!$V$2:$AD$2,0))</f>
        <v>7</v>
      </c>
      <c r="G163" s="113">
        <f t="shared" ref="G163:G164" si="7">F163*1.2</f>
        <v>8.4</v>
      </c>
      <c r="H163" s="228"/>
      <c r="I163" s="228"/>
      <c r="J163" s="117"/>
      <c r="K163" s="146"/>
      <c r="L163" s="314" t="s">
        <v>5394</v>
      </c>
      <c r="M163" s="113" t="str">
        <f t="array" ref="M163">INDEX('共通動作その他'!$G$3:$G$102, MATCH($A$1,'共通動作その他'!$A$3:$A$102,0), MATCH(M$158,'共通動作その他'!$G$2:$AA$2,0))</f>
        <v>-</v>
      </c>
      <c r="N163" s="102"/>
      <c r="O163" s="118"/>
      <c r="P163" s="118"/>
      <c r="Q163" s="118"/>
      <c r="R163" s="118"/>
      <c r="S163" s="118"/>
      <c r="T163" s="118"/>
      <c r="U163" s="118"/>
      <c r="V163" s="118"/>
    </row>
    <row r="164" outlineLevel="1">
      <c r="A164" s="156"/>
      <c r="B164" s="311" t="s">
        <v>250</v>
      </c>
      <c r="C164" s="156"/>
      <c r="D164" s="156"/>
      <c r="E164" s="307" t="str">
        <f t="array" ref="E164">INDEX('起きあがり'!$Z$3:$AA$115, MATCH($A$1,'起きあがり'!$A$3:$A$115,0), MATCH(E$144,'起きあがり'!$Z$2:$AD$2,0))</f>
        <v>24-25</v>
      </c>
      <c r="F164" s="308">
        <f t="array" ref="F164">INDEX('起きあがり'!$Z$3:$AA$115, MATCH($A$1,'起きあがり'!$A$3:$A$115,0), MATCH(F$144,'起きあがり'!$Z$2:$AD$2,0))</f>
        <v>7</v>
      </c>
      <c r="G164" s="113">
        <f t="shared" si="7"/>
        <v>8.4</v>
      </c>
      <c r="H164" s="228"/>
      <c r="I164" s="228"/>
      <c r="J164" s="117"/>
      <c r="K164" s="304" t="s">
        <v>5395</v>
      </c>
      <c r="L164" s="110"/>
      <c r="M164" s="298" t="s">
        <v>49</v>
      </c>
      <c r="N164" s="102"/>
      <c r="O164" s="118"/>
      <c r="P164" s="118"/>
      <c r="Q164" s="118"/>
      <c r="R164" s="118"/>
      <c r="S164" s="118"/>
      <c r="T164" s="118"/>
      <c r="U164" s="118"/>
      <c r="V164" s="118"/>
    </row>
    <row r="165" outlineLevel="1">
      <c r="A165" s="299" t="s">
        <v>252</v>
      </c>
      <c r="B165" s="300" t="s">
        <v>253</v>
      </c>
      <c r="C165" s="307" t="str">
        <f t="array" ref="C165">INDEX('転倒'!$C$3:$D$115, MATCH($A$1,'転倒'!$A$3:$A$115,0), MATCH(C$144,'転倒'!$C$2:$AC$2,0))</f>
        <v>1-5</v>
      </c>
      <c r="D165" s="308">
        <f t="array" ref="D165">INDEX('転倒'!$C$3:$D$115, MATCH($A$1,'転倒'!$A$3:$A$115,0), MATCH(D$144,'転倒'!$C$2:$AC$2,0))</f>
        <v>29</v>
      </c>
      <c r="E165" s="301"/>
      <c r="F165" s="301"/>
      <c r="G165" s="301"/>
      <c r="H165" s="228"/>
      <c r="I165" s="228"/>
      <c r="J165" s="111"/>
      <c r="K165" s="313" t="s">
        <v>5396</v>
      </c>
      <c r="L165" s="306" t="s">
        <v>5397</v>
      </c>
      <c r="M165" s="113" t="str">
        <f t="array" ref="M165">INDEX('共通動作その他'!$H$3:$H$102, MATCH($A$1,'共通動作その他'!$A$3:$A$102,0), MATCH(M$164,'共通動作その他'!$H$2:$AA$2,0))</f>
        <v>-</v>
      </c>
      <c r="N165" s="315"/>
      <c r="O165" s="118"/>
      <c r="P165" s="118"/>
      <c r="Q165" s="118"/>
      <c r="R165" s="118"/>
      <c r="S165" s="118"/>
      <c r="T165" s="118"/>
      <c r="U165" s="118"/>
      <c r="V165" s="118"/>
    </row>
    <row r="166" outlineLevel="1">
      <c r="A166" s="146"/>
      <c r="B166" s="300" t="s">
        <v>254</v>
      </c>
      <c r="C166" s="307" t="str">
        <f t="array" ref="C166">INDEX('転倒'!$E$3:$F$115, MATCH($A$1,'転倒'!$A$3:$A$115,0), MATCH(C$144,'転倒'!$E$2:$AC$2,0))</f>
        <v>1-5</v>
      </c>
      <c r="D166" s="308">
        <f t="array" ref="D166">INDEX('転倒'!$E$3:$F$115, MATCH($A$1,'転倒'!$A$3:$A$115,0), MATCH(D$144,'転倒'!$E$2:$AC$2,0))</f>
        <v>39</v>
      </c>
      <c r="E166" s="301"/>
      <c r="F166" s="301"/>
      <c r="G166" s="301"/>
      <c r="H166" s="228"/>
      <c r="I166" s="228"/>
      <c r="J166" s="117"/>
      <c r="K166" s="313" t="s">
        <v>5398</v>
      </c>
      <c r="L166" s="306" t="s">
        <v>5397</v>
      </c>
      <c r="M166" s="113" t="str">
        <f t="array" ref="M166">INDEX('共通動作その他'!$I$3:$I$102, MATCH($A$1,'共通動作その他'!$A$3:$A$102,0), MATCH(M$164,'共通動作その他'!$I$2:$AA$2,0))</f>
        <v>-</v>
      </c>
      <c r="N166" s="315"/>
      <c r="O166" s="118"/>
      <c r="P166" s="118"/>
      <c r="Q166" s="118"/>
      <c r="R166" s="118"/>
      <c r="S166" s="118"/>
      <c r="T166" s="118"/>
      <c r="U166" s="118"/>
      <c r="V166" s="118"/>
    </row>
    <row r="167" outlineLevel="1">
      <c r="A167" s="146"/>
      <c r="B167" s="300" t="s">
        <v>216</v>
      </c>
      <c r="C167" s="307" t="str">
        <f t="array" ref="C167">INDEX('転倒'!$G$3:$H$115, MATCH($A$1,'転倒'!$A$3:$A$115,0), MATCH(C$144,'転倒'!$G$2:$AC$2,0))</f>
        <v>1-16</v>
      </c>
      <c r="D167" s="308">
        <f t="array" ref="D167">INDEX('転倒'!$G$3:$H$115, MATCH($A$1,'転倒'!$A$3:$A$115,0), MATCH(D$144,'転倒'!$G$2:$AC$2,0))</f>
        <v>21</v>
      </c>
      <c r="E167" s="301"/>
      <c r="F167" s="301"/>
      <c r="G167" s="301"/>
      <c r="H167" s="228"/>
      <c r="I167" s="228"/>
      <c r="J167" s="111"/>
      <c r="K167" s="304" t="s">
        <v>5399</v>
      </c>
      <c r="L167" s="110"/>
      <c r="M167" s="298" t="s">
        <v>49</v>
      </c>
      <c r="N167" s="102"/>
      <c r="O167" s="118"/>
      <c r="P167" s="118"/>
      <c r="Q167" s="118"/>
      <c r="R167" s="118"/>
      <c r="S167" s="118"/>
      <c r="T167" s="118"/>
      <c r="U167" s="118"/>
      <c r="V167" s="118"/>
    </row>
    <row r="168" outlineLevel="1">
      <c r="A168" s="146"/>
      <c r="B168" s="300" t="s">
        <v>245</v>
      </c>
      <c r="C168" s="307" t="str">
        <f t="array" ref="C168">INDEX('転倒'!$I$3:$J$115, MATCH($A$1,'転倒'!$A$3:$A$115,0), MATCH(C$144,'転倒'!$I$2:$AC$2,0))</f>
        <v>1-9</v>
      </c>
      <c r="D168" s="308">
        <f t="array" ref="D168">INDEX('転倒'!$I$3:$J$115, MATCH($A$1,'転倒'!$A$3:$A$115,0), MATCH(D$144,'転倒'!$I$2:$AC$2,0))</f>
        <v>28</v>
      </c>
      <c r="E168" s="301"/>
      <c r="F168" s="301"/>
      <c r="G168" s="301"/>
      <c r="H168" s="228"/>
      <c r="I168" s="228"/>
      <c r="J168" s="228"/>
      <c r="K168" s="316"/>
      <c r="L168" s="317"/>
      <c r="M168" s="113" t="str">
        <f t="array" ref="M168">INDEX('共通動作その他'!$J$3:$J$102, MATCH($A$1,'共通動作その他'!$A$3:$A$102,0), MATCH(M$167,'共通動作その他'!$J$2:$AA$2,0))</f>
        <v>-</v>
      </c>
      <c r="N168" s="102"/>
      <c r="O168" s="118"/>
      <c r="P168" s="118"/>
      <c r="Q168" s="118"/>
      <c r="R168" s="118"/>
      <c r="S168" s="118"/>
      <c r="T168" s="118"/>
      <c r="U168" s="118"/>
      <c r="V168" s="118"/>
    </row>
    <row r="169" outlineLevel="1">
      <c r="A169" s="146"/>
      <c r="B169" s="300" t="s">
        <v>246</v>
      </c>
      <c r="C169" s="307" t="str">
        <f t="array" ref="C169">INDEX('転倒'!$K$3:$L$115, MATCH($A$1,'転倒'!$A$3:$A$115,0), MATCH(C$144,'転倒'!$K$2:$AC$2,0))</f>
        <v>1-9</v>
      </c>
      <c r="D169" s="308">
        <f t="array" ref="D169">INDEX('転倒'!$K$3:$L$115, MATCH($A$1,'転倒'!$A$3:$A$115,0), MATCH(D$144,'転倒'!$K$2:$AC$2,0))</f>
        <v>28</v>
      </c>
      <c r="E169" s="301"/>
      <c r="F169" s="301"/>
      <c r="G169" s="301"/>
      <c r="H169" s="228"/>
      <c r="I169" s="228"/>
      <c r="J169" s="228"/>
      <c r="K169" s="102"/>
      <c r="L169" s="118"/>
      <c r="M169" s="118"/>
      <c r="N169" s="102"/>
      <c r="O169" s="118"/>
      <c r="P169" s="118"/>
      <c r="Q169" s="118"/>
      <c r="R169" s="118"/>
      <c r="S169" s="118"/>
      <c r="T169" s="118"/>
      <c r="U169" s="118"/>
      <c r="V169" s="118"/>
    </row>
    <row r="170" outlineLevel="1">
      <c r="A170" s="146"/>
      <c r="B170" s="300" t="s">
        <v>249</v>
      </c>
      <c r="C170" s="309" t="str">
        <f t="array" ref="C170">INDEX('転倒'!$M$3:$P$115, MATCH($A$1,'転倒'!$A$3:$A$115,0), MATCH(C$144,'転倒'!$M$2:$AC$2,0))</f>
        <v>1-7</v>
      </c>
      <c r="D170" s="310">
        <f t="array" ref="D170">INDEX('転倒'!$M$3:$P$115, MATCH($A$1,'転倒'!$A$3:$A$115,0), MATCH(D$144,'転倒'!$M$2:$AC$2,0))</f>
        <v>49</v>
      </c>
      <c r="E170" s="307" t="str">
        <f t="array" ref="E170">INDEX('転倒'!$M$3:$P$115, MATCH($A$1,'転倒'!$A$3:$A$115,0), MATCH(E$144,'転倒'!$M$2:$AC$2,0))</f>
        <v>19-20</v>
      </c>
      <c r="F170" s="308">
        <f t="array" ref="F170">INDEX('転倒'!$M$3:$P$115, MATCH($A$1,'転倒'!$A$3:$A$115,0), MATCH(F$144,'転倒'!$M$2:$AC$2,0))</f>
        <v>5</v>
      </c>
      <c r="G170" s="113">
        <f t="shared" ref="G170:G171" si="8">F170*1.2</f>
        <v>6</v>
      </c>
      <c r="H170" s="228"/>
      <c r="I170" s="228"/>
      <c r="J170" s="228"/>
      <c r="K170" s="118"/>
      <c r="L170" s="118"/>
      <c r="M170" s="118"/>
      <c r="N170" s="102"/>
      <c r="O170" s="102"/>
      <c r="P170" s="102"/>
      <c r="Q170" s="102"/>
      <c r="R170" s="118"/>
      <c r="S170" s="118"/>
      <c r="T170" s="118"/>
      <c r="U170" s="118"/>
      <c r="V170" s="118"/>
    </row>
    <row r="171" outlineLevel="1">
      <c r="A171" s="156"/>
      <c r="B171" s="311" t="s">
        <v>250</v>
      </c>
      <c r="C171" s="156"/>
      <c r="D171" s="156"/>
      <c r="E171" s="307" t="str">
        <f t="array" ref="E171">INDEX('転倒'!$Q$3:$R$115, MATCH($A$1,'転倒'!$A$3:$A$115,0), MATCH(E$144,'転倒'!$Q$2:$AC$2,0))</f>
        <v>31-32</v>
      </c>
      <c r="F171" s="308">
        <f t="array" ref="F171">INDEX('転倒'!$Q$3:$R$115, MATCH($A$1,'転倒'!$A$3:$A$115,0), MATCH(F$144,'転倒'!$Q$2:$AC$2,0))</f>
        <v>5</v>
      </c>
      <c r="G171" s="113">
        <f t="shared" si="8"/>
        <v>6</v>
      </c>
      <c r="H171" s="228"/>
      <c r="I171" s="228"/>
      <c r="J171" s="228"/>
      <c r="K171" s="118"/>
      <c r="L171" s="118"/>
      <c r="M171" s="118"/>
      <c r="N171" s="102"/>
      <c r="O171" s="102"/>
      <c r="P171" s="102"/>
      <c r="Q171" s="102"/>
      <c r="R171" s="118"/>
      <c r="S171" s="118"/>
      <c r="T171" s="118"/>
      <c r="U171" s="118"/>
      <c r="V171" s="118"/>
    </row>
    <row r="172" outlineLevel="1">
      <c r="A172" s="319"/>
      <c r="B172" s="320"/>
      <c r="C172" s="321"/>
      <c r="D172" s="321"/>
      <c r="E172" s="322"/>
      <c r="F172" s="322"/>
      <c r="G172" s="114"/>
      <c r="H172" s="228"/>
      <c r="I172" s="228"/>
      <c r="J172" s="228"/>
      <c r="K172" s="118"/>
      <c r="L172" s="118"/>
      <c r="M172" s="118"/>
      <c r="N172" s="102"/>
      <c r="O172" s="102"/>
      <c r="P172" s="102"/>
      <c r="Q172" s="102"/>
      <c r="R172" s="118"/>
      <c r="S172" s="118"/>
      <c r="T172" s="118"/>
      <c r="U172" s="118"/>
      <c r="V172" s="118"/>
    </row>
    <row r="173" outlineLevel="1">
      <c r="A173" s="323" t="s">
        <v>255</v>
      </c>
      <c r="B173" s="109"/>
      <c r="C173" s="321"/>
      <c r="D173" s="321"/>
      <c r="E173" s="322"/>
      <c r="F173" s="322"/>
      <c r="G173" s="114"/>
      <c r="H173" s="228"/>
      <c r="I173" s="228"/>
      <c r="J173" s="228"/>
      <c r="K173" s="118"/>
      <c r="L173" s="118"/>
      <c r="M173" s="118"/>
      <c r="N173" s="102"/>
      <c r="O173" s="102"/>
      <c r="P173" s="102"/>
      <c r="Q173" s="102"/>
      <c r="R173" s="118"/>
      <c r="S173" s="118"/>
      <c r="T173" s="118"/>
      <c r="U173" s="118"/>
      <c r="V173" s="118"/>
    </row>
    <row r="174" outlineLevel="1">
      <c r="A174" s="324" t="s">
        <v>256</v>
      </c>
      <c r="B174" s="109"/>
      <c r="C174" s="325" t="s">
        <v>257</v>
      </c>
      <c r="D174" s="325" t="s">
        <v>49</v>
      </c>
      <c r="E174" s="322"/>
      <c r="F174" s="322"/>
      <c r="G174" s="114"/>
      <c r="H174" s="228"/>
      <c r="I174" s="228"/>
      <c r="J174" s="228"/>
      <c r="K174" s="118"/>
      <c r="L174" s="118"/>
      <c r="M174" s="118"/>
      <c r="N174" s="102"/>
      <c r="O174" s="102"/>
      <c r="P174" s="102"/>
      <c r="Q174" s="102"/>
      <c r="R174" s="118"/>
      <c r="S174" s="118"/>
      <c r="T174" s="118"/>
      <c r="U174" s="118"/>
      <c r="V174" s="118"/>
    </row>
    <row r="175" outlineLevel="1">
      <c r="A175" s="326" t="s">
        <v>258</v>
      </c>
      <c r="B175" s="327" t="s">
        <v>216</v>
      </c>
      <c r="C175" s="328" t="str">
        <f t="array" ref="C175">INDEX('アイテム'!$C$3:$D$114, MATCH($A$1,'アイテム'!$A$3:$A$114,0), MATCH(C174,'アイテム'!$C$2:$AQ$2,0))</f>
        <v>2</v>
      </c>
      <c r="D175" s="328">
        <f t="array" ref="D175">INDEX('アイテム'!$C$3:$D$114, MATCH($A$1,'アイテム'!$A$3:$A$114,0), MATCH(D174,'アイテム'!$C$2:$AQ$2,0))</f>
        <v>7</v>
      </c>
      <c r="E175" s="322"/>
      <c r="F175" s="322"/>
      <c r="G175" s="114"/>
      <c r="H175" s="228"/>
      <c r="I175" s="228"/>
      <c r="J175" s="228"/>
      <c r="K175" s="118"/>
      <c r="L175" s="118"/>
      <c r="M175" s="118"/>
      <c r="N175" s="102"/>
      <c r="O175" s="102"/>
      <c r="P175" s="102"/>
      <c r="Q175" s="102"/>
      <c r="R175" s="118"/>
      <c r="S175" s="118"/>
      <c r="T175" s="118"/>
      <c r="U175" s="118"/>
      <c r="V175" s="118"/>
    </row>
    <row r="176" outlineLevel="1">
      <c r="A176" s="156"/>
      <c r="B176" s="327" t="s">
        <v>219</v>
      </c>
      <c r="C176" s="328" t="str">
        <f t="array" ref="C176">INDEX('アイテム'!$E$3:$F$114, MATCH($A$1,'アイテム'!$A$3:$A$114,0), MATCH(C174,'アイテム'!$C$2:$AQ$2,0))</f>
        <v>2</v>
      </c>
      <c r="D176" s="328">
        <f t="array" ref="D176">INDEX('アイテム'!$E$3:$F$114, MATCH($A$1,'アイテム'!$A$3:$A$114,0), MATCH(D174,'アイテム'!$C$2:$AQ$2,0))</f>
        <v>19</v>
      </c>
      <c r="E176" s="322"/>
      <c r="F176" s="322"/>
      <c r="G176" s="114"/>
      <c r="H176" s="228"/>
      <c r="I176" s="228"/>
      <c r="J176" s="228"/>
      <c r="K176" s="118"/>
      <c r="L176" s="118"/>
      <c r="M176" s="118"/>
      <c r="N176" s="102"/>
      <c r="O176" s="102"/>
      <c r="P176" s="102"/>
      <c r="Q176" s="102"/>
      <c r="R176" s="118"/>
      <c r="S176" s="118"/>
      <c r="T176" s="118"/>
      <c r="U176" s="118"/>
      <c r="V176" s="118"/>
    </row>
    <row r="177" outlineLevel="1">
      <c r="A177" s="329" t="s">
        <v>259</v>
      </c>
      <c r="B177" s="327" t="s">
        <v>216</v>
      </c>
      <c r="C177" s="328">
        <f t="array" ref="C177">INDEX('アイテム'!$AA$3:$AB$114, MATCH($A$1,'アイテム'!$A$3:$A$114,0), MATCH(C174,'アイテム'!$C$2:$AQ$2,0))</f>
        <v>3</v>
      </c>
      <c r="D177" s="328" t="str">
        <f t="array" ref="D177">INDEX('アイテム'!$AA$3:$AB$114, MATCH($A$1,'アイテム'!$A$3:$A$114,0), MATCH(D174,'アイテム'!$C$2:$AQ$2,0))</f>
        <v>12</v>
      </c>
      <c r="E177" s="322"/>
      <c r="F177" s="322"/>
      <c r="G177" s="114"/>
      <c r="H177" s="228"/>
      <c r="I177" s="228"/>
      <c r="J177" s="228"/>
      <c r="K177" s="118"/>
      <c r="L177" s="118"/>
      <c r="M177" s="118"/>
      <c r="N177" s="102"/>
      <c r="O177" s="102"/>
      <c r="P177" s="102"/>
      <c r="Q177" s="102"/>
      <c r="R177" s="118"/>
      <c r="S177" s="118"/>
      <c r="T177" s="118"/>
      <c r="U177" s="118"/>
      <c r="V177" s="118"/>
    </row>
    <row r="178" outlineLevel="1">
      <c r="A178" s="324" t="s">
        <v>260</v>
      </c>
      <c r="B178" s="109"/>
      <c r="C178" s="325" t="s">
        <v>261</v>
      </c>
      <c r="D178" s="325" t="s">
        <v>49</v>
      </c>
      <c r="E178" s="322"/>
      <c r="F178" s="322"/>
      <c r="G178" s="114"/>
      <c r="H178" s="228"/>
      <c r="I178" s="228"/>
      <c r="J178" s="228"/>
      <c r="K178" s="118"/>
      <c r="L178" s="118"/>
      <c r="M178" s="118"/>
      <c r="N178" s="102"/>
      <c r="O178" s="102"/>
      <c r="P178" s="102"/>
      <c r="Q178" s="102"/>
      <c r="R178" s="118"/>
      <c r="S178" s="118"/>
      <c r="T178" s="118"/>
      <c r="U178" s="118"/>
      <c r="V178" s="118"/>
    </row>
    <row r="179" outlineLevel="1">
      <c r="A179" s="326" t="s">
        <v>262</v>
      </c>
      <c r="B179" s="327" t="s">
        <v>226</v>
      </c>
      <c r="C179" s="328" t="str">
        <f t="array" ref="C179">INDEX('アイテム'!$G$3:$H$114, MATCH($A$1,'アイテム'!$A$3:$A$114,0), MATCH(C174,'アイテム'!$C$2:$AQ$2,0))</f>
        <v>8</v>
      </c>
      <c r="D179" s="328">
        <f t="array" ref="D179">INDEX('アイテム'!$G$3:$H$114, MATCH($A$1,'アイテム'!$A$3:$A$114,0), MATCH(D174,'アイテム'!$C$2:$AQ$2,0))</f>
        <v>24</v>
      </c>
      <c r="E179" s="322"/>
      <c r="F179" s="322"/>
      <c r="G179" s="114"/>
      <c r="H179" s="228"/>
      <c r="I179" s="228"/>
      <c r="J179" s="228"/>
      <c r="K179" s="118"/>
      <c r="L179" s="118"/>
      <c r="M179" s="118"/>
      <c r="N179" s="102"/>
      <c r="O179" s="102"/>
      <c r="P179" s="102"/>
      <c r="Q179" s="102"/>
      <c r="R179" s="118"/>
      <c r="S179" s="118"/>
      <c r="T179" s="118"/>
      <c r="U179" s="118"/>
      <c r="V179" s="118"/>
    </row>
    <row r="180" outlineLevel="1">
      <c r="A180" s="146"/>
      <c r="B180" s="327" t="s">
        <v>229</v>
      </c>
      <c r="C180" s="328" t="str">
        <f t="array" ref="C180">INDEX('アイテム'!$I$3:$J$114, MATCH($A$1,'アイテム'!$A$3:$A$114,0), MATCH(C174,'アイテム'!$C$2:$AQ$2,0))</f>
        <v>11</v>
      </c>
      <c r="D180" s="328">
        <f t="array" ref="D180">INDEX('アイテム'!$I$3:$J$114, MATCH($A$1,'アイテム'!$A$3:$A$114,0), MATCH(D174,'アイテム'!$C$2:$AQ$2,0))</f>
        <v>24</v>
      </c>
      <c r="E180" s="322"/>
      <c r="F180" s="322"/>
      <c r="G180" s="114"/>
      <c r="H180" s="228"/>
      <c r="I180" s="228"/>
      <c r="J180" s="228"/>
      <c r="K180" s="118"/>
      <c r="L180" s="118"/>
      <c r="M180" s="118"/>
      <c r="N180" s="102"/>
      <c r="O180" s="102"/>
      <c r="P180" s="102"/>
      <c r="Q180" s="102"/>
      <c r="R180" s="118"/>
      <c r="S180" s="118"/>
      <c r="T180" s="118"/>
      <c r="U180" s="118"/>
      <c r="V180" s="118"/>
    </row>
    <row r="181" outlineLevel="1">
      <c r="A181" s="146"/>
      <c r="B181" s="327" t="s">
        <v>233</v>
      </c>
      <c r="C181" s="328" t="str">
        <f t="array" ref="C181">INDEX('アイテム'!$K$3:$L$114, MATCH($A$1,'アイテム'!$A$3:$A$114,0), MATCH(C174,'アイテム'!$C$2:$AQ$2,0))</f>
        <v>12</v>
      </c>
      <c r="D181" s="328">
        <f t="array" ref="D181">INDEX('アイテム'!$K$3:$L$114, MATCH($A$1,'アイテム'!$A$3:$A$114,0), MATCH(D174,'アイテム'!$C$2:$AQ$2,0))</f>
        <v>23</v>
      </c>
      <c r="E181" s="322"/>
      <c r="F181" s="322"/>
      <c r="G181" s="114"/>
      <c r="H181" s="228"/>
      <c r="I181" s="228"/>
      <c r="J181" s="228"/>
      <c r="K181" s="118"/>
      <c r="L181" s="118"/>
      <c r="M181" s="118"/>
      <c r="N181" s="102"/>
      <c r="O181" s="102"/>
      <c r="P181" s="102"/>
      <c r="Q181" s="102"/>
      <c r="R181" s="118"/>
      <c r="S181" s="118"/>
      <c r="T181" s="118"/>
      <c r="U181" s="118"/>
      <c r="V181" s="118"/>
    </row>
    <row r="182" outlineLevel="1">
      <c r="A182" s="146"/>
      <c r="B182" s="327" t="s">
        <v>234</v>
      </c>
      <c r="C182" s="328" t="str">
        <f t="array" ref="C182">INDEX('アイテム'!$M$3:$N$114, MATCH($A$1,'アイテム'!$A$3:$A$114,0), MATCH(C174,'アイテム'!$C$2:$AQ$2,0))</f>
        <v>7</v>
      </c>
      <c r="D182" s="328">
        <f t="array" ref="D182">INDEX('アイテム'!$M$3:$N$114, MATCH($A$1,'アイテム'!$A$3:$A$114,0), MATCH(D174,'アイテム'!$C$2:$AQ$2,0))</f>
        <v>19</v>
      </c>
      <c r="E182" s="322"/>
      <c r="F182" s="322"/>
      <c r="G182" s="114"/>
      <c r="H182" s="228"/>
      <c r="I182" s="228"/>
      <c r="J182" s="228"/>
      <c r="K182" s="118"/>
      <c r="L182" s="118"/>
      <c r="M182" s="118"/>
      <c r="N182" s="102"/>
      <c r="O182" s="102"/>
      <c r="P182" s="102"/>
      <c r="Q182" s="102"/>
      <c r="R182" s="118"/>
      <c r="S182" s="118"/>
      <c r="T182" s="118"/>
      <c r="U182" s="118"/>
      <c r="V182" s="118"/>
    </row>
    <row r="183" outlineLevel="1">
      <c r="A183" s="146"/>
      <c r="B183" s="327" t="s">
        <v>219</v>
      </c>
      <c r="C183" s="328" t="str">
        <f t="array" ref="C183">INDEX('アイテム'!$O$3:$P$114, MATCH($A$1,'アイテム'!$A$3:$A$114,0), MATCH(C174,'アイテム'!$C$2:$AQ$2,0))</f>
        <v>5</v>
      </c>
      <c r="D183" s="328">
        <f t="array" ref="D183">INDEX('アイテム'!$O$3:$P$114, MATCH($A$1,'アイテム'!$A$3:$A$114,0), MATCH(D174,'アイテム'!$C$2:$AQ$2,0))</f>
        <v>29</v>
      </c>
      <c r="E183" s="322"/>
      <c r="F183" s="322"/>
      <c r="G183" s="114"/>
      <c r="H183" s="228"/>
      <c r="I183" s="228"/>
      <c r="J183" s="228"/>
      <c r="K183" s="118"/>
      <c r="L183" s="118"/>
      <c r="M183" s="118"/>
      <c r="N183" s="102"/>
      <c r="O183" s="102"/>
      <c r="P183" s="102"/>
      <c r="Q183" s="102"/>
      <c r="R183" s="118"/>
      <c r="S183" s="118"/>
      <c r="T183" s="118"/>
      <c r="U183" s="118"/>
      <c r="V183" s="118"/>
    </row>
    <row r="184" outlineLevel="1">
      <c r="A184" s="156"/>
      <c r="B184" s="327" t="s">
        <v>263</v>
      </c>
      <c r="C184" s="328" t="str">
        <f t="array" ref="C184">INDEX('アイテム'!$Q$3:$R$114, MATCH($A$1,'アイテム'!$A$3:$A$114,0), MATCH(C174,'アイテム'!$C$2:$AQ$2,0))</f>
        <v>6</v>
      </c>
      <c r="D184" s="328">
        <f t="array" ref="D184">INDEX('アイテム'!$Q$3:$R$114, MATCH($A$1,'アイテム'!$A$3:$A$114,0), MATCH(D174,'アイテム'!$C$2:$AQ$2,0))</f>
        <v>23</v>
      </c>
      <c r="E184" s="322"/>
      <c r="F184" s="322"/>
      <c r="G184" s="114"/>
      <c r="H184" s="228"/>
      <c r="I184" s="228"/>
      <c r="J184" s="228"/>
      <c r="K184" s="118"/>
      <c r="L184" s="118"/>
      <c r="M184" s="118"/>
      <c r="N184" s="102"/>
      <c r="O184" s="102"/>
      <c r="P184" s="102"/>
      <c r="Q184" s="102"/>
      <c r="R184" s="118"/>
      <c r="S184" s="118"/>
      <c r="T184" s="118"/>
      <c r="U184" s="118"/>
      <c r="V184" s="118"/>
    </row>
    <row r="185" outlineLevel="1">
      <c r="A185" s="326" t="s">
        <v>264</v>
      </c>
      <c r="B185" s="327" t="s">
        <v>226</v>
      </c>
      <c r="C185" s="328" t="str">
        <f t="array" ref="C185">INDEX('アイテム'!$S$3:$T$114, MATCH($A$1,'アイテム'!$A$3:$A$114,0), MATCH(C174,'アイテム'!$C$2:$AQ$2,0))</f>
        <v>8</v>
      </c>
      <c r="D185" s="328">
        <f t="array" ref="D185">INDEX('アイテム'!$S$3:$T$114, MATCH($A$1,'アイテム'!$A$3:$A$114,0), MATCH(D174,'アイテム'!$C$2:$AQ$2,0))</f>
        <v>24</v>
      </c>
      <c r="E185" s="322"/>
      <c r="F185" s="322"/>
      <c r="G185" s="114"/>
      <c r="H185" s="228"/>
      <c r="I185" s="228"/>
      <c r="J185" s="228"/>
      <c r="K185" s="118"/>
      <c r="L185" s="118"/>
      <c r="M185" s="118"/>
      <c r="N185" s="102"/>
      <c r="O185" s="102"/>
      <c r="P185" s="102"/>
      <c r="Q185" s="102"/>
      <c r="R185" s="118"/>
      <c r="S185" s="118"/>
      <c r="T185" s="118"/>
      <c r="U185" s="118"/>
      <c r="V185" s="118"/>
    </row>
    <row r="186" outlineLevel="1">
      <c r="A186" s="146"/>
      <c r="B186" s="327" t="s">
        <v>229</v>
      </c>
      <c r="C186" s="328" t="str">
        <f t="array" ref="C186">INDEX('アイテム'!$U$3:$V$114, MATCH($A$1,'アイテム'!$A$3:$A$114,0), MATCH(C174,'アイテム'!$C$2:$AQ$2,0))</f>
        <v>11</v>
      </c>
      <c r="D186" s="328">
        <f t="array" ref="D186">INDEX('アイテム'!$U$3:$V$114, MATCH($A$1,'アイテム'!$A$3:$A$114,0), MATCH(D174,'アイテム'!$C$2:$AQ$2,0))</f>
        <v>24</v>
      </c>
      <c r="E186" s="322"/>
      <c r="F186" s="322"/>
      <c r="G186" s="114"/>
      <c r="H186" s="228"/>
      <c r="I186" s="228"/>
      <c r="J186" s="228"/>
      <c r="K186" s="118"/>
      <c r="L186" s="118"/>
      <c r="M186" s="118"/>
      <c r="N186" s="102"/>
      <c r="O186" s="102"/>
      <c r="P186" s="102"/>
      <c r="Q186" s="102"/>
      <c r="R186" s="118"/>
      <c r="S186" s="118"/>
      <c r="T186" s="118"/>
      <c r="U186" s="118"/>
      <c r="V186" s="118"/>
    </row>
    <row r="187" outlineLevel="1">
      <c r="A187" s="146"/>
      <c r="B187" s="327" t="s">
        <v>233</v>
      </c>
      <c r="C187" s="328" t="str">
        <f t="array" ref="C187">INDEX('アイテム'!$W$3:$X$114, MATCH($A$1,'アイテム'!$A$3:$A$114,0), MATCH(C174,'アイテム'!$C$2:$AQ$2,0))</f>
        <v>12</v>
      </c>
      <c r="D187" s="328">
        <f t="array" ref="D187">INDEX('アイテム'!$W$3:$X$114, MATCH($A$1,'アイテム'!$A$3:$A$114,0), MATCH(D174,'アイテム'!$C$2:$AQ$2,0))</f>
        <v>23</v>
      </c>
      <c r="E187" s="322"/>
      <c r="F187" s="322"/>
      <c r="G187" s="114"/>
      <c r="H187" s="228"/>
      <c r="I187" s="228"/>
      <c r="J187" s="228"/>
      <c r="K187" s="118"/>
      <c r="L187" s="118"/>
      <c r="M187" s="118"/>
      <c r="N187" s="102"/>
      <c r="O187" s="102"/>
      <c r="P187" s="102"/>
      <c r="Q187" s="102"/>
      <c r="R187" s="118"/>
      <c r="S187" s="118"/>
      <c r="T187" s="118"/>
      <c r="U187" s="118"/>
      <c r="V187" s="118"/>
    </row>
    <row r="188" outlineLevel="1">
      <c r="A188" s="156"/>
      <c r="B188" s="327" t="s">
        <v>234</v>
      </c>
      <c r="C188" s="328" t="str">
        <f t="array" ref="C188">INDEX('アイテム'!$Y$3:$Z$114, MATCH($A$1,'アイテム'!$A$3:$A$114,0), MATCH(C174,'アイテム'!$C$2:$AQ$2,0))</f>
        <v>7</v>
      </c>
      <c r="D188" s="328">
        <f t="array" ref="D188">INDEX('アイテム'!$Y$3:$Z$114, MATCH($A$1,'アイテム'!$A$3:$A$114,0), MATCH(D174,'アイテム'!$C$2:$AQ$2,0))</f>
        <v>19</v>
      </c>
      <c r="E188" s="322"/>
      <c r="F188" s="322"/>
      <c r="G188" s="114"/>
      <c r="H188" s="228"/>
      <c r="I188" s="228"/>
      <c r="J188" s="228"/>
      <c r="K188" s="118"/>
      <c r="L188" s="118"/>
      <c r="M188" s="118"/>
      <c r="N188" s="102"/>
      <c r="O188" s="102"/>
      <c r="P188" s="102"/>
      <c r="Q188" s="102"/>
      <c r="R188" s="118"/>
      <c r="S188" s="118"/>
      <c r="T188" s="118"/>
      <c r="U188" s="118"/>
      <c r="V188" s="118"/>
    </row>
    <row r="189" outlineLevel="1">
      <c r="A189" s="326" t="s">
        <v>265</v>
      </c>
      <c r="B189" s="327" t="s">
        <v>226</v>
      </c>
      <c r="C189" s="328">
        <f t="array" ref="C189">INDEX('アイテム'!$AC$3:$AD$114, MATCH($A$1,'アイテム'!$A$3:$A$114,0), MATCH(C174,'アイテム'!$C$2:$AQ$2,0))</f>
        <v>14</v>
      </c>
      <c r="D189" s="328" t="str">
        <f t="array" ref="D189">INDEX('アイテム'!$AC$3:$AD$114, MATCH($A$1,'アイテム'!$A$3:$A$114,0), MATCH(D174,'アイテム'!$C$2:$AQ$2,0))</f>
        <v>30</v>
      </c>
      <c r="E189" s="322"/>
      <c r="F189" s="322"/>
      <c r="G189" s="114"/>
      <c r="H189" s="228"/>
      <c r="I189" s="228"/>
      <c r="J189" s="228"/>
      <c r="K189" s="118"/>
      <c r="L189" s="118"/>
      <c r="M189" s="118"/>
      <c r="N189" s="102"/>
      <c r="O189" s="102"/>
      <c r="P189" s="102"/>
      <c r="Q189" s="102"/>
      <c r="R189" s="118"/>
      <c r="S189" s="118"/>
      <c r="T189" s="118"/>
      <c r="U189" s="118"/>
      <c r="V189" s="118"/>
    </row>
    <row r="190" outlineLevel="1">
      <c r="A190" s="146"/>
      <c r="B190" s="327" t="s">
        <v>229</v>
      </c>
      <c r="C190" s="328">
        <f t="array" ref="C190">INDEX('アイテム'!$AE$3:$AF$114, MATCH($A$1,'アイテム'!$A$3:$A$114,0), MATCH(C174,'アイテム'!$C$2:$AQ$2,0))</f>
        <v>15</v>
      </c>
      <c r="D190" s="328" t="str">
        <f t="array" ref="D190">INDEX('アイテム'!$AE$3:$AF$114, MATCH($A$1,'アイテム'!$A$3:$A$114,0), MATCH(D174,'アイテム'!$C$2:$AQ$2,0))</f>
        <v>30</v>
      </c>
      <c r="E190" s="322"/>
      <c r="F190" s="322"/>
      <c r="G190" s="114"/>
      <c r="H190" s="228"/>
      <c r="I190" s="228"/>
      <c r="J190" s="228"/>
      <c r="K190" s="118"/>
      <c r="L190" s="118"/>
      <c r="M190" s="118"/>
      <c r="N190" s="102"/>
      <c r="O190" s="102"/>
      <c r="P190" s="102"/>
      <c r="Q190" s="102"/>
      <c r="R190" s="118"/>
      <c r="S190" s="118"/>
      <c r="T190" s="118"/>
      <c r="U190" s="118"/>
      <c r="V190" s="118"/>
    </row>
    <row r="191" outlineLevel="1">
      <c r="A191" s="146"/>
      <c r="B191" s="327" t="s">
        <v>233</v>
      </c>
      <c r="C191" s="328">
        <f t="array" ref="C191">INDEX('アイテム'!$AG$3:$AH$114, MATCH($A$1,'アイテム'!$A$3:$A$114,0), MATCH(C174,'アイテム'!$C$2:$AQ$2,0))</f>
        <v>11</v>
      </c>
      <c r="D191" s="328" t="str">
        <f t="array" ref="D191">INDEX('アイテム'!$AG$3:$AH$114, MATCH($A$1,'アイテム'!$A$3:$A$114,0), MATCH(D174,'アイテム'!$C$2:$AQ$2,0))</f>
        <v>22</v>
      </c>
      <c r="E191" s="322"/>
      <c r="F191" s="322"/>
      <c r="G191" s="114"/>
      <c r="H191" s="228"/>
      <c r="I191" s="228"/>
      <c r="J191" s="228"/>
      <c r="K191" s="118"/>
      <c r="L191" s="118"/>
      <c r="M191" s="118"/>
      <c r="N191" s="102"/>
      <c r="O191" s="102"/>
      <c r="P191" s="102"/>
      <c r="Q191" s="102"/>
      <c r="R191" s="118"/>
      <c r="S191" s="118"/>
      <c r="T191" s="118"/>
      <c r="U191" s="118"/>
      <c r="V191" s="118"/>
    </row>
    <row r="192" outlineLevel="1">
      <c r="A192" s="156"/>
      <c r="B192" s="327" t="s">
        <v>234</v>
      </c>
      <c r="C192" s="328">
        <f t="array" ref="C192">INDEX('アイテム'!$AI$3:$AJ$114, MATCH($A$1,'アイテム'!$A$3:$A$114,0), MATCH(C174,'アイテム'!$C$2:$AQ$2,0))</f>
        <v>9</v>
      </c>
      <c r="D192" s="328" t="str">
        <f t="array" ref="D192">INDEX('アイテム'!$AI$3:$AJ$114, MATCH($A$1,'アイテム'!$A$3:$A$114,0), MATCH(D174,'アイテム'!$C$2:$AQ$2,0))</f>
        <v>22</v>
      </c>
      <c r="E192" s="322"/>
      <c r="F192" s="322"/>
      <c r="G192" s="114"/>
      <c r="H192" s="228"/>
      <c r="I192" s="228"/>
      <c r="J192" s="228"/>
      <c r="K192" s="118"/>
      <c r="L192" s="118"/>
      <c r="M192" s="118"/>
      <c r="N192" s="102"/>
      <c r="O192" s="102"/>
      <c r="P192" s="102"/>
      <c r="Q192" s="102"/>
      <c r="R192" s="118"/>
      <c r="S192" s="118"/>
      <c r="T192" s="118"/>
      <c r="U192" s="118"/>
      <c r="V192" s="118"/>
    </row>
  </sheetData>
  <mergeCells count="190">
    <mergeCell ref="U30:U31"/>
    <mergeCell ref="U32:U34"/>
    <mergeCell ref="U35:U37"/>
    <mergeCell ref="U38:U42"/>
    <mergeCell ref="U43:U48"/>
    <mergeCell ref="U49:U50"/>
    <mergeCell ref="U51:U52"/>
    <mergeCell ref="U106:U109"/>
    <mergeCell ref="V106:V109"/>
    <mergeCell ref="U112:U114"/>
    <mergeCell ref="V112:V114"/>
    <mergeCell ref="U115:U117"/>
    <mergeCell ref="V115:V117"/>
    <mergeCell ref="U78:U84"/>
    <mergeCell ref="U85:U98"/>
    <mergeCell ref="V85:V98"/>
    <mergeCell ref="U100:U101"/>
    <mergeCell ref="V100:V101"/>
    <mergeCell ref="U102:U104"/>
    <mergeCell ref="V102:V104"/>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7"/>
    <mergeCell ref="A24:B25"/>
    <mergeCell ref="A26:A31"/>
    <mergeCell ref="D26:D27"/>
    <mergeCell ref="U26:U27"/>
    <mergeCell ref="D28:D29"/>
    <mergeCell ref="U28:U29"/>
    <mergeCell ref="D30:D31"/>
    <mergeCell ref="D43:D48"/>
    <mergeCell ref="D49:D50"/>
    <mergeCell ref="D51:D52"/>
    <mergeCell ref="A49:A50"/>
    <mergeCell ref="A51:A52"/>
    <mergeCell ref="H51:J52"/>
    <mergeCell ref="U53:U56"/>
    <mergeCell ref="R62:V62"/>
    <mergeCell ref="R63:V64"/>
    <mergeCell ref="R65:V67"/>
    <mergeCell ref="R68:V69"/>
    <mergeCell ref="R70:V72"/>
    <mergeCell ref="R73:V74"/>
    <mergeCell ref="V78:V84"/>
    <mergeCell ref="H78:J98"/>
    <mergeCell ref="H99:J99"/>
    <mergeCell ref="H100:J101"/>
    <mergeCell ref="H102:J104"/>
    <mergeCell ref="H105:J105"/>
    <mergeCell ref="H106:J109"/>
    <mergeCell ref="H110:J110"/>
    <mergeCell ref="H111:J111"/>
    <mergeCell ref="H112:J113"/>
    <mergeCell ref="H114:J114"/>
    <mergeCell ref="H115:J115"/>
    <mergeCell ref="H116:J116"/>
    <mergeCell ref="H117:J117"/>
    <mergeCell ref="G125:J125"/>
    <mergeCell ref="K148:K153"/>
    <mergeCell ref="K154:K157"/>
    <mergeCell ref="K158:L158"/>
    <mergeCell ref="K160:K163"/>
    <mergeCell ref="K164:L164"/>
    <mergeCell ref="K167:L167"/>
    <mergeCell ref="G126:J127"/>
    <mergeCell ref="G128:J129"/>
    <mergeCell ref="G130:J131"/>
    <mergeCell ref="G132:J133"/>
    <mergeCell ref="K144:L144"/>
    <mergeCell ref="K145:K146"/>
    <mergeCell ref="K147:L147"/>
    <mergeCell ref="H28:J29"/>
    <mergeCell ref="H30:J31"/>
    <mergeCell ref="A32:A34"/>
    <mergeCell ref="D32:D34"/>
    <mergeCell ref="H32:J34"/>
    <mergeCell ref="D35:D37"/>
    <mergeCell ref="H35:J37"/>
    <mergeCell ref="A35:A37"/>
    <mergeCell ref="A38:A42"/>
    <mergeCell ref="D38:D42"/>
    <mergeCell ref="H38:J42"/>
    <mergeCell ref="A43:A48"/>
    <mergeCell ref="H43:J48"/>
    <mergeCell ref="H49:J50"/>
    <mergeCell ref="A53:A56"/>
    <mergeCell ref="D53:D56"/>
    <mergeCell ref="H53:J56"/>
    <mergeCell ref="A57:B57"/>
    <mergeCell ref="H57:J57"/>
    <mergeCell ref="A58:A59"/>
    <mergeCell ref="H58:J59"/>
    <mergeCell ref="I65:I67"/>
    <mergeCell ref="J65:J67"/>
    <mergeCell ref="A61:B62"/>
    <mergeCell ref="A63:A64"/>
    <mergeCell ref="D63:D64"/>
    <mergeCell ref="I63:I64"/>
    <mergeCell ref="J63:J64"/>
    <mergeCell ref="A65:A67"/>
    <mergeCell ref="A68:A69"/>
    <mergeCell ref="D85:D86"/>
    <mergeCell ref="D87:D88"/>
    <mergeCell ref="I68:I69"/>
    <mergeCell ref="J68:J69"/>
    <mergeCell ref="I70:I72"/>
    <mergeCell ref="J70:J72"/>
    <mergeCell ref="I73:I74"/>
    <mergeCell ref="J73:J74"/>
    <mergeCell ref="H77:J77"/>
    <mergeCell ref="A85:A98"/>
    <mergeCell ref="A100:A101"/>
    <mergeCell ref="A102:A104"/>
    <mergeCell ref="A106:A109"/>
    <mergeCell ref="A112:A114"/>
    <mergeCell ref="A115:A117"/>
    <mergeCell ref="A122:A124"/>
    <mergeCell ref="A150:A152"/>
    <mergeCell ref="A153:A158"/>
    <mergeCell ref="A159:A164"/>
    <mergeCell ref="A165:A171"/>
    <mergeCell ref="A175:A176"/>
    <mergeCell ref="A179:A184"/>
    <mergeCell ref="A185:A188"/>
    <mergeCell ref="A189:A192"/>
    <mergeCell ref="A126:A127"/>
    <mergeCell ref="A128:A129"/>
    <mergeCell ref="A130:A131"/>
    <mergeCell ref="A132:A133"/>
    <mergeCell ref="A137:A139"/>
    <mergeCell ref="A140:A141"/>
    <mergeCell ref="A145:A149"/>
    <mergeCell ref="D100:D101"/>
    <mergeCell ref="D102:D104"/>
    <mergeCell ref="A105:B105"/>
    <mergeCell ref="A111:B111"/>
    <mergeCell ref="A119:B120"/>
    <mergeCell ref="A125:B125"/>
    <mergeCell ref="D126:D127"/>
    <mergeCell ref="D128:D129"/>
    <mergeCell ref="D130:D131"/>
    <mergeCell ref="D132:D133"/>
    <mergeCell ref="A135:B136"/>
    <mergeCell ref="A143:B144"/>
    <mergeCell ref="C157:C158"/>
    <mergeCell ref="D157:D158"/>
    <mergeCell ref="D65:D67"/>
    <mergeCell ref="D68:D69"/>
    <mergeCell ref="A70:A72"/>
    <mergeCell ref="D70:D72"/>
    <mergeCell ref="D73:D74"/>
    <mergeCell ref="A76:B76"/>
    <mergeCell ref="A77:B77"/>
    <mergeCell ref="B89:B90"/>
    <mergeCell ref="D89:D90"/>
    <mergeCell ref="B91:B92"/>
    <mergeCell ref="D91:D92"/>
    <mergeCell ref="B93:B94"/>
    <mergeCell ref="D93:D94"/>
    <mergeCell ref="B96:B98"/>
    <mergeCell ref="D96:D98"/>
    <mergeCell ref="A73:A74"/>
    <mergeCell ref="A78:A84"/>
    <mergeCell ref="B83:B84"/>
    <mergeCell ref="D83:D84"/>
    <mergeCell ref="B85:B86"/>
    <mergeCell ref="B87:B88"/>
    <mergeCell ref="A99:B99"/>
    <mergeCell ref="C163:C164"/>
    <mergeCell ref="D163:D164"/>
    <mergeCell ref="C170:C171"/>
    <mergeCell ref="D170:D171"/>
    <mergeCell ref="A173:B173"/>
    <mergeCell ref="A174:B174"/>
    <mergeCell ref="A178:B178"/>
  </mergeCells>
  <conditionalFormatting sqref="K57">
    <cfRule type="containsText" dxfId="1" priority="1" operator="containsText" text="363">
      <formula>NOT(ISERROR(SEARCH(("363"),(K57))))</formula>
    </cfRule>
  </conditionalFormatting>
  <conditionalFormatting sqref="K57">
    <cfRule type="containsText" dxfId="1" priority="2" operator="containsText" text="365">
      <formula>NOT(ISERROR(SEARCH(("365"),(K57))))</formula>
    </cfRule>
  </conditionalFormatting>
  <conditionalFormatting sqref="K57">
    <cfRule type="containsText" dxfId="1" priority="3" operator="containsText" text="366">
      <formula>NOT(ISERROR(SEARCH(("366"),(K57))))</formula>
    </cfRule>
  </conditionalFormatting>
  <conditionalFormatting sqref="K57">
    <cfRule type="containsText" dxfId="1" priority="4" operator="containsText" text="367">
      <formula>NOT(ISERROR(SEARCH(("367"),(K57))))</formula>
    </cfRule>
  </conditionalFormatting>
  <conditionalFormatting sqref="K1:K168">
    <cfRule type="containsText" dxfId="0" priority="5" operator="containsText" text="361">
      <formula>NOT(ISERROR(SEARCH(("361"),(K1))))</formula>
    </cfRule>
  </conditionalFormatting>
  <conditionalFormatting sqref="P126:P133">
    <cfRule type="cellIs" dxfId="2" priority="6" operator="equal">
      <formula>"敵のみ"</formula>
    </cfRule>
  </conditionalFormatting>
  <conditionalFormatting sqref="C126:C133">
    <cfRule type="cellIs" dxfId="3" priority="7" operator="equal">
      <formula>"-"</formula>
    </cfRule>
  </conditionalFormatting>
  <conditionalFormatting sqref="O1:O192 K57 N57 P133">
    <cfRule type="cellIs" dxfId="4" priority="8" operator="greaterThan">
      <formula>0</formula>
    </cfRule>
  </conditionalFormatting>
  <conditionalFormatting sqref="P1:Q192 L57:M57 O57">
    <cfRule type="cellIs" dxfId="5" priority="9" operator="lessThan">
      <formula>1</formula>
    </cfRule>
  </conditionalFormatting>
  <conditionalFormatting sqref="P1:Q192 L57:M57 O57">
    <cfRule type="cellIs" dxfId="4" priority="10" operator="greaterThan">
      <formula>1</formula>
    </cfRule>
  </conditionalFormatting>
  <conditionalFormatting sqref="N25:N144">
    <cfRule type="cellIs" dxfId="6" priority="11" operator="greaterThan">
      <formula>0</formula>
    </cfRule>
  </conditionalFormatting>
  <conditionalFormatting sqref="K1:K192">
    <cfRule type="containsText" dxfId="6" priority="12" operator="containsText" text="363">
      <formula>NOT(ISERROR(SEARCH(("363"),(K1))))</formula>
    </cfRule>
  </conditionalFormatting>
  <conditionalFormatting sqref="K1:K192">
    <cfRule type="containsText" dxfId="6" priority="13" operator="containsText" text="365">
      <formula>NOT(ISERROR(SEARCH(("365"),(K1))))</formula>
    </cfRule>
  </conditionalFormatting>
  <conditionalFormatting sqref="K1:K192">
    <cfRule type="containsText" dxfId="6" priority="14" operator="containsText" text="366">
      <formula>NOT(ISERROR(SEARCH(("366"),(K1))))</formula>
    </cfRule>
  </conditionalFormatting>
  <conditionalFormatting sqref="K1:K192">
    <cfRule type="containsText" dxfId="6" priority="15" operator="containsText" text="367">
      <formula>NOT(ISERROR(SEARCH(("367"),(K1))))</formula>
    </cfRule>
  </conditionalFormatting>
  <conditionalFormatting sqref="N1:N15 N17:N192">
    <cfRule type="containsText" dxfId="6" priority="16" operator="containsText" text="/">
      <formula>NOT(ISERROR(SEARCH(("/"),(N1))))</formula>
    </cfRule>
  </conditionalFormatting>
  <drawing r:id="rId2"/>
  <legacyDrawing r:id="rId3"/>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7BEF4"/>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2" width="7.0"/>
  </cols>
  <sheetData>
    <row r="1">
      <c r="A1" s="3199">
        <v>72.0</v>
      </c>
      <c r="B1" s="3200"/>
      <c r="C1" s="3201" t="str">
        <f>IMAGE(VLOOKUP($A$1,Fighters!A2:AI114,12,FALSE),1)</f>
        <v>#REF!</v>
      </c>
      <c r="D1" s="3202"/>
      <c r="E1" s="3202"/>
      <c r="F1" s="3202"/>
      <c r="G1" s="3203"/>
      <c r="H1" s="3204"/>
      <c r="I1" s="3202"/>
      <c r="J1" s="3203"/>
      <c r="K1" s="3205"/>
      <c r="L1" s="3202"/>
      <c r="M1" s="3203"/>
      <c r="N1" s="3206"/>
      <c r="O1" s="3206"/>
      <c r="P1" s="3206"/>
      <c r="Q1" s="3206"/>
      <c r="R1" s="3207"/>
      <c r="S1" s="3207"/>
      <c r="T1" s="3207"/>
      <c r="U1" s="3207"/>
      <c r="V1" s="3207"/>
    </row>
    <row r="2">
      <c r="A2" s="3208" t="str">
        <f>VLOOKUP($A$1,Fighters!$A$2:$AI$81,6,FALSE)</f>
        <v>#d7bef4</v>
      </c>
      <c r="B2" s="3200"/>
      <c r="C2" s="3209"/>
      <c r="G2" s="3210"/>
      <c r="H2" s="3211"/>
      <c r="I2" s="3212"/>
      <c r="J2" s="3213"/>
      <c r="K2" s="3211"/>
      <c r="L2" s="3212"/>
      <c r="M2" s="3213"/>
      <c r="N2" s="3206"/>
      <c r="O2" s="3206"/>
      <c r="P2" s="3206"/>
      <c r="Q2" s="3206"/>
      <c r="R2" s="3207"/>
      <c r="S2" s="3207"/>
      <c r="T2" s="3207"/>
      <c r="U2" s="3207"/>
      <c r="V2" s="3207"/>
    </row>
    <row r="3">
      <c r="A3" s="3208" t="str">
        <f>VLOOKUP($A$1,Fighters!$A$2:$AI$81,14,FALSE)</f>
        <v>72. 勇者</v>
      </c>
      <c r="B3" s="3200"/>
      <c r="C3" s="3209"/>
      <c r="G3" s="3210"/>
      <c r="H3" s="3214"/>
      <c r="I3" s="3214"/>
      <c r="J3" s="3214"/>
      <c r="K3" s="3215"/>
      <c r="L3" s="3215"/>
      <c r="M3" s="3215"/>
      <c r="N3" s="3206"/>
      <c r="O3" s="3206"/>
      <c r="P3" s="3206"/>
      <c r="Q3" s="3206"/>
      <c r="R3" s="3216"/>
      <c r="S3" s="3207"/>
      <c r="T3" s="3207"/>
      <c r="U3" s="3207"/>
      <c r="V3" s="3207"/>
    </row>
    <row r="4">
      <c r="A4" s="3208" t="str">
        <f>VLOOKUP($A$1,Fighters!$A$2:$AI$81,13,FALSE)</f>
        <v>1</v>
      </c>
      <c r="B4" s="3200"/>
      <c r="C4" s="3209"/>
      <c r="G4" s="3210"/>
      <c r="H4" s="3217"/>
      <c r="I4" s="3217"/>
      <c r="J4" s="3214"/>
      <c r="K4" s="3215"/>
      <c r="L4" s="3215"/>
      <c r="M4" s="3215"/>
      <c r="N4" s="3206"/>
      <c r="O4" s="3206"/>
      <c r="P4" s="3206"/>
      <c r="Q4" s="3206"/>
      <c r="R4" s="3216"/>
      <c r="S4" s="3207"/>
      <c r="T4" s="3207"/>
      <c r="U4" s="3207"/>
      <c r="V4" s="3207"/>
    </row>
    <row r="5" ht="16.5" customHeight="1">
      <c r="A5" s="3199"/>
      <c r="B5" s="3200"/>
      <c r="C5" s="3209"/>
      <c r="G5" s="3210"/>
      <c r="H5" s="3218"/>
      <c r="I5" s="3218"/>
      <c r="J5" s="3219"/>
      <c r="K5" s="3220"/>
      <c r="L5" s="3221"/>
      <c r="M5" s="3221"/>
      <c r="N5" s="3206"/>
      <c r="O5" s="3206"/>
      <c r="P5" s="3206"/>
      <c r="Q5" s="3206"/>
      <c r="R5" s="3216"/>
      <c r="S5" s="3207"/>
      <c r="T5" s="3207"/>
      <c r="U5" s="3207"/>
      <c r="V5" s="3207"/>
    </row>
    <row r="6">
      <c r="A6" s="3200"/>
      <c r="B6" s="3200"/>
      <c r="C6" s="3209"/>
      <c r="G6" s="3210"/>
      <c r="H6" s="3217"/>
      <c r="I6" s="3222" t="s">
        <v>39</v>
      </c>
      <c r="J6" s="3220"/>
      <c r="K6" s="3223"/>
      <c r="L6" s="3221"/>
      <c r="M6" s="3221"/>
      <c r="N6" s="3206"/>
      <c r="O6" s="3206"/>
      <c r="P6" s="3206"/>
      <c r="Q6" s="3206"/>
      <c r="R6" s="3216"/>
      <c r="S6" s="3207"/>
      <c r="T6" s="3207"/>
      <c r="U6" s="3207"/>
      <c r="V6" s="3207"/>
    </row>
    <row r="7">
      <c r="A7" s="3200"/>
      <c r="B7" s="3200"/>
      <c r="C7" s="3209"/>
      <c r="G7" s="3210"/>
      <c r="H7" s="3218"/>
      <c r="I7" s="3218"/>
      <c r="J7" s="3220"/>
      <c r="K7" s="3223"/>
      <c r="L7" s="3221"/>
      <c r="M7" s="3221"/>
      <c r="N7" s="3206"/>
      <c r="O7" s="3206"/>
      <c r="P7" s="3206"/>
      <c r="Q7" s="3206"/>
      <c r="R7" s="3216"/>
      <c r="S7" s="3207"/>
      <c r="T7" s="3207"/>
      <c r="U7" s="3207"/>
      <c r="V7" s="3207"/>
    </row>
    <row r="8">
      <c r="A8" s="3200"/>
      <c r="B8" s="3200"/>
      <c r="C8" s="3209"/>
      <c r="G8" s="3210"/>
      <c r="H8" s="3224">
        <v>44489.7647980787</v>
      </c>
      <c r="I8" s="3202"/>
      <c r="J8" s="3203"/>
      <c r="K8" s="3220"/>
      <c r="L8" s="3221"/>
      <c r="M8" s="3221"/>
      <c r="N8" s="3206"/>
      <c r="O8" s="3206"/>
      <c r="P8" s="3206"/>
      <c r="Q8" s="3206"/>
      <c r="R8" s="3216"/>
      <c r="S8" s="3207"/>
      <c r="T8" s="3207"/>
      <c r="U8" s="3207"/>
      <c r="V8" s="3207"/>
    </row>
    <row r="9">
      <c r="A9" s="3200"/>
      <c r="B9" s="3200"/>
      <c r="C9" s="3209"/>
      <c r="G9" s="3210"/>
      <c r="H9" s="3211"/>
      <c r="I9" s="3212"/>
      <c r="J9" s="3213"/>
      <c r="K9" s="3207"/>
      <c r="L9" s="3206"/>
      <c r="M9" s="3206"/>
      <c r="N9" s="3206"/>
      <c r="O9" s="3206"/>
      <c r="P9" s="3206"/>
      <c r="Q9" s="3206"/>
      <c r="R9" s="3216"/>
      <c r="S9" s="3207"/>
      <c r="T9" s="3207"/>
      <c r="U9" s="3207"/>
      <c r="V9" s="3207"/>
    </row>
    <row r="10">
      <c r="A10" s="3225"/>
      <c r="B10" s="3200"/>
      <c r="C10" s="3209"/>
      <c r="G10" s="3210"/>
      <c r="H10" s="3226"/>
      <c r="I10" s="3226"/>
      <c r="J10" s="3207"/>
      <c r="K10" s="3207"/>
      <c r="L10" s="3206"/>
      <c r="M10" s="3206"/>
      <c r="N10" s="3206"/>
      <c r="O10" s="3206"/>
      <c r="P10" s="3206"/>
      <c r="Q10" s="3206"/>
      <c r="R10" s="3216"/>
      <c r="S10" s="3207"/>
      <c r="T10" s="3207"/>
      <c r="U10" s="3207"/>
      <c r="V10" s="3207"/>
    </row>
    <row r="11">
      <c r="A11" s="3227"/>
      <c r="B11" s="3200"/>
      <c r="C11" s="3209"/>
      <c r="G11" s="3210"/>
      <c r="H11" s="3218"/>
      <c r="I11" s="3218"/>
      <c r="J11" s="3207"/>
      <c r="K11" s="3207"/>
      <c r="L11" s="3206"/>
      <c r="M11" s="3206"/>
      <c r="N11" s="3206"/>
      <c r="O11" s="3206"/>
      <c r="P11" s="3206"/>
      <c r="Q11" s="3206"/>
      <c r="R11" s="3216"/>
      <c r="S11" s="3207"/>
      <c r="T11" s="3207"/>
      <c r="U11" s="3207"/>
      <c r="V11" s="3207"/>
    </row>
    <row r="12">
      <c r="A12" s="3218"/>
      <c r="B12" s="3200"/>
      <c r="C12" s="3211"/>
      <c r="D12" s="3212"/>
      <c r="E12" s="3212"/>
      <c r="F12" s="3212"/>
      <c r="G12" s="3213"/>
      <c r="H12" s="3228"/>
      <c r="I12" s="3228"/>
      <c r="J12" s="3200"/>
      <c r="K12" s="3200"/>
      <c r="L12" s="3206"/>
      <c r="M12" s="3206"/>
      <c r="N12" s="3206"/>
      <c r="O12" s="3206"/>
      <c r="P12" s="3206"/>
      <c r="Q12" s="3206"/>
      <c r="R12" s="3216"/>
      <c r="S12" s="3207"/>
      <c r="T12" s="3207"/>
      <c r="U12" s="3207"/>
      <c r="V12" s="3207"/>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INDEX('行動フレーム・能力値'!$C$2:$AD$81,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101 [30th]</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36F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1.88 [50th]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INDEX('行動フレーム・能力値'!$C$2:$AD$81, MATCH($A$1,'行動フレーム・能力値'!$A$2:$A$95,0),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0.98 [58th]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47F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 [77th]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29 [74th]</v>
      </c>
      <c r="O18" s="99"/>
      <c r="P18" s="99"/>
      <c r="Q18" s="99"/>
      <c r="R18" s="99"/>
      <c r="S18" s="111"/>
      <c r="T18" s="111"/>
      <c r="U18" s="111"/>
      <c r="V18" s="111"/>
    </row>
    <row r="19" outlineLevel="1">
      <c r="A19" s="112" t="s">
        <v>5288</v>
      </c>
      <c r="B19" s="113" t="b">
        <f t="array" ref="B19">INDEX('行動フレーム・能力値'!$C$2:$AD$81,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1.84 [32nd]</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25F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15.5 [53rd]</v>
      </c>
      <c r="O19" s="99"/>
      <c r="P19" s="99"/>
      <c r="Q19" s="99"/>
      <c r="R19" s="99"/>
      <c r="S19" s="111"/>
      <c r="T19" s="111"/>
      <c r="U19" s="111"/>
      <c r="V19" s="111"/>
    </row>
    <row r="20" outlineLevel="1">
      <c r="A20" s="112" t="s">
        <v>5292</v>
      </c>
      <c r="B20" s="113" t="b">
        <f t="array" ref="B20">INDEX('行動フレーム・能力値'!$C$2:$AD$81,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1.01 [55th]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33F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0.055 [67th]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31 [58th]</v>
      </c>
      <c r="O20" s="99"/>
      <c r="P20" s="99"/>
      <c r="Q20" s="99"/>
      <c r="R20" s="99"/>
      <c r="S20" s="100"/>
      <c r="T20" s="100"/>
      <c r="U20" s="100"/>
      <c r="V20" s="100"/>
    </row>
    <row r="21" outlineLevel="1">
      <c r="A21" s="112" t="s">
        <v>587</v>
      </c>
      <c r="B21" s="113" t="b">
        <f t="array" ref="B21">INDEX('行動フレーム・能力値'!$C$2:$AD$81,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1.57 [52nd]</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2.512 [49th]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0.094 [41st]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01"/>
      <c r="B24" s="101"/>
      <c r="C24" s="108" t="s">
        <v>5400</v>
      </c>
      <c r="D24" s="109"/>
      <c r="E24" s="98"/>
      <c r="F24" s="101"/>
      <c r="G24" s="98"/>
      <c r="H24" s="98"/>
      <c r="I24" s="114"/>
      <c r="J24" s="101"/>
      <c r="K24" s="118"/>
      <c r="L24" s="114"/>
      <c r="M24" s="100"/>
      <c r="N24" s="117"/>
      <c r="O24" s="99"/>
      <c r="P24" s="99"/>
      <c r="Q24" s="99"/>
      <c r="R24" s="99"/>
      <c r="S24" s="100"/>
      <c r="T24" s="100"/>
      <c r="U24" s="100"/>
      <c r="V24" s="100"/>
    </row>
    <row r="25">
      <c r="A25" s="101"/>
      <c r="B25" s="101"/>
      <c r="C25" s="108" t="s">
        <v>3391</v>
      </c>
      <c r="D25" s="2174" t="s">
        <v>3392</v>
      </c>
      <c r="E25" s="1932" t="s">
        <v>3393</v>
      </c>
      <c r="F25" s="1932" t="s">
        <v>5401</v>
      </c>
      <c r="G25" s="98"/>
      <c r="H25" s="98"/>
      <c r="I25" s="114"/>
      <c r="J25" s="101"/>
      <c r="K25" s="118"/>
      <c r="L25" s="114"/>
      <c r="M25" s="100"/>
      <c r="N25" s="117"/>
      <c r="O25" s="99"/>
      <c r="P25" s="99"/>
      <c r="Q25" s="99"/>
      <c r="R25" s="99"/>
      <c r="S25" s="100"/>
      <c r="T25" s="100"/>
      <c r="U25" s="100"/>
      <c r="V25" s="100"/>
    </row>
    <row r="26">
      <c r="A26" s="101"/>
      <c r="B26" s="101"/>
      <c r="C26" s="112" t="s">
        <v>3397</v>
      </c>
      <c r="D26" s="2176" t="s">
        <v>176</v>
      </c>
      <c r="E26" s="113" t="s">
        <v>5402</v>
      </c>
      <c r="F26" s="138" t="s">
        <v>5403</v>
      </c>
      <c r="G26" s="98"/>
      <c r="H26" s="98"/>
      <c r="I26" s="114"/>
      <c r="J26" s="101"/>
      <c r="K26" s="118"/>
      <c r="L26" s="114"/>
      <c r="M26" s="100"/>
      <c r="N26" s="117"/>
      <c r="O26" s="99"/>
      <c r="P26" s="99"/>
      <c r="Q26" s="99"/>
      <c r="R26" s="99"/>
      <c r="S26" s="100"/>
      <c r="T26" s="100"/>
      <c r="U26" s="100"/>
      <c r="V26" s="100"/>
    </row>
    <row r="27">
      <c r="A27" s="101"/>
      <c r="B27" s="101"/>
      <c r="C27" s="112" t="s">
        <v>3399</v>
      </c>
      <c r="D27" s="113" t="s">
        <v>176</v>
      </c>
      <c r="E27" s="113" t="s">
        <v>5404</v>
      </c>
      <c r="F27" s="138" t="s">
        <v>5405</v>
      </c>
      <c r="G27" s="98"/>
      <c r="H27" s="98"/>
      <c r="I27" s="114"/>
      <c r="J27" s="101"/>
      <c r="K27" s="118"/>
      <c r="L27" s="114"/>
      <c r="M27" s="100"/>
      <c r="N27" s="117"/>
      <c r="O27" s="99"/>
      <c r="P27" s="99"/>
      <c r="Q27" s="99"/>
      <c r="R27" s="99"/>
      <c r="S27" s="100"/>
      <c r="T27" s="100"/>
      <c r="U27" s="100"/>
      <c r="V27" s="100"/>
    </row>
    <row r="28">
      <c r="A28" s="101"/>
      <c r="B28" s="101"/>
      <c r="C28" s="112" t="s">
        <v>3400</v>
      </c>
      <c r="D28" s="113" t="s">
        <v>58</v>
      </c>
      <c r="E28" s="2214" t="s">
        <v>5406</v>
      </c>
      <c r="F28" s="138" t="s">
        <v>5407</v>
      </c>
      <c r="G28" s="98"/>
      <c r="H28" s="98"/>
      <c r="I28" s="114"/>
      <c r="J28" s="101"/>
      <c r="K28" s="118"/>
      <c r="L28" s="114"/>
      <c r="M28" s="100"/>
      <c r="N28" s="117"/>
      <c r="O28" s="99"/>
      <c r="P28" s="99"/>
      <c r="Q28" s="99"/>
      <c r="R28" s="99"/>
      <c r="S28" s="100"/>
      <c r="T28" s="100"/>
      <c r="U28" s="100"/>
      <c r="V28" s="100"/>
    </row>
    <row r="29">
      <c r="A29" s="101"/>
      <c r="B29" s="101"/>
      <c r="C29" s="112" t="s">
        <v>3402</v>
      </c>
      <c r="D29" s="113" t="s">
        <v>657</v>
      </c>
      <c r="E29" s="113" t="s">
        <v>5408</v>
      </c>
      <c r="F29" s="138" t="s">
        <v>5407</v>
      </c>
      <c r="G29" s="98"/>
      <c r="H29" s="98"/>
      <c r="I29" s="114"/>
      <c r="J29" s="101"/>
      <c r="K29" s="118"/>
      <c r="L29" s="114"/>
      <c r="M29" s="100"/>
      <c r="N29" s="117"/>
      <c r="O29" s="99"/>
      <c r="P29" s="99"/>
      <c r="Q29" s="99"/>
      <c r="R29" s="99"/>
      <c r="S29" s="100"/>
      <c r="T29" s="100"/>
      <c r="U29" s="100"/>
      <c r="V29" s="100"/>
    </row>
    <row r="30">
      <c r="A30" s="101"/>
      <c r="B30" s="101"/>
      <c r="C30" s="112" t="s">
        <v>3403</v>
      </c>
      <c r="D30" s="113" t="s">
        <v>657</v>
      </c>
      <c r="E30" s="113" t="s">
        <v>5409</v>
      </c>
      <c r="F30" s="138" t="s">
        <v>5407</v>
      </c>
      <c r="G30" s="98"/>
      <c r="H30" s="98"/>
      <c r="I30" s="114"/>
      <c r="J30" s="101"/>
      <c r="K30" s="118"/>
      <c r="L30" s="114"/>
      <c r="M30" s="100"/>
      <c r="N30" s="117"/>
      <c r="O30" s="99"/>
      <c r="P30" s="99"/>
      <c r="Q30" s="99"/>
      <c r="R30" s="99"/>
      <c r="S30" s="100"/>
      <c r="T30" s="100"/>
      <c r="U30" s="100"/>
      <c r="V30" s="100"/>
    </row>
    <row r="31">
      <c r="A31" s="101"/>
      <c r="B31" s="101"/>
      <c r="C31" s="112" t="s">
        <v>3404</v>
      </c>
      <c r="D31" s="113" t="s">
        <v>5410</v>
      </c>
      <c r="E31" s="113" t="s">
        <v>5411</v>
      </c>
      <c r="F31" s="138" t="s">
        <v>5407</v>
      </c>
      <c r="G31" s="98"/>
      <c r="H31" s="98"/>
      <c r="I31" s="114"/>
      <c r="J31" s="101"/>
      <c r="K31" s="118"/>
      <c r="L31" s="114"/>
      <c r="M31" s="100"/>
      <c r="N31" s="117"/>
      <c r="O31" s="99"/>
      <c r="P31" s="99"/>
      <c r="Q31" s="99"/>
      <c r="R31" s="99"/>
      <c r="S31" s="100"/>
      <c r="T31" s="100"/>
      <c r="U31" s="100"/>
      <c r="V31" s="100"/>
    </row>
    <row r="32">
      <c r="A32" s="101"/>
      <c r="B32" s="101"/>
      <c r="C32" s="112" t="s">
        <v>3405</v>
      </c>
      <c r="D32" s="113" t="s">
        <v>535</v>
      </c>
      <c r="E32" s="113" t="s">
        <v>5412</v>
      </c>
      <c r="F32" s="138" t="s">
        <v>5405</v>
      </c>
      <c r="G32" s="98"/>
      <c r="H32" s="98"/>
      <c r="I32" s="114"/>
      <c r="J32" s="101"/>
      <c r="K32" s="118"/>
      <c r="L32" s="114"/>
      <c r="M32" s="100"/>
      <c r="N32" s="117"/>
      <c r="O32" s="99"/>
      <c r="P32" s="99"/>
      <c r="Q32" s="99"/>
      <c r="R32" s="99"/>
      <c r="S32" s="100"/>
      <c r="T32" s="100"/>
      <c r="U32" s="100"/>
      <c r="V32" s="100"/>
    </row>
    <row r="33">
      <c r="A33" s="101"/>
      <c r="B33" s="101"/>
      <c r="C33" s="112" t="s">
        <v>1584</v>
      </c>
      <c r="D33" s="113" t="s">
        <v>5410</v>
      </c>
      <c r="E33" s="113" t="s">
        <v>5413</v>
      </c>
      <c r="F33" s="138" t="s">
        <v>5407</v>
      </c>
      <c r="G33" s="98"/>
      <c r="H33" s="98"/>
      <c r="I33" s="114"/>
      <c r="J33" s="101"/>
      <c r="K33" s="118"/>
      <c r="L33" s="114"/>
      <c r="M33" s="100"/>
      <c r="N33" s="117"/>
      <c r="O33" s="99"/>
      <c r="P33" s="99"/>
      <c r="Q33" s="99"/>
      <c r="R33" s="99"/>
      <c r="S33" s="100"/>
      <c r="T33" s="100"/>
      <c r="U33" s="100"/>
      <c r="V33" s="100"/>
    </row>
    <row r="34">
      <c r="A34" s="101"/>
      <c r="B34" s="101"/>
      <c r="C34" s="112" t="s">
        <v>3407</v>
      </c>
      <c r="D34" s="113" t="s">
        <v>1024</v>
      </c>
      <c r="E34" s="113" t="s">
        <v>5414</v>
      </c>
      <c r="F34" s="138" t="s">
        <v>5407</v>
      </c>
      <c r="G34" s="98"/>
      <c r="H34" s="98"/>
      <c r="I34" s="114"/>
      <c r="J34" s="101"/>
      <c r="K34" s="118"/>
      <c r="L34" s="114"/>
      <c r="M34" s="100"/>
      <c r="N34" s="117"/>
      <c r="O34" s="99"/>
      <c r="P34" s="99"/>
      <c r="Q34" s="99"/>
      <c r="R34" s="99"/>
      <c r="S34" s="100"/>
      <c r="T34" s="100"/>
      <c r="U34" s="100"/>
      <c r="V34" s="100"/>
    </row>
    <row r="35">
      <c r="A35" s="101"/>
      <c r="B35" s="101"/>
      <c r="C35" s="112" t="s">
        <v>5296</v>
      </c>
      <c r="D35" s="113" t="s">
        <v>3394</v>
      </c>
      <c r="E35" s="113" t="s">
        <v>5415</v>
      </c>
      <c r="F35" s="138" t="s">
        <v>5403</v>
      </c>
      <c r="G35" s="98"/>
      <c r="H35" s="98"/>
      <c r="I35" s="114"/>
      <c r="J35" s="101"/>
      <c r="K35" s="118"/>
      <c r="L35" s="114"/>
      <c r="M35" s="100"/>
      <c r="N35" s="117"/>
      <c r="O35" s="99"/>
      <c r="P35" s="99"/>
      <c r="Q35" s="99"/>
      <c r="R35" s="99"/>
      <c r="S35" s="100"/>
      <c r="T35" s="100"/>
      <c r="U35" s="100"/>
      <c r="V35" s="100"/>
    </row>
    <row r="36">
      <c r="A36" s="101"/>
      <c r="B36" s="101"/>
      <c r="C36" s="112" t="s">
        <v>3408</v>
      </c>
      <c r="D36" s="113" t="s">
        <v>3394</v>
      </c>
      <c r="E36" s="113" t="s">
        <v>5416</v>
      </c>
      <c r="F36" s="138" t="s">
        <v>5417</v>
      </c>
      <c r="G36" s="98"/>
      <c r="H36" s="98"/>
      <c r="I36" s="114"/>
      <c r="J36" s="101"/>
      <c r="K36" s="118"/>
      <c r="L36" s="114"/>
      <c r="M36" s="100"/>
      <c r="N36" s="117"/>
      <c r="O36" s="99"/>
      <c r="P36" s="99"/>
      <c r="Q36" s="99"/>
      <c r="R36" s="99"/>
      <c r="S36" s="100"/>
      <c r="T36" s="100"/>
      <c r="U36" s="100"/>
      <c r="V36" s="100"/>
    </row>
    <row r="37">
      <c r="A37" s="101"/>
      <c r="B37" s="101"/>
      <c r="C37" s="112" t="s">
        <v>5418</v>
      </c>
      <c r="D37" s="113" t="s">
        <v>381</v>
      </c>
      <c r="E37" s="113" t="s">
        <v>76</v>
      </c>
      <c r="F37" s="138" t="s">
        <v>76</v>
      </c>
      <c r="G37" s="98"/>
      <c r="H37" s="98"/>
      <c r="I37" s="114"/>
      <c r="J37" s="101"/>
      <c r="K37" s="118"/>
      <c r="L37" s="114"/>
      <c r="M37" s="100"/>
      <c r="N37" s="117"/>
      <c r="O37" s="99"/>
      <c r="P37" s="99"/>
      <c r="Q37" s="99"/>
      <c r="R37" s="99"/>
      <c r="S37" s="100"/>
      <c r="T37" s="100"/>
      <c r="U37" s="100"/>
      <c r="V37" s="100"/>
    </row>
    <row r="38">
      <c r="A38" s="101"/>
      <c r="B38" s="101"/>
      <c r="C38" s="101"/>
      <c r="D38" s="101"/>
      <c r="E38" s="101"/>
      <c r="F38" s="101"/>
      <c r="G38" s="98"/>
      <c r="H38" s="98"/>
      <c r="I38" s="114"/>
      <c r="J38" s="101"/>
      <c r="K38" s="118"/>
      <c r="L38" s="114"/>
      <c r="M38" s="100"/>
      <c r="N38" s="117"/>
      <c r="O38" s="99"/>
      <c r="P38" s="99"/>
      <c r="Q38" s="99"/>
      <c r="R38" s="99"/>
      <c r="S38" s="100"/>
      <c r="T38" s="100"/>
      <c r="U38" s="100"/>
      <c r="V38" s="100"/>
    </row>
    <row r="39">
      <c r="A39" s="119" t="s">
        <v>47</v>
      </c>
      <c r="B39" s="104"/>
      <c r="C39" s="120"/>
      <c r="D39" s="121"/>
      <c r="E39" s="121"/>
      <c r="F39" s="122"/>
      <c r="G39" s="123"/>
      <c r="H39" s="121"/>
      <c r="I39" s="121"/>
      <c r="J39" s="121"/>
      <c r="K39" s="121"/>
      <c r="L39" s="124"/>
      <c r="M39" s="124"/>
      <c r="N39" s="125"/>
      <c r="O39" s="125"/>
      <c r="P39" s="125"/>
      <c r="Q39" s="126"/>
      <c r="R39" s="100"/>
      <c r="S39" s="100"/>
      <c r="T39" s="100"/>
      <c r="U39" s="124"/>
      <c r="V39" s="124"/>
    </row>
    <row r="40" outlineLevel="1">
      <c r="A40" s="106"/>
      <c r="B40" s="107"/>
      <c r="C40" s="127" t="s">
        <v>48</v>
      </c>
      <c r="D40" s="128" t="s">
        <v>49</v>
      </c>
      <c r="E40" s="128" t="s">
        <v>50</v>
      </c>
      <c r="F40" s="129" t="s">
        <v>51</v>
      </c>
      <c r="G40" s="128" t="s">
        <v>52</v>
      </c>
      <c r="H40" s="361" t="s">
        <v>53</v>
      </c>
      <c r="I40" s="110"/>
      <c r="J40" s="109"/>
      <c r="K40" s="131" t="s">
        <v>137</v>
      </c>
      <c r="L40" s="131" t="s">
        <v>138</v>
      </c>
      <c r="M40" s="131" t="s">
        <v>139</v>
      </c>
      <c r="N40" s="131" t="s">
        <v>140</v>
      </c>
      <c r="O40" s="132" t="s">
        <v>141</v>
      </c>
      <c r="P40" s="131" t="s">
        <v>142</v>
      </c>
      <c r="Q40" s="132" t="s">
        <v>143</v>
      </c>
      <c r="R40" s="100"/>
      <c r="S40" s="100"/>
      <c r="T40" s="100"/>
      <c r="U40" s="127" t="s">
        <v>54</v>
      </c>
      <c r="V40" s="100"/>
    </row>
    <row r="41" outlineLevel="1">
      <c r="A41" s="133" t="s">
        <v>266</v>
      </c>
      <c r="B41" s="134" t="s">
        <v>55</v>
      </c>
      <c r="C41" s="701" t="s">
        <v>217</v>
      </c>
      <c r="D41" s="701" t="s">
        <v>92</v>
      </c>
      <c r="E41" s="139" t="s">
        <v>204</v>
      </c>
      <c r="F41" s="138">
        <v>3.5999999999999996</v>
      </c>
      <c r="G41" s="139" t="s">
        <v>147</v>
      </c>
      <c r="H41" s="151" t="s">
        <v>5419</v>
      </c>
      <c r="I41" s="110"/>
      <c r="J41" s="109"/>
      <c r="K41" s="282"/>
      <c r="L41" s="282"/>
      <c r="M41" s="363"/>
      <c r="N41" s="363"/>
      <c r="O41" s="145">
        <v>0.0</v>
      </c>
      <c r="P41" s="145">
        <v>1.0</v>
      </c>
      <c r="Q41" s="145">
        <v>1.0</v>
      </c>
      <c r="R41" s="100"/>
      <c r="S41" s="100"/>
      <c r="T41" s="100"/>
      <c r="U41" s="145" t="s">
        <v>62</v>
      </c>
      <c r="V41" s="100"/>
    </row>
    <row r="42" outlineLevel="1">
      <c r="A42" s="146"/>
      <c r="B42" s="147" t="s">
        <v>63</v>
      </c>
      <c r="C42" s="467" t="s">
        <v>217</v>
      </c>
      <c r="D42" s="467" t="s">
        <v>92</v>
      </c>
      <c r="E42" s="216" t="s">
        <v>204</v>
      </c>
      <c r="F42" s="138">
        <v>3.5999999999999996</v>
      </c>
      <c r="G42" s="139" t="s">
        <v>147</v>
      </c>
      <c r="H42" s="151" t="s">
        <v>5420</v>
      </c>
      <c r="I42" s="110"/>
      <c r="J42" s="109"/>
      <c r="K42" s="282"/>
      <c r="L42" s="282"/>
      <c r="M42" s="363"/>
      <c r="N42" s="363"/>
      <c r="O42" s="145">
        <v>0.0</v>
      </c>
      <c r="P42" s="145">
        <v>1.0</v>
      </c>
      <c r="Q42" s="145">
        <v>1.0</v>
      </c>
      <c r="R42" s="100"/>
      <c r="S42" s="100"/>
      <c r="T42" s="100"/>
      <c r="U42" s="145" t="s">
        <v>69</v>
      </c>
      <c r="V42" s="100"/>
    </row>
    <row r="43" outlineLevel="1">
      <c r="A43" s="156"/>
      <c r="B43" s="147" t="s">
        <v>70</v>
      </c>
      <c r="C43" s="467" t="s">
        <v>277</v>
      </c>
      <c r="D43" s="467" t="s">
        <v>79</v>
      </c>
      <c r="E43" s="216" t="s">
        <v>73</v>
      </c>
      <c r="F43" s="138">
        <v>4.8</v>
      </c>
      <c r="G43" s="139" t="s">
        <v>75</v>
      </c>
      <c r="H43" s="151"/>
      <c r="I43" s="110"/>
      <c r="J43" s="109"/>
      <c r="K43" s="282"/>
      <c r="L43" s="282"/>
      <c r="M43" s="363"/>
      <c r="N43" s="363"/>
      <c r="O43" s="145">
        <v>0.0</v>
      </c>
      <c r="P43" s="145">
        <v>1.0</v>
      </c>
      <c r="Q43" s="145">
        <v>1.0</v>
      </c>
      <c r="R43" s="100"/>
      <c r="S43" s="100"/>
      <c r="T43" s="100"/>
      <c r="U43" s="145" t="s">
        <v>76</v>
      </c>
      <c r="V43" s="100"/>
    </row>
    <row r="44" outlineLevel="1">
      <c r="A44" s="170" t="s">
        <v>77</v>
      </c>
      <c r="B44" s="160"/>
      <c r="C44" s="467" t="s">
        <v>314</v>
      </c>
      <c r="D44" s="467" t="s">
        <v>455</v>
      </c>
      <c r="E44" s="467" t="s">
        <v>3202</v>
      </c>
      <c r="F44" s="138" t="s">
        <v>3203</v>
      </c>
      <c r="G44" s="139" t="s">
        <v>1593</v>
      </c>
      <c r="H44" s="151"/>
      <c r="I44" s="110"/>
      <c r="J44" s="109"/>
      <c r="K44" s="282"/>
      <c r="L44" s="282"/>
      <c r="M44" s="363"/>
      <c r="N44" s="363"/>
      <c r="O44" s="145">
        <v>0.0</v>
      </c>
      <c r="P44" s="145">
        <v>1.0</v>
      </c>
      <c r="Q44" s="145">
        <v>1.0</v>
      </c>
      <c r="R44" s="100"/>
      <c r="S44" s="100"/>
      <c r="T44" s="100"/>
      <c r="U44" s="145" t="s">
        <v>69</v>
      </c>
      <c r="V44" s="100"/>
    </row>
    <row r="45" outlineLevel="1">
      <c r="A45" s="133" t="s">
        <v>89</v>
      </c>
      <c r="B45" s="147" t="s">
        <v>2224</v>
      </c>
      <c r="C45" s="467" t="s">
        <v>835</v>
      </c>
      <c r="D45" s="467" t="s">
        <v>224</v>
      </c>
      <c r="E45" s="467" t="s">
        <v>150</v>
      </c>
      <c r="F45" s="138">
        <v>6.0</v>
      </c>
      <c r="G45" s="139" t="s">
        <v>102</v>
      </c>
      <c r="H45" s="163" t="s">
        <v>5421</v>
      </c>
      <c r="I45" s="164"/>
      <c r="J45" s="104"/>
      <c r="K45" s="282"/>
      <c r="L45" s="282"/>
      <c r="M45" s="363"/>
      <c r="N45" s="363"/>
      <c r="O45" s="145">
        <v>0.0</v>
      </c>
      <c r="P45" s="145">
        <v>1.0</v>
      </c>
      <c r="Q45" s="145">
        <v>1.0</v>
      </c>
      <c r="R45" s="100"/>
      <c r="S45" s="100"/>
      <c r="T45" s="100"/>
      <c r="U45" s="166" t="s">
        <v>96</v>
      </c>
      <c r="V45" s="100"/>
    </row>
    <row r="46" outlineLevel="1">
      <c r="A46" s="156"/>
      <c r="B46" s="147" t="s">
        <v>2226</v>
      </c>
      <c r="C46" s="467" t="s">
        <v>518</v>
      </c>
      <c r="D46" s="467" t="s">
        <v>111</v>
      </c>
      <c r="E46" s="467" t="s">
        <v>80</v>
      </c>
      <c r="F46" s="138">
        <v>9.6</v>
      </c>
      <c r="G46" s="139" t="s">
        <v>123</v>
      </c>
      <c r="H46" s="163"/>
      <c r="I46" s="164"/>
      <c r="J46" s="104"/>
      <c r="K46" s="282"/>
      <c r="L46" s="282"/>
      <c r="M46" s="363"/>
      <c r="N46" s="363"/>
      <c r="O46" s="145">
        <v>0.0</v>
      </c>
      <c r="P46" s="145">
        <v>1.0</v>
      </c>
      <c r="Q46" s="145">
        <v>1.0</v>
      </c>
      <c r="R46" s="100"/>
      <c r="S46" s="100"/>
      <c r="T46" s="100"/>
      <c r="U46" s="156"/>
      <c r="V46" s="100"/>
    </row>
    <row r="47" outlineLevel="1">
      <c r="A47" s="170" t="s">
        <v>97</v>
      </c>
      <c r="B47" s="160"/>
      <c r="C47" s="467" t="s">
        <v>563</v>
      </c>
      <c r="D47" s="467" t="s">
        <v>384</v>
      </c>
      <c r="E47" s="467" t="s">
        <v>5226</v>
      </c>
      <c r="F47" s="138" t="s">
        <v>5422</v>
      </c>
      <c r="G47" s="139" t="s">
        <v>5423</v>
      </c>
      <c r="H47" s="151"/>
      <c r="I47" s="110"/>
      <c r="J47" s="109"/>
      <c r="K47" s="282"/>
      <c r="L47" s="282"/>
      <c r="M47" s="363"/>
      <c r="N47" s="363"/>
      <c r="O47" s="145">
        <v>0.0</v>
      </c>
      <c r="P47" s="145">
        <v>1.0</v>
      </c>
      <c r="Q47" s="145">
        <v>1.0</v>
      </c>
      <c r="R47" s="100"/>
      <c r="S47" s="100"/>
      <c r="T47" s="100"/>
      <c r="U47" s="145" t="s">
        <v>62</v>
      </c>
      <c r="V47" s="100"/>
    </row>
    <row r="48" outlineLevel="1">
      <c r="A48" s="170" t="s">
        <v>103</v>
      </c>
      <c r="B48" s="160"/>
      <c r="C48" s="467" t="s">
        <v>322</v>
      </c>
      <c r="D48" s="467" t="s">
        <v>964</v>
      </c>
      <c r="E48" s="467" t="s">
        <v>93</v>
      </c>
      <c r="F48" s="138">
        <v>8.4</v>
      </c>
      <c r="G48" s="139" t="s">
        <v>95</v>
      </c>
      <c r="H48" s="151"/>
      <c r="I48" s="110"/>
      <c r="J48" s="109"/>
      <c r="K48" s="145"/>
      <c r="L48" s="363"/>
      <c r="M48" s="363"/>
      <c r="N48" s="363"/>
      <c r="O48" s="145">
        <v>0.0</v>
      </c>
      <c r="P48" s="145">
        <v>1.0</v>
      </c>
      <c r="Q48" s="145">
        <v>1.0</v>
      </c>
      <c r="R48" s="100"/>
      <c r="S48" s="100"/>
      <c r="T48" s="100"/>
      <c r="U48" s="145" t="s">
        <v>69</v>
      </c>
      <c r="V48" s="100"/>
    </row>
    <row r="49" outlineLevel="1">
      <c r="A49" s="133" t="s">
        <v>109</v>
      </c>
      <c r="B49" s="147"/>
      <c r="C49" s="467" t="s">
        <v>894</v>
      </c>
      <c r="D49" s="455" t="s">
        <v>901</v>
      </c>
      <c r="E49" s="467" t="s">
        <v>5424</v>
      </c>
      <c r="F49" s="138" t="s">
        <v>5425</v>
      </c>
      <c r="G49" s="139" t="s">
        <v>5426</v>
      </c>
      <c r="H49" s="163" t="s">
        <v>1214</v>
      </c>
      <c r="I49" s="164"/>
      <c r="J49" s="104"/>
      <c r="K49" s="282"/>
      <c r="L49" s="282"/>
      <c r="M49" s="363"/>
      <c r="N49" s="363"/>
      <c r="O49" s="145">
        <v>0.0</v>
      </c>
      <c r="P49" s="145">
        <v>1.0</v>
      </c>
      <c r="Q49" s="145">
        <v>1.0</v>
      </c>
      <c r="R49" s="100"/>
      <c r="S49" s="100"/>
      <c r="T49" s="100"/>
      <c r="U49" s="166" t="s">
        <v>95</v>
      </c>
      <c r="V49" s="100"/>
    </row>
    <row r="50" outlineLevel="1">
      <c r="A50" s="156"/>
      <c r="B50" s="147" t="s">
        <v>5427</v>
      </c>
      <c r="C50" s="3229" t="s">
        <v>894</v>
      </c>
      <c r="D50" s="107"/>
      <c r="E50" s="3229" t="s">
        <v>5428</v>
      </c>
      <c r="F50" s="1936" t="s">
        <v>5429</v>
      </c>
      <c r="G50" s="3230" t="s">
        <v>5430</v>
      </c>
      <c r="H50" s="106"/>
      <c r="I50" s="168"/>
      <c r="J50" s="107"/>
      <c r="K50" s="282"/>
      <c r="L50" s="282"/>
      <c r="M50" s="363"/>
      <c r="N50" s="363"/>
      <c r="O50" s="145">
        <v>0.0</v>
      </c>
      <c r="P50" s="145">
        <v>1.0</v>
      </c>
      <c r="Q50" s="145">
        <v>1.0</v>
      </c>
      <c r="R50" s="100"/>
      <c r="S50" s="100"/>
      <c r="T50" s="100"/>
      <c r="U50" s="156"/>
      <c r="V50" s="100"/>
    </row>
    <row r="51" outlineLevel="1">
      <c r="A51" s="133" t="s">
        <v>116</v>
      </c>
      <c r="B51" s="160"/>
      <c r="C51" s="467" t="s">
        <v>1734</v>
      </c>
      <c r="D51" s="455" t="s">
        <v>892</v>
      </c>
      <c r="E51" s="467" t="s">
        <v>3191</v>
      </c>
      <c r="F51" s="138" t="s">
        <v>3192</v>
      </c>
      <c r="G51" s="139" t="s">
        <v>3193</v>
      </c>
      <c r="H51" s="163" t="s">
        <v>560</v>
      </c>
      <c r="I51" s="164"/>
      <c r="J51" s="104"/>
      <c r="K51" s="363"/>
      <c r="L51" s="363"/>
      <c r="M51" s="363"/>
      <c r="N51" s="363"/>
      <c r="O51" s="145">
        <v>0.0</v>
      </c>
      <c r="P51" s="145">
        <v>1.0</v>
      </c>
      <c r="Q51" s="145">
        <v>1.0</v>
      </c>
      <c r="R51" s="100"/>
      <c r="S51" s="100"/>
      <c r="T51" s="100"/>
      <c r="U51" s="166" t="s">
        <v>123</v>
      </c>
      <c r="V51" s="100"/>
    </row>
    <row r="52" outlineLevel="1">
      <c r="A52" s="156"/>
      <c r="B52" s="147" t="s">
        <v>5427</v>
      </c>
      <c r="C52" s="3229" t="s">
        <v>1734</v>
      </c>
      <c r="D52" s="107"/>
      <c r="E52" s="3229" t="s">
        <v>5431</v>
      </c>
      <c r="F52" s="1936" t="s">
        <v>5432</v>
      </c>
      <c r="G52" s="3230" t="s">
        <v>5433</v>
      </c>
      <c r="H52" s="106"/>
      <c r="I52" s="168"/>
      <c r="J52" s="107"/>
      <c r="K52" s="363"/>
      <c r="L52" s="363"/>
      <c r="M52" s="363"/>
      <c r="N52" s="363"/>
      <c r="O52" s="145">
        <v>0.0</v>
      </c>
      <c r="P52" s="145">
        <v>1.0</v>
      </c>
      <c r="Q52" s="145">
        <v>1.0</v>
      </c>
      <c r="R52" s="100"/>
      <c r="S52" s="100"/>
      <c r="T52" s="100"/>
      <c r="U52" s="156"/>
      <c r="V52" s="100"/>
    </row>
    <row r="53" outlineLevel="1">
      <c r="A53" s="133" t="s">
        <v>124</v>
      </c>
      <c r="B53" s="147" t="s">
        <v>125</v>
      </c>
      <c r="C53" s="216" t="s">
        <v>220</v>
      </c>
      <c r="D53" s="455" t="s">
        <v>300</v>
      </c>
      <c r="E53" s="467" t="s">
        <v>5434</v>
      </c>
      <c r="F53" s="138" t="s">
        <v>5435</v>
      </c>
      <c r="G53" s="139" t="s">
        <v>5436</v>
      </c>
      <c r="H53" s="163" t="s">
        <v>130</v>
      </c>
      <c r="I53" s="164"/>
      <c r="J53" s="104"/>
      <c r="K53" s="282"/>
      <c r="L53" s="282"/>
      <c r="M53" s="363"/>
      <c r="N53" s="363"/>
      <c r="O53" s="145">
        <v>0.0</v>
      </c>
      <c r="P53" s="145">
        <v>1.0</v>
      </c>
      <c r="Q53" s="145">
        <v>1.0</v>
      </c>
      <c r="R53" s="100"/>
      <c r="S53" s="100"/>
      <c r="T53" s="100"/>
      <c r="U53" s="166" t="s">
        <v>62</v>
      </c>
      <c r="V53" s="100"/>
    </row>
    <row r="54" outlineLevel="1">
      <c r="A54" s="146"/>
      <c r="B54" s="147" t="s">
        <v>5427</v>
      </c>
      <c r="C54" s="3229" t="s">
        <v>220</v>
      </c>
      <c r="D54" s="210"/>
      <c r="E54" s="3229" t="s">
        <v>5437</v>
      </c>
      <c r="F54" s="1936" t="s">
        <v>5438</v>
      </c>
      <c r="G54" s="3230" t="s">
        <v>5439</v>
      </c>
      <c r="H54" s="212"/>
      <c r="J54" s="210"/>
      <c r="K54" s="282"/>
      <c r="L54" s="282"/>
      <c r="M54" s="363"/>
      <c r="N54" s="363"/>
      <c r="O54" s="145"/>
      <c r="P54" s="145"/>
      <c r="Q54" s="145"/>
      <c r="R54" s="100"/>
      <c r="S54" s="100"/>
      <c r="T54" s="100"/>
      <c r="U54" s="146"/>
      <c r="V54" s="100"/>
    </row>
    <row r="55" outlineLevel="1">
      <c r="A55" s="146"/>
      <c r="B55" s="147" t="s">
        <v>131</v>
      </c>
      <c r="C55" s="216" t="s">
        <v>351</v>
      </c>
      <c r="D55" s="210"/>
      <c r="E55" s="467" t="s">
        <v>5434</v>
      </c>
      <c r="F55" s="138" t="s">
        <v>5435</v>
      </c>
      <c r="G55" s="139" t="s">
        <v>5436</v>
      </c>
      <c r="H55" s="212"/>
      <c r="J55" s="210"/>
      <c r="K55" s="282"/>
      <c r="L55" s="282"/>
      <c r="M55" s="363"/>
      <c r="N55" s="363"/>
      <c r="O55" s="145"/>
      <c r="P55" s="145"/>
      <c r="Q55" s="145"/>
      <c r="R55" s="100"/>
      <c r="S55" s="100"/>
      <c r="T55" s="100"/>
      <c r="U55" s="146"/>
      <c r="V55" s="100"/>
    </row>
    <row r="56" outlineLevel="1">
      <c r="A56" s="156"/>
      <c r="B56" s="147" t="s">
        <v>5427</v>
      </c>
      <c r="C56" s="3229" t="s">
        <v>351</v>
      </c>
      <c r="D56" s="107"/>
      <c r="E56" s="3229" t="s">
        <v>5437</v>
      </c>
      <c r="F56" s="1936" t="s">
        <v>5438</v>
      </c>
      <c r="G56" s="3230" t="s">
        <v>5439</v>
      </c>
      <c r="H56" s="106"/>
      <c r="I56" s="168"/>
      <c r="J56" s="107"/>
      <c r="K56" s="282"/>
      <c r="L56" s="282"/>
      <c r="M56" s="363"/>
      <c r="N56" s="363"/>
      <c r="O56" s="145">
        <v>0.0</v>
      </c>
      <c r="P56" s="145">
        <v>1.0</v>
      </c>
      <c r="Q56" s="145">
        <v>1.0</v>
      </c>
      <c r="R56" s="100"/>
      <c r="S56" s="100"/>
      <c r="T56" s="100"/>
      <c r="U56" s="156"/>
      <c r="V56" s="100"/>
    </row>
    <row r="57">
      <c r="A57" s="118"/>
      <c r="B57" s="176"/>
      <c r="C57" s="118"/>
      <c r="D57" s="118"/>
      <c r="E57" s="118"/>
      <c r="F57" s="177"/>
      <c r="G57" s="177"/>
      <c r="H57" s="118"/>
      <c r="I57" s="118"/>
      <c r="J57" s="118"/>
      <c r="K57" s="118"/>
      <c r="L57" s="118"/>
      <c r="M57" s="118"/>
      <c r="N57" s="118"/>
      <c r="O57" s="118"/>
      <c r="P57" s="118"/>
      <c r="Q57" s="118"/>
      <c r="R57" s="118"/>
      <c r="S57" s="118"/>
      <c r="T57" s="118"/>
      <c r="U57" s="118"/>
      <c r="V57" s="118"/>
    </row>
    <row r="58">
      <c r="A58" s="178" t="s">
        <v>133</v>
      </c>
      <c r="B58" s="104"/>
      <c r="C58" s="179"/>
      <c r="D58" s="179"/>
      <c r="E58" s="179"/>
      <c r="F58" s="180"/>
      <c r="G58" s="179"/>
      <c r="H58" s="180"/>
      <c r="I58" s="180"/>
      <c r="J58" s="181"/>
      <c r="K58" s="180"/>
      <c r="L58" s="180"/>
      <c r="M58" s="180"/>
      <c r="N58" s="180"/>
      <c r="O58" s="180"/>
      <c r="P58" s="180"/>
      <c r="Q58" s="180"/>
      <c r="R58" s="180"/>
      <c r="S58" s="180"/>
      <c r="T58" s="180"/>
      <c r="U58" s="180"/>
      <c r="V58" s="180"/>
    </row>
    <row r="59" outlineLevel="1">
      <c r="A59" s="106"/>
      <c r="B59" s="107"/>
      <c r="C59" s="182" t="s">
        <v>48</v>
      </c>
      <c r="D59" s="183" t="s">
        <v>49</v>
      </c>
      <c r="E59" s="182" t="s">
        <v>50</v>
      </c>
      <c r="F59" s="184" t="s">
        <v>51</v>
      </c>
      <c r="G59" s="184" t="s">
        <v>134</v>
      </c>
      <c r="H59" s="185" t="s">
        <v>52</v>
      </c>
      <c r="I59" s="184" t="s">
        <v>135</v>
      </c>
      <c r="J59" s="186" t="s">
        <v>136</v>
      </c>
      <c r="K59" s="184" t="s">
        <v>137</v>
      </c>
      <c r="L59" s="184" t="s">
        <v>138</v>
      </c>
      <c r="M59" s="184" t="s">
        <v>139</v>
      </c>
      <c r="N59" s="184" t="s">
        <v>140</v>
      </c>
      <c r="O59" s="186" t="s">
        <v>141</v>
      </c>
      <c r="P59" s="184" t="s">
        <v>142</v>
      </c>
      <c r="Q59" s="186" t="s">
        <v>143</v>
      </c>
      <c r="R59" s="372" t="s">
        <v>53</v>
      </c>
      <c r="S59" s="110"/>
      <c r="T59" s="110"/>
      <c r="U59" s="110"/>
      <c r="V59" s="109"/>
    </row>
    <row r="60" outlineLevel="1">
      <c r="A60" s="213" t="s">
        <v>144</v>
      </c>
      <c r="B60" s="373"/>
      <c r="C60" s="239" t="s">
        <v>2389</v>
      </c>
      <c r="D60" s="467" t="s">
        <v>146</v>
      </c>
      <c r="E60" s="401" t="s">
        <v>274</v>
      </c>
      <c r="F60" s="193">
        <v>10.799999999999999</v>
      </c>
      <c r="G60" s="193">
        <v>9.18</v>
      </c>
      <c r="H60" s="138" t="s">
        <v>147</v>
      </c>
      <c r="I60" s="467" t="s">
        <v>128</v>
      </c>
      <c r="J60" s="467" t="s">
        <v>1326</v>
      </c>
      <c r="K60" s="138">
        <v>361.0</v>
      </c>
      <c r="L60" s="282"/>
      <c r="M60" s="363"/>
      <c r="N60" s="363"/>
      <c r="O60" s="145">
        <v>0.0</v>
      </c>
      <c r="P60" s="145">
        <v>1.0</v>
      </c>
      <c r="Q60" s="145">
        <v>1.0</v>
      </c>
      <c r="R60" s="151"/>
      <c r="S60" s="110"/>
      <c r="T60" s="110"/>
      <c r="U60" s="110"/>
      <c r="V60" s="109"/>
    </row>
    <row r="61" outlineLevel="1">
      <c r="A61" s="213" t="s">
        <v>151</v>
      </c>
      <c r="B61" s="373"/>
      <c r="C61" s="239" t="s">
        <v>1111</v>
      </c>
      <c r="D61" s="467" t="s">
        <v>221</v>
      </c>
      <c r="E61" s="239" t="s">
        <v>5440</v>
      </c>
      <c r="F61" s="138" t="s">
        <v>5441</v>
      </c>
      <c r="G61" s="138" t="s">
        <v>5442</v>
      </c>
      <c r="H61" s="138" t="s">
        <v>2956</v>
      </c>
      <c r="I61" s="467" t="s">
        <v>129</v>
      </c>
      <c r="J61" s="467" t="s">
        <v>2387</v>
      </c>
      <c r="K61" s="138">
        <v>45.0</v>
      </c>
      <c r="L61" s="282"/>
      <c r="M61" s="363"/>
      <c r="N61" s="363"/>
      <c r="O61" s="145">
        <v>0.0</v>
      </c>
      <c r="P61" s="145">
        <v>1.0</v>
      </c>
      <c r="Q61" s="145">
        <v>1.0</v>
      </c>
      <c r="R61" s="151"/>
      <c r="S61" s="110"/>
      <c r="T61" s="110"/>
      <c r="U61" s="110"/>
      <c r="V61" s="109"/>
    </row>
    <row r="62" outlineLevel="1">
      <c r="A62" s="213" t="s">
        <v>157</v>
      </c>
      <c r="B62" s="373"/>
      <c r="C62" s="239" t="s">
        <v>312</v>
      </c>
      <c r="D62" s="467" t="s">
        <v>111</v>
      </c>
      <c r="E62" s="239" t="s">
        <v>3194</v>
      </c>
      <c r="F62" s="138" t="s">
        <v>3195</v>
      </c>
      <c r="G62" s="138" t="s">
        <v>5443</v>
      </c>
      <c r="H62" s="138" t="s">
        <v>1766</v>
      </c>
      <c r="I62" s="467" t="s">
        <v>119</v>
      </c>
      <c r="J62" s="467" t="s">
        <v>5444</v>
      </c>
      <c r="K62" s="138">
        <v>57.0</v>
      </c>
      <c r="L62" s="282"/>
      <c r="M62" s="363"/>
      <c r="N62" s="363"/>
      <c r="O62" s="145">
        <v>0.0</v>
      </c>
      <c r="P62" s="145">
        <v>1.0</v>
      </c>
      <c r="Q62" s="145">
        <v>1.0</v>
      </c>
      <c r="R62" s="151"/>
      <c r="S62" s="110"/>
      <c r="T62" s="110"/>
      <c r="U62" s="110"/>
      <c r="V62" s="109"/>
    </row>
    <row r="63" outlineLevel="1">
      <c r="A63" s="213" t="s">
        <v>162</v>
      </c>
      <c r="B63" s="373"/>
      <c r="C63" s="239" t="s">
        <v>322</v>
      </c>
      <c r="D63" s="467" t="s">
        <v>964</v>
      </c>
      <c r="E63" s="239" t="s">
        <v>93</v>
      </c>
      <c r="F63" s="138">
        <v>8.4</v>
      </c>
      <c r="G63" s="138">
        <v>7.140000000000001</v>
      </c>
      <c r="H63" s="138" t="s">
        <v>60</v>
      </c>
      <c r="I63" s="467" t="s">
        <v>80</v>
      </c>
      <c r="J63" s="467" t="s">
        <v>5445</v>
      </c>
      <c r="K63" s="282"/>
      <c r="L63" s="282"/>
      <c r="M63" s="363"/>
      <c r="N63" s="363"/>
      <c r="O63" s="145">
        <v>0.0</v>
      </c>
      <c r="P63" s="145">
        <v>1.0</v>
      </c>
      <c r="Q63" s="145">
        <v>1.0</v>
      </c>
      <c r="R63" s="151"/>
      <c r="S63" s="110"/>
      <c r="T63" s="110"/>
      <c r="U63" s="110"/>
      <c r="V63" s="109"/>
    </row>
    <row r="64" outlineLevel="1">
      <c r="A64" s="188" t="s">
        <v>166</v>
      </c>
      <c r="B64" s="373" t="s">
        <v>155</v>
      </c>
      <c r="C64" s="239" t="s">
        <v>1137</v>
      </c>
      <c r="D64" s="455" t="s">
        <v>335</v>
      </c>
      <c r="E64" s="239" t="s">
        <v>153</v>
      </c>
      <c r="F64" s="138">
        <v>19.2</v>
      </c>
      <c r="G64" s="138">
        <v>16.32</v>
      </c>
      <c r="H64" s="138" t="s">
        <v>102</v>
      </c>
      <c r="I64" s="455" t="s">
        <v>466</v>
      </c>
      <c r="J64" s="455" t="s">
        <v>1530</v>
      </c>
      <c r="K64" s="282"/>
      <c r="L64" s="282"/>
      <c r="M64" s="363"/>
      <c r="N64" s="363"/>
      <c r="O64" s="145">
        <v>0.0</v>
      </c>
      <c r="P64" s="145">
        <v>1.0</v>
      </c>
      <c r="Q64" s="145">
        <v>1.0</v>
      </c>
      <c r="R64" s="163"/>
      <c r="S64" s="164"/>
      <c r="T64" s="164"/>
      <c r="U64" s="164"/>
      <c r="V64" s="104"/>
    </row>
    <row r="65" outlineLevel="1">
      <c r="A65" s="156"/>
      <c r="B65" s="373" t="s">
        <v>84</v>
      </c>
      <c r="C65" s="239" t="s">
        <v>1164</v>
      </c>
      <c r="D65" s="107"/>
      <c r="E65" s="239" t="s">
        <v>128</v>
      </c>
      <c r="F65" s="138">
        <v>12.0</v>
      </c>
      <c r="G65" s="138">
        <v>10.2</v>
      </c>
      <c r="H65" s="138" t="s">
        <v>147</v>
      </c>
      <c r="I65" s="107"/>
      <c r="J65" s="107"/>
      <c r="K65" s="282"/>
      <c r="L65" s="282"/>
      <c r="M65" s="363"/>
      <c r="N65" s="363"/>
      <c r="O65" s="145">
        <v>0.0</v>
      </c>
      <c r="P65" s="145">
        <v>1.0</v>
      </c>
      <c r="Q65" s="145">
        <v>1.0</v>
      </c>
      <c r="R65" s="106"/>
      <c r="S65" s="168"/>
      <c r="T65" s="168"/>
      <c r="U65" s="168"/>
      <c r="V65" s="107"/>
    </row>
    <row r="66">
      <c r="A66" s="223"/>
      <c r="B66" s="224"/>
      <c r="C66" s="225"/>
      <c r="D66" s="225"/>
      <c r="E66" s="226"/>
      <c r="F66" s="226"/>
      <c r="G66" s="226"/>
      <c r="H66" s="227"/>
      <c r="I66" s="227"/>
      <c r="J66" s="228"/>
      <c r="K66" s="228"/>
      <c r="L66" s="228"/>
      <c r="M66" s="228"/>
      <c r="N66" s="228"/>
      <c r="O66" s="228"/>
      <c r="P66" s="228"/>
      <c r="Q66" s="118"/>
      <c r="R66" s="118"/>
      <c r="S66" s="118"/>
      <c r="T66" s="118"/>
      <c r="U66" s="118"/>
      <c r="V66" s="118"/>
    </row>
    <row r="67">
      <c r="A67" s="229" t="s">
        <v>177</v>
      </c>
      <c r="B67" s="109"/>
      <c r="C67" s="225"/>
      <c r="D67" s="225"/>
      <c r="E67" s="226"/>
      <c r="F67" s="226"/>
      <c r="G67" s="226"/>
      <c r="H67" s="227"/>
      <c r="I67" s="227"/>
      <c r="J67" s="228"/>
      <c r="K67" s="228"/>
      <c r="L67" s="228"/>
      <c r="M67" s="228"/>
      <c r="N67" s="228"/>
      <c r="O67" s="228"/>
      <c r="P67" s="228"/>
      <c r="Q67" s="118"/>
      <c r="R67" s="118"/>
      <c r="S67" s="118"/>
      <c r="T67" s="118"/>
      <c r="U67" s="118"/>
      <c r="V67" s="118"/>
    </row>
    <row r="68" outlineLevel="1">
      <c r="A68" s="230" t="s">
        <v>5446</v>
      </c>
      <c r="B68" s="109"/>
      <c r="C68" s="231" t="s">
        <v>48</v>
      </c>
      <c r="D68" s="231" t="s">
        <v>49</v>
      </c>
      <c r="E68" s="232" t="s">
        <v>50</v>
      </c>
      <c r="F68" s="233" t="s">
        <v>51</v>
      </c>
      <c r="G68" s="232" t="s">
        <v>52</v>
      </c>
      <c r="H68" s="382" t="s">
        <v>53</v>
      </c>
      <c r="I68" s="110"/>
      <c r="J68" s="109"/>
      <c r="K68" s="235" t="s">
        <v>137</v>
      </c>
      <c r="L68" s="235" t="s">
        <v>138</v>
      </c>
      <c r="M68" s="235" t="s">
        <v>139</v>
      </c>
      <c r="N68" s="235" t="s">
        <v>140</v>
      </c>
      <c r="O68" s="236" t="s">
        <v>141</v>
      </c>
      <c r="P68" s="235" t="s">
        <v>142</v>
      </c>
      <c r="Q68" s="236" t="s">
        <v>143</v>
      </c>
      <c r="R68" s="235" t="s">
        <v>179</v>
      </c>
      <c r="S68" s="236" t="s">
        <v>180</v>
      </c>
      <c r="T68" s="236" t="s">
        <v>181</v>
      </c>
      <c r="U68" s="236" t="s">
        <v>182</v>
      </c>
      <c r="V68" s="3198" t="s">
        <v>183</v>
      </c>
    </row>
    <row r="69" outlineLevel="1">
      <c r="A69" s="237" t="s">
        <v>5447</v>
      </c>
      <c r="B69" s="243"/>
      <c r="C69" s="239" t="s">
        <v>5448</v>
      </c>
      <c r="D69" s="455" t="s">
        <v>5449</v>
      </c>
      <c r="E69" s="239" t="s">
        <v>274</v>
      </c>
      <c r="F69" s="138">
        <v>10.799999999999999</v>
      </c>
      <c r="G69" s="239" t="s">
        <v>147</v>
      </c>
      <c r="H69" s="163" t="s">
        <v>5450</v>
      </c>
      <c r="I69" s="164"/>
      <c r="J69" s="104"/>
      <c r="K69" s="282"/>
      <c r="L69" s="282"/>
      <c r="M69" s="363"/>
      <c r="N69" s="363"/>
      <c r="O69" s="145">
        <v>0.0</v>
      </c>
      <c r="P69" s="145">
        <v>1.0</v>
      </c>
      <c r="Q69" s="145">
        <v>1.0</v>
      </c>
      <c r="R69" s="145" t="b">
        <v>1</v>
      </c>
      <c r="S69" s="145" t="b">
        <v>1</v>
      </c>
      <c r="T69" s="145"/>
      <c r="U69" s="166" t="s">
        <v>186</v>
      </c>
      <c r="V69" s="166" t="b">
        <v>1</v>
      </c>
    </row>
    <row r="70" outlineLevel="1">
      <c r="A70" s="146"/>
      <c r="B70" s="243" t="s">
        <v>84</v>
      </c>
      <c r="C70" s="239" t="s">
        <v>5451</v>
      </c>
      <c r="D70" s="107"/>
      <c r="E70" s="239" t="s">
        <v>86</v>
      </c>
      <c r="F70" s="138">
        <v>7.199999999999999</v>
      </c>
      <c r="G70" s="239" t="s">
        <v>60</v>
      </c>
      <c r="H70" s="212"/>
      <c r="J70" s="210"/>
      <c r="K70" s="282"/>
      <c r="L70" s="282"/>
      <c r="M70" s="363"/>
      <c r="N70" s="363"/>
      <c r="O70" s="145"/>
      <c r="P70" s="145"/>
      <c r="Q70" s="145"/>
      <c r="R70" s="145" t="b">
        <v>0</v>
      </c>
      <c r="S70" s="145" t="b">
        <v>0</v>
      </c>
      <c r="T70" s="145" t="b">
        <v>0</v>
      </c>
      <c r="U70" s="146"/>
      <c r="V70" s="146"/>
    </row>
    <row r="71" outlineLevel="1">
      <c r="A71" s="237" t="s">
        <v>5452</v>
      </c>
      <c r="B71" s="243" t="s">
        <v>3326</v>
      </c>
      <c r="C71" s="239" t="s">
        <v>5453</v>
      </c>
      <c r="D71" s="455" t="s">
        <v>5454</v>
      </c>
      <c r="E71" s="239" t="s">
        <v>274</v>
      </c>
      <c r="F71" s="138">
        <v>10.799999999999999</v>
      </c>
      <c r="G71" s="239" t="s">
        <v>147</v>
      </c>
      <c r="H71" s="212"/>
      <c r="J71" s="210"/>
      <c r="K71" s="282"/>
      <c r="L71" s="282"/>
      <c r="M71" s="363"/>
      <c r="N71" s="363"/>
      <c r="O71" s="145">
        <v>0.0</v>
      </c>
      <c r="P71" s="145">
        <v>1.0</v>
      </c>
      <c r="Q71" s="145">
        <v>1.0</v>
      </c>
      <c r="R71" s="145" t="b">
        <v>1</v>
      </c>
      <c r="S71" s="145" t="b">
        <v>1</v>
      </c>
      <c r="T71" s="145"/>
      <c r="U71" s="146"/>
      <c r="V71" s="146"/>
    </row>
    <row r="72" outlineLevel="1">
      <c r="A72" s="146"/>
      <c r="B72" s="243" t="s">
        <v>3331</v>
      </c>
      <c r="C72" s="239" t="s">
        <v>5453</v>
      </c>
      <c r="D72" s="107"/>
      <c r="E72" s="239" t="s">
        <v>274</v>
      </c>
      <c r="F72" s="138">
        <v>10.799999999999999</v>
      </c>
      <c r="G72" s="239" t="s">
        <v>147</v>
      </c>
      <c r="H72" s="212"/>
      <c r="J72" s="210"/>
      <c r="K72" s="282"/>
      <c r="L72" s="282"/>
      <c r="M72" s="363"/>
      <c r="N72" s="363"/>
      <c r="O72" s="145"/>
      <c r="P72" s="145"/>
      <c r="Q72" s="145"/>
      <c r="R72" s="145" t="b">
        <v>0</v>
      </c>
      <c r="S72" s="145" t="b">
        <v>0</v>
      </c>
      <c r="T72" s="145" t="b">
        <v>0</v>
      </c>
      <c r="U72" s="146"/>
      <c r="V72" s="146"/>
    </row>
    <row r="73" outlineLevel="1">
      <c r="A73" s="237" t="s">
        <v>5455</v>
      </c>
      <c r="B73" s="243" t="s">
        <v>5456</v>
      </c>
      <c r="C73" s="239" t="s">
        <v>5457</v>
      </c>
      <c r="D73" s="455" t="s">
        <v>208</v>
      </c>
      <c r="E73" s="239" t="s">
        <v>296</v>
      </c>
      <c r="F73" s="138">
        <v>22.8</v>
      </c>
      <c r="G73" s="239" t="s">
        <v>102</v>
      </c>
      <c r="H73" s="212"/>
      <c r="J73" s="210"/>
      <c r="K73" s="282"/>
      <c r="L73" s="282"/>
      <c r="M73" s="363"/>
      <c r="N73" s="363"/>
      <c r="O73" s="145">
        <v>0.0</v>
      </c>
      <c r="P73" s="145">
        <v>1.0</v>
      </c>
      <c r="Q73" s="145">
        <v>1.0</v>
      </c>
      <c r="R73" s="145" t="b">
        <v>1</v>
      </c>
      <c r="S73" s="145" t="b">
        <v>1</v>
      </c>
      <c r="T73" s="145"/>
      <c r="U73" s="146"/>
      <c r="V73" s="146"/>
    </row>
    <row r="74" outlineLevel="1">
      <c r="A74" s="146"/>
      <c r="B74" s="243" t="s">
        <v>5368</v>
      </c>
      <c r="C74" s="239" t="s">
        <v>5458</v>
      </c>
      <c r="D74" s="210"/>
      <c r="E74" s="239" t="s">
        <v>5459</v>
      </c>
      <c r="F74" s="138" t="s">
        <v>5460</v>
      </c>
      <c r="G74" s="239" t="s">
        <v>5461</v>
      </c>
      <c r="H74" s="212"/>
      <c r="J74" s="210"/>
      <c r="K74" s="138"/>
      <c r="L74" s="138"/>
      <c r="M74" s="145"/>
      <c r="N74" s="145"/>
      <c r="O74" s="145"/>
      <c r="P74" s="145"/>
      <c r="Q74" s="145"/>
      <c r="R74" s="145" t="b">
        <v>0</v>
      </c>
      <c r="S74" s="145" t="b">
        <v>0</v>
      </c>
      <c r="T74" s="145" t="b">
        <v>0</v>
      </c>
      <c r="U74" s="146"/>
      <c r="V74" s="146"/>
    </row>
    <row r="75" outlineLevel="1">
      <c r="A75" s="146"/>
      <c r="B75" s="243" t="s">
        <v>5370</v>
      </c>
      <c r="C75" s="239" t="s">
        <v>667</v>
      </c>
      <c r="D75" s="107"/>
      <c r="E75" s="239" t="s">
        <v>5462</v>
      </c>
      <c r="F75" s="138" t="s">
        <v>5463</v>
      </c>
      <c r="G75" s="239" t="s">
        <v>2334</v>
      </c>
      <c r="H75" s="106"/>
      <c r="I75" s="168"/>
      <c r="J75" s="107"/>
      <c r="K75" s="138"/>
      <c r="L75" s="138"/>
      <c r="M75" s="145"/>
      <c r="N75" s="145"/>
      <c r="O75" s="145">
        <v>0.0</v>
      </c>
      <c r="P75" s="145">
        <v>1.0</v>
      </c>
      <c r="Q75" s="145">
        <v>1.0</v>
      </c>
      <c r="R75" s="145" t="b">
        <v>1</v>
      </c>
      <c r="S75" s="145" t="b">
        <v>1</v>
      </c>
      <c r="T75" s="145"/>
      <c r="U75" s="156"/>
      <c r="V75" s="156"/>
    </row>
    <row r="76" outlineLevel="1">
      <c r="A76" s="230" t="s">
        <v>5464</v>
      </c>
      <c r="B76" s="109"/>
      <c r="C76" s="231" t="s">
        <v>48</v>
      </c>
      <c r="D76" s="231" t="s">
        <v>49</v>
      </c>
      <c r="E76" s="232" t="s">
        <v>50</v>
      </c>
      <c r="F76" s="233" t="s">
        <v>51</v>
      </c>
      <c r="G76" s="232"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3198" t="s">
        <v>183</v>
      </c>
    </row>
    <row r="77" outlineLevel="1">
      <c r="A77" s="237" t="s">
        <v>5465</v>
      </c>
      <c r="B77" s="243"/>
      <c r="C77" s="239" t="s">
        <v>5466</v>
      </c>
      <c r="D77" s="455" t="s">
        <v>5467</v>
      </c>
      <c r="E77" s="239" t="s">
        <v>150</v>
      </c>
      <c r="F77" s="138">
        <v>6.0</v>
      </c>
      <c r="G77" s="239" t="s">
        <v>102</v>
      </c>
      <c r="H77" s="163" t="s">
        <v>5468</v>
      </c>
      <c r="I77" s="164"/>
      <c r="J77" s="104"/>
      <c r="K77" s="282"/>
      <c r="L77" s="282"/>
      <c r="M77" s="363"/>
      <c r="N77" s="363"/>
      <c r="O77" s="145">
        <v>0.0</v>
      </c>
      <c r="P77" s="145">
        <v>1.0</v>
      </c>
      <c r="Q77" s="145">
        <v>1.0</v>
      </c>
      <c r="R77" s="145" t="b">
        <v>1</v>
      </c>
      <c r="S77" s="145" t="b">
        <v>1</v>
      </c>
      <c r="T77" s="145"/>
      <c r="U77" s="166" t="s">
        <v>186</v>
      </c>
      <c r="V77" s="166" t="b">
        <v>1</v>
      </c>
    </row>
    <row r="78" outlineLevel="1">
      <c r="A78" s="146"/>
      <c r="B78" s="243" t="s">
        <v>84</v>
      </c>
      <c r="C78" s="239" t="s">
        <v>309</v>
      </c>
      <c r="D78" s="210"/>
      <c r="E78" s="239" t="s">
        <v>204</v>
      </c>
      <c r="F78" s="138">
        <v>3.5999999999999996</v>
      </c>
      <c r="G78" s="239" t="s">
        <v>147</v>
      </c>
      <c r="H78" s="212"/>
      <c r="J78" s="210"/>
      <c r="K78" s="282"/>
      <c r="L78" s="282"/>
      <c r="M78" s="363"/>
      <c r="N78" s="363"/>
      <c r="O78" s="145"/>
      <c r="P78" s="145"/>
      <c r="Q78" s="145"/>
      <c r="R78" s="145" t="b">
        <v>0</v>
      </c>
      <c r="S78" s="145" t="b">
        <v>0</v>
      </c>
      <c r="T78" s="145" t="b">
        <v>0</v>
      </c>
      <c r="U78" s="146"/>
      <c r="V78" s="146"/>
    </row>
    <row r="79" outlineLevel="1">
      <c r="A79" s="146"/>
      <c r="B79" s="243" t="s">
        <v>5469</v>
      </c>
      <c r="C79" s="239" t="s">
        <v>5470</v>
      </c>
      <c r="D79" s="210"/>
      <c r="E79" s="239" t="s">
        <v>5471</v>
      </c>
      <c r="F79" s="138" t="s">
        <v>5472</v>
      </c>
      <c r="G79" s="239" t="s">
        <v>5473</v>
      </c>
      <c r="H79" s="212"/>
      <c r="J79" s="210"/>
      <c r="K79" s="282"/>
      <c r="L79" s="282"/>
      <c r="M79" s="363"/>
      <c r="N79" s="363"/>
      <c r="O79" s="145"/>
      <c r="P79" s="145"/>
      <c r="Q79" s="145"/>
      <c r="R79" s="145" t="b">
        <v>0</v>
      </c>
      <c r="S79" s="145" t="b">
        <v>0</v>
      </c>
      <c r="T79" s="145" t="b">
        <v>0</v>
      </c>
      <c r="U79" s="146"/>
      <c r="V79" s="146"/>
    </row>
    <row r="80" outlineLevel="1">
      <c r="A80" s="146"/>
      <c r="B80" s="243" t="s">
        <v>5474</v>
      </c>
      <c r="C80" s="1938" t="s">
        <v>5475</v>
      </c>
      <c r="D80" s="107"/>
      <c r="E80" s="1938" t="s">
        <v>176</v>
      </c>
      <c r="F80" s="1940">
        <v>2.4</v>
      </c>
      <c r="G80" s="1938" t="s">
        <v>60</v>
      </c>
      <c r="H80" s="106"/>
      <c r="I80" s="168"/>
      <c r="J80" s="107"/>
      <c r="K80" s="282"/>
      <c r="L80" s="282"/>
      <c r="M80" s="363"/>
      <c r="N80" s="363"/>
      <c r="O80" s="145"/>
      <c r="P80" s="145"/>
      <c r="Q80" s="145"/>
      <c r="R80" s="145" t="b">
        <v>0</v>
      </c>
      <c r="S80" s="145" t="b">
        <v>0</v>
      </c>
      <c r="T80" s="145" t="b">
        <v>0</v>
      </c>
      <c r="U80" s="146"/>
      <c r="V80" s="146"/>
    </row>
    <row r="81" outlineLevel="1">
      <c r="A81" s="237" t="s">
        <v>5476</v>
      </c>
      <c r="B81" s="243"/>
      <c r="C81" s="239" t="s">
        <v>5477</v>
      </c>
      <c r="D81" s="455" t="s">
        <v>5478</v>
      </c>
      <c r="E81" s="239" t="s">
        <v>86</v>
      </c>
      <c r="F81" s="138">
        <v>7.199999999999999</v>
      </c>
      <c r="G81" s="239" t="s">
        <v>102</v>
      </c>
      <c r="H81" s="163" t="s">
        <v>5479</v>
      </c>
      <c r="I81" s="164"/>
      <c r="J81" s="104"/>
      <c r="K81" s="282"/>
      <c r="L81" s="282"/>
      <c r="M81" s="363"/>
      <c r="N81" s="363"/>
      <c r="O81" s="145">
        <v>0.0</v>
      </c>
      <c r="P81" s="145">
        <v>1.0</v>
      </c>
      <c r="Q81" s="145">
        <v>1.0</v>
      </c>
      <c r="R81" s="145" t="b">
        <v>1</v>
      </c>
      <c r="S81" s="145" t="b">
        <v>1</v>
      </c>
      <c r="T81" s="145"/>
      <c r="U81" s="146"/>
      <c r="V81" s="146"/>
    </row>
    <row r="82" ht="22.5" customHeight="1" outlineLevel="1">
      <c r="A82" s="146"/>
      <c r="B82" s="243" t="s">
        <v>5469</v>
      </c>
      <c r="C82" s="239" t="s">
        <v>5470</v>
      </c>
      <c r="D82" s="107"/>
      <c r="E82" s="239" t="s">
        <v>5480</v>
      </c>
      <c r="F82" s="138" t="s">
        <v>5481</v>
      </c>
      <c r="G82" s="239" t="s">
        <v>5482</v>
      </c>
      <c r="H82" s="106"/>
      <c r="I82" s="168"/>
      <c r="J82" s="107"/>
      <c r="K82" s="282"/>
      <c r="L82" s="282"/>
      <c r="M82" s="363"/>
      <c r="N82" s="363"/>
      <c r="O82" s="145"/>
      <c r="P82" s="145"/>
      <c r="Q82" s="145"/>
      <c r="R82" s="145" t="b">
        <v>0</v>
      </c>
      <c r="S82" s="145" t="b">
        <v>0</v>
      </c>
      <c r="T82" s="145" t="b">
        <v>0</v>
      </c>
      <c r="U82" s="146"/>
      <c r="V82" s="146"/>
    </row>
    <row r="83" outlineLevel="1">
      <c r="A83" s="237" t="s">
        <v>5483</v>
      </c>
      <c r="B83" s="243" t="s">
        <v>5484</v>
      </c>
      <c r="C83" s="239" t="s">
        <v>5485</v>
      </c>
      <c r="D83" s="2079"/>
      <c r="E83" s="239" t="s">
        <v>129</v>
      </c>
      <c r="F83" s="138">
        <v>14.4</v>
      </c>
      <c r="G83" s="239" t="s">
        <v>147</v>
      </c>
      <c r="H83" s="163" t="s">
        <v>5486</v>
      </c>
      <c r="I83" s="164"/>
      <c r="J83" s="104"/>
      <c r="K83" s="282"/>
      <c r="L83" s="282"/>
      <c r="M83" s="363"/>
      <c r="N83" s="363"/>
      <c r="O83" s="145">
        <v>0.0</v>
      </c>
      <c r="P83" s="145">
        <v>1.0</v>
      </c>
      <c r="Q83" s="145">
        <v>1.0</v>
      </c>
      <c r="R83" s="145" t="b">
        <v>1</v>
      </c>
      <c r="S83" s="145" t="b">
        <v>1</v>
      </c>
      <c r="T83" s="145"/>
      <c r="U83" s="146"/>
      <c r="V83" s="146"/>
    </row>
    <row r="84" outlineLevel="1">
      <c r="A84" s="146"/>
      <c r="B84" s="243" t="s">
        <v>5487</v>
      </c>
      <c r="C84" s="239" t="s">
        <v>5488</v>
      </c>
      <c r="D84" s="107"/>
      <c r="E84" s="239" t="s">
        <v>128</v>
      </c>
      <c r="F84" s="138">
        <v>12.0</v>
      </c>
      <c r="G84" s="239" t="s">
        <v>147</v>
      </c>
      <c r="H84" s="212"/>
      <c r="J84" s="210"/>
      <c r="K84" s="138"/>
      <c r="L84" s="138"/>
      <c r="M84" s="145"/>
      <c r="N84" s="145"/>
      <c r="O84" s="145"/>
      <c r="P84" s="145"/>
      <c r="Q84" s="145"/>
      <c r="R84" s="145" t="b">
        <v>0</v>
      </c>
      <c r="S84" s="145" t="b">
        <v>0</v>
      </c>
      <c r="T84" s="145" t="b">
        <v>0</v>
      </c>
      <c r="U84" s="146"/>
      <c r="V84" s="146"/>
    </row>
    <row r="85" ht="18.75" customHeight="1" outlineLevel="1">
      <c r="A85" s="146"/>
      <c r="B85" s="243" t="s">
        <v>5489</v>
      </c>
      <c r="C85" s="239" t="s">
        <v>213</v>
      </c>
      <c r="D85" s="279" t="s">
        <v>428</v>
      </c>
      <c r="E85" s="239" t="s">
        <v>73</v>
      </c>
      <c r="F85" s="138">
        <v>4.8</v>
      </c>
      <c r="G85" s="239" t="s">
        <v>75</v>
      </c>
      <c r="H85" s="212"/>
      <c r="J85" s="210"/>
      <c r="K85" s="138"/>
      <c r="L85" s="138"/>
      <c r="M85" s="145"/>
      <c r="N85" s="145"/>
      <c r="O85" s="145"/>
      <c r="P85" s="145"/>
      <c r="Q85" s="145"/>
      <c r="R85" s="145" t="b">
        <v>0</v>
      </c>
      <c r="S85" s="145" t="b">
        <v>0</v>
      </c>
      <c r="T85" s="145" t="b">
        <v>0</v>
      </c>
      <c r="U85" s="146"/>
      <c r="V85" s="146"/>
    </row>
    <row r="86" ht="18.75" customHeight="1" outlineLevel="1">
      <c r="A86" s="146"/>
      <c r="B86" s="243" t="s">
        <v>5490</v>
      </c>
      <c r="C86" s="239" t="s">
        <v>173</v>
      </c>
      <c r="D86" s="146"/>
      <c r="E86" s="239" t="s">
        <v>86</v>
      </c>
      <c r="F86" s="138">
        <v>7.199999999999999</v>
      </c>
      <c r="G86" s="239" t="s">
        <v>102</v>
      </c>
      <c r="H86" s="212"/>
      <c r="J86" s="210"/>
      <c r="K86" s="138"/>
      <c r="L86" s="138"/>
      <c r="M86" s="145"/>
      <c r="N86" s="145"/>
      <c r="O86" s="145"/>
      <c r="P86" s="145"/>
      <c r="Q86" s="145"/>
      <c r="R86" s="145" t="b">
        <v>0</v>
      </c>
      <c r="S86" s="145" t="b">
        <v>0</v>
      </c>
      <c r="T86" s="145" t="b">
        <v>0</v>
      </c>
      <c r="U86" s="146"/>
      <c r="V86" s="146"/>
    </row>
    <row r="87" ht="18.75" customHeight="1" outlineLevel="1">
      <c r="A87" s="146"/>
      <c r="B87" s="243" t="s">
        <v>5491</v>
      </c>
      <c r="C87" s="239" t="s">
        <v>876</v>
      </c>
      <c r="D87" s="146"/>
      <c r="E87" s="239" t="s">
        <v>86</v>
      </c>
      <c r="F87" s="138">
        <v>7.199999999999999</v>
      </c>
      <c r="G87" s="239" t="s">
        <v>102</v>
      </c>
      <c r="H87" s="212"/>
      <c r="J87" s="210"/>
      <c r="K87" s="138"/>
      <c r="L87" s="138"/>
      <c r="M87" s="145"/>
      <c r="N87" s="145"/>
      <c r="O87" s="145"/>
      <c r="P87" s="145"/>
      <c r="Q87" s="145"/>
      <c r="R87" s="145" t="b">
        <v>0</v>
      </c>
      <c r="S87" s="145" t="b">
        <v>0</v>
      </c>
      <c r="T87" s="145" t="b">
        <v>0</v>
      </c>
      <c r="U87" s="146"/>
      <c r="V87" s="146"/>
    </row>
    <row r="88" ht="18.75" customHeight="1" outlineLevel="1">
      <c r="A88" s="146"/>
      <c r="B88" s="243" t="s">
        <v>5492</v>
      </c>
      <c r="C88" s="239" t="s">
        <v>964</v>
      </c>
      <c r="D88" s="146"/>
      <c r="E88" s="239" t="s">
        <v>5493</v>
      </c>
      <c r="F88" s="138" t="s">
        <v>5494</v>
      </c>
      <c r="G88" s="365" t="s">
        <v>1904</v>
      </c>
      <c r="H88" s="212"/>
      <c r="J88" s="210"/>
      <c r="K88" s="138"/>
      <c r="L88" s="138"/>
      <c r="M88" s="145"/>
      <c r="N88" s="145"/>
      <c r="O88" s="145"/>
      <c r="P88" s="145"/>
      <c r="Q88" s="145"/>
      <c r="R88" s="145" t="b">
        <v>0</v>
      </c>
      <c r="S88" s="145" t="b">
        <v>0</v>
      </c>
      <c r="T88" s="145" t="b">
        <v>0</v>
      </c>
      <c r="U88" s="146"/>
      <c r="V88" s="146"/>
    </row>
    <row r="89" ht="18.75" customHeight="1" outlineLevel="1">
      <c r="A89" s="146"/>
      <c r="B89" s="243" t="s">
        <v>5495</v>
      </c>
      <c r="C89" s="239" t="s">
        <v>72</v>
      </c>
      <c r="D89" s="146"/>
      <c r="E89" s="239" t="s">
        <v>5493</v>
      </c>
      <c r="F89" s="138" t="s">
        <v>5494</v>
      </c>
      <c r="G89" s="239" t="s">
        <v>3791</v>
      </c>
      <c r="H89" s="212"/>
      <c r="J89" s="210"/>
      <c r="K89" s="138"/>
      <c r="L89" s="138"/>
      <c r="M89" s="145"/>
      <c r="N89" s="145"/>
      <c r="O89" s="145"/>
      <c r="P89" s="145"/>
      <c r="Q89" s="145"/>
      <c r="R89" s="145" t="b">
        <v>0</v>
      </c>
      <c r="S89" s="145" t="b">
        <v>0</v>
      </c>
      <c r="T89" s="145" t="b">
        <v>0</v>
      </c>
      <c r="U89" s="146"/>
      <c r="V89" s="146"/>
    </row>
    <row r="90" ht="18.75" customHeight="1" outlineLevel="1">
      <c r="A90" s="146"/>
      <c r="B90" s="243" t="s">
        <v>5496</v>
      </c>
      <c r="C90" s="239" t="s">
        <v>218</v>
      </c>
      <c r="D90" s="156"/>
      <c r="E90" s="239" t="s">
        <v>80</v>
      </c>
      <c r="F90" s="138">
        <v>9.6</v>
      </c>
      <c r="G90" s="239" t="s">
        <v>123</v>
      </c>
      <c r="H90" s="212"/>
      <c r="J90" s="210"/>
      <c r="K90" s="138"/>
      <c r="L90" s="138"/>
      <c r="M90" s="145"/>
      <c r="N90" s="145"/>
      <c r="O90" s="145"/>
      <c r="P90" s="145"/>
      <c r="Q90" s="145"/>
      <c r="R90" s="145" t="b">
        <v>0</v>
      </c>
      <c r="S90" s="145" t="b">
        <v>0</v>
      </c>
      <c r="T90" s="145" t="b">
        <v>0</v>
      </c>
      <c r="U90" s="146"/>
      <c r="V90" s="146"/>
    </row>
    <row r="91" ht="18.75" customHeight="1" outlineLevel="1">
      <c r="A91" s="146"/>
      <c r="B91" s="243" t="s">
        <v>5497</v>
      </c>
      <c r="C91" s="239" t="s">
        <v>5470</v>
      </c>
      <c r="D91" s="659"/>
      <c r="E91" s="239" t="s">
        <v>5498</v>
      </c>
      <c r="F91" s="138" t="s">
        <v>5499</v>
      </c>
      <c r="G91" s="239" t="s">
        <v>5482</v>
      </c>
      <c r="H91" s="212"/>
      <c r="J91" s="210"/>
      <c r="K91" s="138"/>
      <c r="L91" s="138"/>
      <c r="M91" s="145"/>
      <c r="N91" s="145"/>
      <c r="O91" s="145"/>
      <c r="P91" s="145"/>
      <c r="Q91" s="145"/>
      <c r="R91" s="145" t="b">
        <v>0</v>
      </c>
      <c r="S91" s="145" t="b">
        <v>0</v>
      </c>
      <c r="T91" s="145" t="b">
        <v>0</v>
      </c>
      <c r="U91" s="146"/>
      <c r="V91" s="146"/>
    </row>
    <row r="92" ht="18.75" customHeight="1" outlineLevel="1">
      <c r="A92" s="146"/>
      <c r="B92" s="243" t="s">
        <v>5474</v>
      </c>
      <c r="C92" s="659"/>
      <c r="D92" s="2208" t="s">
        <v>5500</v>
      </c>
      <c r="E92" s="659"/>
      <c r="F92" s="659"/>
      <c r="G92" s="659"/>
      <c r="H92" s="106"/>
      <c r="I92" s="168"/>
      <c r="J92" s="107"/>
      <c r="K92" s="138"/>
      <c r="L92" s="138"/>
      <c r="M92" s="145"/>
      <c r="N92" s="145"/>
      <c r="O92" s="145"/>
      <c r="P92" s="145"/>
      <c r="Q92" s="145"/>
      <c r="R92" s="145" t="b">
        <v>0</v>
      </c>
      <c r="S92" s="145" t="b">
        <v>0</v>
      </c>
      <c r="T92" s="145" t="b">
        <v>0</v>
      </c>
      <c r="U92" s="156"/>
      <c r="V92" s="156"/>
    </row>
    <row r="93" outlineLevel="1">
      <c r="A93" s="230" t="s">
        <v>5501</v>
      </c>
      <c r="B93" s="109"/>
      <c r="C93" s="231" t="s">
        <v>48</v>
      </c>
      <c r="D93" s="231" t="s">
        <v>49</v>
      </c>
      <c r="E93" s="232" t="s">
        <v>50</v>
      </c>
      <c r="F93" s="233" t="s">
        <v>51</v>
      </c>
      <c r="G93" s="232" t="s">
        <v>52</v>
      </c>
      <c r="H93" s="382" t="s">
        <v>53</v>
      </c>
      <c r="I93" s="110"/>
      <c r="J93" s="109"/>
      <c r="K93" s="235" t="s">
        <v>137</v>
      </c>
      <c r="L93" s="235" t="s">
        <v>138</v>
      </c>
      <c r="M93" s="235" t="s">
        <v>139</v>
      </c>
      <c r="N93" s="235" t="s">
        <v>140</v>
      </c>
      <c r="O93" s="236" t="s">
        <v>141</v>
      </c>
      <c r="P93" s="235" t="s">
        <v>142</v>
      </c>
      <c r="Q93" s="236" t="s">
        <v>143</v>
      </c>
      <c r="R93" s="235" t="s">
        <v>179</v>
      </c>
      <c r="S93" s="236" t="s">
        <v>180</v>
      </c>
      <c r="T93" s="236" t="s">
        <v>181</v>
      </c>
      <c r="U93" s="236" t="s">
        <v>182</v>
      </c>
      <c r="V93" s="3198" t="s">
        <v>183</v>
      </c>
    </row>
    <row r="94" outlineLevel="1">
      <c r="A94" s="237" t="s">
        <v>5502</v>
      </c>
      <c r="B94" s="243"/>
      <c r="C94" s="239" t="s">
        <v>5503</v>
      </c>
      <c r="D94" s="659"/>
      <c r="E94" s="239" t="s">
        <v>93</v>
      </c>
      <c r="F94" s="138">
        <v>8.4</v>
      </c>
      <c r="G94" s="239" t="s">
        <v>60</v>
      </c>
      <c r="H94" s="151" t="s">
        <v>5504</v>
      </c>
      <c r="I94" s="110"/>
      <c r="J94" s="109"/>
      <c r="K94" s="282"/>
      <c r="L94" s="282"/>
      <c r="M94" s="363"/>
      <c r="N94" s="363"/>
      <c r="O94" s="145">
        <v>0.0</v>
      </c>
      <c r="P94" s="145">
        <v>1.0</v>
      </c>
      <c r="Q94" s="145">
        <v>1.0</v>
      </c>
      <c r="R94" s="145" t="b">
        <v>1</v>
      </c>
      <c r="S94" s="145" t="b">
        <v>1</v>
      </c>
      <c r="T94" s="145"/>
      <c r="U94" s="166" t="s">
        <v>3287</v>
      </c>
      <c r="V94" s="166" t="b">
        <v>0</v>
      </c>
    </row>
    <row r="95" outlineLevel="1">
      <c r="A95" s="237" t="s">
        <v>5505</v>
      </c>
      <c r="B95" s="243" t="s">
        <v>199</v>
      </c>
      <c r="C95" s="239" t="s">
        <v>5506</v>
      </c>
      <c r="D95" s="2079"/>
      <c r="E95" s="239" t="s">
        <v>204</v>
      </c>
      <c r="F95" s="138">
        <v>3.5999999999999996</v>
      </c>
      <c r="G95" s="239" t="s">
        <v>170</v>
      </c>
      <c r="H95" s="163" t="s">
        <v>5507</v>
      </c>
      <c r="I95" s="164"/>
      <c r="J95" s="104"/>
      <c r="K95" s="282"/>
      <c r="L95" s="282"/>
      <c r="M95" s="363"/>
      <c r="N95" s="363"/>
      <c r="O95" s="145">
        <v>0.0</v>
      </c>
      <c r="P95" s="145">
        <v>1.0</v>
      </c>
      <c r="Q95" s="145">
        <v>1.0</v>
      </c>
      <c r="R95" s="145" t="b">
        <v>1</v>
      </c>
      <c r="S95" s="145" t="b">
        <v>1</v>
      </c>
      <c r="T95" s="145"/>
      <c r="U95" s="146"/>
      <c r="V95" s="146"/>
    </row>
    <row r="96" ht="24.75" customHeight="1" outlineLevel="1">
      <c r="A96" s="146"/>
      <c r="B96" s="243" t="s">
        <v>202</v>
      </c>
      <c r="C96" s="239" t="s">
        <v>5508</v>
      </c>
      <c r="D96" s="107"/>
      <c r="E96" s="239" t="s">
        <v>73</v>
      </c>
      <c r="F96" s="138">
        <v>4.8</v>
      </c>
      <c r="G96" s="239" t="s">
        <v>170</v>
      </c>
      <c r="H96" s="106"/>
      <c r="I96" s="168"/>
      <c r="J96" s="107"/>
      <c r="K96" s="138"/>
      <c r="L96" s="138"/>
      <c r="M96" s="145"/>
      <c r="N96" s="145"/>
      <c r="O96" s="145">
        <v>0.0</v>
      </c>
      <c r="P96" s="145">
        <v>1.0</v>
      </c>
      <c r="Q96" s="145">
        <v>1.0</v>
      </c>
      <c r="R96" s="145" t="b">
        <v>1</v>
      </c>
      <c r="S96" s="145" t="b">
        <v>1</v>
      </c>
      <c r="T96" s="145"/>
      <c r="U96" s="146"/>
      <c r="V96" s="146"/>
    </row>
    <row r="97" outlineLevel="1">
      <c r="A97" s="237" t="s">
        <v>5509</v>
      </c>
      <c r="B97" s="243" t="s">
        <v>199</v>
      </c>
      <c r="C97" s="239" t="s">
        <v>5510</v>
      </c>
      <c r="D97" s="2079"/>
      <c r="E97" s="239" t="s">
        <v>204</v>
      </c>
      <c r="F97" s="138">
        <v>3.5999999999999996</v>
      </c>
      <c r="G97" s="239" t="s">
        <v>170</v>
      </c>
      <c r="H97" s="163" t="s">
        <v>5511</v>
      </c>
      <c r="I97" s="164"/>
      <c r="J97" s="104"/>
      <c r="K97" s="282"/>
      <c r="L97" s="282"/>
      <c r="M97" s="363"/>
      <c r="N97" s="363"/>
      <c r="O97" s="145">
        <v>0.0</v>
      </c>
      <c r="P97" s="145">
        <v>1.0</v>
      </c>
      <c r="Q97" s="145">
        <v>1.0</v>
      </c>
      <c r="R97" s="145" t="b">
        <v>1</v>
      </c>
      <c r="S97" s="145" t="b">
        <v>1</v>
      </c>
      <c r="T97" s="145"/>
      <c r="U97" s="146"/>
      <c r="V97" s="146"/>
    </row>
    <row r="98" ht="25.5" customHeight="1" outlineLevel="1">
      <c r="A98" s="146"/>
      <c r="B98" s="243" t="s">
        <v>202</v>
      </c>
      <c r="C98" s="239" t="s">
        <v>5512</v>
      </c>
      <c r="D98" s="107"/>
      <c r="E98" s="239" t="s">
        <v>73</v>
      </c>
      <c r="F98" s="138">
        <v>4.8</v>
      </c>
      <c r="G98" s="239" t="s">
        <v>170</v>
      </c>
      <c r="H98" s="106"/>
      <c r="I98" s="168"/>
      <c r="J98" s="107"/>
      <c r="K98" s="138"/>
      <c r="L98" s="138"/>
      <c r="M98" s="145"/>
      <c r="N98" s="145"/>
      <c r="O98" s="145">
        <v>0.0</v>
      </c>
      <c r="P98" s="145">
        <v>1.0</v>
      </c>
      <c r="Q98" s="145">
        <v>1.0</v>
      </c>
      <c r="R98" s="145" t="b">
        <v>1</v>
      </c>
      <c r="S98" s="145" t="b">
        <v>1</v>
      </c>
      <c r="T98" s="145"/>
      <c r="U98" s="146"/>
      <c r="V98" s="146"/>
    </row>
    <row r="99" outlineLevel="1">
      <c r="A99" s="237" t="s">
        <v>666</v>
      </c>
      <c r="B99" s="243"/>
      <c r="C99" s="659"/>
      <c r="D99" s="659"/>
      <c r="E99" s="659"/>
      <c r="F99" s="659"/>
      <c r="G99" s="659"/>
      <c r="H99" s="151" t="s">
        <v>5513</v>
      </c>
      <c r="I99" s="110"/>
      <c r="J99" s="109"/>
      <c r="K99" s="138"/>
      <c r="L99" s="138"/>
      <c r="M99" s="145"/>
      <c r="N99" s="145"/>
      <c r="O99" s="145"/>
      <c r="P99" s="145"/>
      <c r="Q99" s="145"/>
      <c r="R99" s="145" t="b">
        <v>0</v>
      </c>
      <c r="S99" s="145" t="b">
        <v>0</v>
      </c>
      <c r="T99" s="145" t="b">
        <v>0</v>
      </c>
      <c r="U99" s="156"/>
      <c r="V99" s="156"/>
    </row>
    <row r="100" outlineLevel="1">
      <c r="A100" s="230" t="s">
        <v>5514</v>
      </c>
      <c r="B100" s="109"/>
      <c r="C100" s="231" t="s">
        <v>48</v>
      </c>
      <c r="D100" s="231" t="s">
        <v>49</v>
      </c>
      <c r="E100" s="232" t="s">
        <v>50</v>
      </c>
      <c r="F100" s="233" t="s">
        <v>51</v>
      </c>
      <c r="G100" s="232" t="s">
        <v>52</v>
      </c>
      <c r="H100" s="382" t="s">
        <v>53</v>
      </c>
      <c r="I100" s="110"/>
      <c r="J100" s="109"/>
      <c r="K100" s="235" t="s">
        <v>137</v>
      </c>
      <c r="L100" s="235" t="s">
        <v>138</v>
      </c>
      <c r="M100" s="235" t="s">
        <v>139</v>
      </c>
      <c r="N100" s="235" t="s">
        <v>140</v>
      </c>
      <c r="O100" s="236" t="s">
        <v>141</v>
      </c>
      <c r="P100" s="235" t="s">
        <v>142</v>
      </c>
      <c r="Q100" s="236" t="s">
        <v>143</v>
      </c>
      <c r="R100" s="235" t="s">
        <v>179</v>
      </c>
      <c r="S100" s="236" t="s">
        <v>180</v>
      </c>
      <c r="T100" s="236" t="s">
        <v>181</v>
      </c>
      <c r="U100" s="236" t="s">
        <v>182</v>
      </c>
      <c r="V100" s="3198" t="s">
        <v>183</v>
      </c>
    </row>
    <row r="101" outlineLevel="1">
      <c r="A101" s="2788" t="s">
        <v>5515</v>
      </c>
      <c r="B101" s="402" t="s">
        <v>3948</v>
      </c>
      <c r="C101" s="409"/>
      <c r="D101" s="467" t="s">
        <v>296</v>
      </c>
      <c r="E101" s="409"/>
      <c r="F101" s="475"/>
      <c r="G101" s="281"/>
      <c r="H101" s="151" t="s">
        <v>5516</v>
      </c>
      <c r="I101" s="110"/>
      <c r="J101" s="109"/>
      <c r="K101" s="476"/>
      <c r="L101" s="476"/>
      <c r="M101" s="476"/>
      <c r="N101" s="476"/>
      <c r="O101" s="2789"/>
      <c r="P101" s="2790"/>
      <c r="Q101" s="2790"/>
      <c r="R101" s="2791"/>
      <c r="S101" s="2792"/>
      <c r="T101" s="2793"/>
      <c r="U101" s="145" t="s">
        <v>3287</v>
      </c>
      <c r="V101" s="145" t="b">
        <v>0</v>
      </c>
    </row>
    <row r="102" outlineLevel="1">
      <c r="A102" s="156"/>
      <c r="B102" s="243" t="s">
        <v>5474</v>
      </c>
      <c r="C102" s="409"/>
      <c r="D102" s="2208" t="s">
        <v>99</v>
      </c>
      <c r="E102" s="665"/>
      <c r="F102" s="2047"/>
      <c r="G102" s="541"/>
      <c r="H102" s="151"/>
      <c r="I102" s="110"/>
      <c r="J102" s="109"/>
      <c r="K102" s="476"/>
      <c r="L102" s="476"/>
      <c r="M102" s="476"/>
      <c r="N102" s="476"/>
      <c r="O102" s="2789"/>
      <c r="P102" s="2790"/>
      <c r="Q102" s="2790"/>
      <c r="R102" s="2791"/>
      <c r="S102" s="2792"/>
      <c r="T102" s="2793"/>
      <c r="U102" s="145" t="s">
        <v>3287</v>
      </c>
      <c r="V102" s="145" t="b">
        <v>0</v>
      </c>
    </row>
    <row r="103" outlineLevel="1">
      <c r="A103" s="230" t="s">
        <v>5517</v>
      </c>
      <c r="B103" s="109"/>
      <c r="C103" s="231" t="s">
        <v>48</v>
      </c>
      <c r="D103" s="231" t="s">
        <v>49</v>
      </c>
      <c r="E103" s="232" t="s">
        <v>50</v>
      </c>
      <c r="F103" s="233" t="s">
        <v>51</v>
      </c>
      <c r="G103" s="232" t="s">
        <v>52</v>
      </c>
      <c r="H103" s="382" t="s">
        <v>53</v>
      </c>
      <c r="I103" s="110"/>
      <c r="J103" s="109"/>
      <c r="K103" s="235" t="s">
        <v>137</v>
      </c>
      <c r="L103" s="235" t="s">
        <v>138</v>
      </c>
      <c r="M103" s="235" t="s">
        <v>139</v>
      </c>
      <c r="N103" s="235" t="s">
        <v>140</v>
      </c>
      <c r="O103" s="236" t="s">
        <v>141</v>
      </c>
      <c r="P103" s="235" t="s">
        <v>142</v>
      </c>
      <c r="Q103" s="236" t="s">
        <v>143</v>
      </c>
      <c r="R103" s="235" t="s">
        <v>179</v>
      </c>
      <c r="S103" s="236" t="s">
        <v>180</v>
      </c>
      <c r="T103" s="236" t="s">
        <v>181</v>
      </c>
      <c r="U103" s="236" t="s">
        <v>182</v>
      </c>
      <c r="V103" s="3198" t="s">
        <v>183</v>
      </c>
    </row>
    <row r="104" outlineLevel="1">
      <c r="A104" s="546" t="s">
        <v>5518</v>
      </c>
      <c r="B104" s="402" t="s">
        <v>3208</v>
      </c>
      <c r="C104" s="239" t="s">
        <v>1608</v>
      </c>
      <c r="D104" s="455" t="s">
        <v>118</v>
      </c>
      <c r="E104" s="239" t="s">
        <v>1024</v>
      </c>
      <c r="F104" s="138">
        <v>1.7999999999999998</v>
      </c>
      <c r="G104" s="239" t="s">
        <v>170</v>
      </c>
      <c r="H104" s="163" t="s">
        <v>5519</v>
      </c>
      <c r="I104" s="164"/>
      <c r="J104" s="104"/>
      <c r="K104" s="138"/>
      <c r="L104" s="138"/>
      <c r="M104" s="145"/>
      <c r="N104" s="145"/>
      <c r="O104" s="145">
        <v>0.0</v>
      </c>
      <c r="P104" s="145">
        <v>1.0</v>
      </c>
      <c r="Q104" s="145">
        <v>1.0</v>
      </c>
      <c r="R104" s="145" t="b">
        <v>1</v>
      </c>
      <c r="S104" s="145" t="b">
        <v>1</v>
      </c>
      <c r="T104" s="145"/>
      <c r="U104" s="166" t="s">
        <v>3287</v>
      </c>
      <c r="V104" s="166" t="b">
        <v>1</v>
      </c>
    </row>
    <row r="105" outlineLevel="1">
      <c r="A105" s="156"/>
      <c r="B105" s="402" t="s">
        <v>1072</v>
      </c>
      <c r="C105" s="239" t="s">
        <v>879</v>
      </c>
      <c r="D105" s="107"/>
      <c r="E105" s="239" t="s">
        <v>129</v>
      </c>
      <c r="F105" s="138">
        <v>14.399999999999999</v>
      </c>
      <c r="G105" s="239" t="s">
        <v>147</v>
      </c>
      <c r="H105" s="106"/>
      <c r="I105" s="168"/>
      <c r="J105" s="107"/>
      <c r="K105" s="138"/>
      <c r="L105" s="138"/>
      <c r="M105" s="145"/>
      <c r="N105" s="145"/>
      <c r="O105" s="145">
        <v>0.0</v>
      </c>
      <c r="P105" s="145">
        <v>1.0</v>
      </c>
      <c r="Q105" s="145">
        <v>1.0</v>
      </c>
      <c r="R105" s="145" t="b">
        <v>1</v>
      </c>
      <c r="S105" s="145" t="b">
        <v>1</v>
      </c>
      <c r="T105" s="145"/>
      <c r="U105" s="156"/>
      <c r="V105" s="156"/>
    </row>
    <row r="106" outlineLevel="1">
      <c r="A106" s="546" t="s">
        <v>5520</v>
      </c>
      <c r="B106" s="402" t="s">
        <v>3208</v>
      </c>
      <c r="C106" s="239" t="s">
        <v>5521</v>
      </c>
      <c r="D106" s="455" t="s">
        <v>127</v>
      </c>
      <c r="E106" s="239" t="s">
        <v>204</v>
      </c>
      <c r="F106" s="138">
        <v>3.5999999999999996</v>
      </c>
      <c r="G106" s="239" t="s">
        <v>170</v>
      </c>
      <c r="H106" s="163" t="s">
        <v>5522</v>
      </c>
      <c r="I106" s="164"/>
      <c r="J106" s="104"/>
      <c r="K106" s="138"/>
      <c r="L106" s="138"/>
      <c r="M106" s="145"/>
      <c r="N106" s="145"/>
      <c r="O106" s="145">
        <v>0.0</v>
      </c>
      <c r="P106" s="145">
        <v>1.0</v>
      </c>
      <c r="Q106" s="145">
        <v>1.0</v>
      </c>
      <c r="R106" s="145" t="b">
        <v>1</v>
      </c>
      <c r="S106" s="145" t="b">
        <v>1</v>
      </c>
      <c r="T106" s="145"/>
      <c r="U106" s="166" t="s">
        <v>3287</v>
      </c>
      <c r="V106" s="166" t="b">
        <v>1</v>
      </c>
    </row>
    <row r="107" outlineLevel="1">
      <c r="A107" s="156"/>
      <c r="B107" s="402" t="s">
        <v>1072</v>
      </c>
      <c r="C107" s="239" t="s">
        <v>879</v>
      </c>
      <c r="D107" s="107"/>
      <c r="E107" s="239" t="s">
        <v>1114</v>
      </c>
      <c r="F107" s="138">
        <v>26.4</v>
      </c>
      <c r="G107" s="239" t="s">
        <v>95</v>
      </c>
      <c r="H107" s="106"/>
      <c r="I107" s="168"/>
      <c r="J107" s="107"/>
      <c r="K107" s="138"/>
      <c r="L107" s="138"/>
      <c r="M107" s="145"/>
      <c r="N107" s="145"/>
      <c r="O107" s="145">
        <v>0.0</v>
      </c>
      <c r="P107" s="145">
        <v>1.0</v>
      </c>
      <c r="Q107" s="145">
        <v>1.0</v>
      </c>
      <c r="R107" s="145" t="b">
        <v>1</v>
      </c>
      <c r="S107" s="145" t="b">
        <v>1</v>
      </c>
      <c r="T107" s="145"/>
      <c r="U107" s="156"/>
      <c r="V107" s="156"/>
    </row>
    <row r="108" ht="26.25" customHeight="1" outlineLevel="1">
      <c r="A108" s="546" t="s">
        <v>5523</v>
      </c>
      <c r="B108" s="402" t="s">
        <v>3208</v>
      </c>
      <c r="C108" s="239" t="s">
        <v>2883</v>
      </c>
      <c r="D108" s="455" t="s">
        <v>282</v>
      </c>
      <c r="E108" s="239" t="s">
        <v>1024</v>
      </c>
      <c r="F108" s="138">
        <v>1.7999999999999998</v>
      </c>
      <c r="G108" s="239" t="s">
        <v>170</v>
      </c>
      <c r="H108" s="163" t="s">
        <v>5524</v>
      </c>
      <c r="I108" s="164"/>
      <c r="J108" s="104"/>
      <c r="K108" s="138"/>
      <c r="L108" s="138"/>
      <c r="M108" s="145"/>
      <c r="N108" s="145"/>
      <c r="O108" s="145">
        <v>0.0</v>
      </c>
      <c r="P108" s="145">
        <v>1.0</v>
      </c>
      <c r="Q108" s="145">
        <v>1.0</v>
      </c>
      <c r="R108" s="145" t="b">
        <v>1</v>
      </c>
      <c r="S108" s="145" t="b">
        <v>1</v>
      </c>
      <c r="T108" s="145"/>
      <c r="U108" s="166" t="s">
        <v>3287</v>
      </c>
      <c r="V108" s="166" t="b">
        <v>1</v>
      </c>
    </row>
    <row r="109" ht="26.25" customHeight="1" outlineLevel="1">
      <c r="A109" s="156"/>
      <c r="B109" s="402" t="s">
        <v>1485</v>
      </c>
      <c r="C109" s="239" t="s">
        <v>874</v>
      </c>
      <c r="D109" s="107"/>
      <c r="E109" s="239" t="s">
        <v>967</v>
      </c>
      <c r="F109" s="138" t="s">
        <v>968</v>
      </c>
      <c r="G109" s="239" t="s">
        <v>980</v>
      </c>
      <c r="H109" s="106"/>
      <c r="I109" s="168"/>
      <c r="J109" s="107"/>
      <c r="K109" s="138"/>
      <c r="L109" s="138"/>
      <c r="M109" s="145"/>
      <c r="N109" s="145"/>
      <c r="O109" s="145">
        <v>0.0</v>
      </c>
      <c r="P109" s="145">
        <v>1.0</v>
      </c>
      <c r="Q109" s="145">
        <v>1.0</v>
      </c>
      <c r="R109" s="145" t="b">
        <v>1</v>
      </c>
      <c r="S109" s="145" t="b">
        <v>1</v>
      </c>
      <c r="T109" s="145"/>
      <c r="U109" s="156"/>
      <c r="V109" s="156"/>
    </row>
    <row r="110" ht="19.5" customHeight="1" outlineLevel="1">
      <c r="A110" s="546" t="s">
        <v>5525</v>
      </c>
      <c r="B110" s="402" t="s">
        <v>3208</v>
      </c>
      <c r="C110" s="239" t="s">
        <v>5526</v>
      </c>
      <c r="D110" s="455" t="s">
        <v>185</v>
      </c>
      <c r="E110" s="239" t="s">
        <v>176</v>
      </c>
      <c r="F110" s="138">
        <v>2.4</v>
      </c>
      <c r="G110" s="239" t="s">
        <v>170</v>
      </c>
      <c r="H110" s="163" t="s">
        <v>5527</v>
      </c>
      <c r="I110" s="164"/>
      <c r="J110" s="104"/>
      <c r="K110" s="138"/>
      <c r="L110" s="138"/>
      <c r="M110" s="145"/>
      <c r="N110" s="145"/>
      <c r="O110" s="145">
        <v>0.0</v>
      </c>
      <c r="P110" s="145">
        <v>1.0</v>
      </c>
      <c r="Q110" s="145">
        <v>1.0</v>
      </c>
      <c r="R110" s="145" t="b">
        <v>1</v>
      </c>
      <c r="S110" s="145" t="b">
        <v>1</v>
      </c>
      <c r="T110" s="145"/>
      <c r="U110" s="166" t="s">
        <v>3287</v>
      </c>
      <c r="V110" s="166" t="b">
        <v>1</v>
      </c>
    </row>
    <row r="111" outlineLevel="1">
      <c r="A111" s="146"/>
      <c r="B111" s="402" t="s">
        <v>5528</v>
      </c>
      <c r="C111" s="239" t="s">
        <v>5529</v>
      </c>
      <c r="D111" s="210"/>
      <c r="E111" s="239" t="s">
        <v>209</v>
      </c>
      <c r="F111" s="138">
        <v>0.0</v>
      </c>
      <c r="G111" s="281"/>
      <c r="H111" s="212"/>
      <c r="J111" s="210"/>
      <c r="K111" s="138"/>
      <c r="L111" s="138"/>
      <c r="M111" s="145"/>
      <c r="N111" s="145"/>
      <c r="O111" s="145"/>
      <c r="P111" s="145"/>
      <c r="Q111" s="145"/>
      <c r="R111" s="145" t="b">
        <v>0</v>
      </c>
      <c r="S111" s="145" t="b">
        <v>0</v>
      </c>
      <c r="T111" s="145" t="b">
        <v>0</v>
      </c>
      <c r="U111" s="146"/>
      <c r="V111" s="146"/>
    </row>
    <row r="112" ht="19.5" customHeight="1" outlineLevel="1">
      <c r="A112" s="156"/>
      <c r="B112" s="402" t="s">
        <v>1485</v>
      </c>
      <c r="C112" s="239" t="s">
        <v>5530</v>
      </c>
      <c r="D112" s="107"/>
      <c r="E112" s="239" t="s">
        <v>5531</v>
      </c>
      <c r="F112" s="138" t="s">
        <v>5532</v>
      </c>
      <c r="G112" s="239" t="s">
        <v>1590</v>
      </c>
      <c r="H112" s="106"/>
      <c r="I112" s="168"/>
      <c r="J112" s="107"/>
      <c r="K112" s="138"/>
      <c r="L112" s="138"/>
      <c r="M112" s="145"/>
      <c r="N112" s="145"/>
      <c r="O112" s="145">
        <v>0.0</v>
      </c>
      <c r="P112" s="145">
        <v>1.0</v>
      </c>
      <c r="Q112" s="145">
        <v>1.0</v>
      </c>
      <c r="R112" s="145" t="b">
        <v>1</v>
      </c>
      <c r="S112" s="145" t="b">
        <v>1</v>
      </c>
      <c r="T112" s="145"/>
      <c r="U112" s="156"/>
      <c r="V112" s="156"/>
    </row>
    <row r="113" outlineLevel="1">
      <c r="A113" s="1202" t="s">
        <v>5533</v>
      </c>
      <c r="B113" s="870"/>
      <c r="C113" s="239" t="s">
        <v>5534</v>
      </c>
      <c r="D113" s="467" t="s">
        <v>111</v>
      </c>
      <c r="E113" s="239" t="s">
        <v>209</v>
      </c>
      <c r="F113" s="138">
        <v>0.0</v>
      </c>
      <c r="G113" s="281"/>
      <c r="H113" s="151" t="s">
        <v>5535</v>
      </c>
      <c r="I113" s="110"/>
      <c r="J113" s="109"/>
      <c r="K113" s="138"/>
      <c r="L113" s="138"/>
      <c r="M113" s="145"/>
      <c r="N113" s="145"/>
      <c r="O113" s="145">
        <v>0.0</v>
      </c>
      <c r="P113" s="145">
        <v>1.0</v>
      </c>
      <c r="Q113" s="145">
        <v>1.0</v>
      </c>
      <c r="R113" s="145" t="b">
        <v>1</v>
      </c>
      <c r="S113" s="145" t="b">
        <v>1</v>
      </c>
      <c r="T113" s="145"/>
      <c r="U113" s="145" t="s">
        <v>3287</v>
      </c>
      <c r="V113" s="145" t="b">
        <v>1</v>
      </c>
    </row>
    <row r="114" outlineLevel="1">
      <c r="A114" s="1202" t="s">
        <v>5536</v>
      </c>
      <c r="B114" s="870"/>
      <c r="C114" s="239" t="s">
        <v>549</v>
      </c>
      <c r="D114" s="467" t="s">
        <v>282</v>
      </c>
      <c r="E114" s="239" t="s">
        <v>5537</v>
      </c>
      <c r="F114" s="138" t="s">
        <v>5538</v>
      </c>
      <c r="G114" s="239" t="s">
        <v>5539</v>
      </c>
      <c r="H114" s="151" t="s">
        <v>5540</v>
      </c>
      <c r="I114" s="110"/>
      <c r="J114" s="109"/>
      <c r="K114" s="138"/>
      <c r="L114" s="138"/>
      <c r="M114" s="145"/>
      <c r="N114" s="145"/>
      <c r="O114" s="145">
        <v>0.0</v>
      </c>
      <c r="P114" s="145">
        <v>1.0</v>
      </c>
      <c r="Q114" s="145">
        <v>1.0</v>
      </c>
      <c r="R114" s="145" t="b">
        <v>1</v>
      </c>
      <c r="S114" s="145" t="b">
        <v>1</v>
      </c>
      <c r="T114" s="145"/>
      <c r="U114" s="145" t="s">
        <v>3287</v>
      </c>
      <c r="V114" s="145" t="b">
        <v>1</v>
      </c>
    </row>
    <row r="115" outlineLevel="1">
      <c r="A115" s="1202" t="s">
        <v>5541</v>
      </c>
      <c r="B115" s="870"/>
      <c r="C115" s="239" t="s">
        <v>549</v>
      </c>
      <c r="D115" s="467" t="s">
        <v>193</v>
      </c>
      <c r="E115" s="239" t="s">
        <v>5155</v>
      </c>
      <c r="F115" s="138" t="s">
        <v>5156</v>
      </c>
      <c r="G115" s="239" t="s">
        <v>5157</v>
      </c>
      <c r="H115" s="151" t="s">
        <v>5542</v>
      </c>
      <c r="I115" s="110"/>
      <c r="J115" s="109"/>
      <c r="K115" s="138"/>
      <c r="L115" s="138"/>
      <c r="M115" s="145"/>
      <c r="N115" s="145"/>
      <c r="O115" s="145">
        <v>0.0</v>
      </c>
      <c r="P115" s="145">
        <v>1.0</v>
      </c>
      <c r="Q115" s="145">
        <v>1.0</v>
      </c>
      <c r="R115" s="145" t="b">
        <v>1</v>
      </c>
      <c r="S115" s="145" t="b">
        <v>1</v>
      </c>
      <c r="T115" s="145"/>
      <c r="U115" s="145" t="s">
        <v>3287</v>
      </c>
      <c r="V115" s="145" t="b">
        <v>1</v>
      </c>
    </row>
    <row r="116" outlineLevel="1">
      <c r="A116" s="1202" t="s">
        <v>5543</v>
      </c>
      <c r="B116" s="870"/>
      <c r="C116" s="239" t="s">
        <v>5544</v>
      </c>
      <c r="D116" s="467" t="s">
        <v>4172</v>
      </c>
      <c r="E116" s="239" t="s">
        <v>5545</v>
      </c>
      <c r="F116" s="138" t="s">
        <v>5546</v>
      </c>
      <c r="G116" s="239" t="s">
        <v>5547</v>
      </c>
      <c r="H116" s="151" t="s">
        <v>5548</v>
      </c>
      <c r="I116" s="110"/>
      <c r="J116" s="109"/>
      <c r="K116" s="138"/>
      <c r="L116" s="138"/>
      <c r="M116" s="145"/>
      <c r="N116" s="145"/>
      <c r="O116" s="145">
        <v>0.0</v>
      </c>
      <c r="P116" s="145">
        <v>1.0</v>
      </c>
      <c r="Q116" s="145">
        <v>1.0</v>
      </c>
      <c r="R116" s="145" t="b">
        <v>1</v>
      </c>
      <c r="S116" s="145" t="b">
        <v>1</v>
      </c>
      <c r="T116" s="145"/>
      <c r="U116" s="145" t="s">
        <v>3287</v>
      </c>
      <c r="V116" s="145" t="b">
        <v>1</v>
      </c>
    </row>
    <row r="117" outlineLevel="1">
      <c r="A117" s="1202" t="s">
        <v>5549</v>
      </c>
      <c r="B117" s="870"/>
      <c r="C117" s="239" t="s">
        <v>299</v>
      </c>
      <c r="D117" s="467" t="s">
        <v>118</v>
      </c>
      <c r="E117" s="239" t="s">
        <v>213</v>
      </c>
      <c r="F117" s="138">
        <v>1.2</v>
      </c>
      <c r="G117" s="239" t="s">
        <v>170</v>
      </c>
      <c r="H117" s="151" t="s">
        <v>5550</v>
      </c>
      <c r="I117" s="110"/>
      <c r="J117" s="109"/>
      <c r="K117" s="138"/>
      <c r="L117" s="138"/>
      <c r="M117" s="145"/>
      <c r="N117" s="145"/>
      <c r="O117" s="145">
        <v>0.0</v>
      </c>
      <c r="P117" s="145">
        <v>1.0</v>
      </c>
      <c r="Q117" s="145">
        <v>1.0</v>
      </c>
      <c r="R117" s="145" t="b">
        <v>1</v>
      </c>
      <c r="S117" s="145" t="b">
        <v>1</v>
      </c>
      <c r="T117" s="145"/>
      <c r="U117" s="145" t="s">
        <v>3287</v>
      </c>
      <c r="V117" s="145" t="b">
        <v>1</v>
      </c>
    </row>
    <row r="118" outlineLevel="1">
      <c r="A118" s="1202" t="s">
        <v>5551</v>
      </c>
      <c r="B118" s="870"/>
      <c r="C118" s="239" t="s">
        <v>5552</v>
      </c>
      <c r="D118" s="467" t="s">
        <v>384</v>
      </c>
      <c r="E118" s="239" t="s">
        <v>213</v>
      </c>
      <c r="F118" s="138">
        <v>1.2</v>
      </c>
      <c r="G118" s="239" t="s">
        <v>170</v>
      </c>
      <c r="H118" s="151" t="s">
        <v>5553</v>
      </c>
      <c r="I118" s="110"/>
      <c r="J118" s="109"/>
      <c r="K118" s="138"/>
      <c r="L118" s="138"/>
      <c r="M118" s="145"/>
      <c r="N118" s="145"/>
      <c r="O118" s="145">
        <v>0.0</v>
      </c>
      <c r="P118" s="145">
        <v>1.0</v>
      </c>
      <c r="Q118" s="145">
        <v>1.0</v>
      </c>
      <c r="R118" s="145" t="b">
        <v>1</v>
      </c>
      <c r="S118" s="145" t="b">
        <v>1</v>
      </c>
      <c r="T118" s="145"/>
      <c r="U118" s="145" t="s">
        <v>3287</v>
      </c>
      <c r="V118" s="145" t="b">
        <v>1</v>
      </c>
    </row>
    <row r="119" outlineLevel="1">
      <c r="A119" s="1202" t="s">
        <v>5554</v>
      </c>
      <c r="B119" s="870"/>
      <c r="C119" s="239" t="s">
        <v>5555</v>
      </c>
      <c r="D119" s="467" t="s">
        <v>810</v>
      </c>
      <c r="E119" s="239" t="s">
        <v>5556</v>
      </c>
      <c r="F119" s="138" t="s">
        <v>5557</v>
      </c>
      <c r="G119" s="239" t="s">
        <v>5558</v>
      </c>
      <c r="H119" s="151" t="s">
        <v>5559</v>
      </c>
      <c r="I119" s="110"/>
      <c r="J119" s="109"/>
      <c r="K119" s="138"/>
      <c r="L119" s="138"/>
      <c r="M119" s="145"/>
      <c r="N119" s="145"/>
      <c r="O119" s="145">
        <v>0.0</v>
      </c>
      <c r="P119" s="145">
        <v>1.0</v>
      </c>
      <c r="Q119" s="145">
        <v>1.0</v>
      </c>
      <c r="R119" s="145" t="b">
        <v>1</v>
      </c>
      <c r="S119" s="145" t="b">
        <v>1</v>
      </c>
      <c r="T119" s="145"/>
      <c r="U119" s="145" t="s">
        <v>3287</v>
      </c>
      <c r="V119" s="145" t="b">
        <v>1</v>
      </c>
    </row>
    <row r="120" outlineLevel="1">
      <c r="A120" s="546" t="s">
        <v>5560</v>
      </c>
      <c r="B120" s="402" t="s">
        <v>604</v>
      </c>
      <c r="C120" s="239" t="s">
        <v>5561</v>
      </c>
      <c r="D120" s="455" t="s">
        <v>5562</v>
      </c>
      <c r="E120" s="239" t="s">
        <v>4090</v>
      </c>
      <c r="F120" s="138">
        <v>5.04</v>
      </c>
      <c r="G120" s="365" t="s">
        <v>75</v>
      </c>
      <c r="H120" s="163" t="s">
        <v>5563</v>
      </c>
      <c r="I120" s="164"/>
      <c r="J120" s="104"/>
      <c r="K120" s="138"/>
      <c r="L120" s="138"/>
      <c r="M120" s="145"/>
      <c r="N120" s="145"/>
      <c r="O120" s="145">
        <v>0.0</v>
      </c>
      <c r="P120" s="145">
        <v>1.0</v>
      </c>
      <c r="Q120" s="145">
        <v>1.0</v>
      </c>
      <c r="R120" s="145" t="b">
        <v>1</v>
      </c>
      <c r="S120" s="145" t="b">
        <v>1</v>
      </c>
      <c r="T120" s="145"/>
      <c r="U120" s="166" t="s">
        <v>3287</v>
      </c>
      <c r="V120" s="166" t="b">
        <v>1</v>
      </c>
    </row>
    <row r="121" outlineLevel="1">
      <c r="A121" s="146"/>
      <c r="B121" s="402" t="s">
        <v>606</v>
      </c>
      <c r="C121" s="239" t="s">
        <v>5564</v>
      </c>
      <c r="D121" s="210"/>
      <c r="E121" s="239" t="s">
        <v>4090</v>
      </c>
      <c r="F121" s="138">
        <v>5.04</v>
      </c>
      <c r="G121" s="365" t="s">
        <v>75</v>
      </c>
      <c r="H121" s="212"/>
      <c r="J121" s="210"/>
      <c r="K121" s="138"/>
      <c r="L121" s="138"/>
      <c r="M121" s="145"/>
      <c r="N121" s="145"/>
      <c r="O121" s="145"/>
      <c r="P121" s="145"/>
      <c r="Q121" s="145"/>
      <c r="R121" s="145" t="b">
        <v>0</v>
      </c>
      <c r="S121" s="145" t="b">
        <v>0</v>
      </c>
      <c r="T121" s="145" t="b">
        <v>0</v>
      </c>
      <c r="U121" s="146"/>
      <c r="V121" s="146"/>
    </row>
    <row r="122" outlineLevel="1">
      <c r="A122" s="146"/>
      <c r="B122" s="402" t="s">
        <v>608</v>
      </c>
      <c r="C122" s="239" t="s">
        <v>5565</v>
      </c>
      <c r="D122" s="210"/>
      <c r="E122" s="239" t="s">
        <v>4090</v>
      </c>
      <c r="F122" s="138">
        <v>5.04</v>
      </c>
      <c r="G122" s="365" t="s">
        <v>75</v>
      </c>
      <c r="H122" s="212"/>
      <c r="J122" s="210"/>
      <c r="K122" s="138"/>
      <c r="L122" s="138"/>
      <c r="M122" s="145"/>
      <c r="N122" s="145"/>
      <c r="O122" s="145"/>
      <c r="P122" s="145"/>
      <c r="Q122" s="145"/>
      <c r="R122" s="145" t="b">
        <v>0</v>
      </c>
      <c r="S122" s="145" t="b">
        <v>0</v>
      </c>
      <c r="T122" s="145" t="b">
        <v>0</v>
      </c>
      <c r="U122" s="146"/>
      <c r="V122" s="146"/>
    </row>
    <row r="123" outlineLevel="1">
      <c r="A123" s="146"/>
      <c r="B123" s="402" t="s">
        <v>5262</v>
      </c>
      <c r="C123" s="239" t="s">
        <v>5566</v>
      </c>
      <c r="D123" s="210"/>
      <c r="E123" s="239" t="s">
        <v>4090</v>
      </c>
      <c r="F123" s="138">
        <v>5.04</v>
      </c>
      <c r="G123" s="365" t="s">
        <v>75</v>
      </c>
      <c r="H123" s="212"/>
      <c r="J123" s="210"/>
      <c r="K123" s="138"/>
      <c r="L123" s="138"/>
      <c r="M123" s="145"/>
      <c r="N123" s="145"/>
      <c r="O123" s="145"/>
      <c r="P123" s="145"/>
      <c r="Q123" s="145"/>
      <c r="R123" s="145" t="b">
        <v>0</v>
      </c>
      <c r="S123" s="145" t="b">
        <v>0</v>
      </c>
      <c r="T123" s="145" t="b">
        <v>0</v>
      </c>
      <c r="U123" s="146"/>
      <c r="V123" s="146"/>
    </row>
    <row r="124" outlineLevel="1">
      <c r="A124" s="146"/>
      <c r="B124" s="402" t="s">
        <v>5567</v>
      </c>
      <c r="C124" s="239" t="s">
        <v>5568</v>
      </c>
      <c r="D124" s="210"/>
      <c r="E124" s="239" t="s">
        <v>4090</v>
      </c>
      <c r="F124" s="138">
        <v>5.04</v>
      </c>
      <c r="G124" s="365" t="s">
        <v>75</v>
      </c>
      <c r="H124" s="212"/>
      <c r="J124" s="210"/>
      <c r="K124" s="138"/>
      <c r="L124" s="138"/>
      <c r="M124" s="145"/>
      <c r="N124" s="145"/>
      <c r="O124" s="145"/>
      <c r="P124" s="145"/>
      <c r="Q124" s="145"/>
      <c r="R124" s="145" t="b">
        <v>0</v>
      </c>
      <c r="S124" s="145" t="b">
        <v>0</v>
      </c>
      <c r="T124" s="145" t="b">
        <v>0</v>
      </c>
      <c r="U124" s="146"/>
      <c r="V124" s="146"/>
    </row>
    <row r="125" outlineLevel="1">
      <c r="A125" s="156"/>
      <c r="B125" s="402" t="s">
        <v>202</v>
      </c>
      <c r="C125" s="239" t="s">
        <v>5569</v>
      </c>
      <c r="D125" s="107"/>
      <c r="E125" s="239" t="s">
        <v>232</v>
      </c>
      <c r="F125" s="138">
        <v>13.2</v>
      </c>
      <c r="G125" s="365" t="s">
        <v>121</v>
      </c>
      <c r="H125" s="106"/>
      <c r="I125" s="168"/>
      <c r="J125" s="107"/>
      <c r="K125" s="138"/>
      <c r="L125" s="138"/>
      <c r="M125" s="145"/>
      <c r="N125" s="145"/>
      <c r="O125" s="145">
        <v>0.0</v>
      </c>
      <c r="P125" s="145">
        <v>1.0</v>
      </c>
      <c r="Q125" s="145">
        <v>1.0</v>
      </c>
      <c r="R125" s="145" t="b">
        <v>1</v>
      </c>
      <c r="S125" s="145" t="b">
        <v>1</v>
      </c>
      <c r="T125" s="145"/>
      <c r="U125" s="156"/>
      <c r="V125" s="156"/>
    </row>
    <row r="126" ht="51.0" customHeight="1" outlineLevel="1">
      <c r="A126" s="546" t="s">
        <v>5570</v>
      </c>
      <c r="B126" s="402" t="s">
        <v>125</v>
      </c>
      <c r="C126" s="239" t="s">
        <v>5571</v>
      </c>
      <c r="D126" s="2079"/>
      <c r="E126" s="239" t="s">
        <v>3466</v>
      </c>
      <c r="F126" s="138">
        <v>0.12</v>
      </c>
      <c r="G126" s="281"/>
      <c r="H126" s="163" t="s">
        <v>5572</v>
      </c>
      <c r="I126" s="164"/>
      <c r="J126" s="104"/>
      <c r="K126" s="138"/>
      <c r="L126" s="138"/>
      <c r="M126" s="145"/>
      <c r="N126" s="145"/>
      <c r="O126" s="145">
        <v>0.0</v>
      </c>
      <c r="P126" s="145">
        <v>1.0</v>
      </c>
      <c r="Q126" s="145">
        <v>1.0</v>
      </c>
      <c r="R126" s="145" t="b">
        <v>1</v>
      </c>
      <c r="S126" s="145" t="b">
        <v>1</v>
      </c>
      <c r="T126" s="145"/>
      <c r="U126" s="166" t="s">
        <v>3287</v>
      </c>
      <c r="V126" s="166" t="b">
        <v>1</v>
      </c>
    </row>
    <row r="127" ht="51.0" customHeight="1" outlineLevel="1">
      <c r="A127" s="156"/>
      <c r="B127" s="402" t="s">
        <v>131</v>
      </c>
      <c r="C127" s="239" t="s">
        <v>455</v>
      </c>
      <c r="D127" s="107"/>
      <c r="E127" s="239" t="s">
        <v>5573</v>
      </c>
      <c r="F127" s="138" t="s">
        <v>5574</v>
      </c>
      <c r="G127" s="281"/>
      <c r="H127" s="106"/>
      <c r="I127" s="168"/>
      <c r="J127" s="107"/>
      <c r="K127" s="138"/>
      <c r="L127" s="138"/>
      <c r="M127" s="145"/>
      <c r="N127" s="145"/>
      <c r="O127" s="145">
        <v>0.0</v>
      </c>
      <c r="P127" s="145">
        <v>1.0</v>
      </c>
      <c r="Q127" s="145">
        <v>1.0</v>
      </c>
      <c r="R127" s="145" t="b">
        <v>1</v>
      </c>
      <c r="S127" s="145" t="b">
        <v>1</v>
      </c>
      <c r="T127" s="145"/>
      <c r="U127" s="156"/>
      <c r="V127" s="156"/>
    </row>
    <row r="128" outlineLevel="1">
      <c r="A128" s="230" t="s">
        <v>5575</v>
      </c>
      <c r="B128" s="109"/>
      <c r="C128" s="231" t="s">
        <v>48</v>
      </c>
      <c r="D128" s="231" t="s">
        <v>49</v>
      </c>
      <c r="E128" s="232" t="s">
        <v>50</v>
      </c>
      <c r="F128" s="233" t="s">
        <v>51</v>
      </c>
      <c r="G128" s="232" t="s">
        <v>52</v>
      </c>
      <c r="H128" s="382" t="s">
        <v>53</v>
      </c>
      <c r="I128" s="110"/>
      <c r="J128" s="109"/>
      <c r="K128" s="235" t="s">
        <v>137</v>
      </c>
      <c r="L128" s="235" t="s">
        <v>138</v>
      </c>
      <c r="M128" s="235" t="s">
        <v>139</v>
      </c>
      <c r="N128" s="235" t="s">
        <v>140</v>
      </c>
      <c r="O128" s="236" t="s">
        <v>141</v>
      </c>
      <c r="P128" s="235" t="s">
        <v>142</v>
      </c>
      <c r="Q128" s="236" t="s">
        <v>143</v>
      </c>
      <c r="R128" s="235" t="s">
        <v>179</v>
      </c>
      <c r="S128" s="236" t="s">
        <v>180</v>
      </c>
      <c r="T128" s="236" t="s">
        <v>181</v>
      </c>
      <c r="U128" s="236" t="s">
        <v>182</v>
      </c>
      <c r="V128" s="3198" t="s">
        <v>183</v>
      </c>
    </row>
    <row r="129" outlineLevel="1">
      <c r="A129" s="1202" t="s">
        <v>5576</v>
      </c>
      <c r="B129" s="870"/>
      <c r="C129" s="301"/>
      <c r="D129" s="467" t="s">
        <v>146</v>
      </c>
      <c r="E129" s="301"/>
      <c r="F129" s="301"/>
      <c r="G129" s="301"/>
      <c r="H129" s="151" t="s">
        <v>5577</v>
      </c>
      <c r="I129" s="110"/>
      <c r="J129" s="109"/>
      <c r="K129" s="138"/>
      <c r="L129" s="138"/>
      <c r="M129" s="145"/>
      <c r="N129" s="145"/>
      <c r="O129" s="145">
        <v>0.0</v>
      </c>
      <c r="P129" s="145">
        <v>1.0</v>
      </c>
      <c r="Q129" s="145">
        <v>1.0</v>
      </c>
      <c r="R129" s="145" t="b">
        <v>1</v>
      </c>
      <c r="S129" s="145" t="b">
        <v>1</v>
      </c>
      <c r="T129" s="145"/>
      <c r="U129" s="145" t="s">
        <v>3287</v>
      </c>
      <c r="V129" s="145" t="b">
        <v>1</v>
      </c>
    </row>
    <row r="130" outlineLevel="1">
      <c r="A130" s="1202" t="s">
        <v>5578</v>
      </c>
      <c r="B130" s="870"/>
      <c r="C130" s="301"/>
      <c r="D130" s="467" t="s">
        <v>221</v>
      </c>
      <c r="E130" s="301"/>
      <c r="F130" s="301"/>
      <c r="G130" s="301"/>
      <c r="H130" s="151" t="s">
        <v>5579</v>
      </c>
      <c r="I130" s="110"/>
      <c r="J130" s="109"/>
      <c r="K130" s="138"/>
      <c r="L130" s="138"/>
      <c r="M130" s="145"/>
      <c r="N130" s="145"/>
      <c r="O130" s="145">
        <v>0.0</v>
      </c>
      <c r="P130" s="145">
        <v>1.0</v>
      </c>
      <c r="Q130" s="145">
        <v>1.0</v>
      </c>
      <c r="R130" s="145" t="b">
        <v>1</v>
      </c>
      <c r="S130" s="145" t="b">
        <v>1</v>
      </c>
      <c r="T130" s="145"/>
      <c r="U130" s="145" t="s">
        <v>3287</v>
      </c>
      <c r="V130" s="145" t="b">
        <v>1</v>
      </c>
    </row>
    <row r="131" outlineLevel="1">
      <c r="A131" s="1202" t="s">
        <v>5580</v>
      </c>
      <c r="B131" s="870"/>
      <c r="C131" s="301"/>
      <c r="D131" s="467" t="s">
        <v>218</v>
      </c>
      <c r="E131" s="301"/>
      <c r="F131" s="301"/>
      <c r="G131" s="301"/>
      <c r="H131" s="151" t="s">
        <v>5581</v>
      </c>
      <c r="I131" s="110"/>
      <c r="J131" s="109"/>
      <c r="K131" s="138"/>
      <c r="L131" s="138"/>
      <c r="M131" s="145"/>
      <c r="N131" s="145"/>
      <c r="O131" s="145">
        <v>0.0</v>
      </c>
      <c r="P131" s="145">
        <v>1.0</v>
      </c>
      <c r="Q131" s="145">
        <v>1.0</v>
      </c>
      <c r="R131" s="145" t="b">
        <v>1</v>
      </c>
      <c r="S131" s="145" t="b">
        <v>1</v>
      </c>
      <c r="T131" s="145"/>
      <c r="U131" s="145" t="s">
        <v>3287</v>
      </c>
      <c r="V131" s="145" t="b">
        <v>1</v>
      </c>
    </row>
    <row r="132" ht="32.25" customHeight="1" outlineLevel="1">
      <c r="A132" s="546" t="s">
        <v>5582</v>
      </c>
      <c r="B132" s="870"/>
      <c r="C132" s="301"/>
      <c r="D132" s="455" t="s">
        <v>5583</v>
      </c>
      <c r="E132" s="301"/>
      <c r="F132" s="301"/>
      <c r="G132" s="301"/>
      <c r="H132" s="163" t="s">
        <v>5584</v>
      </c>
      <c r="I132" s="164"/>
      <c r="J132" s="104"/>
      <c r="K132" s="138"/>
      <c r="L132" s="138"/>
      <c r="M132" s="145"/>
      <c r="N132" s="145"/>
      <c r="O132" s="145">
        <v>0.0</v>
      </c>
      <c r="P132" s="145">
        <v>1.0</v>
      </c>
      <c r="Q132" s="145">
        <v>1.0</v>
      </c>
      <c r="R132" s="145" t="b">
        <v>1</v>
      </c>
      <c r="S132" s="145" t="b">
        <v>1</v>
      </c>
      <c r="T132" s="145"/>
      <c r="U132" s="166" t="s">
        <v>3287</v>
      </c>
      <c r="V132" s="166" t="b">
        <v>1</v>
      </c>
    </row>
    <row r="133" ht="32.25" customHeight="1" outlineLevel="1">
      <c r="A133" s="156"/>
      <c r="B133" s="402" t="s">
        <v>344</v>
      </c>
      <c r="C133" s="239" t="s">
        <v>2703</v>
      </c>
      <c r="D133" s="107"/>
      <c r="E133" s="239" t="s">
        <v>386</v>
      </c>
      <c r="F133" s="138">
        <v>18.0</v>
      </c>
      <c r="G133" s="239" t="s">
        <v>82</v>
      </c>
      <c r="H133" s="106"/>
      <c r="I133" s="168"/>
      <c r="J133" s="107"/>
      <c r="K133" s="463"/>
      <c r="L133" s="463"/>
      <c r="M133" s="3231"/>
      <c r="N133" s="3231"/>
      <c r="O133" s="3231"/>
      <c r="P133" s="3231"/>
      <c r="Q133" s="3231"/>
      <c r="R133" s="3231" t="b">
        <v>0</v>
      </c>
      <c r="S133" s="3231" t="b">
        <v>0</v>
      </c>
      <c r="T133" s="3231" t="b">
        <v>0</v>
      </c>
      <c r="U133" s="156"/>
      <c r="V133" s="156"/>
    </row>
    <row r="134" outlineLevel="1">
      <c r="A134" s="3232" t="s">
        <v>5585</v>
      </c>
      <c r="B134" s="3233"/>
      <c r="C134" s="239" t="s">
        <v>5586</v>
      </c>
      <c r="D134" s="467" t="s">
        <v>218</v>
      </c>
      <c r="E134" s="301"/>
      <c r="F134" s="301"/>
      <c r="G134" s="301"/>
      <c r="H134" s="151" t="s">
        <v>5587</v>
      </c>
      <c r="I134" s="110"/>
      <c r="J134" s="109"/>
      <c r="K134" s="3234"/>
      <c r="L134" s="3234"/>
      <c r="M134" s="1490"/>
      <c r="N134" s="1490"/>
      <c r="O134" s="1490">
        <v>0.0</v>
      </c>
      <c r="P134" s="1490">
        <v>1.0</v>
      </c>
      <c r="Q134" s="1490">
        <v>1.0</v>
      </c>
      <c r="R134" s="1490" t="b">
        <v>1</v>
      </c>
      <c r="S134" s="1490" t="b">
        <v>1</v>
      </c>
      <c r="T134" s="1490"/>
      <c r="U134" s="145" t="s">
        <v>3287</v>
      </c>
      <c r="V134" s="1490" t="b">
        <v>1</v>
      </c>
    </row>
    <row r="135" outlineLevel="1">
      <c r="A135" s="3235" t="s">
        <v>5588</v>
      </c>
      <c r="B135" s="3236"/>
      <c r="C135" s="239" t="s">
        <v>5589</v>
      </c>
      <c r="D135" s="3237" t="s">
        <v>118</v>
      </c>
      <c r="E135" s="301"/>
      <c r="F135" s="301"/>
      <c r="G135" s="301"/>
      <c r="H135" s="151" t="s">
        <v>5590</v>
      </c>
      <c r="I135" s="110"/>
      <c r="J135" s="109"/>
      <c r="K135" s="3238"/>
      <c r="L135" s="3238"/>
      <c r="M135" s="2754"/>
      <c r="N135" s="2754"/>
      <c r="O135" s="2754">
        <v>0.0</v>
      </c>
      <c r="P135" s="2754">
        <v>1.0</v>
      </c>
      <c r="Q135" s="2754">
        <v>1.0</v>
      </c>
      <c r="R135" s="2754" t="b">
        <v>1</v>
      </c>
      <c r="S135" s="2754" t="b">
        <v>1</v>
      </c>
      <c r="T135" s="2754"/>
      <c r="U135" s="145" t="s">
        <v>3287</v>
      </c>
      <c r="V135" s="2754" t="b">
        <v>1</v>
      </c>
    </row>
    <row r="136" ht="25.5" customHeight="1" outlineLevel="1">
      <c r="A136" s="546" t="s">
        <v>5591</v>
      </c>
      <c r="B136" s="402" t="s">
        <v>5592</v>
      </c>
      <c r="C136" s="301"/>
      <c r="D136" s="3239" t="s">
        <v>394</v>
      </c>
      <c r="E136" s="301"/>
      <c r="F136" s="301"/>
      <c r="G136" s="301"/>
      <c r="H136" s="163" t="s">
        <v>5593</v>
      </c>
      <c r="I136" s="164"/>
      <c r="J136" s="104"/>
      <c r="K136" s="138"/>
      <c r="L136" s="138"/>
      <c r="M136" s="145"/>
      <c r="N136" s="145"/>
      <c r="O136" s="145">
        <v>0.0</v>
      </c>
      <c r="P136" s="145">
        <v>1.0</v>
      </c>
      <c r="Q136" s="145">
        <v>1.0</v>
      </c>
      <c r="R136" s="145" t="b">
        <v>1</v>
      </c>
      <c r="S136" s="145" t="b">
        <v>1</v>
      </c>
      <c r="T136" s="145"/>
      <c r="U136" s="166" t="s">
        <v>3287</v>
      </c>
      <c r="V136" s="166" t="b">
        <v>1</v>
      </c>
    </row>
    <row r="137" ht="25.5" customHeight="1" outlineLevel="1">
      <c r="A137" s="156"/>
      <c r="B137" s="402" t="s">
        <v>5594</v>
      </c>
      <c r="C137" s="301"/>
      <c r="D137" s="3239" t="s">
        <v>164</v>
      </c>
      <c r="E137" s="301"/>
      <c r="F137" s="301"/>
      <c r="G137" s="301"/>
      <c r="H137" s="106"/>
      <c r="I137" s="168"/>
      <c r="J137" s="107"/>
      <c r="K137" s="138"/>
      <c r="L137" s="138"/>
      <c r="M137" s="145"/>
      <c r="N137" s="145"/>
      <c r="O137" s="145"/>
      <c r="P137" s="145"/>
      <c r="Q137" s="145"/>
      <c r="R137" s="145" t="b">
        <v>0</v>
      </c>
      <c r="S137" s="145" t="b">
        <v>0</v>
      </c>
      <c r="T137" s="145" t="b">
        <v>0</v>
      </c>
      <c r="U137" s="156"/>
      <c r="V137" s="156"/>
    </row>
    <row r="138" outlineLevel="1">
      <c r="A138" s="1202" t="s">
        <v>5595</v>
      </c>
      <c r="B138" s="870"/>
      <c r="C138" s="301"/>
      <c r="D138" s="3239" t="s">
        <v>213</v>
      </c>
      <c r="E138" s="301"/>
      <c r="F138" s="301"/>
      <c r="G138" s="301"/>
      <c r="H138" s="151" t="s">
        <v>5596</v>
      </c>
      <c r="I138" s="110"/>
      <c r="J138" s="109"/>
      <c r="K138" s="138"/>
      <c r="L138" s="138"/>
      <c r="M138" s="145"/>
      <c r="N138" s="145"/>
      <c r="O138" s="145">
        <v>0.0</v>
      </c>
      <c r="P138" s="145">
        <v>1.0</v>
      </c>
      <c r="Q138" s="145">
        <v>1.0</v>
      </c>
      <c r="R138" s="145" t="b">
        <v>1</v>
      </c>
      <c r="S138" s="145" t="b">
        <v>1</v>
      </c>
      <c r="T138" s="145"/>
      <c r="U138" s="145" t="s">
        <v>3287</v>
      </c>
      <c r="V138" s="145" t="b">
        <v>1</v>
      </c>
    </row>
    <row r="139">
      <c r="A139" s="223"/>
      <c r="B139" s="224"/>
      <c r="C139" s="225"/>
      <c r="D139" s="225"/>
      <c r="E139" s="226"/>
      <c r="F139" s="226"/>
      <c r="G139" s="226"/>
      <c r="H139" s="227"/>
      <c r="I139" s="227"/>
      <c r="J139" s="228"/>
      <c r="K139" s="228"/>
      <c r="L139" s="228"/>
      <c r="M139" s="228"/>
      <c r="N139" s="228"/>
      <c r="O139" s="228"/>
      <c r="P139" s="228"/>
      <c r="Q139" s="118"/>
      <c r="R139" s="118"/>
      <c r="S139" s="118"/>
      <c r="T139" s="118"/>
      <c r="U139" s="118"/>
      <c r="V139" s="118"/>
    </row>
    <row r="140">
      <c r="A140" s="264" t="s">
        <v>211</v>
      </c>
      <c r="B140" s="104"/>
      <c r="C140" s="227"/>
      <c r="D140" s="227"/>
      <c r="E140" s="228"/>
      <c r="F140" s="265"/>
      <c r="G140" s="265"/>
      <c r="H140" s="228"/>
      <c r="I140" s="228"/>
      <c r="J140" s="228"/>
      <c r="K140" s="228"/>
      <c r="L140" s="228"/>
      <c r="M140" s="228"/>
      <c r="N140" s="118"/>
      <c r="O140" s="118"/>
      <c r="P140" s="118"/>
      <c r="Q140" s="228"/>
      <c r="R140" s="228"/>
      <c r="S140" s="228"/>
      <c r="T140" s="228"/>
      <c r="U140" s="228"/>
      <c r="V140" s="228"/>
    </row>
    <row r="141" outlineLevel="1">
      <c r="A141" s="106"/>
      <c r="B141" s="107"/>
      <c r="C141" s="266" t="s">
        <v>48</v>
      </c>
      <c r="D141" s="266" t="s">
        <v>49</v>
      </c>
      <c r="E141" s="266" t="s">
        <v>50</v>
      </c>
      <c r="F141" s="267" t="s">
        <v>51</v>
      </c>
      <c r="G141" s="227"/>
      <c r="H141" s="227"/>
      <c r="I141" s="227"/>
      <c r="J141" s="228"/>
      <c r="K141" s="228"/>
      <c r="L141" s="228"/>
      <c r="M141" s="228"/>
      <c r="N141" s="228"/>
      <c r="O141" s="228"/>
      <c r="P141" s="228"/>
      <c r="Q141" s="228"/>
      <c r="R141" s="228"/>
      <c r="S141" s="228"/>
      <c r="T141" s="228"/>
      <c r="U141" s="228"/>
      <c r="V141" s="228"/>
    </row>
    <row r="142" outlineLevel="1">
      <c r="A142" s="268" t="s">
        <v>212</v>
      </c>
      <c r="B142" s="269" t="s">
        <v>212</v>
      </c>
      <c r="C142" s="113" t="s">
        <v>213</v>
      </c>
      <c r="D142" s="113" t="s">
        <v>86</v>
      </c>
      <c r="E142" s="113" t="s">
        <v>214</v>
      </c>
      <c r="F142" s="138">
        <v>1.56</v>
      </c>
      <c r="G142" s="227"/>
      <c r="H142" s="227"/>
      <c r="I142" s="227"/>
      <c r="J142" s="228"/>
      <c r="K142" s="228"/>
      <c r="L142" s="228"/>
      <c r="M142" s="228"/>
      <c r="N142" s="228"/>
      <c r="O142" s="228"/>
      <c r="P142" s="228"/>
      <c r="Q142" s="228"/>
      <c r="R142" s="228"/>
      <c r="S142" s="228"/>
      <c r="T142" s="228"/>
      <c r="U142" s="228"/>
      <c r="V142" s="228"/>
    </row>
    <row r="143" outlineLevel="1">
      <c r="A143" s="270" t="s">
        <v>215</v>
      </c>
      <c r="B143" s="269" t="s">
        <v>216</v>
      </c>
      <c r="C143" s="113" t="s">
        <v>217</v>
      </c>
      <c r="D143" s="113" t="s">
        <v>218</v>
      </c>
      <c r="E143" s="271"/>
      <c r="F143" s="272"/>
      <c r="G143" s="272"/>
      <c r="H143" s="227"/>
      <c r="I143" s="227"/>
      <c r="J143" s="228"/>
      <c r="K143" s="228"/>
      <c r="L143" s="228"/>
      <c r="M143" s="228"/>
      <c r="N143" s="228"/>
      <c r="O143" s="228"/>
      <c r="P143" s="228"/>
      <c r="Q143" s="228"/>
      <c r="R143" s="228"/>
      <c r="S143" s="228"/>
      <c r="T143" s="228"/>
      <c r="U143" s="228"/>
      <c r="V143" s="228"/>
    </row>
    <row r="144" outlineLevel="1">
      <c r="A144" s="212"/>
      <c r="B144" s="269" t="s">
        <v>219</v>
      </c>
      <c r="C144" s="113" t="s">
        <v>220</v>
      </c>
      <c r="D144" s="113" t="s">
        <v>221</v>
      </c>
      <c r="E144" s="271"/>
      <c r="F144" s="272"/>
      <c r="G144" s="272"/>
      <c r="H144" s="227"/>
      <c r="I144" s="227"/>
      <c r="J144" s="228"/>
      <c r="K144" s="228"/>
      <c r="L144" s="228"/>
      <c r="M144" s="228"/>
      <c r="N144" s="228"/>
      <c r="O144" s="228"/>
      <c r="P144" s="228"/>
      <c r="Q144" s="228"/>
      <c r="R144" s="228"/>
      <c r="S144" s="228"/>
      <c r="T144" s="228"/>
      <c r="U144" s="228"/>
      <c r="V144" s="228"/>
    </row>
    <row r="145" outlineLevel="1">
      <c r="A145" s="106"/>
      <c r="B145" s="269" t="s">
        <v>222</v>
      </c>
      <c r="C145" s="113" t="s">
        <v>223</v>
      </c>
      <c r="D145" s="113" t="s">
        <v>79</v>
      </c>
      <c r="E145" s="227"/>
      <c r="F145" s="272"/>
      <c r="G145" s="272"/>
      <c r="H145" s="227"/>
      <c r="I145" s="227"/>
      <c r="J145" s="228"/>
      <c r="K145" s="228"/>
      <c r="L145" s="228"/>
      <c r="M145" s="228"/>
      <c r="N145" s="228"/>
      <c r="O145" s="228"/>
      <c r="P145" s="228"/>
      <c r="Q145" s="228"/>
      <c r="R145" s="228"/>
      <c r="S145" s="228"/>
      <c r="T145" s="228"/>
      <c r="U145" s="228"/>
      <c r="V145" s="228"/>
    </row>
    <row r="146" outlineLevel="1">
      <c r="A146" s="273" t="s">
        <v>225</v>
      </c>
      <c r="B146" s="109"/>
      <c r="C146" s="266" t="s">
        <v>48</v>
      </c>
      <c r="D146" s="266" t="s">
        <v>49</v>
      </c>
      <c r="E146" s="266" t="s">
        <v>50</v>
      </c>
      <c r="F146" s="267" t="s">
        <v>51</v>
      </c>
      <c r="G146" s="1168" t="s">
        <v>53</v>
      </c>
      <c r="H146" s="110"/>
      <c r="I146" s="110"/>
      <c r="J146" s="109"/>
      <c r="K146" s="275" t="s">
        <v>137</v>
      </c>
      <c r="L146" s="275" t="s">
        <v>138</v>
      </c>
      <c r="M146" s="275" t="s">
        <v>139</v>
      </c>
      <c r="N146" s="275" t="s">
        <v>140</v>
      </c>
      <c r="O146" s="276" t="s">
        <v>141</v>
      </c>
      <c r="P146" s="275" t="s">
        <v>142</v>
      </c>
      <c r="Q146" s="276" t="s">
        <v>143</v>
      </c>
      <c r="R146" s="277"/>
      <c r="S146" s="277"/>
      <c r="T146" s="277"/>
      <c r="U146" s="277"/>
      <c r="V146" s="277"/>
    </row>
    <row r="147" outlineLevel="1">
      <c r="A147" s="278" t="s">
        <v>226</v>
      </c>
      <c r="B147" s="269" t="s">
        <v>227</v>
      </c>
      <c r="C147" s="281"/>
      <c r="D147" s="279" t="s">
        <v>393</v>
      </c>
      <c r="E147" s="281"/>
      <c r="F147" s="476"/>
      <c r="G147" s="1170"/>
      <c r="H147" s="164"/>
      <c r="I147" s="164"/>
      <c r="J147" s="104"/>
      <c r="K147" s="282"/>
      <c r="L147" s="282"/>
      <c r="M147" s="363"/>
      <c r="N147" s="145"/>
      <c r="O147" s="145">
        <v>0.0</v>
      </c>
      <c r="P147" s="145">
        <v>1.0</v>
      </c>
      <c r="Q147" s="145">
        <v>1.0</v>
      </c>
      <c r="R147" s="277"/>
      <c r="S147" s="228"/>
      <c r="T147" s="228"/>
      <c r="U147" s="228"/>
      <c r="V147" s="228"/>
    </row>
    <row r="148" outlineLevel="1">
      <c r="A148" s="156"/>
      <c r="B148" s="269" t="s">
        <v>225</v>
      </c>
      <c r="C148" s="113" t="s">
        <v>153</v>
      </c>
      <c r="D148" s="156"/>
      <c r="E148" s="239" t="s">
        <v>93</v>
      </c>
      <c r="F148" s="138">
        <v>8.4</v>
      </c>
      <c r="G148" s="106"/>
      <c r="H148" s="168"/>
      <c r="I148" s="168"/>
      <c r="J148" s="107"/>
      <c r="K148" s="282"/>
      <c r="L148" s="282"/>
      <c r="M148" s="363"/>
      <c r="N148" s="145"/>
      <c r="O148" s="261"/>
      <c r="P148" s="261"/>
      <c r="Q148" s="261"/>
      <c r="R148" s="277"/>
      <c r="S148" s="228"/>
      <c r="T148" s="228"/>
      <c r="U148" s="228"/>
      <c r="V148" s="228"/>
    </row>
    <row r="149" outlineLevel="1">
      <c r="A149" s="278" t="s">
        <v>229</v>
      </c>
      <c r="B149" s="269" t="s">
        <v>227</v>
      </c>
      <c r="C149" s="281"/>
      <c r="D149" s="279" t="s">
        <v>127</v>
      </c>
      <c r="E149" s="281"/>
      <c r="F149" s="476"/>
      <c r="G149" s="1170"/>
      <c r="H149" s="164"/>
      <c r="I149" s="164"/>
      <c r="J149" s="104"/>
      <c r="K149" s="282"/>
      <c r="L149" s="282"/>
      <c r="M149" s="363"/>
      <c r="N149" s="363"/>
      <c r="O149" s="145">
        <v>0.0</v>
      </c>
      <c r="P149" s="145">
        <v>1.0</v>
      </c>
      <c r="Q149" s="145">
        <v>1.0</v>
      </c>
      <c r="R149" s="277"/>
      <c r="S149" s="228"/>
      <c r="T149" s="228"/>
      <c r="U149" s="228"/>
      <c r="V149" s="228"/>
    </row>
    <row r="150" outlineLevel="1">
      <c r="A150" s="156"/>
      <c r="B150" s="269" t="s">
        <v>225</v>
      </c>
      <c r="C150" s="113" t="s">
        <v>466</v>
      </c>
      <c r="D150" s="156"/>
      <c r="E150" s="239" t="s">
        <v>274</v>
      </c>
      <c r="F150" s="138">
        <v>10.799999999999999</v>
      </c>
      <c r="G150" s="106"/>
      <c r="H150" s="168"/>
      <c r="I150" s="168"/>
      <c r="J150" s="107"/>
      <c r="K150" s="282"/>
      <c r="L150" s="282"/>
      <c r="M150" s="363"/>
      <c r="N150" s="363"/>
      <c r="O150" s="261"/>
      <c r="P150" s="261"/>
      <c r="Q150" s="261"/>
      <c r="R150" s="277"/>
      <c r="S150" s="228"/>
      <c r="T150" s="228"/>
      <c r="U150" s="228"/>
      <c r="V150" s="228"/>
    </row>
    <row r="151" outlineLevel="1">
      <c r="A151" s="278" t="s">
        <v>233</v>
      </c>
      <c r="B151" s="269" t="s">
        <v>227</v>
      </c>
      <c r="C151" s="281"/>
      <c r="D151" s="279" t="s">
        <v>193</v>
      </c>
      <c r="E151" s="281"/>
      <c r="F151" s="476"/>
      <c r="G151" s="1170"/>
      <c r="H151" s="164"/>
      <c r="I151" s="164"/>
      <c r="J151" s="104"/>
      <c r="K151" s="282"/>
      <c r="L151" s="282"/>
      <c r="M151" s="363"/>
      <c r="N151" s="363"/>
      <c r="O151" s="145">
        <v>0.0</v>
      </c>
      <c r="P151" s="145">
        <v>1.0</v>
      </c>
      <c r="Q151" s="145">
        <v>1.0</v>
      </c>
      <c r="R151" s="277"/>
      <c r="S151" s="228"/>
      <c r="T151" s="228"/>
      <c r="U151" s="228"/>
      <c r="V151" s="228"/>
    </row>
    <row r="152" outlineLevel="1">
      <c r="A152" s="156"/>
      <c r="B152" s="269" t="s">
        <v>225</v>
      </c>
      <c r="C152" s="113" t="s">
        <v>394</v>
      </c>
      <c r="D152" s="156"/>
      <c r="E152" s="239" t="s">
        <v>93</v>
      </c>
      <c r="F152" s="138">
        <v>8.4</v>
      </c>
      <c r="G152" s="106"/>
      <c r="H152" s="168"/>
      <c r="I152" s="168"/>
      <c r="J152" s="107"/>
      <c r="K152" s="282"/>
      <c r="L152" s="282"/>
      <c r="M152" s="363"/>
      <c r="N152" s="363"/>
      <c r="O152" s="261"/>
      <c r="P152" s="261"/>
      <c r="Q152" s="261"/>
      <c r="R152" s="277"/>
      <c r="S152" s="117"/>
      <c r="T152" s="117"/>
      <c r="U152" s="117"/>
      <c r="V152" s="117"/>
    </row>
    <row r="153" outlineLevel="1">
      <c r="A153" s="278" t="s">
        <v>234</v>
      </c>
      <c r="B153" s="269" t="s">
        <v>227</v>
      </c>
      <c r="C153" s="281"/>
      <c r="D153" s="279" t="s">
        <v>282</v>
      </c>
      <c r="E153" s="281"/>
      <c r="F153" s="476"/>
      <c r="G153" s="283" t="s">
        <v>5597</v>
      </c>
      <c r="H153" s="164"/>
      <c r="I153" s="164"/>
      <c r="J153" s="104"/>
      <c r="K153" s="282"/>
      <c r="L153" s="282"/>
      <c r="M153" s="363"/>
      <c r="N153" s="363"/>
      <c r="O153" s="145">
        <v>0.0</v>
      </c>
      <c r="P153" s="145">
        <v>1.0</v>
      </c>
      <c r="Q153" s="145">
        <v>1.0</v>
      </c>
      <c r="R153" s="277"/>
      <c r="S153" s="117"/>
      <c r="T153" s="117"/>
      <c r="U153" s="117"/>
      <c r="V153" s="117"/>
    </row>
    <row r="154" outlineLevel="1">
      <c r="A154" s="156"/>
      <c r="B154" s="269" t="s">
        <v>225</v>
      </c>
      <c r="C154" s="113" t="s">
        <v>296</v>
      </c>
      <c r="D154" s="156"/>
      <c r="E154" s="239" t="s">
        <v>86</v>
      </c>
      <c r="F154" s="138">
        <v>7.199999999999999</v>
      </c>
      <c r="G154" s="106"/>
      <c r="H154" s="168"/>
      <c r="I154" s="168"/>
      <c r="J154" s="107"/>
      <c r="K154" s="282"/>
      <c r="L154" s="282"/>
      <c r="M154" s="363"/>
      <c r="N154" s="363"/>
      <c r="O154" s="261"/>
      <c r="P154" s="261"/>
      <c r="Q154" s="261"/>
      <c r="R154" s="277"/>
      <c r="S154" s="117"/>
      <c r="T154" s="117"/>
      <c r="U154" s="117"/>
      <c r="V154" s="117"/>
    </row>
    <row r="155">
      <c r="A155" s="223"/>
      <c r="B155" s="224"/>
      <c r="C155" s="225"/>
      <c r="D155" s="225"/>
      <c r="E155" s="227"/>
      <c r="F155" s="177"/>
      <c r="G155" s="177"/>
      <c r="H155" s="227"/>
      <c r="I155" s="227"/>
      <c r="J155" s="228"/>
      <c r="K155" s="228"/>
      <c r="L155" s="111"/>
      <c r="M155" s="111"/>
      <c r="N155" s="111"/>
      <c r="O155" s="117"/>
      <c r="P155" s="117"/>
      <c r="Q155" s="111"/>
      <c r="R155" s="111"/>
      <c r="S155" s="111"/>
      <c r="T155" s="111"/>
      <c r="U155" s="111"/>
      <c r="V155" s="111"/>
    </row>
    <row r="156">
      <c r="A156" s="284" t="s">
        <v>241</v>
      </c>
      <c r="B156" s="104"/>
      <c r="C156" s="265"/>
      <c r="D156" s="111"/>
      <c r="E156" s="111"/>
      <c r="F156" s="111"/>
      <c r="G156" s="111"/>
      <c r="H156" s="111"/>
      <c r="I156" s="111"/>
      <c r="J156" s="118"/>
      <c r="K156" s="111"/>
      <c r="L156" s="111"/>
      <c r="M156" s="111"/>
      <c r="N156" s="111"/>
      <c r="O156" s="111"/>
      <c r="P156" s="111"/>
      <c r="Q156" s="118"/>
      <c r="R156" s="111"/>
      <c r="S156" s="111"/>
      <c r="T156" s="111"/>
      <c r="U156" s="111"/>
      <c r="V156" s="111"/>
    </row>
    <row r="157" outlineLevel="1">
      <c r="A157" s="106"/>
      <c r="B157" s="107"/>
      <c r="C157" s="285" t="s">
        <v>235</v>
      </c>
      <c r="D157" s="285" t="s">
        <v>236</v>
      </c>
      <c r="E157" s="285" t="s">
        <v>49</v>
      </c>
      <c r="F157" s="285" t="s">
        <v>237</v>
      </c>
      <c r="G157" s="286"/>
      <c r="H157" s="227"/>
      <c r="I157" s="227"/>
      <c r="J157" s="228"/>
      <c r="K157" s="228"/>
      <c r="L157" s="111"/>
      <c r="M157" s="111"/>
      <c r="N157" s="111"/>
      <c r="O157" s="111"/>
      <c r="P157" s="111"/>
      <c r="Q157" s="111"/>
      <c r="R157" s="111"/>
      <c r="S157" s="111"/>
      <c r="T157" s="111"/>
      <c r="U157" s="111"/>
      <c r="V157" s="111"/>
    </row>
    <row r="158" outlineLevel="1">
      <c r="A158" s="287" t="s">
        <v>395</v>
      </c>
      <c r="B158" s="288" t="s">
        <v>216</v>
      </c>
      <c r="C158" s="113" t="str">
        <f t="array" ref="C158">INDEX('回避'!$C$3:$U$84, MATCH($A$1,'回避'!$A$3:$A$91,0), MATCH(C157,'回避'!$C$2:$F$2,0))</f>
        <v>3-17</v>
      </c>
      <c r="D158" s="113" t="str">
        <f t="array" ref="D158">INDEX('回避'!$C$3:$U$84, MATCH($A$1,'回避'!$A$3:$A$91,0), MATCH(D157,'回避'!$C$2:$F$2,0))</f>
        <v>6-17</v>
      </c>
      <c r="E158" s="113" t="str">
        <f t="array" ref="E158">INDEX('回避'!$C$3:$U$84, MATCH($A$1,'回避'!$A$3:$A$91,0), MATCH(E157,'回避'!$C$2:$F$2,0))</f>
        <v>25 (20)</v>
      </c>
      <c r="F158" s="113" t="str">
        <f t="array" ref="F158">INDEX('回避'!$C$3:$U$84, MATCH($A$1,'回避'!$A$3:$A$91,0), MATCH(F157,'回避'!$C$2:$F$2,0))</f>
        <v>33 (27)</v>
      </c>
      <c r="G158" s="272"/>
      <c r="H158" s="227"/>
      <c r="I158" s="227"/>
      <c r="J158" s="228"/>
      <c r="K158" s="228"/>
      <c r="L158" s="228"/>
      <c r="M158" s="111"/>
      <c r="N158" s="111"/>
      <c r="O158" s="111"/>
      <c r="P158" s="111"/>
      <c r="Q158" s="111"/>
      <c r="R158" s="111"/>
      <c r="S158" s="111"/>
      <c r="T158" s="111"/>
      <c r="U158" s="111"/>
      <c r="V158" s="111"/>
    </row>
    <row r="159" outlineLevel="1">
      <c r="A159" s="212"/>
      <c r="B159" s="288" t="s">
        <v>245</v>
      </c>
      <c r="C159" s="113" t="str">
        <f t="array" ref="C159">INDEX('回避'!$G$3:$U$84, MATCH($A$1,'回避'!$A$3:$A$91,0), MATCH(C157,'回避'!$G$2:$J$2,0))</f>
        <v>4-15</v>
      </c>
      <c r="D159" s="113" t="str">
        <f t="array" ref="D159">INDEX('回避'!$G$3:$U$84, MATCH($A$1,'回避'!$A$3:$A$91,0), MATCH(D157,'回避'!$G$2:$J$2,0))</f>
        <v>8-14</v>
      </c>
      <c r="E159" s="113" t="str">
        <f t="array" ref="E159">INDEX('回避'!$G$3:$U$84, MATCH($A$1,'回避'!$A$3:$A$91,0), MATCH(E157,'回避'!$G$2:$J$2,0))</f>
        <v>29</v>
      </c>
      <c r="F159" s="113">
        <f t="array" ref="F159">INDEX('回避'!$G$3:$U$84, MATCH($A$1,'回避'!$A$3:$A$91,0), MATCH(F157,'回避'!$G$2:$J$2,0))</f>
        <v>38</v>
      </c>
      <c r="G159" s="289"/>
      <c r="H159" s="227"/>
      <c r="I159" s="227"/>
      <c r="J159" s="228"/>
      <c r="K159" s="228"/>
      <c r="L159" s="228"/>
      <c r="M159" s="228"/>
      <c r="N159" s="228"/>
      <c r="O159" s="111"/>
      <c r="P159" s="111"/>
      <c r="Q159" s="111"/>
      <c r="R159" s="111"/>
      <c r="S159" s="111"/>
      <c r="T159" s="111"/>
      <c r="U159" s="111"/>
      <c r="V159" s="111"/>
    </row>
    <row r="160" outlineLevel="1">
      <c r="A160" s="106"/>
      <c r="B160" s="288" t="s">
        <v>246</v>
      </c>
      <c r="C160" s="113" t="str">
        <f t="array" ref="C160">INDEX('回避'!$K$3:$U$84, MATCH($A$1,'回避'!$A$3:$A$91,0), MATCH(C157,'回避'!$K$2:$N$2,0))</f>
        <v>5-16</v>
      </c>
      <c r="D160" s="113" t="str">
        <f t="array" ref="D160">INDEX('回避'!$K$3:$U$84, MATCH($A$1,'回避'!$A$3:$A$91,0), MATCH(D157,'回避'!$K$2:$N$2,0))</f>
        <v>9-14</v>
      </c>
      <c r="E160" s="113" t="str">
        <f t="array" ref="E160">INDEX('回避'!$K$3:$U$84, MATCH($A$1,'回避'!$A$3:$A$91,0), MATCH(E157,'回避'!$K$2:$N$2,0))</f>
        <v>34</v>
      </c>
      <c r="F160" s="113" t="str">
        <f t="array" ref="F160">INDEX('回避'!$K$3:$U$84, MATCH($A$1,'回避'!$A$3:$A$91,0), MATCH(F157,'回避'!$K$2:$N$2,0))</f>
        <v>51</v>
      </c>
      <c r="G160" s="289"/>
      <c r="H160" s="290"/>
      <c r="I160" s="290"/>
      <c r="J160" s="117"/>
      <c r="K160" s="117"/>
      <c r="L160" s="117"/>
      <c r="M160" s="117"/>
      <c r="N160" s="117"/>
      <c r="O160" s="111"/>
      <c r="P160" s="111"/>
      <c r="Q160" s="111"/>
      <c r="R160" s="111"/>
      <c r="S160" s="111"/>
      <c r="T160" s="111"/>
      <c r="U160" s="111"/>
      <c r="V160" s="111"/>
    </row>
    <row r="161" outlineLevel="1">
      <c r="A161" s="287" t="s">
        <v>396</v>
      </c>
      <c r="B161" s="288" t="s">
        <v>397</v>
      </c>
      <c r="C161" s="113" t="str">
        <f t="array" ref="C161">INDEX('回避'!$O$3:$U$84, MATCH($A$1,'回避'!$A$3:$A$91,0), MATCH(C157,'回避'!$O$2:$R$2,0))</f>
        <v>3-30</v>
      </c>
      <c r="D161" s="113" t="str">
        <f t="array" ref="D161">INDEX('回避'!$O$3:$U$84, MATCH($A$1,'回避'!$A$3:$A$91,0), MATCH(D157,'回避'!$O$2:$R$2,0))</f>
        <v>6-27</v>
      </c>
      <c r="E161" s="113" t="str">
        <f t="array" ref="E161">INDEX('回避'!$O$3:$U$84, MATCH($A$1,'回避'!$A$3:$A$91,0), MATCH(E157,'回避'!$O$2:$R$2,0))</f>
        <v>50</v>
      </c>
      <c r="F161" s="177"/>
      <c r="G161" s="177"/>
      <c r="H161" s="118"/>
      <c r="I161" s="118"/>
      <c r="J161" s="111"/>
      <c r="K161" s="111"/>
      <c r="L161" s="111"/>
      <c r="M161" s="111"/>
      <c r="N161" s="111"/>
      <c r="O161" s="228"/>
      <c r="P161" s="228"/>
      <c r="Q161" s="228"/>
      <c r="R161" s="228"/>
      <c r="S161" s="228"/>
      <c r="T161" s="228"/>
      <c r="U161" s="228"/>
      <c r="V161" s="228"/>
    </row>
    <row r="162" outlineLevel="1">
      <c r="A162" s="106"/>
      <c r="B162" s="288" t="s">
        <v>398</v>
      </c>
      <c r="C162" s="113" t="str">
        <f t="array" ref="C162">INDEX('回避'!$S$3:$U$84, MATCH($A$1,'回避'!$A$3:$A$91,0), MATCH(C157,'回避'!$S$2:$U$2,0))</f>
        <v>3-21</v>
      </c>
      <c r="D162" s="113" t="str">
        <f t="array" ref="D162">INDEX('回避'!$S$3:$U$84, MATCH($A$1,'回避'!$A$3:$A$91,0), MATCH(D157,'回避'!$S$2:$U$2,0))</f>
        <v>6-20</v>
      </c>
      <c r="E162" s="113" t="str">
        <f t="array" ref="E162">INDEX('回避'!$S$3:$U$84, MATCH($A$1,'回避'!$A$3:$A$91,0), MATCH(E157,'回避'!$S$2:$U$2,0))</f>
        <v>真横：83
真上：109
真下：69</v>
      </c>
      <c r="F162" s="289"/>
      <c r="G162" s="289"/>
      <c r="H162" s="118"/>
      <c r="I162" s="118"/>
      <c r="J162" s="117"/>
      <c r="K162" s="117"/>
      <c r="L162" s="117"/>
      <c r="M162" s="117"/>
      <c r="N162" s="111"/>
      <c r="O162" s="118"/>
      <c r="P162" s="118"/>
      <c r="Q162" s="118"/>
      <c r="R162" s="118"/>
      <c r="S162" s="118"/>
      <c r="T162" s="118"/>
      <c r="U162" s="118"/>
      <c r="V162" s="118"/>
    </row>
    <row r="163">
      <c r="A163" s="291"/>
      <c r="B163" s="292"/>
      <c r="C163" s="286"/>
      <c r="D163" s="286"/>
      <c r="E163" s="293"/>
      <c r="F163" s="286"/>
      <c r="G163" s="286"/>
      <c r="H163" s="286"/>
      <c r="I163" s="286"/>
      <c r="J163" s="111"/>
      <c r="K163" s="227"/>
      <c r="L163" s="227"/>
      <c r="M163" s="227"/>
      <c r="N163" s="227"/>
      <c r="O163" s="118"/>
      <c r="P163" s="118"/>
      <c r="Q163" s="118"/>
      <c r="R163" s="118"/>
      <c r="S163" s="118"/>
      <c r="T163" s="118"/>
      <c r="U163" s="118"/>
      <c r="V163" s="118"/>
    </row>
    <row r="164">
      <c r="A164" s="294" t="s">
        <v>238</v>
      </c>
      <c r="B164" s="104"/>
      <c r="C164" s="228"/>
      <c r="D164" s="117"/>
      <c r="E164" s="228"/>
      <c r="F164" s="114"/>
      <c r="G164" s="114"/>
      <c r="H164" s="117"/>
      <c r="I164" s="117"/>
      <c r="J164" s="118"/>
      <c r="K164" s="118"/>
      <c r="L164" s="118"/>
      <c r="M164" s="118"/>
      <c r="N164" s="118"/>
      <c r="O164" s="118"/>
      <c r="P164" s="118"/>
      <c r="Q164" s="118"/>
      <c r="R164" s="118"/>
      <c r="S164" s="118"/>
      <c r="T164" s="118"/>
      <c r="U164" s="118"/>
      <c r="V164" s="118"/>
    </row>
    <row r="165" outlineLevel="1">
      <c r="A165" s="106"/>
      <c r="B165" s="107"/>
      <c r="C165" s="295" t="s">
        <v>235</v>
      </c>
      <c r="D165" s="295" t="s">
        <v>49</v>
      </c>
      <c r="E165" s="295" t="s">
        <v>48</v>
      </c>
      <c r="F165" s="295" t="s">
        <v>50</v>
      </c>
      <c r="G165" s="296" t="s">
        <v>51</v>
      </c>
      <c r="H165" s="228"/>
      <c r="I165" s="228"/>
      <c r="J165" s="117"/>
      <c r="K165" s="297" t="s">
        <v>256</v>
      </c>
      <c r="L165" s="109"/>
      <c r="M165" s="298" t="s">
        <v>257</v>
      </c>
      <c r="N165" s="298" t="s">
        <v>49</v>
      </c>
      <c r="O165" s="118"/>
      <c r="P165" s="118"/>
      <c r="Q165" s="118"/>
      <c r="R165" s="118"/>
      <c r="S165" s="118"/>
      <c r="T165" s="118"/>
      <c r="U165" s="118"/>
      <c r="V165" s="118"/>
    </row>
    <row r="166" outlineLevel="1">
      <c r="A166" s="299" t="s">
        <v>239</v>
      </c>
      <c r="B166" s="300" t="s">
        <v>240</v>
      </c>
      <c r="C166" s="301"/>
      <c r="D166" s="113">
        <f t="array" ref="D166">INDEX('崖行動・受け身'!$C$3:$C$115, MATCH($A$1,'崖行動・受け身'!$A$3:$A$115,0), MATCH(D165,'崖行動・受け身'!$C$2,0))</f>
        <v>19</v>
      </c>
      <c r="E166" s="301"/>
      <c r="F166" s="301"/>
      <c r="G166" s="301"/>
      <c r="H166" s="228"/>
      <c r="I166" s="228"/>
      <c r="J166" s="111"/>
      <c r="K166" s="302" t="s">
        <v>258</v>
      </c>
      <c r="L166" s="303" t="s">
        <v>216</v>
      </c>
      <c r="M166" s="113" t="str">
        <f t="array" ref="M166">INDEX('アイテム'!$C$3:$D$115, MATCH($A$1,'アイテム'!$A$3:$A$115,0), MATCH(M$165,'アイテム'!$C$2:$AK$2,0))</f>
        <v>2</v>
      </c>
      <c r="N166" s="113">
        <f t="array" ref="N166">INDEX('アイテム'!$C$3:$D$115, MATCH($A$1,'アイテム'!$A$3:$A$115,0), MATCH(N$165,'アイテム'!$C$2:$AK$2,0))</f>
        <v>7</v>
      </c>
      <c r="O166" s="118"/>
      <c r="P166" s="118"/>
      <c r="Q166" s="118"/>
      <c r="R166" s="118"/>
      <c r="S166" s="118"/>
      <c r="T166" s="118"/>
      <c r="U166" s="118"/>
      <c r="V166" s="118"/>
    </row>
    <row r="167" outlineLevel="1">
      <c r="A167" s="146"/>
      <c r="B167" s="300" t="s">
        <v>216</v>
      </c>
      <c r="C167" s="113" t="str">
        <f t="array" ref="C167">INDEX('崖行動・受け身'!$D$3:$E$115, MATCH($A$1,'崖行動・受け身'!$A$3:$A$115,0), MATCH(C$165,'崖行動・受け身'!$D$2:$E$2,0))</f>
        <v>1-33</v>
      </c>
      <c r="D167" s="113">
        <f t="array" ref="D167">INDEX('崖行動・受け身'!$D$3:$E$115, MATCH($A$1,'崖行動・受け身'!$A$3:$A$115,0), MATCH(D$165,'崖行動・受け身'!$D$2:$E$2,0))</f>
        <v>34</v>
      </c>
      <c r="E167" s="301"/>
      <c r="F167" s="301"/>
      <c r="G167" s="301"/>
      <c r="H167" s="228"/>
      <c r="I167" s="228"/>
      <c r="J167" s="117"/>
      <c r="K167" s="156"/>
      <c r="L167" s="303" t="s">
        <v>5389</v>
      </c>
      <c r="M167" s="113" t="str">
        <f t="array" ref="M167">INDEX('アイテム'!$E$3:$F$115, MATCH($A$1,'アイテム'!$A$3:$A$115,0), MATCH(M$165,'アイテム'!$E$2:$AK$2,0))</f>
        <v>2</v>
      </c>
      <c r="N167" s="113">
        <f t="array" ref="N167">INDEX('アイテム'!$E$3:$F$115, MATCH($A$1,'アイテム'!$A$3:$A$115,0), MATCH(N$165,'アイテム'!$E$2:$AK$2,0))</f>
        <v>19</v>
      </c>
      <c r="O167" s="118"/>
      <c r="P167" s="118"/>
      <c r="Q167" s="118"/>
      <c r="R167" s="118"/>
      <c r="S167" s="118"/>
      <c r="T167" s="118"/>
      <c r="U167" s="118"/>
      <c r="V167" s="118"/>
    </row>
    <row r="168" outlineLevel="1">
      <c r="A168" s="146"/>
      <c r="B168" s="300" t="s">
        <v>241</v>
      </c>
      <c r="C168" s="113" t="str">
        <f t="array" ref="C168">INDEX('崖行動・受け身'!$F$3:$G$115, MATCH($A$1,'崖行動・受け身'!$A$3:$A$115,0), MATCH(C$165,'崖行動・受け身'!$F$2:$G$2,0))</f>
        <v>1-30</v>
      </c>
      <c r="D168" s="113">
        <f t="array" ref="D168">INDEX('崖行動・受け身'!$F$3:$G$115, MATCH($A$1,'崖行動・受け身'!$A$3:$A$115,0), MATCH(D$165,'崖行動・受け身'!$F$2:$G$2,0))</f>
        <v>45</v>
      </c>
      <c r="E168" s="301"/>
      <c r="F168" s="301"/>
      <c r="G168" s="301"/>
      <c r="H168" s="228"/>
      <c r="I168" s="228"/>
      <c r="J168" s="111"/>
      <c r="K168" s="304" t="s">
        <v>260</v>
      </c>
      <c r="L168" s="109"/>
      <c r="M168" s="298" t="s">
        <v>261</v>
      </c>
      <c r="N168" s="298" t="s">
        <v>49</v>
      </c>
      <c r="O168" s="118"/>
      <c r="P168" s="118"/>
      <c r="Q168" s="118"/>
      <c r="R168" s="118"/>
      <c r="S168" s="118"/>
      <c r="T168" s="118"/>
      <c r="U168" s="118"/>
      <c r="V168" s="118"/>
    </row>
    <row r="169" outlineLevel="1">
      <c r="A169" s="146"/>
      <c r="B169" s="300" t="s">
        <v>242</v>
      </c>
      <c r="C169" s="113" t="str">
        <f t="array" ref="C169">INDEX('崖行動・受け身'!$H$3:$I$115, MATCH($A$1,'崖行動・受け身'!$A$3:$A$115,0), MATCH(C$165,'崖行動・受け身'!$H$2:$I$2,0))</f>
        <v>1-12</v>
      </c>
      <c r="D169" s="113">
        <f t="array" ref="D169">INDEX('崖行動・受け身'!$H$3:$I$115, MATCH($A$1,'崖行動・受け身'!$A$3:$A$115,0), MATCH(D$165,'崖行動・受け身'!$H$2:$I$2,0))</f>
        <v>14</v>
      </c>
      <c r="E169" s="301"/>
      <c r="F169" s="301"/>
      <c r="G169" s="301"/>
      <c r="H169" s="228"/>
      <c r="I169" s="228"/>
      <c r="J169" s="117"/>
      <c r="K169" s="305" t="s">
        <v>262</v>
      </c>
      <c r="L169" s="303" t="s">
        <v>226</v>
      </c>
      <c r="M169" s="113" t="str">
        <f t="array" ref="M169">INDEX('アイテム'!$G$3:$H$115, MATCH($A$1,'アイテム'!$A$3:$A$115,0), MATCH(M$168,'アイテム'!$G$2:$AK$2,0))</f>
        <v>7</v>
      </c>
      <c r="N169" s="113">
        <f t="array" ref="N169">INDEX('アイテム'!$G$3:$H$115, MATCH($A$1,'アイテム'!$A$3:$A$115,0), MATCH(N$168,'アイテム'!$G$2:$AK$2,0))</f>
        <v>24</v>
      </c>
      <c r="O169" s="111"/>
      <c r="P169" s="111"/>
      <c r="Q169" s="111"/>
      <c r="R169" s="111"/>
      <c r="S169" s="111"/>
      <c r="T169" s="111"/>
      <c r="U169" s="111"/>
      <c r="V169" s="111"/>
    </row>
    <row r="170" outlineLevel="1">
      <c r="A170" s="156"/>
      <c r="B170" s="300" t="s">
        <v>243</v>
      </c>
      <c r="C170" s="113" t="str">
        <f t="array" ref="C170">INDEX('崖行動・受け身'!$J$3:$M$115, MATCH($A$1,'崖行動・受け身'!$A$3:$A$115,0), MATCH(C$165,'崖行動・受け身'!$J$2:$M$2,0))</f>
        <v>1-26</v>
      </c>
      <c r="D170" s="113">
        <f t="array" ref="D170">INDEX('崖行動・受け身'!$J$3:$M$115, MATCH($A$1,'崖行動・受け身'!$A$3:$A$115,0), MATCH(D$165,'崖行動・受け身'!$J$2:$M$2,0))</f>
        <v>55</v>
      </c>
      <c r="E170" s="113" t="str">
        <f t="array" ref="E170">INDEX('崖行動・受け身'!$J$3:$M$115, MATCH($A$1,'崖行動・受け身'!$A$3:$A$115,0), MATCH(E$165,'崖行動・受け身'!$J$2:$M$2,0))</f>
        <v>24-26</v>
      </c>
      <c r="F170" s="113">
        <f t="array" ref="F170">INDEX('崖行動・受け身'!$J$3:$M$115, MATCH($A$1,'崖行動・受け身'!$A$3:$A$115,0), MATCH(F$165,'崖行動・受け身'!$J$2:$M$2,0))</f>
        <v>9</v>
      </c>
      <c r="G170" s="113">
        <f>F170*1.2</f>
        <v>10.8</v>
      </c>
      <c r="H170" s="228"/>
      <c r="I170" s="228"/>
      <c r="J170" s="111"/>
      <c r="K170" s="146"/>
      <c r="L170" s="303" t="s">
        <v>229</v>
      </c>
      <c r="M170" s="113" t="str">
        <f t="array" ref="M170">INDEX('アイテム'!$I$3:$J$115, MATCH($A$1,'アイテム'!$A$3:$A$115,0), MATCH(M$168,'アイテム'!$I$2:$AK$2,0))</f>
        <v>9</v>
      </c>
      <c r="N170" s="113">
        <f t="array" ref="N170">INDEX('アイテム'!$I$3:$J$115, MATCH($A$1,'アイテム'!$A$3:$A$115,0), MATCH(N$168,'アイテム'!$I$2:$AK$2,0))</f>
        <v>24</v>
      </c>
      <c r="O170" s="111"/>
      <c r="P170" s="111"/>
      <c r="Q170" s="111"/>
      <c r="R170" s="111"/>
      <c r="S170" s="111"/>
      <c r="T170" s="111"/>
      <c r="U170" s="111"/>
      <c r="V170" s="111"/>
    </row>
    <row r="171" outlineLevel="1">
      <c r="A171" s="299" t="s">
        <v>244</v>
      </c>
      <c r="B171" s="300" t="s">
        <v>216</v>
      </c>
      <c r="C171" s="113" t="str">
        <f t="array" ref="C171">INDEX('崖行動・受け身'!$N$3:$O$115, MATCH($A$1,'崖行動・受け身'!$A$3:$A$115,0), MATCH(C$165,'崖行動・受け身'!$N$2:$O$2,0))</f>
        <v>1-20</v>
      </c>
      <c r="D171" s="113">
        <f t="array" ref="D171">INDEX('崖行動・受け身'!$N$3:$O$115, MATCH($A$1,'崖行動・受け身'!$A$3:$A$115,0), MATCH(D$165,'崖行動・受け身'!$N$2:$O$2,0))</f>
        <v>26</v>
      </c>
      <c r="E171" s="301"/>
      <c r="F171" s="301"/>
      <c r="G171" s="301"/>
      <c r="H171" s="228"/>
      <c r="I171" s="228"/>
      <c r="J171" s="117"/>
      <c r="K171" s="146"/>
      <c r="L171" s="303" t="s">
        <v>233</v>
      </c>
      <c r="M171" s="113" t="str">
        <f t="array" ref="M171">INDEX('アイテム'!$K$3:$L$115, MATCH($A$1,'アイテム'!$A$3:$A$115,0), MATCH(M$168,'アイテム'!$K$2:$AK$2,0))</f>
        <v>11</v>
      </c>
      <c r="N171" s="113">
        <f t="array" ref="N171">INDEX('アイテム'!$K$3:$L$115, MATCH($A$1,'アイテム'!$A$3:$A$115,0), MATCH(N$168,'アイテム'!$K$2:$AK$2,0))</f>
        <v>23</v>
      </c>
      <c r="O171" s="228"/>
      <c r="P171" s="228"/>
      <c r="Q171" s="228"/>
      <c r="R171" s="228"/>
      <c r="S171" s="228"/>
      <c r="T171" s="228"/>
      <c r="U171" s="228"/>
      <c r="V171" s="228"/>
    </row>
    <row r="172" outlineLevel="1">
      <c r="A172" s="146"/>
      <c r="B172" s="300" t="s">
        <v>245</v>
      </c>
      <c r="C172" s="113" t="str">
        <f t="array" ref="C172">INDEX('崖行動・受け身'!$P$3:$Q$115, MATCH($A$1,'崖行動・受け身'!$A$3:$A$115,0), MATCH(C$165,'崖行動・受け身'!$P$2:$Q$2,0))</f>
        <v>1-20</v>
      </c>
      <c r="D172" s="113">
        <f t="array" ref="D172">INDEX('崖行動・受け身'!$P$3:$Q$115, MATCH($A$1,'崖行動・受け身'!$A$3:$A$115,0), MATCH(D$165,'崖行動・受け身'!$P$2:$Q$2,0))</f>
        <v>40</v>
      </c>
      <c r="E172" s="301"/>
      <c r="F172" s="301"/>
      <c r="G172" s="301"/>
      <c r="H172" s="228"/>
      <c r="I172" s="228"/>
      <c r="J172" s="111"/>
      <c r="K172" s="146"/>
      <c r="L172" s="303" t="s">
        <v>234</v>
      </c>
      <c r="M172" s="113" t="str">
        <f t="array" ref="M172">INDEX('アイテム'!$M$3:$N$115, MATCH($A$1,'アイテム'!$A$3:$A$115,0), MATCH(M$168,'アイテム'!$M$2:$AK$2,0))</f>
        <v>6</v>
      </c>
      <c r="N172" s="113">
        <f t="array" ref="N172">INDEX('アイテム'!$M$3:$N$115, MATCH($A$1,'アイテム'!$A$3:$A$115,0), MATCH(N$168,'アイテム'!$M$2:$AK$2,0))</f>
        <v>19</v>
      </c>
      <c r="O172" s="118"/>
      <c r="P172" s="118"/>
      <c r="Q172" s="118"/>
      <c r="R172" s="118"/>
      <c r="S172" s="118"/>
      <c r="T172" s="118"/>
      <c r="U172" s="118"/>
      <c r="V172" s="118"/>
    </row>
    <row r="173" outlineLevel="1">
      <c r="A173" s="156"/>
      <c r="B173" s="300" t="s">
        <v>246</v>
      </c>
      <c r="C173" s="113" t="str">
        <f t="array" ref="C173">INDEX('崖行動・受け身'!$R$3:$S$115, MATCH($A$1,'崖行動・受け身'!$A$3:$A$115,0), MATCH(C$165,'崖行動・受け身'!$R$2:$S$2,0))</f>
        <v>1-20</v>
      </c>
      <c r="D173" s="113">
        <f t="array" ref="D173">INDEX('崖行動・受け身'!$R$3:$S$115, MATCH($A$1,'崖行動・受け身'!$A$3:$A$115,0), MATCH(D$165,'崖行動・受け身'!$R$2:$S$2,0))</f>
        <v>40</v>
      </c>
      <c r="E173" s="301"/>
      <c r="F173" s="301"/>
      <c r="G173" s="301"/>
      <c r="H173" s="228"/>
      <c r="I173" s="228"/>
      <c r="J173" s="117"/>
      <c r="K173" s="146"/>
      <c r="L173" s="306" t="s">
        <v>219</v>
      </c>
      <c r="M173" s="113" t="str">
        <f t="array" ref="M173">INDEX('アイテム'!$O$3:$P$115, MATCH($A$1,'アイテム'!$A$3:$A$115,0), MATCH(M$168,'アイテム'!$O$2:$AK$2,0))</f>
        <v>4</v>
      </c>
      <c r="N173" s="113">
        <f t="array" ref="N173">INDEX('アイテム'!$O$3:$P$115, MATCH($A$1,'アイテム'!$A$3:$A$115,0), MATCH(N$168,'アイテム'!$O$2:$AK$2,0))</f>
        <v>29</v>
      </c>
      <c r="O173" s="118"/>
      <c r="P173" s="118"/>
      <c r="Q173" s="118"/>
      <c r="R173" s="118"/>
      <c r="S173" s="118"/>
      <c r="T173" s="118"/>
      <c r="U173" s="118"/>
      <c r="V173" s="118"/>
    </row>
    <row r="174" outlineLevel="1">
      <c r="A174" s="299" t="s">
        <v>247</v>
      </c>
      <c r="B174" s="300" t="s">
        <v>248</v>
      </c>
      <c r="C174" s="301"/>
      <c r="D174" s="113" t="str">
        <f t="array" ref="D174">INDEX('起きあがり'!$C$3:$C$115, MATCH($A$1,'起きあがり'!$A$3:$A$115,0), MATCH(D$165,'起きあがり'!$C$2:$AD$2,0))</f>
        <v>25</v>
      </c>
      <c r="E174" s="301"/>
      <c r="F174" s="301"/>
      <c r="G174" s="301"/>
      <c r="H174" s="228"/>
      <c r="I174" s="228"/>
      <c r="J174" s="111"/>
      <c r="K174" s="156"/>
      <c r="L174" s="306" t="s">
        <v>263</v>
      </c>
      <c r="M174" s="113" t="str">
        <f t="array" ref="M174">INDEX('アイテム'!$Q$3:$R$115, MATCH($A$1,'アイテム'!$A$3:$A$115,0), MATCH(M$168,'アイテム'!$Q$2:$AK$2,0))</f>
        <v>5</v>
      </c>
      <c r="N174" s="113">
        <f t="array" ref="N174">INDEX('アイテム'!$Q$3:$R$115, MATCH($A$1,'アイテム'!$A$3:$A$115,0), MATCH(N$168,'アイテム'!$Q$2:$AK$2,0))</f>
        <v>23</v>
      </c>
      <c r="O174" s="118"/>
      <c r="P174" s="118"/>
      <c r="Q174" s="118"/>
      <c r="R174" s="118"/>
      <c r="S174" s="118"/>
      <c r="T174" s="118"/>
      <c r="U174" s="118"/>
      <c r="V174" s="118"/>
    </row>
    <row r="175" outlineLevel="1">
      <c r="A175" s="146"/>
      <c r="B175" s="300" t="s">
        <v>216</v>
      </c>
      <c r="C175" s="307" t="str">
        <f t="array" ref="C175">INDEX('起きあがり'!$D$3:$E$115, MATCH($A$1,'起きあがり'!$A$3:$A$115,0), MATCH(C$165,'起きあがり'!$D$2:$AD$2,0))</f>
        <v>1-22</v>
      </c>
      <c r="D175" s="308">
        <f t="array" ref="D175">INDEX('起きあがり'!$D$3:$E$115, MATCH($A$1,'起きあがり'!$A$3:$A$115,0), MATCH(D$165,'起きあがり'!$D$2:$AD$2,0))</f>
        <v>29</v>
      </c>
      <c r="E175" s="301"/>
      <c r="F175" s="301"/>
      <c r="G175" s="301"/>
      <c r="H175" s="228"/>
      <c r="I175" s="228"/>
      <c r="J175" s="117"/>
      <c r="K175" s="305" t="s">
        <v>264</v>
      </c>
      <c r="L175" s="303" t="s">
        <v>226</v>
      </c>
      <c r="M175" s="113" t="str">
        <f t="array" ref="M175">INDEX('アイテム'!$S$3:$T$115, MATCH($A$1,'アイテム'!$A$3:$A$115,0), MATCH(M$168,'アイテム'!$S$2:$AK$2,0))</f>
        <v>7</v>
      </c>
      <c r="N175" s="113">
        <f t="array" ref="N175">INDEX('アイテム'!$S$3:$T$115, MATCH($A$1,'アイテム'!$A$3:$A$115,0), MATCH(N$168,'アイテム'!$S$2:$AK$2,0))</f>
        <v>24</v>
      </c>
      <c r="O175" s="118"/>
      <c r="P175" s="118"/>
      <c r="Q175" s="118"/>
      <c r="R175" s="118"/>
      <c r="S175" s="118"/>
      <c r="T175" s="118"/>
      <c r="U175" s="118"/>
      <c r="V175" s="118"/>
    </row>
    <row r="176" outlineLevel="1">
      <c r="A176" s="146"/>
      <c r="B176" s="300" t="s">
        <v>245</v>
      </c>
      <c r="C176" s="307" t="str">
        <f t="array" ref="C176">INDEX('起きあがり'!$F$3:$G$115, MATCH($A$1,'起きあがり'!$A$3:$A$115,0), MATCH(C$165,'起きあがり'!$F$2:$AD$2,0))</f>
        <v>1-21</v>
      </c>
      <c r="D176" s="308">
        <f t="array" ref="D176">INDEX('起きあがり'!$F$3:$G$115, MATCH($A$1,'起きあがり'!$A$3:$A$115,0), MATCH(D$165,'起きあがり'!$F$2:$AD$2,0))</f>
        <v>35</v>
      </c>
      <c r="E176" s="301"/>
      <c r="F176" s="301"/>
      <c r="G176" s="301"/>
      <c r="H176" s="228"/>
      <c r="I176" s="228"/>
      <c r="J176" s="111"/>
      <c r="K176" s="146"/>
      <c r="L176" s="303" t="s">
        <v>229</v>
      </c>
      <c r="M176" s="113" t="str">
        <f t="array" ref="M176">INDEX('アイテム'!$U$3:$V$115, MATCH($A$1,'アイテム'!$A$3:$A$115,0), MATCH(M$168,'アイテム'!$U$2:$AK$2,0))</f>
        <v>9</v>
      </c>
      <c r="N176" s="113">
        <f t="array" ref="N176">INDEX('アイテム'!$U$3:$V$115, MATCH($A$1,'アイテム'!$A$3:$A$115,0), MATCH(N$168,'アイテム'!$U$2:$AK$2,0))</f>
        <v>24</v>
      </c>
      <c r="O176" s="118"/>
      <c r="P176" s="118"/>
      <c r="Q176" s="118"/>
      <c r="R176" s="118"/>
      <c r="S176" s="118"/>
      <c r="T176" s="118"/>
      <c r="U176" s="118"/>
      <c r="V176" s="118"/>
    </row>
    <row r="177" outlineLevel="1">
      <c r="A177" s="146"/>
      <c r="B177" s="300" t="s">
        <v>246</v>
      </c>
      <c r="C177" s="113" t="str">
        <f t="array" ref="C177">INDEX('起きあがり'!$H$3:$I$115, MATCH($A$1,'起きあがり'!$A$3:$A$115,0), MATCH(C$165,'起きあがり'!$H$2:$AD$2,0))</f>
        <v>1-22</v>
      </c>
      <c r="D177" s="113">
        <f t="array" ref="D177">INDEX('起きあがり'!$H$3:$I$115, MATCH($A$1,'起きあがり'!$A$3:$A$115,0), MATCH(D$165,'起きあがり'!$H$2:$AD$2,0))</f>
        <v>35</v>
      </c>
      <c r="E177" s="301"/>
      <c r="F177" s="301"/>
      <c r="G177" s="301"/>
      <c r="H177" s="228"/>
      <c r="I177" s="228"/>
      <c r="J177" s="117"/>
      <c r="K177" s="146"/>
      <c r="L177" s="303" t="s">
        <v>233</v>
      </c>
      <c r="M177" s="113" t="str">
        <f t="array" ref="M177">INDEX('アイテム'!$W$3:$X$115, MATCH($A$1,'アイテム'!$A$3:$A$115,0), MATCH(M$168,'アイテム'!$W$2:$AK$2,0))</f>
        <v>11</v>
      </c>
      <c r="N177" s="113">
        <f t="array" ref="N177">INDEX('アイテム'!$W$3:$X$115, MATCH($A$1,'アイテム'!$A$3:$A$115,0), MATCH(N$168,'アイテム'!$W$2:$AK$2,0))</f>
        <v>23</v>
      </c>
      <c r="O177" s="118"/>
      <c r="P177" s="118"/>
      <c r="Q177" s="118"/>
      <c r="R177" s="118"/>
      <c r="S177" s="118"/>
      <c r="T177" s="118"/>
      <c r="U177" s="118"/>
      <c r="V177" s="118"/>
    </row>
    <row r="178" outlineLevel="1">
      <c r="A178" s="146"/>
      <c r="B178" s="300" t="s">
        <v>249</v>
      </c>
      <c r="C178" s="309" t="str">
        <f t="array" ref="C178">INDEX('起きあがり'!$J$3:$M$115, MATCH($A$1,'起きあがり'!$A$3:$A$115,0), MATCH(C$165,'起きあがり'!$J$2:$AD$2,0))</f>
        <v>1-25</v>
      </c>
      <c r="D178" s="310">
        <f t="array" ref="D178">INDEX('起きあがり'!$J$3:$M$115, MATCH($A$1,'起きあがり'!$A$3:$A$115,0), MATCH(D$165,'起きあがり'!$J$2:$AD$2,0))</f>
        <v>45</v>
      </c>
      <c r="E178" s="307" t="str">
        <f t="array" ref="E178">INDEX('起きあがり'!$J$3:$M$115, MATCH($A$1,'起きあがり'!$A$3:$A$115,0), MATCH(E$165,'起きあがり'!$J$2:$AD$2,0))</f>
        <v>19-20</v>
      </c>
      <c r="F178" s="308">
        <f t="array" ref="F178">INDEX('起きあがり'!$J$3:$M$115, MATCH($A$1,'起きあがり'!$A$3:$A$115,0), MATCH(F$165,'起きあがり'!$J$2:$AD$2,0))</f>
        <v>7</v>
      </c>
      <c r="G178" s="113">
        <f t="shared" ref="G178:G179" si="1">F178*1.2</f>
        <v>8.4</v>
      </c>
      <c r="H178" s="228"/>
      <c r="I178" s="228"/>
      <c r="J178" s="111"/>
      <c r="K178" s="156"/>
      <c r="L178" s="303" t="s">
        <v>234</v>
      </c>
      <c r="M178" s="113" t="str">
        <f t="array" ref="M178">INDEX('アイテム'!$Y$3:$Z$115, MATCH($A$1,'アイテム'!$A$3:$A$115,0), MATCH(M$168,'アイテム'!$Y$2:$AK$2,0))</f>
        <v>6</v>
      </c>
      <c r="N178" s="113">
        <f t="array" ref="N178">INDEX('アイテム'!$Y$3:$Z$115, MATCH($A$1,'アイテム'!$A$3:$A$115,0), MATCH(N$168,'アイテム'!$Y$2:$AK$2,0))</f>
        <v>19</v>
      </c>
      <c r="O178" s="111"/>
      <c r="P178" s="111"/>
      <c r="Q178" s="111"/>
      <c r="R178" s="111"/>
      <c r="S178" s="111"/>
      <c r="T178" s="111"/>
      <c r="U178" s="111"/>
      <c r="V178" s="111"/>
    </row>
    <row r="179" outlineLevel="1">
      <c r="A179" s="156"/>
      <c r="B179" s="311" t="s">
        <v>250</v>
      </c>
      <c r="C179" s="156"/>
      <c r="D179" s="156"/>
      <c r="E179" s="307" t="str">
        <f t="array" ref="E179">INDEX('起きあがり'!$N$3:$O$115, MATCH($A$1,'起きあがり'!$A$3:$A$115,0), MATCH(E$165,'起きあがり'!$N$2:$AD$2,0))</f>
        <v>24-25</v>
      </c>
      <c r="F179" s="308">
        <f t="array" ref="F179">INDEX('起きあがり'!$N$3:$O$115, MATCH($A$1,'起きあがり'!$A$3:$A$115,0), MATCH(F$165,'起きあがり'!$N$2:$AD$2,0))</f>
        <v>7</v>
      </c>
      <c r="G179" s="113">
        <f t="shared" si="1"/>
        <v>8.4</v>
      </c>
      <c r="H179" s="228"/>
      <c r="I179" s="228"/>
      <c r="J179" s="111"/>
      <c r="K179" s="312" t="s">
        <v>5390</v>
      </c>
      <c r="L179" s="168"/>
      <c r="M179" s="298" t="s">
        <v>49</v>
      </c>
      <c r="N179" s="114"/>
      <c r="O179" s="111"/>
      <c r="P179" s="111"/>
      <c r="Q179" s="111"/>
      <c r="R179" s="111"/>
      <c r="S179" s="111"/>
      <c r="T179" s="111"/>
      <c r="U179" s="111"/>
      <c r="V179" s="111"/>
    </row>
    <row r="180" outlineLevel="1">
      <c r="A180" s="299" t="s">
        <v>251</v>
      </c>
      <c r="B180" s="300" t="s">
        <v>248</v>
      </c>
      <c r="C180" s="301"/>
      <c r="D180" s="3240" t="str">
        <f t="array" ref="D180">INDEX('起きあがり'!$C$3:$C$115, MATCH($A$1,'起きあがり'!$A$3:$A$115,0), MATCH(D$165,'起きあがり'!$C$2:$AD$2,0))</f>
        <v>25</v>
      </c>
      <c r="E180" s="301"/>
      <c r="F180" s="301"/>
      <c r="G180" s="301"/>
      <c r="H180" s="228"/>
      <c r="I180" s="228"/>
      <c r="J180" s="117"/>
      <c r="K180" s="313" t="s">
        <v>693</v>
      </c>
      <c r="L180" s="314" t="s">
        <v>693</v>
      </c>
      <c r="M180" s="113" t="str">
        <f t="array" ref="M180">INDEX('共通動作その他'!$C$3:$C$102, MATCH($A$1,'共通動作その他'!$A$3:$A$102,0), MATCH(M$179,'共通動作その他'!$C$2:$AA$2,0))</f>
        <v>-</v>
      </c>
      <c r="N180" s="315"/>
      <c r="O180" s="111"/>
      <c r="P180" s="111"/>
      <c r="Q180" s="111"/>
      <c r="R180" s="111"/>
      <c r="S180" s="111"/>
      <c r="T180" s="111"/>
      <c r="U180" s="111"/>
      <c r="V180" s="111"/>
    </row>
    <row r="181" outlineLevel="1">
      <c r="A181" s="146"/>
      <c r="B181" s="300" t="s">
        <v>216</v>
      </c>
      <c r="C181" s="307" t="str">
        <f t="array" ref="C181">INDEX('起きあがり'!$P$3:$Q$115, MATCH($A$1,'起きあがり'!$A$3:$A$115,0), MATCH(C$165,'起きあがり'!$P$2:$AD$2,0))</f>
        <v>1-22</v>
      </c>
      <c r="D181" s="308">
        <f t="array" ref="D181">INDEX('起きあがり'!$P$3:$Q$115, MATCH($A$1,'起きあがり'!$A$3:$A$115,0), MATCH(D$165,'起きあがり'!$P$2:$AD$2,0))</f>
        <v>29</v>
      </c>
      <c r="E181" s="301"/>
      <c r="F181" s="301"/>
      <c r="G181" s="301"/>
      <c r="H181" s="228"/>
      <c r="I181" s="228"/>
      <c r="J181" s="111"/>
      <c r="K181" s="305" t="s">
        <v>2602</v>
      </c>
      <c r="L181" s="314" t="s">
        <v>5391</v>
      </c>
      <c r="M181" s="113" t="str">
        <f t="array" ref="M181">INDEX('共通動作その他'!$D$3:$D$102, MATCH($A$1,'共通動作その他'!$A$3:$A$102,0), MATCH(M$179,'共通動作その他'!$D$2:$AA$2,0))</f>
        <v>-</v>
      </c>
      <c r="N181" s="315"/>
      <c r="O181" s="228"/>
      <c r="P181" s="228"/>
      <c r="Q181" s="228"/>
      <c r="R181" s="228"/>
      <c r="S181" s="228"/>
      <c r="T181" s="228"/>
      <c r="U181" s="228"/>
      <c r="V181" s="228"/>
    </row>
    <row r="182" outlineLevel="1">
      <c r="A182" s="146"/>
      <c r="B182" s="300" t="s">
        <v>245</v>
      </c>
      <c r="C182" s="307" t="str">
        <f t="array" ref="C182">INDEX('起きあがり'!$R$3:$S$115, MATCH($A$1,'起きあがり'!$A$3:$A$115,0), MATCH(C$165,'起きあがり'!$R$2:$AD$2,0))</f>
        <v>1-19</v>
      </c>
      <c r="D182" s="308">
        <f t="array" ref="D182">INDEX('起きあがり'!$R$3:$S$115, MATCH($A$1,'起きあがり'!$A$3:$A$115,0), MATCH(D$165,'起きあがり'!$R$2:$AD$2,0))</f>
        <v>35</v>
      </c>
      <c r="E182" s="301"/>
      <c r="F182" s="301"/>
      <c r="G182" s="301"/>
      <c r="H182" s="228"/>
      <c r="I182" s="228"/>
      <c r="J182" s="117"/>
      <c r="K182" s="146"/>
      <c r="L182" s="314" t="s">
        <v>5392</v>
      </c>
      <c r="M182" s="113" t="str">
        <f t="array" ref="M182">INDEX('共通動作その他'!$E$3:$E$102, MATCH($A$1,'共通動作その他'!$A$3:$A$102,0), MATCH(M$179,'共通動作その他'!$E$2:$AA$2,0))</f>
        <v>-</v>
      </c>
      <c r="N182" s="102"/>
      <c r="O182" s="118"/>
      <c r="P182" s="118"/>
      <c r="Q182" s="118"/>
      <c r="R182" s="118"/>
      <c r="S182" s="118"/>
      <c r="T182" s="118"/>
      <c r="U182" s="118"/>
      <c r="V182" s="118"/>
    </row>
    <row r="183" outlineLevel="1">
      <c r="A183" s="146"/>
      <c r="B183" s="300" t="s">
        <v>246</v>
      </c>
      <c r="C183" s="307" t="str">
        <f t="array" ref="C183">INDEX('起きあがり'!$T$3:$U$115, MATCH($A$1,'起きあがり'!$A$3:$A$115,0), MATCH(C$165,'起きあがり'!$T$2:$AD$2,0))</f>
        <v>1-24</v>
      </c>
      <c r="D183" s="308">
        <f t="array" ref="D183">INDEX('起きあがり'!$T$3:$U$115, MATCH($A$1,'起きあがり'!$A$3:$A$115,0), MATCH(D$165,'起きあがり'!$T$2:$AD$2,0))</f>
        <v>35</v>
      </c>
      <c r="E183" s="301"/>
      <c r="F183" s="301"/>
      <c r="G183" s="301"/>
      <c r="H183" s="228"/>
      <c r="I183" s="228"/>
      <c r="J183" s="111"/>
      <c r="K183" s="146"/>
      <c r="L183" s="314" t="s">
        <v>5393</v>
      </c>
      <c r="M183" s="113" t="str">
        <f t="array" ref="M183">INDEX('共通動作その他'!$F$3:$F$102, MATCH($A$1,'共通動作その他'!$A$3:$A$102,0), MATCH(M$179,'共通動作その他'!$F$2:$AA$2,0))</f>
        <v>-</v>
      </c>
      <c r="N183" s="102"/>
      <c r="O183" s="118"/>
      <c r="P183" s="118"/>
      <c r="Q183" s="118"/>
      <c r="R183" s="118"/>
      <c r="S183" s="118"/>
      <c r="T183" s="118"/>
      <c r="U183" s="118"/>
      <c r="V183" s="118"/>
    </row>
    <row r="184" outlineLevel="1">
      <c r="A184" s="146"/>
      <c r="B184" s="300" t="s">
        <v>249</v>
      </c>
      <c r="C184" s="309" t="str">
        <f t="array" ref="C184">INDEX('起きあがり'!$V$3:$Y$115, MATCH($A$1,'起きあがり'!$A$3:$A$115,0), MATCH(C$165,'起きあがり'!$V$2:$AD$2,0))</f>
        <v>1-22</v>
      </c>
      <c r="D184" s="310">
        <f t="array" ref="D184">INDEX('起きあがり'!$V$3:$Y$115, MATCH($A$1,'起きあがり'!$A$3:$A$115,0), MATCH(D$165,'起きあがり'!$V$2:$AD$2,0))</f>
        <v>45</v>
      </c>
      <c r="E184" s="307" t="str">
        <f t="array" ref="E184">INDEX('起きあがり'!$V$3:$Y$115, MATCH($A$1,'起きあがり'!$A$3:$A$115,0), MATCH(E$165,'起きあがり'!$V$2:$AD$2,0))</f>
        <v>17-18</v>
      </c>
      <c r="F184" s="308">
        <f t="array" ref="F184">INDEX('起きあがり'!$V$3:$Y$115, MATCH($A$1,'起きあがり'!$A$3:$A$115,0), MATCH(F$165,'起きあがり'!$V$2:$AD$2,0))</f>
        <v>7</v>
      </c>
      <c r="G184" s="113">
        <f t="shared" ref="G184:G185" si="2">F184*1.2</f>
        <v>8.4</v>
      </c>
      <c r="H184" s="228"/>
      <c r="I184" s="228"/>
      <c r="J184" s="117"/>
      <c r="K184" s="146"/>
      <c r="L184" s="314" t="s">
        <v>5394</v>
      </c>
      <c r="M184" s="113" t="str">
        <f t="array" ref="M184">INDEX('共通動作その他'!$G$3:$G$102, MATCH($A$1,'共通動作その他'!$A$3:$A$102,0), MATCH(M$179,'共通動作その他'!$G$2:$AA$2,0))</f>
        <v>-</v>
      </c>
      <c r="N184" s="102"/>
      <c r="O184" s="118"/>
      <c r="P184" s="118"/>
      <c r="Q184" s="118"/>
      <c r="R184" s="118"/>
      <c r="S184" s="118"/>
      <c r="T184" s="118"/>
      <c r="U184" s="118"/>
      <c r="V184" s="118"/>
    </row>
    <row r="185" outlineLevel="1">
      <c r="A185" s="156"/>
      <c r="B185" s="311" t="s">
        <v>250</v>
      </c>
      <c r="C185" s="156"/>
      <c r="D185" s="156"/>
      <c r="E185" s="307" t="str">
        <f t="array" ref="E185">INDEX('起きあがり'!$Z$3:$AA$115, MATCH($A$1,'起きあがり'!$A$3:$A$115,0), MATCH(E$165,'起きあがり'!$Z$2:$AD$2,0))</f>
        <v>21-22</v>
      </c>
      <c r="F185" s="308">
        <f t="array" ref="F185">INDEX('起きあがり'!$Z$3:$AA$115, MATCH($A$1,'起きあがり'!$A$3:$A$115,0), MATCH(F$165,'起きあがり'!$Z$2:$AD$2,0))</f>
        <v>7</v>
      </c>
      <c r="G185" s="113">
        <f t="shared" si="2"/>
        <v>8.4</v>
      </c>
      <c r="H185" s="228"/>
      <c r="I185" s="228"/>
      <c r="J185" s="117"/>
      <c r="K185" s="304" t="s">
        <v>5395</v>
      </c>
      <c r="L185" s="110"/>
      <c r="M185" s="298" t="s">
        <v>49</v>
      </c>
      <c r="N185" s="102"/>
      <c r="O185" s="118"/>
      <c r="P185" s="118"/>
      <c r="Q185" s="118"/>
      <c r="R185" s="118"/>
      <c r="S185" s="118"/>
      <c r="T185" s="118"/>
      <c r="U185" s="118"/>
      <c r="V185" s="118"/>
    </row>
    <row r="186" outlineLevel="1">
      <c r="A186" s="299" t="s">
        <v>252</v>
      </c>
      <c r="B186" s="300" t="s">
        <v>253</v>
      </c>
      <c r="C186" s="307" t="str">
        <f t="array" ref="C186">INDEX('転倒'!$C$3:$D$115, MATCH($A$1,'転倒'!$A$3:$A$115,0), MATCH(C$165,'転倒'!$C$2:$AC$2,0))</f>
        <v>1-5</v>
      </c>
      <c r="D186" s="308">
        <f t="array" ref="D186">INDEX('転倒'!$C$3:$D$115, MATCH($A$1,'転倒'!$A$3:$A$115,0), MATCH(D$165,'転倒'!$C$2:$AC$2,0))</f>
        <v>29</v>
      </c>
      <c r="E186" s="301"/>
      <c r="F186" s="301"/>
      <c r="G186" s="301"/>
      <c r="H186" s="228"/>
      <c r="I186" s="228"/>
      <c r="J186" s="111"/>
      <c r="K186" s="313" t="s">
        <v>5396</v>
      </c>
      <c r="L186" s="306" t="s">
        <v>5397</v>
      </c>
      <c r="M186" s="113" t="str">
        <f t="array" ref="M186">INDEX('共通動作その他'!$H$3:$H$102, MATCH($A$1,'共通動作その他'!$A$3:$A$102,0), MATCH(M$185,'共通動作その他'!$H$2:$AA$2,0))</f>
        <v>-</v>
      </c>
      <c r="N186" s="315"/>
      <c r="O186" s="118"/>
      <c r="P186" s="118"/>
      <c r="Q186" s="118"/>
      <c r="R186" s="118"/>
      <c r="S186" s="118"/>
      <c r="T186" s="118"/>
      <c r="U186" s="118"/>
      <c r="V186" s="118"/>
    </row>
    <row r="187" outlineLevel="1">
      <c r="A187" s="146"/>
      <c r="B187" s="300" t="s">
        <v>254</v>
      </c>
      <c r="C187" s="307" t="str">
        <f t="array" ref="C187">INDEX('転倒'!$E$3:$F$115, MATCH($A$1,'転倒'!$A$3:$A$115,0), MATCH(C$165,'転倒'!$E$2:$AC$2,0))</f>
        <v>1-5</v>
      </c>
      <c r="D187" s="308">
        <f t="array" ref="D187">INDEX('転倒'!$E$3:$F$115, MATCH($A$1,'転倒'!$A$3:$A$115,0), MATCH(D$165,'転倒'!$E$2:$AC$2,0))</f>
        <v>39</v>
      </c>
      <c r="E187" s="301"/>
      <c r="F187" s="301"/>
      <c r="G187" s="301"/>
      <c r="H187" s="228"/>
      <c r="I187" s="228"/>
      <c r="J187" s="117"/>
      <c r="K187" s="313" t="s">
        <v>5398</v>
      </c>
      <c r="L187" s="306" t="s">
        <v>5397</v>
      </c>
      <c r="M187" s="113" t="str">
        <f t="array" ref="M187">INDEX('共通動作その他'!$I$3:$I$102, MATCH($A$1,'共通動作その他'!$A$3:$A$102,0), MATCH(M$185,'共通動作その他'!$I$2:$AA$2,0))</f>
        <v>-</v>
      </c>
      <c r="N187" s="315"/>
      <c r="O187" s="118"/>
      <c r="P187" s="118"/>
      <c r="Q187" s="118"/>
      <c r="R187" s="118"/>
      <c r="S187" s="118"/>
      <c r="T187" s="118"/>
      <c r="U187" s="118"/>
      <c r="V187" s="118"/>
    </row>
    <row r="188" outlineLevel="1">
      <c r="A188" s="146"/>
      <c r="B188" s="300" t="s">
        <v>216</v>
      </c>
      <c r="C188" s="307" t="str">
        <f t="array" ref="C188">INDEX('転倒'!$G$3:$H$115, MATCH($A$1,'転倒'!$A$3:$A$115,0), MATCH(C$165,'転倒'!$G$2:$AC$2,0))</f>
        <v>1-16</v>
      </c>
      <c r="D188" s="308">
        <f t="array" ref="D188">INDEX('転倒'!$G$3:$H$115, MATCH($A$1,'転倒'!$A$3:$A$115,0), MATCH(D$165,'転倒'!$G$2:$AC$2,0))</f>
        <v>21</v>
      </c>
      <c r="E188" s="301"/>
      <c r="F188" s="301"/>
      <c r="G188" s="301"/>
      <c r="H188" s="228"/>
      <c r="I188" s="228"/>
      <c r="J188" s="111"/>
      <c r="K188" s="102"/>
      <c r="L188" s="118"/>
      <c r="M188" s="118"/>
      <c r="N188" s="102"/>
      <c r="O188" s="118"/>
      <c r="P188" s="118"/>
      <c r="Q188" s="118"/>
      <c r="R188" s="118"/>
      <c r="S188" s="118"/>
      <c r="T188" s="118"/>
      <c r="U188" s="118"/>
      <c r="V188" s="118"/>
    </row>
    <row r="189" outlineLevel="1">
      <c r="A189" s="146"/>
      <c r="B189" s="300" t="s">
        <v>245</v>
      </c>
      <c r="C189" s="307" t="str">
        <f t="array" ref="C189">INDEX('転倒'!$I$3:$J$115, MATCH($A$1,'転倒'!$A$3:$A$115,0), MATCH(C$165,'転倒'!$I$2:$AC$2,0))</f>
        <v>1-9</v>
      </c>
      <c r="D189" s="308">
        <f t="array" ref="D189">INDEX('転倒'!$I$3:$J$115, MATCH($A$1,'転倒'!$A$3:$A$115,0), MATCH(D$165,'転倒'!$I$2:$AC$2,0))</f>
        <v>28</v>
      </c>
      <c r="E189" s="301"/>
      <c r="F189" s="301"/>
      <c r="G189" s="301"/>
      <c r="H189" s="228"/>
      <c r="I189" s="228"/>
      <c r="J189" s="228"/>
      <c r="K189" s="102"/>
      <c r="L189" s="118"/>
      <c r="M189" s="118"/>
      <c r="N189" s="102"/>
      <c r="O189" s="118"/>
      <c r="P189" s="118"/>
      <c r="Q189" s="118"/>
      <c r="R189" s="118"/>
      <c r="S189" s="118"/>
      <c r="T189" s="118"/>
      <c r="U189" s="118"/>
      <c r="V189" s="118"/>
    </row>
    <row r="190" outlineLevel="1">
      <c r="A190" s="146"/>
      <c r="B190" s="300" t="s">
        <v>246</v>
      </c>
      <c r="C190" s="307" t="str">
        <f t="array" ref="C190">INDEX('転倒'!$K$3:$L$115, MATCH($A$1,'転倒'!$A$3:$A$115,0), MATCH(C$165,'転倒'!$K$2:$AC$2,0))</f>
        <v>1-9</v>
      </c>
      <c r="D190" s="308">
        <f t="array" ref="D190">INDEX('転倒'!$K$3:$L$115, MATCH($A$1,'転倒'!$A$3:$A$115,0), MATCH(D$165,'転倒'!$K$2:$AC$2,0))</f>
        <v>28</v>
      </c>
      <c r="E190" s="301"/>
      <c r="F190" s="301"/>
      <c r="G190" s="301"/>
      <c r="H190" s="228"/>
      <c r="I190" s="228"/>
      <c r="J190" s="228"/>
      <c r="K190" s="102"/>
      <c r="L190" s="118"/>
      <c r="M190" s="118"/>
      <c r="N190" s="102"/>
      <c r="O190" s="118"/>
      <c r="P190" s="118"/>
      <c r="Q190" s="118"/>
      <c r="R190" s="118"/>
      <c r="S190" s="118"/>
      <c r="T190" s="118"/>
      <c r="U190" s="118"/>
      <c r="V190" s="118"/>
    </row>
    <row r="191" outlineLevel="1">
      <c r="A191" s="146"/>
      <c r="B191" s="300" t="s">
        <v>249</v>
      </c>
      <c r="C191" s="309" t="str">
        <f t="array" ref="C191">INDEX('転倒'!$M$3:$P$115, MATCH($A$1,'転倒'!$A$3:$A$115,0), MATCH(C$165,'転倒'!$M$2:$AC$2,0))</f>
        <v>1-7</v>
      </c>
      <c r="D191" s="310">
        <f t="array" ref="D191">INDEX('転倒'!$M$3:$P$115, MATCH($A$1,'転倒'!$A$3:$A$115,0), MATCH(D$165,'転倒'!$M$2:$AC$2,0))</f>
        <v>49</v>
      </c>
      <c r="E191" s="307" t="str">
        <f t="array" ref="E191">INDEX('転倒'!$M$3:$P$115, MATCH($A$1,'転倒'!$A$3:$A$115,0), MATCH(E$165,'転倒'!$M$2:$AC$2,0))</f>
        <v>19-20</v>
      </c>
      <c r="F191" s="308">
        <f t="array" ref="F191">INDEX('転倒'!$M$3:$P$115, MATCH($A$1,'転倒'!$A$3:$A$115,0), MATCH(F$165,'転倒'!$M$2:$AC$2,0))</f>
        <v>5</v>
      </c>
      <c r="G191" s="113">
        <f t="shared" ref="G191:G192" si="3">F191*1.2</f>
        <v>6</v>
      </c>
      <c r="H191" s="228"/>
      <c r="I191" s="228"/>
      <c r="J191" s="228"/>
      <c r="K191" s="118"/>
      <c r="L191" s="118"/>
      <c r="M191" s="118"/>
      <c r="N191" s="102"/>
      <c r="O191" s="102"/>
      <c r="P191" s="102"/>
      <c r="Q191" s="102"/>
      <c r="R191" s="118"/>
      <c r="S191" s="118"/>
      <c r="T191" s="118"/>
      <c r="U191" s="118"/>
      <c r="V191" s="118"/>
    </row>
    <row r="192" outlineLevel="1">
      <c r="A192" s="156"/>
      <c r="B192" s="311" t="s">
        <v>250</v>
      </c>
      <c r="C192" s="156"/>
      <c r="D192" s="156"/>
      <c r="E192" s="307" t="str">
        <f t="array" ref="E192">INDEX('転倒'!$Q$3:$R$115, MATCH($A$1,'転倒'!$A$3:$A$115,0), MATCH(E$165,'転倒'!$Q$2:$AC$2,0))</f>
        <v>28-29</v>
      </c>
      <c r="F192" s="308">
        <f t="array" ref="F192">INDEX('転倒'!$Q$3:$R$115, MATCH($A$1,'転倒'!$A$3:$A$115,0), MATCH(F$165,'転倒'!$Q$2:$AC$2,0))</f>
        <v>5</v>
      </c>
      <c r="G192" s="113">
        <f t="shared" si="3"/>
        <v>6</v>
      </c>
      <c r="H192" s="228"/>
      <c r="I192" s="228"/>
      <c r="J192" s="228"/>
      <c r="K192" s="118"/>
      <c r="L192" s="118"/>
      <c r="M192" s="118"/>
      <c r="N192" s="102"/>
      <c r="O192" s="102"/>
      <c r="P192" s="102"/>
      <c r="Q192" s="102"/>
      <c r="R192" s="118"/>
      <c r="S192" s="118"/>
      <c r="T192" s="118"/>
      <c r="U192" s="118"/>
      <c r="V192" s="118"/>
    </row>
    <row r="193" outlineLevel="1">
      <c r="A193" s="319"/>
      <c r="B193" s="320"/>
      <c r="C193" s="321"/>
      <c r="D193" s="321"/>
      <c r="E193" s="322"/>
      <c r="F193" s="322"/>
      <c r="G193" s="114"/>
      <c r="H193" s="228"/>
      <c r="I193" s="228"/>
      <c r="J193" s="228"/>
      <c r="K193" s="118"/>
      <c r="L193" s="118"/>
      <c r="M193" s="118"/>
      <c r="N193" s="102"/>
      <c r="O193" s="102"/>
      <c r="P193" s="102"/>
      <c r="Q193" s="102"/>
      <c r="R193" s="118"/>
      <c r="S193" s="118"/>
      <c r="T193" s="118"/>
      <c r="U193" s="118"/>
      <c r="V193" s="118"/>
    </row>
    <row r="194" outlineLevel="1">
      <c r="A194" s="323" t="s">
        <v>255</v>
      </c>
      <c r="B194" s="109"/>
      <c r="C194" s="321"/>
      <c r="D194" s="321"/>
      <c r="E194" s="322"/>
      <c r="F194" s="322"/>
      <c r="G194" s="114"/>
      <c r="H194" s="228"/>
      <c r="I194" s="228"/>
      <c r="J194" s="228"/>
      <c r="K194" s="118"/>
      <c r="L194" s="118"/>
      <c r="M194" s="118"/>
      <c r="N194" s="102"/>
      <c r="O194" s="102"/>
      <c r="P194" s="102"/>
      <c r="Q194" s="102"/>
      <c r="R194" s="118"/>
      <c r="S194" s="118"/>
      <c r="T194" s="118"/>
      <c r="U194" s="118"/>
      <c r="V194" s="118"/>
    </row>
    <row r="195" outlineLevel="1">
      <c r="A195" s="324" t="s">
        <v>256</v>
      </c>
      <c r="B195" s="109"/>
      <c r="C195" s="325" t="s">
        <v>257</v>
      </c>
      <c r="D195" s="325" t="s">
        <v>49</v>
      </c>
      <c r="E195" s="322"/>
      <c r="F195" s="322"/>
      <c r="G195" s="114"/>
      <c r="H195" s="228"/>
      <c r="I195" s="228"/>
      <c r="J195" s="228"/>
      <c r="K195" s="118"/>
      <c r="L195" s="118"/>
      <c r="M195" s="118"/>
      <c r="N195" s="102"/>
      <c r="O195" s="102"/>
      <c r="P195" s="102"/>
      <c r="Q195" s="102"/>
      <c r="R195" s="118"/>
      <c r="S195" s="118"/>
      <c r="T195" s="118"/>
      <c r="U195" s="118"/>
      <c r="V195" s="118"/>
    </row>
    <row r="196" outlineLevel="1">
      <c r="A196" s="326" t="s">
        <v>258</v>
      </c>
      <c r="B196" s="327" t="s">
        <v>216</v>
      </c>
      <c r="C196" s="328" t="str">
        <f t="array" ref="C196">INDEX('アイテム'!$C$3:$D$114, MATCH($A$1,'アイテム'!$A$3:$A$114,0), MATCH(C195,'アイテム'!$C$2:$AQ$2,0))</f>
        <v>2</v>
      </c>
      <c r="D196" s="328">
        <f t="array" ref="D196">INDEX('アイテム'!$C$3:$D$114, MATCH($A$1,'アイテム'!$A$3:$A$114,0), MATCH(D195,'アイテム'!$C$2:$AQ$2,0))</f>
        <v>7</v>
      </c>
      <c r="E196" s="322"/>
      <c r="F196" s="322"/>
      <c r="G196" s="114"/>
      <c r="H196" s="228"/>
      <c r="I196" s="228"/>
      <c r="J196" s="228"/>
      <c r="K196" s="118"/>
      <c r="L196" s="118"/>
      <c r="M196" s="118"/>
      <c r="N196" s="102"/>
      <c r="O196" s="102"/>
      <c r="P196" s="102"/>
      <c r="Q196" s="102"/>
      <c r="R196" s="118"/>
      <c r="S196" s="118"/>
      <c r="T196" s="118"/>
      <c r="U196" s="118"/>
      <c r="V196" s="118"/>
    </row>
    <row r="197" outlineLevel="1">
      <c r="A197" s="156"/>
      <c r="B197" s="327" t="s">
        <v>219</v>
      </c>
      <c r="C197" s="328" t="str">
        <f t="array" ref="C197">INDEX('アイテム'!$E$3:$F$114, MATCH($A$1,'アイテム'!$A$3:$A$114,0), MATCH(C195,'アイテム'!$C$2:$AQ$2,0))</f>
        <v>2</v>
      </c>
      <c r="D197" s="328">
        <f t="array" ref="D197">INDEX('アイテム'!$E$3:$F$114, MATCH($A$1,'アイテム'!$A$3:$A$114,0), MATCH(D195,'アイテム'!$C$2:$AQ$2,0))</f>
        <v>19</v>
      </c>
      <c r="E197" s="322"/>
      <c r="F197" s="322"/>
      <c r="G197" s="114"/>
      <c r="H197" s="228"/>
      <c r="I197" s="228"/>
      <c r="J197" s="228"/>
      <c r="K197" s="118"/>
      <c r="L197" s="118"/>
      <c r="M197" s="118"/>
      <c r="N197" s="102"/>
      <c r="O197" s="102"/>
      <c r="P197" s="102"/>
      <c r="Q197" s="102"/>
      <c r="R197" s="118"/>
      <c r="S197" s="118"/>
      <c r="T197" s="118"/>
      <c r="U197" s="118"/>
      <c r="V197" s="118"/>
    </row>
    <row r="198" outlineLevel="1">
      <c r="A198" s="329" t="s">
        <v>259</v>
      </c>
      <c r="B198" s="327" t="s">
        <v>216</v>
      </c>
      <c r="C198" s="328">
        <f t="array" ref="C198">INDEX('アイテム'!$AA$3:$AB$114, MATCH($A$1,'アイテム'!$A$3:$A$114,0), MATCH(C195,'アイテム'!$C$2:$AQ$2,0))</f>
        <v>3</v>
      </c>
      <c r="D198" s="328" t="str">
        <f t="array" ref="D198">INDEX('アイテム'!$AA$3:$AB$114, MATCH($A$1,'アイテム'!$A$3:$A$114,0), MATCH(D195,'アイテム'!$C$2:$AQ$2,0))</f>
        <v>12</v>
      </c>
      <c r="E198" s="322"/>
      <c r="F198" s="322"/>
      <c r="G198" s="114"/>
      <c r="H198" s="228"/>
      <c r="I198" s="228"/>
      <c r="J198" s="228"/>
      <c r="K198" s="118"/>
      <c r="L198" s="118"/>
      <c r="M198" s="118"/>
      <c r="N198" s="102"/>
      <c r="O198" s="102"/>
      <c r="P198" s="102"/>
      <c r="Q198" s="102"/>
      <c r="R198" s="118"/>
      <c r="S198" s="118"/>
      <c r="T198" s="118"/>
      <c r="U198" s="118"/>
      <c r="V198" s="118"/>
    </row>
    <row r="199" outlineLevel="1">
      <c r="A199" s="324" t="s">
        <v>260</v>
      </c>
      <c r="B199" s="109"/>
      <c r="C199" s="325" t="s">
        <v>261</v>
      </c>
      <c r="D199" s="325" t="s">
        <v>49</v>
      </c>
      <c r="E199" s="322"/>
      <c r="F199" s="322"/>
      <c r="G199" s="114"/>
      <c r="H199" s="228"/>
      <c r="I199" s="228"/>
      <c r="J199" s="228"/>
      <c r="K199" s="118"/>
      <c r="L199" s="118"/>
      <c r="M199" s="118"/>
      <c r="N199" s="102"/>
      <c r="O199" s="102"/>
      <c r="P199" s="102"/>
      <c r="Q199" s="102"/>
      <c r="R199" s="118"/>
      <c r="S199" s="118"/>
      <c r="T199" s="118"/>
      <c r="U199" s="118"/>
      <c r="V199" s="118"/>
    </row>
    <row r="200" outlineLevel="1">
      <c r="A200" s="326" t="s">
        <v>262</v>
      </c>
      <c r="B200" s="327" t="s">
        <v>226</v>
      </c>
      <c r="C200" s="328" t="str">
        <f t="array" ref="C200">INDEX('アイテム'!$G$3:$H$114, MATCH($A$1,'アイテム'!$A$3:$A$114,0), MATCH(C195,'アイテム'!$C$2:$AQ$2,0))</f>
        <v>7</v>
      </c>
      <c r="D200" s="328">
        <f t="array" ref="D200">INDEX('アイテム'!$G$3:$H$114, MATCH($A$1,'アイテム'!$A$3:$A$114,0), MATCH(D195,'アイテム'!$C$2:$AQ$2,0))</f>
        <v>24</v>
      </c>
      <c r="E200" s="322"/>
      <c r="F200" s="322"/>
      <c r="G200" s="114"/>
      <c r="H200" s="228"/>
      <c r="I200" s="228"/>
      <c r="J200" s="228"/>
      <c r="K200" s="118"/>
      <c r="L200" s="118"/>
      <c r="M200" s="118"/>
      <c r="N200" s="102"/>
      <c r="O200" s="102"/>
      <c r="P200" s="102"/>
      <c r="Q200" s="102"/>
      <c r="R200" s="118"/>
      <c r="S200" s="118"/>
      <c r="T200" s="118"/>
      <c r="U200" s="118"/>
      <c r="V200" s="118"/>
    </row>
    <row r="201" outlineLevel="1">
      <c r="A201" s="146"/>
      <c r="B201" s="327" t="s">
        <v>229</v>
      </c>
      <c r="C201" s="328" t="str">
        <f t="array" ref="C201">INDEX('アイテム'!$I$3:$J$114, MATCH($A$1,'アイテム'!$A$3:$A$114,0), MATCH(C195,'アイテム'!$C$2:$AQ$2,0))</f>
        <v>9</v>
      </c>
      <c r="D201" s="328">
        <f t="array" ref="D201">INDEX('アイテム'!$I$3:$J$114, MATCH($A$1,'アイテム'!$A$3:$A$114,0), MATCH(D195,'アイテム'!$C$2:$AQ$2,0))</f>
        <v>24</v>
      </c>
      <c r="E201" s="322"/>
      <c r="F201" s="322"/>
      <c r="G201" s="114"/>
      <c r="H201" s="228"/>
      <c r="I201" s="228"/>
      <c r="J201" s="228"/>
      <c r="K201" s="118"/>
      <c r="L201" s="118"/>
      <c r="M201" s="118"/>
      <c r="N201" s="102"/>
      <c r="O201" s="102"/>
      <c r="P201" s="102"/>
      <c r="Q201" s="102"/>
      <c r="R201" s="118"/>
      <c r="S201" s="118"/>
      <c r="T201" s="118"/>
      <c r="U201" s="118"/>
      <c r="V201" s="118"/>
    </row>
    <row r="202" outlineLevel="1">
      <c r="A202" s="146"/>
      <c r="B202" s="327" t="s">
        <v>233</v>
      </c>
      <c r="C202" s="328" t="str">
        <f t="array" ref="C202">INDEX('アイテム'!$K$3:$L$114, MATCH($A$1,'アイテム'!$A$3:$A$114,0), MATCH(C195,'アイテム'!$C$2:$AQ$2,0))</f>
        <v>11</v>
      </c>
      <c r="D202" s="328">
        <f t="array" ref="D202">INDEX('アイテム'!$K$3:$L$114, MATCH($A$1,'アイテム'!$A$3:$A$114,0), MATCH(D195,'アイテム'!$C$2:$AQ$2,0))</f>
        <v>23</v>
      </c>
      <c r="E202" s="322"/>
      <c r="F202" s="322"/>
      <c r="G202" s="114"/>
      <c r="H202" s="228"/>
      <c r="I202" s="228"/>
      <c r="J202" s="228"/>
      <c r="K202" s="118"/>
      <c r="L202" s="118"/>
      <c r="M202" s="118"/>
      <c r="N202" s="102"/>
      <c r="O202" s="102"/>
      <c r="P202" s="102"/>
      <c r="Q202" s="102"/>
      <c r="R202" s="118"/>
      <c r="S202" s="118"/>
      <c r="T202" s="118"/>
      <c r="U202" s="118"/>
      <c r="V202" s="118"/>
    </row>
    <row r="203" outlineLevel="1">
      <c r="A203" s="146"/>
      <c r="B203" s="327" t="s">
        <v>234</v>
      </c>
      <c r="C203" s="328" t="str">
        <f t="array" ref="C203">INDEX('アイテム'!$M$3:$N$114, MATCH($A$1,'アイテム'!$A$3:$A$114,0), MATCH(C195,'アイテム'!$C$2:$AQ$2,0))</f>
        <v>6</v>
      </c>
      <c r="D203" s="328">
        <f t="array" ref="D203">INDEX('アイテム'!$M$3:$N$114, MATCH($A$1,'アイテム'!$A$3:$A$114,0), MATCH(D195,'アイテム'!$C$2:$AQ$2,0))</f>
        <v>19</v>
      </c>
      <c r="E203" s="322"/>
      <c r="F203" s="322"/>
      <c r="G203" s="114"/>
      <c r="H203" s="228"/>
      <c r="I203" s="228"/>
      <c r="J203" s="228"/>
      <c r="K203" s="118"/>
      <c r="L203" s="118"/>
      <c r="M203" s="118"/>
      <c r="N203" s="102"/>
      <c r="O203" s="102"/>
      <c r="P203" s="102"/>
      <c r="Q203" s="102"/>
      <c r="R203" s="118"/>
      <c r="S203" s="118"/>
      <c r="T203" s="118"/>
      <c r="U203" s="118"/>
      <c r="V203" s="118"/>
    </row>
    <row r="204" outlineLevel="1">
      <c r="A204" s="146"/>
      <c r="B204" s="327" t="s">
        <v>219</v>
      </c>
      <c r="C204" s="328" t="str">
        <f t="array" ref="C204">INDEX('アイテム'!$O$3:$P$114, MATCH($A$1,'アイテム'!$A$3:$A$114,0), MATCH(C195,'アイテム'!$C$2:$AQ$2,0))</f>
        <v>4</v>
      </c>
      <c r="D204" s="328">
        <f t="array" ref="D204">INDEX('アイテム'!$O$3:$P$114, MATCH($A$1,'アイテム'!$A$3:$A$114,0), MATCH(D195,'アイテム'!$C$2:$AQ$2,0))</f>
        <v>29</v>
      </c>
      <c r="E204" s="322"/>
      <c r="F204" s="322"/>
      <c r="G204" s="114"/>
      <c r="H204" s="228"/>
      <c r="I204" s="228"/>
      <c r="J204" s="228"/>
      <c r="K204" s="118"/>
      <c r="L204" s="118"/>
      <c r="M204" s="118"/>
      <c r="N204" s="102"/>
      <c r="O204" s="102"/>
      <c r="P204" s="102"/>
      <c r="Q204" s="102"/>
      <c r="R204" s="118"/>
      <c r="S204" s="118"/>
      <c r="T204" s="118"/>
      <c r="U204" s="118"/>
      <c r="V204" s="118"/>
    </row>
    <row r="205" outlineLevel="1">
      <c r="A205" s="156"/>
      <c r="B205" s="327" t="s">
        <v>263</v>
      </c>
      <c r="C205" s="328" t="str">
        <f t="array" ref="C205">INDEX('アイテム'!$Q$3:$R$114, MATCH($A$1,'アイテム'!$A$3:$A$114,0), MATCH(C195,'アイテム'!$C$2:$AQ$2,0))</f>
        <v>5</v>
      </c>
      <c r="D205" s="328">
        <f t="array" ref="D205">INDEX('アイテム'!$Q$3:$R$114, MATCH($A$1,'アイテム'!$A$3:$A$114,0), MATCH(D195,'アイテム'!$C$2:$AQ$2,0))</f>
        <v>23</v>
      </c>
      <c r="E205" s="322"/>
      <c r="F205" s="322"/>
      <c r="G205" s="114"/>
      <c r="H205" s="228"/>
      <c r="I205" s="228"/>
      <c r="J205" s="228"/>
      <c r="K205" s="118"/>
      <c r="L205" s="118"/>
      <c r="M205" s="118"/>
      <c r="N205" s="102"/>
      <c r="O205" s="102"/>
      <c r="P205" s="102"/>
      <c r="Q205" s="102"/>
      <c r="R205" s="118"/>
      <c r="S205" s="118"/>
      <c r="T205" s="118"/>
      <c r="U205" s="118"/>
      <c r="V205" s="118"/>
    </row>
    <row r="206" outlineLevel="1">
      <c r="A206" s="326" t="s">
        <v>264</v>
      </c>
      <c r="B206" s="327" t="s">
        <v>226</v>
      </c>
      <c r="C206" s="328" t="str">
        <f t="array" ref="C206">INDEX('アイテム'!$S$3:$T$114, MATCH($A$1,'アイテム'!$A$3:$A$114,0), MATCH(C195,'アイテム'!$C$2:$AQ$2,0))</f>
        <v>7</v>
      </c>
      <c r="D206" s="328">
        <f t="array" ref="D206">INDEX('アイテム'!$S$3:$T$114, MATCH($A$1,'アイテム'!$A$3:$A$114,0), MATCH(D195,'アイテム'!$C$2:$AQ$2,0))</f>
        <v>24</v>
      </c>
      <c r="E206" s="322"/>
      <c r="F206" s="322"/>
      <c r="G206" s="114"/>
      <c r="H206" s="228"/>
      <c r="I206" s="228"/>
      <c r="J206" s="228"/>
      <c r="K206" s="118"/>
      <c r="L206" s="118"/>
      <c r="M206" s="118"/>
      <c r="N206" s="102"/>
      <c r="O206" s="102"/>
      <c r="P206" s="102"/>
      <c r="Q206" s="102"/>
      <c r="R206" s="118"/>
      <c r="S206" s="118"/>
      <c r="T206" s="118"/>
      <c r="U206" s="118"/>
      <c r="V206" s="118"/>
    </row>
    <row r="207" outlineLevel="1">
      <c r="A207" s="146"/>
      <c r="B207" s="327" t="s">
        <v>229</v>
      </c>
      <c r="C207" s="328" t="str">
        <f t="array" ref="C207">INDEX('アイテム'!$U$3:$V$114, MATCH($A$1,'アイテム'!$A$3:$A$114,0), MATCH(C195,'アイテム'!$C$2:$AQ$2,0))</f>
        <v>9</v>
      </c>
      <c r="D207" s="328">
        <f t="array" ref="D207">INDEX('アイテム'!$U$3:$V$114, MATCH($A$1,'アイテム'!$A$3:$A$114,0), MATCH(D195,'アイテム'!$C$2:$AQ$2,0))</f>
        <v>24</v>
      </c>
      <c r="E207" s="322"/>
      <c r="F207" s="322"/>
      <c r="G207" s="114"/>
      <c r="H207" s="228"/>
      <c r="I207" s="228"/>
      <c r="J207" s="228"/>
      <c r="K207" s="118"/>
      <c r="L207" s="118"/>
      <c r="M207" s="118"/>
      <c r="N207" s="102"/>
      <c r="O207" s="102"/>
      <c r="P207" s="102"/>
      <c r="Q207" s="102"/>
      <c r="R207" s="118"/>
      <c r="S207" s="118"/>
      <c r="T207" s="118"/>
      <c r="U207" s="118"/>
      <c r="V207" s="118"/>
    </row>
    <row r="208" outlineLevel="1">
      <c r="A208" s="146"/>
      <c r="B208" s="327" t="s">
        <v>233</v>
      </c>
      <c r="C208" s="328" t="str">
        <f t="array" ref="C208">INDEX('アイテム'!$W$3:$X$114, MATCH($A$1,'アイテム'!$A$3:$A$114,0), MATCH(C195,'アイテム'!$C$2:$AQ$2,0))</f>
        <v>11</v>
      </c>
      <c r="D208" s="328">
        <f t="array" ref="D208">INDEX('アイテム'!$W$3:$X$114, MATCH($A$1,'アイテム'!$A$3:$A$114,0), MATCH(D195,'アイテム'!$C$2:$AQ$2,0))</f>
        <v>23</v>
      </c>
      <c r="E208" s="322"/>
      <c r="F208" s="322"/>
      <c r="G208" s="114"/>
      <c r="H208" s="228"/>
      <c r="I208" s="228"/>
      <c r="J208" s="228"/>
      <c r="K208" s="118"/>
      <c r="L208" s="118"/>
      <c r="M208" s="118"/>
      <c r="N208" s="102"/>
      <c r="O208" s="102"/>
      <c r="P208" s="102"/>
      <c r="Q208" s="102"/>
      <c r="R208" s="118"/>
      <c r="S208" s="118"/>
      <c r="T208" s="118"/>
      <c r="U208" s="118"/>
      <c r="V208" s="118"/>
    </row>
    <row r="209" outlineLevel="1">
      <c r="A209" s="156"/>
      <c r="B209" s="327" t="s">
        <v>234</v>
      </c>
      <c r="C209" s="328" t="str">
        <f t="array" ref="C209">INDEX('アイテム'!$Y$3:$Z$114, MATCH($A$1,'アイテム'!$A$3:$A$114,0), MATCH(C195,'アイテム'!$C$2:$AQ$2,0))</f>
        <v>6</v>
      </c>
      <c r="D209" s="328">
        <f t="array" ref="D209">INDEX('アイテム'!$Y$3:$Z$114, MATCH($A$1,'アイテム'!$A$3:$A$114,0), MATCH(D195,'アイテム'!$C$2:$AQ$2,0))</f>
        <v>19</v>
      </c>
      <c r="E209" s="322"/>
      <c r="F209" s="322"/>
      <c r="G209" s="114"/>
      <c r="H209" s="228"/>
      <c r="I209" s="228"/>
      <c r="J209" s="228"/>
      <c r="K209" s="118"/>
      <c r="L209" s="118"/>
      <c r="M209" s="118"/>
      <c r="N209" s="102"/>
      <c r="O209" s="102"/>
      <c r="P209" s="102"/>
      <c r="Q209" s="102"/>
      <c r="R209" s="118"/>
      <c r="S209" s="118"/>
      <c r="T209" s="118"/>
      <c r="U209" s="118"/>
      <c r="V209" s="118"/>
    </row>
    <row r="210" outlineLevel="1">
      <c r="A210" s="326" t="s">
        <v>265</v>
      </c>
      <c r="B210" s="327" t="s">
        <v>226</v>
      </c>
      <c r="C210" s="328">
        <f t="array" ref="C210">INDEX('アイテム'!$AC$3:$AD$114, MATCH($A$1,'アイテム'!$A$3:$A$114,0), MATCH(C195,'アイテム'!$C$2:$AQ$2,0))</f>
        <v>16</v>
      </c>
      <c r="D210" s="328" t="str">
        <f t="array" ref="D210">INDEX('アイテム'!$AC$3:$AD$114, MATCH($A$1,'アイテム'!$A$3:$A$114,0), MATCH(D195,'アイテム'!$C$2:$AQ$2,0))</f>
        <v>30</v>
      </c>
      <c r="E210" s="322"/>
      <c r="F210" s="322"/>
      <c r="G210" s="114"/>
      <c r="H210" s="228"/>
      <c r="I210" s="228"/>
      <c r="J210" s="228"/>
      <c r="K210" s="118"/>
      <c r="L210" s="118"/>
      <c r="M210" s="118"/>
      <c r="N210" s="102"/>
      <c r="O210" s="102"/>
      <c r="P210" s="102"/>
      <c r="Q210" s="102"/>
      <c r="R210" s="118"/>
      <c r="S210" s="118"/>
      <c r="T210" s="118"/>
      <c r="U210" s="118"/>
      <c r="V210" s="118"/>
    </row>
    <row r="211" outlineLevel="1">
      <c r="A211" s="146"/>
      <c r="B211" s="327" t="s">
        <v>229</v>
      </c>
      <c r="C211" s="328">
        <f t="array" ref="C211">INDEX('アイテム'!$AE$3:$AF$114, MATCH($A$1,'アイテム'!$A$3:$A$114,0), MATCH(C195,'アイテム'!$C$2:$AQ$2,0))</f>
        <v>17</v>
      </c>
      <c r="D211" s="328" t="str">
        <f t="array" ref="D211">INDEX('アイテム'!$AE$3:$AF$114, MATCH($A$1,'アイテム'!$A$3:$A$114,0), MATCH(D195,'アイテム'!$C$2:$AQ$2,0))</f>
        <v>30</v>
      </c>
      <c r="E211" s="322"/>
      <c r="F211" s="322"/>
      <c r="G211" s="114"/>
      <c r="H211" s="228"/>
      <c r="I211" s="228"/>
      <c r="J211" s="228"/>
      <c r="K211" s="118"/>
      <c r="L211" s="118"/>
      <c r="M211" s="118"/>
      <c r="N211" s="102"/>
      <c r="O211" s="102"/>
      <c r="P211" s="102"/>
      <c r="Q211" s="102"/>
      <c r="R211" s="118"/>
      <c r="S211" s="118"/>
      <c r="T211" s="118"/>
      <c r="U211" s="118"/>
      <c r="V211" s="118"/>
    </row>
    <row r="212" outlineLevel="1">
      <c r="A212" s="146"/>
      <c r="B212" s="327" t="s">
        <v>233</v>
      </c>
      <c r="C212" s="328">
        <f t="array" ref="C212">INDEX('アイテム'!$AG$3:$AH$114, MATCH($A$1,'アイテム'!$A$3:$A$114,0), MATCH(C195,'アイテム'!$C$2:$AQ$2,0))</f>
        <v>11</v>
      </c>
      <c r="D212" s="328" t="str">
        <f t="array" ref="D212">INDEX('アイテム'!$AG$3:$AH$114, MATCH($A$1,'アイテム'!$A$3:$A$114,0), MATCH(D195,'アイテム'!$C$2:$AQ$2,0))</f>
        <v>22</v>
      </c>
      <c r="E212" s="322"/>
      <c r="F212" s="322"/>
      <c r="G212" s="114"/>
      <c r="H212" s="228"/>
      <c r="I212" s="228"/>
      <c r="J212" s="228"/>
      <c r="K212" s="118"/>
      <c r="L212" s="118"/>
      <c r="M212" s="118"/>
      <c r="N212" s="102"/>
      <c r="O212" s="102"/>
      <c r="P212" s="102"/>
      <c r="Q212" s="102"/>
      <c r="R212" s="118"/>
      <c r="S212" s="118"/>
      <c r="T212" s="118"/>
      <c r="U212" s="118"/>
      <c r="V212" s="118"/>
    </row>
    <row r="213" outlineLevel="1">
      <c r="A213" s="156"/>
      <c r="B213" s="327" t="s">
        <v>234</v>
      </c>
      <c r="C213" s="328">
        <f t="array" ref="C213">INDEX('アイテム'!$AI$3:$AJ$114, MATCH($A$1,'アイテム'!$A$3:$A$114,0), MATCH(C195,'アイテム'!$C$2:$AQ$2,0))</f>
        <v>11</v>
      </c>
      <c r="D213" s="328" t="str">
        <f t="array" ref="D213">INDEX('アイテム'!$AI$3:$AJ$114, MATCH($A$1,'アイテム'!$A$3:$A$114,0), MATCH(D195,'アイテム'!$C$2:$AQ$2,0))</f>
        <v>22</v>
      </c>
      <c r="E213" s="322"/>
      <c r="F213" s="322"/>
      <c r="G213" s="114"/>
      <c r="H213" s="228"/>
      <c r="I213" s="228"/>
      <c r="J213" s="228"/>
      <c r="K213" s="118"/>
      <c r="L213" s="118"/>
      <c r="M213" s="118"/>
      <c r="N213" s="102"/>
      <c r="O213" s="102"/>
      <c r="P213" s="102"/>
      <c r="Q213" s="102"/>
      <c r="R213" s="118"/>
      <c r="S213" s="118"/>
      <c r="T213" s="118"/>
      <c r="U213" s="118"/>
      <c r="V213" s="118"/>
    </row>
  </sheetData>
  <mergeCells count="198">
    <mergeCell ref="D64:D65"/>
    <mergeCell ref="I64:I65"/>
    <mergeCell ref="H68:J68"/>
    <mergeCell ref="H69:J75"/>
    <mergeCell ref="D71:D72"/>
    <mergeCell ref="D73:D75"/>
    <mergeCell ref="H76:J76"/>
    <mergeCell ref="H77:J80"/>
    <mergeCell ref="H49:J50"/>
    <mergeCell ref="H51:J52"/>
    <mergeCell ref="A53:A56"/>
    <mergeCell ref="D53:D56"/>
    <mergeCell ref="H53:J56"/>
    <mergeCell ref="A58:B59"/>
    <mergeCell ref="J64:J65"/>
    <mergeCell ref="A73:A75"/>
    <mergeCell ref="A77:A80"/>
    <mergeCell ref="A64:A65"/>
    <mergeCell ref="A67:B67"/>
    <mergeCell ref="A68:B68"/>
    <mergeCell ref="A69:A70"/>
    <mergeCell ref="D69:D70"/>
    <mergeCell ref="A71:A72"/>
    <mergeCell ref="A76:B76"/>
    <mergeCell ref="D77:D80"/>
    <mergeCell ref="H44:J44"/>
    <mergeCell ref="H45:J45"/>
    <mergeCell ref="U45:U46"/>
    <mergeCell ref="H46:J46"/>
    <mergeCell ref="A39:B40"/>
    <mergeCell ref="H40:J40"/>
    <mergeCell ref="A41:A43"/>
    <mergeCell ref="H41:J41"/>
    <mergeCell ref="H42:J42"/>
    <mergeCell ref="H43:J43"/>
    <mergeCell ref="A45:A46"/>
    <mergeCell ref="H83:J92"/>
    <mergeCell ref="H93:J93"/>
    <mergeCell ref="H94:J94"/>
    <mergeCell ref="A81:A82"/>
    <mergeCell ref="D81:D82"/>
    <mergeCell ref="H81:J82"/>
    <mergeCell ref="A83:A92"/>
    <mergeCell ref="D83:D84"/>
    <mergeCell ref="D85:D90"/>
    <mergeCell ref="A93:B93"/>
    <mergeCell ref="U53:U56"/>
    <mergeCell ref="U69:U75"/>
    <mergeCell ref="V69:V75"/>
    <mergeCell ref="U77:U92"/>
    <mergeCell ref="V77:V92"/>
    <mergeCell ref="U94:U99"/>
    <mergeCell ref="V94:V99"/>
    <mergeCell ref="U126:U127"/>
    <mergeCell ref="V126:V127"/>
    <mergeCell ref="U132:U133"/>
    <mergeCell ref="V132:V133"/>
    <mergeCell ref="U136:U137"/>
    <mergeCell ref="V136:V137"/>
    <mergeCell ref="U104:U105"/>
    <mergeCell ref="V104:V105"/>
    <mergeCell ref="U106:U107"/>
    <mergeCell ref="V106:V107"/>
    <mergeCell ref="U108:U109"/>
    <mergeCell ref="V108:V109"/>
    <mergeCell ref="V110:V112"/>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C24:D24"/>
    <mergeCell ref="H47:J47"/>
    <mergeCell ref="H48:J48"/>
    <mergeCell ref="A49:A50"/>
    <mergeCell ref="D49:D50"/>
    <mergeCell ref="U49:U50"/>
    <mergeCell ref="A51:A52"/>
    <mergeCell ref="D51:D52"/>
    <mergeCell ref="U51:U52"/>
    <mergeCell ref="R59:V59"/>
    <mergeCell ref="R60:V60"/>
    <mergeCell ref="R61:V61"/>
    <mergeCell ref="R62:V62"/>
    <mergeCell ref="R63:V63"/>
    <mergeCell ref="R64:V65"/>
    <mergeCell ref="H99:J99"/>
    <mergeCell ref="H100:J100"/>
    <mergeCell ref="U110:U112"/>
    <mergeCell ref="U120:U125"/>
    <mergeCell ref="V120:V125"/>
    <mergeCell ref="A108:A109"/>
    <mergeCell ref="A110:A112"/>
    <mergeCell ref="A120:A125"/>
    <mergeCell ref="A126:A127"/>
    <mergeCell ref="A128:B128"/>
    <mergeCell ref="A132:A133"/>
    <mergeCell ref="A136:A137"/>
    <mergeCell ref="A140:B141"/>
    <mergeCell ref="A143:A145"/>
    <mergeCell ref="A146:B146"/>
    <mergeCell ref="A147:A148"/>
    <mergeCell ref="A149:A150"/>
    <mergeCell ref="A151:A152"/>
    <mergeCell ref="A153:A154"/>
    <mergeCell ref="A186:A192"/>
    <mergeCell ref="A194:B194"/>
    <mergeCell ref="A195:B195"/>
    <mergeCell ref="A196:A197"/>
    <mergeCell ref="A199:B199"/>
    <mergeCell ref="A200:A205"/>
    <mergeCell ref="A206:A209"/>
    <mergeCell ref="A210:A213"/>
    <mergeCell ref="A156:B157"/>
    <mergeCell ref="A158:A160"/>
    <mergeCell ref="A161:A162"/>
    <mergeCell ref="A164:B165"/>
    <mergeCell ref="A166:A170"/>
    <mergeCell ref="A174:A179"/>
    <mergeCell ref="A180:A185"/>
    <mergeCell ref="H134:J134"/>
    <mergeCell ref="H135:J135"/>
    <mergeCell ref="H136:J137"/>
    <mergeCell ref="H138:J138"/>
    <mergeCell ref="G146:J146"/>
    <mergeCell ref="G147:J148"/>
    <mergeCell ref="G149:J150"/>
    <mergeCell ref="K175:K178"/>
    <mergeCell ref="K181:K184"/>
    <mergeCell ref="K185:L185"/>
    <mergeCell ref="G151:J152"/>
    <mergeCell ref="G153:J154"/>
    <mergeCell ref="K165:L165"/>
    <mergeCell ref="K166:K167"/>
    <mergeCell ref="K168:L168"/>
    <mergeCell ref="K169:K174"/>
    <mergeCell ref="K179:L179"/>
    <mergeCell ref="A95:A96"/>
    <mergeCell ref="D95:D96"/>
    <mergeCell ref="H95:J96"/>
    <mergeCell ref="A97:A98"/>
    <mergeCell ref="D97:D98"/>
    <mergeCell ref="A100:B100"/>
    <mergeCell ref="H102:J102"/>
    <mergeCell ref="H97:J98"/>
    <mergeCell ref="H101:J101"/>
    <mergeCell ref="H103:J103"/>
    <mergeCell ref="H104:J105"/>
    <mergeCell ref="H106:J107"/>
    <mergeCell ref="H108:J109"/>
    <mergeCell ref="H110:J112"/>
    <mergeCell ref="D110:D112"/>
    <mergeCell ref="D120:D125"/>
    <mergeCell ref="D126:D127"/>
    <mergeCell ref="D132:D133"/>
    <mergeCell ref="D147:D148"/>
    <mergeCell ref="D149:D150"/>
    <mergeCell ref="D151:D152"/>
    <mergeCell ref="D153:D154"/>
    <mergeCell ref="A101:A102"/>
    <mergeCell ref="A103:B103"/>
    <mergeCell ref="A104:A105"/>
    <mergeCell ref="D104:D105"/>
    <mergeCell ref="A106:A107"/>
    <mergeCell ref="D106:D107"/>
    <mergeCell ref="D108:D109"/>
    <mergeCell ref="H113:J113"/>
    <mergeCell ref="H114:J114"/>
    <mergeCell ref="H115:J115"/>
    <mergeCell ref="H116:J116"/>
    <mergeCell ref="H117:J117"/>
    <mergeCell ref="H118:J118"/>
    <mergeCell ref="H119:J119"/>
    <mergeCell ref="H120:J125"/>
    <mergeCell ref="H126:J127"/>
    <mergeCell ref="H128:J128"/>
    <mergeCell ref="H129:J129"/>
    <mergeCell ref="H130:J130"/>
    <mergeCell ref="H131:J131"/>
    <mergeCell ref="H132:J133"/>
    <mergeCell ref="A171:A173"/>
    <mergeCell ref="C178:C179"/>
    <mergeCell ref="D178:D179"/>
    <mergeCell ref="C184:C185"/>
    <mergeCell ref="D184:D185"/>
    <mergeCell ref="C191:C192"/>
    <mergeCell ref="D191:D192"/>
  </mergeCells>
  <conditionalFormatting sqref="K101:K102">
    <cfRule type="containsText" dxfId="1" priority="1" operator="containsText" text="363">
      <formula>NOT(ISERROR(SEARCH(("363"),(K101))))</formula>
    </cfRule>
  </conditionalFormatting>
  <conditionalFormatting sqref="K101:K102">
    <cfRule type="containsText" dxfId="1" priority="2" operator="containsText" text="365">
      <formula>NOT(ISERROR(SEARCH(("365"),(K101))))</formula>
    </cfRule>
  </conditionalFormatting>
  <conditionalFormatting sqref="K101:K102">
    <cfRule type="containsText" dxfId="1" priority="3" operator="containsText" text="366">
      <formula>NOT(ISERROR(SEARCH(("366"),(K101))))</formula>
    </cfRule>
  </conditionalFormatting>
  <conditionalFormatting sqref="K101:K102">
    <cfRule type="containsText" dxfId="1" priority="4" operator="containsText" text="367">
      <formula>NOT(ISERROR(SEARCH(("367"),(K101))))</formula>
    </cfRule>
  </conditionalFormatting>
  <conditionalFormatting sqref="K1:K189 L146:L154">
    <cfRule type="containsText" dxfId="0" priority="5" operator="containsText" text="361">
      <formula>NOT(ISERROR(SEARCH(("361"),(K1))))</formula>
    </cfRule>
  </conditionalFormatting>
  <conditionalFormatting sqref="O147:Q154">
    <cfRule type="cellIs" dxfId="2" priority="6" operator="equal">
      <formula>"敵のみ"</formula>
    </cfRule>
  </conditionalFormatting>
  <conditionalFormatting sqref="C147:D154">
    <cfRule type="cellIs" dxfId="3" priority="7" operator="equal">
      <formula>"-"</formula>
    </cfRule>
  </conditionalFormatting>
  <conditionalFormatting sqref="O1:O213 N146:N154 P146:P154 Q154 L188:L189">
    <cfRule type="cellIs" dxfId="4" priority="8" operator="greaterThan">
      <formula>0</formula>
    </cfRule>
  </conditionalFormatting>
  <conditionalFormatting sqref="P1:Q213 O146:O154 M188:M189">
    <cfRule type="cellIs" dxfId="5" priority="9" operator="lessThan">
      <formula>1</formula>
    </cfRule>
  </conditionalFormatting>
  <conditionalFormatting sqref="P1:Q213 O146:O154 M188:M189">
    <cfRule type="cellIs" dxfId="4" priority="10" operator="greaterThan">
      <formula>1</formula>
    </cfRule>
  </conditionalFormatting>
  <conditionalFormatting sqref="N40:N165 M146:M154 O146:O154">
    <cfRule type="cellIs" dxfId="6" priority="11" operator="greaterThan">
      <formula>0</formula>
    </cfRule>
  </conditionalFormatting>
  <conditionalFormatting sqref="K1:K213 L146:L154">
    <cfRule type="containsText" dxfId="6" priority="12" operator="containsText" text="363">
      <formula>NOT(ISERROR(SEARCH(("363"),(K1))))</formula>
    </cfRule>
  </conditionalFormatting>
  <conditionalFormatting sqref="K1:K213 L146:L154">
    <cfRule type="containsText" dxfId="6" priority="13" operator="containsText" text="365">
      <formula>NOT(ISERROR(SEARCH(("365"),(K1))))</formula>
    </cfRule>
  </conditionalFormatting>
  <conditionalFormatting sqref="K1:K213 L146:L154">
    <cfRule type="containsText" dxfId="6" priority="14" operator="containsText" text="366">
      <formula>NOT(ISERROR(SEARCH(("366"),(K1))))</formula>
    </cfRule>
  </conditionalFormatting>
  <conditionalFormatting sqref="K1:K213 L146:L154">
    <cfRule type="containsText" dxfId="6" priority="15" operator="containsText" text="367">
      <formula>NOT(ISERROR(SEARCH(("367"),(K1))))</formula>
    </cfRule>
  </conditionalFormatting>
  <conditionalFormatting sqref="N1:N15 N17:N213 M146:M154 O146:O154 K188:K189">
    <cfRule type="containsText" dxfId="6" priority="16" operator="containsText" text="/">
      <formula>NOT(ISERROR(SEARCH(("/"),(N1))))</formula>
    </cfRule>
  </conditionalFormatting>
  <drawing r:id="rId2"/>
  <legacyDrawing r:id="rId3"/>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DF7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2" width="7.0"/>
  </cols>
  <sheetData>
    <row r="1">
      <c r="A1" s="3241">
        <v>73.0</v>
      </c>
      <c r="B1" s="3242"/>
      <c r="C1" s="3243" t="str">
        <f>IMAGE(VLOOKUP($A$1,Fighters!A2:AI114,12,FALSE),1)</f>
        <v>#REF!</v>
      </c>
      <c r="D1" s="3244"/>
      <c r="E1" s="3244"/>
      <c r="F1" s="3244"/>
      <c r="G1" s="3245"/>
      <c r="H1" s="3246"/>
      <c r="I1" s="3244"/>
      <c r="J1" s="3245"/>
      <c r="K1" s="3247"/>
      <c r="L1" s="3244"/>
      <c r="M1" s="3245"/>
      <c r="N1" s="3248"/>
      <c r="O1" s="3248"/>
      <c r="P1" s="3248"/>
      <c r="Q1" s="3248"/>
      <c r="R1" s="3249"/>
      <c r="S1" s="3249"/>
      <c r="T1" s="3249"/>
      <c r="U1" s="3249"/>
      <c r="V1" s="3249"/>
    </row>
    <row r="2">
      <c r="A2" s="3250" t="str">
        <f>VLOOKUP($A$1,Fighters!$A$2:$AI$81,6,FALSE)</f>
        <v>#fbdf7f</v>
      </c>
      <c r="B2" s="3242"/>
      <c r="C2" s="3251"/>
      <c r="G2" s="3252"/>
      <c r="H2" s="3253"/>
      <c r="I2" s="3254"/>
      <c r="J2" s="3255"/>
      <c r="K2" s="3253"/>
      <c r="L2" s="3254"/>
      <c r="M2" s="3255"/>
      <c r="N2" s="3248"/>
      <c r="O2" s="3248"/>
      <c r="P2" s="3248"/>
      <c r="Q2" s="3248"/>
      <c r="R2" s="3249"/>
      <c r="S2" s="3249"/>
      <c r="T2" s="3249"/>
      <c r="U2" s="3249"/>
      <c r="V2" s="3249"/>
    </row>
    <row r="3">
      <c r="A3" s="3250" t="str">
        <f>VLOOKUP($A$1,Fighters!$A$2:$AI$81,14,FALSE)</f>
        <v>73. バンジョー&amp;カズーイ</v>
      </c>
      <c r="B3" s="3242"/>
      <c r="C3" s="3251"/>
      <c r="G3" s="3252"/>
      <c r="H3" s="3256"/>
      <c r="I3" s="3256"/>
      <c r="J3" s="3256"/>
      <c r="K3" s="3257"/>
      <c r="L3" s="3257"/>
      <c r="M3" s="3257"/>
      <c r="N3" s="3248"/>
      <c r="O3" s="3248"/>
      <c r="P3" s="3248"/>
      <c r="Q3" s="3248"/>
      <c r="R3" s="3258"/>
      <c r="S3" s="3249"/>
      <c r="T3" s="3249"/>
      <c r="U3" s="3249"/>
      <c r="V3" s="3249"/>
    </row>
    <row r="4">
      <c r="A4" s="3250" t="str">
        <f>VLOOKUP($A$1,Fighters!$A$2:$AI$81,13,FALSE)</f>
        <v>0</v>
      </c>
      <c r="B4" s="3242"/>
      <c r="C4" s="3251"/>
      <c r="G4" s="3252"/>
      <c r="H4" s="3259"/>
      <c r="I4" s="3259"/>
      <c r="J4" s="3256"/>
      <c r="K4" s="3257"/>
      <c r="L4" s="3257"/>
      <c r="M4" s="3257"/>
      <c r="N4" s="3248"/>
      <c r="O4" s="3248"/>
      <c r="P4" s="3248"/>
      <c r="Q4" s="3248"/>
      <c r="R4" s="3258"/>
      <c r="S4" s="3249"/>
      <c r="T4" s="3249"/>
      <c r="U4" s="3249"/>
      <c r="V4" s="3249"/>
    </row>
    <row r="5" ht="16.5" customHeight="1">
      <c r="A5" s="3241"/>
      <c r="B5" s="3242"/>
      <c r="C5" s="3251"/>
      <c r="G5" s="3252"/>
      <c r="H5" s="3260"/>
      <c r="I5" s="3260"/>
      <c r="J5" s="3261"/>
      <c r="K5" s="3262"/>
      <c r="L5" s="3263"/>
      <c r="M5" s="3263"/>
      <c r="N5" s="3248"/>
      <c r="O5" s="3248"/>
      <c r="P5" s="3248"/>
      <c r="Q5" s="3248"/>
      <c r="R5" s="3258"/>
      <c r="S5" s="3249"/>
      <c r="T5" s="3249"/>
      <c r="U5" s="3249"/>
      <c r="V5" s="3249"/>
    </row>
    <row r="6">
      <c r="A6" s="3242"/>
      <c r="B6" s="3242"/>
      <c r="C6" s="3251"/>
      <c r="G6" s="3252"/>
      <c r="H6" s="3259"/>
      <c r="I6" s="3264" t="s">
        <v>39</v>
      </c>
      <c r="J6" s="3262"/>
      <c r="K6" s="3265"/>
      <c r="L6" s="3263"/>
      <c r="M6" s="3263"/>
      <c r="N6" s="3248"/>
      <c r="O6" s="3248"/>
      <c r="P6" s="3248"/>
      <c r="Q6" s="3248"/>
      <c r="R6" s="3258"/>
      <c r="S6" s="3249"/>
      <c r="T6" s="3249"/>
      <c r="U6" s="3249"/>
      <c r="V6" s="3249"/>
    </row>
    <row r="7">
      <c r="A7" s="3242"/>
      <c r="B7" s="3242"/>
      <c r="C7" s="3251"/>
      <c r="G7" s="3252"/>
      <c r="H7" s="3260"/>
      <c r="I7" s="3260"/>
      <c r="J7" s="3262"/>
      <c r="K7" s="3265"/>
      <c r="L7" s="3263"/>
      <c r="M7" s="3263"/>
      <c r="N7" s="3248"/>
      <c r="O7" s="3248"/>
      <c r="P7" s="3248"/>
      <c r="Q7" s="3248"/>
      <c r="R7" s="3258"/>
      <c r="S7" s="3249"/>
      <c r="T7" s="3249"/>
      <c r="U7" s="3249"/>
      <c r="V7" s="3249"/>
    </row>
    <row r="8">
      <c r="A8" s="3242"/>
      <c r="B8" s="3242"/>
      <c r="C8" s="3251"/>
      <c r="G8" s="3252"/>
      <c r="H8" s="3266">
        <v>44379.84708511574</v>
      </c>
      <c r="I8" s="3244"/>
      <c r="J8" s="3245"/>
      <c r="K8" s="3262"/>
      <c r="L8" s="3263"/>
      <c r="M8" s="3263"/>
      <c r="N8" s="3248"/>
      <c r="O8" s="3248"/>
      <c r="P8" s="3248"/>
      <c r="Q8" s="3248"/>
      <c r="R8" s="3258"/>
      <c r="S8" s="3249"/>
      <c r="T8" s="3249"/>
      <c r="U8" s="3249"/>
      <c r="V8" s="3249"/>
    </row>
    <row r="9">
      <c r="A9" s="3242"/>
      <c r="B9" s="3242"/>
      <c r="C9" s="3251"/>
      <c r="G9" s="3252"/>
      <c r="H9" s="3253"/>
      <c r="I9" s="3254"/>
      <c r="J9" s="3255"/>
      <c r="K9" s="3249"/>
      <c r="L9" s="3248"/>
      <c r="M9" s="3248"/>
      <c r="N9" s="3248"/>
      <c r="O9" s="3248"/>
      <c r="P9" s="3248"/>
      <c r="Q9" s="3248"/>
      <c r="R9" s="3258"/>
      <c r="S9" s="3249"/>
      <c r="T9" s="3249"/>
      <c r="U9" s="3249"/>
      <c r="V9" s="3249"/>
    </row>
    <row r="10">
      <c r="A10" s="3267"/>
      <c r="B10" s="3242"/>
      <c r="C10" s="3251"/>
      <c r="G10" s="3252"/>
      <c r="H10" s="3268"/>
      <c r="I10" s="3268"/>
      <c r="J10" s="3249"/>
      <c r="K10" s="3249"/>
      <c r="L10" s="3248"/>
      <c r="M10" s="3248"/>
      <c r="N10" s="3248"/>
      <c r="O10" s="3248"/>
      <c r="P10" s="3248"/>
      <c r="Q10" s="3248"/>
      <c r="R10" s="3258"/>
      <c r="S10" s="3249"/>
      <c r="T10" s="3249"/>
      <c r="U10" s="3249"/>
      <c r="V10" s="3249"/>
    </row>
    <row r="11">
      <c r="A11" s="3269"/>
      <c r="B11" s="3242"/>
      <c r="C11" s="3251"/>
      <c r="G11" s="3252"/>
      <c r="H11" s="3260"/>
      <c r="I11" s="3260"/>
      <c r="J11" s="3249"/>
      <c r="K11" s="3249"/>
      <c r="L11" s="3248"/>
      <c r="M11" s="3248"/>
      <c r="N11" s="3248"/>
      <c r="O11" s="3248"/>
      <c r="P11" s="3248"/>
      <c r="Q11" s="3248"/>
      <c r="R11" s="3258"/>
      <c r="S11" s="3249"/>
      <c r="T11" s="3249"/>
      <c r="U11" s="3249"/>
      <c r="V11" s="3249"/>
    </row>
    <row r="12">
      <c r="A12" s="3260"/>
      <c r="B12" s="3242"/>
      <c r="C12" s="3253"/>
      <c r="D12" s="3254"/>
      <c r="E12" s="3254"/>
      <c r="F12" s="3254"/>
      <c r="G12" s="3255"/>
      <c r="H12" s="3270"/>
      <c r="I12" s="3270"/>
      <c r="J12" s="3242"/>
      <c r="K12" s="3242"/>
      <c r="L12" s="3248"/>
      <c r="M12" s="3248"/>
      <c r="N12" s="3248"/>
      <c r="O12" s="3248"/>
      <c r="P12" s="3248"/>
      <c r="Q12" s="3248"/>
      <c r="R12" s="3258"/>
      <c r="S12" s="3249"/>
      <c r="T12" s="3249"/>
      <c r="U12" s="3249"/>
      <c r="V12" s="324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INDEX('行動フレーム・能力値'!$C$2:$AD$81, MATCH($A$1,'行動フレーム・能力値'!$A$2:$A$95,0), MATCH(A17,'行動フレーム・能力値'!$C$1:$AD$1,0))&amp;"回"</f>
        <v>3回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106 [19th]</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36F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1.68 [81st]</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INDEX('行動フレーム・能力値'!$C$2:$AD$81, MATCH($A$1,'行動フレーム・能力値'!$A$2:$A$95,0),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1.06 [52nd]</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44F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 [40th]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29.8 [72nd]</v>
      </c>
      <c r="O18" s="99"/>
      <c r="P18" s="99"/>
      <c r="Q18" s="99"/>
      <c r="R18" s="99"/>
      <c r="S18" s="111"/>
      <c r="T18" s="111"/>
      <c r="U18" s="111"/>
      <c r="V18" s="111"/>
    </row>
    <row r="19" outlineLevel="1">
      <c r="A19" s="112" t="s">
        <v>5288</v>
      </c>
      <c r="B19" s="113" t="b">
        <f t="array" ref="B19">INDEX('行動フレーム・能力値'!$C$2:$AD$81,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2.18 [12th]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25F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0.076 [88th]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17.8 [15th]</v>
      </c>
      <c r="O19" s="99"/>
      <c r="P19" s="99"/>
      <c r="Q19" s="99"/>
      <c r="R19" s="99"/>
      <c r="S19" s="111"/>
      <c r="T19" s="111"/>
      <c r="U19" s="111"/>
      <c r="V19" s="111"/>
    </row>
    <row r="20" outlineLevel="1">
      <c r="A20" s="112" t="s">
        <v>5292</v>
      </c>
      <c r="B20" s="113" t="b">
        <f t="array" ref="B20">INDEX('行動フレーム・能力値'!$C$2:$AD$81,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0.92 [78th]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31F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 [49th]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32 [55th]</v>
      </c>
      <c r="O20" s="99"/>
      <c r="P20" s="99"/>
      <c r="Q20" s="99"/>
      <c r="R20" s="99"/>
      <c r="S20" s="100"/>
      <c r="T20" s="100"/>
      <c r="U20" s="100"/>
      <c r="V20" s="100"/>
    </row>
    <row r="21" outlineLevel="1">
      <c r="A21" s="112" t="s">
        <v>587</v>
      </c>
      <c r="B21" s="113" t="b">
        <f t="array" ref="B21">INDEX('行動フレーム・能力値'!$C$2:$AD$81,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1.76 [22nd]</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0.014 [30th]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2.816 [22nd]</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0.11 [23rd]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270</v>
      </c>
      <c r="D26" s="701" t="s">
        <v>105</v>
      </c>
      <c r="E26" s="139" t="s">
        <v>58</v>
      </c>
      <c r="F26" s="138">
        <v>2.64</v>
      </c>
      <c r="G26" s="139" t="s">
        <v>60</v>
      </c>
      <c r="H26" s="151" t="s">
        <v>5598</v>
      </c>
      <c r="I26" s="110"/>
      <c r="J26" s="109"/>
      <c r="K26" s="282"/>
      <c r="L26" s="282"/>
      <c r="M26" s="363"/>
      <c r="N26" s="363"/>
      <c r="O26" s="145">
        <v>0.0</v>
      </c>
      <c r="P26" s="145">
        <v>1.0</v>
      </c>
      <c r="Q26" s="145">
        <v>1.0</v>
      </c>
      <c r="R26" s="100"/>
      <c r="S26" s="100"/>
      <c r="T26" s="100"/>
      <c r="U26" s="145" t="s">
        <v>69</v>
      </c>
      <c r="V26" s="100"/>
    </row>
    <row r="27" outlineLevel="1">
      <c r="A27" s="146"/>
      <c r="B27" s="147" t="s">
        <v>63</v>
      </c>
      <c r="C27" s="467" t="s">
        <v>270</v>
      </c>
      <c r="D27" s="467" t="s">
        <v>268</v>
      </c>
      <c r="E27" s="216" t="s">
        <v>58</v>
      </c>
      <c r="F27" s="138">
        <v>2.64</v>
      </c>
      <c r="G27" s="216" t="s">
        <v>60</v>
      </c>
      <c r="H27" s="151" t="s">
        <v>5599</v>
      </c>
      <c r="I27" s="110"/>
      <c r="J27" s="109"/>
      <c r="K27" s="282"/>
      <c r="L27" s="282"/>
      <c r="M27" s="363"/>
      <c r="N27" s="363"/>
      <c r="O27" s="145">
        <v>0.0</v>
      </c>
      <c r="P27" s="145">
        <v>1.0</v>
      </c>
      <c r="Q27" s="145">
        <v>1.0</v>
      </c>
      <c r="R27" s="100"/>
      <c r="S27" s="100"/>
      <c r="T27" s="100"/>
      <c r="U27" s="145" t="s">
        <v>76</v>
      </c>
      <c r="V27" s="100"/>
    </row>
    <row r="28" outlineLevel="1">
      <c r="A28" s="146"/>
      <c r="B28" s="147" t="s">
        <v>70</v>
      </c>
      <c r="C28" s="467" t="s">
        <v>91</v>
      </c>
      <c r="D28" s="467" t="s">
        <v>271</v>
      </c>
      <c r="E28" s="216" t="s">
        <v>2143</v>
      </c>
      <c r="F28" s="138">
        <v>4.56</v>
      </c>
      <c r="G28" s="216" t="s">
        <v>75</v>
      </c>
      <c r="H28" s="151"/>
      <c r="I28" s="110"/>
      <c r="J28" s="109"/>
      <c r="K28" s="282"/>
      <c r="L28" s="282"/>
      <c r="M28" s="363"/>
      <c r="N28" s="363"/>
      <c r="O28" s="145">
        <v>0.0</v>
      </c>
      <c r="P28" s="145">
        <v>1.0</v>
      </c>
      <c r="Q28" s="145">
        <v>1.0</v>
      </c>
      <c r="R28" s="100"/>
      <c r="S28" s="100"/>
      <c r="T28" s="100"/>
      <c r="U28" s="145" t="s">
        <v>76</v>
      </c>
      <c r="V28" s="100"/>
    </row>
    <row r="29" outlineLevel="1">
      <c r="A29" s="146"/>
      <c r="B29" s="147" t="s">
        <v>703</v>
      </c>
      <c r="C29" s="659"/>
      <c r="D29" s="467" t="s">
        <v>204</v>
      </c>
      <c r="E29" s="659"/>
      <c r="F29" s="658"/>
      <c r="G29" s="659"/>
      <c r="H29" s="151"/>
      <c r="I29" s="110"/>
      <c r="J29" s="109"/>
      <c r="K29" s="261"/>
      <c r="L29" s="261"/>
      <c r="M29" s="261"/>
      <c r="N29" s="261"/>
      <c r="O29" s="261"/>
      <c r="P29" s="261"/>
      <c r="Q29" s="261"/>
      <c r="R29" s="100"/>
      <c r="S29" s="100"/>
      <c r="T29" s="100"/>
      <c r="U29" s="145" t="s">
        <v>76</v>
      </c>
      <c r="V29" s="100"/>
    </row>
    <row r="30" outlineLevel="1">
      <c r="A30" s="146"/>
      <c r="B30" s="147" t="s">
        <v>704</v>
      </c>
      <c r="C30" s="467" t="s">
        <v>5600</v>
      </c>
      <c r="D30" s="467" t="s">
        <v>153</v>
      </c>
      <c r="E30" s="467" t="s">
        <v>3647</v>
      </c>
      <c r="F30" s="138">
        <v>0.48</v>
      </c>
      <c r="G30" s="450" t="s">
        <v>60</v>
      </c>
      <c r="H30" s="151" t="s">
        <v>5601</v>
      </c>
      <c r="I30" s="110"/>
      <c r="J30" s="109"/>
      <c r="K30" s="282"/>
      <c r="L30" s="282"/>
      <c r="M30" s="363"/>
      <c r="N30" s="363"/>
      <c r="O30" s="145">
        <v>0.0</v>
      </c>
      <c r="P30" s="145">
        <v>1.0</v>
      </c>
      <c r="Q30" s="145">
        <v>1.0</v>
      </c>
      <c r="R30" s="100"/>
      <c r="S30" s="100"/>
      <c r="T30" s="100"/>
      <c r="U30" s="145" t="s">
        <v>76</v>
      </c>
      <c r="V30" s="100"/>
    </row>
    <row r="31" outlineLevel="1">
      <c r="A31" s="156"/>
      <c r="B31" s="147" t="s">
        <v>708</v>
      </c>
      <c r="C31" s="467" t="s">
        <v>319</v>
      </c>
      <c r="D31" s="467" t="s">
        <v>384</v>
      </c>
      <c r="E31" s="467" t="s">
        <v>381</v>
      </c>
      <c r="F31" s="138">
        <v>1.92</v>
      </c>
      <c r="G31" s="467" t="s">
        <v>60</v>
      </c>
      <c r="H31" s="151"/>
      <c r="I31" s="110"/>
      <c r="J31" s="109"/>
      <c r="K31" s="282"/>
      <c r="L31" s="282"/>
      <c r="M31" s="363"/>
      <c r="N31" s="363"/>
      <c r="O31" s="145">
        <v>0.0</v>
      </c>
      <c r="P31" s="145">
        <v>1.0</v>
      </c>
      <c r="Q31" s="145">
        <v>1.0</v>
      </c>
      <c r="R31" s="100"/>
      <c r="S31" s="100"/>
      <c r="T31" s="100"/>
      <c r="U31" s="145" t="s">
        <v>76</v>
      </c>
      <c r="V31" s="100"/>
    </row>
    <row r="32" outlineLevel="1">
      <c r="A32" s="133" t="s">
        <v>77</v>
      </c>
      <c r="B32" s="160"/>
      <c r="C32" s="467" t="s">
        <v>272</v>
      </c>
      <c r="D32" s="455" t="s">
        <v>224</v>
      </c>
      <c r="E32" s="467" t="s">
        <v>129</v>
      </c>
      <c r="F32" s="138">
        <v>14.399999999999999</v>
      </c>
      <c r="G32" s="467" t="s">
        <v>88</v>
      </c>
      <c r="H32" s="163"/>
      <c r="I32" s="164"/>
      <c r="J32" s="104"/>
      <c r="K32" s="282"/>
      <c r="L32" s="282"/>
      <c r="M32" s="363"/>
      <c r="N32" s="363"/>
      <c r="O32" s="145">
        <v>0.0</v>
      </c>
      <c r="P32" s="145">
        <v>1.0</v>
      </c>
      <c r="Q32" s="145">
        <v>1.0</v>
      </c>
      <c r="R32" s="100"/>
      <c r="S32" s="100"/>
      <c r="T32" s="100"/>
      <c r="U32" s="166" t="s">
        <v>69</v>
      </c>
      <c r="V32" s="100"/>
    </row>
    <row r="33" outlineLevel="1">
      <c r="A33" s="156"/>
      <c r="B33" s="147" t="s">
        <v>84</v>
      </c>
      <c r="C33" s="467" t="s">
        <v>629</v>
      </c>
      <c r="D33" s="107"/>
      <c r="E33" s="467" t="s">
        <v>80</v>
      </c>
      <c r="F33" s="138">
        <v>9.6</v>
      </c>
      <c r="G33" s="467" t="s">
        <v>123</v>
      </c>
      <c r="H33" s="106"/>
      <c r="I33" s="168"/>
      <c r="J33" s="107"/>
      <c r="K33" s="282"/>
      <c r="L33" s="282"/>
      <c r="M33" s="363"/>
      <c r="N33" s="363"/>
      <c r="O33" s="145">
        <v>0.0</v>
      </c>
      <c r="P33" s="145">
        <v>1.0</v>
      </c>
      <c r="Q33" s="145">
        <v>1.0</v>
      </c>
      <c r="R33" s="100"/>
      <c r="S33" s="100"/>
      <c r="T33" s="100"/>
      <c r="U33" s="156"/>
      <c r="V33" s="100"/>
    </row>
    <row r="34" outlineLevel="1">
      <c r="A34" s="170" t="s">
        <v>89</v>
      </c>
      <c r="B34" s="147" t="s">
        <v>90</v>
      </c>
      <c r="C34" s="467" t="s">
        <v>277</v>
      </c>
      <c r="D34" s="467" t="s">
        <v>593</v>
      </c>
      <c r="E34" s="467" t="s">
        <v>1031</v>
      </c>
      <c r="F34" s="138" t="s">
        <v>1032</v>
      </c>
      <c r="G34" s="467" t="s">
        <v>4107</v>
      </c>
      <c r="H34" s="151"/>
      <c r="I34" s="110"/>
      <c r="J34" s="109"/>
      <c r="K34" s="282"/>
      <c r="L34" s="282"/>
      <c r="M34" s="363"/>
      <c r="N34" s="363"/>
      <c r="O34" s="145">
        <v>0.0</v>
      </c>
      <c r="P34" s="145">
        <v>1.0</v>
      </c>
      <c r="Q34" s="145">
        <v>1.0</v>
      </c>
      <c r="R34" s="100"/>
      <c r="S34" s="100"/>
      <c r="T34" s="100"/>
      <c r="U34" s="145" t="s">
        <v>96</v>
      </c>
      <c r="V34" s="100"/>
    </row>
    <row r="35" outlineLevel="1">
      <c r="A35" s="170" t="s">
        <v>97</v>
      </c>
      <c r="B35" s="160"/>
      <c r="C35" s="467" t="s">
        <v>580</v>
      </c>
      <c r="D35" s="467" t="s">
        <v>271</v>
      </c>
      <c r="E35" s="467" t="s">
        <v>128</v>
      </c>
      <c r="F35" s="138">
        <v>12.0</v>
      </c>
      <c r="G35" s="467" t="s">
        <v>121</v>
      </c>
      <c r="H35" s="151" t="s">
        <v>5602</v>
      </c>
      <c r="I35" s="110"/>
      <c r="J35" s="109"/>
      <c r="K35" s="282"/>
      <c r="L35" s="282"/>
      <c r="M35" s="363"/>
      <c r="N35" s="363"/>
      <c r="O35" s="145">
        <v>0.0</v>
      </c>
      <c r="P35" s="145">
        <v>1.0</v>
      </c>
      <c r="Q35" s="145">
        <v>1.0</v>
      </c>
      <c r="R35" s="100"/>
      <c r="S35" s="100"/>
      <c r="T35" s="100"/>
      <c r="U35" s="145" t="s">
        <v>62</v>
      </c>
      <c r="V35" s="100"/>
    </row>
    <row r="36" outlineLevel="1">
      <c r="A36" s="133" t="s">
        <v>103</v>
      </c>
      <c r="B36" s="160"/>
      <c r="C36" s="467" t="s">
        <v>1378</v>
      </c>
      <c r="D36" s="455" t="s">
        <v>79</v>
      </c>
      <c r="E36" s="467" t="s">
        <v>3055</v>
      </c>
      <c r="F36" s="138" t="s">
        <v>3056</v>
      </c>
      <c r="G36" s="467" t="s">
        <v>1960</v>
      </c>
      <c r="H36" s="163"/>
      <c r="I36" s="164"/>
      <c r="J36" s="104"/>
      <c r="K36" s="145"/>
      <c r="L36" s="363"/>
      <c r="M36" s="363"/>
      <c r="N36" s="363"/>
      <c r="O36" s="145">
        <v>0.0</v>
      </c>
      <c r="P36" s="145">
        <v>1.0</v>
      </c>
      <c r="Q36" s="145">
        <v>1.0</v>
      </c>
      <c r="R36" s="100"/>
      <c r="S36" s="100"/>
      <c r="T36" s="100"/>
      <c r="U36" s="166" t="s">
        <v>69</v>
      </c>
      <c r="V36" s="100"/>
    </row>
    <row r="37" outlineLevel="1">
      <c r="A37" s="156"/>
      <c r="B37" s="147" t="s">
        <v>84</v>
      </c>
      <c r="C37" s="467" t="s">
        <v>2670</v>
      </c>
      <c r="D37" s="107"/>
      <c r="E37" s="467" t="s">
        <v>5603</v>
      </c>
      <c r="F37" s="138" t="s">
        <v>5604</v>
      </c>
      <c r="G37" s="467" t="s">
        <v>1756</v>
      </c>
      <c r="H37" s="106"/>
      <c r="I37" s="168"/>
      <c r="J37" s="107"/>
      <c r="K37" s="145"/>
      <c r="L37" s="363"/>
      <c r="M37" s="363"/>
      <c r="N37" s="363"/>
      <c r="O37" s="145"/>
      <c r="P37" s="145"/>
      <c r="Q37" s="145"/>
      <c r="R37" s="100"/>
      <c r="S37" s="100"/>
      <c r="T37" s="100"/>
      <c r="U37" s="156"/>
      <c r="V37" s="100"/>
    </row>
    <row r="38" outlineLevel="1">
      <c r="A38" s="170" t="s">
        <v>109</v>
      </c>
      <c r="B38" s="147"/>
      <c r="C38" s="467" t="s">
        <v>378</v>
      </c>
      <c r="D38" s="467" t="s">
        <v>634</v>
      </c>
      <c r="E38" s="467" t="s">
        <v>153</v>
      </c>
      <c r="F38" s="138">
        <v>19.2</v>
      </c>
      <c r="G38" s="467" t="s">
        <v>88</v>
      </c>
      <c r="H38" s="151" t="s">
        <v>1946</v>
      </c>
      <c r="I38" s="110"/>
      <c r="J38" s="109"/>
      <c r="K38" s="282"/>
      <c r="L38" s="282"/>
      <c r="M38" s="363"/>
      <c r="N38" s="363"/>
      <c r="O38" s="145">
        <v>0.0</v>
      </c>
      <c r="P38" s="145">
        <v>1.0</v>
      </c>
      <c r="Q38" s="145">
        <v>1.0</v>
      </c>
      <c r="R38" s="100"/>
      <c r="S38" s="100"/>
      <c r="T38" s="100"/>
      <c r="U38" s="145" t="s">
        <v>88</v>
      </c>
      <c r="V38" s="100"/>
    </row>
    <row r="39" outlineLevel="1">
      <c r="A39" s="133" t="s">
        <v>116</v>
      </c>
      <c r="B39" s="147" t="s">
        <v>4197</v>
      </c>
      <c r="C39" s="467" t="s">
        <v>220</v>
      </c>
      <c r="D39" s="455" t="s">
        <v>901</v>
      </c>
      <c r="E39" s="467" t="s">
        <v>213</v>
      </c>
      <c r="F39" s="138">
        <v>1.2</v>
      </c>
      <c r="G39" s="467" t="s">
        <v>170</v>
      </c>
      <c r="H39" s="163" t="s">
        <v>560</v>
      </c>
      <c r="I39" s="164"/>
      <c r="J39" s="104"/>
      <c r="K39" s="363"/>
      <c r="L39" s="363"/>
      <c r="M39" s="363"/>
      <c r="N39" s="363"/>
      <c r="O39" s="145">
        <v>0.0</v>
      </c>
      <c r="P39" s="145">
        <v>1.0</v>
      </c>
      <c r="Q39" s="145">
        <v>1.0</v>
      </c>
      <c r="R39" s="100"/>
      <c r="S39" s="100"/>
      <c r="T39" s="100"/>
      <c r="U39" s="166" t="s">
        <v>123</v>
      </c>
      <c r="V39" s="100"/>
    </row>
    <row r="40" outlineLevel="1">
      <c r="A40" s="146"/>
      <c r="B40" s="147" t="s">
        <v>199</v>
      </c>
      <c r="C40" s="216" t="s">
        <v>5605</v>
      </c>
      <c r="D40" s="210"/>
      <c r="E40" s="467" t="s">
        <v>1024</v>
      </c>
      <c r="F40" s="138">
        <v>1.7999999999999998</v>
      </c>
      <c r="G40" s="467" t="s">
        <v>170</v>
      </c>
      <c r="H40" s="212"/>
      <c r="J40" s="210"/>
      <c r="K40" s="363"/>
      <c r="L40" s="363"/>
      <c r="M40" s="363"/>
      <c r="N40" s="363"/>
      <c r="O40" s="145"/>
      <c r="P40" s="145"/>
      <c r="Q40" s="145"/>
      <c r="R40" s="100"/>
      <c r="S40" s="100"/>
      <c r="T40" s="100"/>
      <c r="U40" s="146"/>
      <c r="V40" s="100"/>
    </row>
    <row r="41" outlineLevel="1">
      <c r="A41" s="156"/>
      <c r="B41" s="147" t="s">
        <v>202</v>
      </c>
      <c r="C41" s="216" t="s">
        <v>522</v>
      </c>
      <c r="D41" s="107"/>
      <c r="E41" s="467" t="s">
        <v>910</v>
      </c>
      <c r="F41" s="138">
        <v>4.32</v>
      </c>
      <c r="G41" s="467" t="s">
        <v>147</v>
      </c>
      <c r="H41" s="106"/>
      <c r="I41" s="168"/>
      <c r="J41" s="107"/>
      <c r="K41" s="363"/>
      <c r="L41" s="363"/>
      <c r="M41" s="363"/>
      <c r="N41" s="363"/>
      <c r="O41" s="145">
        <v>0.0</v>
      </c>
      <c r="P41" s="145">
        <v>1.0</v>
      </c>
      <c r="Q41" s="145">
        <v>1.0</v>
      </c>
      <c r="R41" s="100"/>
      <c r="S41" s="100"/>
      <c r="T41" s="100"/>
      <c r="U41" s="156"/>
      <c r="V41" s="100"/>
    </row>
    <row r="42" outlineLevel="1">
      <c r="A42" s="170" t="s">
        <v>124</v>
      </c>
      <c r="B42" s="147"/>
      <c r="C42" s="216" t="s">
        <v>1734</v>
      </c>
      <c r="D42" s="467" t="s">
        <v>374</v>
      </c>
      <c r="E42" s="467" t="s">
        <v>386</v>
      </c>
      <c r="F42" s="138">
        <f>IFERROR(IFS(E42="-","-",LEN(E42)-LEN(SUBSTITUTE(E42,"/",""))=0,MULTIPLY(E42,1.2),LEN(E42)-LEN(SUBSTITUTE(E42,"/",""))=1,MULTIPLY(LEFT(E42,FIND("/",E42)-1),1.2)&amp;"/"&amp;MULTIPLY(MID(E42,FIND("/",E42)+1,10),1.2),LEN(E42)-LEN(SUBSTITUTE(E42,"/",""))=2,MULTIPLY(LEFT(E42,FIND("!",SUBSTITUTE(E42,"/","!",1))-1),1.2)&amp;"/"&amp;MULTIPLY(MID(E42,FIND("!",SUBSTITUTE(E42,"/","!",1))+1,FIND("!",SUBSTITUTE(E42,"/","!",2))-FIND("!",SUBSTITUTE(E42,"/","!",1))-1),1.2)&amp;"/"&amp;MULTIPLY(RIGHT(E42,LEN(E42)-FIND("!",SUBSTITUTE(E42,"/","!",2))),1.2),LEN(E42)-LEN(SUBSTITUTE(E42,"/",""))=3,MULTIPLY(LEFT(E42,FIND("!",SUBSTITUTE(E42,"/","!",1))-1),1.2)&amp;"/"&amp;MULTIPLY(MID(E42,FIND("!",SUBSTITUTE(E42,"/","!",1))+1,FIND("!",SUBSTITUTE(E42,"/","!",2))-FIND("!",SUBSTITUTE(E42,"/","!",1))-1),1.2)&amp;"/"&amp;MULTIPLY(MID(E42,FIND("!",SUBSTITUTE(E42,"/","!",2))+1,FIND("!",SUBSTITUTE(E42,"/","!",3))-FIND("!",SUBSTITUTE(E42,"/","!",2))-1),1.2)&amp;"/"&amp;MULTIPLY(RIGHT(E42,LEN(E42)-FIND("!",SUBSTITUTE(E42,"/","!",3))),1.2),LEN(E42)-LEN(SUBSTITUTE(E42,"/",""))=4,MULTIPLY(LEFT(E42,FIND("!",SUBSTITUTE(E42,"/","!",1))-1),1.2)&amp;"/"&amp;MULTIPLY(MID(E42,FIND("!",SUBSTITUTE(E42,"/","!",1))+1,FIND("!",SUBSTITUTE(E42,"/","!",2))-FIND("!",SUBSTITUTE(E42,"/","!",1))-1),1.2)&amp;"/"&amp;MULTIPLY(MID(E42,FIND("!",SUBSTITUTE(E42,"/","!",2))+1,FIND("!",SUBSTITUTE(E42,"/","!",3))-FIND("!",SUBSTITUTE(E42,"/","!",2))-1),1.2)&amp;"/"&amp;MULTIPLY(MID(E42,FIND("!",SUBSTITUTE(E42,"/","!",3))+1,FIND("!",SUBSTITUTE(E42,"/","!",4))-FIND("!",SUBSTITUTE(E42,"/","!",3))-1),1.2)&amp;"/"&amp;MULTIPLY(RIGHT(E42,LEN(E42)-FIND("!",SUBSTITUTE(E42,"/","!",4))),1.2)),"")</f>
        <v>18</v>
      </c>
      <c r="G42" s="467" t="s">
        <v>121</v>
      </c>
      <c r="H42" s="151" t="s">
        <v>130</v>
      </c>
      <c r="I42" s="110"/>
      <c r="J42" s="109"/>
      <c r="K42" s="282"/>
      <c r="L42" s="282"/>
      <c r="M42" s="363"/>
      <c r="N42" s="363"/>
      <c r="O42" s="145">
        <v>0.0</v>
      </c>
      <c r="P42" s="145">
        <v>1.0</v>
      </c>
      <c r="Q42" s="145">
        <v>1.0</v>
      </c>
      <c r="R42" s="100"/>
      <c r="S42" s="100"/>
      <c r="T42" s="100"/>
      <c r="U42" s="145" t="s">
        <v>62</v>
      </c>
      <c r="V42" s="100"/>
    </row>
    <row r="43">
      <c r="A43" s="118"/>
      <c r="B43" s="176"/>
      <c r="C43" s="118"/>
      <c r="D43" s="118"/>
      <c r="E43" s="118"/>
      <c r="F43" s="177"/>
      <c r="G43" s="177"/>
      <c r="H43" s="118"/>
      <c r="I43" s="118"/>
      <c r="J43" s="118"/>
      <c r="K43" s="118"/>
      <c r="L43" s="118"/>
      <c r="M43" s="118"/>
      <c r="N43" s="118"/>
      <c r="O43" s="118"/>
      <c r="P43" s="118"/>
      <c r="Q43" s="118"/>
      <c r="R43" s="118"/>
      <c r="S43" s="118"/>
      <c r="T43" s="118"/>
      <c r="U43" s="118"/>
      <c r="V43" s="118"/>
    </row>
    <row r="44">
      <c r="A44" s="178" t="s">
        <v>133</v>
      </c>
      <c r="B44" s="104"/>
      <c r="C44" s="179"/>
      <c r="D44" s="179"/>
      <c r="E44" s="179"/>
      <c r="F44" s="180"/>
      <c r="G44" s="179"/>
      <c r="H44" s="180"/>
      <c r="I44" s="180"/>
      <c r="J44" s="181"/>
      <c r="K44" s="180"/>
      <c r="L44" s="180"/>
      <c r="M44" s="180"/>
      <c r="N44" s="180"/>
      <c r="O44" s="180"/>
      <c r="P44" s="180"/>
      <c r="Q44" s="180"/>
      <c r="R44" s="180"/>
      <c r="S44" s="180"/>
      <c r="T44" s="180"/>
      <c r="U44" s="180"/>
      <c r="V44" s="180"/>
    </row>
    <row r="45" outlineLevel="1">
      <c r="A45" s="106"/>
      <c r="B45" s="107"/>
      <c r="C45" s="182" t="s">
        <v>48</v>
      </c>
      <c r="D45" s="183" t="s">
        <v>49</v>
      </c>
      <c r="E45" s="182" t="s">
        <v>50</v>
      </c>
      <c r="F45" s="184" t="s">
        <v>51</v>
      </c>
      <c r="G45" s="184" t="s">
        <v>134</v>
      </c>
      <c r="H45" s="185" t="s">
        <v>52</v>
      </c>
      <c r="I45" s="184" t="s">
        <v>135</v>
      </c>
      <c r="J45" s="186" t="s">
        <v>136</v>
      </c>
      <c r="K45" s="184" t="s">
        <v>137</v>
      </c>
      <c r="L45" s="184" t="s">
        <v>138</v>
      </c>
      <c r="M45" s="184" t="s">
        <v>139</v>
      </c>
      <c r="N45" s="184" t="s">
        <v>140</v>
      </c>
      <c r="O45" s="186" t="s">
        <v>141</v>
      </c>
      <c r="P45" s="184" t="s">
        <v>142</v>
      </c>
      <c r="Q45" s="186" t="s">
        <v>143</v>
      </c>
      <c r="R45" s="372" t="s">
        <v>53</v>
      </c>
      <c r="S45" s="110"/>
      <c r="T45" s="110"/>
      <c r="U45" s="110"/>
      <c r="V45" s="109"/>
    </row>
    <row r="46" outlineLevel="1">
      <c r="A46" s="188" t="s">
        <v>144</v>
      </c>
      <c r="B46" s="373" t="s">
        <v>852</v>
      </c>
      <c r="C46" s="239" t="s">
        <v>5606</v>
      </c>
      <c r="D46" s="455" t="s">
        <v>111</v>
      </c>
      <c r="E46" s="401" t="s">
        <v>1375</v>
      </c>
      <c r="F46" s="193">
        <v>0.96</v>
      </c>
      <c r="G46" s="193">
        <v>0.8160000000000001</v>
      </c>
      <c r="H46" s="138" t="s">
        <v>170</v>
      </c>
      <c r="I46" s="455" t="s">
        <v>153</v>
      </c>
      <c r="J46" s="455" t="s">
        <v>5607</v>
      </c>
      <c r="K46" s="138">
        <v>361.0</v>
      </c>
      <c r="L46" s="282"/>
      <c r="M46" s="363"/>
      <c r="N46" s="363"/>
      <c r="O46" s="145">
        <v>0.0</v>
      </c>
      <c r="P46" s="145">
        <v>1.0</v>
      </c>
      <c r="Q46" s="145">
        <v>1.0</v>
      </c>
      <c r="R46" s="163"/>
      <c r="S46" s="164"/>
      <c r="T46" s="164"/>
      <c r="U46" s="164"/>
      <c r="V46" s="104"/>
    </row>
    <row r="47" outlineLevel="1">
      <c r="A47" s="156"/>
      <c r="B47" s="373" t="s">
        <v>524</v>
      </c>
      <c r="C47" s="239" t="s">
        <v>523</v>
      </c>
      <c r="D47" s="107"/>
      <c r="E47" s="239" t="s">
        <v>4090</v>
      </c>
      <c r="F47" s="138">
        <v>5.04</v>
      </c>
      <c r="G47" s="138">
        <v>4.284000000000001</v>
      </c>
      <c r="H47" s="138" t="s">
        <v>60</v>
      </c>
      <c r="I47" s="107"/>
      <c r="J47" s="107"/>
      <c r="K47" s="138">
        <v>363.0</v>
      </c>
      <c r="L47" s="282"/>
      <c r="M47" s="363"/>
      <c r="N47" s="363"/>
      <c r="O47" s="145">
        <v>0.0</v>
      </c>
      <c r="P47" s="145">
        <v>1.0</v>
      </c>
      <c r="Q47" s="145">
        <v>1.0</v>
      </c>
      <c r="R47" s="106"/>
      <c r="S47" s="168"/>
      <c r="T47" s="168"/>
      <c r="U47" s="168"/>
      <c r="V47" s="107"/>
    </row>
    <row r="48" outlineLevel="1">
      <c r="A48" s="188" t="s">
        <v>151</v>
      </c>
      <c r="B48" s="373"/>
      <c r="C48" s="239" t="s">
        <v>460</v>
      </c>
      <c r="D48" s="455" t="s">
        <v>455</v>
      </c>
      <c r="E48" s="239" t="s">
        <v>386</v>
      </c>
      <c r="F48" s="138">
        <v>18.0</v>
      </c>
      <c r="G48" s="138">
        <v>15.3</v>
      </c>
      <c r="H48" s="138" t="s">
        <v>75</v>
      </c>
      <c r="I48" s="455" t="s">
        <v>232</v>
      </c>
      <c r="J48" s="455" t="s">
        <v>3632</v>
      </c>
      <c r="K48" s="138">
        <v>45.0</v>
      </c>
      <c r="L48" s="282"/>
      <c r="M48" s="363"/>
      <c r="N48" s="363"/>
      <c r="O48" s="145">
        <v>0.0</v>
      </c>
      <c r="P48" s="145">
        <v>1.0</v>
      </c>
      <c r="Q48" s="145">
        <v>1.0</v>
      </c>
      <c r="R48" s="163"/>
      <c r="S48" s="164"/>
      <c r="T48" s="164"/>
      <c r="U48" s="164"/>
      <c r="V48" s="104"/>
    </row>
    <row r="49" outlineLevel="1">
      <c r="A49" s="156"/>
      <c r="B49" s="373" t="s">
        <v>84</v>
      </c>
      <c r="C49" s="239" t="s">
        <v>466</v>
      </c>
      <c r="D49" s="107"/>
      <c r="E49" s="239" t="s">
        <v>129</v>
      </c>
      <c r="F49" s="138">
        <v>14.399999999999999</v>
      </c>
      <c r="G49" s="138">
        <v>12.24</v>
      </c>
      <c r="H49" s="138" t="s">
        <v>75</v>
      </c>
      <c r="I49" s="107"/>
      <c r="J49" s="107"/>
      <c r="K49" s="138">
        <v>365.0</v>
      </c>
      <c r="L49" s="282"/>
      <c r="M49" s="363"/>
      <c r="N49" s="363"/>
      <c r="O49" s="145">
        <v>0.0</v>
      </c>
      <c r="P49" s="145">
        <v>1.0</v>
      </c>
      <c r="Q49" s="145">
        <v>1.0</v>
      </c>
      <c r="R49" s="106"/>
      <c r="S49" s="168"/>
      <c r="T49" s="168"/>
      <c r="U49" s="168"/>
      <c r="V49" s="107"/>
    </row>
    <row r="50" outlineLevel="1">
      <c r="A50" s="188" t="s">
        <v>157</v>
      </c>
      <c r="B50" s="373" t="s">
        <v>125</v>
      </c>
      <c r="C50" s="239" t="s">
        <v>518</v>
      </c>
      <c r="D50" s="455" t="s">
        <v>127</v>
      </c>
      <c r="E50" s="239" t="s">
        <v>381</v>
      </c>
      <c r="F50" s="138">
        <v>1.92</v>
      </c>
      <c r="G50" s="138">
        <v>1.6320000000000001</v>
      </c>
      <c r="H50" s="138" t="s">
        <v>170</v>
      </c>
      <c r="I50" s="455" t="s">
        <v>466</v>
      </c>
      <c r="J50" s="455" t="s">
        <v>5608</v>
      </c>
      <c r="K50" s="138">
        <v>57.0</v>
      </c>
      <c r="L50" s="282"/>
      <c r="M50" s="363"/>
      <c r="N50" s="363"/>
      <c r="O50" s="145">
        <v>0.0</v>
      </c>
      <c r="P50" s="145">
        <v>1.0</v>
      </c>
      <c r="Q50" s="145">
        <v>1.0</v>
      </c>
      <c r="R50" s="163"/>
      <c r="S50" s="164"/>
      <c r="T50" s="164"/>
      <c r="U50" s="164"/>
      <c r="V50" s="104"/>
    </row>
    <row r="51" outlineLevel="1">
      <c r="A51" s="146"/>
      <c r="B51" s="373" t="s">
        <v>131</v>
      </c>
      <c r="C51" s="239" t="s">
        <v>373</v>
      </c>
      <c r="D51" s="210"/>
      <c r="E51" s="239" t="s">
        <v>381</v>
      </c>
      <c r="F51" s="138">
        <v>1.92</v>
      </c>
      <c r="G51" s="138">
        <v>1.6320000000000001</v>
      </c>
      <c r="H51" s="138" t="s">
        <v>170</v>
      </c>
      <c r="I51" s="210"/>
      <c r="J51" s="210"/>
      <c r="K51" s="138"/>
      <c r="L51" s="282"/>
      <c r="M51" s="363"/>
      <c r="N51" s="363"/>
      <c r="O51" s="145"/>
      <c r="P51" s="145"/>
      <c r="Q51" s="145"/>
      <c r="R51" s="212"/>
      <c r="V51" s="210"/>
    </row>
    <row r="52" outlineLevel="1">
      <c r="A52" s="156"/>
      <c r="B52" s="373" t="s">
        <v>434</v>
      </c>
      <c r="C52" s="239" t="s">
        <v>454</v>
      </c>
      <c r="D52" s="107"/>
      <c r="E52" s="239" t="s">
        <v>74</v>
      </c>
      <c r="F52" s="138">
        <v>5.76</v>
      </c>
      <c r="G52" s="138">
        <v>4.896</v>
      </c>
      <c r="H52" s="138" t="s">
        <v>60</v>
      </c>
      <c r="I52" s="107"/>
      <c r="J52" s="107"/>
      <c r="K52" s="138">
        <v>241.0</v>
      </c>
      <c r="L52" s="282"/>
      <c r="M52" s="363"/>
      <c r="N52" s="363"/>
      <c r="O52" s="145">
        <v>0.0</v>
      </c>
      <c r="P52" s="145">
        <v>1.0</v>
      </c>
      <c r="Q52" s="145">
        <v>1.0</v>
      </c>
      <c r="R52" s="106"/>
      <c r="S52" s="168"/>
      <c r="T52" s="168"/>
      <c r="U52" s="168"/>
      <c r="V52" s="107"/>
    </row>
    <row r="53" outlineLevel="1">
      <c r="A53" s="188" t="s">
        <v>162</v>
      </c>
      <c r="B53" s="373" t="s">
        <v>125</v>
      </c>
      <c r="C53" s="239" t="s">
        <v>319</v>
      </c>
      <c r="D53" s="455" t="s">
        <v>72</v>
      </c>
      <c r="E53" s="239" t="s">
        <v>381</v>
      </c>
      <c r="F53" s="138">
        <v>1.92</v>
      </c>
      <c r="G53" s="138">
        <v>1.6320000000000001</v>
      </c>
      <c r="H53" s="138" t="s">
        <v>170</v>
      </c>
      <c r="I53" s="455" t="s">
        <v>129</v>
      </c>
      <c r="J53" s="455" t="s">
        <v>5445</v>
      </c>
      <c r="K53" s="282"/>
      <c r="L53" s="282"/>
      <c r="M53" s="363"/>
      <c r="N53" s="363"/>
      <c r="O53" s="145">
        <v>0.0</v>
      </c>
      <c r="P53" s="145">
        <v>1.0</v>
      </c>
      <c r="Q53" s="145">
        <v>1.0</v>
      </c>
      <c r="R53" s="163"/>
      <c r="S53" s="164"/>
      <c r="T53" s="164"/>
      <c r="U53" s="164"/>
      <c r="V53" s="104"/>
    </row>
    <row r="54" outlineLevel="1">
      <c r="A54" s="156"/>
      <c r="B54" s="373" t="s">
        <v>131</v>
      </c>
      <c r="C54" s="239" t="s">
        <v>835</v>
      </c>
      <c r="D54" s="107"/>
      <c r="E54" s="239" t="s">
        <v>5609</v>
      </c>
      <c r="F54" s="138">
        <v>6.96</v>
      </c>
      <c r="G54" s="138">
        <v>5.9159999999999995</v>
      </c>
      <c r="H54" s="138" t="s">
        <v>60</v>
      </c>
      <c r="I54" s="107"/>
      <c r="J54" s="107"/>
      <c r="K54" s="282"/>
      <c r="L54" s="282"/>
      <c r="M54" s="363"/>
      <c r="N54" s="363"/>
      <c r="O54" s="145">
        <v>0.0</v>
      </c>
      <c r="P54" s="145">
        <v>1.0</v>
      </c>
      <c r="Q54" s="145">
        <v>1.0</v>
      </c>
      <c r="R54" s="106"/>
      <c r="S54" s="168"/>
      <c r="T54" s="168"/>
      <c r="U54" s="168"/>
      <c r="V54" s="107"/>
    </row>
    <row r="55" outlineLevel="1">
      <c r="A55" s="188" t="s">
        <v>166</v>
      </c>
      <c r="B55" s="373" t="s">
        <v>155</v>
      </c>
      <c r="C55" s="239" t="s">
        <v>460</v>
      </c>
      <c r="D55" s="455" t="s">
        <v>402</v>
      </c>
      <c r="E55" s="239" t="s">
        <v>128</v>
      </c>
      <c r="F55" s="138">
        <v>12.0</v>
      </c>
      <c r="G55" s="138">
        <v>10.2</v>
      </c>
      <c r="H55" s="138" t="s">
        <v>147</v>
      </c>
      <c r="I55" s="455" t="s">
        <v>105</v>
      </c>
      <c r="J55" s="455" t="s">
        <v>1767</v>
      </c>
      <c r="K55" s="282"/>
      <c r="L55" s="282"/>
      <c r="M55" s="363"/>
      <c r="N55" s="363"/>
      <c r="O55" s="145">
        <v>0.0</v>
      </c>
      <c r="P55" s="145">
        <v>1.0</v>
      </c>
      <c r="Q55" s="145">
        <v>1.0</v>
      </c>
      <c r="R55" s="163"/>
      <c r="S55" s="164"/>
      <c r="T55" s="164"/>
      <c r="U55" s="164"/>
      <c r="V55" s="104"/>
    </row>
    <row r="56" outlineLevel="1">
      <c r="A56" s="146"/>
      <c r="B56" s="373" t="s">
        <v>84</v>
      </c>
      <c r="C56" s="239" t="s">
        <v>5610</v>
      </c>
      <c r="D56" s="210"/>
      <c r="E56" s="239" t="s">
        <v>128</v>
      </c>
      <c r="F56" s="138">
        <v>12.0</v>
      </c>
      <c r="G56" s="138">
        <v>10.2</v>
      </c>
      <c r="H56" s="138" t="s">
        <v>147</v>
      </c>
      <c r="I56" s="210"/>
      <c r="J56" s="210"/>
      <c r="K56" s="282"/>
      <c r="L56" s="282"/>
      <c r="M56" s="363"/>
      <c r="N56" s="363"/>
      <c r="O56" s="145"/>
      <c r="P56" s="145"/>
      <c r="Q56" s="145"/>
      <c r="R56" s="212"/>
      <c r="V56" s="210"/>
    </row>
    <row r="57" outlineLevel="1">
      <c r="A57" s="156"/>
      <c r="B57" s="373" t="s">
        <v>174</v>
      </c>
      <c r="C57" s="239" t="s">
        <v>681</v>
      </c>
      <c r="D57" s="107"/>
      <c r="E57" s="239" t="s">
        <v>176</v>
      </c>
      <c r="F57" s="138">
        <v>2.4</v>
      </c>
      <c r="G57" s="138">
        <v>2.4</v>
      </c>
      <c r="H57" s="138" t="s">
        <v>60</v>
      </c>
      <c r="I57" s="107"/>
      <c r="J57" s="107"/>
      <c r="K57" s="282"/>
      <c r="L57" s="282"/>
      <c r="M57" s="363"/>
      <c r="N57" s="363"/>
      <c r="O57" s="145">
        <v>0.0</v>
      </c>
      <c r="P57" s="145">
        <v>1.0</v>
      </c>
      <c r="Q57" s="145">
        <v>1.0</v>
      </c>
      <c r="R57" s="106"/>
      <c r="S57" s="168"/>
      <c r="T57" s="168"/>
      <c r="U57" s="168"/>
      <c r="V57" s="107"/>
    </row>
    <row r="58">
      <c r="A58" s="223"/>
      <c r="B58" s="224"/>
      <c r="C58" s="225"/>
      <c r="D58" s="225"/>
      <c r="E58" s="226"/>
      <c r="F58" s="226"/>
      <c r="G58" s="226"/>
      <c r="H58" s="227"/>
      <c r="I58" s="227"/>
      <c r="J58" s="228"/>
      <c r="K58" s="228"/>
      <c r="L58" s="228"/>
      <c r="M58" s="228"/>
      <c r="N58" s="228"/>
      <c r="O58" s="228"/>
      <c r="P58" s="228"/>
      <c r="Q58" s="118"/>
      <c r="R58" s="118"/>
      <c r="S58" s="118"/>
      <c r="T58" s="118"/>
      <c r="U58" s="118"/>
      <c r="V58" s="118"/>
    </row>
    <row r="59">
      <c r="A59" s="229" t="s">
        <v>177</v>
      </c>
      <c r="B59" s="109"/>
      <c r="C59" s="225"/>
      <c r="D59" s="225"/>
      <c r="E59" s="226"/>
      <c r="F59" s="226"/>
      <c r="G59" s="226"/>
      <c r="H59" s="227"/>
      <c r="I59" s="227"/>
      <c r="J59" s="228"/>
      <c r="K59" s="228"/>
      <c r="L59" s="228"/>
      <c r="M59" s="228"/>
      <c r="N59" s="228"/>
      <c r="O59" s="228"/>
      <c r="P59" s="228"/>
      <c r="Q59" s="118"/>
      <c r="R59" s="118"/>
      <c r="S59" s="118"/>
      <c r="T59" s="118"/>
      <c r="U59" s="118"/>
      <c r="V59" s="118"/>
    </row>
    <row r="60" outlineLevel="1">
      <c r="A60" s="230" t="s">
        <v>5611</v>
      </c>
      <c r="B60" s="109"/>
      <c r="C60" s="231" t="s">
        <v>48</v>
      </c>
      <c r="D60" s="231" t="s">
        <v>49</v>
      </c>
      <c r="E60" s="232" t="s">
        <v>50</v>
      </c>
      <c r="F60" s="233" t="s">
        <v>51</v>
      </c>
      <c r="G60" s="232" t="s">
        <v>52</v>
      </c>
      <c r="H60" s="382" t="s">
        <v>53</v>
      </c>
      <c r="I60" s="110"/>
      <c r="J60" s="109"/>
      <c r="K60" s="235" t="s">
        <v>137</v>
      </c>
      <c r="L60" s="235" t="s">
        <v>138</v>
      </c>
      <c r="M60" s="235" t="s">
        <v>139</v>
      </c>
      <c r="N60" s="235" t="s">
        <v>140</v>
      </c>
      <c r="O60" s="236" t="s">
        <v>141</v>
      </c>
      <c r="P60" s="235" t="s">
        <v>142</v>
      </c>
      <c r="Q60" s="236" t="s">
        <v>143</v>
      </c>
      <c r="R60" s="235" t="s">
        <v>179</v>
      </c>
      <c r="S60" s="236" t="s">
        <v>180</v>
      </c>
      <c r="T60" s="236" t="s">
        <v>181</v>
      </c>
      <c r="U60" s="236" t="s">
        <v>182</v>
      </c>
      <c r="V60" s="3198" t="s">
        <v>183</v>
      </c>
    </row>
    <row r="61" outlineLevel="1">
      <c r="A61" s="237" t="s">
        <v>5612</v>
      </c>
      <c r="B61" s="243"/>
      <c r="C61" s="239" t="s">
        <v>5613</v>
      </c>
      <c r="D61" s="455" t="s">
        <v>185</v>
      </c>
      <c r="E61" s="239" t="s">
        <v>3034</v>
      </c>
      <c r="F61" s="138">
        <v>6.48</v>
      </c>
      <c r="G61" s="239" t="s">
        <v>60</v>
      </c>
      <c r="H61" s="163" t="s">
        <v>5614</v>
      </c>
      <c r="I61" s="164"/>
      <c r="J61" s="104"/>
      <c r="K61" s="282"/>
      <c r="L61" s="282"/>
      <c r="M61" s="363"/>
      <c r="N61" s="363"/>
      <c r="O61" s="145">
        <v>0.0</v>
      </c>
      <c r="P61" s="145">
        <v>1.0</v>
      </c>
      <c r="Q61" s="145">
        <v>1.0</v>
      </c>
      <c r="R61" s="145" t="b">
        <v>1</v>
      </c>
      <c r="S61" s="145" t="b">
        <v>1</v>
      </c>
      <c r="T61" s="145"/>
      <c r="U61" s="166" t="s">
        <v>186</v>
      </c>
      <c r="V61" s="166" t="b">
        <v>1</v>
      </c>
    </row>
    <row r="62" outlineLevel="1">
      <c r="A62" s="146"/>
      <c r="B62" s="243" t="s">
        <v>187</v>
      </c>
      <c r="C62" s="239" t="s">
        <v>2680</v>
      </c>
      <c r="D62" s="210"/>
      <c r="E62" s="239" t="s">
        <v>3245</v>
      </c>
      <c r="F62" s="138">
        <v>5.52</v>
      </c>
      <c r="G62" s="239" t="s">
        <v>60</v>
      </c>
      <c r="H62" s="212"/>
      <c r="J62" s="210"/>
      <c r="K62" s="282"/>
      <c r="L62" s="282"/>
      <c r="M62" s="363"/>
      <c r="N62" s="363"/>
      <c r="O62" s="145"/>
      <c r="P62" s="145"/>
      <c r="Q62" s="145"/>
      <c r="R62" s="145" t="b">
        <v>0</v>
      </c>
      <c r="S62" s="145" t="b">
        <v>0</v>
      </c>
      <c r="T62" s="145" t="b">
        <v>0</v>
      </c>
      <c r="U62" s="146"/>
      <c r="V62" s="146"/>
    </row>
    <row r="63" outlineLevel="1">
      <c r="A63" s="146"/>
      <c r="B63" s="243" t="s">
        <v>189</v>
      </c>
      <c r="C63" s="239" t="s">
        <v>5615</v>
      </c>
      <c r="D63" s="107"/>
      <c r="E63" s="239" t="s">
        <v>2143</v>
      </c>
      <c r="F63" s="138">
        <v>4.56</v>
      </c>
      <c r="G63" s="239" t="s">
        <v>170</v>
      </c>
      <c r="H63" s="106"/>
      <c r="I63" s="168"/>
      <c r="J63" s="107"/>
      <c r="K63" s="282"/>
      <c r="L63" s="282"/>
      <c r="M63" s="363"/>
      <c r="N63" s="363"/>
      <c r="O63" s="145"/>
      <c r="P63" s="145"/>
      <c r="Q63" s="145"/>
      <c r="R63" s="145" t="b">
        <v>0</v>
      </c>
      <c r="S63" s="145" t="b">
        <v>0</v>
      </c>
      <c r="T63" s="145" t="b">
        <v>0</v>
      </c>
      <c r="U63" s="156"/>
      <c r="V63" s="156"/>
    </row>
    <row r="64" outlineLevel="1">
      <c r="A64" s="237" t="s">
        <v>5616</v>
      </c>
      <c r="B64" s="243" t="s">
        <v>5617</v>
      </c>
      <c r="C64" s="281"/>
      <c r="D64" s="467" t="s">
        <v>593</v>
      </c>
      <c r="E64" s="281"/>
      <c r="F64" s="281"/>
      <c r="G64" s="281"/>
      <c r="H64" s="163" t="s">
        <v>5618</v>
      </c>
      <c r="I64" s="164"/>
      <c r="J64" s="104"/>
      <c r="K64" s="282"/>
      <c r="L64" s="282"/>
      <c r="M64" s="363"/>
      <c r="N64" s="363"/>
      <c r="O64" s="145">
        <v>0.0</v>
      </c>
      <c r="P64" s="145">
        <v>1.0</v>
      </c>
      <c r="Q64" s="145">
        <v>1.0</v>
      </c>
      <c r="R64" s="145" t="b">
        <v>1</v>
      </c>
      <c r="S64" s="145" t="b">
        <v>1</v>
      </c>
      <c r="T64" s="145"/>
      <c r="U64" s="166" t="s">
        <v>3287</v>
      </c>
      <c r="V64" s="166" t="b">
        <v>1</v>
      </c>
    </row>
    <row r="65" outlineLevel="1">
      <c r="A65" s="146"/>
      <c r="B65" s="663" t="s">
        <v>5619</v>
      </c>
      <c r="C65" s="367" t="s">
        <v>5620</v>
      </c>
      <c r="D65" s="455" t="s">
        <v>92</v>
      </c>
      <c r="E65" s="239" t="s">
        <v>1823</v>
      </c>
      <c r="F65" s="138">
        <v>2.88</v>
      </c>
      <c r="G65" s="239" t="s">
        <v>170</v>
      </c>
      <c r="H65" s="212"/>
      <c r="J65" s="210"/>
      <c r="K65" s="282"/>
      <c r="L65" s="282"/>
      <c r="M65" s="363"/>
      <c r="N65" s="363"/>
      <c r="O65" s="145"/>
      <c r="P65" s="145"/>
      <c r="Q65" s="145"/>
      <c r="R65" s="145" t="b">
        <v>0</v>
      </c>
      <c r="S65" s="145" t="b">
        <v>0</v>
      </c>
      <c r="T65" s="145" t="b">
        <v>0</v>
      </c>
      <c r="U65" s="146"/>
      <c r="V65" s="146"/>
    </row>
    <row r="66" outlineLevel="1">
      <c r="A66" s="146"/>
      <c r="B66" s="663" t="s">
        <v>5621</v>
      </c>
      <c r="C66" s="146"/>
      <c r="D66" s="210"/>
      <c r="E66" s="239" t="s">
        <v>381</v>
      </c>
      <c r="F66" s="138">
        <v>1.92</v>
      </c>
      <c r="G66" s="239" t="s">
        <v>170</v>
      </c>
      <c r="H66" s="212"/>
      <c r="J66" s="210"/>
      <c r="K66" s="282"/>
      <c r="L66" s="282"/>
      <c r="M66" s="363"/>
      <c r="N66" s="363"/>
      <c r="O66" s="145"/>
      <c r="P66" s="145"/>
      <c r="Q66" s="145"/>
      <c r="R66" s="145" t="b">
        <v>0</v>
      </c>
      <c r="S66" s="145" t="b">
        <v>0</v>
      </c>
      <c r="T66" s="145" t="b">
        <v>0</v>
      </c>
      <c r="U66" s="146"/>
      <c r="V66" s="146"/>
    </row>
    <row r="67" outlineLevel="1">
      <c r="A67" s="146"/>
      <c r="B67" s="663" t="s">
        <v>5622</v>
      </c>
      <c r="C67" s="156"/>
      <c r="D67" s="107"/>
      <c r="E67" s="239" t="s">
        <v>1375</v>
      </c>
      <c r="F67" s="138">
        <v>0.96</v>
      </c>
      <c r="G67" s="239" t="s">
        <v>170</v>
      </c>
      <c r="H67" s="212"/>
      <c r="J67" s="210"/>
      <c r="K67" s="282"/>
      <c r="L67" s="282"/>
      <c r="M67" s="363"/>
      <c r="N67" s="363"/>
      <c r="O67" s="145"/>
      <c r="P67" s="145"/>
      <c r="Q67" s="145"/>
      <c r="R67" s="145" t="b">
        <v>0</v>
      </c>
      <c r="S67" s="145" t="b">
        <v>0</v>
      </c>
      <c r="T67" s="145" t="b">
        <v>0</v>
      </c>
      <c r="U67" s="146"/>
      <c r="V67" s="146"/>
    </row>
    <row r="68" outlineLevel="1">
      <c r="A68" s="146"/>
      <c r="B68" s="663" t="s">
        <v>2922</v>
      </c>
      <c r="C68" s="281"/>
      <c r="D68" s="467" t="s">
        <v>86</v>
      </c>
      <c r="E68" s="281"/>
      <c r="F68" s="281"/>
      <c r="G68" s="281"/>
      <c r="H68" s="212"/>
      <c r="J68" s="210"/>
      <c r="K68" s="282"/>
      <c r="L68" s="282"/>
      <c r="M68" s="363"/>
      <c r="N68" s="363"/>
      <c r="O68" s="145"/>
      <c r="P68" s="145"/>
      <c r="Q68" s="145"/>
      <c r="R68" s="145" t="b">
        <v>0</v>
      </c>
      <c r="S68" s="145" t="b">
        <v>0</v>
      </c>
      <c r="T68" s="145" t="b">
        <v>0</v>
      </c>
      <c r="U68" s="146"/>
      <c r="V68" s="146"/>
    </row>
    <row r="69" outlineLevel="1">
      <c r="A69" s="146"/>
      <c r="B69" s="663" t="s">
        <v>677</v>
      </c>
      <c r="C69" s="281"/>
      <c r="D69" s="467" t="s">
        <v>232</v>
      </c>
      <c r="E69" s="281"/>
      <c r="F69" s="281"/>
      <c r="G69" s="281"/>
      <c r="H69" s="106"/>
      <c r="I69" s="168"/>
      <c r="J69" s="107"/>
      <c r="K69" s="282"/>
      <c r="L69" s="282"/>
      <c r="M69" s="363"/>
      <c r="N69" s="363"/>
      <c r="O69" s="145">
        <v>0.0</v>
      </c>
      <c r="P69" s="145">
        <v>1.0</v>
      </c>
      <c r="Q69" s="145">
        <v>1.0</v>
      </c>
      <c r="R69" s="145" t="b">
        <v>1</v>
      </c>
      <c r="S69" s="145" t="b">
        <v>1</v>
      </c>
      <c r="T69" s="145"/>
      <c r="U69" s="156"/>
      <c r="V69" s="156"/>
    </row>
    <row r="70" outlineLevel="1">
      <c r="A70" s="230" t="s">
        <v>5623</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3198" t="s">
        <v>183</v>
      </c>
    </row>
    <row r="71" ht="45.0" customHeight="1" outlineLevel="1">
      <c r="A71" s="237" t="s">
        <v>184</v>
      </c>
      <c r="B71" s="243"/>
      <c r="C71" s="239" t="s">
        <v>845</v>
      </c>
      <c r="D71" s="279" t="s">
        <v>4110</v>
      </c>
      <c r="E71" s="239" t="s">
        <v>1114</v>
      </c>
      <c r="F71" s="138">
        <v>26.4</v>
      </c>
      <c r="G71" s="365" t="s">
        <v>121</v>
      </c>
      <c r="H71" s="163" t="s">
        <v>5624</v>
      </c>
      <c r="I71" s="164"/>
      <c r="J71" s="104"/>
      <c r="K71" s="282"/>
      <c r="L71" s="282"/>
      <c r="M71" s="363"/>
      <c r="N71" s="363"/>
      <c r="O71" s="145">
        <v>0.0</v>
      </c>
      <c r="P71" s="145">
        <v>1.0</v>
      </c>
      <c r="Q71" s="145">
        <v>1.0</v>
      </c>
      <c r="R71" s="145" t="b">
        <v>1</v>
      </c>
      <c r="S71" s="145" t="b">
        <v>1</v>
      </c>
      <c r="T71" s="145"/>
      <c r="U71" s="166" t="s">
        <v>186</v>
      </c>
      <c r="V71" s="166" t="b">
        <v>1</v>
      </c>
    </row>
    <row r="72" ht="37.5" customHeight="1" outlineLevel="1">
      <c r="A72" s="146"/>
      <c r="B72" s="243" t="s">
        <v>84</v>
      </c>
      <c r="C72" s="239" t="s">
        <v>5625</v>
      </c>
      <c r="D72" s="156"/>
      <c r="E72" s="239" t="s">
        <v>153</v>
      </c>
      <c r="F72" s="138">
        <v>19.2</v>
      </c>
      <c r="G72" s="365" t="s">
        <v>75</v>
      </c>
      <c r="H72" s="212"/>
      <c r="J72" s="210"/>
      <c r="K72" s="138"/>
      <c r="L72" s="138"/>
      <c r="M72" s="145"/>
      <c r="N72" s="145"/>
      <c r="O72" s="145"/>
      <c r="P72" s="145"/>
      <c r="Q72" s="145"/>
      <c r="R72" s="145" t="b">
        <v>0</v>
      </c>
      <c r="S72" s="145" t="b">
        <v>0</v>
      </c>
      <c r="T72" s="145" t="b">
        <v>0</v>
      </c>
      <c r="U72" s="146"/>
      <c r="V72" s="146"/>
    </row>
    <row r="73" ht="37.5" customHeight="1" outlineLevel="1">
      <c r="A73" s="146"/>
      <c r="B73" s="243" t="s">
        <v>2420</v>
      </c>
      <c r="C73" s="281"/>
      <c r="D73" s="239" t="s">
        <v>374</v>
      </c>
      <c r="E73" s="281"/>
      <c r="F73" s="281"/>
      <c r="G73" s="281"/>
      <c r="H73" s="212"/>
      <c r="J73" s="210"/>
      <c r="K73" s="138"/>
      <c r="L73" s="138"/>
      <c r="M73" s="145"/>
      <c r="N73" s="145"/>
      <c r="O73" s="145"/>
      <c r="P73" s="145"/>
      <c r="Q73" s="145"/>
      <c r="R73" s="145" t="b">
        <v>0</v>
      </c>
      <c r="S73" s="145" t="b">
        <v>0</v>
      </c>
      <c r="T73" s="145" t="b">
        <v>0</v>
      </c>
      <c r="U73" s="146"/>
      <c r="V73" s="146"/>
    </row>
    <row r="74" ht="37.5" customHeight="1" outlineLevel="1">
      <c r="A74" s="146"/>
      <c r="B74" s="243" t="s">
        <v>5626</v>
      </c>
      <c r="C74" s="281"/>
      <c r="D74" s="239" t="s">
        <v>892</v>
      </c>
      <c r="E74" s="281"/>
      <c r="F74" s="281"/>
      <c r="G74" s="281"/>
      <c r="H74" s="212"/>
      <c r="J74" s="210"/>
      <c r="K74" s="138"/>
      <c r="L74" s="138"/>
      <c r="M74" s="145"/>
      <c r="N74" s="145"/>
      <c r="O74" s="145"/>
      <c r="P74" s="145"/>
      <c r="Q74" s="145"/>
      <c r="R74" s="145" t="b">
        <v>0</v>
      </c>
      <c r="S74" s="145" t="b">
        <v>0</v>
      </c>
      <c r="T74" s="145" t="b">
        <v>0</v>
      </c>
      <c r="U74" s="146"/>
      <c r="V74" s="146"/>
    </row>
    <row r="75" ht="37.5" customHeight="1" outlineLevel="1">
      <c r="A75" s="146"/>
      <c r="B75" s="243" t="s">
        <v>5627</v>
      </c>
      <c r="C75" s="281"/>
      <c r="D75" s="239" t="s">
        <v>224</v>
      </c>
      <c r="E75" s="281"/>
      <c r="F75" s="281"/>
      <c r="G75" s="281"/>
      <c r="H75" s="106"/>
      <c r="I75" s="168"/>
      <c r="J75" s="107"/>
      <c r="K75" s="138"/>
      <c r="L75" s="138"/>
      <c r="M75" s="145"/>
      <c r="N75" s="145"/>
      <c r="O75" s="145">
        <v>0.0</v>
      </c>
      <c r="P75" s="145">
        <v>1.0</v>
      </c>
      <c r="Q75" s="145">
        <v>1.0</v>
      </c>
      <c r="R75" s="145" t="b">
        <v>1</v>
      </c>
      <c r="S75" s="145" t="b">
        <v>1</v>
      </c>
      <c r="T75" s="145"/>
      <c r="U75" s="156"/>
      <c r="V75" s="156"/>
    </row>
    <row r="76" outlineLevel="1">
      <c r="A76" s="230" t="s">
        <v>5628</v>
      </c>
      <c r="B76" s="109"/>
      <c r="C76" s="231" t="s">
        <v>48</v>
      </c>
      <c r="D76" s="231" t="s">
        <v>49</v>
      </c>
      <c r="E76" s="232" t="s">
        <v>50</v>
      </c>
      <c r="F76" s="233" t="s">
        <v>51</v>
      </c>
      <c r="G76" s="232"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3198" t="s">
        <v>183</v>
      </c>
    </row>
    <row r="77" outlineLevel="1">
      <c r="A77" s="237" t="s">
        <v>184</v>
      </c>
      <c r="B77" s="402" t="s">
        <v>333</v>
      </c>
      <c r="C77" s="239" t="s">
        <v>5629</v>
      </c>
      <c r="D77" s="239" t="s">
        <v>221</v>
      </c>
      <c r="E77" s="239" t="s">
        <v>204</v>
      </c>
      <c r="F77" s="138">
        <v>3.5999999999999996</v>
      </c>
      <c r="G77" s="239" t="s">
        <v>170</v>
      </c>
      <c r="H77" s="151" t="s">
        <v>5630</v>
      </c>
      <c r="I77" s="110"/>
      <c r="J77" s="109"/>
      <c r="K77" s="138"/>
      <c r="L77" s="138"/>
      <c r="M77" s="145"/>
      <c r="N77" s="145"/>
      <c r="O77" s="145">
        <v>0.0</v>
      </c>
      <c r="P77" s="145">
        <v>1.0</v>
      </c>
      <c r="Q77" s="145">
        <v>1.0</v>
      </c>
      <c r="R77" s="145" t="b">
        <v>1</v>
      </c>
      <c r="S77" s="145" t="b">
        <v>1</v>
      </c>
      <c r="T77" s="145"/>
      <c r="U77" s="145" t="s">
        <v>186</v>
      </c>
      <c r="V77" s="145" t="b">
        <v>1</v>
      </c>
    </row>
    <row r="78" outlineLevel="1">
      <c r="A78" s="230" t="s">
        <v>5631</v>
      </c>
      <c r="B78" s="109"/>
      <c r="C78" s="231" t="s">
        <v>48</v>
      </c>
      <c r="D78" s="231" t="s">
        <v>49</v>
      </c>
      <c r="E78" s="232" t="s">
        <v>50</v>
      </c>
      <c r="F78" s="233" t="s">
        <v>51</v>
      </c>
      <c r="G78" s="232" t="s">
        <v>52</v>
      </c>
      <c r="H78" s="382" t="s">
        <v>53</v>
      </c>
      <c r="I78" s="110"/>
      <c r="J78" s="109"/>
      <c r="K78" s="235" t="s">
        <v>137</v>
      </c>
      <c r="L78" s="235" t="s">
        <v>138</v>
      </c>
      <c r="M78" s="235" t="s">
        <v>139</v>
      </c>
      <c r="N78" s="235" t="s">
        <v>140</v>
      </c>
      <c r="O78" s="236" t="s">
        <v>141</v>
      </c>
      <c r="P78" s="235" t="s">
        <v>142</v>
      </c>
      <c r="Q78" s="236" t="s">
        <v>143</v>
      </c>
      <c r="R78" s="235" t="s">
        <v>179</v>
      </c>
      <c r="S78" s="236" t="s">
        <v>180</v>
      </c>
      <c r="T78" s="236" t="s">
        <v>181</v>
      </c>
      <c r="U78" s="236" t="s">
        <v>182</v>
      </c>
      <c r="V78" s="3198" t="s">
        <v>183</v>
      </c>
    </row>
    <row r="79" outlineLevel="1">
      <c r="A79" s="546" t="s">
        <v>184</v>
      </c>
      <c r="B79" s="402" t="s">
        <v>5632</v>
      </c>
      <c r="C79" s="239" t="s">
        <v>5633</v>
      </c>
      <c r="D79" s="279" t="s">
        <v>393</v>
      </c>
      <c r="E79" s="239" t="s">
        <v>5634</v>
      </c>
      <c r="F79" s="138" t="s">
        <v>5635</v>
      </c>
      <c r="G79" s="239" t="s">
        <v>1483</v>
      </c>
      <c r="H79" s="163" t="s">
        <v>5636</v>
      </c>
      <c r="I79" s="164"/>
      <c r="J79" s="104"/>
      <c r="K79" s="138"/>
      <c r="L79" s="138"/>
      <c r="M79" s="145"/>
      <c r="N79" s="145"/>
      <c r="O79" s="145">
        <v>0.0</v>
      </c>
      <c r="P79" s="145">
        <v>1.0</v>
      </c>
      <c r="Q79" s="145">
        <v>1.0</v>
      </c>
      <c r="R79" s="145" t="b">
        <v>1</v>
      </c>
      <c r="S79" s="145" t="b">
        <v>1</v>
      </c>
      <c r="T79" s="145"/>
      <c r="U79" s="166" t="s">
        <v>186</v>
      </c>
      <c r="V79" s="166" t="b">
        <v>1</v>
      </c>
    </row>
    <row r="80" outlineLevel="1">
      <c r="A80" s="146"/>
      <c r="B80" s="402" t="s">
        <v>5637</v>
      </c>
      <c r="C80" s="239" t="s">
        <v>213</v>
      </c>
      <c r="D80" s="156"/>
      <c r="E80" s="239" t="s">
        <v>1841</v>
      </c>
      <c r="F80" s="138" t="s">
        <v>1842</v>
      </c>
      <c r="G80" s="239" t="s">
        <v>1266</v>
      </c>
      <c r="H80" s="212"/>
      <c r="J80" s="210"/>
      <c r="K80" s="138"/>
      <c r="L80" s="138"/>
      <c r="M80" s="145"/>
      <c r="N80" s="145"/>
      <c r="O80" s="145"/>
      <c r="P80" s="145"/>
      <c r="Q80" s="145"/>
      <c r="R80" s="145" t="b">
        <v>0</v>
      </c>
      <c r="S80" s="145" t="b">
        <v>0</v>
      </c>
      <c r="T80" s="145" t="b">
        <v>0</v>
      </c>
      <c r="U80" s="146"/>
      <c r="V80" s="146"/>
    </row>
    <row r="81" outlineLevel="1">
      <c r="A81" s="156"/>
      <c r="B81" s="402" t="s">
        <v>1482</v>
      </c>
      <c r="C81" s="281"/>
      <c r="D81" s="113" t="s">
        <v>393</v>
      </c>
      <c r="E81" s="281"/>
      <c r="F81" s="281"/>
      <c r="G81" s="281"/>
      <c r="H81" s="106"/>
      <c r="I81" s="168"/>
      <c r="J81" s="107"/>
      <c r="K81" s="138"/>
      <c r="L81" s="138"/>
      <c r="M81" s="145"/>
      <c r="N81" s="145"/>
      <c r="O81" s="145">
        <v>0.0</v>
      </c>
      <c r="P81" s="145">
        <v>1.0</v>
      </c>
      <c r="Q81" s="145">
        <v>1.0</v>
      </c>
      <c r="R81" s="145" t="b">
        <v>1</v>
      </c>
      <c r="S81" s="145" t="b">
        <v>1</v>
      </c>
      <c r="T81" s="145"/>
      <c r="U81" s="156"/>
      <c r="V81" s="156"/>
    </row>
    <row r="82">
      <c r="A82" s="223"/>
      <c r="B82" s="224"/>
      <c r="C82" s="225"/>
      <c r="D82" s="225"/>
      <c r="E82" s="226"/>
      <c r="F82" s="226"/>
      <c r="G82" s="226"/>
      <c r="H82" s="227"/>
      <c r="I82" s="227"/>
      <c r="J82" s="228"/>
      <c r="K82" s="228"/>
      <c r="L82" s="228"/>
      <c r="M82" s="228"/>
      <c r="N82" s="228"/>
      <c r="O82" s="228"/>
      <c r="P82" s="228"/>
      <c r="Q82" s="118"/>
      <c r="R82" s="118"/>
      <c r="S82" s="118"/>
      <c r="T82" s="118"/>
      <c r="U82" s="118"/>
      <c r="V82" s="118"/>
    </row>
    <row r="83">
      <c r="A83" s="264" t="s">
        <v>211</v>
      </c>
      <c r="B83" s="104"/>
      <c r="C83" s="227"/>
      <c r="D83" s="227"/>
      <c r="E83" s="228"/>
      <c r="F83" s="265"/>
      <c r="G83" s="265"/>
      <c r="H83" s="228"/>
      <c r="I83" s="228"/>
      <c r="J83" s="228"/>
      <c r="K83" s="228"/>
      <c r="L83" s="228"/>
      <c r="M83" s="228"/>
      <c r="N83" s="118"/>
      <c r="O83" s="118"/>
      <c r="P83" s="118"/>
      <c r="Q83" s="228"/>
      <c r="R83" s="228"/>
      <c r="S83" s="228"/>
      <c r="T83" s="228"/>
      <c r="U83" s="228"/>
      <c r="V83" s="228"/>
    </row>
    <row r="84" outlineLevel="1">
      <c r="A84" s="106"/>
      <c r="B84" s="107"/>
      <c r="C84" s="266" t="s">
        <v>48</v>
      </c>
      <c r="D84" s="266" t="s">
        <v>49</v>
      </c>
      <c r="E84" s="266" t="s">
        <v>50</v>
      </c>
      <c r="F84" s="267" t="s">
        <v>51</v>
      </c>
      <c r="G84" s="227"/>
      <c r="H84" s="227"/>
      <c r="I84" s="227"/>
      <c r="J84" s="228"/>
      <c r="K84" s="228"/>
      <c r="L84" s="228"/>
      <c r="M84" s="228"/>
      <c r="N84" s="228"/>
      <c r="O84" s="228"/>
      <c r="P84" s="228"/>
      <c r="Q84" s="228"/>
      <c r="R84" s="228"/>
      <c r="S84" s="228"/>
      <c r="T84" s="228"/>
      <c r="U84" s="228"/>
      <c r="V84" s="228"/>
    </row>
    <row r="85" outlineLevel="1">
      <c r="A85" s="268" t="s">
        <v>212</v>
      </c>
      <c r="B85" s="269" t="s">
        <v>212</v>
      </c>
      <c r="C85" s="113" t="s">
        <v>213</v>
      </c>
      <c r="D85" s="113" t="s">
        <v>86</v>
      </c>
      <c r="E85" s="113" t="s">
        <v>169</v>
      </c>
      <c r="F85" s="138">
        <f>E85*1.2</f>
        <v>1.68</v>
      </c>
      <c r="G85" s="227"/>
      <c r="H85" s="227"/>
      <c r="I85" s="227"/>
      <c r="J85" s="228"/>
      <c r="K85" s="228"/>
      <c r="L85" s="228"/>
      <c r="M85" s="228"/>
      <c r="N85" s="228"/>
      <c r="O85" s="228"/>
      <c r="P85" s="228"/>
      <c r="Q85" s="228"/>
      <c r="R85" s="228"/>
      <c r="S85" s="228"/>
      <c r="T85" s="228"/>
      <c r="U85" s="228"/>
      <c r="V85" s="228"/>
    </row>
    <row r="86" outlineLevel="1">
      <c r="A86" s="270" t="s">
        <v>215</v>
      </c>
      <c r="B86" s="269" t="s">
        <v>216</v>
      </c>
      <c r="C86" s="113" t="s">
        <v>319</v>
      </c>
      <c r="D86" s="113" t="s">
        <v>224</v>
      </c>
      <c r="E86" s="271"/>
      <c r="F86" s="272"/>
      <c r="G86" s="272"/>
      <c r="H86" s="227"/>
      <c r="I86" s="227"/>
      <c r="J86" s="228"/>
      <c r="K86" s="228"/>
      <c r="L86" s="228"/>
      <c r="M86" s="228"/>
      <c r="N86" s="228"/>
      <c r="O86" s="228"/>
      <c r="P86" s="228"/>
      <c r="Q86" s="228"/>
      <c r="R86" s="228"/>
      <c r="S86" s="228"/>
      <c r="T86" s="228"/>
      <c r="U86" s="228"/>
      <c r="V86" s="228"/>
    </row>
    <row r="87" outlineLevel="1">
      <c r="A87" s="212"/>
      <c r="B87" s="269" t="s">
        <v>219</v>
      </c>
      <c r="C87" s="113" t="s">
        <v>223</v>
      </c>
      <c r="D87" s="113" t="s">
        <v>393</v>
      </c>
      <c r="E87" s="271"/>
      <c r="F87" s="272"/>
      <c r="G87" s="272"/>
      <c r="H87" s="227"/>
      <c r="I87" s="227"/>
      <c r="J87" s="228"/>
      <c r="K87" s="228"/>
      <c r="L87" s="228"/>
      <c r="M87" s="228"/>
      <c r="N87" s="228"/>
      <c r="O87" s="228"/>
      <c r="P87" s="228"/>
      <c r="Q87" s="228"/>
      <c r="R87" s="228"/>
      <c r="S87" s="228"/>
      <c r="T87" s="228"/>
      <c r="U87" s="228"/>
      <c r="V87" s="228"/>
    </row>
    <row r="88" outlineLevel="1">
      <c r="A88" s="106"/>
      <c r="B88" s="269" t="s">
        <v>222</v>
      </c>
      <c r="C88" s="113" t="s">
        <v>299</v>
      </c>
      <c r="D88" s="113" t="s">
        <v>118</v>
      </c>
      <c r="E88" s="227"/>
      <c r="F88" s="272"/>
      <c r="G88" s="272"/>
      <c r="H88" s="227"/>
      <c r="I88" s="227"/>
      <c r="J88" s="228"/>
      <c r="K88" s="228"/>
      <c r="L88" s="228"/>
      <c r="M88" s="228"/>
      <c r="N88" s="228"/>
      <c r="O88" s="228"/>
      <c r="P88" s="228"/>
      <c r="Q88" s="228"/>
      <c r="R88" s="228"/>
      <c r="S88" s="228"/>
      <c r="T88" s="228"/>
      <c r="U88" s="228"/>
      <c r="V88" s="228"/>
    </row>
    <row r="89" outlineLevel="1">
      <c r="A89" s="273" t="s">
        <v>225</v>
      </c>
      <c r="B89" s="109"/>
      <c r="C89" s="266" t="s">
        <v>48</v>
      </c>
      <c r="D89" s="266" t="s">
        <v>49</v>
      </c>
      <c r="E89" s="266" t="s">
        <v>50</v>
      </c>
      <c r="F89" s="267" t="s">
        <v>51</v>
      </c>
      <c r="G89" s="1168" t="s">
        <v>53</v>
      </c>
      <c r="H89" s="110"/>
      <c r="I89" s="110"/>
      <c r="J89" s="109"/>
      <c r="K89" s="275" t="s">
        <v>137</v>
      </c>
      <c r="L89" s="275" t="s">
        <v>138</v>
      </c>
      <c r="M89" s="275" t="s">
        <v>139</v>
      </c>
      <c r="N89" s="275" t="s">
        <v>140</v>
      </c>
      <c r="O89" s="276" t="s">
        <v>141</v>
      </c>
      <c r="P89" s="275" t="s">
        <v>142</v>
      </c>
      <c r="Q89" s="276" t="s">
        <v>143</v>
      </c>
      <c r="R89" s="277"/>
      <c r="S89" s="277"/>
      <c r="T89" s="277"/>
      <c r="U89" s="277"/>
      <c r="V89" s="277"/>
    </row>
    <row r="90" outlineLevel="1">
      <c r="A90" s="278" t="s">
        <v>226</v>
      </c>
      <c r="B90" s="269" t="s">
        <v>227</v>
      </c>
      <c r="C90" s="113" t="s">
        <v>220</v>
      </c>
      <c r="D90" s="279" t="s">
        <v>72</v>
      </c>
      <c r="E90" s="239" t="s">
        <v>3034</v>
      </c>
      <c r="F90" s="138">
        <f t="shared" ref="F90:F95" si="1">IFERROR(E90*1.2, "-")</f>
        <v>6.48</v>
      </c>
      <c r="G90" s="1170"/>
      <c r="H90" s="164"/>
      <c r="I90" s="164"/>
      <c r="J90" s="104"/>
      <c r="K90" s="282"/>
      <c r="L90" s="282"/>
      <c r="M90" s="363"/>
      <c r="N90" s="145"/>
      <c r="O90" s="145">
        <v>0.0</v>
      </c>
      <c r="P90" s="145">
        <v>1.0</v>
      </c>
      <c r="Q90" s="145">
        <v>1.0</v>
      </c>
      <c r="R90" s="277"/>
      <c r="S90" s="228"/>
      <c r="T90" s="228"/>
      <c r="U90" s="228"/>
      <c r="V90" s="228"/>
    </row>
    <row r="91" outlineLevel="1">
      <c r="A91" s="156"/>
      <c r="B91" s="269" t="s">
        <v>225</v>
      </c>
      <c r="C91" s="113" t="s">
        <v>232</v>
      </c>
      <c r="D91" s="156"/>
      <c r="E91" s="239" t="s">
        <v>204</v>
      </c>
      <c r="F91" s="138">
        <f t="shared" si="1"/>
        <v>3.6</v>
      </c>
      <c r="G91" s="106"/>
      <c r="H91" s="168"/>
      <c r="I91" s="168"/>
      <c r="J91" s="107"/>
      <c r="K91" s="282"/>
      <c r="L91" s="282"/>
      <c r="M91" s="363"/>
      <c r="N91" s="145"/>
      <c r="O91" s="261"/>
      <c r="P91" s="261"/>
      <c r="Q91" s="261"/>
      <c r="R91" s="277"/>
      <c r="S91" s="228"/>
      <c r="T91" s="228"/>
      <c r="U91" s="228"/>
      <c r="V91" s="228"/>
    </row>
    <row r="92" outlineLevel="1">
      <c r="A92" s="278" t="s">
        <v>229</v>
      </c>
      <c r="B92" s="269" t="s">
        <v>227</v>
      </c>
      <c r="C92" s="113" t="s">
        <v>5638</v>
      </c>
      <c r="D92" s="279" t="s">
        <v>892</v>
      </c>
      <c r="E92" s="239" t="s">
        <v>80</v>
      </c>
      <c r="F92" s="138">
        <f t="shared" si="1"/>
        <v>9.6</v>
      </c>
      <c r="G92" s="283" t="s">
        <v>231</v>
      </c>
      <c r="H92" s="164"/>
      <c r="I92" s="164"/>
      <c r="J92" s="104"/>
      <c r="K92" s="282"/>
      <c r="L92" s="282"/>
      <c r="M92" s="363"/>
      <c r="N92" s="363"/>
      <c r="O92" s="145">
        <v>0.0</v>
      </c>
      <c r="P92" s="145">
        <v>1.0</v>
      </c>
      <c r="Q92" s="145">
        <v>1.0</v>
      </c>
      <c r="R92" s="277"/>
      <c r="S92" s="228"/>
      <c r="T92" s="228"/>
      <c r="U92" s="228"/>
      <c r="V92" s="228"/>
    </row>
    <row r="93" outlineLevel="1">
      <c r="A93" s="156"/>
      <c r="B93" s="269" t="s">
        <v>225</v>
      </c>
      <c r="C93" s="113" t="s">
        <v>224</v>
      </c>
      <c r="D93" s="156"/>
      <c r="E93" s="239" t="s">
        <v>1862</v>
      </c>
      <c r="F93" s="138">
        <f t="shared" si="1"/>
        <v>13.68</v>
      </c>
      <c r="G93" s="106"/>
      <c r="H93" s="168"/>
      <c r="I93" s="168"/>
      <c r="J93" s="107"/>
      <c r="K93" s="282"/>
      <c r="L93" s="282"/>
      <c r="M93" s="363"/>
      <c r="N93" s="363"/>
      <c r="O93" s="261"/>
      <c r="P93" s="261"/>
      <c r="Q93" s="261"/>
      <c r="R93" s="277"/>
      <c r="S93" s="228"/>
      <c r="T93" s="228"/>
      <c r="U93" s="228"/>
      <c r="V93" s="228"/>
    </row>
    <row r="94" outlineLevel="1">
      <c r="A94" s="278" t="s">
        <v>233</v>
      </c>
      <c r="B94" s="269" t="s">
        <v>227</v>
      </c>
      <c r="C94" s="113" t="s">
        <v>305</v>
      </c>
      <c r="D94" s="279" t="s">
        <v>118</v>
      </c>
      <c r="E94" s="239" t="s">
        <v>3034</v>
      </c>
      <c r="F94" s="138">
        <f t="shared" si="1"/>
        <v>6.48</v>
      </c>
      <c r="G94" s="1170"/>
      <c r="H94" s="164"/>
      <c r="I94" s="164"/>
      <c r="J94" s="104"/>
      <c r="K94" s="282"/>
      <c r="L94" s="282"/>
      <c r="M94" s="363"/>
      <c r="N94" s="363"/>
      <c r="O94" s="145">
        <v>0.0</v>
      </c>
      <c r="P94" s="145">
        <v>1.0</v>
      </c>
      <c r="Q94" s="145">
        <v>1.0</v>
      </c>
      <c r="R94" s="277"/>
      <c r="S94" s="228"/>
      <c r="T94" s="228"/>
      <c r="U94" s="228"/>
      <c r="V94" s="228"/>
    </row>
    <row r="95" outlineLevel="1">
      <c r="A95" s="156"/>
      <c r="B95" s="269" t="s">
        <v>225</v>
      </c>
      <c r="C95" s="113" t="s">
        <v>386</v>
      </c>
      <c r="D95" s="156"/>
      <c r="E95" s="239" t="s">
        <v>204</v>
      </c>
      <c r="F95" s="138">
        <f t="shared" si="1"/>
        <v>3.6</v>
      </c>
      <c r="G95" s="106"/>
      <c r="H95" s="168"/>
      <c r="I95" s="168"/>
      <c r="J95" s="107"/>
      <c r="K95" s="282"/>
      <c r="L95" s="282"/>
      <c r="M95" s="363"/>
      <c r="N95" s="363"/>
      <c r="O95" s="261"/>
      <c r="P95" s="261"/>
      <c r="Q95" s="261"/>
      <c r="R95" s="277"/>
      <c r="S95" s="117"/>
      <c r="T95" s="117"/>
      <c r="U95" s="117"/>
      <c r="V95" s="117"/>
    </row>
    <row r="96" outlineLevel="1">
      <c r="A96" s="278" t="s">
        <v>234</v>
      </c>
      <c r="B96" s="269" t="s">
        <v>227</v>
      </c>
      <c r="C96" s="281"/>
      <c r="D96" s="279" t="s">
        <v>300</v>
      </c>
      <c r="E96" s="281"/>
      <c r="F96" s="281"/>
      <c r="G96" s="283" t="s">
        <v>5639</v>
      </c>
      <c r="H96" s="164"/>
      <c r="I96" s="164"/>
      <c r="J96" s="104"/>
      <c r="K96" s="282"/>
      <c r="L96" s="282"/>
      <c r="M96" s="363"/>
      <c r="N96" s="363"/>
      <c r="O96" s="145">
        <v>0.0</v>
      </c>
      <c r="P96" s="145">
        <v>1.0</v>
      </c>
      <c r="Q96" s="145">
        <v>1.0</v>
      </c>
      <c r="R96" s="277"/>
      <c r="S96" s="117"/>
      <c r="T96" s="117"/>
      <c r="U96" s="117"/>
      <c r="V96" s="117"/>
    </row>
    <row r="97" outlineLevel="1">
      <c r="A97" s="156"/>
      <c r="B97" s="269" t="s">
        <v>225</v>
      </c>
      <c r="C97" s="113" t="s">
        <v>218</v>
      </c>
      <c r="D97" s="156"/>
      <c r="E97" s="239" t="s">
        <v>3031</v>
      </c>
      <c r="F97" s="138">
        <f>IFERROR(E97*1.2, "-")</f>
        <v>6.72</v>
      </c>
      <c r="G97" s="106"/>
      <c r="H97" s="168"/>
      <c r="I97" s="168"/>
      <c r="J97" s="107"/>
      <c r="K97" s="282"/>
      <c r="L97" s="282"/>
      <c r="M97" s="363"/>
      <c r="N97" s="363"/>
      <c r="O97" s="261"/>
      <c r="P97" s="261"/>
      <c r="Q97" s="261"/>
      <c r="R97" s="277"/>
      <c r="S97" s="117"/>
      <c r="T97" s="117"/>
      <c r="U97" s="117"/>
      <c r="V97" s="117"/>
    </row>
    <row r="98">
      <c r="A98" s="223"/>
      <c r="B98" s="224"/>
      <c r="C98" s="225"/>
      <c r="D98" s="225"/>
      <c r="E98" s="227"/>
      <c r="F98" s="177"/>
      <c r="G98" s="177"/>
      <c r="H98" s="227"/>
      <c r="I98" s="227"/>
      <c r="J98" s="228"/>
      <c r="K98" s="228"/>
      <c r="L98" s="111"/>
      <c r="M98" s="111"/>
      <c r="N98" s="111"/>
      <c r="O98" s="117"/>
      <c r="P98" s="117"/>
      <c r="Q98" s="111"/>
      <c r="R98" s="111"/>
      <c r="S98" s="111"/>
      <c r="T98" s="111"/>
      <c r="U98" s="111"/>
      <c r="V98" s="111"/>
    </row>
    <row r="99">
      <c r="A99" s="284" t="s">
        <v>241</v>
      </c>
      <c r="B99" s="104"/>
      <c r="C99" s="265"/>
      <c r="D99" s="111"/>
      <c r="E99" s="111"/>
      <c r="F99" s="111"/>
      <c r="G99" s="111"/>
      <c r="H99" s="111"/>
      <c r="I99" s="111"/>
      <c r="J99" s="118"/>
      <c r="K99" s="111"/>
      <c r="L99" s="111"/>
      <c r="M99" s="111"/>
      <c r="N99" s="111"/>
      <c r="O99" s="111"/>
      <c r="P99" s="111"/>
      <c r="Q99" s="118"/>
      <c r="R99" s="111"/>
      <c r="S99" s="111"/>
      <c r="T99" s="111"/>
      <c r="U99" s="111"/>
      <c r="V99" s="111"/>
    </row>
    <row r="100" outlineLevel="1">
      <c r="A100" s="106"/>
      <c r="B100" s="107"/>
      <c r="C100" s="285" t="s">
        <v>235</v>
      </c>
      <c r="D100" s="285" t="s">
        <v>236</v>
      </c>
      <c r="E100" s="285" t="s">
        <v>49</v>
      </c>
      <c r="F100" s="285" t="s">
        <v>237</v>
      </c>
      <c r="G100" s="286"/>
      <c r="H100" s="227"/>
      <c r="I100" s="227"/>
      <c r="J100" s="228"/>
      <c r="K100" s="228"/>
      <c r="L100" s="111"/>
      <c r="M100" s="111"/>
      <c r="N100" s="111"/>
      <c r="O100" s="111"/>
      <c r="P100" s="111"/>
      <c r="Q100" s="111"/>
      <c r="R100" s="111"/>
      <c r="S100" s="111"/>
      <c r="T100" s="111"/>
      <c r="U100" s="111"/>
      <c r="V100" s="111"/>
    </row>
    <row r="101" outlineLevel="1">
      <c r="A101" s="287" t="s">
        <v>395</v>
      </c>
      <c r="B101" s="288" t="s">
        <v>216</v>
      </c>
      <c r="C101" s="113" t="str">
        <f t="array" ref="C101">INDEX('回避'!$C$3:$U$84, MATCH($A$1,'回避'!$A$3:$A$91,0), MATCH(C100,'回避'!$C$2:$F$2,0))</f>
        <v>3-17</v>
      </c>
      <c r="D101" s="113" t="str">
        <f t="array" ref="D101">INDEX('回避'!$C$3:$U$84, MATCH($A$1,'回避'!$A$3:$A$91,0), MATCH(D100,'回避'!$C$2:$F$2,0))</f>
        <v>6-17</v>
      </c>
      <c r="E101" s="113" t="str">
        <f t="array" ref="E101">INDEX('回避'!$C$3:$U$84, MATCH($A$1,'回避'!$A$3:$A$91,0), MATCH(E100,'回避'!$C$2:$F$2,0))</f>
        <v>25 (20)</v>
      </c>
      <c r="F101" s="113" t="str">
        <f t="array" ref="F101">INDEX('回避'!$C$3:$U$84, MATCH($A$1,'回避'!$A$3:$A$91,0), MATCH(F100,'回避'!$C$2:$F$2,0))</f>
        <v>33 (27)</v>
      </c>
      <c r="G101" s="272"/>
      <c r="H101" s="227"/>
      <c r="I101" s="227"/>
      <c r="J101" s="228"/>
      <c r="K101" s="228"/>
      <c r="L101" s="228"/>
      <c r="M101" s="111"/>
      <c r="N101" s="111"/>
      <c r="O101" s="111"/>
      <c r="P101" s="111"/>
      <c r="Q101" s="111"/>
      <c r="R101" s="111"/>
      <c r="S101" s="111"/>
      <c r="T101" s="111"/>
      <c r="U101" s="111"/>
      <c r="V101" s="111"/>
    </row>
    <row r="102" outlineLevel="1">
      <c r="A102" s="212"/>
      <c r="B102" s="288" t="s">
        <v>245</v>
      </c>
      <c r="C102" s="113" t="str">
        <f t="array" ref="C102">INDEX('回避'!$G$3:$U$84, MATCH($A$1,'回避'!$A$3:$A$91,0), MATCH(C100,'回避'!$G$2:$J$2,0))</f>
        <v>4-15</v>
      </c>
      <c r="D102" s="113" t="str">
        <f t="array" ref="D102">INDEX('回避'!$G$3:$U$84, MATCH($A$1,'回避'!$A$3:$A$91,0), MATCH(D100,'回避'!$G$2:$J$2,0))</f>
        <v>8-14</v>
      </c>
      <c r="E102" s="113" t="str">
        <f t="array" ref="E102">INDEX('回避'!$G$3:$U$84, MATCH($A$1,'回避'!$A$3:$A$91,0), MATCH(E100,'回避'!$G$2:$J$2,0))</f>
        <v>29</v>
      </c>
      <c r="F102" s="113">
        <f t="array" ref="F102">INDEX('回避'!$G$3:$U$84, MATCH($A$1,'回避'!$A$3:$A$91,0), MATCH(F100,'回避'!$G$2:$J$2,0))</f>
        <v>38</v>
      </c>
      <c r="G102" s="289"/>
      <c r="H102" s="227"/>
      <c r="I102" s="227"/>
      <c r="J102" s="228"/>
      <c r="K102" s="228"/>
      <c r="L102" s="228"/>
      <c r="M102" s="228"/>
      <c r="N102" s="228"/>
      <c r="O102" s="111"/>
      <c r="P102" s="111"/>
      <c r="Q102" s="111"/>
      <c r="R102" s="111"/>
      <c r="S102" s="111"/>
      <c r="T102" s="111"/>
      <c r="U102" s="111"/>
      <c r="V102" s="111"/>
    </row>
    <row r="103" outlineLevel="1">
      <c r="A103" s="106"/>
      <c r="B103" s="288" t="s">
        <v>246</v>
      </c>
      <c r="C103" s="113" t="str">
        <f t="array" ref="C103">INDEX('回避'!$K$3:$U$84, MATCH($A$1,'回避'!$A$3:$A$91,0), MATCH(C100,'回避'!$K$2:$N$2,0))</f>
        <v>5-16</v>
      </c>
      <c r="D103" s="113" t="str">
        <f t="array" ref="D103">INDEX('回避'!$K$3:$U$84, MATCH($A$1,'回避'!$A$3:$A$91,0), MATCH(D100,'回避'!$K$2:$N$2,0))</f>
        <v>9-14</v>
      </c>
      <c r="E103" s="113" t="str">
        <f t="array" ref="E103">INDEX('回避'!$K$3:$U$84, MATCH($A$1,'回避'!$A$3:$A$91,0), MATCH(E100,'回避'!$K$2:$N$2,0))</f>
        <v>34</v>
      </c>
      <c r="F103" s="113" t="str">
        <f t="array" ref="F103">INDEX('回避'!$K$3:$U$84, MATCH($A$1,'回避'!$A$3:$A$91,0), MATCH(F100,'回避'!$K$2:$N$2,0))</f>
        <v>51</v>
      </c>
      <c r="G103" s="289"/>
      <c r="H103" s="290"/>
      <c r="I103" s="290"/>
      <c r="J103" s="117"/>
      <c r="K103" s="117"/>
      <c r="L103" s="117"/>
      <c r="M103" s="117"/>
      <c r="N103" s="117"/>
      <c r="O103" s="111"/>
      <c r="P103" s="111"/>
      <c r="Q103" s="111"/>
      <c r="R103" s="111"/>
      <c r="S103" s="111"/>
      <c r="T103" s="111"/>
      <c r="U103" s="111"/>
      <c r="V103" s="111"/>
    </row>
    <row r="104" outlineLevel="1">
      <c r="A104" s="287" t="s">
        <v>396</v>
      </c>
      <c r="B104" s="288" t="s">
        <v>397</v>
      </c>
      <c r="C104" s="113" t="str">
        <f t="array" ref="C104">INDEX('回避'!$O$3:$U$84, MATCH($A$1,'回避'!$A$3:$A$91,0), MATCH(C100,'回避'!$O$2:$R$2,0))</f>
        <v>3-30</v>
      </c>
      <c r="D104" s="113" t="str">
        <f t="array" ref="D104">INDEX('回避'!$O$3:$U$84, MATCH($A$1,'回避'!$A$3:$A$91,0), MATCH(D100,'回避'!$O$2:$R$2,0))</f>
        <v>6-27</v>
      </c>
      <c r="E104" s="113" t="str">
        <f t="array" ref="E104">INDEX('回避'!$O$3:$U$84, MATCH($A$1,'回避'!$A$3:$A$91,0), MATCH(E100,'回避'!$O$2:$R$2,0))</f>
        <v>45</v>
      </c>
      <c r="F104" s="177"/>
      <c r="G104" s="177"/>
      <c r="H104" s="118"/>
      <c r="I104" s="118"/>
      <c r="J104" s="111"/>
      <c r="K104" s="111"/>
      <c r="L104" s="111"/>
      <c r="M104" s="111"/>
      <c r="N104" s="111"/>
      <c r="O104" s="228"/>
      <c r="P104" s="228"/>
      <c r="Q104" s="228"/>
      <c r="R104" s="228"/>
      <c r="S104" s="228"/>
      <c r="T104" s="228"/>
      <c r="U104" s="228"/>
      <c r="V104" s="228"/>
    </row>
    <row r="105" outlineLevel="1">
      <c r="A105" s="106"/>
      <c r="B105" s="288" t="s">
        <v>398</v>
      </c>
      <c r="C105" s="113" t="str">
        <f t="array" ref="C105">INDEX('回避'!$S$3:$U$84, MATCH($A$1,'回避'!$A$3:$A$91,0), MATCH(C100,'回避'!$S$2:$U$2,0))</f>
        <v>3-21</v>
      </c>
      <c r="D105" s="113" t="str">
        <f t="array" ref="D105">INDEX('回避'!$S$3:$U$84, MATCH($A$1,'回避'!$A$3:$A$91,0), MATCH(D100,'回避'!$S$2:$U$2,0))</f>
        <v>6-20</v>
      </c>
      <c r="E105" s="113" t="str">
        <f t="array" ref="E105">INDEX('回避'!$S$3:$U$84, MATCH($A$1,'回避'!$A$3:$A$91,0), MATCH(E100,'回避'!$S$2:$U$2,0))</f>
        <v>真横：75
真上：97
真下：62</v>
      </c>
      <c r="F105" s="289"/>
      <c r="G105" s="289"/>
      <c r="H105" s="118"/>
      <c r="I105" s="118"/>
      <c r="J105" s="117"/>
      <c r="K105" s="117"/>
      <c r="L105" s="117"/>
      <c r="M105" s="117"/>
      <c r="N105" s="111"/>
      <c r="O105" s="118"/>
      <c r="P105" s="118"/>
      <c r="Q105" s="118"/>
      <c r="R105" s="118"/>
      <c r="S105" s="118"/>
      <c r="T105" s="118"/>
      <c r="U105" s="118"/>
      <c r="V105" s="118"/>
    </row>
    <row r="106">
      <c r="A106" s="291"/>
      <c r="B106" s="292"/>
      <c r="C106" s="286"/>
      <c r="D106" s="286"/>
      <c r="E106" s="293"/>
      <c r="F106" s="286"/>
      <c r="G106" s="286"/>
      <c r="H106" s="286"/>
      <c r="I106" s="286"/>
      <c r="J106" s="111"/>
      <c r="K106" s="227"/>
      <c r="L106" s="227"/>
      <c r="M106" s="227"/>
      <c r="N106" s="227"/>
      <c r="O106" s="118"/>
      <c r="P106" s="118"/>
      <c r="Q106" s="118"/>
      <c r="R106" s="118"/>
      <c r="S106" s="118"/>
      <c r="T106" s="118"/>
      <c r="U106" s="118"/>
      <c r="V106" s="118"/>
    </row>
    <row r="107">
      <c r="A107" s="294" t="s">
        <v>238</v>
      </c>
      <c r="B107" s="104"/>
      <c r="C107" s="228"/>
      <c r="D107" s="117"/>
      <c r="E107" s="228"/>
      <c r="F107" s="114"/>
      <c r="G107" s="114"/>
      <c r="H107" s="117"/>
      <c r="I107" s="117"/>
      <c r="J107" s="118"/>
      <c r="K107" s="118"/>
      <c r="L107" s="118"/>
      <c r="M107" s="118"/>
      <c r="N107" s="118"/>
      <c r="O107" s="118"/>
      <c r="P107" s="118"/>
      <c r="Q107" s="118"/>
      <c r="R107" s="118"/>
      <c r="S107" s="118"/>
      <c r="T107" s="118"/>
      <c r="U107" s="118"/>
      <c r="V107" s="118"/>
    </row>
    <row r="108" outlineLevel="1">
      <c r="A108" s="106"/>
      <c r="B108" s="107"/>
      <c r="C108" s="295" t="s">
        <v>235</v>
      </c>
      <c r="D108" s="295" t="s">
        <v>49</v>
      </c>
      <c r="E108" s="295" t="s">
        <v>48</v>
      </c>
      <c r="F108" s="295" t="s">
        <v>50</v>
      </c>
      <c r="G108" s="296" t="s">
        <v>51</v>
      </c>
      <c r="H108" s="228"/>
      <c r="I108" s="228"/>
      <c r="J108" s="117"/>
      <c r="K108" s="297" t="s">
        <v>256</v>
      </c>
      <c r="L108" s="109"/>
      <c r="M108" s="298" t="s">
        <v>257</v>
      </c>
      <c r="N108" s="298" t="s">
        <v>49</v>
      </c>
      <c r="O108" s="118"/>
      <c r="P108" s="118"/>
      <c r="Q108" s="118"/>
      <c r="R108" s="118"/>
      <c r="S108" s="118"/>
      <c r="T108" s="118"/>
      <c r="U108" s="118"/>
      <c r="V108" s="118"/>
    </row>
    <row r="109" outlineLevel="1">
      <c r="A109" s="299" t="s">
        <v>239</v>
      </c>
      <c r="B109" s="300" t="s">
        <v>240</v>
      </c>
      <c r="C109" s="301"/>
      <c r="D109" s="113">
        <f t="array" ref="D109">INDEX('崖行動・受け身'!$C$3:$C$115, MATCH($A$1,'崖行動・受け身'!$A$3:$A$115,0), MATCH(D108,'崖行動・受け身'!$C$2,0))</f>
        <v>19</v>
      </c>
      <c r="E109" s="301"/>
      <c r="F109" s="301"/>
      <c r="G109" s="301"/>
      <c r="H109" s="228"/>
      <c r="I109" s="228"/>
      <c r="J109" s="111"/>
      <c r="K109" s="302" t="s">
        <v>258</v>
      </c>
      <c r="L109" s="303" t="s">
        <v>216</v>
      </c>
      <c r="M109" s="113" t="str">
        <f t="array" ref="M109">INDEX('アイテム'!$C$3:$D$115, MATCH($A$1,'アイテム'!$A$3:$A$115,0), MATCH(M$108,'アイテム'!$C$2:$AK$2,0))</f>
        <v>2</v>
      </c>
      <c r="N109" s="113">
        <f t="array" ref="N109">INDEX('アイテム'!$C$3:$D$115, MATCH($A$1,'アイテム'!$A$3:$A$115,0), MATCH(N$108,'アイテム'!$C$2:$AK$2,0))</f>
        <v>7</v>
      </c>
      <c r="O109" s="118"/>
      <c r="P109" s="118"/>
      <c r="Q109" s="118"/>
      <c r="R109" s="118"/>
      <c r="S109" s="118"/>
      <c r="T109" s="118"/>
      <c r="U109" s="118"/>
      <c r="V109" s="118"/>
    </row>
    <row r="110" outlineLevel="1">
      <c r="A110" s="146"/>
      <c r="B110" s="300" t="s">
        <v>216</v>
      </c>
      <c r="C110" s="113" t="str">
        <f t="array" ref="C110">INDEX('崖行動・受け身'!$D$3:$E$115, MATCH($A$1,'崖行動・受け身'!$A$3:$A$115,0), MATCH(C$108,'崖行動・受け身'!$D$2:$E$2,0))</f>
        <v>1-33</v>
      </c>
      <c r="D110" s="113">
        <f t="array" ref="D110">INDEX('崖行動・受け身'!$D$3:$E$115, MATCH($A$1,'崖行動・受け身'!$A$3:$A$115,0), MATCH(D$108,'崖行動・受け身'!$D$2:$E$2,0))</f>
        <v>34</v>
      </c>
      <c r="E110" s="301"/>
      <c r="F110" s="301"/>
      <c r="G110" s="301"/>
      <c r="H110" s="228"/>
      <c r="I110" s="228"/>
      <c r="J110" s="117"/>
      <c r="K110" s="156"/>
      <c r="L110" s="303" t="s">
        <v>5389</v>
      </c>
      <c r="M110" s="113" t="str">
        <f t="array" ref="M110">INDEX('アイテム'!$E$3:$F$115, MATCH($A$1,'アイテム'!$A$3:$A$115,0), MATCH(M$108,'アイテム'!$E$2:$AK$2,0))</f>
        <v>2</v>
      </c>
      <c r="N110" s="113">
        <f t="array" ref="N110">INDEX('アイテム'!$E$3:$F$115, MATCH($A$1,'アイテム'!$A$3:$A$115,0), MATCH(N$108,'アイテム'!$E$2:$AK$2,0))</f>
        <v>19</v>
      </c>
      <c r="O110" s="118"/>
      <c r="P110" s="118"/>
      <c r="Q110" s="118"/>
      <c r="R110" s="118"/>
      <c r="S110" s="118"/>
      <c r="T110" s="118"/>
      <c r="U110" s="118"/>
      <c r="V110" s="118"/>
    </row>
    <row r="111" outlineLevel="1">
      <c r="A111" s="146"/>
      <c r="B111" s="300" t="s">
        <v>241</v>
      </c>
      <c r="C111" s="113" t="str">
        <f t="array" ref="C111">INDEX('崖行動・受け身'!$F$3:$G$115, MATCH($A$1,'崖行動・受け身'!$A$3:$A$115,0), MATCH(C$108,'崖行動・受け身'!$F$2:$G$2,0))</f>
        <v>1-30</v>
      </c>
      <c r="D111" s="113">
        <f t="array" ref="D111">INDEX('崖行動・受け身'!$F$3:$G$115, MATCH($A$1,'崖行動・受け身'!$A$3:$A$115,0), MATCH(D$108,'崖行動・受け身'!$F$2:$G$2,0))</f>
        <v>45</v>
      </c>
      <c r="E111" s="301"/>
      <c r="F111" s="301"/>
      <c r="G111" s="301"/>
      <c r="H111" s="228"/>
      <c r="I111" s="228"/>
      <c r="J111" s="111"/>
      <c r="K111" s="304" t="s">
        <v>260</v>
      </c>
      <c r="L111" s="109"/>
      <c r="M111" s="298" t="s">
        <v>261</v>
      </c>
      <c r="N111" s="298" t="s">
        <v>49</v>
      </c>
      <c r="O111" s="118"/>
      <c r="P111" s="118"/>
      <c r="Q111" s="118"/>
      <c r="R111" s="118"/>
      <c r="S111" s="118"/>
      <c r="T111" s="118"/>
      <c r="U111" s="118"/>
      <c r="V111" s="118"/>
    </row>
    <row r="112" outlineLevel="1">
      <c r="A112" s="146"/>
      <c r="B112" s="300" t="s">
        <v>242</v>
      </c>
      <c r="C112" s="113" t="str">
        <f t="array" ref="C112">INDEX('崖行動・受け身'!$H$3:$I$115, MATCH($A$1,'崖行動・受け身'!$A$3:$A$115,0), MATCH(C$108,'崖行動・受け身'!$H$2:$I$2,0))</f>
        <v>1-12</v>
      </c>
      <c r="D112" s="113">
        <f t="array" ref="D112">INDEX('崖行動・受け身'!$H$3:$I$115, MATCH($A$1,'崖行動・受け身'!$A$3:$A$115,0), MATCH(D$108,'崖行動・受け身'!$H$2:$I$2,0))</f>
        <v>14</v>
      </c>
      <c r="E112" s="301"/>
      <c r="F112" s="301"/>
      <c r="G112" s="301"/>
      <c r="H112" s="228"/>
      <c r="I112" s="228"/>
      <c r="J112" s="117"/>
      <c r="K112" s="305" t="s">
        <v>262</v>
      </c>
      <c r="L112" s="303" t="s">
        <v>226</v>
      </c>
      <c r="M112" s="113" t="str">
        <f t="array" ref="M112">INDEX('アイテム'!$G$3:$H$115, MATCH($A$1,'アイテム'!$A$3:$A$115,0), MATCH(M$111,'アイテム'!$G$2:$AK$2,0))</f>
        <v>8</v>
      </c>
      <c r="N112" s="113">
        <f t="array" ref="N112">INDEX('アイテム'!$G$3:$H$115, MATCH($A$1,'アイテム'!$A$3:$A$115,0), MATCH(N$111,'アイテム'!$G$2:$AK$2,0))</f>
        <v>24</v>
      </c>
      <c r="O112" s="111"/>
      <c r="P112" s="111"/>
      <c r="Q112" s="111"/>
      <c r="R112" s="111"/>
      <c r="S112" s="111"/>
      <c r="T112" s="111"/>
      <c r="U112" s="111"/>
      <c r="V112" s="111"/>
    </row>
    <row r="113" outlineLevel="1">
      <c r="A113" s="156"/>
      <c r="B113" s="300" t="s">
        <v>243</v>
      </c>
      <c r="C113" s="113" t="str">
        <f t="array" ref="C113">INDEX('崖行動・受け身'!$J$3:$M$115, MATCH($A$1,'崖行動・受け身'!$A$3:$A$115,0), MATCH(C$108,'崖行動・受け身'!$J$2:$M$2,0))</f>
        <v>1-26</v>
      </c>
      <c r="D113" s="113">
        <f t="array" ref="D113">INDEX('崖行動・受け身'!$J$3:$M$115, MATCH($A$1,'崖行動・受け身'!$A$3:$A$115,0), MATCH(D$108,'崖行動・受け身'!$J$2:$M$2,0))</f>
        <v>55</v>
      </c>
      <c r="E113" s="113" t="str">
        <f t="array" ref="E113">INDEX('崖行動・受け身'!$J$3:$M$115, MATCH($A$1,'崖行動・受け身'!$A$3:$A$115,0), MATCH(E$108,'崖行動・受け身'!$J$2:$M$2,0))</f>
        <v>24-26</v>
      </c>
      <c r="F113" s="113">
        <f t="array" ref="F113">INDEX('崖行動・受け身'!$J$3:$M$115, MATCH($A$1,'崖行動・受け身'!$A$3:$A$115,0), MATCH(F$108,'崖行動・受け身'!$J$2:$M$2,0))</f>
        <v>10</v>
      </c>
      <c r="G113" s="113">
        <f>F113*1.2</f>
        <v>12</v>
      </c>
      <c r="H113" s="228"/>
      <c r="I113" s="228"/>
      <c r="J113" s="111"/>
      <c r="K113" s="146"/>
      <c r="L113" s="303" t="s">
        <v>229</v>
      </c>
      <c r="M113" s="113" t="str">
        <f t="array" ref="M113">INDEX('アイテム'!$I$3:$J$115, MATCH($A$1,'アイテム'!$A$3:$A$115,0), MATCH(M$111,'アイテム'!$I$2:$AK$2,0))</f>
        <v>11</v>
      </c>
      <c r="N113" s="113">
        <f t="array" ref="N113">INDEX('アイテム'!$I$3:$J$115, MATCH($A$1,'アイテム'!$A$3:$A$115,0), MATCH(N$111,'アイテム'!$I$2:$AK$2,0))</f>
        <v>24</v>
      </c>
      <c r="O113" s="111"/>
      <c r="P113" s="111"/>
      <c r="Q113" s="111"/>
      <c r="R113" s="111"/>
      <c r="S113" s="111"/>
      <c r="T113" s="111"/>
      <c r="U113" s="111"/>
      <c r="V113" s="111"/>
    </row>
    <row r="114" outlineLevel="1">
      <c r="A114" s="299" t="s">
        <v>244</v>
      </c>
      <c r="B114" s="300" t="s">
        <v>216</v>
      </c>
      <c r="C114" s="113" t="str">
        <f t="array" ref="C114">INDEX('崖行動・受け身'!$N$3:$O$115, MATCH($A$1,'崖行動・受け身'!$A$3:$A$115,0), MATCH(C$108,'崖行動・受け身'!$N$2:$O$2,0))</f>
        <v>1-20</v>
      </c>
      <c r="D114" s="113">
        <f t="array" ref="D114">INDEX('崖行動・受け身'!$N$3:$O$115, MATCH($A$1,'崖行動・受け身'!$A$3:$A$115,0), MATCH(D$108,'崖行動・受け身'!$N$2:$O$2,0))</f>
        <v>26</v>
      </c>
      <c r="E114" s="301"/>
      <c r="F114" s="301"/>
      <c r="G114" s="301"/>
      <c r="H114" s="228"/>
      <c r="I114" s="228"/>
      <c r="J114" s="117"/>
      <c r="K114" s="146"/>
      <c r="L114" s="303" t="s">
        <v>233</v>
      </c>
      <c r="M114" s="113" t="str">
        <f t="array" ref="M114">INDEX('アイテム'!$K$3:$L$115, MATCH($A$1,'アイテム'!$A$3:$A$115,0), MATCH(M$111,'アイテム'!$K$2:$AK$2,0))</f>
        <v>12</v>
      </c>
      <c r="N114" s="113">
        <f t="array" ref="N114">INDEX('アイテム'!$K$3:$L$115, MATCH($A$1,'アイテム'!$A$3:$A$115,0), MATCH(N$111,'アイテム'!$K$2:$AK$2,0))</f>
        <v>23</v>
      </c>
      <c r="O114" s="228"/>
      <c r="P114" s="228"/>
      <c r="Q114" s="228"/>
      <c r="R114" s="228"/>
      <c r="S114" s="228"/>
      <c r="T114" s="228"/>
      <c r="U114" s="228"/>
      <c r="V114" s="228"/>
    </row>
    <row r="115" outlineLevel="1">
      <c r="A115" s="146"/>
      <c r="B115" s="300" t="s">
        <v>245</v>
      </c>
      <c r="C115" s="113" t="str">
        <f t="array" ref="C115">INDEX('崖行動・受け身'!$P$3:$Q$115, MATCH($A$1,'崖行動・受け身'!$A$3:$A$115,0), MATCH(C$108,'崖行動・受け身'!$P$2:$Q$2,0))</f>
        <v>1-20</v>
      </c>
      <c r="D115" s="113">
        <f t="array" ref="D115">INDEX('崖行動・受け身'!$P$3:$Q$115, MATCH($A$1,'崖行動・受け身'!$A$3:$A$115,0), MATCH(D$108,'崖行動・受け身'!$P$2:$Q$2,0))</f>
        <v>40</v>
      </c>
      <c r="E115" s="301"/>
      <c r="F115" s="301"/>
      <c r="G115" s="301"/>
      <c r="H115" s="228"/>
      <c r="I115" s="228"/>
      <c r="J115" s="111"/>
      <c r="K115" s="146"/>
      <c r="L115" s="303" t="s">
        <v>234</v>
      </c>
      <c r="M115" s="113" t="str">
        <f t="array" ref="M115">INDEX('アイテム'!$M$3:$N$115, MATCH($A$1,'アイテム'!$A$3:$A$115,0), MATCH(M$111,'アイテム'!$M$2:$AK$2,0))</f>
        <v>7</v>
      </c>
      <c r="N115" s="113">
        <f t="array" ref="N115">INDEX('アイテム'!$M$3:$N$115, MATCH($A$1,'アイテム'!$A$3:$A$115,0), MATCH(N$111,'アイテム'!$M$2:$AK$2,0))</f>
        <v>19</v>
      </c>
      <c r="O115" s="118"/>
      <c r="P115" s="118"/>
      <c r="Q115" s="118"/>
      <c r="R115" s="118"/>
      <c r="S115" s="118"/>
      <c r="T115" s="118"/>
      <c r="U115" s="118"/>
      <c r="V115" s="118"/>
    </row>
    <row r="116" outlineLevel="1">
      <c r="A116" s="156"/>
      <c r="B116" s="300" t="s">
        <v>246</v>
      </c>
      <c r="C116" s="113" t="str">
        <f t="array" ref="C116">INDEX('崖行動・受け身'!$R$3:$S$115, MATCH($A$1,'崖行動・受け身'!$A$3:$A$115,0), MATCH(C$108,'崖行動・受け身'!$R$2:$S$2,0))</f>
        <v>1-20</v>
      </c>
      <c r="D116" s="113">
        <f t="array" ref="D116">INDEX('崖行動・受け身'!$R$3:$S$115, MATCH($A$1,'崖行動・受け身'!$A$3:$A$115,0), MATCH(D$108,'崖行動・受け身'!$R$2:$S$2,0))</f>
        <v>40</v>
      </c>
      <c r="E116" s="301"/>
      <c r="F116" s="301"/>
      <c r="G116" s="301"/>
      <c r="H116" s="228"/>
      <c r="I116" s="228"/>
      <c r="J116" s="117"/>
      <c r="K116" s="146"/>
      <c r="L116" s="306" t="s">
        <v>219</v>
      </c>
      <c r="M116" s="113" t="str">
        <f t="array" ref="M116">INDEX('アイテム'!$O$3:$P$115, MATCH($A$1,'アイテム'!$A$3:$A$115,0), MATCH(M$111,'アイテム'!$O$2:$AK$2,0))</f>
        <v>5</v>
      </c>
      <c r="N116" s="113">
        <f t="array" ref="N116">INDEX('アイテム'!$O$3:$P$115, MATCH($A$1,'アイテム'!$A$3:$A$115,0), MATCH(N$111,'アイテム'!$O$2:$AK$2,0))</f>
        <v>29</v>
      </c>
      <c r="O116" s="118"/>
      <c r="P116" s="118"/>
      <c r="Q116" s="118"/>
      <c r="R116" s="118"/>
      <c r="S116" s="118"/>
      <c r="T116" s="118"/>
      <c r="U116" s="118"/>
      <c r="V116" s="118"/>
    </row>
    <row r="117" outlineLevel="1">
      <c r="A117" s="299" t="s">
        <v>247</v>
      </c>
      <c r="B117" s="300" t="s">
        <v>248</v>
      </c>
      <c r="C117" s="301"/>
      <c r="D117" s="113" t="str">
        <f t="array" ref="D117">INDEX('起きあがり'!$C$3:$C$115, MATCH($A$1,'起きあがり'!$A$3:$A$115,0), MATCH(D$108,'起きあがり'!$C$2:$AD$2,0))</f>
        <v>25</v>
      </c>
      <c r="E117" s="301"/>
      <c r="F117" s="301"/>
      <c r="G117" s="301"/>
      <c r="H117" s="228"/>
      <c r="I117" s="228"/>
      <c r="J117" s="111"/>
      <c r="K117" s="156"/>
      <c r="L117" s="306" t="s">
        <v>263</v>
      </c>
      <c r="M117" s="113" t="str">
        <f t="array" ref="M117">INDEX('アイテム'!$Q$3:$R$115, MATCH($A$1,'アイテム'!$A$3:$A$115,0), MATCH(M$111,'アイテム'!$Q$2:$AK$2,0))</f>
        <v>6</v>
      </c>
      <c r="N117" s="113">
        <f t="array" ref="N117">INDEX('アイテム'!$Q$3:$R$115, MATCH($A$1,'アイテム'!$A$3:$A$115,0), MATCH(N$111,'アイテム'!$Q$2:$AK$2,0))</f>
        <v>23</v>
      </c>
      <c r="O117" s="118"/>
      <c r="P117" s="118"/>
      <c r="Q117" s="118"/>
      <c r="R117" s="118"/>
      <c r="S117" s="118"/>
      <c r="T117" s="118"/>
      <c r="U117" s="118"/>
      <c r="V117" s="118"/>
    </row>
    <row r="118" outlineLevel="1">
      <c r="A118" s="146"/>
      <c r="B118" s="300" t="s">
        <v>216</v>
      </c>
      <c r="C118" s="307" t="str">
        <f t="array" ref="C118">INDEX('起きあがり'!$D$3:$E$115, MATCH($A$1,'起きあがり'!$A$3:$A$115,0), MATCH(C$108,'起きあがり'!$D$2:$AD$2,0))</f>
        <v>1-22</v>
      </c>
      <c r="D118" s="308">
        <f t="array" ref="D118">INDEX('起きあがり'!$D$3:$E$115, MATCH($A$1,'起きあがり'!$A$3:$A$115,0), MATCH(D$108,'起きあがり'!$D$2:$AD$2,0))</f>
        <v>29</v>
      </c>
      <c r="E118" s="301"/>
      <c r="F118" s="301"/>
      <c r="G118" s="301"/>
      <c r="H118" s="228"/>
      <c r="I118" s="228"/>
      <c r="J118" s="117"/>
      <c r="K118" s="305" t="s">
        <v>264</v>
      </c>
      <c r="L118" s="303" t="s">
        <v>226</v>
      </c>
      <c r="M118" s="113" t="str">
        <f t="array" ref="M118">INDEX('アイテム'!$S$3:$T$115, MATCH($A$1,'アイテム'!$A$3:$A$115,0), MATCH(M$111,'アイテム'!$S$2:$AK$2,0))</f>
        <v>8</v>
      </c>
      <c r="N118" s="113">
        <f t="array" ref="N118">INDEX('アイテム'!$S$3:$T$115, MATCH($A$1,'アイテム'!$A$3:$A$115,0), MATCH(N$111,'アイテム'!$S$2:$AK$2,0))</f>
        <v>24</v>
      </c>
      <c r="O118" s="118"/>
      <c r="P118" s="118"/>
      <c r="Q118" s="118"/>
      <c r="R118" s="118"/>
      <c r="S118" s="118"/>
      <c r="T118" s="118"/>
      <c r="U118" s="118"/>
      <c r="V118" s="118"/>
    </row>
    <row r="119" outlineLevel="1">
      <c r="A119" s="146"/>
      <c r="B119" s="300" t="s">
        <v>245</v>
      </c>
      <c r="C119" s="307" t="str">
        <f t="array" ref="C119">INDEX('起きあがり'!$F$3:$G$115, MATCH($A$1,'起きあがり'!$A$3:$A$115,0), MATCH(C$108,'起きあがり'!$F$2:$AD$2,0))</f>
        <v>1-21</v>
      </c>
      <c r="D119" s="308">
        <f t="array" ref="D119">INDEX('起きあがり'!$F$3:$G$115, MATCH($A$1,'起きあがり'!$A$3:$A$115,0), MATCH(D$108,'起きあがり'!$F$2:$AD$2,0))</f>
        <v>35</v>
      </c>
      <c r="E119" s="301"/>
      <c r="F119" s="301"/>
      <c r="G119" s="301"/>
      <c r="H119" s="228"/>
      <c r="I119" s="228"/>
      <c r="J119" s="111"/>
      <c r="K119" s="146"/>
      <c r="L119" s="303" t="s">
        <v>229</v>
      </c>
      <c r="M119" s="113" t="str">
        <f t="array" ref="M119">INDEX('アイテム'!$U$3:$V$115, MATCH($A$1,'アイテム'!$A$3:$A$115,0), MATCH(M$111,'アイテム'!$U$2:$AK$2,0))</f>
        <v>11</v>
      </c>
      <c r="N119" s="113">
        <f t="array" ref="N119">INDEX('アイテム'!$U$3:$V$115, MATCH($A$1,'アイテム'!$A$3:$A$115,0), MATCH(N$111,'アイテム'!$U$2:$AK$2,0))</f>
        <v>24</v>
      </c>
      <c r="O119" s="118"/>
      <c r="P119" s="118"/>
      <c r="Q119" s="118"/>
      <c r="R119" s="118"/>
      <c r="S119" s="118"/>
      <c r="T119" s="118"/>
      <c r="U119" s="118"/>
      <c r="V119" s="118"/>
    </row>
    <row r="120" outlineLevel="1">
      <c r="A120" s="146"/>
      <c r="B120" s="300" t="s">
        <v>246</v>
      </c>
      <c r="C120" s="113" t="str">
        <f t="array" ref="C120">INDEX('起きあがり'!$H$3:$I$115, MATCH($A$1,'起きあがり'!$A$3:$A$115,0), MATCH(C$108,'起きあがり'!$H$2:$AD$2,0))</f>
        <v>1-22</v>
      </c>
      <c r="D120" s="113">
        <f t="array" ref="D120">INDEX('起きあがり'!$H$3:$I$115, MATCH($A$1,'起きあがり'!$A$3:$A$115,0), MATCH(D$108,'起きあがり'!$H$2:$AD$2,0))</f>
        <v>35</v>
      </c>
      <c r="E120" s="301"/>
      <c r="F120" s="301"/>
      <c r="G120" s="301"/>
      <c r="H120" s="228"/>
      <c r="I120" s="228"/>
      <c r="J120" s="117"/>
      <c r="K120" s="146"/>
      <c r="L120" s="303" t="s">
        <v>233</v>
      </c>
      <c r="M120" s="113" t="str">
        <f t="array" ref="M120">INDEX('アイテム'!$W$3:$X$115, MATCH($A$1,'アイテム'!$A$3:$A$115,0), MATCH(M$111,'アイテム'!$W$2:$AK$2,0))</f>
        <v>12</v>
      </c>
      <c r="N120" s="113">
        <f t="array" ref="N120">INDEX('アイテム'!$W$3:$X$115, MATCH($A$1,'アイテム'!$A$3:$A$115,0), MATCH(N$111,'アイテム'!$W$2:$AK$2,0))</f>
        <v>23</v>
      </c>
      <c r="O120" s="118"/>
      <c r="P120" s="118"/>
      <c r="Q120" s="118"/>
      <c r="R120" s="118"/>
      <c r="S120" s="118"/>
      <c r="T120" s="118"/>
      <c r="U120" s="118"/>
      <c r="V120" s="118"/>
    </row>
    <row r="121" outlineLevel="1">
      <c r="A121" s="146"/>
      <c r="B121" s="300" t="s">
        <v>249</v>
      </c>
      <c r="C121" s="309" t="str">
        <f t="array" ref="C121">INDEX('起きあがり'!$J$3:$M$115, MATCH($A$1,'起きあがり'!$A$3:$A$115,0), MATCH(C$108,'起きあがり'!$J$2:$AD$2,0))</f>
        <v>1-25</v>
      </c>
      <c r="D121" s="310">
        <f t="array" ref="D121">INDEX('起きあがり'!$J$3:$M$115, MATCH($A$1,'起きあがり'!$A$3:$A$115,0), MATCH(D$108,'起きあがり'!$J$2:$AD$2,0))</f>
        <v>45</v>
      </c>
      <c r="E121" s="307" t="str">
        <f t="array" ref="E121">INDEX('起きあがり'!$J$3:$M$115, MATCH($A$1,'起きあがり'!$A$3:$A$115,0), MATCH(E$108,'起きあがり'!$J$2:$AD$2,0))</f>
        <v>19-20</v>
      </c>
      <c r="F121" s="308">
        <f t="array" ref="F121">INDEX('起きあがり'!$J$3:$M$115, MATCH($A$1,'起きあがり'!$A$3:$A$115,0), MATCH(F$108,'起きあがり'!$J$2:$AD$2,0))</f>
        <v>7</v>
      </c>
      <c r="G121" s="113">
        <f t="shared" ref="G121:G122" si="2">F121*1.2</f>
        <v>8.4</v>
      </c>
      <c r="H121" s="228"/>
      <c r="I121" s="228"/>
      <c r="J121" s="111"/>
      <c r="K121" s="156"/>
      <c r="L121" s="303" t="s">
        <v>234</v>
      </c>
      <c r="M121" s="113" t="str">
        <f t="array" ref="M121">INDEX('アイテム'!$Y$3:$Z$115, MATCH($A$1,'アイテム'!$A$3:$A$115,0), MATCH(M$111,'アイテム'!$Y$2:$AK$2,0))</f>
        <v>7</v>
      </c>
      <c r="N121" s="113">
        <f t="array" ref="N121">INDEX('アイテム'!$Y$3:$Z$115, MATCH($A$1,'アイテム'!$A$3:$A$115,0), MATCH(N$111,'アイテム'!$Y$2:$AK$2,0))</f>
        <v>19</v>
      </c>
      <c r="O121" s="111"/>
      <c r="P121" s="111"/>
      <c r="Q121" s="111"/>
      <c r="R121" s="111"/>
      <c r="S121" s="111"/>
      <c r="T121" s="111"/>
      <c r="U121" s="111"/>
      <c r="V121" s="111"/>
    </row>
    <row r="122" outlineLevel="1">
      <c r="A122" s="156"/>
      <c r="B122" s="311" t="s">
        <v>250</v>
      </c>
      <c r="C122" s="156"/>
      <c r="D122" s="156"/>
      <c r="E122" s="307" t="str">
        <f t="array" ref="E122">INDEX('起きあがり'!$N$3:$O$115, MATCH($A$1,'起きあがり'!$A$3:$A$115,0), MATCH(E$108,'起きあがり'!$N$2:$AD$2,0))</f>
        <v>24-25</v>
      </c>
      <c r="F122" s="308">
        <f t="array" ref="F122">INDEX('起きあがり'!$N$3:$O$115, MATCH($A$1,'起きあがり'!$A$3:$A$115,0), MATCH(F$108,'起きあがり'!$N$2:$AD$2,0))</f>
        <v>7</v>
      </c>
      <c r="G122" s="113">
        <f t="shared" si="2"/>
        <v>8.4</v>
      </c>
      <c r="H122" s="228"/>
      <c r="I122" s="228"/>
      <c r="J122" s="111"/>
      <c r="K122" s="312" t="s">
        <v>5390</v>
      </c>
      <c r="L122" s="168"/>
      <c r="M122" s="298" t="s">
        <v>49</v>
      </c>
      <c r="N122" s="114"/>
      <c r="O122" s="111"/>
      <c r="P122" s="111"/>
      <c r="Q122" s="111"/>
      <c r="R122" s="111"/>
      <c r="S122" s="111"/>
      <c r="T122" s="111"/>
      <c r="U122" s="111"/>
      <c r="V122" s="111"/>
    </row>
    <row r="123" outlineLevel="1">
      <c r="A123" s="299" t="s">
        <v>251</v>
      </c>
      <c r="B123" s="300" t="s">
        <v>248</v>
      </c>
      <c r="C123" s="301"/>
      <c r="D123" s="307" t="str">
        <f t="array" ref="D123">INDEX('起きあがり'!$C$3:$C$115, MATCH($A$1,'起きあがり'!$A$3:$A$115,0), MATCH(D$108,'起きあがり'!$C$2:$AD$2,0))</f>
        <v>25</v>
      </c>
      <c r="E123" s="301"/>
      <c r="F123" s="301"/>
      <c r="G123" s="301"/>
      <c r="H123" s="228"/>
      <c r="I123" s="228"/>
      <c r="J123" s="117"/>
      <c r="K123" s="313" t="s">
        <v>693</v>
      </c>
      <c r="L123" s="314" t="s">
        <v>693</v>
      </c>
      <c r="M123" s="113" t="str">
        <f t="array" ref="M123">INDEX('共通動作その他'!$C$3:$C$102, MATCH($A$1,'共通動作その他'!$A$3:$A$102,0), MATCH(M$122,'共通動作その他'!$C$2:$AA$2,0))</f>
        <v>-</v>
      </c>
      <c r="N123" s="315"/>
      <c r="O123" s="111"/>
      <c r="P123" s="111"/>
      <c r="Q123" s="111"/>
      <c r="R123" s="111"/>
      <c r="S123" s="111"/>
      <c r="T123" s="111"/>
      <c r="U123" s="111"/>
      <c r="V123" s="111"/>
    </row>
    <row r="124" outlineLevel="1">
      <c r="A124" s="146"/>
      <c r="B124" s="300" t="s">
        <v>216</v>
      </c>
      <c r="C124" s="307" t="str">
        <f t="array" ref="C124">INDEX('起きあがり'!$P$3:$Q$115, MATCH($A$1,'起きあがり'!$A$3:$A$115,0), MATCH(C$108,'起きあがり'!$P$2:$AD$2,0))</f>
        <v>1-22</v>
      </c>
      <c r="D124" s="308">
        <f t="array" ref="D124">INDEX('起きあがり'!$P$3:$Q$115, MATCH($A$1,'起きあがり'!$A$3:$A$115,0), MATCH(D$108,'起きあがり'!$P$2:$AD$2,0))</f>
        <v>29</v>
      </c>
      <c r="E124" s="301"/>
      <c r="F124" s="301"/>
      <c r="G124" s="301"/>
      <c r="H124" s="228"/>
      <c r="I124" s="228"/>
      <c r="J124" s="111"/>
      <c r="K124" s="305" t="s">
        <v>2602</v>
      </c>
      <c r="L124" s="314" t="s">
        <v>5391</v>
      </c>
      <c r="M124" s="113" t="str">
        <f t="array" ref="M124">INDEX('共通動作その他'!$D$3:$D$102, MATCH($A$1,'共通動作その他'!$A$3:$A$102,0), MATCH(M$122,'共通動作その他'!$D$2:$AA$2,0))</f>
        <v>-</v>
      </c>
      <c r="N124" s="315"/>
      <c r="O124" s="228"/>
      <c r="P124" s="228"/>
      <c r="Q124" s="228"/>
      <c r="R124" s="228"/>
      <c r="S124" s="228"/>
      <c r="T124" s="228"/>
      <c r="U124" s="228"/>
      <c r="V124" s="228"/>
    </row>
    <row r="125" outlineLevel="1">
      <c r="A125" s="146"/>
      <c r="B125" s="300" t="s">
        <v>245</v>
      </c>
      <c r="C125" s="307" t="str">
        <f t="array" ref="C125">INDEX('起きあがり'!$R$3:$S$115, MATCH($A$1,'起きあがり'!$A$3:$A$115,0), MATCH(C$108,'起きあがり'!$R$2:$AD$2,0))</f>
        <v>1-19</v>
      </c>
      <c r="D125" s="308">
        <f t="array" ref="D125">INDEX('起きあがり'!$R$3:$S$115, MATCH($A$1,'起きあがり'!$A$3:$A$115,0), MATCH(D$108,'起きあがり'!$R$2:$AD$2,0))</f>
        <v>35</v>
      </c>
      <c r="E125" s="301"/>
      <c r="F125" s="301"/>
      <c r="G125" s="301"/>
      <c r="H125" s="228"/>
      <c r="I125" s="228"/>
      <c r="J125" s="117"/>
      <c r="K125" s="146"/>
      <c r="L125" s="314" t="s">
        <v>5392</v>
      </c>
      <c r="M125" s="113" t="str">
        <f t="array" ref="M125">INDEX('共通動作その他'!$E$3:$E$102, MATCH($A$1,'共通動作その他'!$A$3:$A$102,0), MATCH(M$122,'共通動作その他'!$E$2:$AA$2,0))</f>
        <v>-</v>
      </c>
      <c r="N125" s="102"/>
      <c r="O125" s="118"/>
      <c r="P125" s="118"/>
      <c r="Q125" s="118"/>
      <c r="R125" s="118"/>
      <c r="S125" s="118"/>
      <c r="T125" s="118"/>
      <c r="U125" s="118"/>
      <c r="V125" s="118"/>
    </row>
    <row r="126" outlineLevel="1">
      <c r="A126" s="146"/>
      <c r="B126" s="300" t="s">
        <v>246</v>
      </c>
      <c r="C126" s="307" t="str">
        <f t="array" ref="C126">INDEX('起きあがり'!$T$3:$U$115, MATCH($A$1,'起きあがり'!$A$3:$A$115,0), MATCH(C$108,'起きあがり'!$T$2:$AD$2,0))</f>
        <v>1-24</v>
      </c>
      <c r="D126" s="308">
        <f t="array" ref="D126">INDEX('起きあがり'!$T$3:$U$115, MATCH($A$1,'起きあがり'!$A$3:$A$115,0), MATCH(D$108,'起きあがり'!$T$2:$AD$2,0))</f>
        <v>35</v>
      </c>
      <c r="E126" s="301"/>
      <c r="F126" s="301"/>
      <c r="G126" s="301"/>
      <c r="H126" s="228"/>
      <c r="I126" s="228"/>
      <c r="J126" s="111"/>
      <c r="K126" s="146"/>
      <c r="L126" s="314" t="s">
        <v>5393</v>
      </c>
      <c r="M126" s="113" t="str">
        <f t="array" ref="M126">INDEX('共通動作その他'!$F$3:$F$102, MATCH($A$1,'共通動作その他'!$A$3:$A$102,0), MATCH(M$122,'共通動作その他'!$F$2:$AA$2,0))</f>
        <v>-</v>
      </c>
      <c r="N126" s="102"/>
      <c r="O126" s="118"/>
      <c r="P126" s="118"/>
      <c r="Q126" s="118"/>
      <c r="R126" s="118"/>
      <c r="S126" s="118"/>
      <c r="T126" s="118"/>
      <c r="U126" s="118"/>
      <c r="V126" s="118"/>
    </row>
    <row r="127" outlineLevel="1">
      <c r="A127" s="146"/>
      <c r="B127" s="300" t="s">
        <v>249</v>
      </c>
      <c r="C127" s="309" t="str">
        <f t="array" ref="C127">INDEX('起きあがり'!$V$3:$Y$115, MATCH($A$1,'起きあがり'!$A$3:$A$115,0), MATCH(C$108,'起きあがり'!$V$2:$AD$2,0))</f>
        <v>1-22</v>
      </c>
      <c r="D127" s="310">
        <f t="array" ref="D127">INDEX('起きあがり'!$V$3:$Y$115, MATCH($A$1,'起きあがり'!$A$3:$A$115,0), MATCH(D$108,'起きあがり'!$V$2:$AD$2,0))</f>
        <v>45</v>
      </c>
      <c r="E127" s="307" t="str">
        <f t="array" ref="E127">INDEX('起きあがり'!$V$3:$Y$115, MATCH($A$1,'起きあがり'!$A$3:$A$115,0), MATCH(E$108,'起きあがり'!$V$2:$AD$2,0))</f>
        <v>16-17</v>
      </c>
      <c r="F127" s="308">
        <f t="array" ref="F127">INDEX('起きあがり'!$V$3:$Y$115, MATCH($A$1,'起きあがり'!$A$3:$A$115,0), MATCH(F$108,'起きあがり'!$V$2:$AD$2,0))</f>
        <v>7</v>
      </c>
      <c r="G127" s="113">
        <f t="shared" ref="G127:G128" si="3">F127*1.2</f>
        <v>8.4</v>
      </c>
      <c r="H127" s="228"/>
      <c r="I127" s="228"/>
      <c r="J127" s="117"/>
      <c r="K127" s="146"/>
      <c r="L127" s="314" t="s">
        <v>5394</v>
      </c>
      <c r="M127" s="113" t="str">
        <f t="array" ref="M127">INDEX('共通動作その他'!$G$3:$G$102, MATCH($A$1,'共通動作その他'!$A$3:$A$102,0), MATCH(M$122,'共通動作その他'!$G$2:$AA$2,0))</f>
        <v>-</v>
      </c>
      <c r="N127" s="102"/>
      <c r="O127" s="118"/>
      <c r="P127" s="118"/>
      <c r="Q127" s="118"/>
      <c r="R127" s="118"/>
      <c r="S127" s="118"/>
      <c r="T127" s="118"/>
      <c r="U127" s="118"/>
      <c r="V127" s="118"/>
    </row>
    <row r="128" outlineLevel="1">
      <c r="A128" s="156"/>
      <c r="B128" s="311" t="s">
        <v>250</v>
      </c>
      <c r="C128" s="156"/>
      <c r="D128" s="156"/>
      <c r="E128" s="307" t="str">
        <f t="array" ref="E128">INDEX('起きあがり'!$Z$3:$AA$115, MATCH($A$1,'起きあがり'!$A$3:$A$115,0), MATCH(E$108,'起きあがり'!$Z$2:$AD$2,0))</f>
        <v>21-22</v>
      </c>
      <c r="F128" s="308">
        <f t="array" ref="F128">INDEX('起きあがり'!$Z$3:$AA$115, MATCH($A$1,'起きあがり'!$A$3:$A$115,0), MATCH(F$108,'起きあがり'!$Z$2:$AD$2,0))</f>
        <v>7</v>
      </c>
      <c r="G128" s="113">
        <f t="shared" si="3"/>
        <v>8.4</v>
      </c>
      <c r="H128" s="228"/>
      <c r="I128" s="228"/>
      <c r="J128" s="117"/>
      <c r="K128" s="304" t="s">
        <v>5395</v>
      </c>
      <c r="L128" s="110"/>
      <c r="M128" s="298" t="s">
        <v>49</v>
      </c>
      <c r="N128" s="102"/>
      <c r="O128" s="118"/>
      <c r="P128" s="118"/>
      <c r="Q128" s="118"/>
      <c r="R128" s="118"/>
      <c r="S128" s="118"/>
      <c r="T128" s="118"/>
      <c r="U128" s="118"/>
      <c r="V128" s="118"/>
    </row>
    <row r="129" outlineLevel="1">
      <c r="A129" s="299" t="s">
        <v>252</v>
      </c>
      <c r="B129" s="300" t="s">
        <v>253</v>
      </c>
      <c r="C129" s="307" t="str">
        <f t="array" ref="C129">INDEX('転倒'!$C$3:$D$115, MATCH($A$1,'転倒'!$A$3:$A$115,0), MATCH(C$108,'転倒'!$C$2:$AC$2,0))</f>
        <v>1-5</v>
      </c>
      <c r="D129" s="308">
        <f t="array" ref="D129">INDEX('転倒'!$C$3:$D$115, MATCH($A$1,'転倒'!$A$3:$A$115,0), MATCH(D$108,'転倒'!$C$2:$AC$2,0))</f>
        <v>29</v>
      </c>
      <c r="E129" s="301"/>
      <c r="F129" s="301"/>
      <c r="G129" s="301"/>
      <c r="H129" s="228"/>
      <c r="I129" s="228"/>
      <c r="J129" s="111"/>
      <c r="K129" s="313" t="s">
        <v>5396</v>
      </c>
      <c r="L129" s="306" t="s">
        <v>5397</v>
      </c>
      <c r="M129" s="113" t="str">
        <f t="array" ref="M129">INDEX('共通動作その他'!$H$3:$H$102, MATCH($A$1,'共通動作その他'!$A$3:$A$102,0), MATCH(M$128,'共通動作その他'!$H$2:$AA$2,0))</f>
        <v>-</v>
      </c>
      <c r="N129" s="315"/>
      <c r="O129" s="118"/>
      <c r="P129" s="118"/>
      <c r="Q129" s="118"/>
      <c r="R129" s="118"/>
      <c r="S129" s="118"/>
      <c r="T129" s="118"/>
      <c r="U129" s="118"/>
      <c r="V129" s="118"/>
    </row>
    <row r="130" outlineLevel="1">
      <c r="A130" s="146"/>
      <c r="B130" s="300" t="s">
        <v>254</v>
      </c>
      <c r="C130" s="307" t="str">
        <f t="array" ref="C130">INDEX('転倒'!$E$3:$F$115, MATCH($A$1,'転倒'!$A$3:$A$115,0), MATCH(C$108,'転倒'!$E$2:$AC$2,0))</f>
        <v>1-5</v>
      </c>
      <c r="D130" s="308">
        <f t="array" ref="D130">INDEX('転倒'!$E$3:$F$115, MATCH($A$1,'転倒'!$A$3:$A$115,0), MATCH(D$108,'転倒'!$E$2:$AC$2,0))</f>
        <v>39</v>
      </c>
      <c r="E130" s="301"/>
      <c r="F130" s="301"/>
      <c r="G130" s="301"/>
      <c r="H130" s="228"/>
      <c r="I130" s="228"/>
      <c r="J130" s="117"/>
      <c r="K130" s="313" t="s">
        <v>5398</v>
      </c>
      <c r="L130" s="306" t="s">
        <v>5397</v>
      </c>
      <c r="M130" s="113" t="str">
        <f t="array" ref="M130">INDEX('共通動作その他'!$I$3:$I$102, MATCH($A$1,'共通動作その他'!$A$3:$A$102,0), MATCH(M$128,'共通動作その他'!$I$2:$AA$2,0))</f>
        <v>-</v>
      </c>
      <c r="N130" s="315"/>
      <c r="O130" s="118"/>
      <c r="P130" s="118"/>
      <c r="Q130" s="118"/>
      <c r="R130" s="118"/>
      <c r="S130" s="118"/>
      <c r="T130" s="118"/>
      <c r="U130" s="118"/>
      <c r="V130" s="118"/>
    </row>
    <row r="131" outlineLevel="1">
      <c r="A131" s="146"/>
      <c r="B131" s="300" t="s">
        <v>216</v>
      </c>
      <c r="C131" s="307" t="str">
        <f t="array" ref="C131">INDEX('転倒'!$G$3:$H$115, MATCH($A$1,'転倒'!$A$3:$A$115,0), MATCH(C$108,'転倒'!$G$2:$AC$2,0))</f>
        <v>1-16</v>
      </c>
      <c r="D131" s="308">
        <f t="array" ref="D131">INDEX('転倒'!$G$3:$H$115, MATCH($A$1,'転倒'!$A$3:$A$115,0), MATCH(D$108,'転倒'!$G$2:$AC$2,0))</f>
        <v>21</v>
      </c>
      <c r="E131" s="301"/>
      <c r="F131" s="301"/>
      <c r="G131" s="301"/>
      <c r="H131" s="228"/>
      <c r="I131" s="228"/>
      <c r="J131" s="111"/>
      <c r="K131" s="102"/>
      <c r="L131" s="118"/>
      <c r="M131" s="118"/>
      <c r="N131" s="102"/>
      <c r="O131" s="118"/>
      <c r="P131" s="118"/>
      <c r="Q131" s="118"/>
      <c r="R131" s="118"/>
      <c r="S131" s="118"/>
      <c r="T131" s="118"/>
      <c r="U131" s="118"/>
      <c r="V131" s="118"/>
    </row>
    <row r="132" outlineLevel="1">
      <c r="A132" s="146"/>
      <c r="B132" s="300" t="s">
        <v>245</v>
      </c>
      <c r="C132" s="307" t="str">
        <f t="array" ref="C132">INDEX('転倒'!$I$3:$J$115, MATCH($A$1,'転倒'!$A$3:$A$115,0), MATCH(C$108,'転倒'!$I$2:$AC$2,0))</f>
        <v>1-9</v>
      </c>
      <c r="D132" s="308">
        <f t="array" ref="D132">INDEX('転倒'!$I$3:$J$115, MATCH($A$1,'転倒'!$A$3:$A$115,0), MATCH(D$108,'転倒'!$I$2:$AC$2,0))</f>
        <v>28</v>
      </c>
      <c r="E132" s="301"/>
      <c r="F132" s="301"/>
      <c r="G132" s="301"/>
      <c r="H132" s="228"/>
      <c r="I132" s="228"/>
      <c r="J132" s="228"/>
      <c r="K132" s="102"/>
      <c r="L132" s="118"/>
      <c r="M132" s="118"/>
      <c r="N132" s="102"/>
      <c r="O132" s="118"/>
      <c r="P132" s="118"/>
      <c r="Q132" s="118"/>
      <c r="R132" s="118"/>
      <c r="S132" s="118"/>
      <c r="T132" s="118"/>
      <c r="U132" s="118"/>
      <c r="V132" s="118"/>
    </row>
    <row r="133" outlineLevel="1">
      <c r="A133" s="146"/>
      <c r="B133" s="300" t="s">
        <v>246</v>
      </c>
      <c r="C133" s="307" t="str">
        <f t="array" ref="C133">INDEX('転倒'!$K$3:$L$115, MATCH($A$1,'転倒'!$A$3:$A$115,0), MATCH(C$108,'転倒'!$K$2:$AC$2,0))</f>
        <v>1-9</v>
      </c>
      <c r="D133" s="308">
        <f t="array" ref="D133">INDEX('転倒'!$K$3:$L$115, MATCH($A$1,'転倒'!$A$3:$A$115,0), MATCH(D$108,'転倒'!$K$2:$AC$2,0))</f>
        <v>28</v>
      </c>
      <c r="E133" s="301"/>
      <c r="F133" s="301"/>
      <c r="G133" s="301"/>
      <c r="H133" s="228"/>
      <c r="I133" s="228"/>
      <c r="J133" s="228"/>
      <c r="K133" s="102"/>
      <c r="L133" s="118"/>
      <c r="M133" s="118"/>
      <c r="N133" s="102"/>
      <c r="O133" s="118"/>
      <c r="P133" s="118"/>
      <c r="Q133" s="118"/>
      <c r="R133" s="118"/>
      <c r="S133" s="118"/>
      <c r="T133" s="118"/>
      <c r="U133" s="118"/>
      <c r="V133" s="118"/>
    </row>
    <row r="134" outlineLevel="1">
      <c r="A134" s="146"/>
      <c r="B134" s="300" t="s">
        <v>249</v>
      </c>
      <c r="C134" s="309" t="str">
        <f t="array" ref="C134">INDEX('転倒'!$M$3:$P$115, MATCH($A$1,'転倒'!$A$3:$A$115,0), MATCH(C$108,'転倒'!$M$2:$AC$2,0))</f>
        <v>1-7</v>
      </c>
      <c r="D134" s="310">
        <f t="array" ref="D134">INDEX('転倒'!$M$3:$P$115, MATCH($A$1,'転倒'!$A$3:$A$115,0), MATCH(D$108,'転倒'!$M$2:$AC$2,0))</f>
        <v>49</v>
      </c>
      <c r="E134" s="307" t="str">
        <f t="array" ref="E134">INDEX('転倒'!$M$3:$P$115, MATCH($A$1,'転倒'!$A$3:$A$115,0), MATCH(E$108,'転倒'!$M$2:$AC$2,0))</f>
        <v>19-20</v>
      </c>
      <c r="F134" s="308">
        <f t="array" ref="F134">INDEX('転倒'!$M$3:$P$115, MATCH($A$1,'転倒'!$A$3:$A$115,0), MATCH(F$108,'転倒'!$M$2:$AC$2,0))</f>
        <v>5</v>
      </c>
      <c r="G134" s="113">
        <f t="shared" ref="G134:G135" si="4">F134*1.2</f>
        <v>6</v>
      </c>
      <c r="H134" s="228"/>
      <c r="I134" s="228"/>
      <c r="J134" s="228"/>
      <c r="K134" s="118"/>
      <c r="L134" s="118"/>
      <c r="M134" s="118"/>
      <c r="N134" s="102"/>
      <c r="O134" s="102"/>
      <c r="P134" s="102"/>
      <c r="Q134" s="102"/>
      <c r="R134" s="118"/>
      <c r="S134" s="118"/>
      <c r="T134" s="118"/>
      <c r="U134" s="118"/>
      <c r="V134" s="118"/>
    </row>
    <row r="135" outlineLevel="1">
      <c r="A135" s="156"/>
      <c r="B135" s="311" t="s">
        <v>250</v>
      </c>
      <c r="C135" s="156"/>
      <c r="D135" s="156"/>
      <c r="E135" s="307" t="str">
        <f t="array" ref="E135">INDEX('転倒'!$Q$3:$R$115, MATCH($A$1,'転倒'!$A$3:$A$115,0), MATCH(E$108,'転倒'!$Q$2:$AC$2,0))</f>
        <v>31-32</v>
      </c>
      <c r="F135" s="308">
        <f t="array" ref="F135">INDEX('転倒'!$Q$3:$R$115, MATCH($A$1,'転倒'!$A$3:$A$115,0), MATCH(F$108,'転倒'!$Q$2:$AC$2,0))</f>
        <v>5</v>
      </c>
      <c r="G135" s="113">
        <f t="shared" si="4"/>
        <v>6</v>
      </c>
      <c r="H135" s="228"/>
      <c r="I135" s="228"/>
      <c r="J135" s="228"/>
      <c r="K135" s="118"/>
      <c r="L135" s="118"/>
      <c r="M135" s="118"/>
      <c r="N135" s="102"/>
      <c r="O135" s="102"/>
      <c r="P135" s="102"/>
      <c r="Q135" s="102"/>
      <c r="R135" s="118"/>
      <c r="S135" s="118"/>
      <c r="T135" s="118"/>
      <c r="U135" s="118"/>
      <c r="V135" s="118"/>
    </row>
    <row r="136" outlineLevel="1">
      <c r="A136" s="319"/>
      <c r="B136" s="320"/>
      <c r="C136" s="321"/>
      <c r="D136" s="321"/>
      <c r="E136" s="322"/>
      <c r="F136" s="322"/>
      <c r="G136" s="114"/>
      <c r="H136" s="228"/>
      <c r="I136" s="228"/>
      <c r="J136" s="228"/>
      <c r="K136" s="118"/>
      <c r="L136" s="118"/>
      <c r="M136" s="118"/>
      <c r="N136" s="102"/>
      <c r="O136" s="102"/>
      <c r="P136" s="102"/>
      <c r="Q136" s="102"/>
      <c r="R136" s="118"/>
      <c r="S136" s="118"/>
      <c r="T136" s="118"/>
      <c r="U136" s="118"/>
      <c r="V136" s="118"/>
    </row>
    <row r="137" outlineLevel="1">
      <c r="A137" s="323" t="s">
        <v>255</v>
      </c>
      <c r="B137" s="109"/>
      <c r="C137" s="321"/>
      <c r="D137" s="321"/>
      <c r="E137" s="322"/>
      <c r="F137" s="322"/>
      <c r="G137" s="114"/>
      <c r="H137" s="228"/>
      <c r="I137" s="228"/>
      <c r="J137" s="228"/>
      <c r="K137" s="118"/>
      <c r="L137" s="118"/>
      <c r="M137" s="118"/>
      <c r="N137" s="102"/>
      <c r="O137" s="102"/>
      <c r="P137" s="102"/>
      <c r="Q137" s="102"/>
      <c r="R137" s="118"/>
      <c r="S137" s="118"/>
      <c r="T137" s="118"/>
      <c r="U137" s="118"/>
      <c r="V137" s="118"/>
    </row>
    <row r="138" outlineLevel="1">
      <c r="A138" s="324" t="s">
        <v>256</v>
      </c>
      <c r="B138" s="109"/>
      <c r="C138" s="325" t="s">
        <v>257</v>
      </c>
      <c r="D138" s="325" t="s">
        <v>49</v>
      </c>
      <c r="E138" s="322"/>
      <c r="F138" s="322"/>
      <c r="G138" s="114"/>
      <c r="H138" s="228"/>
      <c r="I138" s="228"/>
      <c r="J138" s="228"/>
      <c r="K138" s="118"/>
      <c r="L138" s="118"/>
      <c r="M138" s="118"/>
      <c r="N138" s="102"/>
      <c r="O138" s="102"/>
      <c r="P138" s="102"/>
      <c r="Q138" s="102"/>
      <c r="R138" s="118"/>
      <c r="S138" s="118"/>
      <c r="T138" s="118"/>
      <c r="U138" s="118"/>
      <c r="V138" s="118"/>
    </row>
    <row r="139" outlineLevel="1">
      <c r="A139" s="326" t="s">
        <v>258</v>
      </c>
      <c r="B139" s="327" t="s">
        <v>216</v>
      </c>
      <c r="C139" s="328" t="str">
        <f t="array" ref="C139">INDEX('アイテム'!$C$3:$D$114, MATCH($A$1,'アイテム'!$A$3:$A$114,0), MATCH(C138,'アイテム'!$C$2:$AQ$2,0))</f>
        <v>2</v>
      </c>
      <c r="D139" s="328">
        <f t="array" ref="D139">INDEX('アイテム'!$C$3:$D$114, MATCH($A$1,'アイテム'!$A$3:$A$114,0), MATCH(D138,'アイテム'!$C$2:$AQ$2,0))</f>
        <v>7</v>
      </c>
      <c r="E139" s="322"/>
      <c r="F139" s="322"/>
      <c r="G139" s="114"/>
      <c r="H139" s="228"/>
      <c r="I139" s="228"/>
      <c r="J139" s="228"/>
      <c r="K139" s="118"/>
      <c r="L139" s="118"/>
      <c r="M139" s="118"/>
      <c r="N139" s="102"/>
      <c r="O139" s="102"/>
      <c r="P139" s="102"/>
      <c r="Q139" s="102"/>
      <c r="R139" s="118"/>
      <c r="S139" s="118"/>
      <c r="T139" s="118"/>
      <c r="U139" s="118"/>
      <c r="V139" s="118"/>
    </row>
    <row r="140" outlineLevel="1">
      <c r="A140" s="156"/>
      <c r="B140" s="327" t="s">
        <v>219</v>
      </c>
      <c r="C140" s="328" t="str">
        <f t="array" ref="C140">INDEX('アイテム'!$E$3:$F$114, MATCH($A$1,'アイテム'!$A$3:$A$114,0), MATCH(C138,'アイテム'!$C$2:$AQ$2,0))</f>
        <v>2</v>
      </c>
      <c r="D140" s="328">
        <f t="array" ref="D140">INDEX('アイテム'!$E$3:$F$114, MATCH($A$1,'アイテム'!$A$3:$A$114,0), MATCH(D138,'アイテム'!$C$2:$AQ$2,0))</f>
        <v>19</v>
      </c>
      <c r="E140" s="322"/>
      <c r="F140" s="322"/>
      <c r="G140" s="114"/>
      <c r="H140" s="228"/>
      <c r="I140" s="228"/>
      <c r="J140" s="228"/>
      <c r="K140" s="118"/>
      <c r="L140" s="118"/>
      <c r="M140" s="118"/>
      <c r="N140" s="102"/>
      <c r="O140" s="102"/>
      <c r="P140" s="102"/>
      <c r="Q140" s="102"/>
      <c r="R140" s="118"/>
      <c r="S140" s="118"/>
      <c r="T140" s="118"/>
      <c r="U140" s="118"/>
      <c r="V140" s="118"/>
    </row>
    <row r="141" outlineLevel="1">
      <c r="A141" s="329" t="s">
        <v>259</v>
      </c>
      <c r="B141" s="327" t="s">
        <v>216</v>
      </c>
      <c r="C141" s="328">
        <f t="array" ref="C141">INDEX('アイテム'!$AA$3:$AB$114, MATCH($A$1,'アイテム'!$A$3:$A$114,0), MATCH(C138,'アイテム'!$C$2:$AQ$2,0))</f>
        <v>3</v>
      </c>
      <c r="D141" s="328" t="str">
        <f t="array" ref="D141">INDEX('アイテム'!$AA$3:$AB$114, MATCH($A$1,'アイテム'!$A$3:$A$114,0), MATCH(D138,'アイテム'!$C$2:$AQ$2,0))</f>
        <v>12</v>
      </c>
      <c r="E141" s="322"/>
      <c r="F141" s="322"/>
      <c r="G141" s="114"/>
      <c r="H141" s="228"/>
      <c r="I141" s="228"/>
      <c r="J141" s="228"/>
      <c r="K141" s="118"/>
      <c r="L141" s="118"/>
      <c r="M141" s="118"/>
      <c r="N141" s="102"/>
      <c r="O141" s="102"/>
      <c r="P141" s="102"/>
      <c r="Q141" s="102"/>
      <c r="R141" s="118"/>
      <c r="S141" s="118"/>
      <c r="T141" s="118"/>
      <c r="U141" s="118"/>
      <c r="V141" s="118"/>
    </row>
    <row r="142" outlineLevel="1">
      <c r="A142" s="324" t="s">
        <v>260</v>
      </c>
      <c r="B142" s="109"/>
      <c r="C142" s="325" t="s">
        <v>261</v>
      </c>
      <c r="D142" s="325" t="s">
        <v>49</v>
      </c>
      <c r="E142" s="322"/>
      <c r="F142" s="322"/>
      <c r="G142" s="114"/>
      <c r="H142" s="228"/>
      <c r="I142" s="228"/>
      <c r="J142" s="228"/>
      <c r="K142" s="118"/>
      <c r="L142" s="118"/>
      <c r="M142" s="118"/>
      <c r="N142" s="102"/>
      <c r="O142" s="102"/>
      <c r="P142" s="102"/>
      <c r="Q142" s="102"/>
      <c r="R142" s="118"/>
      <c r="S142" s="118"/>
      <c r="T142" s="118"/>
      <c r="U142" s="118"/>
      <c r="V142" s="118"/>
    </row>
    <row r="143" outlineLevel="1">
      <c r="A143" s="326" t="s">
        <v>262</v>
      </c>
      <c r="B143" s="327" t="s">
        <v>226</v>
      </c>
      <c r="C143" s="328" t="str">
        <f t="array" ref="C143">INDEX('アイテム'!$G$3:$H$114, MATCH($A$1,'アイテム'!$A$3:$A$114,0), MATCH(C138,'アイテム'!$C$2:$AQ$2,0))</f>
        <v>8</v>
      </c>
      <c r="D143" s="328">
        <f t="array" ref="D143">INDEX('アイテム'!$G$3:$H$114, MATCH($A$1,'アイテム'!$A$3:$A$114,0), MATCH(D138,'アイテム'!$C$2:$AQ$2,0))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229</v>
      </c>
      <c r="C144" s="328" t="str">
        <f t="array" ref="C144">INDEX('アイテム'!$I$3:$J$114, MATCH($A$1,'アイテム'!$A$3:$A$114,0), MATCH(C138,'アイテム'!$C$2:$AQ$2,0))</f>
        <v>11</v>
      </c>
      <c r="D144" s="328">
        <f t="array" ref="D144">INDEX('アイテム'!$I$3:$J$114, MATCH($A$1,'アイテム'!$A$3:$A$114,0), MATCH(D138,'アイテム'!$C$2:$AQ$2,0))</f>
        <v>24</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233</v>
      </c>
      <c r="C145" s="328" t="str">
        <f t="array" ref="C145">INDEX('アイテム'!$K$3:$L$114, MATCH($A$1,'アイテム'!$A$3:$A$114,0), MATCH(C138,'アイテム'!$C$2:$AQ$2,0))</f>
        <v>12</v>
      </c>
      <c r="D145" s="328">
        <f t="array" ref="D145">INDEX('アイテム'!$K$3:$L$114, MATCH($A$1,'アイテム'!$A$3:$A$114,0), MATCH(D138,'アイテム'!$C$2:$AQ$2,0))</f>
        <v>23</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234</v>
      </c>
      <c r="C146" s="328" t="str">
        <f t="array" ref="C146">INDEX('アイテム'!$M$3:$N$114, MATCH($A$1,'アイテム'!$A$3:$A$114,0), MATCH(C138,'アイテム'!$C$2:$AQ$2,0))</f>
        <v>7</v>
      </c>
      <c r="D146" s="328">
        <f t="array" ref="D146">INDEX('アイテム'!$M$3:$N$114, MATCH($A$1,'アイテム'!$A$3:$A$114,0), MATCH(D138,'アイテム'!$C$2:$AQ$2,0))</f>
        <v>19</v>
      </c>
      <c r="E146" s="322"/>
      <c r="F146" s="322"/>
      <c r="G146" s="114"/>
      <c r="H146" s="228"/>
      <c r="I146" s="228"/>
      <c r="J146" s="228"/>
      <c r="K146" s="118"/>
      <c r="L146" s="118"/>
      <c r="M146" s="118"/>
      <c r="N146" s="102"/>
      <c r="O146" s="102"/>
      <c r="P146" s="102"/>
      <c r="Q146" s="102"/>
      <c r="R146" s="118"/>
      <c r="S146" s="118"/>
      <c r="T146" s="118"/>
      <c r="U146" s="118"/>
      <c r="V146" s="118"/>
    </row>
    <row r="147" outlineLevel="1">
      <c r="A147" s="146"/>
      <c r="B147" s="327" t="s">
        <v>219</v>
      </c>
      <c r="C147" s="328" t="str">
        <f t="array" ref="C147">INDEX('アイテム'!$O$3:$P$114, MATCH($A$1,'アイテム'!$A$3:$A$114,0), MATCH(C138,'アイテム'!$C$2:$AQ$2,0))</f>
        <v>5</v>
      </c>
      <c r="D147" s="328">
        <f t="array" ref="D147">INDEX('アイテム'!$O$3:$P$114, MATCH($A$1,'アイテム'!$A$3:$A$114,0), MATCH(D138,'アイテム'!$C$2:$AQ$2,0))</f>
        <v>29</v>
      </c>
      <c r="E147" s="322"/>
      <c r="F147" s="322"/>
      <c r="G147" s="114"/>
      <c r="H147" s="228"/>
      <c r="I147" s="228"/>
      <c r="J147" s="228"/>
      <c r="K147" s="118"/>
      <c r="L147" s="118"/>
      <c r="M147" s="118"/>
      <c r="N147" s="102"/>
      <c r="O147" s="102"/>
      <c r="P147" s="102"/>
      <c r="Q147" s="102"/>
      <c r="R147" s="118"/>
      <c r="S147" s="118"/>
      <c r="T147" s="118"/>
      <c r="U147" s="118"/>
      <c r="V147" s="118"/>
    </row>
    <row r="148" outlineLevel="1">
      <c r="A148" s="156"/>
      <c r="B148" s="327" t="s">
        <v>263</v>
      </c>
      <c r="C148" s="328" t="str">
        <f t="array" ref="C148">INDEX('アイテム'!$Q$3:$R$114, MATCH($A$1,'アイテム'!$A$3:$A$114,0), MATCH(C138,'アイテム'!$C$2:$AQ$2,0))</f>
        <v>6</v>
      </c>
      <c r="D148" s="328">
        <f t="array" ref="D148">INDEX('アイテム'!$Q$3:$R$114, MATCH($A$1,'アイテム'!$A$3:$A$114,0), MATCH(D138,'アイテム'!$C$2:$AQ$2,0))</f>
        <v>23</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264</v>
      </c>
      <c r="B149" s="327" t="s">
        <v>226</v>
      </c>
      <c r="C149" s="328" t="str">
        <f t="array" ref="C149">INDEX('アイテム'!$S$3:$T$114, MATCH($A$1,'アイテム'!$A$3:$A$114,0), MATCH(C138,'アイテム'!$C$2:$AQ$2,0))</f>
        <v>8</v>
      </c>
      <c r="D149" s="328">
        <f t="array" ref="D149">INDEX('アイテム'!$S$3:$T$114, MATCH($A$1,'アイテム'!$A$3:$A$114,0), MATCH(D138,'アイテム'!$C$2:$AQ$2,0))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229</v>
      </c>
      <c r="C150" s="328" t="str">
        <f t="array" ref="C150">INDEX('アイテム'!$U$3:$V$114, MATCH($A$1,'アイテム'!$A$3:$A$114,0), MATCH(C138,'アイテム'!$C$2:$AQ$2,0))</f>
        <v>11</v>
      </c>
      <c r="D150" s="328">
        <f t="array" ref="D150">INDEX('アイテム'!$U$3:$V$114, MATCH($A$1,'アイテム'!$A$3:$A$114,0), MATCH(D138,'アイテム'!$C$2:$AQ$2,0))</f>
        <v>24</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233</v>
      </c>
      <c r="C151" s="328" t="str">
        <f t="array" ref="C151">INDEX('アイテム'!$W$3:$X$114, MATCH($A$1,'アイテム'!$A$3:$A$114,0), MATCH(C138,'アイテム'!$C$2:$AQ$2,0))</f>
        <v>12</v>
      </c>
      <c r="D151" s="328">
        <f t="array" ref="D151">INDEX('アイテム'!$W$3:$X$114, MATCH($A$1,'アイテム'!$A$3:$A$114,0), MATCH(D138,'アイテム'!$C$2:$AQ$2,0))</f>
        <v>23</v>
      </c>
      <c r="E151" s="322"/>
      <c r="F151" s="322"/>
      <c r="G151" s="114"/>
      <c r="H151" s="228"/>
      <c r="I151" s="228"/>
      <c r="J151" s="228"/>
      <c r="K151" s="118"/>
      <c r="L151" s="118"/>
      <c r="M151" s="118"/>
      <c r="N151" s="102"/>
      <c r="O151" s="102"/>
      <c r="P151" s="102"/>
      <c r="Q151" s="102"/>
      <c r="R151" s="118"/>
      <c r="S151" s="118"/>
      <c r="T151" s="118"/>
      <c r="U151" s="118"/>
      <c r="V151" s="118"/>
    </row>
    <row r="152" outlineLevel="1">
      <c r="A152" s="156"/>
      <c r="B152" s="327" t="s">
        <v>234</v>
      </c>
      <c r="C152" s="328" t="str">
        <f t="array" ref="C152">INDEX('アイテム'!$Y$3:$Z$114, MATCH($A$1,'アイテム'!$A$3:$A$114,0), MATCH(C138,'アイテム'!$C$2:$AQ$2,0))</f>
        <v>7</v>
      </c>
      <c r="D152" s="328">
        <f t="array" ref="D152">INDEX('アイテム'!$Y$3:$Z$114, MATCH($A$1,'アイテム'!$A$3:$A$114,0), MATCH(D138,'アイテム'!$C$2:$AQ$2,0))</f>
        <v>19</v>
      </c>
      <c r="E152" s="322"/>
      <c r="F152" s="322"/>
      <c r="G152" s="114"/>
      <c r="H152" s="228"/>
      <c r="I152" s="228"/>
      <c r="J152" s="228"/>
      <c r="K152" s="118"/>
      <c r="L152" s="118"/>
      <c r="M152" s="118"/>
      <c r="N152" s="102"/>
      <c r="O152" s="102"/>
      <c r="P152" s="102"/>
      <c r="Q152" s="102"/>
      <c r="R152" s="118"/>
      <c r="S152" s="118"/>
      <c r="T152" s="118"/>
      <c r="U152" s="118"/>
      <c r="V152" s="118"/>
    </row>
    <row r="153" outlineLevel="1">
      <c r="A153" s="326" t="s">
        <v>265</v>
      </c>
      <c r="B153" s="327" t="s">
        <v>226</v>
      </c>
      <c r="C153" s="328">
        <f t="array" ref="C153">INDEX('アイテム'!$AC$3:$AD$114, MATCH($A$1,'アイテム'!$A$3:$A$114,0), MATCH(C138,'アイテム'!$C$2:$AQ$2,0))</f>
        <v>14</v>
      </c>
      <c r="D153" s="328" t="str">
        <f t="array" ref="D153">INDEX('アイテム'!$AC$3:$AD$114, MATCH($A$1,'アイテム'!$A$3:$A$114,0), MATCH(D138,'アイテム'!$C$2:$AQ$2,0))</f>
        <v>30</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229</v>
      </c>
      <c r="C154" s="328">
        <f t="array" ref="C154">INDEX('アイテム'!$AE$3:$AF$114, MATCH($A$1,'アイテム'!$A$3:$A$114,0), MATCH(C138,'アイテム'!$C$2:$AQ$2,0))</f>
        <v>15</v>
      </c>
      <c r="D154" s="328" t="str">
        <f t="array" ref="D154">INDEX('アイテム'!$AE$3:$AF$114, MATCH($A$1,'アイテム'!$A$3:$A$114,0), MATCH(D138,'アイテム'!$C$2:$AQ$2,0))</f>
        <v>30</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233</v>
      </c>
      <c r="C155" s="328">
        <f t="array" ref="C155">INDEX('アイテム'!$AG$3:$AH$114, MATCH($A$1,'アイテム'!$A$3:$A$114,0), MATCH(C138,'アイテム'!$C$2:$AQ$2,0))</f>
        <v>11</v>
      </c>
      <c r="D155" s="328" t="str">
        <f t="array" ref="D155">INDEX('アイテム'!$AG$3:$AH$114, MATCH($A$1,'アイテム'!$A$3:$A$114,0), MATCH(D138,'アイテム'!$C$2:$AQ$2,0))</f>
        <v>22</v>
      </c>
      <c r="E155" s="322"/>
      <c r="F155" s="322"/>
      <c r="G155" s="114"/>
      <c r="H155" s="228"/>
      <c r="I155" s="228"/>
      <c r="J155" s="228"/>
      <c r="K155" s="118"/>
      <c r="L155" s="118"/>
      <c r="M155" s="118"/>
      <c r="N155" s="102"/>
      <c r="O155" s="102"/>
      <c r="P155" s="102"/>
      <c r="Q155" s="102"/>
      <c r="R155" s="118"/>
      <c r="S155" s="118"/>
      <c r="T155" s="118"/>
      <c r="U155" s="118"/>
      <c r="V155" s="118"/>
    </row>
    <row r="156" outlineLevel="1">
      <c r="A156" s="156"/>
      <c r="B156" s="327" t="s">
        <v>234</v>
      </c>
      <c r="C156" s="328">
        <f t="array" ref="C156">INDEX('アイテム'!$AI$3:$AJ$114, MATCH($A$1,'アイテム'!$A$3:$A$114,0), MATCH(C138,'アイテム'!$C$2:$AQ$2,0))</f>
        <v>9</v>
      </c>
      <c r="D156" s="328" t="str">
        <f t="array" ref="D156">INDEX('アイテム'!$AI$3:$AJ$114, MATCH($A$1,'アイテム'!$A$3:$A$114,0), MATCH(D138,'アイテム'!$C$2:$AQ$2,0))</f>
        <v>22</v>
      </c>
      <c r="E156" s="322"/>
      <c r="F156" s="322"/>
      <c r="G156" s="114"/>
      <c r="H156" s="228"/>
      <c r="I156" s="228"/>
      <c r="J156" s="228"/>
      <c r="K156" s="118"/>
      <c r="L156" s="118"/>
      <c r="M156" s="118"/>
      <c r="N156" s="102"/>
      <c r="O156" s="102"/>
      <c r="P156" s="102"/>
      <c r="Q156" s="102"/>
      <c r="R156" s="118"/>
      <c r="S156" s="118"/>
      <c r="T156" s="118"/>
      <c r="U156" s="118"/>
      <c r="V156" s="118"/>
    </row>
  </sheetData>
  <mergeCells count="145">
    <mergeCell ref="I46:I47"/>
    <mergeCell ref="J46:J47"/>
    <mergeCell ref="H32:J33"/>
    <mergeCell ref="H34:J34"/>
    <mergeCell ref="H35:J35"/>
    <mergeCell ref="H36:J37"/>
    <mergeCell ref="H38:J38"/>
    <mergeCell ref="H39:J41"/>
    <mergeCell ref="H42:J42"/>
    <mergeCell ref="U79:U81"/>
    <mergeCell ref="V79:V81"/>
    <mergeCell ref="U39:U41"/>
    <mergeCell ref="U61:U63"/>
    <mergeCell ref="V61:V63"/>
    <mergeCell ref="U64:U69"/>
    <mergeCell ref="V64:V69"/>
    <mergeCell ref="U71:U75"/>
    <mergeCell ref="V71:V75"/>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29"/>
    <mergeCell ref="H30:J30"/>
    <mergeCell ref="H31:J31"/>
    <mergeCell ref="U32:U33"/>
    <mergeCell ref="A24:B25"/>
    <mergeCell ref="A26:A31"/>
    <mergeCell ref="A32:A33"/>
    <mergeCell ref="D32:D33"/>
    <mergeCell ref="A36:A37"/>
    <mergeCell ref="D36:D37"/>
    <mergeCell ref="D39:D41"/>
    <mergeCell ref="I53:I54"/>
    <mergeCell ref="J53:J54"/>
    <mergeCell ref="U36:U37"/>
    <mergeCell ref="R45:V45"/>
    <mergeCell ref="R46:V47"/>
    <mergeCell ref="R48:V49"/>
    <mergeCell ref="R50:V52"/>
    <mergeCell ref="R53:V54"/>
    <mergeCell ref="R55:V57"/>
    <mergeCell ref="D92:D93"/>
    <mergeCell ref="D94:D95"/>
    <mergeCell ref="D53:D54"/>
    <mergeCell ref="D55:D57"/>
    <mergeCell ref="D61:D63"/>
    <mergeCell ref="D65:D67"/>
    <mergeCell ref="D71:D72"/>
    <mergeCell ref="D79:D80"/>
    <mergeCell ref="D90:D91"/>
    <mergeCell ref="A92:A93"/>
    <mergeCell ref="A94:A95"/>
    <mergeCell ref="A96:A97"/>
    <mergeCell ref="D96:D97"/>
    <mergeCell ref="A99:B100"/>
    <mergeCell ref="A101:A103"/>
    <mergeCell ref="A107:B108"/>
    <mergeCell ref="A104:A105"/>
    <mergeCell ref="A109:A113"/>
    <mergeCell ref="A117:A122"/>
    <mergeCell ref="C121:C122"/>
    <mergeCell ref="D121:D122"/>
    <mergeCell ref="C127:C128"/>
    <mergeCell ref="D127:D128"/>
    <mergeCell ref="A139:A140"/>
    <mergeCell ref="A143:A148"/>
    <mergeCell ref="A149:A152"/>
    <mergeCell ref="A153:A156"/>
    <mergeCell ref="A123:A128"/>
    <mergeCell ref="A129:A135"/>
    <mergeCell ref="C134:C135"/>
    <mergeCell ref="D134:D135"/>
    <mergeCell ref="A137:B137"/>
    <mergeCell ref="A138:B138"/>
    <mergeCell ref="A142:B142"/>
    <mergeCell ref="A39:A41"/>
    <mergeCell ref="A44:B45"/>
    <mergeCell ref="A46:A47"/>
    <mergeCell ref="D46:D47"/>
    <mergeCell ref="D48:D49"/>
    <mergeCell ref="I48:I49"/>
    <mergeCell ref="J48:J49"/>
    <mergeCell ref="A48:A49"/>
    <mergeCell ref="A50:A52"/>
    <mergeCell ref="D50:D52"/>
    <mergeCell ref="I50:I52"/>
    <mergeCell ref="J50:J52"/>
    <mergeCell ref="A53:A54"/>
    <mergeCell ref="A55:A57"/>
    <mergeCell ref="I55:I57"/>
    <mergeCell ref="J55:J57"/>
    <mergeCell ref="H60:J60"/>
    <mergeCell ref="H61:J63"/>
    <mergeCell ref="H64:J69"/>
    <mergeCell ref="H70:J70"/>
    <mergeCell ref="H71:J75"/>
    <mergeCell ref="A59:B59"/>
    <mergeCell ref="A60:B60"/>
    <mergeCell ref="A61:A63"/>
    <mergeCell ref="A64:A69"/>
    <mergeCell ref="C65:C67"/>
    <mergeCell ref="A70:B70"/>
    <mergeCell ref="A71:A75"/>
    <mergeCell ref="A76:B76"/>
    <mergeCell ref="A78:B78"/>
    <mergeCell ref="A79:A81"/>
    <mergeCell ref="A83:B84"/>
    <mergeCell ref="A86:A88"/>
    <mergeCell ref="A89:B89"/>
    <mergeCell ref="A90:A91"/>
    <mergeCell ref="A114:A116"/>
    <mergeCell ref="H76:J76"/>
    <mergeCell ref="H77:J77"/>
    <mergeCell ref="H78:J78"/>
    <mergeCell ref="H79:J81"/>
    <mergeCell ref="G89:J89"/>
    <mergeCell ref="G90:J91"/>
    <mergeCell ref="G92:J93"/>
    <mergeCell ref="K118:K121"/>
    <mergeCell ref="K124:K127"/>
    <mergeCell ref="K128:L128"/>
    <mergeCell ref="G94:J95"/>
    <mergeCell ref="G96:J97"/>
    <mergeCell ref="K108:L108"/>
    <mergeCell ref="K109:K110"/>
    <mergeCell ref="K111:L111"/>
    <mergeCell ref="K112:K117"/>
    <mergeCell ref="K122:L122"/>
  </mergeCells>
  <conditionalFormatting sqref="K1:K132 L89:L97">
    <cfRule type="containsText" dxfId="0" priority="1" operator="containsText" text="361">
      <formula>NOT(ISERROR(SEARCH(("361"),(K1))))</formula>
    </cfRule>
  </conditionalFormatting>
  <conditionalFormatting sqref="O90:Q97">
    <cfRule type="cellIs" dxfId="2" priority="2" operator="equal">
      <formula>"敵のみ"</formula>
    </cfRule>
  </conditionalFormatting>
  <conditionalFormatting sqref="G61:G69 C64:C69 D64:D65 E64:F69 C73:C75 E73:G75 C81 E81:G81 C90:D97 E96:F96">
    <cfRule type="cellIs" dxfId="3" priority="3" operator="equal">
      <formula>"-"</formula>
    </cfRule>
  </conditionalFormatting>
  <conditionalFormatting sqref="O1:O156 N89:N97 P89:P97 Q97 L131:L132">
    <cfRule type="cellIs" dxfId="4" priority="4" operator="greaterThan">
      <formula>0</formula>
    </cfRule>
  </conditionalFormatting>
  <conditionalFormatting sqref="P1:Q156 O89:O97 M131:M132">
    <cfRule type="cellIs" dxfId="5" priority="5" operator="lessThan">
      <formula>1</formula>
    </cfRule>
  </conditionalFormatting>
  <conditionalFormatting sqref="P1:Q156 O89:O97 M131:M132">
    <cfRule type="cellIs" dxfId="4" priority="6" operator="greaterThan">
      <formula>1</formula>
    </cfRule>
  </conditionalFormatting>
  <conditionalFormatting sqref="N25:N108 M89:M97 O89:O97">
    <cfRule type="cellIs" dxfId="6" priority="7" operator="greaterThan">
      <formula>0</formula>
    </cfRule>
  </conditionalFormatting>
  <conditionalFormatting sqref="K1:K156 L89:L97">
    <cfRule type="containsText" dxfId="6" priority="8" operator="containsText" text="363">
      <formula>NOT(ISERROR(SEARCH(("363"),(K1))))</formula>
    </cfRule>
  </conditionalFormatting>
  <conditionalFormatting sqref="K1:K156 L89:L97">
    <cfRule type="containsText" dxfId="6" priority="9" operator="containsText" text="365">
      <formula>NOT(ISERROR(SEARCH(("365"),(K1))))</formula>
    </cfRule>
  </conditionalFormatting>
  <conditionalFormatting sqref="K1:K156 L89:L97">
    <cfRule type="containsText" dxfId="6" priority="10" operator="containsText" text="366">
      <formula>NOT(ISERROR(SEARCH(("366"),(K1))))</formula>
    </cfRule>
  </conditionalFormatting>
  <conditionalFormatting sqref="K1:K156 L89:L97">
    <cfRule type="containsText" dxfId="6" priority="11" operator="containsText" text="367">
      <formula>NOT(ISERROR(SEARCH(("367"),(K1))))</formula>
    </cfRule>
  </conditionalFormatting>
  <conditionalFormatting sqref="N1:N15 N17:N156 M89:M97 O89:O97 K131:K132">
    <cfRule type="containsText" dxfId="6" priority="12" operator="containsText" text="/">
      <formula>NOT(ISERROR(SEARCH(("/"),(N1))))</formula>
    </cfRule>
  </conditionalFormatting>
  <drawing r:id="rId2"/>
  <legacyDrawing r:id="rId3"/>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EB2FB"/>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271">
        <v>74.0</v>
      </c>
      <c r="B1" s="3272"/>
      <c r="C1" s="3273" t="str">
        <f>IMAGE(VLOOKUP($A$1,Fighters!A2:AI114,12,FALSE),1)</f>
        <v>#REF!</v>
      </c>
      <c r="D1" s="3274"/>
      <c r="E1" s="3274"/>
      <c r="F1" s="3274"/>
      <c r="G1" s="3275"/>
      <c r="H1" s="3276"/>
      <c r="I1" s="3274"/>
      <c r="J1" s="3275"/>
      <c r="K1" s="3277"/>
      <c r="L1" s="3274"/>
      <c r="M1" s="3275"/>
      <c r="N1" s="3278"/>
      <c r="O1" s="3278"/>
      <c r="P1" s="3278"/>
      <c r="Q1" s="3278"/>
      <c r="R1" s="3279"/>
      <c r="S1" s="3279"/>
      <c r="T1" s="3279"/>
      <c r="U1" s="3279"/>
      <c r="V1" s="3279"/>
    </row>
    <row r="2">
      <c r="A2" s="3280" t="str">
        <f>VLOOKUP($A$1,Fighters!$A$2:AI190,6,FALSE)</f>
        <v>#6eb2fb</v>
      </c>
      <c r="B2" s="3272"/>
      <c r="C2" s="3281"/>
      <c r="G2" s="3282"/>
      <c r="H2" s="3283"/>
      <c r="I2" s="3284"/>
      <c r="J2" s="3285"/>
      <c r="K2" s="3283"/>
      <c r="L2" s="3284"/>
      <c r="M2" s="3285"/>
      <c r="N2" s="3278"/>
      <c r="O2" s="3278"/>
      <c r="P2" s="3278"/>
      <c r="Q2" s="3278"/>
      <c r="R2" s="3279"/>
      <c r="S2" s="3279"/>
      <c r="T2" s="3279"/>
      <c r="U2" s="3279"/>
      <c r="V2" s="3279"/>
    </row>
    <row r="3">
      <c r="A3" s="3280" t="str">
        <f>VLOOKUP($A$1,Fighters!$A$2:AI190,14,FALSE)</f>
        <v>74. テリー</v>
      </c>
      <c r="B3" s="3272"/>
      <c r="C3" s="3281"/>
      <c r="G3" s="3282"/>
      <c r="H3" s="3286"/>
      <c r="I3" s="3286"/>
      <c r="J3" s="3286"/>
      <c r="K3" s="3287"/>
      <c r="L3" s="3287"/>
      <c r="M3" s="3287"/>
      <c r="N3" s="3278"/>
      <c r="O3" s="3278"/>
      <c r="P3" s="3278"/>
      <c r="Q3" s="3278"/>
      <c r="R3" s="3288"/>
      <c r="S3" s="3279"/>
      <c r="T3" s="3279"/>
      <c r="U3" s="3279"/>
      <c r="V3" s="3279"/>
    </row>
    <row r="4">
      <c r="A4" s="3280" t="str">
        <f>VLOOKUP($A$1,Fighters!$A$2:AI190,13,FALSE)</f>
        <v>1</v>
      </c>
      <c r="B4" s="3272"/>
      <c r="C4" s="3281"/>
      <c r="G4" s="3282"/>
      <c r="H4" s="3289"/>
      <c r="I4" s="3289"/>
      <c r="J4" s="3286"/>
      <c r="K4" s="3287"/>
      <c r="L4" s="3287"/>
      <c r="M4" s="3287"/>
      <c r="N4" s="3278"/>
      <c r="O4" s="3278"/>
      <c r="P4" s="3278"/>
      <c r="Q4" s="3278"/>
      <c r="R4" s="3288"/>
      <c r="S4" s="3279"/>
      <c r="T4" s="3279"/>
      <c r="U4" s="3279"/>
      <c r="V4" s="3279"/>
    </row>
    <row r="5" ht="16.5" customHeight="1">
      <c r="A5" s="3271"/>
      <c r="B5" s="3272"/>
      <c r="C5" s="3281"/>
      <c r="G5" s="3282"/>
      <c r="H5" s="3290"/>
      <c r="I5" s="3290"/>
      <c r="J5" s="3291"/>
      <c r="K5" s="3292"/>
      <c r="L5" s="3293"/>
      <c r="M5" s="3293"/>
      <c r="N5" s="3278"/>
      <c r="O5" s="3278"/>
      <c r="P5" s="3278"/>
      <c r="Q5" s="3278"/>
      <c r="R5" s="3288"/>
      <c r="S5" s="3279"/>
      <c r="T5" s="3279"/>
      <c r="U5" s="3279"/>
      <c r="V5" s="3279"/>
    </row>
    <row r="6">
      <c r="A6" s="3272"/>
      <c r="B6" s="3272"/>
      <c r="C6" s="3281"/>
      <c r="G6" s="3282"/>
      <c r="H6" s="3289"/>
      <c r="I6" s="3294" t="s">
        <v>39</v>
      </c>
      <c r="J6" s="3292"/>
      <c r="K6" s="3295"/>
      <c r="L6" s="3293"/>
      <c r="M6" s="3293"/>
      <c r="N6" s="3278"/>
      <c r="O6" s="3278"/>
      <c r="P6" s="3278"/>
      <c r="Q6" s="3278"/>
      <c r="R6" s="3288"/>
      <c r="S6" s="3279"/>
      <c r="T6" s="3279"/>
      <c r="U6" s="3279"/>
      <c r="V6" s="3279"/>
    </row>
    <row r="7">
      <c r="A7" s="3272"/>
      <c r="B7" s="3272"/>
      <c r="C7" s="3281"/>
      <c r="G7" s="3282"/>
      <c r="H7" s="3290"/>
      <c r="I7" s="3290"/>
      <c r="J7" s="3292"/>
      <c r="K7" s="3295"/>
      <c r="L7" s="3293"/>
      <c r="M7" s="3293"/>
      <c r="N7" s="3278"/>
      <c r="O7" s="3278"/>
      <c r="P7" s="3278"/>
      <c r="Q7" s="3278"/>
      <c r="R7" s="3288"/>
      <c r="S7" s="3279"/>
      <c r="T7" s="3279"/>
      <c r="U7" s="3279"/>
      <c r="V7" s="3279"/>
    </row>
    <row r="8">
      <c r="A8" s="3272"/>
      <c r="B8" s="3272"/>
      <c r="C8" s="3281"/>
      <c r="G8" s="3282"/>
      <c r="H8" s="3296">
        <v>44379.84721070602</v>
      </c>
      <c r="I8" s="3274"/>
      <c r="J8" s="3275"/>
      <c r="K8" s="3292"/>
      <c r="L8" s="3293"/>
      <c r="M8" s="3293"/>
      <c r="N8" s="3278"/>
      <c r="O8" s="3278"/>
      <c r="P8" s="3278"/>
      <c r="Q8" s="3278"/>
      <c r="R8" s="3288"/>
      <c r="S8" s="3279"/>
      <c r="T8" s="3279"/>
      <c r="U8" s="3279"/>
      <c r="V8" s="3279"/>
    </row>
    <row r="9">
      <c r="A9" s="3272"/>
      <c r="B9" s="3272"/>
      <c r="C9" s="3281"/>
      <c r="G9" s="3282"/>
      <c r="H9" s="3283"/>
      <c r="I9" s="3284"/>
      <c r="J9" s="3285"/>
      <c r="K9" s="3279"/>
      <c r="L9" s="3278"/>
      <c r="M9" s="3278"/>
      <c r="N9" s="3278"/>
      <c r="O9" s="3278"/>
      <c r="P9" s="3278"/>
      <c r="Q9" s="3278"/>
      <c r="R9" s="3288"/>
      <c r="S9" s="3279"/>
      <c r="T9" s="3279"/>
      <c r="U9" s="3279"/>
      <c r="V9" s="3279"/>
    </row>
    <row r="10">
      <c r="A10" s="3297"/>
      <c r="B10" s="3272"/>
      <c r="C10" s="3281"/>
      <c r="G10" s="3282"/>
      <c r="H10" s="3298"/>
      <c r="I10" s="3298"/>
      <c r="J10" s="3279"/>
      <c r="K10" s="3279"/>
      <c r="L10" s="3278"/>
      <c r="M10" s="3278"/>
      <c r="N10" s="3278"/>
      <c r="O10" s="3278"/>
      <c r="P10" s="3278"/>
      <c r="Q10" s="3278"/>
      <c r="R10" s="3288"/>
      <c r="S10" s="3279"/>
      <c r="T10" s="3279"/>
      <c r="U10" s="3279"/>
      <c r="V10" s="3279"/>
    </row>
    <row r="11">
      <c r="A11" s="3299"/>
      <c r="B11" s="3272"/>
      <c r="C11" s="3281"/>
      <c r="G11" s="3282"/>
      <c r="H11" s="3290"/>
      <c r="I11" s="3290"/>
      <c r="J11" s="3279"/>
      <c r="K11" s="3279"/>
      <c r="L11" s="3278"/>
      <c r="M11" s="3278"/>
      <c r="N11" s="3278"/>
      <c r="O11" s="3278"/>
      <c r="P11" s="3278"/>
      <c r="Q11" s="3278"/>
      <c r="R11" s="3288"/>
      <c r="S11" s="3279"/>
      <c r="T11" s="3279"/>
      <c r="U11" s="3279"/>
      <c r="V11" s="3279"/>
    </row>
    <row r="12">
      <c r="A12" s="3290"/>
      <c r="B12" s="3272"/>
      <c r="C12" s="3283"/>
      <c r="D12" s="3284"/>
      <c r="E12" s="3284"/>
      <c r="F12" s="3284"/>
      <c r="G12" s="3285"/>
      <c r="H12" s="3300"/>
      <c r="I12" s="3300"/>
      <c r="J12" s="3272"/>
      <c r="K12" s="3272"/>
      <c r="L12" s="3278"/>
      <c r="M12" s="3278"/>
      <c r="N12" s="3278"/>
      <c r="O12" s="3278"/>
      <c r="P12" s="3278"/>
      <c r="Q12" s="3278"/>
      <c r="R12" s="3288"/>
      <c r="S12" s="3279"/>
      <c r="T12" s="3279"/>
      <c r="U12" s="3279"/>
      <c r="V12" s="3279"/>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INDEX('行動フレーム・能力値'!$C$2:$AD$90,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108 [10th]</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36F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1.65 [83rd]</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INDEX('行動フレーム・能力値'!$C$2:$AD$90, MATCH($A$1,'行動フレーム・能力値'!$A$2:$A$95,0),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0.85 [77th]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46F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0.16 [25th]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27 [78th]</v>
      </c>
      <c r="O18" s="99"/>
      <c r="P18" s="99"/>
      <c r="Q18" s="99"/>
      <c r="R18" s="99"/>
      <c r="S18" s="111"/>
      <c r="T18" s="111"/>
      <c r="U18" s="111"/>
      <c r="V18" s="111"/>
    </row>
    <row r="19" outlineLevel="1">
      <c r="A19" s="112" t="s">
        <v>5288</v>
      </c>
      <c r="B19" s="113" t="b">
        <f t="array" ref="B19">INDEX('行動フレーム・能力値'!$C$2:$AD$90,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1.72 [44th]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25F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0.111 [36th]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15.2 [57th]</v>
      </c>
      <c r="O19" s="99"/>
      <c r="P19" s="99"/>
      <c r="Q19" s="99"/>
      <c r="R19" s="99"/>
      <c r="S19" s="111"/>
      <c r="T19" s="111"/>
      <c r="U19" s="111"/>
      <c r="V19" s="111"/>
    </row>
    <row r="20" outlineLevel="1">
      <c r="A20" s="112" t="s">
        <v>5292</v>
      </c>
      <c r="B20" s="113" t="b">
        <f t="array" ref="B20">INDEX('行動フレーム・能力値'!$C$2:$AD$90,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0.95 [67th]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32F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 [67th]</v>
      </c>
      <c r="O20" s="99"/>
      <c r="P20" s="99"/>
      <c r="Q20" s="99"/>
      <c r="R20" s="99"/>
      <c r="S20" s="100"/>
      <c r="T20" s="100"/>
      <c r="U20" s="100"/>
      <c r="V20" s="100"/>
    </row>
    <row r="21" outlineLevel="1">
      <c r="A21" s="112" t="s">
        <v>587</v>
      </c>
      <c r="B21" s="113" t="b">
        <f t="array" ref="B21">INDEX('行動フレーム・能力値'!$C$2:$AD$90,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1.48 [62nd]</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0.012 [33rd]</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2.368 [60th]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0.09 [45th]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71</v>
      </c>
      <c r="D26" s="701" t="s">
        <v>5640</v>
      </c>
      <c r="E26" s="139" t="s">
        <v>204</v>
      </c>
      <c r="F26" s="138">
        <v>3.5999999999999996</v>
      </c>
      <c r="G26" s="139" t="s">
        <v>147</v>
      </c>
      <c r="H26" s="151" t="s">
        <v>5641</v>
      </c>
      <c r="I26" s="110"/>
      <c r="J26" s="109"/>
      <c r="K26" s="282"/>
      <c r="L26" s="282"/>
      <c r="M26" s="363"/>
      <c r="N26" s="363"/>
      <c r="O26" s="145">
        <v>0.0</v>
      </c>
      <c r="P26" s="145">
        <v>1.0</v>
      </c>
      <c r="Q26" s="145">
        <v>1.0</v>
      </c>
      <c r="R26" s="100"/>
      <c r="S26" s="100"/>
      <c r="T26" s="100"/>
      <c r="U26" s="1584"/>
      <c r="V26" s="100"/>
    </row>
    <row r="27" outlineLevel="1">
      <c r="A27" s="146"/>
      <c r="B27" s="147" t="s">
        <v>5642</v>
      </c>
      <c r="C27" s="467" t="s">
        <v>204</v>
      </c>
      <c r="D27" s="455" t="s">
        <v>268</v>
      </c>
      <c r="E27" s="216" t="s">
        <v>213</v>
      </c>
      <c r="F27" s="138">
        <v>1.2</v>
      </c>
      <c r="G27" s="216" t="s">
        <v>170</v>
      </c>
      <c r="H27" s="163" t="s">
        <v>5643</v>
      </c>
      <c r="I27" s="164"/>
      <c r="J27" s="104"/>
      <c r="K27" s="282"/>
      <c r="L27" s="282"/>
      <c r="M27" s="363"/>
      <c r="N27" s="363"/>
      <c r="O27" s="145">
        <v>0.0</v>
      </c>
      <c r="P27" s="145">
        <v>1.0</v>
      </c>
      <c r="Q27" s="145">
        <v>1.0</v>
      </c>
      <c r="R27" s="100"/>
      <c r="S27" s="100"/>
      <c r="T27" s="100"/>
      <c r="U27" s="3301"/>
      <c r="V27" s="100"/>
    </row>
    <row r="28" outlineLevel="1">
      <c r="A28" s="146"/>
      <c r="B28" s="147" t="s">
        <v>5644</v>
      </c>
      <c r="C28" s="467" t="s">
        <v>163</v>
      </c>
      <c r="D28" s="107"/>
      <c r="E28" s="216" t="s">
        <v>176</v>
      </c>
      <c r="F28" s="138">
        <v>2.4</v>
      </c>
      <c r="G28" s="216" t="s">
        <v>60</v>
      </c>
      <c r="H28" s="106"/>
      <c r="I28" s="168"/>
      <c r="J28" s="107"/>
      <c r="K28" s="282"/>
      <c r="L28" s="282"/>
      <c r="M28" s="363"/>
      <c r="N28" s="363"/>
      <c r="O28" s="145"/>
      <c r="P28" s="145"/>
      <c r="Q28" s="145"/>
      <c r="R28" s="100"/>
      <c r="S28" s="100"/>
      <c r="T28" s="100"/>
      <c r="U28" s="156"/>
      <c r="V28" s="100"/>
    </row>
    <row r="29" outlineLevel="1">
      <c r="A29" s="156"/>
      <c r="B29" s="147" t="s">
        <v>70</v>
      </c>
      <c r="C29" s="467" t="s">
        <v>975</v>
      </c>
      <c r="D29" s="467" t="s">
        <v>72</v>
      </c>
      <c r="E29" s="216" t="s">
        <v>93</v>
      </c>
      <c r="F29" s="138">
        <v>8.4</v>
      </c>
      <c r="G29" s="216" t="s">
        <v>95</v>
      </c>
      <c r="H29" s="151"/>
      <c r="I29" s="110"/>
      <c r="J29" s="109"/>
      <c r="K29" s="282"/>
      <c r="L29" s="282"/>
      <c r="M29" s="363"/>
      <c r="N29" s="363"/>
      <c r="O29" s="145">
        <v>0.0</v>
      </c>
      <c r="P29" s="145">
        <v>1.0</v>
      </c>
      <c r="Q29" s="145">
        <v>1.0</v>
      </c>
      <c r="R29" s="100"/>
      <c r="S29" s="100"/>
      <c r="T29" s="100"/>
      <c r="U29" s="1584"/>
      <c r="V29" s="100"/>
    </row>
    <row r="30" outlineLevel="1">
      <c r="A30" s="133" t="s">
        <v>77</v>
      </c>
      <c r="B30" s="160"/>
      <c r="C30" s="467" t="s">
        <v>1290</v>
      </c>
      <c r="D30" s="455" t="s">
        <v>628</v>
      </c>
      <c r="E30" s="467" t="s">
        <v>228</v>
      </c>
      <c r="F30" s="138">
        <v>15.6</v>
      </c>
      <c r="G30" s="467" t="s">
        <v>407</v>
      </c>
      <c r="H30" s="163"/>
      <c r="I30" s="164"/>
      <c r="J30" s="104"/>
      <c r="K30" s="282"/>
      <c r="L30" s="282"/>
      <c r="M30" s="363"/>
      <c r="N30" s="363"/>
      <c r="O30" s="145">
        <v>0.0</v>
      </c>
      <c r="P30" s="145">
        <v>1.0</v>
      </c>
      <c r="Q30" s="145">
        <v>1.0</v>
      </c>
      <c r="R30" s="100"/>
      <c r="S30" s="100"/>
      <c r="T30" s="100"/>
      <c r="U30" s="3301"/>
      <c r="V30" s="100"/>
    </row>
    <row r="31" outlineLevel="1">
      <c r="A31" s="156"/>
      <c r="B31" s="147" t="s">
        <v>84</v>
      </c>
      <c r="C31" s="467" t="s">
        <v>2529</v>
      </c>
      <c r="D31" s="107"/>
      <c r="E31" s="467" t="s">
        <v>128</v>
      </c>
      <c r="F31" s="138">
        <v>12.0</v>
      </c>
      <c r="G31" s="467" t="s">
        <v>121</v>
      </c>
      <c r="H31" s="106"/>
      <c r="I31" s="168"/>
      <c r="J31" s="107"/>
      <c r="K31" s="282"/>
      <c r="L31" s="282"/>
      <c r="M31" s="363"/>
      <c r="N31" s="363"/>
      <c r="O31" s="145">
        <v>0.0</v>
      </c>
      <c r="P31" s="145">
        <v>1.0</v>
      </c>
      <c r="Q31" s="145">
        <v>1.0</v>
      </c>
      <c r="R31" s="100"/>
      <c r="S31" s="100"/>
      <c r="T31" s="100"/>
      <c r="U31" s="156"/>
      <c r="V31" s="100"/>
    </row>
    <row r="32" outlineLevel="1">
      <c r="A32" s="170" t="s">
        <v>89</v>
      </c>
      <c r="B32" s="147"/>
      <c r="C32" s="467" t="s">
        <v>741</v>
      </c>
      <c r="D32" s="467" t="s">
        <v>105</v>
      </c>
      <c r="E32" s="467" t="s">
        <v>5645</v>
      </c>
      <c r="F32" s="138" t="s">
        <v>5646</v>
      </c>
      <c r="G32" s="216" t="s">
        <v>4330</v>
      </c>
      <c r="H32" s="151" t="s">
        <v>5647</v>
      </c>
      <c r="I32" s="110"/>
      <c r="J32" s="109"/>
      <c r="K32" s="282"/>
      <c r="L32" s="282"/>
      <c r="M32" s="363"/>
      <c r="N32" s="363"/>
      <c r="O32" s="145">
        <v>0.0</v>
      </c>
      <c r="P32" s="145">
        <v>1.0</v>
      </c>
      <c r="Q32" s="145">
        <v>1.0</v>
      </c>
      <c r="R32" s="100"/>
      <c r="S32" s="100"/>
      <c r="T32" s="100"/>
      <c r="U32" s="1584"/>
      <c r="V32" s="100"/>
    </row>
    <row r="33" outlineLevel="1">
      <c r="A33" s="170" t="s">
        <v>97</v>
      </c>
      <c r="B33" s="160"/>
      <c r="C33" s="467" t="s">
        <v>733</v>
      </c>
      <c r="D33" s="467" t="s">
        <v>164</v>
      </c>
      <c r="E33" s="467" t="s">
        <v>232</v>
      </c>
      <c r="F33" s="138">
        <v>13.2</v>
      </c>
      <c r="G33" s="467" t="s">
        <v>121</v>
      </c>
      <c r="H33" s="151" t="s">
        <v>5648</v>
      </c>
      <c r="I33" s="110"/>
      <c r="J33" s="109"/>
      <c r="K33" s="282"/>
      <c r="L33" s="282"/>
      <c r="M33" s="363"/>
      <c r="N33" s="363"/>
      <c r="O33" s="145">
        <v>0.0</v>
      </c>
      <c r="P33" s="145">
        <v>1.0</v>
      </c>
      <c r="Q33" s="145">
        <v>1.0</v>
      </c>
      <c r="R33" s="100"/>
      <c r="S33" s="100"/>
      <c r="T33" s="100"/>
      <c r="U33" s="1584"/>
      <c r="V33" s="100"/>
    </row>
    <row r="34" outlineLevel="1">
      <c r="A34" s="170" t="s">
        <v>103</v>
      </c>
      <c r="B34" s="160"/>
      <c r="C34" s="467" t="s">
        <v>549</v>
      </c>
      <c r="D34" s="467" t="s">
        <v>153</v>
      </c>
      <c r="E34" s="467" t="s">
        <v>204</v>
      </c>
      <c r="F34" s="138">
        <v>3.5999999999999996</v>
      </c>
      <c r="G34" s="467" t="s">
        <v>147</v>
      </c>
      <c r="H34" s="151" t="s">
        <v>4470</v>
      </c>
      <c r="I34" s="110"/>
      <c r="J34" s="109"/>
      <c r="K34" s="145"/>
      <c r="L34" s="363"/>
      <c r="M34" s="363"/>
      <c r="N34" s="363"/>
      <c r="O34" s="145">
        <v>0.0</v>
      </c>
      <c r="P34" s="145">
        <v>1.0</v>
      </c>
      <c r="Q34" s="145">
        <v>1.0</v>
      </c>
      <c r="R34" s="100"/>
      <c r="S34" s="100"/>
      <c r="T34" s="100"/>
      <c r="U34" s="1584"/>
      <c r="V34" s="100"/>
    </row>
    <row r="35" outlineLevel="1">
      <c r="A35" s="170" t="s">
        <v>109</v>
      </c>
      <c r="B35" s="147"/>
      <c r="C35" s="467" t="s">
        <v>2670</v>
      </c>
      <c r="D35" s="467" t="s">
        <v>413</v>
      </c>
      <c r="E35" s="467" t="s">
        <v>466</v>
      </c>
      <c r="F35" s="138">
        <v>21.599999999999998</v>
      </c>
      <c r="G35" s="467" t="s">
        <v>407</v>
      </c>
      <c r="H35" s="151" t="s">
        <v>5649</v>
      </c>
      <c r="I35" s="110"/>
      <c r="J35" s="109"/>
      <c r="K35" s="282"/>
      <c r="L35" s="282"/>
      <c r="M35" s="363"/>
      <c r="N35" s="363"/>
      <c r="O35" s="145">
        <v>0.0</v>
      </c>
      <c r="P35" s="145">
        <v>1.0</v>
      </c>
      <c r="Q35" s="145">
        <v>1.0</v>
      </c>
      <c r="R35" s="100"/>
      <c r="S35" s="100"/>
      <c r="T35" s="100"/>
      <c r="U35" s="1584"/>
      <c r="V35" s="100"/>
    </row>
    <row r="36" outlineLevel="1">
      <c r="A36" s="133" t="s">
        <v>116</v>
      </c>
      <c r="B36" s="147" t="s">
        <v>152</v>
      </c>
      <c r="C36" s="467" t="s">
        <v>128</v>
      </c>
      <c r="D36" s="455" t="s">
        <v>384</v>
      </c>
      <c r="E36" s="467" t="s">
        <v>153</v>
      </c>
      <c r="F36" s="138">
        <v>19.2</v>
      </c>
      <c r="G36" s="467" t="s">
        <v>88</v>
      </c>
      <c r="H36" s="163" t="s">
        <v>1170</v>
      </c>
      <c r="I36" s="164"/>
      <c r="J36" s="104"/>
      <c r="K36" s="363"/>
      <c r="L36" s="363"/>
      <c r="M36" s="363"/>
      <c r="N36" s="363"/>
      <c r="O36" s="145">
        <v>0.0</v>
      </c>
      <c r="P36" s="145">
        <v>1.0</v>
      </c>
      <c r="Q36" s="145">
        <v>1.0</v>
      </c>
      <c r="R36" s="100"/>
      <c r="S36" s="100"/>
      <c r="T36" s="100"/>
      <c r="U36" s="3301"/>
      <c r="V36" s="100"/>
    </row>
    <row r="37" outlineLevel="1">
      <c r="A37" s="156"/>
      <c r="B37" s="147"/>
      <c r="C37" s="216" t="s">
        <v>580</v>
      </c>
      <c r="D37" s="107"/>
      <c r="E37" s="467" t="s">
        <v>466</v>
      </c>
      <c r="F37" s="138">
        <v>21.599999999999998</v>
      </c>
      <c r="G37" s="467" t="s">
        <v>407</v>
      </c>
      <c r="H37" s="106"/>
      <c r="I37" s="168"/>
      <c r="J37" s="107"/>
      <c r="K37" s="363"/>
      <c r="L37" s="363"/>
      <c r="M37" s="363"/>
      <c r="N37" s="363"/>
      <c r="O37" s="145">
        <v>0.0</v>
      </c>
      <c r="P37" s="145">
        <v>1.0</v>
      </c>
      <c r="Q37" s="145">
        <v>1.0</v>
      </c>
      <c r="R37" s="100"/>
      <c r="S37" s="100"/>
      <c r="T37" s="100"/>
      <c r="U37" s="156"/>
      <c r="V37" s="100"/>
    </row>
    <row r="38" outlineLevel="1">
      <c r="A38" s="170" t="s">
        <v>124</v>
      </c>
      <c r="B38" s="147"/>
      <c r="C38" s="216" t="s">
        <v>563</v>
      </c>
      <c r="D38" s="467" t="s">
        <v>628</v>
      </c>
      <c r="E38" s="467" t="s">
        <v>129</v>
      </c>
      <c r="F38" s="138">
        <v>14.399999999999999</v>
      </c>
      <c r="G38" s="467" t="s">
        <v>123</v>
      </c>
      <c r="H38" s="151" t="s">
        <v>130</v>
      </c>
      <c r="I38" s="110"/>
      <c r="J38" s="109"/>
      <c r="K38" s="282"/>
      <c r="L38" s="282"/>
      <c r="M38" s="363"/>
      <c r="N38" s="363"/>
      <c r="O38" s="145">
        <v>0.0</v>
      </c>
      <c r="P38" s="145">
        <v>1.0</v>
      </c>
      <c r="Q38" s="145">
        <v>1.0</v>
      </c>
      <c r="R38" s="100"/>
      <c r="S38" s="100"/>
      <c r="T38" s="100"/>
      <c r="U38" s="1584"/>
      <c r="V38" s="100"/>
    </row>
    <row r="39" outlineLevel="1">
      <c r="A39" s="771" t="s">
        <v>16</v>
      </c>
      <c r="B39" s="109"/>
      <c r="C39" s="127" t="s">
        <v>48</v>
      </c>
      <c r="D39" s="128" t="s">
        <v>49</v>
      </c>
      <c r="E39" s="128" t="s">
        <v>50</v>
      </c>
      <c r="F39" s="129" t="s">
        <v>51</v>
      </c>
      <c r="G39" s="128" t="s">
        <v>52</v>
      </c>
      <c r="H39" s="361" t="s">
        <v>53</v>
      </c>
      <c r="I39" s="110"/>
      <c r="J39" s="109"/>
      <c r="K39" s="131" t="s">
        <v>137</v>
      </c>
      <c r="L39" s="131" t="s">
        <v>138</v>
      </c>
      <c r="M39" s="131" t="s">
        <v>139</v>
      </c>
      <c r="N39" s="131" t="s">
        <v>140</v>
      </c>
      <c r="O39" s="132" t="s">
        <v>141</v>
      </c>
      <c r="P39" s="131" t="s">
        <v>142</v>
      </c>
      <c r="Q39" s="132" t="s">
        <v>143</v>
      </c>
      <c r="R39" s="100"/>
      <c r="S39" s="100"/>
      <c r="T39" s="100"/>
      <c r="U39" s="127" t="s">
        <v>54</v>
      </c>
      <c r="V39" s="100"/>
    </row>
    <row r="40" outlineLevel="1">
      <c r="A40" s="170" t="s">
        <v>5650</v>
      </c>
      <c r="B40" s="147"/>
      <c r="C40" s="216" t="s">
        <v>1615</v>
      </c>
      <c r="D40" s="467" t="s">
        <v>593</v>
      </c>
      <c r="E40" s="467" t="s">
        <v>232</v>
      </c>
      <c r="F40" s="138">
        <v>13.2</v>
      </c>
      <c r="G40" s="450" t="s">
        <v>102</v>
      </c>
      <c r="H40" s="151" t="s">
        <v>5651</v>
      </c>
      <c r="I40" s="110"/>
      <c r="J40" s="109"/>
      <c r="K40" s="282"/>
      <c r="L40" s="282"/>
      <c r="M40" s="363"/>
      <c r="N40" s="363"/>
      <c r="O40" s="145">
        <v>0.0</v>
      </c>
      <c r="P40" s="145">
        <v>1.0</v>
      </c>
      <c r="Q40" s="145">
        <v>1.0</v>
      </c>
      <c r="R40" s="100"/>
      <c r="S40" s="100"/>
      <c r="T40" s="100"/>
      <c r="U40" s="1584"/>
      <c r="V40" s="100"/>
    </row>
    <row r="41">
      <c r="A41" s="118"/>
      <c r="B41" s="176"/>
      <c r="C41" s="118"/>
      <c r="D41" s="118"/>
      <c r="E41" s="118"/>
      <c r="F41" s="177"/>
      <c r="G41" s="177"/>
      <c r="H41" s="118"/>
      <c r="I41" s="118"/>
      <c r="J41" s="118"/>
      <c r="K41" s="118"/>
      <c r="L41" s="118"/>
      <c r="M41" s="118"/>
      <c r="N41" s="118"/>
      <c r="O41" s="118"/>
      <c r="P41" s="118"/>
      <c r="Q41" s="118"/>
      <c r="R41" s="118"/>
      <c r="S41" s="118"/>
      <c r="T41" s="118"/>
      <c r="U41" s="118"/>
      <c r="V41" s="118"/>
    </row>
    <row r="42">
      <c r="A42" s="178" t="s">
        <v>133</v>
      </c>
      <c r="B42" s="104"/>
      <c r="C42" s="179"/>
      <c r="D42" s="179"/>
      <c r="E42" s="179"/>
      <c r="F42" s="180"/>
      <c r="G42" s="179"/>
      <c r="H42" s="180"/>
      <c r="I42" s="180"/>
      <c r="J42" s="181"/>
      <c r="K42" s="180"/>
      <c r="L42" s="180"/>
      <c r="M42" s="180"/>
      <c r="N42" s="180"/>
      <c r="O42" s="180"/>
      <c r="P42" s="180"/>
      <c r="Q42" s="180"/>
      <c r="R42" s="180"/>
      <c r="S42" s="180"/>
      <c r="T42" s="180"/>
      <c r="U42" s="180"/>
      <c r="V42" s="180"/>
    </row>
    <row r="43" outlineLevel="1">
      <c r="A43" s="106"/>
      <c r="B43" s="107"/>
      <c r="C43" s="182" t="s">
        <v>48</v>
      </c>
      <c r="D43" s="183" t="s">
        <v>49</v>
      </c>
      <c r="E43" s="182" t="s">
        <v>50</v>
      </c>
      <c r="F43" s="184" t="s">
        <v>51</v>
      </c>
      <c r="G43" s="184" t="s">
        <v>134</v>
      </c>
      <c r="H43" s="185" t="s">
        <v>52</v>
      </c>
      <c r="I43" s="184" t="s">
        <v>135</v>
      </c>
      <c r="J43" s="186" t="s">
        <v>136</v>
      </c>
      <c r="K43" s="184" t="s">
        <v>137</v>
      </c>
      <c r="L43" s="184" t="s">
        <v>138</v>
      </c>
      <c r="M43" s="184" t="s">
        <v>139</v>
      </c>
      <c r="N43" s="184" t="s">
        <v>140</v>
      </c>
      <c r="O43" s="186" t="s">
        <v>141</v>
      </c>
      <c r="P43" s="184" t="s">
        <v>142</v>
      </c>
      <c r="Q43" s="186" t="s">
        <v>143</v>
      </c>
      <c r="R43" s="372" t="s">
        <v>53</v>
      </c>
      <c r="S43" s="110"/>
      <c r="T43" s="110"/>
      <c r="U43" s="110"/>
      <c r="V43" s="109"/>
    </row>
    <row r="44" outlineLevel="1">
      <c r="A44" s="188" t="s">
        <v>144</v>
      </c>
      <c r="B44" s="373"/>
      <c r="C44" s="239" t="s">
        <v>5652</v>
      </c>
      <c r="D44" s="455" t="s">
        <v>72</v>
      </c>
      <c r="E44" s="401" t="s">
        <v>93</v>
      </c>
      <c r="F44" s="193">
        <v>8.4</v>
      </c>
      <c r="G44" s="193">
        <v>7.140000000000001</v>
      </c>
      <c r="H44" s="138" t="s">
        <v>60</v>
      </c>
      <c r="I44" s="452" t="s">
        <v>86</v>
      </c>
      <c r="J44" s="455" t="s">
        <v>3914</v>
      </c>
      <c r="K44" s="138">
        <v>361.0</v>
      </c>
      <c r="L44" s="282"/>
      <c r="M44" s="363"/>
      <c r="N44" s="363"/>
      <c r="O44" s="145">
        <v>0.0</v>
      </c>
      <c r="P44" s="145">
        <v>1.0</v>
      </c>
      <c r="Q44" s="145">
        <v>1.0</v>
      </c>
      <c r="R44" s="163" t="s">
        <v>5653</v>
      </c>
      <c r="S44" s="164"/>
      <c r="T44" s="164"/>
      <c r="U44" s="164"/>
      <c r="V44" s="104"/>
    </row>
    <row r="45" outlineLevel="1">
      <c r="A45" s="156"/>
      <c r="B45" s="373" t="s">
        <v>84</v>
      </c>
      <c r="C45" s="239" t="s">
        <v>1227</v>
      </c>
      <c r="D45" s="107"/>
      <c r="E45" s="239" t="s">
        <v>150</v>
      </c>
      <c r="F45" s="138">
        <v>6.0</v>
      </c>
      <c r="G45" s="138">
        <v>5.1</v>
      </c>
      <c r="H45" s="138" t="s">
        <v>60</v>
      </c>
      <c r="I45" s="107"/>
      <c r="J45" s="107"/>
      <c r="K45" s="138">
        <v>363.0</v>
      </c>
      <c r="L45" s="282"/>
      <c r="M45" s="363"/>
      <c r="N45" s="363"/>
      <c r="O45" s="145">
        <v>0.0</v>
      </c>
      <c r="P45" s="145">
        <v>1.0</v>
      </c>
      <c r="Q45" s="145">
        <v>1.0</v>
      </c>
      <c r="R45" s="106"/>
      <c r="S45" s="168"/>
      <c r="T45" s="168"/>
      <c r="U45" s="168"/>
      <c r="V45" s="107"/>
    </row>
    <row r="46" outlineLevel="1">
      <c r="A46" s="188" t="s">
        <v>151</v>
      </c>
      <c r="B46" s="373"/>
      <c r="C46" s="239" t="s">
        <v>975</v>
      </c>
      <c r="D46" s="455" t="s">
        <v>118</v>
      </c>
      <c r="E46" s="239" t="s">
        <v>232</v>
      </c>
      <c r="F46" s="138">
        <v>13.2</v>
      </c>
      <c r="G46" s="138">
        <v>11.22</v>
      </c>
      <c r="H46" s="138" t="s">
        <v>147</v>
      </c>
      <c r="I46" s="452">
        <v>11.0</v>
      </c>
      <c r="J46" s="455" t="s">
        <v>1056</v>
      </c>
      <c r="K46" s="138">
        <v>45.0</v>
      </c>
      <c r="L46" s="282"/>
      <c r="M46" s="363"/>
      <c r="N46" s="363"/>
      <c r="O46" s="145">
        <v>0.0</v>
      </c>
      <c r="P46" s="145">
        <v>1.0</v>
      </c>
      <c r="Q46" s="145">
        <v>1.0</v>
      </c>
      <c r="R46" s="163"/>
      <c r="S46" s="164"/>
      <c r="T46" s="164"/>
      <c r="U46" s="164"/>
      <c r="V46" s="104"/>
    </row>
    <row r="47" outlineLevel="1">
      <c r="A47" s="156"/>
      <c r="B47" s="373" t="s">
        <v>84</v>
      </c>
      <c r="C47" s="239" t="s">
        <v>844</v>
      </c>
      <c r="D47" s="107"/>
      <c r="E47" s="239" t="s">
        <v>80</v>
      </c>
      <c r="F47" s="138">
        <v>9.6</v>
      </c>
      <c r="G47" s="138">
        <v>8.16</v>
      </c>
      <c r="H47" s="138" t="s">
        <v>147</v>
      </c>
      <c r="I47" s="107"/>
      <c r="J47" s="107"/>
      <c r="K47" s="138">
        <v>365.0</v>
      </c>
      <c r="L47" s="282"/>
      <c r="M47" s="363"/>
      <c r="N47" s="363"/>
      <c r="O47" s="145">
        <v>0.0</v>
      </c>
      <c r="P47" s="145">
        <v>1.0</v>
      </c>
      <c r="Q47" s="145">
        <v>1.0</v>
      </c>
      <c r="R47" s="106"/>
      <c r="S47" s="168"/>
      <c r="T47" s="168"/>
      <c r="U47" s="168"/>
      <c r="V47" s="107"/>
    </row>
    <row r="48" outlineLevel="1">
      <c r="A48" s="188" t="s">
        <v>157</v>
      </c>
      <c r="B48" s="373"/>
      <c r="C48" s="239" t="s">
        <v>382</v>
      </c>
      <c r="D48" s="455" t="s">
        <v>118</v>
      </c>
      <c r="E48" s="239" t="s">
        <v>386</v>
      </c>
      <c r="F48" s="138">
        <v>18.0</v>
      </c>
      <c r="G48" s="138">
        <v>15.3</v>
      </c>
      <c r="H48" s="138" t="s">
        <v>75</v>
      </c>
      <c r="I48" s="452">
        <v>10.0</v>
      </c>
      <c r="J48" s="455" t="s">
        <v>3743</v>
      </c>
      <c r="K48" s="138">
        <v>57.0</v>
      </c>
      <c r="L48" s="282"/>
      <c r="M48" s="363"/>
      <c r="N48" s="363"/>
      <c r="O48" s="145">
        <v>0.0</v>
      </c>
      <c r="P48" s="145">
        <v>1.0</v>
      </c>
      <c r="Q48" s="145">
        <v>1.0</v>
      </c>
      <c r="R48" s="163"/>
      <c r="S48" s="164"/>
      <c r="T48" s="164"/>
      <c r="U48" s="164"/>
      <c r="V48" s="104"/>
    </row>
    <row r="49" outlineLevel="1">
      <c r="A49" s="156"/>
      <c r="B49" s="373" t="s">
        <v>84</v>
      </c>
      <c r="C49" s="239" t="s">
        <v>295</v>
      </c>
      <c r="D49" s="107"/>
      <c r="E49" s="239" t="s">
        <v>129</v>
      </c>
      <c r="F49" s="138">
        <v>14.399999999999999</v>
      </c>
      <c r="G49" s="138">
        <v>12.24</v>
      </c>
      <c r="H49" s="138" t="s">
        <v>75</v>
      </c>
      <c r="I49" s="107"/>
      <c r="J49" s="107"/>
      <c r="K49" s="138">
        <v>57.0</v>
      </c>
      <c r="L49" s="282"/>
      <c r="M49" s="363"/>
      <c r="N49" s="363"/>
      <c r="O49" s="145">
        <v>0.0</v>
      </c>
      <c r="P49" s="145">
        <v>1.0</v>
      </c>
      <c r="Q49" s="145">
        <v>1.0</v>
      </c>
      <c r="R49" s="106"/>
      <c r="S49" s="168"/>
      <c r="T49" s="168"/>
      <c r="U49" s="168"/>
      <c r="V49" s="107"/>
    </row>
    <row r="50" outlineLevel="1">
      <c r="A50" s="213" t="s">
        <v>162</v>
      </c>
      <c r="B50" s="373"/>
      <c r="C50" s="239" t="s">
        <v>277</v>
      </c>
      <c r="D50" s="467" t="s">
        <v>193</v>
      </c>
      <c r="E50" s="239" t="s">
        <v>274</v>
      </c>
      <c r="F50" s="138">
        <v>10.799999999999999</v>
      </c>
      <c r="G50" s="138">
        <v>9.18</v>
      </c>
      <c r="H50" s="138" t="s">
        <v>147</v>
      </c>
      <c r="I50" s="774" t="s">
        <v>86</v>
      </c>
      <c r="J50" s="467" t="s">
        <v>4345</v>
      </c>
      <c r="K50" s="282"/>
      <c r="L50" s="282"/>
      <c r="M50" s="363"/>
      <c r="N50" s="363"/>
      <c r="O50" s="145">
        <v>0.0</v>
      </c>
      <c r="P50" s="145">
        <v>1.0</v>
      </c>
      <c r="Q50" s="145">
        <v>1.0</v>
      </c>
      <c r="R50" s="151" t="s">
        <v>4344</v>
      </c>
      <c r="S50" s="110"/>
      <c r="T50" s="110"/>
      <c r="U50" s="110"/>
      <c r="V50" s="109"/>
    </row>
    <row r="51" outlineLevel="1">
      <c r="A51" s="213" t="s">
        <v>166</v>
      </c>
      <c r="B51" s="373"/>
      <c r="C51" s="239" t="s">
        <v>1128</v>
      </c>
      <c r="D51" s="467" t="s">
        <v>964</v>
      </c>
      <c r="E51" s="239" t="s">
        <v>5654</v>
      </c>
      <c r="F51" s="138" t="s">
        <v>5655</v>
      </c>
      <c r="G51" s="138" t="s">
        <v>5656</v>
      </c>
      <c r="H51" s="138" t="s">
        <v>632</v>
      </c>
      <c r="I51" s="774">
        <v>15.0</v>
      </c>
      <c r="J51" s="467" t="s">
        <v>5657</v>
      </c>
      <c r="K51" s="282"/>
      <c r="L51" s="282"/>
      <c r="M51" s="363"/>
      <c r="N51" s="363"/>
      <c r="O51" s="145">
        <v>0.0</v>
      </c>
      <c r="P51" s="145">
        <v>1.0</v>
      </c>
      <c r="Q51" s="145">
        <v>1.0</v>
      </c>
      <c r="R51" s="151" t="s">
        <v>5658</v>
      </c>
      <c r="S51" s="110"/>
      <c r="T51" s="110"/>
      <c r="U51" s="110"/>
      <c r="V51" s="109"/>
    </row>
    <row r="52">
      <c r="A52" s="223"/>
      <c r="B52" s="224"/>
      <c r="C52" s="225"/>
      <c r="D52" s="225"/>
      <c r="E52" s="226"/>
      <c r="F52" s="226"/>
      <c r="G52" s="226"/>
      <c r="H52" s="290"/>
      <c r="I52" s="227"/>
      <c r="J52" s="228"/>
      <c r="K52" s="228"/>
      <c r="L52" s="228"/>
      <c r="M52" s="228"/>
      <c r="N52" s="228"/>
      <c r="O52" s="228"/>
      <c r="P52" s="228"/>
      <c r="Q52" s="118"/>
      <c r="R52" s="118"/>
      <c r="S52" s="118"/>
      <c r="T52" s="118"/>
      <c r="U52" s="118"/>
      <c r="V52" s="118"/>
    </row>
    <row r="53">
      <c r="A53" s="229" t="s">
        <v>177</v>
      </c>
      <c r="B53" s="109"/>
      <c r="C53" s="225"/>
      <c r="D53" s="225"/>
      <c r="E53" s="226"/>
      <c r="F53" s="226"/>
      <c r="G53" s="226"/>
      <c r="H53" s="227"/>
      <c r="I53" s="227"/>
      <c r="J53" s="228"/>
      <c r="K53" s="228"/>
      <c r="L53" s="228"/>
      <c r="M53" s="228"/>
      <c r="N53" s="228"/>
      <c r="O53" s="228"/>
      <c r="P53" s="228"/>
      <c r="Q53" s="118"/>
      <c r="R53" s="118"/>
      <c r="S53" s="118"/>
      <c r="T53" s="118"/>
      <c r="U53" s="118"/>
      <c r="V53" s="118"/>
    </row>
    <row r="54" outlineLevel="1">
      <c r="A54" s="230" t="s">
        <v>5659</v>
      </c>
      <c r="B54" s="109"/>
      <c r="C54" s="231" t="s">
        <v>48</v>
      </c>
      <c r="D54" s="231" t="s">
        <v>49</v>
      </c>
      <c r="E54" s="232" t="s">
        <v>50</v>
      </c>
      <c r="F54" s="233" t="s">
        <v>51</v>
      </c>
      <c r="G54" s="232" t="s">
        <v>52</v>
      </c>
      <c r="H54" s="382" t="s">
        <v>53</v>
      </c>
      <c r="I54" s="110"/>
      <c r="J54" s="109"/>
      <c r="K54" s="235" t="s">
        <v>137</v>
      </c>
      <c r="L54" s="235" t="s">
        <v>138</v>
      </c>
      <c r="M54" s="235" t="s">
        <v>139</v>
      </c>
      <c r="N54" s="235" t="s">
        <v>140</v>
      </c>
      <c r="O54" s="236" t="s">
        <v>141</v>
      </c>
      <c r="P54" s="235" t="s">
        <v>142</v>
      </c>
      <c r="Q54" s="236" t="s">
        <v>143</v>
      </c>
      <c r="R54" s="235" t="s">
        <v>179</v>
      </c>
      <c r="S54" s="236" t="s">
        <v>180</v>
      </c>
      <c r="T54" s="236" t="s">
        <v>181</v>
      </c>
      <c r="U54" s="236" t="s">
        <v>182</v>
      </c>
      <c r="V54" s="236" t="s">
        <v>183</v>
      </c>
    </row>
    <row r="55" outlineLevel="1">
      <c r="A55" s="237" t="s">
        <v>332</v>
      </c>
      <c r="B55" s="243" t="s">
        <v>4308</v>
      </c>
      <c r="C55" s="239" t="s">
        <v>5660</v>
      </c>
      <c r="D55" s="113" t="s">
        <v>185</v>
      </c>
      <c r="E55" s="239" t="s">
        <v>80</v>
      </c>
      <c r="F55" s="138">
        <v>9.6</v>
      </c>
      <c r="G55" s="239" t="s">
        <v>60</v>
      </c>
      <c r="H55" s="163" t="s">
        <v>5661</v>
      </c>
      <c r="I55" s="164"/>
      <c r="J55" s="104"/>
      <c r="K55" s="282"/>
      <c r="L55" s="282"/>
      <c r="M55" s="363"/>
      <c r="N55" s="363"/>
      <c r="O55" s="145"/>
      <c r="P55" s="145"/>
      <c r="Q55" s="145"/>
      <c r="R55" s="145" t="b">
        <v>0</v>
      </c>
      <c r="S55" s="145" t="b">
        <v>0</v>
      </c>
      <c r="T55" s="145" t="b">
        <v>0</v>
      </c>
      <c r="U55" s="166" t="s">
        <v>186</v>
      </c>
      <c r="V55" s="166" t="b">
        <v>1</v>
      </c>
    </row>
    <row r="56" outlineLevel="1">
      <c r="A56" s="156"/>
      <c r="B56" s="243" t="s">
        <v>4316</v>
      </c>
      <c r="C56" s="239" t="s">
        <v>5662</v>
      </c>
      <c r="D56" s="113" t="s">
        <v>634</v>
      </c>
      <c r="E56" s="239" t="s">
        <v>274</v>
      </c>
      <c r="F56" s="138">
        <v>10.799999999999999</v>
      </c>
      <c r="G56" s="239" t="s">
        <v>147</v>
      </c>
      <c r="H56" s="212"/>
      <c r="J56" s="210"/>
      <c r="K56" s="282"/>
      <c r="L56" s="282"/>
      <c r="M56" s="363"/>
      <c r="N56" s="363"/>
      <c r="O56" s="145"/>
      <c r="P56" s="145"/>
      <c r="Q56" s="145"/>
      <c r="R56" s="145" t="b">
        <v>0</v>
      </c>
      <c r="S56" s="145" t="b">
        <v>0</v>
      </c>
      <c r="T56" s="145" t="b">
        <v>0</v>
      </c>
      <c r="U56" s="146"/>
      <c r="V56" s="146"/>
    </row>
    <row r="57" outlineLevel="1">
      <c r="A57" s="237" t="s">
        <v>344</v>
      </c>
      <c r="B57" s="243" t="s">
        <v>4308</v>
      </c>
      <c r="C57" s="239" t="s">
        <v>1695</v>
      </c>
      <c r="D57" s="113" t="s">
        <v>185</v>
      </c>
      <c r="E57" s="239" t="s">
        <v>128</v>
      </c>
      <c r="F57" s="138">
        <v>12.0</v>
      </c>
      <c r="G57" s="239" t="s">
        <v>147</v>
      </c>
      <c r="H57" s="212"/>
      <c r="J57" s="210"/>
      <c r="K57" s="282"/>
      <c r="L57" s="282"/>
      <c r="M57" s="363"/>
      <c r="N57" s="363"/>
      <c r="O57" s="145">
        <v>0.0</v>
      </c>
      <c r="P57" s="145">
        <v>1.0</v>
      </c>
      <c r="Q57" s="145">
        <v>1.0</v>
      </c>
      <c r="R57" s="145" t="b">
        <v>1</v>
      </c>
      <c r="S57" s="145" t="b">
        <v>1</v>
      </c>
      <c r="T57" s="145"/>
      <c r="U57" s="146"/>
      <c r="V57" s="146"/>
    </row>
    <row r="58" outlineLevel="1">
      <c r="A58" s="156"/>
      <c r="B58" s="663" t="s">
        <v>4316</v>
      </c>
      <c r="C58" s="239" t="s">
        <v>1497</v>
      </c>
      <c r="D58" s="113" t="s">
        <v>185</v>
      </c>
      <c r="E58" s="239" t="s">
        <v>232</v>
      </c>
      <c r="F58" s="138">
        <v>13.2</v>
      </c>
      <c r="G58" s="239" t="s">
        <v>147</v>
      </c>
      <c r="H58" s="106"/>
      <c r="I58" s="168"/>
      <c r="J58" s="107"/>
      <c r="K58" s="282"/>
      <c r="L58" s="282"/>
      <c r="M58" s="363"/>
      <c r="N58" s="363"/>
      <c r="O58" s="145">
        <v>0.0</v>
      </c>
      <c r="P58" s="145">
        <v>1.0</v>
      </c>
      <c r="Q58" s="145">
        <v>1.0</v>
      </c>
      <c r="R58" s="145" t="b">
        <v>1</v>
      </c>
      <c r="S58" s="145" t="b">
        <v>1</v>
      </c>
      <c r="T58" s="145"/>
      <c r="U58" s="156"/>
      <c r="V58" s="156"/>
    </row>
    <row r="59" outlineLevel="1">
      <c r="A59" s="230" t="s">
        <v>5663</v>
      </c>
      <c r="B59" s="109"/>
      <c r="C59" s="231" t="s">
        <v>48</v>
      </c>
      <c r="D59" s="231" t="s">
        <v>49</v>
      </c>
      <c r="E59" s="232" t="s">
        <v>50</v>
      </c>
      <c r="F59" s="233" t="s">
        <v>51</v>
      </c>
      <c r="G59" s="232" t="s">
        <v>52</v>
      </c>
      <c r="H59" s="382" t="s">
        <v>53</v>
      </c>
      <c r="I59" s="110"/>
      <c r="J59" s="109"/>
      <c r="K59" s="235" t="s">
        <v>137</v>
      </c>
      <c r="L59" s="235" t="s">
        <v>138</v>
      </c>
      <c r="M59" s="235" t="s">
        <v>139</v>
      </c>
      <c r="N59" s="235" t="s">
        <v>140</v>
      </c>
      <c r="O59" s="236" t="s">
        <v>141</v>
      </c>
      <c r="P59" s="235" t="s">
        <v>142</v>
      </c>
      <c r="Q59" s="236" t="s">
        <v>143</v>
      </c>
      <c r="R59" s="235" t="s">
        <v>179</v>
      </c>
      <c r="S59" s="236" t="s">
        <v>180</v>
      </c>
      <c r="T59" s="236" t="s">
        <v>181</v>
      </c>
      <c r="U59" s="236" t="s">
        <v>182</v>
      </c>
      <c r="V59" s="3198" t="s">
        <v>183</v>
      </c>
    </row>
    <row r="60" outlineLevel="1">
      <c r="A60" s="237" t="s">
        <v>5664</v>
      </c>
      <c r="B60" s="243" t="s">
        <v>397</v>
      </c>
      <c r="C60" s="239" t="s">
        <v>943</v>
      </c>
      <c r="D60" s="455" t="s">
        <v>300</v>
      </c>
      <c r="E60" s="239" t="s">
        <v>228</v>
      </c>
      <c r="F60" s="138">
        <v>15.6</v>
      </c>
      <c r="G60" s="239" t="s">
        <v>407</v>
      </c>
      <c r="H60" s="163" t="s">
        <v>5665</v>
      </c>
      <c r="I60" s="164"/>
      <c r="J60" s="104"/>
      <c r="K60" s="282"/>
      <c r="L60" s="282"/>
      <c r="M60" s="363"/>
      <c r="N60" s="363"/>
      <c r="O60" s="145">
        <v>0.0</v>
      </c>
      <c r="P60" s="145">
        <v>1.0</v>
      </c>
      <c r="Q60" s="145">
        <v>1.0</v>
      </c>
      <c r="R60" s="145" t="b">
        <v>1</v>
      </c>
      <c r="S60" s="145" t="b">
        <v>1</v>
      </c>
      <c r="T60" s="145"/>
      <c r="U60" s="166" t="s">
        <v>3287</v>
      </c>
      <c r="V60" s="166" t="b">
        <v>0</v>
      </c>
    </row>
    <row r="61" outlineLevel="1">
      <c r="A61" s="146"/>
      <c r="B61" s="243" t="s">
        <v>5666</v>
      </c>
      <c r="C61" s="239" t="s">
        <v>5667</v>
      </c>
      <c r="D61" s="210"/>
      <c r="E61" s="239" t="s">
        <v>129</v>
      </c>
      <c r="F61" s="138">
        <v>14.399999999999999</v>
      </c>
      <c r="G61" s="239" t="s">
        <v>88</v>
      </c>
      <c r="H61" s="212"/>
      <c r="J61" s="210"/>
      <c r="K61" s="138"/>
      <c r="L61" s="138"/>
      <c r="M61" s="145"/>
      <c r="N61" s="145"/>
      <c r="O61" s="145"/>
      <c r="P61" s="145"/>
      <c r="Q61" s="145"/>
      <c r="R61" s="145" t="b">
        <v>0</v>
      </c>
      <c r="S61" s="145" t="b">
        <v>0</v>
      </c>
      <c r="T61" s="145" t="b">
        <v>0</v>
      </c>
      <c r="U61" s="146"/>
      <c r="V61" s="146"/>
    </row>
    <row r="62" outlineLevel="1">
      <c r="A62" s="146"/>
      <c r="B62" s="243" t="s">
        <v>5668</v>
      </c>
      <c r="C62" s="239" t="s">
        <v>1749</v>
      </c>
      <c r="D62" s="210"/>
      <c r="E62" s="239" t="s">
        <v>153</v>
      </c>
      <c r="F62" s="138">
        <v>19.2</v>
      </c>
      <c r="G62" s="239" t="s">
        <v>82</v>
      </c>
      <c r="H62" s="212"/>
      <c r="J62" s="210"/>
      <c r="K62" s="138"/>
      <c r="L62" s="138"/>
      <c r="M62" s="145"/>
      <c r="N62" s="145"/>
      <c r="O62" s="145"/>
      <c r="P62" s="145"/>
      <c r="Q62" s="145"/>
      <c r="R62" s="145" t="b">
        <v>0</v>
      </c>
      <c r="S62" s="145" t="b">
        <v>0</v>
      </c>
      <c r="T62" s="145" t="b">
        <v>0</v>
      </c>
      <c r="U62" s="146"/>
      <c r="V62" s="146"/>
    </row>
    <row r="63" outlineLevel="1">
      <c r="A63" s="146"/>
      <c r="B63" s="243" t="s">
        <v>5669</v>
      </c>
      <c r="C63" s="239" t="s">
        <v>5670</v>
      </c>
      <c r="D63" s="107"/>
      <c r="E63" s="239" t="s">
        <v>119</v>
      </c>
      <c r="F63" s="138">
        <v>16.8</v>
      </c>
      <c r="G63" s="239" t="s">
        <v>297</v>
      </c>
      <c r="H63" s="212"/>
      <c r="J63" s="210"/>
      <c r="K63" s="138"/>
      <c r="L63" s="138"/>
      <c r="M63" s="145"/>
      <c r="N63" s="145"/>
      <c r="O63" s="145">
        <v>0.0</v>
      </c>
      <c r="P63" s="145">
        <v>1.0</v>
      </c>
      <c r="Q63" s="145">
        <v>1.0</v>
      </c>
      <c r="R63" s="145" t="b">
        <v>1</v>
      </c>
      <c r="S63" s="145" t="b">
        <v>1</v>
      </c>
      <c r="T63" s="145"/>
      <c r="U63" s="146"/>
      <c r="V63" s="146"/>
    </row>
    <row r="64" outlineLevel="1">
      <c r="A64" s="237" t="s">
        <v>5671</v>
      </c>
      <c r="B64" s="243" t="s">
        <v>397</v>
      </c>
      <c r="C64" s="239" t="s">
        <v>5672</v>
      </c>
      <c r="D64" s="455" t="s">
        <v>1160</v>
      </c>
      <c r="E64" s="239" t="s">
        <v>119</v>
      </c>
      <c r="F64" s="138">
        <v>16.8</v>
      </c>
      <c r="G64" s="239" t="s">
        <v>297</v>
      </c>
      <c r="H64" s="212"/>
      <c r="J64" s="210"/>
      <c r="K64" s="282"/>
      <c r="L64" s="282"/>
      <c r="M64" s="363"/>
      <c r="N64" s="363"/>
      <c r="O64" s="145"/>
      <c r="P64" s="145"/>
      <c r="Q64" s="145"/>
      <c r="R64" s="145" t="b">
        <v>0</v>
      </c>
      <c r="S64" s="145" t="b">
        <v>0</v>
      </c>
      <c r="T64" s="145" t="b">
        <v>0</v>
      </c>
      <c r="U64" s="146"/>
      <c r="V64" s="146"/>
    </row>
    <row r="65" outlineLevel="1">
      <c r="A65" s="146"/>
      <c r="B65" s="243" t="s">
        <v>5666</v>
      </c>
      <c r="C65" s="239" t="s">
        <v>5673</v>
      </c>
      <c r="D65" s="210"/>
      <c r="E65" s="239" t="s">
        <v>129</v>
      </c>
      <c r="F65" s="138">
        <v>14.399999999999999</v>
      </c>
      <c r="G65" s="239" t="s">
        <v>88</v>
      </c>
      <c r="H65" s="212"/>
      <c r="J65" s="210"/>
      <c r="K65" s="282"/>
      <c r="L65" s="282"/>
      <c r="M65" s="363"/>
      <c r="N65" s="363"/>
      <c r="O65" s="145"/>
      <c r="P65" s="145"/>
      <c r="Q65" s="145"/>
      <c r="R65" s="145" t="b">
        <v>0</v>
      </c>
      <c r="S65" s="145" t="b">
        <v>0</v>
      </c>
      <c r="T65" s="145" t="b">
        <v>0</v>
      </c>
      <c r="U65" s="146"/>
      <c r="V65" s="146"/>
    </row>
    <row r="66" outlineLevel="1">
      <c r="A66" s="146"/>
      <c r="B66" s="243" t="s">
        <v>5668</v>
      </c>
      <c r="C66" s="239" t="s">
        <v>3753</v>
      </c>
      <c r="D66" s="210"/>
      <c r="E66" s="239" t="s">
        <v>394</v>
      </c>
      <c r="F66" s="138">
        <v>20.4</v>
      </c>
      <c r="G66" s="239" t="s">
        <v>1187</v>
      </c>
      <c r="H66" s="212"/>
      <c r="J66" s="210"/>
      <c r="K66" s="282"/>
      <c r="L66" s="282"/>
      <c r="M66" s="363"/>
      <c r="N66" s="363"/>
      <c r="O66" s="145"/>
      <c r="P66" s="145"/>
      <c r="Q66" s="145"/>
      <c r="R66" s="145" t="b">
        <v>0</v>
      </c>
      <c r="S66" s="145" t="b">
        <v>0</v>
      </c>
      <c r="T66" s="145" t="b">
        <v>0</v>
      </c>
      <c r="U66" s="146"/>
      <c r="V66" s="146"/>
    </row>
    <row r="67" outlineLevel="1">
      <c r="A67" s="146"/>
      <c r="B67" s="243" t="s">
        <v>5669</v>
      </c>
      <c r="C67" s="239" t="s">
        <v>5674</v>
      </c>
      <c r="D67" s="107"/>
      <c r="E67" s="239" t="s">
        <v>119</v>
      </c>
      <c r="F67" s="138">
        <v>16.8</v>
      </c>
      <c r="G67" s="239" t="s">
        <v>297</v>
      </c>
      <c r="H67" s="212"/>
      <c r="J67" s="210"/>
      <c r="K67" s="282"/>
      <c r="L67" s="282"/>
      <c r="M67" s="363"/>
      <c r="N67" s="363"/>
      <c r="O67" s="145"/>
      <c r="P67" s="145"/>
      <c r="Q67" s="145"/>
      <c r="R67" s="145" t="b">
        <v>0</v>
      </c>
      <c r="S67" s="145" t="b">
        <v>0</v>
      </c>
      <c r="T67" s="145" t="b">
        <v>0</v>
      </c>
      <c r="U67" s="146"/>
      <c r="V67" s="146"/>
    </row>
    <row r="68" outlineLevel="1">
      <c r="A68" s="237" t="s">
        <v>5675</v>
      </c>
      <c r="B68" s="243" t="s">
        <v>397</v>
      </c>
      <c r="C68" s="239" t="s">
        <v>1111</v>
      </c>
      <c r="D68" s="455" t="s">
        <v>146</v>
      </c>
      <c r="E68" s="239" t="s">
        <v>228</v>
      </c>
      <c r="F68" s="138">
        <v>15.6</v>
      </c>
      <c r="G68" s="239" t="s">
        <v>407</v>
      </c>
      <c r="H68" s="212"/>
      <c r="J68" s="210"/>
      <c r="K68" s="282"/>
      <c r="L68" s="282"/>
      <c r="M68" s="363"/>
      <c r="N68" s="363"/>
      <c r="O68" s="145"/>
      <c r="P68" s="145"/>
      <c r="Q68" s="145"/>
      <c r="R68" s="145" t="b">
        <v>0</v>
      </c>
      <c r="S68" s="145" t="b">
        <v>0</v>
      </c>
      <c r="T68" s="145" t="b">
        <v>0</v>
      </c>
      <c r="U68" s="146"/>
      <c r="V68" s="146"/>
    </row>
    <row r="69" outlineLevel="1">
      <c r="A69" s="146"/>
      <c r="B69" s="243" t="s">
        <v>5666</v>
      </c>
      <c r="C69" s="239" t="s">
        <v>711</v>
      </c>
      <c r="D69" s="210"/>
      <c r="E69" s="239" t="s">
        <v>129</v>
      </c>
      <c r="F69" s="138">
        <v>14.399999999999999</v>
      </c>
      <c r="G69" s="239" t="s">
        <v>88</v>
      </c>
      <c r="H69" s="212"/>
      <c r="J69" s="210"/>
      <c r="K69" s="282"/>
      <c r="L69" s="282"/>
      <c r="M69" s="363"/>
      <c r="N69" s="363"/>
      <c r="O69" s="145"/>
      <c r="P69" s="145"/>
      <c r="Q69" s="145"/>
      <c r="R69" s="145" t="b">
        <v>0</v>
      </c>
      <c r="S69" s="145" t="b">
        <v>0</v>
      </c>
      <c r="T69" s="145" t="b">
        <v>0</v>
      </c>
      <c r="U69" s="146"/>
      <c r="V69" s="146"/>
    </row>
    <row r="70" outlineLevel="1">
      <c r="A70" s="146"/>
      <c r="B70" s="243" t="s">
        <v>5668</v>
      </c>
      <c r="C70" s="239" t="s">
        <v>465</v>
      </c>
      <c r="D70" s="210"/>
      <c r="E70" s="239" t="s">
        <v>153</v>
      </c>
      <c r="F70" s="138">
        <v>19.2</v>
      </c>
      <c r="G70" s="239" t="s">
        <v>82</v>
      </c>
      <c r="H70" s="212"/>
      <c r="J70" s="210"/>
      <c r="K70" s="282"/>
      <c r="L70" s="282"/>
      <c r="M70" s="363"/>
      <c r="N70" s="363"/>
      <c r="O70" s="145"/>
      <c r="P70" s="145"/>
      <c r="Q70" s="145"/>
      <c r="R70" s="145" t="b">
        <v>0</v>
      </c>
      <c r="S70" s="145" t="b">
        <v>0</v>
      </c>
      <c r="T70" s="145" t="b">
        <v>0</v>
      </c>
      <c r="U70" s="146"/>
      <c r="V70" s="146"/>
    </row>
    <row r="71" outlineLevel="1">
      <c r="A71" s="146"/>
      <c r="B71" s="243" t="s">
        <v>5669</v>
      </c>
      <c r="C71" s="239" t="s">
        <v>2256</v>
      </c>
      <c r="D71" s="107"/>
      <c r="E71" s="239" t="s">
        <v>119</v>
      </c>
      <c r="F71" s="138">
        <v>16.8</v>
      </c>
      <c r="G71" s="239" t="s">
        <v>297</v>
      </c>
      <c r="H71" s="212"/>
      <c r="J71" s="210"/>
      <c r="K71" s="282"/>
      <c r="L71" s="282"/>
      <c r="M71" s="363"/>
      <c r="N71" s="363"/>
      <c r="O71" s="145"/>
      <c r="P71" s="145"/>
      <c r="Q71" s="145"/>
      <c r="R71" s="145" t="b">
        <v>0</v>
      </c>
      <c r="S71" s="145" t="b">
        <v>0</v>
      </c>
      <c r="T71" s="145" t="b">
        <v>0</v>
      </c>
      <c r="U71" s="146"/>
      <c r="V71" s="146"/>
    </row>
    <row r="72" outlineLevel="1">
      <c r="A72" s="237" t="s">
        <v>5676</v>
      </c>
      <c r="B72" s="243" t="s">
        <v>397</v>
      </c>
      <c r="C72" s="239" t="s">
        <v>2670</v>
      </c>
      <c r="D72" s="455" t="s">
        <v>289</v>
      </c>
      <c r="E72" s="239" t="s">
        <v>119</v>
      </c>
      <c r="F72" s="138">
        <v>16.8</v>
      </c>
      <c r="G72" s="239" t="s">
        <v>297</v>
      </c>
      <c r="H72" s="212"/>
      <c r="J72" s="210"/>
      <c r="K72" s="282"/>
      <c r="L72" s="282"/>
      <c r="M72" s="363"/>
      <c r="N72" s="363"/>
      <c r="O72" s="145">
        <v>0.0</v>
      </c>
      <c r="P72" s="145">
        <v>1.0</v>
      </c>
      <c r="Q72" s="145">
        <v>1.0</v>
      </c>
      <c r="R72" s="145" t="b">
        <v>1</v>
      </c>
      <c r="S72" s="145" t="b">
        <v>1</v>
      </c>
      <c r="T72" s="145"/>
      <c r="U72" s="146"/>
      <c r="V72" s="146"/>
    </row>
    <row r="73" outlineLevel="1">
      <c r="A73" s="146"/>
      <c r="B73" s="243" t="s">
        <v>5666</v>
      </c>
      <c r="C73" s="239" t="s">
        <v>5670</v>
      </c>
      <c r="D73" s="210"/>
      <c r="E73" s="239" t="s">
        <v>129</v>
      </c>
      <c r="F73" s="138">
        <v>14.399999999999999</v>
      </c>
      <c r="G73" s="239" t="s">
        <v>88</v>
      </c>
      <c r="H73" s="212"/>
      <c r="J73" s="210"/>
      <c r="K73" s="138"/>
      <c r="L73" s="138"/>
      <c r="M73" s="145"/>
      <c r="N73" s="145"/>
      <c r="O73" s="145"/>
      <c r="P73" s="145"/>
      <c r="Q73" s="145"/>
      <c r="R73" s="145" t="b">
        <v>0</v>
      </c>
      <c r="S73" s="145" t="b">
        <v>0</v>
      </c>
      <c r="T73" s="145" t="b">
        <v>0</v>
      </c>
      <c r="U73" s="146"/>
      <c r="V73" s="146"/>
    </row>
    <row r="74" outlineLevel="1">
      <c r="A74" s="146"/>
      <c r="B74" s="243" t="s">
        <v>5668</v>
      </c>
      <c r="C74" s="239" t="s">
        <v>4214</v>
      </c>
      <c r="D74" s="210"/>
      <c r="E74" s="239" t="s">
        <v>394</v>
      </c>
      <c r="F74" s="138">
        <v>20.4</v>
      </c>
      <c r="G74" s="239" t="s">
        <v>1187</v>
      </c>
      <c r="H74" s="212"/>
      <c r="J74" s="210"/>
      <c r="K74" s="138"/>
      <c r="L74" s="138"/>
      <c r="M74" s="145"/>
      <c r="N74" s="145"/>
      <c r="O74" s="145"/>
      <c r="P74" s="145"/>
      <c r="Q74" s="145"/>
      <c r="R74" s="145" t="b">
        <v>0</v>
      </c>
      <c r="S74" s="145" t="b">
        <v>0</v>
      </c>
      <c r="T74" s="145" t="b">
        <v>0</v>
      </c>
      <c r="U74" s="146"/>
      <c r="V74" s="146"/>
    </row>
    <row r="75" outlineLevel="1">
      <c r="A75" s="146"/>
      <c r="B75" s="243" t="s">
        <v>5669</v>
      </c>
      <c r="C75" s="239" t="s">
        <v>5677</v>
      </c>
      <c r="D75" s="107"/>
      <c r="E75" s="239" t="s">
        <v>119</v>
      </c>
      <c r="F75" s="138">
        <v>16.8</v>
      </c>
      <c r="G75" s="239" t="s">
        <v>297</v>
      </c>
      <c r="H75" s="106"/>
      <c r="I75" s="168"/>
      <c r="J75" s="107"/>
      <c r="K75" s="138"/>
      <c r="L75" s="138"/>
      <c r="M75" s="145"/>
      <c r="N75" s="145"/>
      <c r="O75" s="145">
        <v>0.0</v>
      </c>
      <c r="P75" s="145">
        <v>1.0</v>
      </c>
      <c r="Q75" s="145">
        <v>1.0</v>
      </c>
      <c r="R75" s="145" t="b">
        <v>1</v>
      </c>
      <c r="S75" s="145" t="b">
        <v>1</v>
      </c>
      <c r="T75" s="145"/>
      <c r="U75" s="156"/>
      <c r="V75" s="156"/>
    </row>
    <row r="76" outlineLevel="1">
      <c r="A76" s="230" t="s">
        <v>5678</v>
      </c>
      <c r="B76" s="109"/>
      <c r="C76" s="231" t="s">
        <v>48</v>
      </c>
      <c r="D76" s="231" t="s">
        <v>49</v>
      </c>
      <c r="E76" s="232" t="s">
        <v>50</v>
      </c>
      <c r="F76" s="233" t="s">
        <v>51</v>
      </c>
      <c r="G76" s="232"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3198" t="s">
        <v>183</v>
      </c>
    </row>
    <row r="77" outlineLevel="1">
      <c r="A77" s="237" t="s">
        <v>4308</v>
      </c>
      <c r="B77" s="243" t="s">
        <v>125</v>
      </c>
      <c r="C77" s="239" t="s">
        <v>228</v>
      </c>
      <c r="D77" s="455" t="s">
        <v>5679</v>
      </c>
      <c r="E77" s="239" t="s">
        <v>5680</v>
      </c>
      <c r="F77" s="138" t="s">
        <v>5681</v>
      </c>
      <c r="G77" s="239" t="s">
        <v>4489</v>
      </c>
      <c r="H77" s="163" t="s">
        <v>5682</v>
      </c>
      <c r="I77" s="164"/>
      <c r="J77" s="104"/>
      <c r="K77" s="282"/>
      <c r="L77" s="282"/>
      <c r="M77" s="363"/>
      <c r="N77" s="363"/>
      <c r="O77" s="145">
        <v>0.0</v>
      </c>
      <c r="P77" s="145">
        <v>1.0</v>
      </c>
      <c r="Q77" s="145">
        <v>1.0</v>
      </c>
      <c r="R77" s="145" t="b">
        <v>1</v>
      </c>
      <c r="S77" s="145" t="b">
        <v>1</v>
      </c>
      <c r="T77" s="145"/>
      <c r="U77" s="166" t="s">
        <v>3287</v>
      </c>
      <c r="V77" s="166" t="b">
        <v>0</v>
      </c>
    </row>
    <row r="78" outlineLevel="1">
      <c r="A78" s="146"/>
      <c r="B78" s="243" t="s">
        <v>430</v>
      </c>
      <c r="C78" s="239" t="s">
        <v>5683</v>
      </c>
      <c r="D78" s="210"/>
      <c r="E78" s="239" t="s">
        <v>5684</v>
      </c>
      <c r="F78" s="138" t="s">
        <v>5685</v>
      </c>
      <c r="G78" s="239" t="s">
        <v>5686</v>
      </c>
      <c r="H78" s="212"/>
      <c r="J78" s="210"/>
      <c r="K78" s="138"/>
      <c r="L78" s="138"/>
      <c r="M78" s="145"/>
      <c r="N78" s="145"/>
      <c r="O78" s="145"/>
      <c r="P78" s="145"/>
      <c r="Q78" s="145"/>
      <c r="R78" s="145" t="b">
        <v>0</v>
      </c>
      <c r="S78" s="145" t="b">
        <v>0</v>
      </c>
      <c r="T78" s="145" t="b">
        <v>0</v>
      </c>
      <c r="U78" s="146"/>
      <c r="V78" s="146"/>
    </row>
    <row r="79" outlineLevel="1">
      <c r="A79" s="146"/>
      <c r="B79" s="243" t="s">
        <v>131</v>
      </c>
      <c r="C79" s="239" t="s">
        <v>65</v>
      </c>
      <c r="D79" s="210"/>
      <c r="E79" s="239" t="s">
        <v>5687</v>
      </c>
      <c r="F79" s="138" t="s">
        <v>5688</v>
      </c>
      <c r="G79" s="239" t="s">
        <v>5689</v>
      </c>
      <c r="H79" s="212"/>
      <c r="J79" s="210"/>
      <c r="K79" s="138"/>
      <c r="L79" s="138"/>
      <c r="M79" s="145"/>
      <c r="N79" s="145"/>
      <c r="O79" s="145"/>
      <c r="P79" s="145"/>
      <c r="Q79" s="145"/>
      <c r="R79" s="145" t="b">
        <v>0</v>
      </c>
      <c r="S79" s="145" t="b">
        <v>0</v>
      </c>
      <c r="T79" s="145" t="b">
        <v>0</v>
      </c>
      <c r="U79" s="146"/>
      <c r="V79" s="146"/>
    </row>
    <row r="80" outlineLevel="1">
      <c r="A80" s="146"/>
      <c r="B80" s="243" t="s">
        <v>1235</v>
      </c>
      <c r="C80" s="239" t="s">
        <v>1918</v>
      </c>
      <c r="D80" s="210"/>
      <c r="E80" s="239" t="s">
        <v>4501</v>
      </c>
      <c r="F80" s="138" t="s">
        <v>4502</v>
      </c>
      <c r="G80" s="239" t="s">
        <v>4503</v>
      </c>
      <c r="H80" s="212"/>
      <c r="J80" s="210"/>
      <c r="K80" s="138"/>
      <c r="L80" s="138"/>
      <c r="M80" s="145"/>
      <c r="N80" s="145"/>
      <c r="O80" s="145"/>
      <c r="P80" s="145"/>
      <c r="Q80" s="145"/>
      <c r="R80" s="145" t="b">
        <v>0</v>
      </c>
      <c r="S80" s="145" t="b">
        <v>0</v>
      </c>
      <c r="T80" s="145" t="b">
        <v>0</v>
      </c>
      <c r="U80" s="146"/>
      <c r="V80" s="146"/>
    </row>
    <row r="81" outlineLevel="1">
      <c r="A81" s="146"/>
      <c r="B81" s="243" t="s">
        <v>1234</v>
      </c>
      <c r="C81" s="239" t="s">
        <v>610</v>
      </c>
      <c r="D81" s="107"/>
      <c r="E81" s="239" t="s">
        <v>4501</v>
      </c>
      <c r="F81" s="138" t="s">
        <v>4502</v>
      </c>
      <c r="G81" s="239" t="s">
        <v>4503</v>
      </c>
      <c r="H81" s="212"/>
      <c r="J81" s="210"/>
      <c r="K81" s="138"/>
      <c r="L81" s="138"/>
      <c r="M81" s="145"/>
      <c r="N81" s="145"/>
      <c r="O81" s="145"/>
      <c r="P81" s="145"/>
      <c r="Q81" s="145"/>
      <c r="R81" s="145" t="b">
        <v>0</v>
      </c>
      <c r="S81" s="145" t="b">
        <v>0</v>
      </c>
      <c r="T81" s="145" t="b">
        <v>0</v>
      </c>
      <c r="U81" s="146"/>
      <c r="V81" s="146"/>
    </row>
    <row r="82" outlineLevel="1">
      <c r="A82" s="237" t="s">
        <v>4316</v>
      </c>
      <c r="B82" s="243" t="s">
        <v>125</v>
      </c>
      <c r="C82" s="239" t="s">
        <v>228</v>
      </c>
      <c r="D82" s="455" t="s">
        <v>5679</v>
      </c>
      <c r="E82" s="239" t="s">
        <v>5680</v>
      </c>
      <c r="F82" s="138" t="s">
        <v>5681</v>
      </c>
      <c r="G82" s="239" t="s">
        <v>4489</v>
      </c>
      <c r="H82" s="212"/>
      <c r="J82" s="210"/>
      <c r="K82" s="138"/>
      <c r="L82" s="138"/>
      <c r="M82" s="145"/>
      <c r="N82" s="145"/>
      <c r="O82" s="145"/>
      <c r="P82" s="145"/>
      <c r="Q82" s="145"/>
      <c r="R82" s="145" t="b">
        <v>0</v>
      </c>
      <c r="S82" s="145" t="b">
        <v>0</v>
      </c>
      <c r="T82" s="145" t="b">
        <v>0</v>
      </c>
      <c r="U82" s="146"/>
      <c r="V82" s="146"/>
    </row>
    <row r="83" outlineLevel="1">
      <c r="A83" s="146"/>
      <c r="B83" s="243" t="s">
        <v>430</v>
      </c>
      <c r="C83" s="239" t="s">
        <v>5683</v>
      </c>
      <c r="D83" s="210"/>
      <c r="E83" s="239" t="s">
        <v>5690</v>
      </c>
      <c r="F83" s="138" t="s">
        <v>5691</v>
      </c>
      <c r="G83" s="239" t="s">
        <v>5692</v>
      </c>
      <c r="H83" s="212"/>
      <c r="J83" s="210"/>
      <c r="K83" s="138"/>
      <c r="L83" s="138"/>
      <c r="M83" s="145"/>
      <c r="N83" s="145"/>
      <c r="O83" s="145"/>
      <c r="P83" s="145"/>
      <c r="Q83" s="145"/>
      <c r="R83" s="145" t="b">
        <v>0</v>
      </c>
      <c r="S83" s="145" t="b">
        <v>0</v>
      </c>
      <c r="T83" s="145" t="b">
        <v>0</v>
      </c>
      <c r="U83" s="146"/>
      <c r="V83" s="146"/>
    </row>
    <row r="84" outlineLevel="1">
      <c r="A84" s="146"/>
      <c r="B84" s="243" t="s">
        <v>131</v>
      </c>
      <c r="C84" s="239" t="s">
        <v>65</v>
      </c>
      <c r="D84" s="210"/>
      <c r="E84" s="239" t="s">
        <v>5693</v>
      </c>
      <c r="F84" s="138" t="s">
        <v>5694</v>
      </c>
      <c r="G84" s="239" t="s">
        <v>5695</v>
      </c>
      <c r="H84" s="212"/>
      <c r="J84" s="210"/>
      <c r="K84" s="138"/>
      <c r="L84" s="138"/>
      <c r="M84" s="145"/>
      <c r="N84" s="145"/>
      <c r="O84" s="145"/>
      <c r="P84" s="145"/>
      <c r="Q84" s="145"/>
      <c r="R84" s="145" t="b">
        <v>0</v>
      </c>
      <c r="S84" s="145" t="b">
        <v>0</v>
      </c>
      <c r="T84" s="145" t="b">
        <v>0</v>
      </c>
      <c r="U84" s="146"/>
      <c r="V84" s="146"/>
    </row>
    <row r="85" outlineLevel="1">
      <c r="A85" s="146"/>
      <c r="B85" s="243" t="s">
        <v>1235</v>
      </c>
      <c r="C85" s="239" t="s">
        <v>1918</v>
      </c>
      <c r="D85" s="210"/>
      <c r="E85" s="239" t="s">
        <v>4364</v>
      </c>
      <c r="F85" s="138" t="s">
        <v>4365</v>
      </c>
      <c r="G85" s="239" t="s">
        <v>4391</v>
      </c>
      <c r="H85" s="212"/>
      <c r="J85" s="210"/>
      <c r="K85" s="138"/>
      <c r="L85" s="138"/>
      <c r="M85" s="145"/>
      <c r="N85" s="145"/>
      <c r="O85" s="145"/>
      <c r="P85" s="145"/>
      <c r="Q85" s="145"/>
      <c r="R85" s="145" t="b">
        <v>0</v>
      </c>
      <c r="S85" s="145" t="b">
        <v>0</v>
      </c>
      <c r="T85" s="145" t="b">
        <v>0</v>
      </c>
      <c r="U85" s="146"/>
      <c r="V85" s="146"/>
    </row>
    <row r="86" outlineLevel="1">
      <c r="A86" s="146"/>
      <c r="B86" s="243" t="s">
        <v>1234</v>
      </c>
      <c r="C86" s="239" t="s">
        <v>610</v>
      </c>
      <c r="D86" s="107"/>
      <c r="E86" s="239" t="s">
        <v>4364</v>
      </c>
      <c r="F86" s="138" t="s">
        <v>4365</v>
      </c>
      <c r="G86" s="239" t="s">
        <v>4391</v>
      </c>
      <c r="H86" s="106"/>
      <c r="I86" s="168"/>
      <c r="J86" s="107"/>
      <c r="K86" s="138"/>
      <c r="L86" s="138"/>
      <c r="M86" s="145"/>
      <c r="N86" s="145"/>
      <c r="O86" s="145"/>
      <c r="P86" s="145"/>
      <c r="Q86" s="145"/>
      <c r="R86" s="145" t="b">
        <v>0</v>
      </c>
      <c r="S86" s="145" t="b">
        <v>0</v>
      </c>
      <c r="T86" s="145" t="b">
        <v>0</v>
      </c>
      <c r="U86" s="156"/>
      <c r="V86" s="156"/>
    </row>
    <row r="87" outlineLevel="1">
      <c r="A87" s="230" t="s">
        <v>5696</v>
      </c>
      <c r="B87" s="109"/>
      <c r="C87" s="231" t="s">
        <v>48</v>
      </c>
      <c r="D87" s="231" t="s">
        <v>49</v>
      </c>
      <c r="E87" s="232" t="s">
        <v>50</v>
      </c>
      <c r="F87" s="233" t="s">
        <v>51</v>
      </c>
      <c r="G87" s="232" t="s">
        <v>52</v>
      </c>
      <c r="H87" s="382" t="s">
        <v>53</v>
      </c>
      <c r="I87" s="110"/>
      <c r="J87" s="109"/>
      <c r="K87" s="235" t="s">
        <v>137</v>
      </c>
      <c r="L87" s="235" t="s">
        <v>138</v>
      </c>
      <c r="M87" s="235" t="s">
        <v>139</v>
      </c>
      <c r="N87" s="235" t="s">
        <v>140</v>
      </c>
      <c r="O87" s="236" t="s">
        <v>141</v>
      </c>
      <c r="P87" s="235" t="s">
        <v>142</v>
      </c>
      <c r="Q87" s="236" t="s">
        <v>143</v>
      </c>
      <c r="R87" s="235" t="s">
        <v>179</v>
      </c>
      <c r="S87" s="236" t="s">
        <v>180</v>
      </c>
      <c r="T87" s="236" t="s">
        <v>181</v>
      </c>
      <c r="U87" s="236" t="s">
        <v>182</v>
      </c>
      <c r="V87" s="3198" t="s">
        <v>183</v>
      </c>
    </row>
    <row r="88" ht="27.75" customHeight="1" outlineLevel="1">
      <c r="A88" s="546" t="s">
        <v>397</v>
      </c>
      <c r="B88" s="402" t="s">
        <v>125</v>
      </c>
      <c r="C88" s="239" t="s">
        <v>128</v>
      </c>
      <c r="D88" s="250"/>
      <c r="E88" s="239" t="s">
        <v>73</v>
      </c>
      <c r="F88" s="138">
        <v>4.8</v>
      </c>
      <c r="G88" s="239" t="s">
        <v>75</v>
      </c>
      <c r="H88" s="163" t="s">
        <v>5697</v>
      </c>
      <c r="I88" s="164"/>
      <c r="J88" s="104"/>
      <c r="K88" s="138"/>
      <c r="L88" s="138"/>
      <c r="M88" s="145"/>
      <c r="N88" s="145"/>
      <c r="O88" s="145">
        <v>0.0</v>
      </c>
      <c r="P88" s="145">
        <v>1.0</v>
      </c>
      <c r="Q88" s="145">
        <v>1.0</v>
      </c>
      <c r="R88" s="145" t="b">
        <v>1</v>
      </c>
      <c r="S88" s="145" t="b">
        <v>1</v>
      </c>
      <c r="T88" s="145"/>
      <c r="U88" s="166" t="s">
        <v>1009</v>
      </c>
      <c r="V88" s="166" t="b">
        <v>0</v>
      </c>
    </row>
    <row r="89" ht="27.75" customHeight="1" outlineLevel="1">
      <c r="A89" s="146"/>
      <c r="B89" s="402" t="s">
        <v>571</v>
      </c>
      <c r="C89" s="239" t="s">
        <v>5698</v>
      </c>
      <c r="D89" s="146"/>
      <c r="E89" s="239" t="s">
        <v>1431</v>
      </c>
      <c r="F89" s="138">
        <v>0.36</v>
      </c>
      <c r="G89" s="239" t="s">
        <v>170</v>
      </c>
      <c r="H89" s="212"/>
      <c r="J89" s="210"/>
      <c r="K89" s="138"/>
      <c r="L89" s="138"/>
      <c r="M89" s="145"/>
      <c r="N89" s="145"/>
      <c r="O89" s="145"/>
      <c r="P89" s="145"/>
      <c r="Q89" s="145"/>
      <c r="R89" s="145" t="b">
        <v>0</v>
      </c>
      <c r="S89" s="145" t="b">
        <v>0</v>
      </c>
      <c r="T89" s="145" t="b">
        <v>0</v>
      </c>
      <c r="U89" s="146"/>
      <c r="V89" s="146"/>
    </row>
    <row r="90" ht="27.75" customHeight="1" outlineLevel="1">
      <c r="A90" s="146"/>
      <c r="B90" s="402" t="s">
        <v>5699</v>
      </c>
      <c r="C90" s="367" t="s">
        <v>92</v>
      </c>
      <c r="D90" s="146"/>
      <c r="E90" s="239" t="s">
        <v>93</v>
      </c>
      <c r="F90" s="138">
        <v>8.4</v>
      </c>
      <c r="G90" s="239" t="s">
        <v>95</v>
      </c>
      <c r="H90" s="212"/>
      <c r="J90" s="210"/>
      <c r="K90" s="138"/>
      <c r="L90" s="138"/>
      <c r="M90" s="145"/>
      <c r="N90" s="145"/>
      <c r="O90" s="145"/>
      <c r="P90" s="145"/>
      <c r="Q90" s="145"/>
      <c r="R90" s="145" t="b">
        <v>0</v>
      </c>
      <c r="S90" s="145" t="b">
        <v>0</v>
      </c>
      <c r="T90" s="145" t="b">
        <v>0</v>
      </c>
      <c r="U90" s="146"/>
      <c r="V90" s="146"/>
    </row>
    <row r="91" ht="27.75" customHeight="1" outlineLevel="1">
      <c r="A91" s="156"/>
      <c r="B91" s="402" t="s">
        <v>5700</v>
      </c>
      <c r="C91" s="156"/>
      <c r="D91" s="146"/>
      <c r="E91" s="239" t="s">
        <v>274</v>
      </c>
      <c r="F91" s="138">
        <v>10.8</v>
      </c>
      <c r="G91" s="239" t="s">
        <v>275</v>
      </c>
      <c r="H91" s="212"/>
      <c r="J91" s="210"/>
      <c r="K91" s="138"/>
      <c r="L91" s="138"/>
      <c r="M91" s="145"/>
      <c r="N91" s="145"/>
      <c r="O91" s="145">
        <v>0.0</v>
      </c>
      <c r="P91" s="145">
        <v>1.0</v>
      </c>
      <c r="Q91" s="145">
        <v>1.0</v>
      </c>
      <c r="R91" s="145" t="b">
        <v>1</v>
      </c>
      <c r="S91" s="145" t="b">
        <v>1</v>
      </c>
      <c r="T91" s="145"/>
      <c r="U91" s="146"/>
      <c r="V91" s="146"/>
    </row>
    <row r="92" ht="27.75" customHeight="1" outlineLevel="1">
      <c r="A92" s="546" t="s">
        <v>5668</v>
      </c>
      <c r="B92" s="402" t="s">
        <v>125</v>
      </c>
      <c r="C92" s="239" t="s">
        <v>128</v>
      </c>
      <c r="D92" s="250"/>
      <c r="E92" s="239" t="s">
        <v>1438</v>
      </c>
      <c r="F92" s="138">
        <v>5.3999999999999995</v>
      </c>
      <c r="G92" s="239" t="s">
        <v>75</v>
      </c>
      <c r="H92" s="212"/>
      <c r="J92" s="210"/>
      <c r="K92" s="138"/>
      <c r="L92" s="138"/>
      <c r="M92" s="145"/>
      <c r="N92" s="145"/>
      <c r="O92" s="145">
        <v>0.0</v>
      </c>
      <c r="P92" s="145">
        <v>1.0</v>
      </c>
      <c r="Q92" s="145">
        <v>1.0</v>
      </c>
      <c r="R92" s="145" t="b">
        <v>1</v>
      </c>
      <c r="S92" s="145" t="b">
        <v>1</v>
      </c>
      <c r="T92" s="145"/>
      <c r="U92" s="146"/>
      <c r="V92" s="146"/>
    </row>
    <row r="93" ht="27.75" customHeight="1" outlineLevel="1">
      <c r="A93" s="146"/>
      <c r="B93" s="402" t="s">
        <v>5701</v>
      </c>
      <c r="C93" s="239" t="s">
        <v>5702</v>
      </c>
      <c r="D93" s="146"/>
      <c r="E93" s="239" t="s">
        <v>1431</v>
      </c>
      <c r="F93" s="138">
        <v>0.36</v>
      </c>
      <c r="G93" s="239" t="s">
        <v>170</v>
      </c>
      <c r="H93" s="212"/>
      <c r="J93" s="210"/>
      <c r="K93" s="138"/>
      <c r="L93" s="138"/>
      <c r="M93" s="145"/>
      <c r="N93" s="145"/>
      <c r="O93" s="145"/>
      <c r="P93" s="145"/>
      <c r="Q93" s="145"/>
      <c r="R93" s="145" t="b">
        <v>0</v>
      </c>
      <c r="S93" s="145" t="b">
        <v>0</v>
      </c>
      <c r="T93" s="145" t="b">
        <v>0</v>
      </c>
      <c r="U93" s="146"/>
      <c r="V93" s="146"/>
    </row>
    <row r="94" ht="27.75" customHeight="1" outlineLevel="1">
      <c r="A94" s="146"/>
      <c r="B94" s="402" t="s">
        <v>5703</v>
      </c>
      <c r="C94" s="367" t="s">
        <v>218</v>
      </c>
      <c r="D94" s="146"/>
      <c r="E94" s="239" t="s">
        <v>80</v>
      </c>
      <c r="F94" s="138">
        <v>9.6</v>
      </c>
      <c r="G94" s="239" t="s">
        <v>123</v>
      </c>
      <c r="H94" s="212"/>
      <c r="J94" s="210"/>
      <c r="K94" s="138"/>
      <c r="L94" s="138"/>
      <c r="M94" s="145"/>
      <c r="N94" s="145"/>
      <c r="O94" s="145"/>
      <c r="P94" s="145"/>
      <c r="Q94" s="145"/>
      <c r="R94" s="145" t="b">
        <v>0</v>
      </c>
      <c r="S94" s="145" t="b">
        <v>0</v>
      </c>
      <c r="T94" s="145" t="b">
        <v>0</v>
      </c>
      <c r="U94" s="146"/>
      <c r="V94" s="146"/>
    </row>
    <row r="95" ht="27.75" customHeight="1" outlineLevel="1">
      <c r="A95" s="156"/>
      <c r="B95" s="402" t="s">
        <v>5704</v>
      </c>
      <c r="C95" s="156"/>
      <c r="D95" s="146"/>
      <c r="E95" s="239" t="s">
        <v>128</v>
      </c>
      <c r="F95" s="138">
        <v>12.0</v>
      </c>
      <c r="G95" s="239" t="s">
        <v>121</v>
      </c>
      <c r="H95" s="106"/>
      <c r="I95" s="168"/>
      <c r="J95" s="107"/>
      <c r="K95" s="138"/>
      <c r="L95" s="138"/>
      <c r="M95" s="145"/>
      <c r="N95" s="145"/>
      <c r="O95" s="145">
        <v>0.0</v>
      </c>
      <c r="P95" s="145">
        <v>1.0</v>
      </c>
      <c r="Q95" s="145">
        <v>1.0</v>
      </c>
      <c r="R95" s="145" t="b">
        <v>1</v>
      </c>
      <c r="S95" s="145" t="b">
        <v>1</v>
      </c>
      <c r="T95" s="145"/>
      <c r="U95" s="156"/>
      <c r="V95" s="156"/>
    </row>
    <row r="96" outlineLevel="1">
      <c r="A96" s="230" t="s">
        <v>5705</v>
      </c>
      <c r="B96" s="109"/>
      <c r="C96" s="231" t="s">
        <v>48</v>
      </c>
      <c r="D96" s="231" t="s">
        <v>49</v>
      </c>
      <c r="E96" s="232" t="s">
        <v>50</v>
      </c>
      <c r="F96" s="233" t="s">
        <v>51</v>
      </c>
      <c r="G96" s="232" t="s">
        <v>52</v>
      </c>
      <c r="H96" s="382" t="s">
        <v>53</v>
      </c>
      <c r="I96" s="110"/>
      <c r="J96" s="109"/>
      <c r="K96" s="235" t="s">
        <v>137</v>
      </c>
      <c r="L96" s="235" t="s">
        <v>138</v>
      </c>
      <c r="M96" s="235" t="s">
        <v>139</v>
      </c>
      <c r="N96" s="235" t="s">
        <v>140</v>
      </c>
      <c r="O96" s="236" t="s">
        <v>141</v>
      </c>
      <c r="P96" s="235" t="s">
        <v>142</v>
      </c>
      <c r="Q96" s="236" t="s">
        <v>143</v>
      </c>
      <c r="R96" s="235" t="s">
        <v>179</v>
      </c>
      <c r="S96" s="236" t="s">
        <v>180</v>
      </c>
      <c r="T96" s="236" t="s">
        <v>181</v>
      </c>
      <c r="U96" s="236" t="s">
        <v>182</v>
      </c>
      <c r="V96" s="3198" t="s">
        <v>183</v>
      </c>
    </row>
    <row r="97" outlineLevel="1">
      <c r="A97" s="546" t="s">
        <v>5706</v>
      </c>
      <c r="B97" s="243" t="s">
        <v>125</v>
      </c>
      <c r="C97" s="239" t="s">
        <v>4500</v>
      </c>
      <c r="D97" s="279" t="s">
        <v>208</v>
      </c>
      <c r="E97" s="239" t="s">
        <v>5707</v>
      </c>
      <c r="F97" s="138" t="s">
        <v>5708</v>
      </c>
      <c r="G97" s="239" t="s">
        <v>5709</v>
      </c>
      <c r="H97" s="163" t="s">
        <v>5710</v>
      </c>
      <c r="I97" s="164"/>
      <c r="J97" s="104"/>
      <c r="K97" s="138"/>
      <c r="L97" s="138"/>
      <c r="M97" s="145"/>
      <c r="N97" s="145"/>
      <c r="O97" s="145">
        <v>0.0</v>
      </c>
      <c r="P97" s="145">
        <v>1.0</v>
      </c>
      <c r="Q97" s="145">
        <v>1.0</v>
      </c>
      <c r="R97" s="145" t="b">
        <v>1</v>
      </c>
      <c r="S97" s="145" t="b">
        <v>1</v>
      </c>
      <c r="T97" s="145"/>
      <c r="U97" s="166" t="s">
        <v>186</v>
      </c>
      <c r="V97" s="166" t="b">
        <v>1</v>
      </c>
    </row>
    <row r="98" outlineLevel="1">
      <c r="A98" s="146"/>
      <c r="B98" s="243" t="s">
        <v>131</v>
      </c>
      <c r="C98" s="239" t="s">
        <v>220</v>
      </c>
      <c r="D98" s="146"/>
      <c r="E98" s="239" t="s">
        <v>5711</v>
      </c>
      <c r="F98" s="138" t="s">
        <v>5712</v>
      </c>
      <c r="G98" s="239" t="s">
        <v>4477</v>
      </c>
      <c r="H98" s="212"/>
      <c r="J98" s="210"/>
      <c r="K98" s="138"/>
      <c r="L98" s="138"/>
      <c r="M98" s="145"/>
      <c r="N98" s="145"/>
      <c r="O98" s="145"/>
      <c r="P98" s="145"/>
      <c r="Q98" s="145"/>
      <c r="R98" s="145" t="b">
        <v>0</v>
      </c>
      <c r="S98" s="145" t="b">
        <v>0</v>
      </c>
      <c r="T98" s="145" t="b">
        <v>0</v>
      </c>
      <c r="U98" s="146"/>
      <c r="V98" s="146"/>
    </row>
    <row r="99" outlineLevel="1">
      <c r="A99" s="146"/>
      <c r="B99" s="402" t="s">
        <v>432</v>
      </c>
      <c r="C99" s="239" t="s">
        <v>299</v>
      </c>
      <c r="D99" s="146"/>
      <c r="E99" s="239" t="s">
        <v>5711</v>
      </c>
      <c r="F99" s="138" t="s">
        <v>5712</v>
      </c>
      <c r="G99" s="239" t="s">
        <v>4477</v>
      </c>
      <c r="H99" s="212"/>
      <c r="J99" s="210"/>
      <c r="K99" s="138"/>
      <c r="L99" s="138"/>
      <c r="M99" s="145"/>
      <c r="N99" s="145"/>
      <c r="O99" s="145"/>
      <c r="P99" s="145"/>
      <c r="Q99" s="145"/>
      <c r="R99" s="145" t="b">
        <v>0</v>
      </c>
      <c r="S99" s="145" t="b">
        <v>0</v>
      </c>
      <c r="T99" s="145" t="b">
        <v>0</v>
      </c>
      <c r="U99" s="146"/>
      <c r="V99" s="146"/>
    </row>
    <row r="100" outlineLevel="1">
      <c r="A100" s="146"/>
      <c r="B100" s="402" t="s">
        <v>434</v>
      </c>
      <c r="C100" s="239" t="s">
        <v>433</v>
      </c>
      <c r="D100" s="146"/>
      <c r="E100" s="239" t="s">
        <v>5713</v>
      </c>
      <c r="F100" s="138" t="s">
        <v>5714</v>
      </c>
      <c r="G100" s="239" t="s">
        <v>4400</v>
      </c>
      <c r="H100" s="212"/>
      <c r="J100" s="210"/>
      <c r="K100" s="138"/>
      <c r="L100" s="138"/>
      <c r="M100" s="145"/>
      <c r="N100" s="145"/>
      <c r="O100" s="145"/>
      <c r="P100" s="145"/>
      <c r="Q100" s="145"/>
      <c r="R100" s="145" t="b">
        <v>0</v>
      </c>
      <c r="S100" s="145" t="b">
        <v>0</v>
      </c>
      <c r="T100" s="145" t="b">
        <v>0</v>
      </c>
      <c r="U100" s="146"/>
      <c r="V100" s="146"/>
    </row>
    <row r="101" outlineLevel="1">
      <c r="A101" s="156"/>
      <c r="B101" s="402" t="s">
        <v>5715</v>
      </c>
      <c r="C101" s="239" t="s">
        <v>5716</v>
      </c>
      <c r="D101" s="156"/>
      <c r="E101" s="239" t="s">
        <v>4419</v>
      </c>
      <c r="F101" s="138" t="s">
        <v>4420</v>
      </c>
      <c r="G101" s="239" t="s">
        <v>4421</v>
      </c>
      <c r="H101" s="212"/>
      <c r="J101" s="210"/>
      <c r="K101" s="138"/>
      <c r="L101" s="138"/>
      <c r="M101" s="145"/>
      <c r="N101" s="145"/>
      <c r="O101" s="145"/>
      <c r="P101" s="145"/>
      <c r="Q101" s="145"/>
      <c r="R101" s="145" t="b">
        <v>0</v>
      </c>
      <c r="S101" s="145" t="b">
        <v>0</v>
      </c>
      <c r="T101" s="145" t="b">
        <v>0</v>
      </c>
      <c r="U101" s="146"/>
      <c r="V101" s="146"/>
    </row>
    <row r="102" outlineLevel="1">
      <c r="A102" s="546" t="s">
        <v>4316</v>
      </c>
      <c r="B102" s="243" t="s">
        <v>125</v>
      </c>
      <c r="C102" s="239" t="s">
        <v>86</v>
      </c>
      <c r="D102" s="279" t="s">
        <v>936</v>
      </c>
      <c r="E102" s="239" t="s">
        <v>5707</v>
      </c>
      <c r="F102" s="138" t="s">
        <v>5708</v>
      </c>
      <c r="G102" s="239" t="s">
        <v>5709</v>
      </c>
      <c r="H102" s="212"/>
      <c r="J102" s="210"/>
      <c r="K102" s="138"/>
      <c r="L102" s="138"/>
      <c r="M102" s="145"/>
      <c r="N102" s="145"/>
      <c r="O102" s="145">
        <v>0.0</v>
      </c>
      <c r="P102" s="145">
        <v>1.0</v>
      </c>
      <c r="Q102" s="145">
        <v>1.0</v>
      </c>
      <c r="R102" s="145" t="b">
        <v>1</v>
      </c>
      <c r="S102" s="145" t="b">
        <v>1</v>
      </c>
      <c r="T102" s="145"/>
      <c r="U102" s="146"/>
      <c r="V102" s="146"/>
    </row>
    <row r="103" outlineLevel="1">
      <c r="A103" s="146"/>
      <c r="B103" s="243" t="s">
        <v>131</v>
      </c>
      <c r="C103" s="239" t="s">
        <v>223</v>
      </c>
      <c r="D103" s="146"/>
      <c r="E103" s="239" t="s">
        <v>5711</v>
      </c>
      <c r="F103" s="138" t="s">
        <v>5712</v>
      </c>
      <c r="G103" s="239" t="s">
        <v>4477</v>
      </c>
      <c r="H103" s="212"/>
      <c r="J103" s="210"/>
      <c r="K103" s="138"/>
      <c r="L103" s="138"/>
      <c r="M103" s="145"/>
      <c r="N103" s="145"/>
      <c r="O103" s="145"/>
      <c r="P103" s="145"/>
      <c r="Q103" s="145"/>
      <c r="R103" s="145" t="b">
        <v>0</v>
      </c>
      <c r="S103" s="145" t="b">
        <v>0</v>
      </c>
      <c r="T103" s="145" t="b">
        <v>0</v>
      </c>
      <c r="U103" s="146"/>
      <c r="V103" s="146"/>
    </row>
    <row r="104" outlineLevel="1">
      <c r="A104" s="146"/>
      <c r="B104" s="402" t="s">
        <v>432</v>
      </c>
      <c r="C104" s="239" t="s">
        <v>373</v>
      </c>
      <c r="D104" s="146"/>
      <c r="E104" s="239" t="s">
        <v>5711</v>
      </c>
      <c r="F104" s="138" t="s">
        <v>5712</v>
      </c>
      <c r="G104" s="239" t="s">
        <v>4477</v>
      </c>
      <c r="H104" s="212"/>
      <c r="J104" s="210"/>
      <c r="K104" s="138"/>
      <c r="L104" s="138"/>
      <c r="M104" s="145"/>
      <c r="N104" s="145"/>
      <c r="O104" s="145"/>
      <c r="P104" s="145"/>
      <c r="Q104" s="145"/>
      <c r="R104" s="145" t="b">
        <v>0</v>
      </c>
      <c r="S104" s="145" t="b">
        <v>0</v>
      </c>
      <c r="T104" s="145" t="b">
        <v>0</v>
      </c>
      <c r="U104" s="146"/>
      <c r="V104" s="146"/>
    </row>
    <row r="105" outlineLevel="1">
      <c r="A105" s="146"/>
      <c r="B105" s="402" t="s">
        <v>434</v>
      </c>
      <c r="C105" s="239" t="s">
        <v>1547</v>
      </c>
      <c r="D105" s="146"/>
      <c r="E105" s="239" t="s">
        <v>5713</v>
      </c>
      <c r="F105" s="138" t="s">
        <v>5714</v>
      </c>
      <c r="G105" s="239" t="s">
        <v>4400</v>
      </c>
      <c r="H105" s="212"/>
      <c r="J105" s="210"/>
      <c r="K105" s="138"/>
      <c r="L105" s="138"/>
      <c r="M105" s="145"/>
      <c r="N105" s="145"/>
      <c r="O105" s="145"/>
      <c r="P105" s="145"/>
      <c r="Q105" s="145"/>
      <c r="R105" s="145" t="b">
        <v>0</v>
      </c>
      <c r="S105" s="145" t="b">
        <v>0</v>
      </c>
      <c r="T105" s="145" t="b">
        <v>0</v>
      </c>
      <c r="U105" s="146"/>
      <c r="V105" s="146"/>
    </row>
    <row r="106" outlineLevel="1">
      <c r="A106" s="146"/>
      <c r="B106" s="402" t="s">
        <v>5717</v>
      </c>
      <c r="C106" s="239" t="s">
        <v>5718</v>
      </c>
      <c r="D106" s="146"/>
      <c r="E106" s="239" t="s">
        <v>4419</v>
      </c>
      <c r="F106" s="138" t="s">
        <v>4420</v>
      </c>
      <c r="G106" s="239" t="s">
        <v>4421</v>
      </c>
      <c r="H106" s="212"/>
      <c r="J106" s="210"/>
      <c r="K106" s="138"/>
      <c r="L106" s="138"/>
      <c r="M106" s="145"/>
      <c r="N106" s="145"/>
      <c r="O106" s="145"/>
      <c r="P106" s="145"/>
      <c r="Q106" s="145"/>
      <c r="R106" s="145" t="b">
        <v>0</v>
      </c>
      <c r="S106" s="145" t="b">
        <v>0</v>
      </c>
      <c r="T106" s="145" t="b">
        <v>0</v>
      </c>
      <c r="U106" s="146"/>
      <c r="V106" s="146"/>
    </row>
    <row r="107" outlineLevel="1">
      <c r="A107" s="156"/>
      <c r="B107" s="402" t="s">
        <v>5719</v>
      </c>
      <c r="C107" s="239" t="s">
        <v>5720</v>
      </c>
      <c r="D107" s="156"/>
      <c r="E107" s="239" t="s">
        <v>4419</v>
      </c>
      <c r="F107" s="138" t="s">
        <v>4420</v>
      </c>
      <c r="G107" s="239" t="s">
        <v>4421</v>
      </c>
      <c r="H107" s="106"/>
      <c r="I107" s="168"/>
      <c r="J107" s="107"/>
      <c r="K107" s="138"/>
      <c r="L107" s="138"/>
      <c r="M107" s="145"/>
      <c r="N107" s="145"/>
      <c r="O107" s="145"/>
      <c r="P107" s="145"/>
      <c r="Q107" s="145"/>
      <c r="R107" s="145" t="b">
        <v>0</v>
      </c>
      <c r="S107" s="145" t="b">
        <v>0</v>
      </c>
      <c r="T107" s="145" t="b">
        <v>0</v>
      </c>
      <c r="U107" s="156"/>
      <c r="V107" s="156"/>
    </row>
    <row r="108" outlineLevel="1">
      <c r="A108" s="230" t="s">
        <v>5721</v>
      </c>
      <c r="B108" s="109"/>
      <c r="C108" s="231" t="s">
        <v>48</v>
      </c>
      <c r="D108" s="231" t="s">
        <v>49</v>
      </c>
      <c r="E108" s="232" t="s">
        <v>50</v>
      </c>
      <c r="F108" s="233" t="s">
        <v>51</v>
      </c>
      <c r="G108" s="232" t="s">
        <v>52</v>
      </c>
      <c r="H108" s="382" t="s">
        <v>53</v>
      </c>
      <c r="I108" s="110"/>
      <c r="J108" s="109"/>
      <c r="K108" s="235" t="s">
        <v>137</v>
      </c>
      <c r="L108" s="235" t="s">
        <v>138</v>
      </c>
      <c r="M108" s="235" t="s">
        <v>139</v>
      </c>
      <c r="N108" s="235" t="s">
        <v>140</v>
      </c>
      <c r="O108" s="236" t="s">
        <v>141</v>
      </c>
      <c r="P108" s="235" t="s">
        <v>142</v>
      </c>
      <c r="Q108" s="236" t="s">
        <v>143</v>
      </c>
      <c r="R108" s="235" t="s">
        <v>179</v>
      </c>
      <c r="S108" s="236" t="s">
        <v>180</v>
      </c>
      <c r="T108" s="236" t="s">
        <v>181</v>
      </c>
      <c r="U108" s="236" t="s">
        <v>182</v>
      </c>
      <c r="V108" s="3198" t="s">
        <v>183</v>
      </c>
    </row>
    <row r="109" ht="24.75" customHeight="1" outlineLevel="1">
      <c r="A109" s="396" t="s">
        <v>332</v>
      </c>
      <c r="B109" s="870"/>
      <c r="C109" s="239" t="s">
        <v>718</v>
      </c>
      <c r="D109" s="455" t="s">
        <v>765</v>
      </c>
      <c r="E109" s="239" t="s">
        <v>876</v>
      </c>
      <c r="F109" s="138">
        <v>31.2</v>
      </c>
      <c r="G109" s="239" t="s">
        <v>123</v>
      </c>
      <c r="H109" s="163" t="s">
        <v>5722</v>
      </c>
      <c r="I109" s="164"/>
      <c r="J109" s="104"/>
      <c r="K109" s="138"/>
      <c r="L109" s="138"/>
      <c r="M109" s="145"/>
      <c r="N109" s="145"/>
      <c r="O109" s="145">
        <v>0.0</v>
      </c>
      <c r="P109" s="145">
        <v>1.0</v>
      </c>
      <c r="Q109" s="145">
        <v>1.0</v>
      </c>
      <c r="R109" s="145" t="b">
        <v>1</v>
      </c>
      <c r="S109" s="145" t="b">
        <v>1</v>
      </c>
      <c r="T109" s="145"/>
      <c r="U109" s="166" t="s">
        <v>3287</v>
      </c>
      <c r="V109" s="166" t="b">
        <v>1</v>
      </c>
    </row>
    <row r="110" ht="24.75" customHeight="1" outlineLevel="1">
      <c r="A110" s="146"/>
      <c r="B110" s="402" t="s">
        <v>187</v>
      </c>
      <c r="C110" s="239" t="s">
        <v>1065</v>
      </c>
      <c r="D110" s="210"/>
      <c r="E110" s="239" t="s">
        <v>5723</v>
      </c>
      <c r="F110" s="138" t="s">
        <v>5724</v>
      </c>
      <c r="G110" s="239" t="s">
        <v>5725</v>
      </c>
      <c r="H110" s="212"/>
      <c r="J110" s="210"/>
      <c r="K110" s="138"/>
      <c r="L110" s="138"/>
      <c r="M110" s="145"/>
      <c r="N110" s="145"/>
      <c r="O110" s="145">
        <v>0.0</v>
      </c>
      <c r="P110" s="145">
        <v>1.0</v>
      </c>
      <c r="Q110" s="145">
        <v>1.0</v>
      </c>
      <c r="R110" s="145" t="b">
        <v>1</v>
      </c>
      <c r="S110" s="145" t="b">
        <v>1</v>
      </c>
      <c r="T110" s="145"/>
      <c r="U110" s="146"/>
      <c r="V110" s="146"/>
    </row>
    <row r="111" ht="24.75" customHeight="1" outlineLevel="1">
      <c r="A111" s="156"/>
      <c r="B111" s="402" t="s">
        <v>189</v>
      </c>
      <c r="C111" s="239" t="s">
        <v>847</v>
      </c>
      <c r="D111" s="107"/>
      <c r="E111" s="239" t="s">
        <v>5726</v>
      </c>
      <c r="F111" s="138" t="s">
        <v>5727</v>
      </c>
      <c r="G111" s="239" t="s">
        <v>632</v>
      </c>
      <c r="H111" s="106"/>
      <c r="I111" s="168"/>
      <c r="J111" s="107"/>
      <c r="K111" s="138"/>
      <c r="L111" s="138"/>
      <c r="M111" s="145"/>
      <c r="N111" s="145"/>
      <c r="O111" s="145">
        <v>0.0</v>
      </c>
      <c r="P111" s="145">
        <v>1.0</v>
      </c>
      <c r="Q111" s="145">
        <v>1.0</v>
      </c>
      <c r="R111" s="145" t="b">
        <v>1</v>
      </c>
      <c r="S111" s="145" t="b">
        <v>1</v>
      </c>
      <c r="T111" s="145"/>
      <c r="U111" s="156"/>
      <c r="V111" s="156"/>
    </row>
    <row r="112" outlineLevel="1">
      <c r="A112" s="230" t="s">
        <v>5728</v>
      </c>
      <c r="B112" s="109"/>
      <c r="C112" s="231" t="s">
        <v>48</v>
      </c>
      <c r="D112" s="231" t="s">
        <v>49</v>
      </c>
      <c r="E112" s="232" t="s">
        <v>50</v>
      </c>
      <c r="F112" s="233" t="s">
        <v>51</v>
      </c>
      <c r="G112" s="232" t="s">
        <v>52</v>
      </c>
      <c r="H112" s="382" t="s">
        <v>53</v>
      </c>
      <c r="I112" s="110"/>
      <c r="J112" s="109"/>
      <c r="K112" s="235" t="s">
        <v>137</v>
      </c>
      <c r="L112" s="235" t="s">
        <v>138</v>
      </c>
      <c r="M112" s="235" t="s">
        <v>139</v>
      </c>
      <c r="N112" s="235" t="s">
        <v>140</v>
      </c>
      <c r="O112" s="236" t="s">
        <v>141</v>
      </c>
      <c r="P112" s="235" t="s">
        <v>142</v>
      </c>
      <c r="Q112" s="236" t="s">
        <v>143</v>
      </c>
      <c r="R112" s="235" t="s">
        <v>179</v>
      </c>
      <c r="S112" s="236" t="s">
        <v>180</v>
      </c>
      <c r="T112" s="236" t="s">
        <v>181</v>
      </c>
      <c r="U112" s="236" t="s">
        <v>182</v>
      </c>
      <c r="V112" s="3198" t="s">
        <v>183</v>
      </c>
    </row>
    <row r="113" ht="59.25" customHeight="1" outlineLevel="1">
      <c r="A113" s="396" t="s">
        <v>332</v>
      </c>
      <c r="B113" s="402" t="s">
        <v>2402</v>
      </c>
      <c r="C113" s="239" t="s">
        <v>509</v>
      </c>
      <c r="D113" s="113" t="s">
        <v>901</v>
      </c>
      <c r="E113" s="239" t="s">
        <v>150</v>
      </c>
      <c r="F113" s="138">
        <v>6.0</v>
      </c>
      <c r="G113" s="239" t="s">
        <v>102</v>
      </c>
      <c r="H113" s="163" t="s">
        <v>5729</v>
      </c>
      <c r="I113" s="164"/>
      <c r="J113" s="104"/>
      <c r="K113" s="138"/>
      <c r="L113" s="138"/>
      <c r="M113" s="145"/>
      <c r="N113" s="145"/>
      <c r="O113" s="145">
        <v>0.0</v>
      </c>
      <c r="P113" s="145">
        <v>1.0</v>
      </c>
      <c r="Q113" s="145">
        <v>1.0</v>
      </c>
      <c r="R113" s="145" t="b">
        <v>1</v>
      </c>
      <c r="S113" s="145" t="b">
        <v>1</v>
      </c>
      <c r="T113" s="145"/>
      <c r="U113" s="166" t="s">
        <v>3287</v>
      </c>
      <c r="V113" s="166" t="b">
        <v>1</v>
      </c>
    </row>
    <row r="114" ht="59.25" customHeight="1" outlineLevel="1">
      <c r="A114" s="146"/>
      <c r="B114" s="402" t="s">
        <v>5730</v>
      </c>
      <c r="C114" s="239" t="s">
        <v>1290</v>
      </c>
      <c r="D114" s="279" t="s">
        <v>413</v>
      </c>
      <c r="E114" s="239" t="s">
        <v>3811</v>
      </c>
      <c r="F114" s="138" t="s">
        <v>3812</v>
      </c>
      <c r="G114" s="239" t="s">
        <v>2002</v>
      </c>
      <c r="H114" s="212"/>
      <c r="J114" s="210"/>
      <c r="K114" s="138"/>
      <c r="L114" s="138"/>
      <c r="M114" s="145"/>
      <c r="N114" s="145"/>
      <c r="O114" s="145"/>
      <c r="P114" s="145"/>
      <c r="Q114" s="145"/>
      <c r="R114" s="145" t="b">
        <v>0</v>
      </c>
      <c r="S114" s="145" t="b">
        <v>0</v>
      </c>
      <c r="T114" s="145" t="b">
        <v>0</v>
      </c>
      <c r="U114" s="146"/>
      <c r="V114" s="146"/>
    </row>
    <row r="115" ht="59.25" customHeight="1" outlineLevel="1">
      <c r="A115" s="156"/>
      <c r="B115" s="402" t="s">
        <v>5731</v>
      </c>
      <c r="C115" s="239" t="s">
        <v>386</v>
      </c>
      <c r="D115" s="156"/>
      <c r="E115" s="239" t="s">
        <v>718</v>
      </c>
      <c r="F115" s="138">
        <v>24.0</v>
      </c>
      <c r="G115" s="281"/>
      <c r="H115" s="106"/>
      <c r="I115" s="168"/>
      <c r="J115" s="107"/>
      <c r="K115" s="138"/>
      <c r="L115" s="138"/>
      <c r="M115" s="145"/>
      <c r="N115" s="145"/>
      <c r="O115" s="145">
        <v>0.0</v>
      </c>
      <c r="P115" s="145">
        <v>1.0</v>
      </c>
      <c r="Q115" s="145">
        <v>1.0</v>
      </c>
      <c r="R115" s="145" t="b">
        <v>1</v>
      </c>
      <c r="S115" s="145" t="b">
        <v>1</v>
      </c>
      <c r="T115" s="145"/>
      <c r="U115" s="156"/>
      <c r="V115" s="156"/>
    </row>
    <row r="116">
      <c r="A116" s="223"/>
      <c r="B116" s="224"/>
      <c r="C116" s="225"/>
      <c r="D116" s="225"/>
      <c r="E116" s="226"/>
      <c r="F116" s="226"/>
      <c r="G116" s="226"/>
      <c r="H116" s="227"/>
      <c r="I116" s="227"/>
      <c r="J116" s="228"/>
      <c r="K116" s="228"/>
      <c r="L116" s="228"/>
      <c r="M116" s="228"/>
      <c r="N116" s="228"/>
      <c r="O116" s="228"/>
      <c r="P116" s="228"/>
      <c r="Q116" s="118"/>
      <c r="R116" s="118"/>
      <c r="S116" s="118"/>
      <c r="T116" s="118"/>
      <c r="U116" s="118"/>
      <c r="V116" s="118"/>
    </row>
    <row r="117">
      <c r="A117" s="264" t="s">
        <v>211</v>
      </c>
      <c r="B117" s="104"/>
      <c r="C117" s="227"/>
      <c r="D117" s="227"/>
      <c r="E117" s="228"/>
      <c r="F117" s="265"/>
      <c r="G117" s="265"/>
      <c r="H117" s="228"/>
      <c r="I117" s="228"/>
      <c r="J117" s="228"/>
      <c r="K117" s="228"/>
      <c r="L117" s="228"/>
      <c r="M117" s="228"/>
      <c r="N117" s="118"/>
      <c r="O117" s="118"/>
      <c r="P117" s="118"/>
      <c r="Q117" s="228"/>
      <c r="R117" s="228"/>
      <c r="S117" s="228"/>
      <c r="T117" s="228"/>
      <c r="U117" s="228"/>
      <c r="V117" s="228"/>
    </row>
    <row r="118" outlineLevel="1">
      <c r="A118" s="106"/>
      <c r="B118" s="107"/>
      <c r="C118" s="266" t="s">
        <v>48</v>
      </c>
      <c r="D118" s="266" t="s">
        <v>49</v>
      </c>
      <c r="E118" s="266" t="s">
        <v>50</v>
      </c>
      <c r="F118" s="267" t="s">
        <v>51</v>
      </c>
      <c r="G118" s="227"/>
      <c r="H118" s="227"/>
      <c r="I118" s="227"/>
      <c r="J118" s="228"/>
      <c r="K118" s="228"/>
      <c r="L118" s="228"/>
      <c r="M118" s="228"/>
      <c r="N118" s="228"/>
      <c r="O118" s="228"/>
      <c r="P118" s="228"/>
      <c r="Q118" s="228"/>
      <c r="R118" s="228"/>
      <c r="S118" s="228"/>
      <c r="T118" s="228"/>
      <c r="U118" s="228"/>
      <c r="V118" s="228"/>
    </row>
    <row r="119" outlineLevel="1">
      <c r="A119" s="268" t="s">
        <v>212</v>
      </c>
      <c r="B119" s="269" t="s">
        <v>212</v>
      </c>
      <c r="C119" s="113" t="s">
        <v>213</v>
      </c>
      <c r="D119" s="113" t="s">
        <v>86</v>
      </c>
      <c r="E119" s="113" t="s">
        <v>1024</v>
      </c>
      <c r="F119" s="138">
        <v>1.8</v>
      </c>
      <c r="G119" s="227"/>
      <c r="H119" s="227"/>
      <c r="I119" s="227"/>
      <c r="J119" s="228"/>
      <c r="K119" s="228"/>
      <c r="L119" s="228"/>
      <c r="M119" s="228"/>
      <c r="N119" s="228"/>
      <c r="O119" s="228"/>
      <c r="P119" s="228"/>
      <c r="Q119" s="228"/>
      <c r="R119" s="228"/>
      <c r="S119" s="228"/>
      <c r="T119" s="228"/>
      <c r="U119" s="228"/>
      <c r="V119" s="228"/>
    </row>
    <row r="120" outlineLevel="1">
      <c r="A120" s="270" t="s">
        <v>215</v>
      </c>
      <c r="B120" s="269" t="s">
        <v>216</v>
      </c>
      <c r="C120" s="113" t="s">
        <v>217</v>
      </c>
      <c r="D120" s="113" t="s">
        <v>218</v>
      </c>
      <c r="E120" s="271"/>
      <c r="F120" s="272"/>
      <c r="G120" s="272"/>
      <c r="H120" s="227"/>
      <c r="I120" s="227"/>
      <c r="J120" s="228"/>
      <c r="K120" s="228"/>
      <c r="L120" s="228"/>
      <c r="M120" s="228"/>
      <c r="N120" s="228"/>
      <c r="O120" s="228"/>
      <c r="P120" s="228"/>
      <c r="Q120" s="228"/>
      <c r="R120" s="228"/>
      <c r="S120" s="228"/>
      <c r="T120" s="228"/>
      <c r="U120" s="228"/>
      <c r="V120" s="228"/>
    </row>
    <row r="121" outlineLevel="1">
      <c r="A121" s="212"/>
      <c r="B121" s="269" t="s">
        <v>219</v>
      </c>
      <c r="C121" s="113" t="s">
        <v>220</v>
      </c>
      <c r="D121" s="113" t="s">
        <v>221</v>
      </c>
      <c r="E121" s="271"/>
      <c r="F121" s="272"/>
      <c r="G121" s="272"/>
      <c r="H121" s="227"/>
      <c r="I121" s="227"/>
      <c r="J121" s="228"/>
      <c r="K121" s="228"/>
      <c r="L121" s="228"/>
      <c r="M121" s="228"/>
      <c r="N121" s="228"/>
      <c r="O121" s="228"/>
      <c r="P121" s="228"/>
      <c r="Q121" s="228"/>
      <c r="R121" s="228"/>
      <c r="S121" s="228"/>
      <c r="T121" s="228"/>
      <c r="U121" s="228"/>
      <c r="V121" s="228"/>
    </row>
    <row r="122" outlineLevel="1">
      <c r="A122" s="106"/>
      <c r="B122" s="269" t="s">
        <v>222</v>
      </c>
      <c r="C122" s="113" t="s">
        <v>223</v>
      </c>
      <c r="D122" s="113" t="s">
        <v>79</v>
      </c>
      <c r="E122" s="227"/>
      <c r="F122" s="272"/>
      <c r="G122" s="272"/>
      <c r="H122" s="227"/>
      <c r="I122" s="227"/>
      <c r="J122" s="228"/>
      <c r="K122" s="228"/>
      <c r="L122" s="228"/>
      <c r="M122" s="228"/>
      <c r="N122" s="228"/>
      <c r="O122" s="228"/>
      <c r="P122" s="228"/>
      <c r="Q122" s="228"/>
      <c r="R122" s="228"/>
      <c r="S122" s="228"/>
      <c r="T122" s="228"/>
      <c r="U122" s="228"/>
      <c r="V122" s="228"/>
    </row>
    <row r="123" outlineLevel="1">
      <c r="A123" s="273" t="s">
        <v>225</v>
      </c>
      <c r="B123" s="109"/>
      <c r="C123" s="266" t="s">
        <v>48</v>
      </c>
      <c r="D123" s="266" t="s">
        <v>49</v>
      </c>
      <c r="E123" s="266" t="s">
        <v>50</v>
      </c>
      <c r="F123" s="267" t="s">
        <v>51</v>
      </c>
      <c r="G123" s="1168" t="s">
        <v>53</v>
      </c>
      <c r="H123" s="110"/>
      <c r="I123" s="110"/>
      <c r="J123" s="109"/>
      <c r="K123" s="275" t="s">
        <v>137</v>
      </c>
      <c r="L123" s="275" t="s">
        <v>138</v>
      </c>
      <c r="M123" s="275" t="s">
        <v>139</v>
      </c>
      <c r="N123" s="275" t="s">
        <v>140</v>
      </c>
      <c r="O123" s="276" t="s">
        <v>141</v>
      </c>
      <c r="P123" s="275" t="s">
        <v>142</v>
      </c>
      <c r="Q123" s="276" t="s">
        <v>143</v>
      </c>
      <c r="R123" s="277"/>
      <c r="S123" s="277"/>
      <c r="T123" s="277"/>
      <c r="U123" s="277"/>
      <c r="V123" s="277"/>
    </row>
    <row r="124" outlineLevel="1">
      <c r="A124" s="278" t="s">
        <v>226</v>
      </c>
      <c r="B124" s="269" t="s">
        <v>227</v>
      </c>
      <c r="C124" s="281"/>
      <c r="D124" s="279" t="s">
        <v>455</v>
      </c>
      <c r="E124" s="281"/>
      <c r="F124" s="476"/>
      <c r="G124" s="283"/>
      <c r="H124" s="164"/>
      <c r="I124" s="164"/>
      <c r="J124" s="104"/>
      <c r="K124" s="282"/>
      <c r="L124" s="282"/>
      <c r="M124" s="363"/>
      <c r="N124" s="145"/>
      <c r="O124" s="145">
        <v>0.0</v>
      </c>
      <c r="P124" s="145">
        <v>1.0</v>
      </c>
      <c r="Q124" s="145">
        <v>1.0</v>
      </c>
      <c r="R124" s="277"/>
      <c r="S124" s="228"/>
      <c r="T124" s="228"/>
      <c r="U124" s="228"/>
      <c r="V124" s="228"/>
    </row>
    <row r="125" outlineLevel="1">
      <c r="A125" s="156"/>
      <c r="B125" s="269" t="s">
        <v>225</v>
      </c>
      <c r="C125" s="113" t="s">
        <v>164</v>
      </c>
      <c r="D125" s="156"/>
      <c r="E125" s="239" t="s">
        <v>128</v>
      </c>
      <c r="F125" s="138">
        <v>12.0</v>
      </c>
      <c r="G125" s="106"/>
      <c r="H125" s="168"/>
      <c r="I125" s="168"/>
      <c r="J125" s="107"/>
      <c r="K125" s="282"/>
      <c r="L125" s="282"/>
      <c r="M125" s="363"/>
      <c r="N125" s="145"/>
      <c r="O125" s="261"/>
      <c r="P125" s="261"/>
      <c r="Q125" s="261"/>
      <c r="R125" s="277"/>
      <c r="S125" s="228"/>
      <c r="T125" s="228"/>
      <c r="U125" s="228"/>
      <c r="V125" s="228"/>
    </row>
    <row r="126" outlineLevel="1">
      <c r="A126" s="278" t="s">
        <v>229</v>
      </c>
      <c r="B126" s="269" t="s">
        <v>227</v>
      </c>
      <c r="C126" s="281"/>
      <c r="D126" s="279" t="s">
        <v>300</v>
      </c>
      <c r="E126" s="281"/>
      <c r="F126" s="476"/>
      <c r="G126" s="283"/>
      <c r="H126" s="164"/>
      <c r="I126" s="164"/>
      <c r="J126" s="104"/>
      <c r="K126" s="282"/>
      <c r="L126" s="282"/>
      <c r="M126" s="363"/>
      <c r="N126" s="363"/>
      <c r="O126" s="145">
        <v>0.0</v>
      </c>
      <c r="P126" s="145">
        <v>1.0</v>
      </c>
      <c r="Q126" s="145">
        <v>1.0</v>
      </c>
      <c r="R126" s="277"/>
      <c r="S126" s="228"/>
      <c r="T126" s="228"/>
      <c r="U126" s="228"/>
      <c r="V126" s="228"/>
    </row>
    <row r="127" outlineLevel="1">
      <c r="A127" s="156"/>
      <c r="B127" s="269" t="s">
        <v>225</v>
      </c>
      <c r="C127" s="113" t="s">
        <v>164</v>
      </c>
      <c r="D127" s="156"/>
      <c r="E127" s="239" t="s">
        <v>128</v>
      </c>
      <c r="F127" s="138">
        <v>12.0</v>
      </c>
      <c r="G127" s="106"/>
      <c r="H127" s="168"/>
      <c r="I127" s="168"/>
      <c r="J127" s="107"/>
      <c r="K127" s="282"/>
      <c r="L127" s="282"/>
      <c r="M127" s="363"/>
      <c r="N127" s="363"/>
      <c r="O127" s="261"/>
      <c r="P127" s="261"/>
      <c r="Q127" s="261"/>
      <c r="R127" s="277"/>
      <c r="S127" s="228"/>
      <c r="T127" s="228"/>
      <c r="U127" s="228"/>
      <c r="V127" s="228"/>
    </row>
    <row r="128" outlineLevel="1">
      <c r="A128" s="278" t="s">
        <v>233</v>
      </c>
      <c r="B128" s="269" t="s">
        <v>227</v>
      </c>
      <c r="C128" s="113" t="s">
        <v>129</v>
      </c>
      <c r="D128" s="279" t="s">
        <v>72</v>
      </c>
      <c r="E128" s="239" t="s">
        <v>150</v>
      </c>
      <c r="F128" s="138">
        <v>6.0</v>
      </c>
      <c r="G128" s="1170"/>
      <c r="H128" s="164"/>
      <c r="I128" s="164"/>
      <c r="J128" s="104"/>
      <c r="K128" s="282"/>
      <c r="L128" s="282"/>
      <c r="M128" s="363"/>
      <c r="N128" s="363"/>
      <c r="O128" s="145">
        <v>0.0</v>
      </c>
      <c r="P128" s="145">
        <v>1.0</v>
      </c>
      <c r="Q128" s="145">
        <v>1.0</v>
      </c>
      <c r="R128" s="277"/>
      <c r="S128" s="228"/>
      <c r="T128" s="228"/>
      <c r="U128" s="228"/>
      <c r="V128" s="228"/>
    </row>
    <row r="129" outlineLevel="1">
      <c r="A129" s="156"/>
      <c r="B129" s="269" t="s">
        <v>225</v>
      </c>
      <c r="C129" s="113" t="s">
        <v>228</v>
      </c>
      <c r="D129" s="156"/>
      <c r="E129" s="239" t="s">
        <v>213</v>
      </c>
      <c r="F129" s="138">
        <v>1.2</v>
      </c>
      <c r="G129" s="106"/>
      <c r="H129" s="168"/>
      <c r="I129" s="168"/>
      <c r="J129" s="107"/>
      <c r="K129" s="282"/>
      <c r="L129" s="282"/>
      <c r="M129" s="363"/>
      <c r="N129" s="363"/>
      <c r="O129" s="261"/>
      <c r="P129" s="261"/>
      <c r="Q129" s="261"/>
      <c r="R129" s="277"/>
      <c r="S129" s="117"/>
      <c r="T129" s="117"/>
      <c r="U129" s="117"/>
      <c r="V129" s="117"/>
    </row>
    <row r="130" outlineLevel="1">
      <c r="A130" s="278" t="s">
        <v>234</v>
      </c>
      <c r="B130" s="269" t="s">
        <v>227</v>
      </c>
      <c r="C130" s="281"/>
      <c r="D130" s="279" t="s">
        <v>111</v>
      </c>
      <c r="E130" s="281"/>
      <c r="F130" s="476"/>
      <c r="G130" s="283" t="s">
        <v>5732</v>
      </c>
      <c r="H130" s="164"/>
      <c r="I130" s="164"/>
      <c r="J130" s="104"/>
      <c r="K130" s="282"/>
      <c r="L130" s="282"/>
      <c r="M130" s="363"/>
      <c r="N130" s="363"/>
      <c r="O130" s="145">
        <v>0.0</v>
      </c>
      <c r="P130" s="145">
        <v>1.0</v>
      </c>
      <c r="Q130" s="145">
        <v>1.0</v>
      </c>
      <c r="R130" s="277"/>
      <c r="S130" s="117"/>
      <c r="T130" s="117"/>
      <c r="U130" s="117"/>
      <c r="V130" s="117"/>
    </row>
    <row r="131" outlineLevel="1">
      <c r="A131" s="156"/>
      <c r="B131" s="269" t="s">
        <v>225</v>
      </c>
      <c r="C131" s="113" t="s">
        <v>173</v>
      </c>
      <c r="D131" s="156"/>
      <c r="E131" s="239" t="s">
        <v>80</v>
      </c>
      <c r="F131" s="138">
        <v>9.6</v>
      </c>
      <c r="G131" s="106"/>
      <c r="H131" s="168"/>
      <c r="I131" s="168"/>
      <c r="J131" s="107"/>
      <c r="K131" s="282"/>
      <c r="L131" s="282"/>
      <c r="M131" s="363"/>
      <c r="N131" s="363"/>
      <c r="O131" s="261"/>
      <c r="P131" s="261"/>
      <c r="Q131" s="261"/>
      <c r="R131" s="277"/>
      <c r="S131" s="117"/>
      <c r="T131" s="117"/>
      <c r="U131" s="117"/>
      <c r="V131" s="117"/>
    </row>
    <row r="132">
      <c r="A132" s="223"/>
      <c r="B132" s="224"/>
      <c r="C132" s="225"/>
      <c r="D132" s="225"/>
      <c r="E132" s="227"/>
      <c r="F132" s="177"/>
      <c r="G132" s="177"/>
      <c r="H132" s="227"/>
      <c r="I132" s="227"/>
      <c r="J132" s="228"/>
      <c r="K132" s="228"/>
      <c r="L132" s="111"/>
      <c r="M132" s="111"/>
      <c r="N132" s="111"/>
      <c r="O132" s="117"/>
      <c r="P132" s="117"/>
      <c r="Q132" s="111"/>
      <c r="R132" s="111"/>
      <c r="S132" s="111"/>
      <c r="T132" s="111"/>
      <c r="U132" s="111"/>
      <c r="V132" s="111"/>
    </row>
    <row r="133">
      <c r="A133" s="284" t="s">
        <v>241</v>
      </c>
      <c r="B133" s="104"/>
      <c r="C133" s="265"/>
      <c r="D133" s="111"/>
      <c r="E133" s="111"/>
      <c r="F133" s="111"/>
      <c r="G133" s="111"/>
      <c r="H133" s="111"/>
      <c r="I133" s="111"/>
      <c r="J133" s="118"/>
      <c r="K133" s="111"/>
      <c r="L133" s="111"/>
      <c r="M133" s="111"/>
      <c r="N133" s="111"/>
      <c r="O133" s="111"/>
      <c r="P133" s="111"/>
      <c r="Q133" s="118"/>
      <c r="R133" s="111"/>
      <c r="S133" s="111"/>
      <c r="T133" s="111"/>
      <c r="U133" s="111"/>
      <c r="V133" s="111"/>
    </row>
    <row r="134" outlineLevel="1">
      <c r="A134" s="106"/>
      <c r="B134" s="107"/>
      <c r="C134" s="285" t="s">
        <v>235</v>
      </c>
      <c r="D134" s="285" t="s">
        <v>236</v>
      </c>
      <c r="E134" s="285" t="s">
        <v>49</v>
      </c>
      <c r="F134" s="285" t="s">
        <v>237</v>
      </c>
      <c r="G134" s="3302" t="s">
        <v>53</v>
      </c>
      <c r="H134" s="110"/>
      <c r="I134" s="110"/>
      <c r="J134" s="109"/>
      <c r="K134" s="228"/>
      <c r="L134" s="111"/>
      <c r="M134" s="111"/>
      <c r="N134" s="111"/>
      <c r="O134" s="111"/>
      <c r="P134" s="111"/>
      <c r="Q134" s="111"/>
      <c r="R134" s="111"/>
      <c r="S134" s="111"/>
      <c r="T134" s="111"/>
      <c r="U134" s="111"/>
      <c r="V134" s="111"/>
    </row>
    <row r="135" outlineLevel="1">
      <c r="A135" s="287" t="s">
        <v>395</v>
      </c>
      <c r="B135" s="288" t="s">
        <v>216</v>
      </c>
      <c r="C135" s="113" t="s">
        <v>799</v>
      </c>
      <c r="D135" s="113" t="s">
        <v>5521</v>
      </c>
      <c r="E135" s="113" t="s">
        <v>5733</v>
      </c>
      <c r="F135" s="239" t="s">
        <v>5734</v>
      </c>
      <c r="G135" s="3303" t="s">
        <v>5735</v>
      </c>
      <c r="H135" s="110"/>
      <c r="I135" s="110"/>
      <c r="J135" s="109"/>
      <c r="K135" s="228"/>
      <c r="L135" s="228"/>
      <c r="M135" s="111"/>
      <c r="N135" s="111"/>
      <c r="O135" s="111"/>
      <c r="P135" s="111"/>
      <c r="Q135" s="111"/>
      <c r="R135" s="111"/>
      <c r="S135" s="111"/>
      <c r="T135" s="111"/>
      <c r="U135" s="111"/>
      <c r="V135" s="111"/>
    </row>
    <row r="136" outlineLevel="1">
      <c r="A136" s="212"/>
      <c r="B136" s="288" t="s">
        <v>245</v>
      </c>
      <c r="C136" s="113" t="s">
        <v>5736</v>
      </c>
      <c r="D136" s="113" t="s">
        <v>2218</v>
      </c>
      <c r="E136" s="113" t="s">
        <v>99</v>
      </c>
      <c r="F136" s="113" t="s">
        <v>282</v>
      </c>
      <c r="G136" s="289"/>
      <c r="H136" s="118"/>
      <c r="I136" s="118"/>
      <c r="J136" s="117"/>
      <c r="K136" s="228"/>
      <c r="L136" s="228"/>
      <c r="M136" s="228"/>
      <c r="N136" s="228"/>
      <c r="O136" s="111"/>
      <c r="P136" s="111"/>
      <c r="Q136" s="111"/>
      <c r="R136" s="111"/>
      <c r="S136" s="111"/>
      <c r="T136" s="111"/>
      <c r="U136" s="111"/>
      <c r="V136" s="111"/>
    </row>
    <row r="137" outlineLevel="1">
      <c r="A137" s="106"/>
      <c r="B137" s="288" t="s">
        <v>246</v>
      </c>
      <c r="C137" s="113" t="s">
        <v>5737</v>
      </c>
      <c r="D137" s="113" t="s">
        <v>1886</v>
      </c>
      <c r="E137" s="113" t="s">
        <v>218</v>
      </c>
      <c r="F137" s="113" t="s">
        <v>455</v>
      </c>
      <c r="G137" s="286"/>
      <c r="H137" s="286"/>
      <c r="I137" s="286"/>
      <c r="J137" s="111"/>
      <c r="K137" s="117"/>
      <c r="L137" s="117"/>
      <c r="M137" s="117"/>
      <c r="N137" s="117"/>
      <c r="O137" s="111"/>
      <c r="P137" s="111"/>
      <c r="Q137" s="111"/>
      <c r="R137" s="111"/>
      <c r="S137" s="111"/>
      <c r="T137" s="111"/>
      <c r="U137" s="111"/>
      <c r="V137" s="111"/>
    </row>
    <row r="138" outlineLevel="1">
      <c r="A138" s="287" t="s">
        <v>396</v>
      </c>
      <c r="B138" s="288" t="s">
        <v>397</v>
      </c>
      <c r="C138" s="113" t="s">
        <v>1324</v>
      </c>
      <c r="D138" s="113" t="s">
        <v>149</v>
      </c>
      <c r="E138" s="113" t="s">
        <v>455</v>
      </c>
      <c r="F138" s="177"/>
      <c r="G138" s="177"/>
      <c r="H138" s="118"/>
      <c r="I138" s="118"/>
      <c r="J138" s="111"/>
      <c r="K138" s="111"/>
      <c r="L138" s="111"/>
      <c r="M138" s="111"/>
      <c r="N138" s="111"/>
      <c r="O138" s="228"/>
      <c r="P138" s="228"/>
      <c r="Q138" s="228"/>
      <c r="R138" s="228"/>
      <c r="S138" s="228"/>
      <c r="T138" s="228"/>
      <c r="U138" s="228"/>
      <c r="V138" s="228"/>
    </row>
    <row r="139" outlineLevel="1">
      <c r="A139" s="106"/>
      <c r="B139" s="288" t="s">
        <v>398</v>
      </c>
      <c r="C139" s="113" t="s">
        <v>5738</v>
      </c>
      <c r="D139" s="113" t="s">
        <v>5739</v>
      </c>
      <c r="E139" s="239" t="s">
        <v>5740</v>
      </c>
      <c r="F139" s="289"/>
      <c r="G139" s="289"/>
      <c r="H139" s="118"/>
      <c r="I139" s="118"/>
      <c r="J139" s="117"/>
      <c r="K139" s="117"/>
      <c r="L139" s="117"/>
      <c r="M139" s="117"/>
      <c r="N139" s="111"/>
      <c r="O139" s="118"/>
      <c r="P139" s="118"/>
      <c r="Q139" s="118"/>
      <c r="R139" s="118"/>
      <c r="S139" s="118"/>
      <c r="T139" s="118"/>
      <c r="U139" s="118"/>
      <c r="V139" s="118"/>
    </row>
    <row r="140">
      <c r="A140" s="291"/>
      <c r="B140" s="292"/>
      <c r="C140" s="286"/>
      <c r="D140" s="286"/>
      <c r="E140" s="293"/>
      <c r="F140" s="286"/>
      <c r="G140" s="286"/>
      <c r="H140" s="286"/>
      <c r="I140" s="286"/>
      <c r="J140" s="111"/>
      <c r="K140" s="227"/>
      <c r="L140" s="227"/>
      <c r="M140" s="227"/>
      <c r="N140" s="227"/>
      <c r="O140" s="118"/>
      <c r="P140" s="118"/>
      <c r="Q140" s="118"/>
      <c r="R140" s="118"/>
      <c r="S140" s="118"/>
      <c r="T140" s="118"/>
      <c r="U140" s="118"/>
      <c r="V140" s="118"/>
    </row>
    <row r="141">
      <c r="A141" s="294" t="s">
        <v>238</v>
      </c>
      <c r="B141" s="104"/>
      <c r="C141" s="228"/>
      <c r="D141" s="117"/>
      <c r="E141" s="228"/>
      <c r="F141" s="114"/>
      <c r="G141" s="114"/>
      <c r="H141" s="117"/>
      <c r="I141" s="117"/>
      <c r="J141" s="118"/>
      <c r="K141" s="118"/>
      <c r="L141" s="118"/>
      <c r="M141" s="118"/>
      <c r="N141" s="118"/>
      <c r="O141" s="118"/>
      <c r="P141" s="118"/>
      <c r="Q141" s="118"/>
      <c r="R141" s="118"/>
      <c r="S141" s="118"/>
      <c r="T141" s="118"/>
      <c r="U141" s="118"/>
      <c r="V141" s="118"/>
    </row>
    <row r="142" outlineLevel="1">
      <c r="A142" s="106"/>
      <c r="B142" s="107"/>
      <c r="C142" s="295" t="s">
        <v>235</v>
      </c>
      <c r="D142" s="295" t="s">
        <v>49</v>
      </c>
      <c r="E142" s="295" t="s">
        <v>48</v>
      </c>
      <c r="F142" s="295" t="s">
        <v>50</v>
      </c>
      <c r="G142" s="296" t="s">
        <v>51</v>
      </c>
      <c r="H142" s="228"/>
      <c r="I142" s="228"/>
      <c r="J142" s="117"/>
      <c r="K142" s="297" t="s">
        <v>256</v>
      </c>
      <c r="L142" s="109"/>
      <c r="M142" s="298" t="s">
        <v>257</v>
      </c>
      <c r="N142" s="298" t="s">
        <v>49</v>
      </c>
      <c r="O142" s="118"/>
      <c r="P142" s="118"/>
      <c r="Q142" s="118"/>
      <c r="R142" s="118"/>
      <c r="S142" s="118"/>
      <c r="T142" s="118"/>
      <c r="U142" s="118"/>
      <c r="V142" s="118"/>
    </row>
    <row r="143" outlineLevel="1">
      <c r="A143" s="299" t="s">
        <v>239</v>
      </c>
      <c r="B143" s="300" t="s">
        <v>240</v>
      </c>
      <c r="C143" s="301"/>
      <c r="D143" s="113">
        <f t="array" ref="D143">INDEX('崖行動・受け身'!$C$3:$C$115, MATCH($A$1,'崖行動・受け身'!$A$3:$A$115,0), MATCH(D142,'崖行動・受け身'!$C$2,0))</f>
        <v>19</v>
      </c>
      <c r="E143" s="301"/>
      <c r="F143" s="301"/>
      <c r="G143" s="301"/>
      <c r="H143" s="228"/>
      <c r="I143" s="228"/>
      <c r="J143" s="111"/>
      <c r="K143" s="302" t="s">
        <v>258</v>
      </c>
      <c r="L143" s="303" t="s">
        <v>216</v>
      </c>
      <c r="M143" s="113" t="str">
        <f t="array" ref="M143">INDEX('アイテム'!$C$3:$D$115, MATCH($A$1,'アイテム'!$A$3:$A$115,0), MATCH(M$142,'アイテム'!$C$2:$AK$2,0))</f>
        <v>2</v>
      </c>
      <c r="N143" s="113">
        <f t="array" ref="N143">INDEX('アイテム'!$C$3:$D$115, MATCH($A$1,'アイテム'!$A$3:$A$115,0), MATCH(N$142,'アイテム'!$C$2:$AK$2,0))</f>
        <v>7</v>
      </c>
      <c r="O143" s="118"/>
      <c r="P143" s="118"/>
      <c r="Q143" s="118"/>
      <c r="R143" s="118"/>
      <c r="S143" s="118"/>
      <c r="T143" s="118"/>
      <c r="U143" s="118"/>
      <c r="V143" s="118"/>
    </row>
    <row r="144" outlineLevel="1">
      <c r="A144" s="146"/>
      <c r="B144" s="300" t="s">
        <v>216</v>
      </c>
      <c r="C144" s="113" t="str">
        <f t="array" ref="C144">INDEX('崖行動・受け身'!$D$3:$E$115, MATCH($A$1,'崖行動・受け身'!$A$3:$A$115,0), MATCH(C$142,'崖行動・受け身'!$D$2:$E$2,0))</f>
        <v>1-33</v>
      </c>
      <c r="D144" s="113">
        <f t="array" ref="D144">INDEX('崖行動・受け身'!$D$3:$E$115, MATCH($A$1,'崖行動・受け身'!$A$3:$A$115,0), MATCH(D$142,'崖行動・受け身'!$D$2:$E$2,0))</f>
        <v>34</v>
      </c>
      <c r="E144" s="301"/>
      <c r="F144" s="301"/>
      <c r="G144" s="301"/>
      <c r="H144" s="228"/>
      <c r="I144" s="228"/>
      <c r="J144" s="117"/>
      <c r="K144" s="156"/>
      <c r="L144" s="303" t="s">
        <v>5389</v>
      </c>
      <c r="M144" s="113" t="str">
        <f t="array" ref="M144">INDEX('アイテム'!$E$3:$F$115, MATCH($A$1,'アイテム'!$A$3:$A$115,0), MATCH(M$142,'アイテム'!$E$2:$AK$2,0))</f>
        <v>3</v>
      </c>
      <c r="N144" s="113">
        <f t="array" ref="N144">INDEX('アイテム'!$E$3:$F$115, MATCH($A$1,'アイテム'!$A$3:$A$115,0), MATCH(N$142,'アイテム'!$E$2:$AK$2,0))</f>
        <v>19</v>
      </c>
      <c r="O144" s="118"/>
      <c r="P144" s="118"/>
      <c r="Q144" s="118"/>
      <c r="R144" s="118"/>
      <c r="S144" s="118"/>
      <c r="T144" s="118"/>
      <c r="U144" s="118"/>
      <c r="V144" s="118"/>
    </row>
    <row r="145" outlineLevel="1">
      <c r="A145" s="146"/>
      <c r="B145" s="300" t="s">
        <v>241</v>
      </c>
      <c r="C145" s="113" t="str">
        <f t="array" ref="C145">INDEX('崖行動・受け身'!$F$3:$G$115, MATCH($A$1,'崖行動・受け身'!$A$3:$A$115,0), MATCH(C$142,'崖行動・受け身'!$F$2:$G$2,0))</f>
        <v>1-30</v>
      </c>
      <c r="D145" s="113">
        <f t="array" ref="D145">INDEX('崖行動・受け身'!$F$3:$G$115, MATCH($A$1,'崖行動・受け身'!$A$3:$A$115,0), MATCH(D$142,'崖行動・受け身'!$F$2:$G$2,0))</f>
        <v>45</v>
      </c>
      <c r="E145" s="301"/>
      <c r="F145" s="301"/>
      <c r="G145" s="301"/>
      <c r="H145" s="228"/>
      <c r="I145" s="228"/>
      <c r="J145" s="111"/>
      <c r="K145" s="304" t="s">
        <v>260</v>
      </c>
      <c r="L145" s="109"/>
      <c r="M145" s="298" t="s">
        <v>261</v>
      </c>
      <c r="N145" s="298" t="s">
        <v>49</v>
      </c>
      <c r="O145" s="118"/>
      <c r="P145" s="118"/>
      <c r="Q145" s="118"/>
      <c r="R145" s="118"/>
      <c r="S145" s="118"/>
      <c r="T145" s="118"/>
      <c r="U145" s="118"/>
      <c r="V145" s="118"/>
    </row>
    <row r="146" outlineLevel="1">
      <c r="A146" s="146"/>
      <c r="B146" s="300" t="s">
        <v>242</v>
      </c>
      <c r="C146" s="113" t="str">
        <f t="array" ref="C146">INDEX('崖行動・受け身'!$H$3:$I$115, MATCH($A$1,'崖行動・受け身'!$A$3:$A$115,0), MATCH(C$142,'崖行動・受け身'!$H$2:$I$2,0))</f>
        <v>1-12</v>
      </c>
      <c r="D146" s="113">
        <f t="array" ref="D146">INDEX('崖行動・受け身'!$H$3:$I$115, MATCH($A$1,'崖行動・受け身'!$A$3:$A$115,0), MATCH(D$142,'崖行動・受け身'!$H$2:$I$2,0))</f>
        <v>14</v>
      </c>
      <c r="E146" s="301"/>
      <c r="F146" s="301"/>
      <c r="G146" s="301"/>
      <c r="H146" s="228"/>
      <c r="I146" s="228"/>
      <c r="J146" s="117"/>
      <c r="K146" s="305" t="s">
        <v>262</v>
      </c>
      <c r="L146" s="303" t="s">
        <v>226</v>
      </c>
      <c r="M146" s="113" t="str">
        <f t="array" ref="M146">INDEX('アイテム'!$G$3:$H$115, MATCH($A$1,'アイテム'!$A$3:$A$115,0), MATCH(M$145,'アイテム'!$G$2:$AK$2,0))</f>
        <v>8</v>
      </c>
      <c r="N146" s="113">
        <f t="array" ref="N146">INDEX('アイテム'!$G$3:$H$115, MATCH($A$1,'アイテム'!$A$3:$A$115,0), MATCH(N$145,'アイテム'!$G$2:$AK$2,0))</f>
        <v>24</v>
      </c>
      <c r="O146" s="111"/>
      <c r="P146" s="111"/>
      <c r="Q146" s="111"/>
      <c r="R146" s="111"/>
      <c r="S146" s="111"/>
      <c r="T146" s="111"/>
      <c r="U146" s="111"/>
      <c r="V146" s="111"/>
    </row>
    <row r="147" outlineLevel="1">
      <c r="A147" s="156"/>
      <c r="B147" s="300" t="s">
        <v>243</v>
      </c>
      <c r="C147" s="113" t="str">
        <f t="array" ref="C147">INDEX('崖行動・受け身'!$J$3:$M$115, MATCH($A$1,'崖行動・受け身'!$A$3:$A$115,0), MATCH(C$142,'崖行動・受け身'!$J$2:$M$2,0))</f>
        <v>1-26</v>
      </c>
      <c r="D147" s="113">
        <f t="array" ref="D147">INDEX('崖行動・受け身'!$J$3:$M$115, MATCH($A$1,'崖行動・受け身'!$A$3:$A$115,0), MATCH(D$142,'崖行動・受け身'!$J$2:$M$2,0))</f>
        <v>55</v>
      </c>
      <c r="E147" s="113" t="str">
        <f t="array" ref="E147">INDEX('崖行動・受け身'!$J$3:$M$115, MATCH($A$1,'崖行動・受け身'!$A$3:$A$115,0), MATCH(E$142,'崖行動・受け身'!$J$2:$M$2,0))</f>
        <v>24-26</v>
      </c>
      <c r="F147" s="113">
        <f t="array" ref="F147">INDEX('崖行動・受け身'!$J$3:$M$115, MATCH($A$1,'崖行動・受け身'!$A$3:$A$115,0), MATCH(F$142,'崖行動・受け身'!$J$2:$M$2,0))</f>
        <v>10</v>
      </c>
      <c r="G147" s="113">
        <f>F147*1.2</f>
        <v>12</v>
      </c>
      <c r="H147" s="228"/>
      <c r="I147" s="228"/>
      <c r="J147" s="111"/>
      <c r="K147" s="146"/>
      <c r="L147" s="303" t="s">
        <v>229</v>
      </c>
      <c r="M147" s="113" t="str">
        <f t="array" ref="M147">INDEX('アイテム'!$I$3:$J$115, MATCH($A$1,'アイテム'!$A$3:$A$115,0), MATCH(M$145,'アイテム'!$I$2:$AK$2,0))</f>
        <v>11</v>
      </c>
      <c r="N147" s="113">
        <f t="array" ref="N147">INDEX('アイテム'!$I$3:$J$115, MATCH($A$1,'アイテム'!$A$3:$A$115,0), MATCH(N$145,'アイテム'!$I$2:$AK$2,0))</f>
        <v>24</v>
      </c>
      <c r="O147" s="111"/>
      <c r="P147" s="111"/>
      <c r="Q147" s="111"/>
      <c r="R147" s="111"/>
      <c r="S147" s="111"/>
      <c r="T147" s="111"/>
      <c r="U147" s="111"/>
      <c r="V147" s="111"/>
    </row>
    <row r="148" outlineLevel="1">
      <c r="A148" s="299" t="s">
        <v>244</v>
      </c>
      <c r="B148" s="300" t="s">
        <v>216</v>
      </c>
      <c r="C148" s="113" t="str">
        <f t="array" ref="C148">INDEX('崖行動・受け身'!$N$3:$O$115, MATCH($A$1,'崖行動・受け身'!$A$3:$A$115,0), MATCH(C$142,'崖行動・受け身'!$N$2:$O$2,0))</f>
        <v>1-20</v>
      </c>
      <c r="D148" s="113">
        <f t="array" ref="D148">INDEX('崖行動・受け身'!$N$3:$O$115, MATCH($A$1,'崖行動・受け身'!$A$3:$A$115,0), MATCH(D$142,'崖行動・受け身'!$N$2:$O$2,0))</f>
        <v>26</v>
      </c>
      <c r="E148" s="301"/>
      <c r="F148" s="301"/>
      <c r="G148" s="301"/>
      <c r="H148" s="228"/>
      <c r="I148" s="228"/>
      <c r="J148" s="117"/>
      <c r="K148" s="146"/>
      <c r="L148" s="303" t="s">
        <v>233</v>
      </c>
      <c r="M148" s="113" t="str">
        <f t="array" ref="M148">INDEX('アイテム'!$K$3:$L$115, MATCH($A$1,'アイテム'!$A$3:$A$115,0), MATCH(M$145,'アイテム'!$K$2:$AK$2,0))</f>
        <v>12</v>
      </c>
      <c r="N148" s="113">
        <f t="array" ref="N148">INDEX('アイテム'!$K$3:$L$115, MATCH($A$1,'アイテム'!$A$3:$A$115,0), MATCH(N$145,'アイテム'!$K$2:$AK$2,0))</f>
        <v>23</v>
      </c>
      <c r="O148" s="228"/>
      <c r="P148" s="228"/>
      <c r="Q148" s="228"/>
      <c r="R148" s="228"/>
      <c r="S148" s="228"/>
      <c r="T148" s="228"/>
      <c r="U148" s="228"/>
      <c r="V148" s="228"/>
    </row>
    <row r="149" outlineLevel="1">
      <c r="A149" s="146"/>
      <c r="B149" s="300" t="s">
        <v>245</v>
      </c>
      <c r="C149" s="113" t="str">
        <f t="array" ref="C149">INDEX('崖行動・受け身'!$P$3:$Q$115, MATCH($A$1,'崖行動・受け身'!$A$3:$A$115,0), MATCH(C$142,'崖行動・受け身'!$P$2:$Q$2,0))</f>
        <v>1-20</v>
      </c>
      <c r="D149" s="113">
        <f t="array" ref="D149">INDEX('崖行動・受け身'!$P$3:$Q$115, MATCH($A$1,'崖行動・受け身'!$A$3:$A$115,0), MATCH(D$142,'崖行動・受け身'!$P$2:$Q$2,0))</f>
        <v>40</v>
      </c>
      <c r="E149" s="301"/>
      <c r="F149" s="301"/>
      <c r="G149" s="301"/>
      <c r="H149" s="228"/>
      <c r="I149" s="228"/>
      <c r="J149" s="111"/>
      <c r="K149" s="146"/>
      <c r="L149" s="303" t="s">
        <v>234</v>
      </c>
      <c r="M149" s="113" t="str">
        <f t="array" ref="M149">INDEX('アイテム'!$M$3:$N$115, MATCH($A$1,'アイテム'!$A$3:$A$115,0), MATCH(M$145,'アイテム'!$M$2:$AK$2,0))</f>
        <v>7</v>
      </c>
      <c r="N149" s="113">
        <f t="array" ref="N149">INDEX('アイテム'!$M$3:$N$115, MATCH($A$1,'アイテム'!$A$3:$A$115,0), MATCH(N$145,'アイテム'!$M$2:$AK$2,0))</f>
        <v>19</v>
      </c>
      <c r="O149" s="118"/>
      <c r="P149" s="118"/>
      <c r="Q149" s="118"/>
      <c r="R149" s="118"/>
      <c r="S149" s="118"/>
      <c r="T149" s="118"/>
      <c r="U149" s="118"/>
      <c r="V149" s="118"/>
    </row>
    <row r="150" outlineLevel="1">
      <c r="A150" s="156"/>
      <c r="B150" s="300" t="s">
        <v>246</v>
      </c>
      <c r="C150" s="113" t="str">
        <f t="array" ref="C150">INDEX('崖行動・受け身'!$R$3:$S$115, MATCH($A$1,'崖行動・受け身'!$A$3:$A$115,0), MATCH(C$142,'崖行動・受け身'!$R$2:$S$2,0))</f>
        <v>1-20</v>
      </c>
      <c r="D150" s="113">
        <f t="array" ref="D150">INDEX('崖行動・受け身'!$R$3:$S$115, MATCH($A$1,'崖行動・受け身'!$A$3:$A$115,0), MATCH(D$142,'崖行動・受け身'!$R$2:$S$2,0))</f>
        <v>40</v>
      </c>
      <c r="E150" s="301"/>
      <c r="F150" s="301"/>
      <c r="G150" s="301"/>
      <c r="H150" s="228"/>
      <c r="I150" s="228"/>
      <c r="J150" s="117"/>
      <c r="K150" s="146"/>
      <c r="L150" s="306" t="s">
        <v>219</v>
      </c>
      <c r="M150" s="113" t="str">
        <f t="array" ref="M150">INDEX('アイテム'!$O$3:$P$115, MATCH($A$1,'アイテム'!$A$3:$A$115,0), MATCH(M$145,'アイテム'!$O$2:$AK$2,0))</f>
        <v>5</v>
      </c>
      <c r="N150" s="113">
        <f t="array" ref="N150">INDEX('アイテム'!$O$3:$P$115, MATCH($A$1,'アイテム'!$A$3:$A$115,0), MATCH(N$145,'アイテム'!$O$2:$AK$2,0))</f>
        <v>29</v>
      </c>
      <c r="O150" s="118"/>
      <c r="P150" s="118"/>
      <c r="Q150" s="118"/>
      <c r="R150" s="118"/>
      <c r="S150" s="118"/>
      <c r="T150" s="118"/>
      <c r="U150" s="118"/>
      <c r="V150" s="118"/>
    </row>
    <row r="151" outlineLevel="1">
      <c r="A151" s="299" t="s">
        <v>247</v>
      </c>
      <c r="B151" s="300" t="s">
        <v>248</v>
      </c>
      <c r="C151" s="301"/>
      <c r="D151" s="113" t="str">
        <f t="array" ref="D151">INDEX('起きあがり'!$C$3:$C$115, MATCH($A$1,'起きあがり'!$A$3:$A$115,0), MATCH(D$142,'起きあがり'!$C$2:$AD$2,0))</f>
        <v>25</v>
      </c>
      <c r="E151" s="301"/>
      <c r="F151" s="301"/>
      <c r="G151" s="301"/>
      <c r="H151" s="228"/>
      <c r="I151" s="228"/>
      <c r="J151" s="111"/>
      <c r="K151" s="156"/>
      <c r="L151" s="306" t="s">
        <v>263</v>
      </c>
      <c r="M151" s="113" t="str">
        <f t="array" ref="M151">INDEX('アイテム'!$Q$3:$R$115, MATCH($A$1,'アイテム'!$A$3:$A$115,0), MATCH(M$145,'アイテム'!$Q$2:$AK$2,0))</f>
        <v>6</v>
      </c>
      <c r="N151" s="113">
        <f t="array" ref="N151">INDEX('アイテム'!$Q$3:$R$115, MATCH($A$1,'アイテム'!$A$3:$A$115,0), MATCH(N$145,'アイテム'!$Q$2:$AK$2,0))</f>
        <v>23</v>
      </c>
      <c r="O151" s="118"/>
      <c r="P151" s="118"/>
      <c r="Q151" s="118"/>
      <c r="R151" s="118"/>
      <c r="S151" s="118"/>
      <c r="T151" s="118"/>
      <c r="U151" s="118"/>
      <c r="V151" s="118"/>
    </row>
    <row r="152" outlineLevel="1">
      <c r="A152" s="146"/>
      <c r="B152" s="300" t="s">
        <v>216</v>
      </c>
      <c r="C152" s="307" t="str">
        <f t="array" ref="C152">INDEX('起きあがり'!$D$3:$E$115, MATCH($A$1,'起きあがり'!$A$3:$A$115,0), MATCH(C$142,'起きあがり'!$D$2:$AD$2,0))</f>
        <v>1-22</v>
      </c>
      <c r="D152" s="308">
        <f t="array" ref="D152">INDEX('起きあがり'!$D$3:$E$115, MATCH($A$1,'起きあがり'!$A$3:$A$115,0), MATCH(D$142,'起きあがり'!$D$2:$AD$2,0))</f>
        <v>29</v>
      </c>
      <c r="E152" s="301"/>
      <c r="F152" s="301"/>
      <c r="G152" s="301"/>
      <c r="H152" s="228"/>
      <c r="I152" s="228"/>
      <c r="J152" s="117"/>
      <c r="K152" s="305" t="s">
        <v>264</v>
      </c>
      <c r="L152" s="303" t="s">
        <v>226</v>
      </c>
      <c r="M152" s="113" t="str">
        <f t="array" ref="M152">INDEX('アイテム'!$S$3:$T$115, MATCH($A$1,'アイテム'!$A$3:$A$115,0), MATCH(M$145,'アイテム'!$S$2:$AK$2,0))</f>
        <v>8</v>
      </c>
      <c r="N152" s="113">
        <f t="array" ref="N152">INDEX('アイテム'!$S$3:$T$115, MATCH($A$1,'アイテム'!$A$3:$A$115,0), MATCH(N$145,'アイテム'!$S$2:$AK$2,0))</f>
        <v>24</v>
      </c>
      <c r="O152" s="118"/>
      <c r="P152" s="118"/>
      <c r="Q152" s="118"/>
      <c r="R152" s="118"/>
      <c r="S152" s="118"/>
      <c r="T152" s="118"/>
      <c r="U152" s="118"/>
      <c r="V152" s="118"/>
    </row>
    <row r="153" outlineLevel="1">
      <c r="A153" s="146"/>
      <c r="B153" s="300" t="s">
        <v>245</v>
      </c>
      <c r="C153" s="307" t="str">
        <f t="array" ref="C153">INDEX('起きあがり'!$F$3:$G$115, MATCH($A$1,'起きあがり'!$A$3:$A$115,0), MATCH(C$142,'起きあがり'!$F$2:$AD$2,0))</f>
        <v>1-21</v>
      </c>
      <c r="D153" s="308">
        <f t="array" ref="D153">INDEX('起きあがり'!$F$3:$G$115, MATCH($A$1,'起きあがり'!$A$3:$A$115,0), MATCH(D$142,'起きあがり'!$F$2:$AD$2,0))</f>
        <v>35</v>
      </c>
      <c r="E153" s="301"/>
      <c r="F153" s="301"/>
      <c r="G153" s="301"/>
      <c r="H153" s="228"/>
      <c r="I153" s="228"/>
      <c r="J153" s="111"/>
      <c r="K153" s="146"/>
      <c r="L153" s="303" t="s">
        <v>229</v>
      </c>
      <c r="M153" s="113" t="str">
        <f t="array" ref="M153">INDEX('アイテム'!$U$3:$V$115, MATCH($A$1,'アイテム'!$A$3:$A$115,0), MATCH(M$145,'アイテム'!$U$2:$AK$2,0))</f>
        <v>11</v>
      </c>
      <c r="N153" s="113">
        <f t="array" ref="N153">INDEX('アイテム'!$U$3:$V$115, MATCH($A$1,'アイテム'!$A$3:$A$115,0), MATCH(N$145,'アイテム'!$U$2:$AK$2,0))</f>
        <v>24</v>
      </c>
      <c r="O153" s="118"/>
      <c r="P153" s="118"/>
      <c r="Q153" s="118"/>
      <c r="R153" s="118"/>
      <c r="S153" s="118"/>
      <c r="T153" s="118"/>
      <c r="U153" s="118"/>
      <c r="V153" s="118"/>
    </row>
    <row r="154" outlineLevel="1">
      <c r="A154" s="146"/>
      <c r="B154" s="300" t="s">
        <v>246</v>
      </c>
      <c r="C154" s="113" t="str">
        <f t="array" ref="C154">INDEX('起きあがり'!$H$3:$I$115, MATCH($A$1,'起きあがり'!$A$3:$A$115,0), MATCH(C$142,'起きあがり'!$H$2:$AD$2,0))</f>
        <v>1-22</v>
      </c>
      <c r="D154" s="113">
        <f t="array" ref="D154">INDEX('起きあがり'!$H$3:$I$115, MATCH($A$1,'起きあがり'!$A$3:$A$115,0), MATCH(D$142,'起きあがり'!$H$2:$AD$2,0))</f>
        <v>35</v>
      </c>
      <c r="E154" s="301"/>
      <c r="F154" s="301"/>
      <c r="G154" s="301"/>
      <c r="H154" s="228"/>
      <c r="I154" s="228"/>
      <c r="J154" s="117"/>
      <c r="K154" s="146"/>
      <c r="L154" s="303" t="s">
        <v>233</v>
      </c>
      <c r="M154" s="113" t="str">
        <f t="array" ref="M154">INDEX('アイテム'!$W$3:$X$115, MATCH($A$1,'アイテム'!$A$3:$A$115,0), MATCH(M$145,'アイテム'!$W$2:$AK$2,0))</f>
        <v>12</v>
      </c>
      <c r="N154" s="113">
        <f t="array" ref="N154">INDEX('アイテム'!$W$3:$X$115, MATCH($A$1,'アイテム'!$A$3:$A$115,0), MATCH(N$145,'アイテム'!$W$2:$AK$2,0))</f>
        <v>23</v>
      </c>
      <c r="O154" s="118"/>
      <c r="P154" s="118"/>
      <c r="Q154" s="118"/>
      <c r="R154" s="118"/>
      <c r="S154" s="118"/>
      <c r="T154" s="118"/>
      <c r="U154" s="118"/>
      <c r="V154" s="118"/>
    </row>
    <row r="155" outlineLevel="1">
      <c r="A155" s="146"/>
      <c r="B155" s="300" t="s">
        <v>249</v>
      </c>
      <c r="C155" s="309" t="str">
        <f t="array" ref="C155">INDEX('起きあがり'!$J$3:$M$115, MATCH($A$1,'起きあがり'!$A$3:$A$115,0), MATCH(C$142,'起きあがり'!$J$2:$AD$2,0))</f>
        <v>1-25</v>
      </c>
      <c r="D155" s="310">
        <f t="array" ref="D155">INDEX('起きあがり'!$J$3:$M$115, MATCH($A$1,'起きあがり'!$A$3:$A$115,0), MATCH(D$142,'起きあがり'!$J$2:$AD$2,0))</f>
        <v>45</v>
      </c>
      <c r="E155" s="307" t="str">
        <f t="array" ref="E155">INDEX('起きあがり'!$J$3:$M$115, MATCH($A$1,'起きあがり'!$A$3:$A$115,0), MATCH(E$142,'起きあがり'!$J$2:$AD$2,0))</f>
        <v>19-20</v>
      </c>
      <c r="F155" s="308">
        <f t="array" ref="F155">INDEX('起きあがり'!$J$3:$M$115, MATCH($A$1,'起きあがり'!$A$3:$A$115,0), MATCH(F$142,'起きあがり'!$J$2:$AD$2,0))</f>
        <v>7</v>
      </c>
      <c r="G155" s="113">
        <f t="shared" ref="G155:G156" si="1">F155*1.2</f>
        <v>8.4</v>
      </c>
      <c r="H155" s="228"/>
      <c r="I155" s="228"/>
      <c r="J155" s="111"/>
      <c r="K155" s="156"/>
      <c r="L155" s="303" t="s">
        <v>234</v>
      </c>
      <c r="M155" s="113" t="str">
        <f t="array" ref="M155">INDEX('アイテム'!$Y$3:$Z$115, MATCH($A$1,'アイテム'!$A$3:$A$115,0), MATCH(M$145,'アイテム'!$Y$2:$AK$2,0))</f>
        <v>7</v>
      </c>
      <c r="N155" s="113">
        <f t="array" ref="N155">INDEX('アイテム'!$Y$3:$Z$115, MATCH($A$1,'アイテム'!$A$3:$A$115,0), MATCH(N$145,'アイテム'!$Y$2:$AK$2,0))</f>
        <v>19</v>
      </c>
      <c r="O155" s="111"/>
      <c r="P155" s="111"/>
      <c r="Q155" s="111"/>
      <c r="R155" s="111"/>
      <c r="S155" s="111"/>
      <c r="T155" s="111"/>
      <c r="U155" s="111"/>
      <c r="V155" s="111"/>
    </row>
    <row r="156" outlineLevel="1">
      <c r="A156" s="156"/>
      <c r="B156" s="311" t="s">
        <v>250</v>
      </c>
      <c r="C156" s="156"/>
      <c r="D156" s="156"/>
      <c r="E156" s="307" t="str">
        <f t="array" ref="E156">INDEX('起きあがり'!$N$3:$O$115, MATCH($A$1,'起きあがり'!$A$3:$A$115,0), MATCH(E$142,'起きあがり'!$N$2:$AD$2,0))</f>
        <v>24-25</v>
      </c>
      <c r="F156" s="308">
        <f t="array" ref="F156">INDEX('起きあがり'!$N$3:$O$115, MATCH($A$1,'起きあがり'!$A$3:$A$115,0), MATCH(F$142,'起きあがり'!$N$2:$AD$2,0))</f>
        <v>7</v>
      </c>
      <c r="G156" s="113">
        <f t="shared" si="1"/>
        <v>8.4</v>
      </c>
      <c r="H156" s="228"/>
      <c r="I156" s="228"/>
      <c r="J156" s="111"/>
      <c r="K156" s="312" t="s">
        <v>5390</v>
      </c>
      <c r="L156" s="168"/>
      <c r="M156" s="298" t="s">
        <v>49</v>
      </c>
      <c r="N156" s="114"/>
      <c r="O156" s="111"/>
      <c r="P156" s="111"/>
      <c r="Q156" s="111"/>
      <c r="R156" s="111"/>
      <c r="S156" s="111"/>
      <c r="T156" s="111"/>
      <c r="U156" s="111"/>
      <c r="V156" s="111"/>
    </row>
    <row r="157" outlineLevel="1">
      <c r="A157" s="299" t="s">
        <v>251</v>
      </c>
      <c r="B157" s="300" t="s">
        <v>248</v>
      </c>
      <c r="C157" s="301"/>
      <c r="D157" s="307" t="str">
        <f t="array" ref="D157">INDEX('起きあがり'!$C$3:$C$115, MATCH($A$1,'起きあがり'!$A$3:$A$115,0), MATCH(D$142,'起きあがり'!$C$2:$AD$2,0))</f>
        <v>25</v>
      </c>
      <c r="E157" s="301"/>
      <c r="F157" s="301"/>
      <c r="G157" s="301"/>
      <c r="H157" s="228"/>
      <c r="I157" s="228"/>
      <c r="J157" s="117"/>
      <c r="K157" s="313" t="s">
        <v>693</v>
      </c>
      <c r="L157" s="314" t="s">
        <v>693</v>
      </c>
      <c r="M157" s="113" t="str">
        <f t="array" ref="M157">INDEX('共通動作その他'!$C$3:$C$102, MATCH($A$1,'共通動作その他'!$A$3:$A$102,0), MATCH(M$156,'共通動作その他'!$C$2:$AA$2,0))</f>
        <v>#N/A</v>
      </c>
      <c r="N157" s="315"/>
      <c r="O157" s="111"/>
      <c r="P157" s="111"/>
      <c r="Q157" s="111"/>
      <c r="R157" s="111"/>
      <c r="S157" s="111"/>
      <c r="T157" s="111"/>
      <c r="U157" s="111"/>
      <c r="V157" s="111"/>
    </row>
    <row r="158" outlineLevel="1">
      <c r="A158" s="146"/>
      <c r="B158" s="300" t="s">
        <v>216</v>
      </c>
      <c r="C158" s="307" t="str">
        <f t="array" ref="C158">INDEX('起きあがり'!$P$3:$Q$115, MATCH($A$1,'起きあがり'!$A$3:$A$115,0), MATCH(C$142,'起きあがり'!$P$2:$AD$2,0))</f>
        <v>1-22</v>
      </c>
      <c r="D158" s="308">
        <f t="array" ref="D158">INDEX('起きあがり'!$P$3:$Q$115, MATCH($A$1,'起きあがり'!$A$3:$A$115,0), MATCH(D$142,'起きあがり'!$P$2:$AD$2,0))</f>
        <v>29</v>
      </c>
      <c r="E158" s="301"/>
      <c r="F158" s="301"/>
      <c r="G158" s="301"/>
      <c r="H158" s="228"/>
      <c r="I158" s="228"/>
      <c r="J158" s="111"/>
      <c r="K158" s="305" t="s">
        <v>2602</v>
      </c>
      <c r="L158" s="314" t="s">
        <v>5391</v>
      </c>
      <c r="M158" s="113" t="str">
        <f t="array" ref="M158">INDEX('共通動作その他'!$D$3:$D$102, MATCH($A$1,'共通動作その他'!$A$3:$A$102,0), MATCH(M$156,'共通動作その他'!$D$2:$AA$2,0))</f>
        <v>#N/A</v>
      </c>
      <c r="N158" s="315"/>
      <c r="O158" s="228"/>
      <c r="P158" s="228"/>
      <c r="Q158" s="228"/>
      <c r="R158" s="228"/>
      <c r="S158" s="228"/>
      <c r="T158" s="228"/>
      <c r="U158" s="228"/>
      <c r="V158" s="228"/>
    </row>
    <row r="159" outlineLevel="1">
      <c r="A159" s="146"/>
      <c r="B159" s="300" t="s">
        <v>245</v>
      </c>
      <c r="C159" s="307" t="str">
        <f t="array" ref="C159">INDEX('起きあがり'!$R$3:$S$115, MATCH($A$1,'起きあがり'!$A$3:$A$115,0), MATCH(C$142,'起きあがり'!$R$2:$AD$2,0))</f>
        <v>1-19</v>
      </c>
      <c r="D159" s="308">
        <f t="array" ref="D159">INDEX('起きあがり'!$R$3:$S$115, MATCH($A$1,'起きあがり'!$A$3:$A$115,0), MATCH(D$142,'起きあがり'!$R$2:$AD$2,0))</f>
        <v>35</v>
      </c>
      <c r="E159" s="301"/>
      <c r="F159" s="301"/>
      <c r="G159" s="301"/>
      <c r="H159" s="228"/>
      <c r="I159" s="228"/>
      <c r="J159" s="117"/>
      <c r="K159" s="146"/>
      <c r="L159" s="314" t="s">
        <v>5392</v>
      </c>
      <c r="M159" s="113" t="str">
        <f t="array" ref="M159">INDEX('共通動作その他'!$E$3:$E$102, MATCH($A$1,'共通動作その他'!$A$3:$A$102,0), MATCH(M$156,'共通動作その他'!$E$2:$AA$2,0))</f>
        <v>#N/A</v>
      </c>
      <c r="N159" s="102"/>
      <c r="O159" s="118"/>
      <c r="P159" s="118"/>
      <c r="Q159" s="118"/>
      <c r="R159" s="118"/>
      <c r="S159" s="118"/>
      <c r="T159" s="118"/>
      <c r="U159" s="118"/>
      <c r="V159" s="118"/>
    </row>
    <row r="160" outlineLevel="1">
      <c r="A160" s="146"/>
      <c r="B160" s="300" t="s">
        <v>246</v>
      </c>
      <c r="C160" s="307" t="str">
        <f t="array" ref="C160">INDEX('起きあがり'!$T$3:$U$115, MATCH($A$1,'起きあがり'!$A$3:$A$115,0), MATCH(C$142,'起きあがり'!$T$2:$AD$2,0))</f>
        <v>1-24</v>
      </c>
      <c r="D160" s="308">
        <f t="array" ref="D160">INDEX('起きあがり'!$T$3:$U$115, MATCH($A$1,'起きあがり'!$A$3:$A$115,0), MATCH(D$142,'起きあがり'!$T$2:$AD$2,0))</f>
        <v>35</v>
      </c>
      <c r="E160" s="301"/>
      <c r="F160" s="301"/>
      <c r="G160" s="301"/>
      <c r="H160" s="228"/>
      <c r="I160" s="228"/>
      <c r="J160" s="111"/>
      <c r="K160" s="146"/>
      <c r="L160" s="314" t="s">
        <v>5393</v>
      </c>
      <c r="M160" s="113" t="str">
        <f t="array" ref="M160">INDEX('共通動作その他'!$F$3:$F$102, MATCH($A$1,'共通動作その他'!$A$3:$A$102,0), MATCH(M$156,'共通動作その他'!$F$2:$AA$2,0))</f>
        <v>#N/A</v>
      </c>
      <c r="N160" s="102"/>
      <c r="O160" s="118"/>
      <c r="P160" s="118"/>
      <c r="Q160" s="118"/>
      <c r="R160" s="118"/>
      <c r="S160" s="118"/>
      <c r="T160" s="118"/>
      <c r="U160" s="118"/>
      <c r="V160" s="118"/>
    </row>
    <row r="161" outlineLevel="1">
      <c r="A161" s="146"/>
      <c r="B161" s="300" t="s">
        <v>249</v>
      </c>
      <c r="C161" s="309" t="str">
        <f t="array" ref="C161">INDEX('起きあがり'!$V$3:$Y$115, MATCH($A$1,'起きあがり'!$A$3:$A$115,0), MATCH(C$142,'起きあがり'!$V$2:$AD$2,0))</f>
        <v>1-22</v>
      </c>
      <c r="D161" s="310">
        <f t="array" ref="D161">INDEX('起きあがり'!$V$3:$Y$115, MATCH($A$1,'起きあがり'!$A$3:$A$115,0), MATCH(D$142,'起きあがり'!$V$2:$AD$2,0))</f>
        <v>45</v>
      </c>
      <c r="E161" s="307" t="str">
        <f t="array" ref="E161">INDEX('起きあがり'!$V$3:$Y$115, MATCH($A$1,'起きあがり'!$A$3:$A$115,0), MATCH(E$142,'起きあがり'!$V$2:$AD$2,0))</f>
        <v>16-17</v>
      </c>
      <c r="F161" s="308">
        <f t="array" ref="F161">INDEX('起きあがり'!$V$3:$Y$115, MATCH($A$1,'起きあがり'!$A$3:$A$115,0), MATCH(F$142,'起きあがり'!$V$2:$AD$2,0))</f>
        <v>7</v>
      </c>
      <c r="G161" s="113">
        <f t="shared" ref="G161:G162" si="2">F161*1.2</f>
        <v>8.4</v>
      </c>
      <c r="H161" s="228"/>
      <c r="I161" s="228"/>
      <c r="J161" s="117"/>
      <c r="K161" s="146"/>
      <c r="L161" s="314" t="s">
        <v>5394</v>
      </c>
      <c r="M161" s="113" t="str">
        <f t="array" ref="M161">INDEX('共通動作その他'!$G$3:$G$102, MATCH($A$1,'共通動作その他'!$A$3:$A$102,0), MATCH(M$156,'共通動作その他'!$G$2:$AA$2,0))</f>
        <v>#N/A</v>
      </c>
      <c r="N161" s="102"/>
      <c r="O161" s="118"/>
      <c r="P161" s="118"/>
      <c r="Q161" s="118"/>
      <c r="R161" s="118"/>
      <c r="S161" s="118"/>
      <c r="T161" s="118"/>
      <c r="U161" s="118"/>
      <c r="V161" s="118"/>
    </row>
    <row r="162" outlineLevel="1">
      <c r="A162" s="156"/>
      <c r="B162" s="311" t="s">
        <v>250</v>
      </c>
      <c r="C162" s="156"/>
      <c r="D162" s="156"/>
      <c r="E162" s="307" t="str">
        <f t="array" ref="E162">INDEX('起きあがり'!$Z$3:$AA$115, MATCH($A$1,'起きあがり'!$A$3:$A$115,0), MATCH(E$142,'起きあがり'!$Z$2:$AD$2,0))</f>
        <v>21-22</v>
      </c>
      <c r="F162" s="308">
        <f t="array" ref="F162">INDEX('起きあがり'!$Z$3:$AA$115, MATCH($A$1,'起きあがり'!$A$3:$A$115,0), MATCH(F$142,'起きあがり'!$Z$2:$AD$2,0))</f>
        <v>7</v>
      </c>
      <c r="G162" s="113">
        <f t="shared" si="2"/>
        <v>8.4</v>
      </c>
      <c r="H162" s="228"/>
      <c r="I162" s="228"/>
      <c r="J162" s="117"/>
      <c r="K162" s="304" t="s">
        <v>5395</v>
      </c>
      <c r="L162" s="110"/>
      <c r="M162" s="298" t="s">
        <v>49</v>
      </c>
      <c r="N162" s="102"/>
      <c r="O162" s="118"/>
      <c r="P162" s="118"/>
      <c r="Q162" s="118"/>
      <c r="R162" s="118"/>
      <c r="S162" s="118"/>
      <c r="T162" s="118"/>
      <c r="U162" s="118"/>
      <c r="V162" s="118"/>
    </row>
    <row r="163" outlineLevel="1">
      <c r="A163" s="299" t="s">
        <v>252</v>
      </c>
      <c r="B163" s="300" t="s">
        <v>253</v>
      </c>
      <c r="C163" s="307" t="str">
        <f t="array" ref="C163">INDEX('転倒'!$C$3:$D$115, MATCH($A$1,'転倒'!$A$3:$A$115,0), MATCH(C$142,'転倒'!$C$2:$AC$2,0))</f>
        <v>1-5</v>
      </c>
      <c r="D163" s="308">
        <f t="array" ref="D163">INDEX('転倒'!$C$3:$D$115, MATCH($A$1,'転倒'!$A$3:$A$115,0), MATCH(D$142,'転倒'!$C$2:$AC$2,0))</f>
        <v>29</v>
      </c>
      <c r="E163" s="301"/>
      <c r="F163" s="301"/>
      <c r="G163" s="301"/>
      <c r="H163" s="228"/>
      <c r="I163" s="228"/>
      <c r="J163" s="111"/>
      <c r="K163" s="313" t="s">
        <v>5396</v>
      </c>
      <c r="L163" s="306" t="s">
        <v>5397</v>
      </c>
      <c r="M163" s="113" t="str">
        <f t="array" ref="M163">INDEX('共通動作その他'!$H$3:$H$102, MATCH($A$1,'共通動作その他'!$A$3:$A$102,0), MATCH(M$162,'共通動作その他'!$H$2:$AA$2,0))</f>
        <v>#N/A</v>
      </c>
      <c r="N163" s="315"/>
      <c r="O163" s="118"/>
      <c r="P163" s="118"/>
      <c r="Q163" s="118"/>
      <c r="R163" s="118"/>
      <c r="S163" s="118"/>
      <c r="T163" s="118"/>
      <c r="U163" s="118"/>
      <c r="V163" s="118"/>
    </row>
    <row r="164" outlineLevel="1">
      <c r="A164" s="146"/>
      <c r="B164" s="300" t="s">
        <v>254</v>
      </c>
      <c r="C164" s="307" t="str">
        <f t="array" ref="C164">INDEX('転倒'!$E$3:$F$115, MATCH($A$1,'転倒'!$A$3:$A$115,0), MATCH(C$142,'転倒'!$E$2:$AC$2,0))</f>
        <v>1-5</v>
      </c>
      <c r="D164" s="308">
        <f t="array" ref="D164">INDEX('転倒'!$E$3:$F$115, MATCH($A$1,'転倒'!$A$3:$A$115,0), MATCH(D$142,'転倒'!$E$2:$AC$2,0))</f>
        <v>39</v>
      </c>
      <c r="E164" s="301"/>
      <c r="F164" s="301"/>
      <c r="G164" s="301"/>
      <c r="H164" s="228"/>
      <c r="I164" s="228"/>
      <c r="J164" s="117"/>
      <c r="K164" s="313" t="s">
        <v>5398</v>
      </c>
      <c r="L164" s="306" t="s">
        <v>5397</v>
      </c>
      <c r="M164" s="113" t="str">
        <f t="array" ref="M164">INDEX('共通動作その他'!$I$3:$I$102, MATCH($A$1,'共通動作その他'!$A$3:$A$102,0), MATCH(M$162,'共通動作その他'!$I$2:$AA$2,0))</f>
        <v>#N/A</v>
      </c>
      <c r="N164" s="315"/>
      <c r="O164" s="118"/>
      <c r="P164" s="118"/>
      <c r="Q164" s="118"/>
      <c r="R164" s="118"/>
      <c r="S164" s="118"/>
      <c r="T164" s="118"/>
      <c r="U164" s="118"/>
      <c r="V164" s="118"/>
    </row>
    <row r="165" outlineLevel="1">
      <c r="A165" s="146"/>
      <c r="B165" s="300" t="s">
        <v>216</v>
      </c>
      <c r="C165" s="307" t="str">
        <f t="array" ref="C165">INDEX('転倒'!$G$3:$H$115, MATCH($A$1,'転倒'!$A$3:$A$115,0), MATCH(C$142,'転倒'!$G$2:$AC$2,0))</f>
        <v>1-16</v>
      </c>
      <c r="D165" s="308">
        <f t="array" ref="D165">INDEX('転倒'!$G$3:$H$115, MATCH($A$1,'転倒'!$A$3:$A$115,0), MATCH(D$142,'転倒'!$G$2:$AC$2,0))</f>
        <v>21</v>
      </c>
      <c r="E165" s="301"/>
      <c r="F165" s="301"/>
      <c r="G165" s="301"/>
      <c r="H165" s="228"/>
      <c r="I165" s="228"/>
      <c r="J165" s="111"/>
      <c r="K165" s="102"/>
      <c r="L165" s="118"/>
      <c r="M165" s="118"/>
      <c r="N165" s="102"/>
      <c r="O165" s="118"/>
      <c r="P165" s="118"/>
      <c r="Q165" s="118"/>
      <c r="R165" s="118"/>
      <c r="S165" s="118"/>
      <c r="T165" s="118"/>
      <c r="U165" s="118"/>
      <c r="V165" s="118"/>
    </row>
    <row r="166" outlineLevel="1">
      <c r="A166" s="146"/>
      <c r="B166" s="300" t="s">
        <v>245</v>
      </c>
      <c r="C166" s="307" t="str">
        <f t="array" ref="C166">INDEX('転倒'!$I$3:$J$115, MATCH($A$1,'転倒'!$A$3:$A$115,0), MATCH(C$142,'転倒'!$I$2:$AC$2,0))</f>
        <v>1-9</v>
      </c>
      <c r="D166" s="308">
        <f t="array" ref="D166">INDEX('転倒'!$I$3:$J$115, MATCH($A$1,'転倒'!$A$3:$A$115,0), MATCH(D$142,'転倒'!$I$2:$AC$2,0))</f>
        <v>28</v>
      </c>
      <c r="E166" s="301"/>
      <c r="F166" s="301"/>
      <c r="G166" s="301"/>
      <c r="H166" s="228"/>
      <c r="I166" s="228"/>
      <c r="J166" s="228"/>
      <c r="K166" s="102"/>
      <c r="L166" s="118"/>
      <c r="M166" s="118"/>
      <c r="N166" s="102"/>
      <c r="O166" s="118"/>
      <c r="P166" s="118"/>
      <c r="Q166" s="118"/>
      <c r="R166" s="118"/>
      <c r="S166" s="118"/>
      <c r="T166" s="118"/>
      <c r="U166" s="118"/>
      <c r="V166" s="118"/>
    </row>
    <row r="167" outlineLevel="1">
      <c r="A167" s="146"/>
      <c r="B167" s="300" t="s">
        <v>246</v>
      </c>
      <c r="C167" s="307" t="str">
        <f t="array" ref="C167">INDEX('転倒'!$K$3:$L$115, MATCH($A$1,'転倒'!$A$3:$A$115,0), MATCH(C$142,'転倒'!$K$2:$AC$2,0))</f>
        <v>1-9</v>
      </c>
      <c r="D167" s="308">
        <f t="array" ref="D167">INDEX('転倒'!$K$3:$L$115, MATCH($A$1,'転倒'!$A$3:$A$115,0), MATCH(D$142,'転倒'!$K$2:$AC$2,0))</f>
        <v>28</v>
      </c>
      <c r="E167" s="301"/>
      <c r="F167" s="301"/>
      <c r="G167" s="301"/>
      <c r="H167" s="228"/>
      <c r="I167" s="228"/>
      <c r="J167" s="228"/>
      <c r="K167" s="102"/>
      <c r="L167" s="118"/>
      <c r="M167" s="118"/>
      <c r="N167" s="102"/>
      <c r="O167" s="118"/>
      <c r="P167" s="118"/>
      <c r="Q167" s="118"/>
      <c r="R167" s="118"/>
      <c r="S167" s="118"/>
      <c r="T167" s="118"/>
      <c r="U167" s="118"/>
      <c r="V167" s="118"/>
    </row>
    <row r="168" outlineLevel="1">
      <c r="A168" s="146"/>
      <c r="B168" s="300" t="s">
        <v>249</v>
      </c>
      <c r="C168" s="309" t="str">
        <f t="array" ref="C168">INDEX('転倒'!$M$3:$P$115, MATCH($A$1,'転倒'!$A$3:$A$115,0), MATCH(C$142,'転倒'!$M$2:$AC$2,0))</f>
        <v>1-7</v>
      </c>
      <c r="D168" s="310">
        <f t="array" ref="D168">INDEX('転倒'!$M$3:$P$115, MATCH($A$1,'転倒'!$A$3:$A$115,0), MATCH(D$142,'転倒'!$M$2:$AC$2,0))</f>
        <v>49</v>
      </c>
      <c r="E168" s="307" t="str">
        <f t="array" ref="E168">INDEX('転倒'!$M$3:$P$115, MATCH($A$1,'転倒'!$A$3:$A$115,0), MATCH(E$142,'転倒'!$M$2:$AC$2,0))</f>
        <v>19-20</v>
      </c>
      <c r="F168" s="308">
        <f t="array" ref="F168">INDEX('転倒'!$M$3:$P$115, MATCH($A$1,'転倒'!$A$3:$A$115,0), MATCH(F$142,'転倒'!$M$2:$AC$2,0))</f>
        <v>5</v>
      </c>
      <c r="G168" s="113">
        <f t="shared" ref="G168:G169" si="3">F168*1.2</f>
        <v>6</v>
      </c>
      <c r="H168" s="228"/>
      <c r="I168" s="228"/>
      <c r="J168" s="228"/>
      <c r="K168" s="118"/>
      <c r="L168" s="118"/>
      <c r="M168" s="118"/>
      <c r="N168" s="102"/>
      <c r="O168" s="102"/>
      <c r="P168" s="102"/>
      <c r="Q168" s="102"/>
      <c r="R168" s="118"/>
      <c r="S168" s="118"/>
      <c r="T168" s="118"/>
      <c r="U168" s="118"/>
      <c r="V168" s="118"/>
    </row>
    <row r="169" outlineLevel="1">
      <c r="A169" s="156"/>
      <c r="B169" s="311" t="s">
        <v>250</v>
      </c>
      <c r="C169" s="156"/>
      <c r="D169" s="156"/>
      <c r="E169" s="307" t="str">
        <f t="array" ref="E169">INDEX('転倒'!$Q$3:$R$115, MATCH($A$1,'転倒'!$A$3:$A$115,0), MATCH(E$142,'転倒'!$Q$2:$AC$2,0))</f>
        <v>24-25</v>
      </c>
      <c r="F169" s="308">
        <f t="array" ref="F169">INDEX('転倒'!$Q$3:$R$115, MATCH($A$1,'転倒'!$A$3:$A$115,0), MATCH(F$142,'転倒'!$Q$2:$AC$2,0))</f>
        <v>5</v>
      </c>
      <c r="G169" s="113">
        <f t="shared" si="3"/>
        <v>6</v>
      </c>
      <c r="H169" s="228"/>
      <c r="I169" s="228"/>
      <c r="J169" s="228"/>
      <c r="K169" s="118"/>
      <c r="L169" s="118"/>
      <c r="M169" s="118"/>
      <c r="N169" s="102"/>
      <c r="O169" s="102"/>
      <c r="P169" s="102"/>
      <c r="Q169" s="102"/>
      <c r="R169" s="118"/>
      <c r="S169" s="118"/>
      <c r="T169" s="118"/>
      <c r="U169" s="118"/>
      <c r="V169" s="118"/>
    </row>
    <row r="170" outlineLevel="1">
      <c r="A170" s="319"/>
      <c r="B170" s="320"/>
      <c r="C170" s="321"/>
      <c r="D170" s="321"/>
      <c r="E170" s="322"/>
      <c r="F170" s="322"/>
      <c r="G170" s="114"/>
      <c r="H170" s="228"/>
      <c r="I170" s="228"/>
      <c r="J170" s="228"/>
      <c r="K170" s="118"/>
      <c r="L170" s="118"/>
      <c r="M170" s="118"/>
      <c r="N170" s="102"/>
      <c r="O170" s="102"/>
      <c r="P170" s="102"/>
      <c r="Q170" s="102"/>
      <c r="R170" s="118"/>
      <c r="S170" s="118"/>
      <c r="T170" s="118"/>
      <c r="U170" s="118"/>
      <c r="V170" s="118"/>
    </row>
    <row r="171" outlineLevel="1">
      <c r="A171" s="323" t="s">
        <v>255</v>
      </c>
      <c r="B171" s="109"/>
      <c r="C171" s="321"/>
      <c r="D171" s="321"/>
      <c r="E171" s="322"/>
      <c r="F171" s="322"/>
      <c r="G171" s="114"/>
      <c r="H171" s="228"/>
      <c r="I171" s="228"/>
      <c r="J171" s="228"/>
      <c r="K171" s="118"/>
      <c r="L171" s="118"/>
      <c r="M171" s="118"/>
      <c r="N171" s="102"/>
      <c r="O171" s="102"/>
      <c r="P171" s="102"/>
      <c r="Q171" s="102"/>
      <c r="R171" s="118"/>
      <c r="S171" s="118"/>
      <c r="T171" s="118"/>
      <c r="U171" s="118"/>
      <c r="V171" s="118"/>
    </row>
    <row r="172" outlineLevel="1">
      <c r="A172" s="324" t="s">
        <v>256</v>
      </c>
      <c r="B172" s="109"/>
      <c r="C172" s="325" t="s">
        <v>257</v>
      </c>
      <c r="D172" s="325" t="s">
        <v>49</v>
      </c>
      <c r="E172" s="322"/>
      <c r="F172" s="322"/>
      <c r="G172" s="114"/>
      <c r="H172" s="228"/>
      <c r="I172" s="228"/>
      <c r="J172" s="228"/>
      <c r="K172" s="118"/>
      <c r="L172" s="118"/>
      <c r="M172" s="118"/>
      <c r="N172" s="102"/>
      <c r="O172" s="102"/>
      <c r="P172" s="102"/>
      <c r="Q172" s="102"/>
      <c r="R172" s="118"/>
      <c r="S172" s="118"/>
      <c r="T172" s="118"/>
      <c r="U172" s="118"/>
      <c r="V172" s="118"/>
    </row>
    <row r="173" outlineLevel="1">
      <c r="A173" s="326" t="s">
        <v>258</v>
      </c>
      <c r="B173" s="327" t="s">
        <v>216</v>
      </c>
      <c r="C173" s="328" t="str">
        <f t="array" ref="C173">INDEX('アイテム'!$C$3:$D$114, MATCH($A$1,'アイテム'!$A$3:$A$114,0), MATCH(C172,'アイテム'!$C$2:$AQ$2,0))</f>
        <v>2</v>
      </c>
      <c r="D173" s="328">
        <f t="array" ref="D173">INDEX('アイテム'!$C$3:$D$114, MATCH($A$1,'アイテム'!$A$3:$A$114,0), MATCH(D172,'アイテム'!$C$2:$AQ$2,0))</f>
        <v>7</v>
      </c>
      <c r="E173" s="322"/>
      <c r="F173" s="322"/>
      <c r="G173" s="114"/>
      <c r="H173" s="228"/>
      <c r="I173" s="228"/>
      <c r="J173" s="228"/>
      <c r="K173" s="118"/>
      <c r="L173" s="118"/>
      <c r="M173" s="118"/>
      <c r="N173" s="102"/>
      <c r="O173" s="102"/>
      <c r="P173" s="102"/>
      <c r="Q173" s="102"/>
      <c r="R173" s="118"/>
      <c r="S173" s="118"/>
      <c r="T173" s="118"/>
      <c r="U173" s="118"/>
      <c r="V173" s="118"/>
    </row>
    <row r="174" outlineLevel="1">
      <c r="A174" s="156"/>
      <c r="B174" s="327" t="s">
        <v>219</v>
      </c>
      <c r="C174" s="328" t="str">
        <f t="array" ref="C174">INDEX('アイテム'!$E$3:$F$114, MATCH($A$1,'アイテム'!$A$3:$A$114,0), MATCH(C172,'アイテム'!$C$2:$AQ$2,0))</f>
        <v>3</v>
      </c>
      <c r="D174" s="328">
        <f t="array" ref="D174">INDEX('アイテム'!$E$3:$F$114, MATCH($A$1,'アイテム'!$A$3:$A$114,0), MATCH(D172,'アイテム'!$C$2:$AQ$2,0))</f>
        <v>19</v>
      </c>
      <c r="E174" s="322"/>
      <c r="F174" s="322"/>
      <c r="G174" s="114"/>
      <c r="H174" s="228"/>
      <c r="I174" s="228"/>
      <c r="J174" s="228"/>
      <c r="K174" s="118"/>
      <c r="L174" s="118"/>
      <c r="M174" s="118"/>
      <c r="N174" s="102"/>
      <c r="O174" s="102"/>
      <c r="P174" s="102"/>
      <c r="Q174" s="102"/>
      <c r="R174" s="118"/>
      <c r="S174" s="118"/>
      <c r="T174" s="118"/>
      <c r="U174" s="118"/>
      <c r="V174" s="118"/>
    </row>
    <row r="175" outlineLevel="1">
      <c r="A175" s="329" t="s">
        <v>259</v>
      </c>
      <c r="B175" s="327" t="s">
        <v>216</v>
      </c>
      <c r="C175" s="328">
        <f t="array" ref="C175">INDEX('アイテム'!$AA$3:$AB$114, MATCH($A$1,'アイテム'!$A$3:$A$114,0), MATCH(C172,'アイテム'!$C$2:$AQ$2,0))</f>
        <v>3</v>
      </c>
      <c r="D175" s="328" t="str">
        <f t="array" ref="D175">INDEX('アイテム'!$AA$3:$AB$114, MATCH($A$1,'アイテム'!$A$3:$A$114,0), MATCH(D172,'アイテム'!$C$2:$AQ$2,0))</f>
        <v>12</v>
      </c>
      <c r="E175" s="322"/>
      <c r="F175" s="322"/>
      <c r="G175" s="114"/>
      <c r="H175" s="228"/>
      <c r="I175" s="228"/>
      <c r="J175" s="228"/>
      <c r="K175" s="118"/>
      <c r="L175" s="118"/>
      <c r="M175" s="118"/>
      <c r="N175" s="102"/>
      <c r="O175" s="102"/>
      <c r="P175" s="102"/>
      <c r="Q175" s="102"/>
      <c r="R175" s="118"/>
      <c r="S175" s="118"/>
      <c r="T175" s="118"/>
      <c r="U175" s="118"/>
      <c r="V175" s="118"/>
    </row>
    <row r="176" outlineLevel="1">
      <c r="A176" s="324" t="s">
        <v>260</v>
      </c>
      <c r="B176" s="109"/>
      <c r="C176" s="325" t="s">
        <v>261</v>
      </c>
      <c r="D176" s="325" t="s">
        <v>49</v>
      </c>
      <c r="E176" s="322"/>
      <c r="F176" s="322"/>
      <c r="G176" s="114"/>
      <c r="H176" s="228"/>
      <c r="I176" s="228"/>
      <c r="J176" s="228"/>
      <c r="K176" s="118"/>
      <c r="L176" s="118"/>
      <c r="M176" s="118"/>
      <c r="N176" s="102"/>
      <c r="O176" s="102"/>
      <c r="P176" s="102"/>
      <c r="Q176" s="102"/>
      <c r="R176" s="118"/>
      <c r="S176" s="118"/>
      <c r="T176" s="118"/>
      <c r="U176" s="118"/>
      <c r="V176" s="118"/>
    </row>
    <row r="177" outlineLevel="1">
      <c r="A177" s="326" t="s">
        <v>262</v>
      </c>
      <c r="B177" s="327" t="s">
        <v>226</v>
      </c>
      <c r="C177" s="328" t="str">
        <f t="array" ref="C177">INDEX('アイテム'!$G$3:$H$114, MATCH($A$1,'アイテム'!$A$3:$A$114,0), MATCH(C172,'アイテム'!$C$2:$AQ$2,0))</f>
        <v>8</v>
      </c>
      <c r="D177" s="328">
        <f t="array" ref="D177">INDEX('アイテム'!$G$3:$H$114, MATCH($A$1,'アイテム'!$A$3:$A$114,0), MATCH(D172,'アイテム'!$C$2:$AQ$2,0))</f>
        <v>24</v>
      </c>
      <c r="E177" s="322"/>
      <c r="F177" s="322"/>
      <c r="G177" s="114"/>
      <c r="H177" s="228"/>
      <c r="I177" s="228"/>
      <c r="J177" s="228"/>
      <c r="K177" s="118"/>
      <c r="L177" s="118"/>
      <c r="M177" s="118"/>
      <c r="N177" s="102"/>
      <c r="O177" s="102"/>
      <c r="P177" s="102"/>
      <c r="Q177" s="102"/>
      <c r="R177" s="118"/>
      <c r="S177" s="118"/>
      <c r="T177" s="118"/>
      <c r="U177" s="118"/>
      <c r="V177" s="118"/>
    </row>
    <row r="178" outlineLevel="1">
      <c r="A178" s="146"/>
      <c r="B178" s="327" t="s">
        <v>229</v>
      </c>
      <c r="C178" s="328" t="str">
        <f t="array" ref="C178">INDEX('アイテム'!$I$3:$J$114, MATCH($A$1,'アイテム'!$A$3:$A$114,0), MATCH(C172,'アイテム'!$C$2:$AQ$2,0))</f>
        <v>11</v>
      </c>
      <c r="D178" s="328">
        <f t="array" ref="D178">INDEX('アイテム'!$I$3:$J$114, MATCH($A$1,'アイテム'!$A$3:$A$114,0), MATCH(D172,'アイテム'!$C$2:$AQ$2,0))</f>
        <v>24</v>
      </c>
      <c r="E178" s="322"/>
      <c r="F178" s="322"/>
      <c r="G178" s="114"/>
      <c r="H178" s="228"/>
      <c r="I178" s="228"/>
      <c r="J178" s="228"/>
      <c r="K178" s="118"/>
      <c r="L178" s="118"/>
      <c r="M178" s="118"/>
      <c r="N178" s="102"/>
      <c r="O178" s="102"/>
      <c r="P178" s="102"/>
      <c r="Q178" s="102"/>
      <c r="R178" s="118"/>
      <c r="S178" s="118"/>
      <c r="T178" s="118"/>
      <c r="U178" s="118"/>
      <c r="V178" s="118"/>
    </row>
    <row r="179" outlineLevel="1">
      <c r="A179" s="146"/>
      <c r="B179" s="327" t="s">
        <v>233</v>
      </c>
      <c r="C179" s="328" t="str">
        <f t="array" ref="C179">INDEX('アイテム'!$K$3:$L$114, MATCH($A$1,'アイテム'!$A$3:$A$114,0), MATCH(C172,'アイテム'!$C$2:$AQ$2,0))</f>
        <v>12</v>
      </c>
      <c r="D179" s="328">
        <f t="array" ref="D179">INDEX('アイテム'!$K$3:$L$114, MATCH($A$1,'アイテム'!$A$3:$A$114,0), MATCH(D172,'アイテム'!$C$2:$AQ$2,0))</f>
        <v>23</v>
      </c>
      <c r="E179" s="322"/>
      <c r="F179" s="322"/>
      <c r="G179" s="114"/>
      <c r="H179" s="228"/>
      <c r="I179" s="228"/>
      <c r="J179" s="228"/>
      <c r="K179" s="118"/>
      <c r="L179" s="118"/>
      <c r="M179" s="118"/>
      <c r="N179" s="102"/>
      <c r="O179" s="102"/>
      <c r="P179" s="102"/>
      <c r="Q179" s="102"/>
      <c r="R179" s="118"/>
      <c r="S179" s="118"/>
      <c r="T179" s="118"/>
      <c r="U179" s="118"/>
      <c r="V179" s="118"/>
    </row>
    <row r="180" outlineLevel="1">
      <c r="A180" s="146"/>
      <c r="B180" s="327" t="s">
        <v>234</v>
      </c>
      <c r="C180" s="328" t="str">
        <f t="array" ref="C180">INDEX('アイテム'!$M$3:$N$114, MATCH($A$1,'アイテム'!$A$3:$A$114,0), MATCH(C172,'アイテム'!$C$2:$AQ$2,0))</f>
        <v>7</v>
      </c>
      <c r="D180" s="328">
        <f t="array" ref="D180">INDEX('アイテム'!$M$3:$N$114, MATCH($A$1,'アイテム'!$A$3:$A$114,0), MATCH(D172,'アイテム'!$C$2:$AQ$2,0))</f>
        <v>19</v>
      </c>
      <c r="E180" s="322"/>
      <c r="F180" s="322"/>
      <c r="G180" s="114"/>
      <c r="H180" s="228"/>
      <c r="I180" s="228"/>
      <c r="J180" s="228"/>
      <c r="K180" s="118"/>
      <c r="L180" s="118"/>
      <c r="M180" s="118"/>
      <c r="N180" s="102"/>
      <c r="O180" s="102"/>
      <c r="P180" s="102"/>
      <c r="Q180" s="102"/>
      <c r="R180" s="118"/>
      <c r="S180" s="118"/>
      <c r="T180" s="118"/>
      <c r="U180" s="118"/>
      <c r="V180" s="118"/>
    </row>
    <row r="181" outlineLevel="1">
      <c r="A181" s="146"/>
      <c r="B181" s="327" t="s">
        <v>219</v>
      </c>
      <c r="C181" s="328" t="str">
        <f t="array" ref="C181">INDEX('アイテム'!$O$3:$P$114, MATCH($A$1,'アイテム'!$A$3:$A$114,0), MATCH(C172,'アイテム'!$C$2:$AQ$2,0))</f>
        <v>5</v>
      </c>
      <c r="D181" s="328">
        <f t="array" ref="D181">INDEX('アイテム'!$O$3:$P$114, MATCH($A$1,'アイテム'!$A$3:$A$114,0), MATCH(D172,'アイテム'!$C$2:$AQ$2,0))</f>
        <v>29</v>
      </c>
      <c r="E181" s="322"/>
      <c r="F181" s="322"/>
      <c r="G181" s="114"/>
      <c r="H181" s="228"/>
      <c r="I181" s="228"/>
      <c r="J181" s="228"/>
      <c r="K181" s="118"/>
      <c r="L181" s="118"/>
      <c r="M181" s="118"/>
      <c r="N181" s="102"/>
      <c r="O181" s="102"/>
      <c r="P181" s="102"/>
      <c r="Q181" s="102"/>
      <c r="R181" s="118"/>
      <c r="S181" s="118"/>
      <c r="T181" s="118"/>
      <c r="U181" s="118"/>
      <c r="V181" s="118"/>
    </row>
    <row r="182" outlineLevel="1">
      <c r="A182" s="156"/>
      <c r="B182" s="327" t="s">
        <v>263</v>
      </c>
      <c r="C182" s="328" t="str">
        <f t="array" ref="C182">INDEX('アイテム'!$Q$3:$R$114, MATCH($A$1,'アイテム'!$A$3:$A$114,0), MATCH(C172,'アイテム'!$C$2:$AQ$2,0))</f>
        <v>6</v>
      </c>
      <c r="D182" s="328">
        <f t="array" ref="D182">INDEX('アイテム'!$Q$3:$R$114, MATCH($A$1,'アイテム'!$A$3:$A$114,0), MATCH(D172,'アイテム'!$C$2:$AQ$2,0))</f>
        <v>23</v>
      </c>
      <c r="E182" s="322"/>
      <c r="F182" s="322"/>
      <c r="G182" s="114"/>
      <c r="H182" s="228"/>
      <c r="I182" s="228"/>
      <c r="J182" s="228"/>
      <c r="K182" s="118"/>
      <c r="L182" s="118"/>
      <c r="M182" s="118"/>
      <c r="N182" s="102"/>
      <c r="O182" s="102"/>
      <c r="P182" s="102"/>
      <c r="Q182" s="102"/>
      <c r="R182" s="118"/>
      <c r="S182" s="118"/>
      <c r="T182" s="118"/>
      <c r="U182" s="118"/>
      <c r="V182" s="118"/>
    </row>
    <row r="183" outlineLevel="1">
      <c r="A183" s="326" t="s">
        <v>264</v>
      </c>
      <c r="B183" s="327" t="s">
        <v>226</v>
      </c>
      <c r="C183" s="328" t="str">
        <f t="array" ref="C183">INDEX('アイテム'!$S$3:$T$114, MATCH($A$1,'アイテム'!$A$3:$A$114,0), MATCH(C172,'アイテム'!$C$2:$AQ$2,0))</f>
        <v>8</v>
      </c>
      <c r="D183" s="328">
        <f t="array" ref="D183">INDEX('アイテム'!$S$3:$T$114, MATCH($A$1,'アイテム'!$A$3:$A$114,0), MATCH(D172,'アイテム'!$C$2:$AQ$2,0))</f>
        <v>24</v>
      </c>
      <c r="E183" s="322"/>
      <c r="F183" s="322"/>
      <c r="G183" s="114"/>
      <c r="H183" s="228"/>
      <c r="I183" s="228"/>
      <c r="J183" s="228"/>
      <c r="K183" s="118"/>
      <c r="L183" s="118"/>
      <c r="M183" s="118"/>
      <c r="N183" s="102"/>
      <c r="O183" s="102"/>
      <c r="P183" s="102"/>
      <c r="Q183" s="102"/>
      <c r="R183" s="118"/>
      <c r="S183" s="118"/>
      <c r="T183" s="118"/>
      <c r="U183" s="118"/>
      <c r="V183" s="118"/>
    </row>
    <row r="184" outlineLevel="1">
      <c r="A184" s="146"/>
      <c r="B184" s="327" t="s">
        <v>229</v>
      </c>
      <c r="C184" s="328" t="str">
        <f t="array" ref="C184">INDEX('アイテム'!$U$3:$V$114, MATCH($A$1,'アイテム'!$A$3:$A$114,0), MATCH(C172,'アイテム'!$C$2:$AQ$2,0))</f>
        <v>11</v>
      </c>
      <c r="D184" s="328">
        <f t="array" ref="D184">INDEX('アイテム'!$U$3:$V$114, MATCH($A$1,'アイテム'!$A$3:$A$114,0), MATCH(D172,'アイテム'!$C$2:$AQ$2,0))</f>
        <v>24</v>
      </c>
      <c r="E184" s="322"/>
      <c r="F184" s="322"/>
      <c r="G184" s="114"/>
      <c r="H184" s="228"/>
      <c r="I184" s="228"/>
      <c r="J184" s="228"/>
      <c r="K184" s="118"/>
      <c r="L184" s="118"/>
      <c r="M184" s="118"/>
      <c r="N184" s="102"/>
      <c r="O184" s="102"/>
      <c r="P184" s="102"/>
      <c r="Q184" s="102"/>
      <c r="R184" s="118"/>
      <c r="S184" s="118"/>
      <c r="T184" s="118"/>
      <c r="U184" s="118"/>
      <c r="V184" s="118"/>
    </row>
    <row r="185" outlineLevel="1">
      <c r="A185" s="146"/>
      <c r="B185" s="327" t="s">
        <v>233</v>
      </c>
      <c r="C185" s="328" t="str">
        <f t="array" ref="C185">INDEX('アイテム'!$W$3:$X$114, MATCH($A$1,'アイテム'!$A$3:$A$114,0), MATCH(C172,'アイテム'!$C$2:$AQ$2,0))</f>
        <v>12</v>
      </c>
      <c r="D185" s="328">
        <f t="array" ref="D185">INDEX('アイテム'!$W$3:$X$114, MATCH($A$1,'アイテム'!$A$3:$A$114,0), MATCH(D172,'アイテム'!$C$2:$AQ$2,0))</f>
        <v>23</v>
      </c>
      <c r="E185" s="322"/>
      <c r="F185" s="322"/>
      <c r="G185" s="114"/>
      <c r="H185" s="228"/>
      <c r="I185" s="228"/>
      <c r="J185" s="228"/>
      <c r="K185" s="118"/>
      <c r="L185" s="118"/>
      <c r="M185" s="118"/>
      <c r="N185" s="102"/>
      <c r="O185" s="102"/>
      <c r="P185" s="102"/>
      <c r="Q185" s="102"/>
      <c r="R185" s="118"/>
      <c r="S185" s="118"/>
      <c r="T185" s="118"/>
      <c r="U185" s="118"/>
      <c r="V185" s="118"/>
    </row>
    <row r="186" outlineLevel="1">
      <c r="A186" s="156"/>
      <c r="B186" s="327" t="s">
        <v>234</v>
      </c>
      <c r="C186" s="328" t="str">
        <f t="array" ref="C186">INDEX('アイテム'!$Y$3:$Z$114, MATCH($A$1,'アイテム'!$A$3:$A$114,0), MATCH(C172,'アイテム'!$C$2:$AQ$2,0))</f>
        <v>7</v>
      </c>
      <c r="D186" s="328">
        <f t="array" ref="D186">INDEX('アイテム'!$Y$3:$Z$114, MATCH($A$1,'アイテム'!$A$3:$A$114,0), MATCH(D172,'アイテム'!$C$2:$AQ$2,0))</f>
        <v>19</v>
      </c>
      <c r="E186" s="322"/>
      <c r="F186" s="322"/>
      <c r="G186" s="114"/>
      <c r="H186" s="228"/>
      <c r="I186" s="228"/>
      <c r="J186" s="228"/>
      <c r="K186" s="118"/>
      <c r="L186" s="118"/>
      <c r="M186" s="118"/>
      <c r="N186" s="102"/>
      <c r="O186" s="102"/>
      <c r="P186" s="102"/>
      <c r="Q186" s="102"/>
      <c r="R186" s="118"/>
      <c r="S186" s="118"/>
      <c r="T186" s="118"/>
      <c r="U186" s="118"/>
      <c r="V186" s="118"/>
    </row>
    <row r="187" outlineLevel="1">
      <c r="A187" s="326" t="s">
        <v>265</v>
      </c>
      <c r="B187" s="327" t="s">
        <v>226</v>
      </c>
      <c r="C187" s="328">
        <f t="array" ref="C187">INDEX('アイテム'!$AC$3:$AD$114, MATCH($A$1,'アイテム'!$A$3:$A$114,0), MATCH(C172,'アイテム'!$C$2:$AQ$2,0))</f>
        <v>14</v>
      </c>
      <c r="D187" s="328" t="str">
        <f t="array" ref="D187">INDEX('アイテム'!$AC$3:$AD$114, MATCH($A$1,'アイテム'!$A$3:$A$114,0), MATCH(D172,'アイテム'!$C$2:$AQ$2,0))</f>
        <v>30</v>
      </c>
      <c r="E187" s="322"/>
      <c r="F187" s="322"/>
      <c r="G187" s="114"/>
      <c r="H187" s="228"/>
      <c r="I187" s="228"/>
      <c r="J187" s="228"/>
      <c r="K187" s="118"/>
      <c r="L187" s="118"/>
      <c r="M187" s="118"/>
      <c r="N187" s="102"/>
      <c r="O187" s="102"/>
      <c r="P187" s="102"/>
      <c r="Q187" s="102"/>
      <c r="R187" s="118"/>
      <c r="S187" s="118"/>
      <c r="T187" s="118"/>
      <c r="U187" s="118"/>
      <c r="V187" s="118"/>
    </row>
    <row r="188" outlineLevel="1">
      <c r="A188" s="146"/>
      <c r="B188" s="327" t="s">
        <v>229</v>
      </c>
      <c r="C188" s="328">
        <f t="array" ref="C188">INDEX('アイテム'!$AE$3:$AF$114, MATCH($A$1,'アイテム'!$A$3:$A$114,0), MATCH(C172,'アイテム'!$C$2:$AQ$2,0))</f>
        <v>15</v>
      </c>
      <c r="D188" s="328" t="str">
        <f t="array" ref="D188">INDEX('アイテム'!$AE$3:$AF$114, MATCH($A$1,'アイテム'!$A$3:$A$114,0), MATCH(D172,'アイテム'!$C$2:$AQ$2,0))</f>
        <v>30</v>
      </c>
      <c r="E188" s="322"/>
      <c r="F188" s="322"/>
      <c r="G188" s="114"/>
      <c r="H188" s="228"/>
      <c r="I188" s="228"/>
      <c r="J188" s="228"/>
      <c r="K188" s="118"/>
      <c r="L188" s="118"/>
      <c r="M188" s="118"/>
      <c r="N188" s="102"/>
      <c r="O188" s="102"/>
      <c r="P188" s="102"/>
      <c r="Q188" s="102"/>
      <c r="R188" s="118"/>
      <c r="S188" s="118"/>
      <c r="T188" s="118"/>
      <c r="U188" s="118"/>
      <c r="V188" s="118"/>
    </row>
    <row r="189" outlineLevel="1">
      <c r="A189" s="146"/>
      <c r="B189" s="327" t="s">
        <v>233</v>
      </c>
      <c r="C189" s="328">
        <f t="array" ref="C189">INDEX('アイテム'!$AG$3:$AH$114, MATCH($A$1,'アイテム'!$A$3:$A$114,0), MATCH(C172,'アイテム'!$C$2:$AQ$2,0))</f>
        <v>11</v>
      </c>
      <c r="D189" s="328" t="str">
        <f t="array" ref="D189">INDEX('アイテム'!$AG$3:$AH$114, MATCH($A$1,'アイテム'!$A$3:$A$114,0), MATCH(D172,'アイテム'!$C$2:$AQ$2,0))</f>
        <v>22</v>
      </c>
      <c r="E189" s="322"/>
      <c r="F189" s="322"/>
      <c r="G189" s="114"/>
      <c r="H189" s="228"/>
      <c r="I189" s="228"/>
      <c r="J189" s="228"/>
      <c r="K189" s="118"/>
      <c r="L189" s="118"/>
      <c r="M189" s="118"/>
      <c r="N189" s="102"/>
      <c r="O189" s="102"/>
      <c r="P189" s="102"/>
      <c r="Q189" s="102"/>
      <c r="R189" s="118"/>
      <c r="S189" s="118"/>
      <c r="T189" s="118"/>
      <c r="U189" s="118"/>
      <c r="V189" s="118"/>
    </row>
    <row r="190" outlineLevel="1">
      <c r="A190" s="156"/>
      <c r="B190" s="327" t="s">
        <v>234</v>
      </c>
      <c r="C190" s="328">
        <f t="array" ref="C190">INDEX('アイテム'!$AI$3:$AJ$114, MATCH($A$1,'アイテム'!$A$3:$A$114,0), MATCH(C172,'アイテム'!$C$2:$AQ$2,0))</f>
        <v>9</v>
      </c>
      <c r="D190" s="328" t="str">
        <f t="array" ref="D190">INDEX('アイテム'!$AI$3:$AJ$114, MATCH($A$1,'アイテム'!$A$3:$A$114,0), MATCH(D172,'アイテム'!$C$2:$AQ$2,0))</f>
        <v>22</v>
      </c>
      <c r="E190" s="322"/>
      <c r="F190" s="322"/>
      <c r="G190" s="114"/>
      <c r="H190" s="228"/>
      <c r="I190" s="228"/>
      <c r="J190" s="228"/>
      <c r="K190" s="118"/>
      <c r="L190" s="118"/>
      <c r="M190" s="118"/>
      <c r="N190" s="102"/>
      <c r="O190" s="102"/>
      <c r="P190" s="102"/>
      <c r="Q190" s="102"/>
      <c r="R190" s="118"/>
      <c r="S190" s="118"/>
      <c r="T190" s="118"/>
      <c r="U190" s="118"/>
      <c r="V190" s="118"/>
    </row>
  </sheetData>
  <mergeCells count="171">
    <mergeCell ref="I44:I45"/>
    <mergeCell ref="J44:J45"/>
    <mergeCell ref="H60:J75"/>
    <mergeCell ref="H77:J86"/>
    <mergeCell ref="H88:J95"/>
    <mergeCell ref="H97:J107"/>
    <mergeCell ref="H33:J33"/>
    <mergeCell ref="H34:J34"/>
    <mergeCell ref="H35:J35"/>
    <mergeCell ref="H36:J37"/>
    <mergeCell ref="H38:J38"/>
    <mergeCell ref="H39:J39"/>
    <mergeCell ref="H40:J40"/>
    <mergeCell ref="A39:B39"/>
    <mergeCell ref="A42:B43"/>
    <mergeCell ref="A44:A45"/>
    <mergeCell ref="D44:D45"/>
    <mergeCell ref="D46:D47"/>
    <mergeCell ref="I46:I47"/>
    <mergeCell ref="J46:J47"/>
    <mergeCell ref="A55:A56"/>
    <mergeCell ref="A57:A58"/>
    <mergeCell ref="A59:B59"/>
    <mergeCell ref="A60:A63"/>
    <mergeCell ref="D60:D63"/>
    <mergeCell ref="A46:A47"/>
    <mergeCell ref="A48:A49"/>
    <mergeCell ref="D48:D49"/>
    <mergeCell ref="A53:B53"/>
    <mergeCell ref="A54:B54"/>
    <mergeCell ref="H54:J54"/>
    <mergeCell ref="H55:J58"/>
    <mergeCell ref="H59:J59"/>
    <mergeCell ref="C1:G12"/>
    <mergeCell ref="A10:A12"/>
    <mergeCell ref="A15:B16"/>
    <mergeCell ref="C16:D16"/>
    <mergeCell ref="E16:F16"/>
    <mergeCell ref="G16:H16"/>
    <mergeCell ref="H25:J25"/>
    <mergeCell ref="A24:B25"/>
    <mergeCell ref="A26:A29"/>
    <mergeCell ref="D27:D28"/>
    <mergeCell ref="A30:A31"/>
    <mergeCell ref="D30:D31"/>
    <mergeCell ref="A36:A37"/>
    <mergeCell ref="D36:D37"/>
    <mergeCell ref="H10:H11"/>
    <mergeCell ref="I10:I11"/>
    <mergeCell ref="K16:N16"/>
    <mergeCell ref="H1:J2"/>
    <mergeCell ref="K1:M2"/>
    <mergeCell ref="H4:H5"/>
    <mergeCell ref="I4:I5"/>
    <mergeCell ref="H6:H7"/>
    <mergeCell ref="I6:I7"/>
    <mergeCell ref="H8:J9"/>
    <mergeCell ref="H26:J26"/>
    <mergeCell ref="H27:J28"/>
    <mergeCell ref="U27:U28"/>
    <mergeCell ref="H29:J29"/>
    <mergeCell ref="H30:J31"/>
    <mergeCell ref="U30:U31"/>
    <mergeCell ref="H32:J32"/>
    <mergeCell ref="I48:I49"/>
    <mergeCell ref="J48:J49"/>
    <mergeCell ref="U36:U37"/>
    <mergeCell ref="R43:V43"/>
    <mergeCell ref="R44:V45"/>
    <mergeCell ref="R46:V47"/>
    <mergeCell ref="R48:V49"/>
    <mergeCell ref="R50:V50"/>
    <mergeCell ref="R51:V51"/>
    <mergeCell ref="D82:D86"/>
    <mergeCell ref="D88:D91"/>
    <mergeCell ref="U88:U95"/>
    <mergeCell ref="U97:U107"/>
    <mergeCell ref="V97:V107"/>
    <mergeCell ref="U109:U111"/>
    <mergeCell ref="V109:V111"/>
    <mergeCell ref="U113:U115"/>
    <mergeCell ref="V113:V115"/>
    <mergeCell ref="U55:U58"/>
    <mergeCell ref="V55:V58"/>
    <mergeCell ref="U60:U75"/>
    <mergeCell ref="V60:V75"/>
    <mergeCell ref="U77:U86"/>
    <mergeCell ref="V77:V86"/>
    <mergeCell ref="V88:V95"/>
    <mergeCell ref="A108:B108"/>
    <mergeCell ref="A112:B112"/>
    <mergeCell ref="A117:B118"/>
    <mergeCell ref="A123:B123"/>
    <mergeCell ref="A133:B134"/>
    <mergeCell ref="A135:A137"/>
    <mergeCell ref="A141:B142"/>
    <mergeCell ref="A102:A107"/>
    <mergeCell ref="A109:A111"/>
    <mergeCell ref="A113:A115"/>
    <mergeCell ref="A120:A122"/>
    <mergeCell ref="A124:A125"/>
    <mergeCell ref="A126:A127"/>
    <mergeCell ref="A128:A129"/>
    <mergeCell ref="A172:B172"/>
    <mergeCell ref="A173:A174"/>
    <mergeCell ref="A176:B176"/>
    <mergeCell ref="A177:A182"/>
    <mergeCell ref="A183:A186"/>
    <mergeCell ref="A187:A190"/>
    <mergeCell ref="A130:A131"/>
    <mergeCell ref="A151:A156"/>
    <mergeCell ref="A157:A162"/>
    <mergeCell ref="A163:A169"/>
    <mergeCell ref="C168:C169"/>
    <mergeCell ref="D168:D169"/>
    <mergeCell ref="A171:B171"/>
    <mergeCell ref="A64:A67"/>
    <mergeCell ref="D64:D67"/>
    <mergeCell ref="A68:A71"/>
    <mergeCell ref="D68:D71"/>
    <mergeCell ref="D72:D75"/>
    <mergeCell ref="A76:B76"/>
    <mergeCell ref="H76:J76"/>
    <mergeCell ref="A72:A75"/>
    <mergeCell ref="A77:A81"/>
    <mergeCell ref="D77:D81"/>
    <mergeCell ref="A82:A86"/>
    <mergeCell ref="A87:B87"/>
    <mergeCell ref="H87:J87"/>
    <mergeCell ref="C90:C91"/>
    <mergeCell ref="H96:J96"/>
    <mergeCell ref="A88:A91"/>
    <mergeCell ref="A92:A95"/>
    <mergeCell ref="D92:D95"/>
    <mergeCell ref="C94:C95"/>
    <mergeCell ref="A96:B96"/>
    <mergeCell ref="A97:A101"/>
    <mergeCell ref="D109:D111"/>
    <mergeCell ref="D114:D115"/>
    <mergeCell ref="D124:D125"/>
    <mergeCell ref="D126:D127"/>
    <mergeCell ref="D128:D129"/>
    <mergeCell ref="D130:D131"/>
    <mergeCell ref="D97:D101"/>
    <mergeCell ref="D102:D107"/>
    <mergeCell ref="H108:J108"/>
    <mergeCell ref="H109:J111"/>
    <mergeCell ref="H112:J112"/>
    <mergeCell ref="H113:J115"/>
    <mergeCell ref="G123:J123"/>
    <mergeCell ref="A138:A139"/>
    <mergeCell ref="A143:A147"/>
    <mergeCell ref="A148:A150"/>
    <mergeCell ref="C155:C156"/>
    <mergeCell ref="D155:D156"/>
    <mergeCell ref="C161:C162"/>
    <mergeCell ref="D161:D162"/>
    <mergeCell ref="K143:K144"/>
    <mergeCell ref="K145:L145"/>
    <mergeCell ref="K146:K151"/>
    <mergeCell ref="K152:K155"/>
    <mergeCell ref="K156:L156"/>
    <mergeCell ref="K158:K161"/>
    <mergeCell ref="K162:L162"/>
    <mergeCell ref="G124:J125"/>
    <mergeCell ref="G126:J127"/>
    <mergeCell ref="G128:J129"/>
    <mergeCell ref="G130:J131"/>
    <mergeCell ref="G134:J134"/>
    <mergeCell ref="G135:J135"/>
    <mergeCell ref="K142:L142"/>
  </mergeCells>
  <conditionalFormatting sqref="K39">
    <cfRule type="containsText" dxfId="1" priority="1" operator="containsText" text="363">
      <formula>NOT(ISERROR(SEARCH(("363"),(K39))))</formula>
    </cfRule>
  </conditionalFormatting>
  <conditionalFormatting sqref="K39">
    <cfRule type="containsText" dxfId="1" priority="2" operator="containsText" text="365">
      <formula>NOT(ISERROR(SEARCH(("365"),(K39))))</formula>
    </cfRule>
  </conditionalFormatting>
  <conditionalFormatting sqref="K39">
    <cfRule type="containsText" dxfId="1" priority="3" operator="containsText" text="366">
      <formula>NOT(ISERROR(SEARCH(("366"),(K39))))</formula>
    </cfRule>
  </conditionalFormatting>
  <conditionalFormatting sqref="K39">
    <cfRule type="containsText" dxfId="1" priority="4" operator="containsText" text="367">
      <formula>NOT(ISERROR(SEARCH(("367"),(K39))))</formula>
    </cfRule>
  </conditionalFormatting>
  <conditionalFormatting sqref="K1:K166 L123:L131">
    <cfRule type="containsText" dxfId="0" priority="5" operator="containsText" text="361">
      <formula>NOT(ISERROR(SEARCH(("361"),(K1))))</formula>
    </cfRule>
  </conditionalFormatting>
  <conditionalFormatting sqref="O124:Q131">
    <cfRule type="cellIs" dxfId="2" priority="6" operator="equal">
      <formula>"敵のみ"</formula>
    </cfRule>
  </conditionalFormatting>
  <conditionalFormatting sqref="D124:D131 C125 C127:C129 C131">
    <cfRule type="cellIs" dxfId="3" priority="7" operator="equal">
      <formula>"-"</formula>
    </cfRule>
  </conditionalFormatting>
  <conditionalFormatting sqref="O1:O190 K39 N39 N123:N131 P123:P131 Q131 L165:L166">
    <cfRule type="cellIs" dxfId="4" priority="8" operator="greaterThan">
      <formula>0</formula>
    </cfRule>
  </conditionalFormatting>
  <conditionalFormatting sqref="P1:Q190 L39:M39 O39 O123:O131 M165:M166">
    <cfRule type="cellIs" dxfId="5" priority="9" operator="lessThan">
      <formula>1</formula>
    </cfRule>
  </conditionalFormatting>
  <conditionalFormatting sqref="P1:Q190 L39:M39 O39 O123:O131 M165:M166">
    <cfRule type="cellIs" dxfId="4" priority="10" operator="greaterThan">
      <formula>1</formula>
    </cfRule>
  </conditionalFormatting>
  <conditionalFormatting sqref="N25:N142 M123:M131 O123:O131">
    <cfRule type="cellIs" dxfId="6" priority="11" operator="greaterThan">
      <formula>0</formula>
    </cfRule>
  </conditionalFormatting>
  <conditionalFormatting sqref="K1:K190 L123:L131">
    <cfRule type="containsText" dxfId="6" priority="12" operator="containsText" text="363">
      <formula>NOT(ISERROR(SEARCH(("363"),(K1))))</formula>
    </cfRule>
  </conditionalFormatting>
  <conditionalFormatting sqref="K1:K190 L123:L131">
    <cfRule type="containsText" dxfId="6" priority="13" operator="containsText" text="365">
      <formula>NOT(ISERROR(SEARCH(("365"),(K1))))</formula>
    </cfRule>
  </conditionalFormatting>
  <conditionalFormatting sqref="K1:K190 L123:L131">
    <cfRule type="containsText" dxfId="6" priority="14" operator="containsText" text="366">
      <formula>NOT(ISERROR(SEARCH(("366"),(K1))))</formula>
    </cfRule>
  </conditionalFormatting>
  <conditionalFormatting sqref="K1:K190 L123:L131">
    <cfRule type="containsText" dxfId="6" priority="15" operator="containsText" text="367">
      <formula>NOT(ISERROR(SEARCH(("367"),(K1))))</formula>
    </cfRule>
  </conditionalFormatting>
  <conditionalFormatting sqref="N1:N15 N17:N190 M123:M131 O123:O131 K165:K166">
    <cfRule type="containsText" dxfId="6" priority="16" operator="containsText" text="/">
      <formula>NOT(ISERROR(SEARCH(("/"),(N1))))</formula>
    </cfRule>
  </conditionalFormatting>
  <drawing r:id="rId2"/>
  <legacyDrawing r:id="rId3"/>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0E8B9"/>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304">
        <v>75.0</v>
      </c>
      <c r="B1" s="3305"/>
      <c r="C1" s="3306" t="str">
        <f>IMAGE(VLOOKUP($A$1,Fighters!A2:AI114,12,FALSE),1)</f>
        <v>#REF!</v>
      </c>
      <c r="D1" s="3307"/>
      <c r="E1" s="3307"/>
      <c r="F1" s="3307"/>
      <c r="G1" s="3308"/>
      <c r="H1" s="3309"/>
      <c r="I1" s="3307"/>
      <c r="J1" s="3308"/>
      <c r="K1" s="3310"/>
      <c r="L1" s="3307"/>
      <c r="M1" s="3308"/>
      <c r="N1" s="3311"/>
      <c r="O1" s="3311"/>
      <c r="P1" s="3311"/>
      <c r="Q1" s="3311"/>
      <c r="R1" s="3312"/>
      <c r="S1" s="3312"/>
      <c r="T1" s="3312"/>
      <c r="U1" s="3312"/>
      <c r="V1" s="3312"/>
    </row>
    <row r="2">
      <c r="A2" s="3313" t="str">
        <f>VLOOKUP($A$1,Fighters!$A$2:$AI$92,6,FALSE)</f>
        <v>#90e8b9</v>
      </c>
      <c r="B2" s="3305"/>
      <c r="C2" s="3314"/>
      <c r="G2" s="3315"/>
      <c r="H2" s="3316"/>
      <c r="I2" s="3317"/>
      <c r="J2" s="3318"/>
      <c r="K2" s="3316"/>
      <c r="L2" s="3317"/>
      <c r="M2" s="3318"/>
      <c r="N2" s="3311"/>
      <c r="O2" s="3311"/>
      <c r="P2" s="3311"/>
      <c r="Q2" s="3311"/>
      <c r="R2" s="3312"/>
      <c r="S2" s="3312"/>
      <c r="T2" s="3312"/>
      <c r="U2" s="3312"/>
      <c r="V2" s="3312"/>
    </row>
    <row r="3">
      <c r="A3" s="3313" t="str">
        <f>VLOOKUP($A$1,Fighters!$A$2:$AI$92,14,FALSE)</f>
        <v>75. ベレト／ベレス</v>
      </c>
      <c r="B3" s="3305"/>
      <c r="C3" s="3314"/>
      <c r="G3" s="3315"/>
      <c r="H3" s="3319"/>
      <c r="I3" s="3319"/>
      <c r="J3" s="3319"/>
      <c r="K3" s="3320"/>
      <c r="L3" s="3320"/>
      <c r="M3" s="3320"/>
      <c r="N3" s="3311"/>
      <c r="O3" s="3311"/>
      <c r="P3" s="3311"/>
      <c r="Q3" s="3311"/>
      <c r="R3" s="3321"/>
      <c r="S3" s="3312"/>
      <c r="T3" s="3312"/>
      <c r="U3" s="3312"/>
      <c r="V3" s="3312"/>
    </row>
    <row r="4">
      <c r="A4" s="3313" t="str">
        <f>VLOOKUP($A$1,Fighters!$A$2:$AI$92,13,FALSE)</f>
        <v>1</v>
      </c>
      <c r="B4" s="3305"/>
      <c r="C4" s="3314"/>
      <c r="G4" s="3315"/>
      <c r="H4" s="3322"/>
      <c r="I4" s="3322"/>
      <c r="J4" s="3319"/>
      <c r="K4" s="3320"/>
      <c r="L4" s="3320"/>
      <c r="M4" s="3320"/>
      <c r="N4" s="3311"/>
      <c r="O4" s="3311"/>
      <c r="P4" s="3311"/>
      <c r="Q4" s="3311"/>
      <c r="R4" s="3321"/>
      <c r="S4" s="3312"/>
      <c r="T4" s="3312"/>
      <c r="U4" s="3312"/>
      <c r="V4" s="3312"/>
    </row>
    <row r="5" ht="16.5" customHeight="1">
      <c r="A5" s="3304"/>
      <c r="B5" s="3305"/>
      <c r="C5" s="3314"/>
      <c r="G5" s="3315"/>
      <c r="H5" s="3323"/>
      <c r="I5" s="3323"/>
      <c r="J5" s="3324"/>
      <c r="K5" s="3325"/>
      <c r="L5" s="3326"/>
      <c r="M5" s="3326"/>
      <c r="N5" s="3311"/>
      <c r="O5" s="3311"/>
      <c r="P5" s="3311"/>
      <c r="Q5" s="3311"/>
      <c r="R5" s="3321"/>
      <c r="S5" s="3312"/>
      <c r="T5" s="3312"/>
      <c r="U5" s="3312"/>
      <c r="V5" s="3312"/>
    </row>
    <row r="6">
      <c r="A6" s="3305"/>
      <c r="B6" s="3305"/>
      <c r="C6" s="3314"/>
      <c r="G6" s="3315"/>
      <c r="H6" s="3322"/>
      <c r="I6" s="3327" t="s">
        <v>39</v>
      </c>
      <c r="J6" s="3325"/>
      <c r="K6" s="3328"/>
      <c r="L6" s="3326"/>
      <c r="M6" s="3326"/>
      <c r="N6" s="3311"/>
      <c r="O6" s="3311"/>
      <c r="P6" s="3311"/>
      <c r="Q6" s="3311"/>
      <c r="R6" s="3321"/>
      <c r="S6" s="3312"/>
      <c r="T6" s="3312"/>
      <c r="U6" s="3312"/>
      <c r="V6" s="3312"/>
    </row>
    <row r="7">
      <c r="A7" s="3305"/>
      <c r="B7" s="3305"/>
      <c r="C7" s="3314"/>
      <c r="G7" s="3315"/>
      <c r="H7" s="3323"/>
      <c r="I7" s="3323"/>
      <c r="J7" s="3325"/>
      <c r="K7" s="3328"/>
      <c r="L7" s="3326"/>
      <c r="M7" s="3326"/>
      <c r="N7" s="3311"/>
      <c r="O7" s="3311"/>
      <c r="P7" s="3311"/>
      <c r="Q7" s="3311"/>
      <c r="R7" s="3321"/>
      <c r="S7" s="3312"/>
      <c r="T7" s="3312"/>
      <c r="U7" s="3312"/>
      <c r="V7" s="3312"/>
    </row>
    <row r="8">
      <c r="A8" s="3305"/>
      <c r="B8" s="3305"/>
      <c r="C8" s="3314"/>
      <c r="G8" s="3315"/>
      <c r="H8" s="3329">
        <v>44379.84730796296</v>
      </c>
      <c r="I8" s="3307"/>
      <c r="J8" s="3308"/>
      <c r="K8" s="3325"/>
      <c r="L8" s="3326"/>
      <c r="M8" s="3326"/>
      <c r="N8" s="3311"/>
      <c r="O8" s="3311"/>
      <c r="P8" s="3311"/>
      <c r="Q8" s="3311"/>
      <c r="R8" s="3321"/>
      <c r="S8" s="3312"/>
      <c r="T8" s="3312"/>
      <c r="U8" s="3312"/>
      <c r="V8" s="3312"/>
    </row>
    <row r="9">
      <c r="A9" s="3305"/>
      <c r="B9" s="3305"/>
      <c r="C9" s="3314"/>
      <c r="G9" s="3315"/>
      <c r="H9" s="3316"/>
      <c r="I9" s="3317"/>
      <c r="J9" s="3318"/>
      <c r="K9" s="3312"/>
      <c r="L9" s="3311"/>
      <c r="M9" s="3311"/>
      <c r="N9" s="3311"/>
      <c r="O9" s="3311"/>
      <c r="P9" s="3311"/>
      <c r="Q9" s="3311"/>
      <c r="R9" s="3321"/>
      <c r="S9" s="3312"/>
      <c r="T9" s="3312"/>
      <c r="U9" s="3312"/>
      <c r="V9" s="3312"/>
    </row>
    <row r="10">
      <c r="A10" s="3330"/>
      <c r="B10" s="3305"/>
      <c r="C10" s="3314"/>
      <c r="G10" s="3315"/>
      <c r="H10" s="3331"/>
      <c r="I10" s="3331"/>
      <c r="J10" s="3312"/>
      <c r="K10" s="3312"/>
      <c r="L10" s="3311"/>
      <c r="M10" s="3311"/>
      <c r="N10" s="3311"/>
      <c r="O10" s="3311"/>
      <c r="P10" s="3311"/>
      <c r="Q10" s="3311"/>
      <c r="R10" s="3321"/>
      <c r="S10" s="3312"/>
      <c r="T10" s="3312"/>
      <c r="U10" s="3312"/>
      <c r="V10" s="3312"/>
    </row>
    <row r="11">
      <c r="A11" s="3332"/>
      <c r="B11" s="3305"/>
      <c r="C11" s="3314"/>
      <c r="G11" s="3315"/>
      <c r="H11" s="3323"/>
      <c r="I11" s="3323"/>
      <c r="J11" s="3312"/>
      <c r="K11" s="3312"/>
      <c r="L11" s="3311"/>
      <c r="M11" s="3311"/>
      <c r="N11" s="3311"/>
      <c r="O11" s="3311"/>
      <c r="P11" s="3311"/>
      <c r="Q11" s="3311"/>
      <c r="R11" s="3321"/>
      <c r="S11" s="3312"/>
      <c r="T11" s="3312"/>
      <c r="U11" s="3312"/>
      <c r="V11" s="3312"/>
    </row>
    <row r="12">
      <c r="A12" s="3323"/>
      <c r="B12" s="3305"/>
      <c r="C12" s="3316"/>
      <c r="D12" s="3317"/>
      <c r="E12" s="3317"/>
      <c r="F12" s="3317"/>
      <c r="G12" s="3318"/>
      <c r="H12" s="3333"/>
      <c r="I12" s="3333"/>
      <c r="J12" s="3305"/>
      <c r="K12" s="3305"/>
      <c r="L12" s="3311"/>
      <c r="M12" s="3311"/>
      <c r="N12" s="3311"/>
      <c r="O12" s="3311"/>
      <c r="P12" s="3311"/>
      <c r="Q12" s="3311"/>
      <c r="R12" s="3321"/>
      <c r="S12" s="3312"/>
      <c r="T12" s="3312"/>
      <c r="U12" s="3312"/>
      <c r="V12" s="3312"/>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INDEX('行動フレーム・能力値'!$C$2:$AD$95,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97 [37th]</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35F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1.8 [69th]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INDEX('行動フレーム・能力値'!$C$2:$AD$95, MATCH($A$1,'行動フレーム・能力値'!$A$2:$A$95,0),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0.78 [81st]</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45F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 [41st]</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26.5 [79th]</v>
      </c>
      <c r="O18" s="99"/>
      <c r="P18" s="99"/>
      <c r="Q18" s="99"/>
      <c r="R18" s="99"/>
      <c r="S18" s="111"/>
      <c r="T18" s="111"/>
      <c r="U18" s="111"/>
      <c r="V18" s="111"/>
    </row>
    <row r="19" outlineLevel="1">
      <c r="A19" s="112" t="s">
        <v>5288</v>
      </c>
      <c r="B19" s="113" t="b">
        <f t="array" ref="B19">INDEX('行動フレーム・能力値'!$C$2:$AD$94,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1.43 [80th]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0.125 [14th]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14 [72nd]</v>
      </c>
      <c r="O19" s="99"/>
      <c r="P19" s="99"/>
      <c r="Q19" s="99"/>
      <c r="R19" s="99"/>
      <c r="S19" s="111"/>
      <c r="T19" s="111"/>
      <c r="U19" s="111"/>
      <c r="V19" s="111"/>
    </row>
    <row r="20" outlineLevel="1">
      <c r="A20" s="112" t="s">
        <v>5292</v>
      </c>
      <c r="B20" s="113" t="b">
        <f t="array" ref="B20">INDEX('行動フレーム・能力値'!$C$2:$AD$95,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0.89 [79th]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31F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0.053 [68th]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28.5 [73rd]</v>
      </c>
      <c r="O20" s="99"/>
      <c r="P20" s="99"/>
      <c r="Q20" s="99"/>
      <c r="R20" s="99"/>
      <c r="S20" s="100"/>
      <c r="T20" s="100"/>
      <c r="U20" s="100"/>
      <c r="V20" s="100"/>
    </row>
    <row r="21" outlineLevel="1">
      <c r="A21" s="112" t="s">
        <v>587</v>
      </c>
      <c r="B21" s="113" t="b">
        <f t="array" ref="B21">INDEX('行動フレーム・能力値'!$C$2:$AD$95,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 [43rd]</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2.56 [43rd]</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0.089 [52nd]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717</v>
      </c>
      <c r="D26" s="701" t="s">
        <v>5741</v>
      </c>
      <c r="E26" s="139" t="s">
        <v>1024</v>
      </c>
      <c r="F26" s="138">
        <v>1.7999999999999998</v>
      </c>
      <c r="G26" s="139" t="s">
        <v>60</v>
      </c>
      <c r="H26" s="151" t="s">
        <v>5742</v>
      </c>
      <c r="I26" s="110"/>
      <c r="J26" s="109"/>
      <c r="K26" s="282"/>
      <c r="L26" s="282"/>
      <c r="M26" s="363"/>
      <c r="N26" s="363"/>
      <c r="O26" s="145">
        <v>0.0</v>
      </c>
      <c r="P26" s="145">
        <v>1.0</v>
      </c>
      <c r="Q26" s="145">
        <v>1.0</v>
      </c>
      <c r="R26" s="100"/>
      <c r="S26" s="100"/>
      <c r="T26" s="100"/>
      <c r="U26" s="1584"/>
      <c r="V26" s="100"/>
    </row>
    <row r="27" outlineLevel="1">
      <c r="A27" s="146"/>
      <c r="B27" s="147" t="s">
        <v>63</v>
      </c>
      <c r="C27" s="467" t="s">
        <v>717</v>
      </c>
      <c r="D27" s="467" t="s">
        <v>268</v>
      </c>
      <c r="E27" s="216" t="s">
        <v>176</v>
      </c>
      <c r="F27" s="138">
        <v>2.4</v>
      </c>
      <c r="G27" s="216" t="s">
        <v>60</v>
      </c>
      <c r="H27" s="151" t="s">
        <v>5743</v>
      </c>
      <c r="I27" s="110"/>
      <c r="J27" s="109"/>
      <c r="K27" s="282"/>
      <c r="L27" s="282"/>
      <c r="M27" s="363"/>
      <c r="N27" s="363"/>
      <c r="O27" s="145">
        <v>0.0</v>
      </c>
      <c r="P27" s="145">
        <v>1.0</v>
      </c>
      <c r="Q27" s="145">
        <v>1.0</v>
      </c>
      <c r="R27" s="100"/>
      <c r="S27" s="100"/>
      <c r="T27" s="100"/>
      <c r="U27" s="1584"/>
      <c r="V27" s="100"/>
    </row>
    <row r="28" outlineLevel="1">
      <c r="A28" s="146"/>
      <c r="B28" s="147" t="s">
        <v>70</v>
      </c>
      <c r="C28" s="467" t="s">
        <v>91</v>
      </c>
      <c r="D28" s="467" t="s">
        <v>964</v>
      </c>
      <c r="E28" s="216" t="s">
        <v>1438</v>
      </c>
      <c r="F28" s="138">
        <v>5.3999999999999995</v>
      </c>
      <c r="G28" s="216" t="s">
        <v>75</v>
      </c>
      <c r="H28" s="151"/>
      <c r="I28" s="110"/>
      <c r="J28" s="109"/>
      <c r="K28" s="282"/>
      <c r="L28" s="282"/>
      <c r="M28" s="363"/>
      <c r="N28" s="363"/>
      <c r="O28" s="145">
        <v>0.0</v>
      </c>
      <c r="P28" s="145">
        <v>1.0</v>
      </c>
      <c r="Q28" s="145">
        <v>1.0</v>
      </c>
      <c r="R28" s="100"/>
      <c r="S28" s="100"/>
      <c r="T28" s="100"/>
      <c r="U28" s="1584"/>
      <c r="V28" s="100"/>
    </row>
    <row r="29" outlineLevel="1">
      <c r="A29" s="146"/>
      <c r="B29" s="147" t="s">
        <v>703</v>
      </c>
      <c r="C29" s="659"/>
      <c r="D29" s="467" t="s">
        <v>80</v>
      </c>
      <c r="E29" s="659"/>
      <c r="F29" s="658"/>
      <c r="G29" s="659"/>
      <c r="H29" s="151"/>
      <c r="I29" s="110"/>
      <c r="J29" s="109"/>
      <c r="K29" s="261"/>
      <c r="L29" s="261"/>
      <c r="M29" s="261"/>
      <c r="N29" s="261"/>
      <c r="O29" s="261"/>
      <c r="P29" s="261"/>
      <c r="Q29" s="261"/>
      <c r="R29" s="100"/>
      <c r="S29" s="100"/>
      <c r="T29" s="100"/>
      <c r="U29" s="1584"/>
      <c r="V29" s="100"/>
    </row>
    <row r="30" outlineLevel="1">
      <c r="A30" s="146"/>
      <c r="B30" s="147" t="s">
        <v>704</v>
      </c>
      <c r="C30" s="467" t="s">
        <v>5744</v>
      </c>
      <c r="D30" s="467" t="s">
        <v>466</v>
      </c>
      <c r="E30" s="467" t="s">
        <v>3647</v>
      </c>
      <c r="F30" s="138">
        <v>0.48</v>
      </c>
      <c r="G30" s="450" t="s">
        <v>147</v>
      </c>
      <c r="H30" s="151" t="s">
        <v>5745</v>
      </c>
      <c r="I30" s="110"/>
      <c r="J30" s="109"/>
      <c r="K30" s="282"/>
      <c r="L30" s="282"/>
      <c r="M30" s="363"/>
      <c r="N30" s="363"/>
      <c r="O30" s="145">
        <v>0.0</v>
      </c>
      <c r="P30" s="145">
        <v>1.0</v>
      </c>
      <c r="Q30" s="145">
        <v>1.0</v>
      </c>
      <c r="R30" s="100"/>
      <c r="S30" s="100"/>
      <c r="T30" s="100"/>
      <c r="U30" s="1584"/>
      <c r="V30" s="100"/>
    </row>
    <row r="31" outlineLevel="1">
      <c r="A31" s="156"/>
      <c r="B31" s="147" t="s">
        <v>708</v>
      </c>
      <c r="C31" s="467" t="s">
        <v>217</v>
      </c>
      <c r="D31" s="467" t="s">
        <v>413</v>
      </c>
      <c r="E31" s="467" t="s">
        <v>651</v>
      </c>
      <c r="F31" s="138">
        <v>4.2</v>
      </c>
      <c r="G31" s="467" t="s">
        <v>147</v>
      </c>
      <c r="H31" s="151" t="s">
        <v>411</v>
      </c>
      <c r="I31" s="110"/>
      <c r="J31" s="109"/>
      <c r="K31" s="282"/>
      <c r="L31" s="282"/>
      <c r="M31" s="363"/>
      <c r="N31" s="363"/>
      <c r="O31" s="145">
        <v>0.0</v>
      </c>
      <c r="P31" s="145">
        <v>1.0</v>
      </c>
      <c r="Q31" s="145">
        <v>1.0</v>
      </c>
      <c r="R31" s="100"/>
      <c r="S31" s="100"/>
      <c r="T31" s="100"/>
      <c r="U31" s="1584"/>
      <c r="V31" s="100"/>
    </row>
    <row r="32" outlineLevel="1">
      <c r="A32" s="170" t="s">
        <v>77</v>
      </c>
      <c r="B32" s="160"/>
      <c r="C32" s="467" t="s">
        <v>835</v>
      </c>
      <c r="D32" s="467" t="s">
        <v>393</v>
      </c>
      <c r="E32" s="467" t="s">
        <v>2738</v>
      </c>
      <c r="F32" s="138" t="s">
        <v>2739</v>
      </c>
      <c r="G32" s="467" t="s">
        <v>2740</v>
      </c>
      <c r="H32" s="151"/>
      <c r="I32" s="110"/>
      <c r="J32" s="109"/>
      <c r="K32" s="282"/>
      <c r="L32" s="282"/>
      <c r="M32" s="363"/>
      <c r="N32" s="363"/>
      <c r="O32" s="145">
        <v>0.0</v>
      </c>
      <c r="P32" s="145">
        <v>1.0</v>
      </c>
      <c r="Q32" s="145">
        <v>1.0</v>
      </c>
      <c r="R32" s="100"/>
      <c r="S32" s="100"/>
      <c r="T32" s="100"/>
      <c r="U32" s="1584"/>
      <c r="V32" s="100"/>
    </row>
    <row r="33" outlineLevel="1">
      <c r="A33" s="170" t="s">
        <v>89</v>
      </c>
      <c r="B33" s="147"/>
      <c r="C33" s="467" t="s">
        <v>161</v>
      </c>
      <c r="D33" s="467" t="s">
        <v>72</v>
      </c>
      <c r="E33" s="467" t="s">
        <v>232</v>
      </c>
      <c r="F33" s="138">
        <v>13.2</v>
      </c>
      <c r="G33" s="467" t="s">
        <v>121</v>
      </c>
      <c r="H33" s="151"/>
      <c r="I33" s="110"/>
      <c r="J33" s="109"/>
      <c r="K33" s="282"/>
      <c r="L33" s="282"/>
      <c r="M33" s="363"/>
      <c r="N33" s="363"/>
      <c r="O33" s="145">
        <v>0.0</v>
      </c>
      <c r="P33" s="145">
        <v>1.0</v>
      </c>
      <c r="Q33" s="145">
        <v>1.0</v>
      </c>
      <c r="R33" s="100"/>
      <c r="S33" s="100"/>
      <c r="T33" s="100"/>
      <c r="U33" s="1584"/>
      <c r="V33" s="100"/>
    </row>
    <row r="34" outlineLevel="1">
      <c r="A34" s="170" t="s">
        <v>97</v>
      </c>
      <c r="B34" s="160"/>
      <c r="C34" s="467" t="s">
        <v>5746</v>
      </c>
      <c r="D34" s="467" t="s">
        <v>218</v>
      </c>
      <c r="E34" s="467" t="s">
        <v>128</v>
      </c>
      <c r="F34" s="138">
        <v>12.0</v>
      </c>
      <c r="G34" s="467" t="s">
        <v>121</v>
      </c>
      <c r="H34" s="151"/>
      <c r="I34" s="110"/>
      <c r="J34" s="109"/>
      <c r="K34" s="282"/>
      <c r="L34" s="282"/>
      <c r="M34" s="363"/>
      <c r="N34" s="363"/>
      <c r="O34" s="145">
        <v>0.0</v>
      </c>
      <c r="P34" s="145">
        <v>1.0</v>
      </c>
      <c r="Q34" s="145">
        <v>1.0</v>
      </c>
      <c r="R34" s="100"/>
      <c r="S34" s="100"/>
      <c r="T34" s="100"/>
      <c r="U34" s="1584"/>
      <c r="V34" s="100"/>
    </row>
    <row r="35" outlineLevel="1">
      <c r="A35" s="170" t="s">
        <v>103</v>
      </c>
      <c r="B35" s="160"/>
      <c r="C35" s="467" t="s">
        <v>721</v>
      </c>
      <c r="D35" s="467" t="s">
        <v>193</v>
      </c>
      <c r="E35" s="467" t="s">
        <v>80</v>
      </c>
      <c r="F35" s="138">
        <v>9.6</v>
      </c>
      <c r="G35" s="467" t="s">
        <v>123</v>
      </c>
      <c r="H35" s="151" t="s">
        <v>1167</v>
      </c>
      <c r="I35" s="110"/>
      <c r="J35" s="109"/>
      <c r="K35" s="145"/>
      <c r="L35" s="363"/>
      <c r="M35" s="363"/>
      <c r="N35" s="363"/>
      <c r="O35" s="145">
        <v>0.0</v>
      </c>
      <c r="P35" s="145">
        <v>1.0</v>
      </c>
      <c r="Q35" s="145">
        <v>1.0</v>
      </c>
      <c r="R35" s="100"/>
      <c r="S35" s="100"/>
      <c r="T35" s="100"/>
      <c r="U35" s="1584"/>
      <c r="V35" s="100"/>
    </row>
    <row r="36" outlineLevel="1">
      <c r="A36" s="133" t="s">
        <v>109</v>
      </c>
      <c r="B36" s="147"/>
      <c r="C36" s="455" t="s">
        <v>1053</v>
      </c>
      <c r="D36" s="455" t="s">
        <v>748</v>
      </c>
      <c r="E36" s="467" t="s">
        <v>5747</v>
      </c>
      <c r="F36" s="138" t="s">
        <v>5748</v>
      </c>
      <c r="G36" s="467" t="s">
        <v>5749</v>
      </c>
      <c r="H36" s="163" t="s">
        <v>5750</v>
      </c>
      <c r="I36" s="164"/>
      <c r="J36" s="104"/>
      <c r="K36" s="282"/>
      <c r="L36" s="282"/>
      <c r="M36" s="363"/>
      <c r="N36" s="363"/>
      <c r="O36" s="145">
        <v>0.0</v>
      </c>
      <c r="P36" s="145">
        <v>1.0</v>
      </c>
      <c r="Q36" s="145">
        <v>1.0</v>
      </c>
      <c r="R36" s="100"/>
      <c r="S36" s="100"/>
      <c r="T36" s="100"/>
      <c r="U36" s="3301"/>
      <c r="V36" s="100"/>
    </row>
    <row r="37" outlineLevel="1">
      <c r="A37" s="146"/>
      <c r="B37" s="147" t="s">
        <v>276</v>
      </c>
      <c r="C37" s="210"/>
      <c r="D37" s="210"/>
      <c r="E37" s="467" t="s">
        <v>5751</v>
      </c>
      <c r="F37" s="138" t="s">
        <v>5752</v>
      </c>
      <c r="G37" s="467" t="s">
        <v>5753</v>
      </c>
      <c r="H37" s="212"/>
      <c r="J37" s="210"/>
      <c r="K37" s="282"/>
      <c r="L37" s="282"/>
      <c r="M37" s="363"/>
      <c r="N37" s="363"/>
      <c r="O37" s="145">
        <v>0.0</v>
      </c>
      <c r="P37" s="145">
        <v>1.0</v>
      </c>
      <c r="Q37" s="145">
        <v>1.0</v>
      </c>
      <c r="R37" s="100"/>
      <c r="S37" s="100"/>
      <c r="T37" s="100"/>
      <c r="U37" s="146"/>
      <c r="V37" s="100"/>
    </row>
    <row r="38" outlineLevel="1">
      <c r="A38" s="156"/>
      <c r="B38" s="147" t="s">
        <v>280</v>
      </c>
      <c r="C38" s="107"/>
      <c r="D38" s="107"/>
      <c r="E38" s="467" t="s">
        <v>5754</v>
      </c>
      <c r="F38" s="138" t="s">
        <v>5755</v>
      </c>
      <c r="G38" s="467" t="s">
        <v>5749</v>
      </c>
      <c r="H38" s="106"/>
      <c r="I38" s="168"/>
      <c r="J38" s="107"/>
      <c r="K38" s="282"/>
      <c r="L38" s="282"/>
      <c r="M38" s="363"/>
      <c r="N38" s="363"/>
      <c r="O38" s="145">
        <v>0.0</v>
      </c>
      <c r="P38" s="145">
        <v>1.0</v>
      </c>
      <c r="Q38" s="145">
        <v>1.0</v>
      </c>
      <c r="R38" s="100"/>
      <c r="S38" s="100"/>
      <c r="T38" s="100"/>
      <c r="U38" s="156"/>
      <c r="V38" s="100"/>
    </row>
    <row r="39" outlineLevel="1">
      <c r="A39" s="133" t="s">
        <v>116</v>
      </c>
      <c r="B39" s="147" t="s">
        <v>152</v>
      </c>
      <c r="C39" s="467" t="s">
        <v>5756</v>
      </c>
      <c r="D39" s="455" t="s">
        <v>600</v>
      </c>
      <c r="E39" s="467" t="s">
        <v>176</v>
      </c>
      <c r="F39" s="138">
        <v>2.4</v>
      </c>
      <c r="G39" s="467" t="s">
        <v>60</v>
      </c>
      <c r="H39" s="163" t="s">
        <v>5757</v>
      </c>
      <c r="I39" s="164"/>
      <c r="J39" s="104"/>
      <c r="K39" s="363"/>
      <c r="L39" s="363"/>
      <c r="M39" s="363"/>
      <c r="N39" s="363"/>
      <c r="O39" s="145">
        <v>0.0</v>
      </c>
      <c r="P39" s="145">
        <v>1.0</v>
      </c>
      <c r="Q39" s="145">
        <v>1.0</v>
      </c>
      <c r="R39" s="100"/>
      <c r="S39" s="100"/>
      <c r="T39" s="100"/>
      <c r="U39" s="3301"/>
      <c r="V39" s="100"/>
    </row>
    <row r="40" outlineLevel="1">
      <c r="A40" s="146"/>
      <c r="B40" s="147" t="s">
        <v>199</v>
      </c>
      <c r="C40" s="216" t="s">
        <v>5758</v>
      </c>
      <c r="D40" s="210"/>
      <c r="E40" s="467" t="s">
        <v>176</v>
      </c>
      <c r="F40" s="138">
        <v>2.4</v>
      </c>
      <c r="G40" s="467" t="s">
        <v>60</v>
      </c>
      <c r="H40" s="212"/>
      <c r="J40" s="210"/>
      <c r="K40" s="363"/>
      <c r="L40" s="363"/>
      <c r="M40" s="363"/>
      <c r="N40" s="363"/>
      <c r="O40" s="145"/>
      <c r="P40" s="145"/>
      <c r="Q40" s="145"/>
      <c r="R40" s="100"/>
      <c r="S40" s="100"/>
      <c r="T40" s="100"/>
      <c r="U40" s="146"/>
      <c r="V40" s="100"/>
    </row>
    <row r="41" outlineLevel="1">
      <c r="A41" s="156"/>
      <c r="B41" s="147" t="s">
        <v>202</v>
      </c>
      <c r="C41" s="216" t="s">
        <v>784</v>
      </c>
      <c r="D41" s="107"/>
      <c r="E41" s="467" t="s">
        <v>128</v>
      </c>
      <c r="F41" s="138">
        <v>12.0</v>
      </c>
      <c r="G41" s="467" t="s">
        <v>95</v>
      </c>
      <c r="H41" s="106"/>
      <c r="I41" s="168"/>
      <c r="J41" s="107"/>
      <c r="K41" s="363"/>
      <c r="L41" s="363"/>
      <c r="M41" s="363"/>
      <c r="N41" s="363"/>
      <c r="O41" s="145">
        <v>0.0</v>
      </c>
      <c r="P41" s="145">
        <v>1.0</v>
      </c>
      <c r="Q41" s="145">
        <v>1.0</v>
      </c>
      <c r="R41" s="100"/>
      <c r="S41" s="100"/>
      <c r="T41" s="100"/>
      <c r="U41" s="156"/>
      <c r="V41" s="100"/>
    </row>
    <row r="42" outlineLevel="1">
      <c r="A42" s="133" t="s">
        <v>124</v>
      </c>
      <c r="B42" s="147" t="s">
        <v>125</v>
      </c>
      <c r="C42" s="216" t="s">
        <v>378</v>
      </c>
      <c r="D42" s="455" t="s">
        <v>936</v>
      </c>
      <c r="E42" s="467" t="s">
        <v>173</v>
      </c>
      <c r="F42" s="138">
        <v>27.599999999999998</v>
      </c>
      <c r="G42" s="467" t="s">
        <v>1187</v>
      </c>
      <c r="H42" s="163" t="s">
        <v>130</v>
      </c>
      <c r="I42" s="164"/>
      <c r="J42" s="104"/>
      <c r="K42" s="282"/>
      <c r="L42" s="282"/>
      <c r="M42" s="363"/>
      <c r="N42" s="363"/>
      <c r="O42" s="145">
        <v>0.0</v>
      </c>
      <c r="P42" s="145">
        <v>1.0</v>
      </c>
      <c r="Q42" s="145">
        <v>1.0</v>
      </c>
      <c r="R42" s="100"/>
      <c r="S42" s="100"/>
      <c r="T42" s="100"/>
      <c r="U42" s="3301"/>
      <c r="V42" s="100"/>
    </row>
    <row r="43" outlineLevel="1">
      <c r="A43" s="156"/>
      <c r="B43" s="147" t="s">
        <v>131</v>
      </c>
      <c r="C43" s="216" t="s">
        <v>1940</v>
      </c>
      <c r="D43" s="107"/>
      <c r="E43" s="467" t="s">
        <v>173</v>
      </c>
      <c r="F43" s="138">
        <v>27.599999999999998</v>
      </c>
      <c r="G43" s="467" t="s">
        <v>1187</v>
      </c>
      <c r="H43" s="106"/>
      <c r="I43" s="168"/>
      <c r="J43" s="107"/>
      <c r="K43" s="282"/>
      <c r="L43" s="282"/>
      <c r="M43" s="363"/>
      <c r="N43" s="363"/>
      <c r="O43" s="145">
        <v>0.0</v>
      </c>
      <c r="P43" s="145">
        <v>1.0</v>
      </c>
      <c r="Q43" s="145">
        <v>1.0</v>
      </c>
      <c r="R43" s="100"/>
      <c r="S43" s="100"/>
      <c r="T43" s="100"/>
      <c r="U43" s="156"/>
      <c r="V43" s="100"/>
    </row>
    <row r="44">
      <c r="A44" s="118"/>
      <c r="B44" s="176"/>
      <c r="C44" s="118"/>
      <c r="D44" s="118"/>
      <c r="E44" s="118"/>
      <c r="F44" s="177"/>
      <c r="G44" s="177"/>
      <c r="H44" s="118"/>
      <c r="I44" s="118"/>
      <c r="J44" s="118"/>
      <c r="K44" s="118"/>
      <c r="L44" s="118"/>
      <c r="M44" s="118"/>
      <c r="N44" s="118"/>
      <c r="O44" s="118"/>
      <c r="P44" s="118"/>
      <c r="Q44" s="118"/>
      <c r="R44" s="118"/>
      <c r="S44" s="118"/>
      <c r="T44" s="118"/>
      <c r="U44" s="118"/>
      <c r="V44" s="118"/>
    </row>
    <row r="45">
      <c r="A45" s="178" t="s">
        <v>133</v>
      </c>
      <c r="B45" s="104"/>
      <c r="C45" s="179"/>
      <c r="D45" s="179"/>
      <c r="E45" s="179"/>
      <c r="F45" s="180"/>
      <c r="G45" s="179"/>
      <c r="H45" s="180"/>
      <c r="I45" s="180"/>
      <c r="J45" s="181"/>
      <c r="K45" s="180"/>
      <c r="L45" s="180"/>
      <c r="M45" s="180"/>
      <c r="N45" s="180"/>
      <c r="O45" s="180"/>
      <c r="P45" s="180"/>
      <c r="Q45" s="180"/>
      <c r="R45" s="180"/>
      <c r="S45" s="180"/>
      <c r="T45" s="180"/>
      <c r="U45" s="180"/>
      <c r="V45" s="180"/>
    </row>
    <row r="46" outlineLevel="1">
      <c r="A46" s="106"/>
      <c r="B46" s="107"/>
      <c r="C46" s="182" t="s">
        <v>48</v>
      </c>
      <c r="D46" s="183" t="s">
        <v>49</v>
      </c>
      <c r="E46" s="182" t="s">
        <v>50</v>
      </c>
      <c r="F46" s="184" t="s">
        <v>51</v>
      </c>
      <c r="G46" s="184" t="s">
        <v>134</v>
      </c>
      <c r="H46" s="185" t="s">
        <v>52</v>
      </c>
      <c r="I46" s="184" t="s">
        <v>135</v>
      </c>
      <c r="J46" s="186" t="s">
        <v>136</v>
      </c>
      <c r="K46" s="184" t="s">
        <v>137</v>
      </c>
      <c r="L46" s="184" t="s">
        <v>138</v>
      </c>
      <c r="M46" s="184" t="s">
        <v>139</v>
      </c>
      <c r="N46" s="184" t="s">
        <v>140</v>
      </c>
      <c r="O46" s="186" t="s">
        <v>141</v>
      </c>
      <c r="P46" s="184" t="s">
        <v>142</v>
      </c>
      <c r="Q46" s="186" t="s">
        <v>143</v>
      </c>
      <c r="R46" s="372" t="s">
        <v>53</v>
      </c>
      <c r="S46" s="110"/>
      <c r="T46" s="110"/>
      <c r="U46" s="110"/>
      <c r="V46" s="109"/>
    </row>
    <row r="47" outlineLevel="1">
      <c r="A47" s="188" t="s">
        <v>144</v>
      </c>
      <c r="B47" s="373" t="s">
        <v>199</v>
      </c>
      <c r="C47" s="239" t="s">
        <v>5759</v>
      </c>
      <c r="D47" s="455" t="s">
        <v>455</v>
      </c>
      <c r="E47" s="401" t="s">
        <v>535</v>
      </c>
      <c r="F47" s="193">
        <v>3.0</v>
      </c>
      <c r="G47" s="193">
        <v>2.55</v>
      </c>
      <c r="H47" s="138" t="s">
        <v>170</v>
      </c>
      <c r="I47" s="455" t="s">
        <v>228</v>
      </c>
      <c r="J47" s="455" t="s">
        <v>2233</v>
      </c>
      <c r="K47" s="138">
        <v>361.0</v>
      </c>
      <c r="L47" s="282"/>
      <c r="M47" s="363"/>
      <c r="N47" s="363"/>
      <c r="O47" s="145">
        <v>0.0</v>
      </c>
      <c r="P47" s="145">
        <v>1.0</v>
      </c>
      <c r="Q47" s="145">
        <v>1.0</v>
      </c>
      <c r="R47" s="163" t="s">
        <v>3746</v>
      </c>
      <c r="S47" s="164"/>
      <c r="T47" s="164"/>
      <c r="U47" s="164"/>
      <c r="V47" s="104"/>
    </row>
    <row r="48" outlineLevel="1">
      <c r="A48" s="146"/>
      <c r="B48" s="373" t="s">
        <v>202</v>
      </c>
      <c r="C48" s="239" t="s">
        <v>593</v>
      </c>
      <c r="D48" s="210"/>
      <c r="E48" s="239" t="s">
        <v>204</v>
      </c>
      <c r="F48" s="138">
        <v>3.5999999999999996</v>
      </c>
      <c r="G48" s="138">
        <v>3.06</v>
      </c>
      <c r="H48" s="138" t="s">
        <v>170</v>
      </c>
      <c r="I48" s="210"/>
      <c r="J48" s="210"/>
      <c r="K48" s="138">
        <v>363.0</v>
      </c>
      <c r="L48" s="282"/>
      <c r="M48" s="363"/>
      <c r="N48" s="363"/>
      <c r="O48" s="145">
        <v>0.0</v>
      </c>
      <c r="P48" s="145">
        <v>1.0</v>
      </c>
      <c r="Q48" s="145">
        <v>1.0</v>
      </c>
      <c r="R48" s="212"/>
      <c r="V48" s="210"/>
    </row>
    <row r="49" outlineLevel="1">
      <c r="A49" s="156"/>
      <c r="B49" s="373" t="s">
        <v>174</v>
      </c>
      <c r="C49" s="239" t="s">
        <v>176</v>
      </c>
      <c r="D49" s="107"/>
      <c r="E49" s="239" t="s">
        <v>213</v>
      </c>
      <c r="F49" s="138">
        <v>1.2</v>
      </c>
      <c r="G49" s="138">
        <v>1.2</v>
      </c>
      <c r="H49" s="138" t="s">
        <v>170</v>
      </c>
      <c r="I49" s="107"/>
      <c r="J49" s="107"/>
      <c r="K49" s="138"/>
      <c r="L49" s="282"/>
      <c r="M49" s="363"/>
      <c r="N49" s="363"/>
      <c r="O49" s="145"/>
      <c r="P49" s="145"/>
      <c r="Q49" s="145"/>
      <c r="R49" s="106"/>
      <c r="S49" s="168"/>
      <c r="T49" s="168"/>
      <c r="U49" s="168"/>
      <c r="V49" s="107"/>
    </row>
    <row r="50" outlineLevel="1">
      <c r="A50" s="213" t="s">
        <v>151</v>
      </c>
      <c r="B50" s="373"/>
      <c r="C50" s="239" t="s">
        <v>373</v>
      </c>
      <c r="D50" s="467" t="s">
        <v>118</v>
      </c>
      <c r="E50" s="239" t="s">
        <v>5760</v>
      </c>
      <c r="F50" s="138" t="s">
        <v>5761</v>
      </c>
      <c r="G50" s="138" t="s">
        <v>5762</v>
      </c>
      <c r="H50" s="138" t="s">
        <v>1808</v>
      </c>
      <c r="I50" s="467" t="s">
        <v>232</v>
      </c>
      <c r="J50" s="467" t="s">
        <v>3632</v>
      </c>
      <c r="K50" s="138">
        <v>45.0</v>
      </c>
      <c r="L50" s="282"/>
      <c r="M50" s="363"/>
      <c r="N50" s="363"/>
      <c r="O50" s="145">
        <v>0.0</v>
      </c>
      <c r="P50" s="145">
        <v>1.0</v>
      </c>
      <c r="Q50" s="145">
        <v>1.0</v>
      </c>
      <c r="R50" s="151"/>
      <c r="S50" s="110"/>
      <c r="T50" s="110"/>
      <c r="U50" s="110"/>
      <c r="V50" s="109"/>
    </row>
    <row r="51" outlineLevel="1">
      <c r="A51" s="188" t="s">
        <v>157</v>
      </c>
      <c r="B51" s="373"/>
      <c r="C51" s="239" t="s">
        <v>305</v>
      </c>
      <c r="D51" s="455" t="s">
        <v>374</v>
      </c>
      <c r="E51" s="239" t="s">
        <v>5763</v>
      </c>
      <c r="F51" s="138" t="s">
        <v>5747</v>
      </c>
      <c r="G51" s="138" t="s">
        <v>5761</v>
      </c>
      <c r="H51" s="138" t="s">
        <v>1808</v>
      </c>
      <c r="I51" s="455" t="s">
        <v>228</v>
      </c>
      <c r="J51" s="455" t="s">
        <v>2233</v>
      </c>
      <c r="K51" s="138">
        <v>57.0</v>
      </c>
      <c r="L51" s="282"/>
      <c r="M51" s="363"/>
      <c r="N51" s="363"/>
      <c r="O51" s="145">
        <v>0.0</v>
      </c>
      <c r="P51" s="145">
        <v>1.0</v>
      </c>
      <c r="Q51" s="145">
        <v>1.0</v>
      </c>
      <c r="R51" s="163"/>
      <c r="S51" s="164"/>
      <c r="T51" s="164"/>
      <c r="U51" s="164"/>
      <c r="V51" s="104"/>
    </row>
    <row r="52" outlineLevel="1">
      <c r="A52" s="156"/>
      <c r="B52" s="373" t="s">
        <v>84</v>
      </c>
      <c r="C52" s="239" t="s">
        <v>460</v>
      </c>
      <c r="D52" s="107"/>
      <c r="E52" s="239" t="s">
        <v>5764</v>
      </c>
      <c r="F52" s="138" t="s">
        <v>4881</v>
      </c>
      <c r="G52" s="138" t="s">
        <v>5765</v>
      </c>
      <c r="H52" s="138" t="s">
        <v>923</v>
      </c>
      <c r="I52" s="107"/>
      <c r="J52" s="107"/>
      <c r="K52" s="138"/>
      <c r="L52" s="282"/>
      <c r="M52" s="363"/>
      <c r="N52" s="363"/>
      <c r="O52" s="145"/>
      <c r="P52" s="145"/>
      <c r="Q52" s="145"/>
      <c r="R52" s="106"/>
      <c r="S52" s="168"/>
      <c r="T52" s="168"/>
      <c r="U52" s="168"/>
      <c r="V52" s="107"/>
    </row>
    <row r="53" outlineLevel="1">
      <c r="A53" s="188" t="s">
        <v>162</v>
      </c>
      <c r="B53" s="373" t="s">
        <v>199</v>
      </c>
      <c r="C53" s="239" t="s">
        <v>5766</v>
      </c>
      <c r="D53" s="455" t="s">
        <v>541</v>
      </c>
      <c r="E53" s="239" t="s">
        <v>204</v>
      </c>
      <c r="F53" s="138">
        <v>3.5999999999999996</v>
      </c>
      <c r="G53" s="138">
        <v>3.06</v>
      </c>
      <c r="H53" s="138" t="s">
        <v>170</v>
      </c>
      <c r="I53" s="455" t="s">
        <v>119</v>
      </c>
      <c r="J53" s="455" t="s">
        <v>5767</v>
      </c>
      <c r="K53" s="138">
        <v>57.0</v>
      </c>
      <c r="L53" s="282"/>
      <c r="M53" s="363"/>
      <c r="N53" s="363"/>
      <c r="O53" s="145">
        <v>0.0</v>
      </c>
      <c r="P53" s="145">
        <v>1.0</v>
      </c>
      <c r="Q53" s="145">
        <v>1.0</v>
      </c>
      <c r="R53" s="163"/>
      <c r="S53" s="164"/>
      <c r="T53" s="164"/>
      <c r="U53" s="164"/>
      <c r="V53" s="104"/>
    </row>
    <row r="54" outlineLevel="1">
      <c r="A54" s="156"/>
      <c r="B54" s="373" t="s">
        <v>202</v>
      </c>
      <c r="C54" s="239" t="s">
        <v>401</v>
      </c>
      <c r="D54" s="107"/>
      <c r="E54" s="239" t="s">
        <v>100</v>
      </c>
      <c r="F54" s="138">
        <v>6.6</v>
      </c>
      <c r="G54" s="138">
        <v>5.61</v>
      </c>
      <c r="H54" s="138" t="s">
        <v>60</v>
      </c>
      <c r="I54" s="107"/>
      <c r="J54" s="107"/>
      <c r="K54" s="138"/>
      <c r="L54" s="282"/>
      <c r="M54" s="363"/>
      <c r="N54" s="363"/>
      <c r="O54" s="145"/>
      <c r="P54" s="145"/>
      <c r="Q54" s="145"/>
      <c r="R54" s="106"/>
      <c r="S54" s="168"/>
      <c r="T54" s="168"/>
      <c r="U54" s="168"/>
      <c r="V54" s="107"/>
    </row>
    <row r="55" outlineLevel="1">
      <c r="A55" s="213" t="s">
        <v>166</v>
      </c>
      <c r="B55" s="373"/>
      <c r="C55" s="239" t="s">
        <v>1918</v>
      </c>
      <c r="D55" s="467" t="s">
        <v>462</v>
      </c>
      <c r="E55" s="239" t="s">
        <v>296</v>
      </c>
      <c r="F55" s="138">
        <v>22.8</v>
      </c>
      <c r="G55" s="138">
        <v>19.38</v>
      </c>
      <c r="H55" s="138" t="s">
        <v>95</v>
      </c>
      <c r="I55" s="467" t="s">
        <v>593</v>
      </c>
      <c r="J55" s="467" t="s">
        <v>2473</v>
      </c>
      <c r="K55" s="282"/>
      <c r="L55" s="282"/>
      <c r="M55" s="363"/>
      <c r="N55" s="363"/>
      <c r="O55" s="145">
        <v>0.0</v>
      </c>
      <c r="P55" s="145">
        <v>1.0</v>
      </c>
      <c r="Q55" s="145">
        <v>1.0</v>
      </c>
      <c r="R55" s="151"/>
      <c r="S55" s="110"/>
      <c r="T55" s="110"/>
      <c r="U55" s="110"/>
      <c r="V55" s="109"/>
    </row>
    <row r="56">
      <c r="A56" s="223"/>
      <c r="B56" s="224"/>
      <c r="C56" s="225"/>
      <c r="D56" s="225"/>
      <c r="E56" s="226"/>
      <c r="F56" s="226"/>
      <c r="G56" s="226"/>
      <c r="H56" s="227"/>
      <c r="I56" s="227"/>
      <c r="J56" s="228"/>
      <c r="K56" s="228"/>
      <c r="L56" s="228"/>
      <c r="M56" s="228"/>
      <c r="N56" s="228"/>
      <c r="O56" s="228"/>
      <c r="P56" s="228"/>
      <c r="Q56" s="118"/>
      <c r="R56" s="118"/>
      <c r="S56" s="118"/>
      <c r="T56" s="118"/>
      <c r="U56" s="118"/>
      <c r="V56" s="118"/>
    </row>
    <row r="57">
      <c r="A57" s="229" t="s">
        <v>177</v>
      </c>
      <c r="B57" s="109"/>
      <c r="C57" s="225"/>
      <c r="D57" s="225"/>
      <c r="E57" s="226"/>
      <c r="F57" s="226"/>
      <c r="G57" s="226"/>
      <c r="H57" s="227"/>
      <c r="I57" s="227"/>
      <c r="J57" s="228"/>
      <c r="K57" s="228"/>
      <c r="L57" s="228"/>
      <c r="M57" s="228"/>
      <c r="N57" s="228"/>
      <c r="O57" s="228"/>
      <c r="P57" s="228"/>
      <c r="Q57" s="118"/>
      <c r="R57" s="118"/>
      <c r="S57" s="118"/>
      <c r="T57" s="118"/>
      <c r="U57" s="118"/>
      <c r="V57" s="118"/>
    </row>
    <row r="58" outlineLevel="1">
      <c r="A58" s="230" t="s">
        <v>5768</v>
      </c>
      <c r="B58" s="109"/>
      <c r="C58" s="231" t="s">
        <v>48</v>
      </c>
      <c r="D58" s="231" t="s">
        <v>49</v>
      </c>
      <c r="E58" s="232" t="s">
        <v>50</v>
      </c>
      <c r="F58" s="233" t="s">
        <v>51</v>
      </c>
      <c r="G58" s="232" t="s">
        <v>52</v>
      </c>
      <c r="H58" s="382" t="s">
        <v>53</v>
      </c>
      <c r="I58" s="110"/>
      <c r="J58" s="109"/>
      <c r="K58" s="235" t="s">
        <v>137</v>
      </c>
      <c r="L58" s="235" t="s">
        <v>138</v>
      </c>
      <c r="M58" s="235" t="s">
        <v>139</v>
      </c>
      <c r="N58" s="235" t="s">
        <v>140</v>
      </c>
      <c r="O58" s="236" t="s">
        <v>141</v>
      </c>
      <c r="P58" s="235" t="s">
        <v>142</v>
      </c>
      <c r="Q58" s="236" t="s">
        <v>143</v>
      </c>
      <c r="R58" s="235" t="s">
        <v>179</v>
      </c>
      <c r="S58" s="236" t="s">
        <v>180</v>
      </c>
      <c r="T58" s="236" t="s">
        <v>181</v>
      </c>
      <c r="U58" s="236" t="s">
        <v>182</v>
      </c>
      <c r="V58" s="3198" t="s">
        <v>183</v>
      </c>
    </row>
    <row r="59" ht="51.75" customHeight="1" outlineLevel="1">
      <c r="A59" s="237" t="s">
        <v>184</v>
      </c>
      <c r="B59" s="243" t="s">
        <v>397</v>
      </c>
      <c r="C59" s="239" t="s">
        <v>5769</v>
      </c>
      <c r="D59" s="239" t="s">
        <v>428</v>
      </c>
      <c r="E59" s="239" t="s">
        <v>129</v>
      </c>
      <c r="F59" s="138">
        <v>14.399999999999999</v>
      </c>
      <c r="G59" s="365" t="s">
        <v>407</v>
      </c>
      <c r="H59" s="163" t="s">
        <v>5770</v>
      </c>
      <c r="I59" s="164"/>
      <c r="J59" s="104"/>
      <c r="K59" s="282"/>
      <c r="L59" s="282"/>
      <c r="M59" s="363"/>
      <c r="N59" s="363"/>
      <c r="O59" s="145">
        <v>0.0</v>
      </c>
      <c r="P59" s="145">
        <v>1.0</v>
      </c>
      <c r="Q59" s="145">
        <v>1.0</v>
      </c>
      <c r="R59" s="145" t="b">
        <v>1</v>
      </c>
      <c r="S59" s="145" t="b">
        <v>1</v>
      </c>
      <c r="T59" s="145"/>
      <c r="U59" s="166" t="s">
        <v>186</v>
      </c>
      <c r="V59" s="166" t="b">
        <v>1</v>
      </c>
    </row>
    <row r="60" ht="51.75" customHeight="1" outlineLevel="1">
      <c r="A60" s="146"/>
      <c r="B60" s="663" t="s">
        <v>340</v>
      </c>
      <c r="C60" s="239" t="s">
        <v>5771</v>
      </c>
      <c r="D60" s="467" t="s">
        <v>5772</v>
      </c>
      <c r="E60" s="239" t="s">
        <v>99</v>
      </c>
      <c r="F60" s="138">
        <v>34.8</v>
      </c>
      <c r="G60" s="239" t="s">
        <v>123</v>
      </c>
      <c r="H60" s="212"/>
      <c r="J60" s="210"/>
      <c r="K60" s="282"/>
      <c r="L60" s="282"/>
      <c r="M60" s="363"/>
      <c r="N60" s="363"/>
      <c r="O60" s="145">
        <v>0.0</v>
      </c>
      <c r="P60" s="145">
        <v>1.0</v>
      </c>
      <c r="Q60" s="145">
        <v>1.0</v>
      </c>
      <c r="R60" s="145" t="b">
        <v>1</v>
      </c>
      <c r="S60" s="145" t="b">
        <v>1</v>
      </c>
      <c r="T60" s="145"/>
      <c r="U60" s="146"/>
      <c r="V60" s="146"/>
    </row>
    <row r="61" ht="51.75" customHeight="1" outlineLevel="1">
      <c r="A61" s="146"/>
      <c r="B61" s="663" t="s">
        <v>222</v>
      </c>
      <c r="C61" s="281"/>
      <c r="D61" s="467" t="s">
        <v>296</v>
      </c>
      <c r="E61" s="541"/>
      <c r="F61" s="3334"/>
      <c r="G61" s="541"/>
      <c r="H61" s="106"/>
      <c r="I61" s="168"/>
      <c r="J61" s="107"/>
      <c r="K61" s="282"/>
      <c r="L61" s="282"/>
      <c r="M61" s="363"/>
      <c r="N61" s="363"/>
      <c r="O61" s="145"/>
      <c r="P61" s="145"/>
      <c r="Q61" s="145"/>
      <c r="R61" s="145" t="b">
        <v>0</v>
      </c>
      <c r="S61" s="145" t="b">
        <v>0</v>
      </c>
      <c r="T61" s="145" t="b">
        <v>0</v>
      </c>
      <c r="U61" s="156"/>
      <c r="V61" s="156"/>
    </row>
    <row r="62" outlineLevel="1">
      <c r="A62" s="230" t="s">
        <v>5773</v>
      </c>
      <c r="B62" s="109"/>
      <c r="C62" s="231" t="s">
        <v>48</v>
      </c>
      <c r="D62" s="231" t="s">
        <v>49</v>
      </c>
      <c r="E62" s="232" t="s">
        <v>50</v>
      </c>
      <c r="F62" s="233" t="s">
        <v>51</v>
      </c>
      <c r="G62" s="232" t="s">
        <v>52</v>
      </c>
      <c r="H62" s="382" t="s">
        <v>53</v>
      </c>
      <c r="I62" s="110"/>
      <c r="J62" s="109"/>
      <c r="K62" s="235" t="s">
        <v>137</v>
      </c>
      <c r="L62" s="235" t="s">
        <v>138</v>
      </c>
      <c r="M62" s="235" t="s">
        <v>139</v>
      </c>
      <c r="N62" s="235" t="s">
        <v>140</v>
      </c>
      <c r="O62" s="236" t="s">
        <v>141</v>
      </c>
      <c r="P62" s="235" t="s">
        <v>142</v>
      </c>
      <c r="Q62" s="236" t="s">
        <v>143</v>
      </c>
      <c r="R62" s="235" t="s">
        <v>179</v>
      </c>
      <c r="S62" s="236" t="s">
        <v>180</v>
      </c>
      <c r="T62" s="236" t="s">
        <v>181</v>
      </c>
      <c r="U62" s="236" t="s">
        <v>182</v>
      </c>
      <c r="V62" s="3198" t="s">
        <v>183</v>
      </c>
    </row>
    <row r="63" ht="26.25" customHeight="1" outlineLevel="1">
      <c r="A63" s="237" t="s">
        <v>332</v>
      </c>
      <c r="B63" s="243" t="s">
        <v>152</v>
      </c>
      <c r="C63" s="239" t="s">
        <v>718</v>
      </c>
      <c r="D63" s="455" t="s">
        <v>901</v>
      </c>
      <c r="E63" s="239" t="s">
        <v>3348</v>
      </c>
      <c r="F63" s="138">
        <v>13.8</v>
      </c>
      <c r="G63" s="239" t="s">
        <v>88</v>
      </c>
      <c r="H63" s="163" t="s">
        <v>5774</v>
      </c>
      <c r="I63" s="164"/>
      <c r="J63" s="104"/>
      <c r="K63" s="282"/>
      <c r="L63" s="282"/>
      <c r="M63" s="363"/>
      <c r="N63" s="363"/>
      <c r="O63" s="145">
        <v>0.0</v>
      </c>
      <c r="P63" s="145">
        <v>1.0</v>
      </c>
      <c r="Q63" s="145">
        <v>1.0</v>
      </c>
      <c r="R63" s="145" t="b">
        <v>1</v>
      </c>
      <c r="S63" s="145" t="b">
        <v>1</v>
      </c>
      <c r="T63" s="145"/>
      <c r="U63" s="166" t="s">
        <v>3287</v>
      </c>
      <c r="V63" s="166" t="b">
        <v>1</v>
      </c>
    </row>
    <row r="64" ht="26.25" customHeight="1" outlineLevel="1">
      <c r="A64" s="146"/>
      <c r="B64" s="243"/>
      <c r="C64" s="239" t="s">
        <v>1065</v>
      </c>
      <c r="D64" s="107"/>
      <c r="E64" s="239" t="s">
        <v>5754</v>
      </c>
      <c r="F64" s="138" t="s">
        <v>5755</v>
      </c>
      <c r="G64" s="162" t="s">
        <v>5775</v>
      </c>
      <c r="H64" s="212"/>
      <c r="J64" s="210"/>
      <c r="K64" s="282"/>
      <c r="L64" s="282"/>
      <c r="M64" s="363"/>
      <c r="N64" s="363"/>
      <c r="O64" s="145"/>
      <c r="P64" s="145"/>
      <c r="Q64" s="145"/>
      <c r="R64" s="145" t="b">
        <v>0</v>
      </c>
      <c r="S64" s="145" t="b">
        <v>0</v>
      </c>
      <c r="T64" s="145" t="b">
        <v>0</v>
      </c>
      <c r="U64" s="146"/>
      <c r="V64" s="146"/>
    </row>
    <row r="65" ht="26.25" customHeight="1" outlineLevel="1">
      <c r="A65" s="237" t="s">
        <v>344</v>
      </c>
      <c r="B65" s="243"/>
      <c r="C65" s="239" t="s">
        <v>1065</v>
      </c>
      <c r="D65" s="450" t="s">
        <v>601</v>
      </c>
      <c r="E65" s="139" t="s">
        <v>5776</v>
      </c>
      <c r="F65" s="463" t="s">
        <v>5777</v>
      </c>
      <c r="G65" s="162" t="s">
        <v>5778</v>
      </c>
      <c r="H65" s="106"/>
      <c r="I65" s="168"/>
      <c r="J65" s="107"/>
      <c r="K65" s="282"/>
      <c r="L65" s="282"/>
      <c r="M65" s="363"/>
      <c r="N65" s="363"/>
      <c r="O65" s="145"/>
      <c r="P65" s="145"/>
      <c r="Q65" s="145"/>
      <c r="R65" s="145" t="b">
        <v>0</v>
      </c>
      <c r="S65" s="145" t="b">
        <v>0</v>
      </c>
      <c r="T65" s="145" t="b">
        <v>0</v>
      </c>
      <c r="U65" s="156"/>
      <c r="V65" s="156"/>
    </row>
    <row r="66" outlineLevel="1">
      <c r="A66" s="230" t="s">
        <v>5779</v>
      </c>
      <c r="B66" s="109"/>
      <c r="C66" s="231" t="s">
        <v>48</v>
      </c>
      <c r="D66" s="231" t="s">
        <v>49</v>
      </c>
      <c r="E66" s="232" t="s">
        <v>50</v>
      </c>
      <c r="F66" s="233" t="s">
        <v>51</v>
      </c>
      <c r="G66" s="232" t="s">
        <v>52</v>
      </c>
      <c r="H66" s="382" t="s">
        <v>53</v>
      </c>
      <c r="I66" s="110"/>
      <c r="J66" s="109"/>
      <c r="K66" s="235" t="s">
        <v>137</v>
      </c>
      <c r="L66" s="235" t="s">
        <v>138</v>
      </c>
      <c r="M66" s="235" t="s">
        <v>139</v>
      </c>
      <c r="N66" s="235" t="s">
        <v>140</v>
      </c>
      <c r="O66" s="236" t="s">
        <v>141</v>
      </c>
      <c r="P66" s="235" t="s">
        <v>142</v>
      </c>
      <c r="Q66" s="236" t="s">
        <v>143</v>
      </c>
      <c r="R66" s="235" t="s">
        <v>179</v>
      </c>
      <c r="S66" s="236" t="s">
        <v>180</v>
      </c>
      <c r="T66" s="236" t="s">
        <v>181</v>
      </c>
      <c r="U66" s="236" t="s">
        <v>182</v>
      </c>
      <c r="V66" s="3198" t="s">
        <v>183</v>
      </c>
    </row>
    <row r="67" outlineLevel="1">
      <c r="A67" s="546" t="s">
        <v>184</v>
      </c>
      <c r="B67" s="402" t="s">
        <v>5780</v>
      </c>
      <c r="C67" s="365" t="s">
        <v>5781</v>
      </c>
      <c r="D67" s="901" t="s">
        <v>374</v>
      </c>
      <c r="E67" s="239" t="s">
        <v>213</v>
      </c>
      <c r="F67" s="138">
        <v>1.2</v>
      </c>
      <c r="G67" s="239" t="s">
        <v>170</v>
      </c>
      <c r="H67" s="386" t="s">
        <v>5782</v>
      </c>
      <c r="I67" s="164"/>
      <c r="J67" s="104"/>
      <c r="K67" s="138"/>
      <c r="L67" s="138"/>
      <c r="M67" s="145"/>
      <c r="N67" s="145"/>
      <c r="O67" s="145">
        <v>0.0</v>
      </c>
      <c r="P67" s="145">
        <v>1.0</v>
      </c>
      <c r="Q67" s="145">
        <v>1.0</v>
      </c>
      <c r="R67" s="145" t="b">
        <v>1</v>
      </c>
      <c r="S67" s="145" t="b">
        <v>1</v>
      </c>
      <c r="T67" s="145"/>
      <c r="U67" s="166" t="s">
        <v>1256</v>
      </c>
      <c r="V67" s="166" t="b">
        <v>1</v>
      </c>
    </row>
    <row r="68" outlineLevel="1">
      <c r="A68" s="146"/>
      <c r="B68" s="402" t="s">
        <v>5783</v>
      </c>
      <c r="C68" s="365" t="s">
        <v>5784</v>
      </c>
      <c r="D68" s="146"/>
      <c r="E68" s="239" t="s">
        <v>5785</v>
      </c>
      <c r="F68" s="138">
        <v>0.012</v>
      </c>
      <c r="G68" s="239" t="s">
        <v>170</v>
      </c>
      <c r="H68" s="212"/>
      <c r="J68" s="210"/>
      <c r="K68" s="138"/>
      <c r="L68" s="138"/>
      <c r="M68" s="145"/>
      <c r="N68" s="145"/>
      <c r="O68" s="145"/>
      <c r="P68" s="145"/>
      <c r="Q68" s="145"/>
      <c r="R68" s="145" t="b">
        <v>0</v>
      </c>
      <c r="S68" s="145" t="b">
        <v>0</v>
      </c>
      <c r="T68" s="145" t="b">
        <v>0</v>
      </c>
      <c r="U68" s="146"/>
      <c r="V68" s="146"/>
    </row>
    <row r="69" outlineLevel="1">
      <c r="A69" s="146"/>
      <c r="B69" s="402" t="s">
        <v>5786</v>
      </c>
      <c r="C69" s="365" t="s">
        <v>5787</v>
      </c>
      <c r="D69" s="146"/>
      <c r="E69" s="239" t="s">
        <v>5785</v>
      </c>
      <c r="F69" s="138">
        <v>0.012</v>
      </c>
      <c r="G69" s="239" t="s">
        <v>170</v>
      </c>
      <c r="H69" s="212"/>
      <c r="J69" s="210"/>
      <c r="K69" s="138"/>
      <c r="L69" s="138"/>
      <c r="M69" s="145"/>
      <c r="N69" s="145"/>
      <c r="O69" s="145"/>
      <c r="P69" s="145"/>
      <c r="Q69" s="145"/>
      <c r="R69" s="145" t="b">
        <v>0</v>
      </c>
      <c r="S69" s="145" t="b">
        <v>0</v>
      </c>
      <c r="T69" s="145" t="b">
        <v>0</v>
      </c>
      <c r="U69" s="146"/>
      <c r="V69" s="146"/>
    </row>
    <row r="70" ht="19.5" customHeight="1" outlineLevel="1">
      <c r="A70" s="146"/>
      <c r="B70" s="402" t="s">
        <v>215</v>
      </c>
      <c r="C70" s="365" t="s">
        <v>3533</v>
      </c>
      <c r="D70" s="156"/>
      <c r="E70" s="239" t="s">
        <v>204</v>
      </c>
      <c r="F70" s="138">
        <v>3.5999999999999996</v>
      </c>
      <c r="G70" s="239" t="s">
        <v>147</v>
      </c>
      <c r="H70" s="212"/>
      <c r="J70" s="210"/>
      <c r="K70" s="138"/>
      <c r="L70" s="138"/>
      <c r="M70" s="145"/>
      <c r="N70" s="145"/>
      <c r="O70" s="145">
        <v>0.0</v>
      </c>
      <c r="P70" s="145">
        <v>1.0</v>
      </c>
      <c r="Q70" s="145">
        <v>1.0</v>
      </c>
      <c r="R70" s="145" t="b">
        <v>1</v>
      </c>
      <c r="S70" s="145" t="b">
        <v>1</v>
      </c>
      <c r="T70" s="145"/>
      <c r="U70" s="146"/>
      <c r="V70" s="146"/>
    </row>
    <row r="71" ht="19.5" customHeight="1" outlineLevel="1">
      <c r="A71" s="156"/>
      <c r="B71" s="402" t="s">
        <v>225</v>
      </c>
      <c r="C71" s="239" t="s">
        <v>232</v>
      </c>
      <c r="D71" s="239" t="s">
        <v>129</v>
      </c>
      <c r="E71" s="239" t="s">
        <v>5788</v>
      </c>
      <c r="F71" s="138" t="s">
        <v>5789</v>
      </c>
      <c r="G71" s="281"/>
      <c r="H71" s="106"/>
      <c r="I71" s="168"/>
      <c r="J71" s="107"/>
      <c r="K71" s="138"/>
      <c r="L71" s="138"/>
      <c r="M71" s="145"/>
      <c r="N71" s="145"/>
      <c r="O71" s="145">
        <v>0.0</v>
      </c>
      <c r="P71" s="145">
        <v>1.0</v>
      </c>
      <c r="Q71" s="145">
        <v>1.0</v>
      </c>
      <c r="R71" s="145" t="b">
        <v>1</v>
      </c>
      <c r="S71" s="145" t="b">
        <v>1</v>
      </c>
      <c r="T71" s="145"/>
      <c r="U71" s="156"/>
      <c r="V71" s="156"/>
    </row>
    <row r="72" outlineLevel="1">
      <c r="A72" s="230" t="s">
        <v>5790</v>
      </c>
      <c r="B72" s="109"/>
      <c r="C72" s="231" t="s">
        <v>48</v>
      </c>
      <c r="D72" s="231" t="s">
        <v>49</v>
      </c>
      <c r="E72" s="232" t="s">
        <v>50</v>
      </c>
      <c r="F72" s="233" t="s">
        <v>51</v>
      </c>
      <c r="G72" s="232" t="s">
        <v>52</v>
      </c>
      <c r="H72" s="382"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3198" t="s">
        <v>183</v>
      </c>
    </row>
    <row r="73" ht="31.5" customHeight="1" outlineLevel="1">
      <c r="A73" s="396" t="s">
        <v>332</v>
      </c>
      <c r="B73" s="402"/>
      <c r="C73" s="239" t="s">
        <v>5791</v>
      </c>
      <c r="D73" s="467" t="s">
        <v>5792</v>
      </c>
      <c r="E73" s="239" t="s">
        <v>164</v>
      </c>
      <c r="F73" s="138">
        <v>36.0</v>
      </c>
      <c r="G73" s="239" t="s">
        <v>697</v>
      </c>
      <c r="H73" s="163" t="s">
        <v>5793</v>
      </c>
      <c r="I73" s="164"/>
      <c r="J73" s="104"/>
      <c r="K73" s="138"/>
      <c r="L73" s="138"/>
      <c r="M73" s="145"/>
      <c r="N73" s="145"/>
      <c r="O73" s="145">
        <v>0.0</v>
      </c>
      <c r="P73" s="145">
        <v>1.0</v>
      </c>
      <c r="Q73" s="145">
        <v>1.0</v>
      </c>
      <c r="R73" s="145" t="b">
        <v>1</v>
      </c>
      <c r="S73" s="145" t="b">
        <v>1</v>
      </c>
      <c r="T73" s="145"/>
      <c r="U73" s="166" t="s">
        <v>3287</v>
      </c>
      <c r="V73" s="166" t="b">
        <v>0</v>
      </c>
    </row>
    <row r="74" ht="31.5" customHeight="1" outlineLevel="1">
      <c r="A74" s="146"/>
      <c r="B74" s="402" t="s">
        <v>1143</v>
      </c>
      <c r="C74" s="239" t="s">
        <v>5794</v>
      </c>
      <c r="D74" s="467" t="s">
        <v>5795</v>
      </c>
      <c r="E74" s="239" t="s">
        <v>164</v>
      </c>
      <c r="F74" s="138">
        <v>36.0</v>
      </c>
      <c r="G74" s="239" t="s">
        <v>697</v>
      </c>
      <c r="H74" s="212"/>
      <c r="J74" s="210"/>
      <c r="K74" s="138"/>
      <c r="L74" s="138"/>
      <c r="M74" s="145"/>
      <c r="N74" s="145"/>
      <c r="O74" s="145"/>
      <c r="P74" s="145"/>
      <c r="Q74" s="145"/>
      <c r="R74" s="145" t="b">
        <v>0</v>
      </c>
      <c r="S74" s="145" t="b">
        <v>0</v>
      </c>
      <c r="T74" s="145" t="b">
        <v>0</v>
      </c>
      <c r="U74" s="146"/>
      <c r="V74" s="146"/>
    </row>
    <row r="75" outlineLevel="1">
      <c r="A75" s="156"/>
      <c r="B75" s="402" t="s">
        <v>2875</v>
      </c>
      <c r="C75" s="239" t="s">
        <v>5796</v>
      </c>
      <c r="D75" s="467" t="s">
        <v>1577</v>
      </c>
      <c r="E75" s="239" t="s">
        <v>80</v>
      </c>
      <c r="F75" s="138">
        <v>9.6</v>
      </c>
      <c r="G75" s="239" t="s">
        <v>123</v>
      </c>
      <c r="H75" s="212"/>
      <c r="J75" s="210"/>
      <c r="K75" s="138"/>
      <c r="L75" s="138"/>
      <c r="M75" s="145"/>
      <c r="N75" s="145"/>
      <c r="O75" s="145"/>
      <c r="P75" s="145"/>
      <c r="Q75" s="145"/>
      <c r="R75" s="145" t="b">
        <v>0</v>
      </c>
      <c r="S75" s="145" t="b">
        <v>0</v>
      </c>
      <c r="T75" s="145" t="b">
        <v>0</v>
      </c>
      <c r="U75" s="146"/>
      <c r="V75" s="146"/>
    </row>
    <row r="76" ht="31.5" customHeight="1" outlineLevel="1">
      <c r="A76" s="396" t="s">
        <v>344</v>
      </c>
      <c r="B76" s="402"/>
      <c r="C76" s="239" t="s">
        <v>5791</v>
      </c>
      <c r="D76" s="467" t="s">
        <v>5792</v>
      </c>
      <c r="E76" s="239" t="s">
        <v>92</v>
      </c>
      <c r="F76" s="138">
        <v>30.0</v>
      </c>
      <c r="G76" s="239" t="s">
        <v>348</v>
      </c>
      <c r="H76" s="212"/>
      <c r="J76" s="210"/>
      <c r="K76" s="138"/>
      <c r="L76" s="138"/>
      <c r="M76" s="145"/>
      <c r="N76" s="145"/>
      <c r="O76" s="145"/>
      <c r="P76" s="145"/>
      <c r="Q76" s="145"/>
      <c r="R76" s="145" t="b">
        <v>0</v>
      </c>
      <c r="S76" s="145" t="b">
        <v>0</v>
      </c>
      <c r="T76" s="145" t="b">
        <v>0</v>
      </c>
      <c r="U76" s="146"/>
      <c r="V76" s="146"/>
    </row>
    <row r="77" ht="31.5" customHeight="1" outlineLevel="1">
      <c r="A77" s="146"/>
      <c r="B77" s="402" t="s">
        <v>1143</v>
      </c>
      <c r="C77" s="239" t="s">
        <v>5794</v>
      </c>
      <c r="D77" s="467" t="s">
        <v>5795</v>
      </c>
      <c r="E77" s="239" t="s">
        <v>92</v>
      </c>
      <c r="F77" s="138">
        <v>30.0</v>
      </c>
      <c r="G77" s="239" t="s">
        <v>348</v>
      </c>
      <c r="H77" s="212"/>
      <c r="J77" s="210"/>
      <c r="K77" s="138"/>
      <c r="L77" s="138"/>
      <c r="M77" s="145"/>
      <c r="N77" s="145"/>
      <c r="O77" s="145"/>
      <c r="P77" s="145"/>
      <c r="Q77" s="145"/>
      <c r="R77" s="145" t="b">
        <v>0</v>
      </c>
      <c r="S77" s="145" t="b">
        <v>0</v>
      </c>
      <c r="T77" s="145" t="b">
        <v>0</v>
      </c>
      <c r="U77" s="146"/>
      <c r="V77" s="146"/>
    </row>
    <row r="78" outlineLevel="1">
      <c r="A78" s="156"/>
      <c r="B78" s="402" t="s">
        <v>5797</v>
      </c>
      <c r="C78" s="239" t="s">
        <v>5796</v>
      </c>
      <c r="D78" s="216" t="s">
        <v>1577</v>
      </c>
      <c r="E78" s="239" t="s">
        <v>86</v>
      </c>
      <c r="F78" s="138">
        <v>7.199999999999999</v>
      </c>
      <c r="G78" s="239" t="s">
        <v>102</v>
      </c>
      <c r="H78" s="106"/>
      <c r="I78" s="168"/>
      <c r="J78" s="107"/>
      <c r="K78" s="138"/>
      <c r="L78" s="138"/>
      <c r="M78" s="145"/>
      <c r="N78" s="145"/>
      <c r="O78" s="145">
        <v>0.0</v>
      </c>
      <c r="P78" s="145">
        <v>1.0</v>
      </c>
      <c r="Q78" s="145">
        <v>1.0</v>
      </c>
      <c r="R78" s="145" t="b">
        <v>1</v>
      </c>
      <c r="S78" s="145" t="b">
        <v>1</v>
      </c>
      <c r="T78" s="145"/>
      <c r="U78" s="156"/>
      <c r="V78" s="156"/>
    </row>
    <row r="79">
      <c r="A79" s="223"/>
      <c r="B79" s="224"/>
      <c r="C79" s="225"/>
      <c r="D79" s="225"/>
      <c r="E79" s="226"/>
      <c r="F79" s="226"/>
      <c r="G79" s="226"/>
      <c r="H79" s="227"/>
      <c r="I79" s="227"/>
      <c r="J79" s="228"/>
      <c r="K79" s="228"/>
      <c r="L79" s="228"/>
      <c r="M79" s="228"/>
      <c r="N79" s="228"/>
      <c r="O79" s="228"/>
      <c r="P79" s="228"/>
      <c r="Q79" s="118"/>
      <c r="R79" s="118"/>
      <c r="S79" s="118"/>
      <c r="T79" s="118"/>
      <c r="U79" s="118"/>
      <c r="V79" s="118"/>
    </row>
    <row r="80">
      <c r="A80" s="264" t="s">
        <v>211</v>
      </c>
      <c r="B80" s="104"/>
      <c r="C80" s="227"/>
      <c r="D80" s="227"/>
      <c r="E80" s="228"/>
      <c r="F80" s="265"/>
      <c r="G80" s="265"/>
      <c r="H80" s="228"/>
      <c r="I80" s="228"/>
      <c r="J80" s="228"/>
      <c r="K80" s="228"/>
      <c r="L80" s="228"/>
      <c r="M80" s="228"/>
      <c r="N80" s="118"/>
      <c r="O80" s="118"/>
      <c r="P80" s="118"/>
      <c r="Q80" s="228"/>
      <c r="R80" s="228"/>
      <c r="S80" s="228"/>
      <c r="T80" s="228"/>
      <c r="U80" s="228"/>
      <c r="V80" s="228"/>
    </row>
    <row r="81" outlineLevel="1">
      <c r="A81" s="106"/>
      <c r="B81" s="107"/>
      <c r="C81" s="266" t="s">
        <v>48</v>
      </c>
      <c r="D81" s="266" t="s">
        <v>49</v>
      </c>
      <c r="E81" s="266" t="s">
        <v>50</v>
      </c>
      <c r="F81" s="267" t="s">
        <v>51</v>
      </c>
      <c r="G81" s="227"/>
      <c r="H81" s="227"/>
      <c r="I81" s="227"/>
      <c r="J81" s="228"/>
      <c r="K81" s="228"/>
      <c r="L81" s="228"/>
      <c r="M81" s="228"/>
      <c r="N81" s="228"/>
      <c r="O81" s="228"/>
      <c r="P81" s="228"/>
      <c r="Q81" s="228"/>
      <c r="R81" s="228"/>
      <c r="S81" s="228"/>
      <c r="T81" s="228"/>
      <c r="U81" s="228"/>
      <c r="V81" s="228"/>
    </row>
    <row r="82" outlineLevel="1">
      <c r="A82" s="268" t="s">
        <v>212</v>
      </c>
      <c r="B82" s="269" t="s">
        <v>212</v>
      </c>
      <c r="C82" s="113" t="s">
        <v>213</v>
      </c>
      <c r="D82" s="113" t="s">
        <v>86</v>
      </c>
      <c r="E82" s="113" t="s">
        <v>1024</v>
      </c>
      <c r="F82" s="138">
        <v>1.8</v>
      </c>
      <c r="G82" s="227"/>
      <c r="H82" s="227"/>
      <c r="I82" s="227"/>
      <c r="J82" s="228"/>
      <c r="K82" s="228"/>
      <c r="L82" s="228"/>
      <c r="M82" s="228"/>
      <c r="N82" s="228"/>
      <c r="O82" s="228"/>
      <c r="P82" s="228"/>
      <c r="Q82" s="228"/>
      <c r="R82" s="228"/>
      <c r="S82" s="228"/>
      <c r="T82" s="228"/>
      <c r="U82" s="228"/>
      <c r="V82" s="228"/>
    </row>
    <row r="83" outlineLevel="1">
      <c r="A83" s="270" t="s">
        <v>215</v>
      </c>
      <c r="B83" s="269" t="s">
        <v>216</v>
      </c>
      <c r="C83" s="113" t="s">
        <v>217</v>
      </c>
      <c r="D83" s="113" t="s">
        <v>118</v>
      </c>
      <c r="E83" s="271"/>
      <c r="F83" s="272"/>
      <c r="G83" s="272"/>
      <c r="H83" s="227"/>
      <c r="I83" s="227"/>
      <c r="J83" s="228"/>
      <c r="K83" s="228"/>
      <c r="L83" s="228"/>
      <c r="M83" s="228"/>
      <c r="N83" s="228"/>
      <c r="O83" s="228"/>
      <c r="P83" s="228"/>
      <c r="Q83" s="228"/>
      <c r="R83" s="228"/>
      <c r="S83" s="228"/>
      <c r="T83" s="228"/>
      <c r="U83" s="228"/>
      <c r="V83" s="228"/>
    </row>
    <row r="84" outlineLevel="1">
      <c r="A84" s="212"/>
      <c r="B84" s="269" t="s">
        <v>219</v>
      </c>
      <c r="C84" s="113" t="s">
        <v>223</v>
      </c>
      <c r="D84" s="113" t="s">
        <v>111</v>
      </c>
      <c r="E84" s="271"/>
      <c r="F84" s="272"/>
      <c r="G84" s="272"/>
      <c r="H84" s="227"/>
      <c r="I84" s="227"/>
      <c r="J84" s="228"/>
      <c r="K84" s="228"/>
      <c r="L84" s="228"/>
      <c r="M84" s="228"/>
      <c r="N84" s="228"/>
      <c r="O84" s="228"/>
      <c r="P84" s="228"/>
      <c r="Q84" s="228"/>
      <c r="R84" s="228"/>
      <c r="S84" s="228"/>
      <c r="T84" s="228"/>
      <c r="U84" s="228"/>
      <c r="V84" s="228"/>
    </row>
    <row r="85" outlineLevel="1">
      <c r="A85" s="106"/>
      <c r="B85" s="269" t="s">
        <v>222</v>
      </c>
      <c r="C85" s="113" t="s">
        <v>299</v>
      </c>
      <c r="D85" s="113" t="s">
        <v>221</v>
      </c>
      <c r="E85" s="227"/>
      <c r="F85" s="272"/>
      <c r="G85" s="272"/>
      <c r="H85" s="227"/>
      <c r="I85" s="227"/>
      <c r="J85" s="228"/>
      <c r="K85" s="228"/>
      <c r="L85" s="228"/>
      <c r="M85" s="228"/>
      <c r="N85" s="228"/>
      <c r="O85" s="228"/>
      <c r="P85" s="228"/>
      <c r="Q85" s="228"/>
      <c r="R85" s="228"/>
      <c r="S85" s="228"/>
      <c r="T85" s="228"/>
      <c r="U85" s="228"/>
      <c r="V85" s="228"/>
    </row>
    <row r="86" outlineLevel="1">
      <c r="A86" s="273" t="s">
        <v>225</v>
      </c>
      <c r="B86" s="109"/>
      <c r="C86" s="266" t="s">
        <v>48</v>
      </c>
      <c r="D86" s="266" t="s">
        <v>49</v>
      </c>
      <c r="E86" s="266" t="s">
        <v>50</v>
      </c>
      <c r="F86" s="267" t="s">
        <v>51</v>
      </c>
      <c r="G86" s="1168" t="s">
        <v>53</v>
      </c>
      <c r="H86" s="110"/>
      <c r="I86" s="110"/>
      <c r="J86" s="109"/>
      <c r="K86" s="275" t="s">
        <v>137</v>
      </c>
      <c r="L86" s="275" t="s">
        <v>138</v>
      </c>
      <c r="M86" s="275" t="s">
        <v>139</v>
      </c>
      <c r="N86" s="275" t="s">
        <v>140</v>
      </c>
      <c r="O86" s="276" t="s">
        <v>141</v>
      </c>
      <c r="P86" s="275" t="s">
        <v>142</v>
      </c>
      <c r="Q86" s="276" t="s">
        <v>143</v>
      </c>
      <c r="R86" s="277"/>
      <c r="S86" s="277"/>
      <c r="T86" s="277"/>
      <c r="U86" s="277"/>
      <c r="V86" s="277"/>
    </row>
    <row r="87" outlineLevel="1">
      <c r="A87" s="278" t="s">
        <v>226</v>
      </c>
      <c r="B87" s="269" t="s">
        <v>227</v>
      </c>
      <c r="C87" s="113" t="s">
        <v>228</v>
      </c>
      <c r="D87" s="279" t="s">
        <v>193</v>
      </c>
      <c r="E87" s="239" t="s">
        <v>204</v>
      </c>
      <c r="F87" s="138">
        <v>3.5999999999999996</v>
      </c>
      <c r="G87" s="1170"/>
      <c r="H87" s="164"/>
      <c r="I87" s="164"/>
      <c r="J87" s="104"/>
      <c r="K87" s="282"/>
      <c r="L87" s="282"/>
      <c r="M87" s="363"/>
      <c r="N87" s="145"/>
      <c r="O87" s="145">
        <v>0.0</v>
      </c>
      <c r="P87" s="145">
        <v>1.0</v>
      </c>
      <c r="Q87" s="145">
        <v>1.0</v>
      </c>
      <c r="R87" s="277"/>
      <c r="S87" s="228"/>
      <c r="T87" s="228"/>
      <c r="U87" s="228"/>
      <c r="V87" s="228"/>
    </row>
    <row r="88" outlineLevel="1">
      <c r="A88" s="156"/>
      <c r="B88" s="269" t="s">
        <v>225</v>
      </c>
      <c r="C88" s="113" t="s">
        <v>119</v>
      </c>
      <c r="D88" s="156"/>
      <c r="E88" s="239" t="s">
        <v>204</v>
      </c>
      <c r="F88" s="138">
        <v>3.5999999999999996</v>
      </c>
      <c r="G88" s="106"/>
      <c r="H88" s="168"/>
      <c r="I88" s="168"/>
      <c r="J88" s="107"/>
      <c r="K88" s="282"/>
      <c r="L88" s="282"/>
      <c r="M88" s="363"/>
      <c r="N88" s="145"/>
      <c r="O88" s="261"/>
      <c r="P88" s="261"/>
      <c r="Q88" s="261"/>
      <c r="R88" s="277"/>
      <c r="S88" s="228"/>
      <c r="T88" s="228"/>
      <c r="U88" s="228"/>
      <c r="V88" s="228"/>
    </row>
    <row r="89" outlineLevel="1">
      <c r="A89" s="278" t="s">
        <v>229</v>
      </c>
      <c r="B89" s="269" t="s">
        <v>5798</v>
      </c>
      <c r="C89" s="113" t="s">
        <v>373</v>
      </c>
      <c r="D89" s="279" t="s">
        <v>127</v>
      </c>
      <c r="E89" s="239" t="s">
        <v>150</v>
      </c>
      <c r="F89" s="138">
        <v>6.0</v>
      </c>
      <c r="G89" s="283" t="s">
        <v>231</v>
      </c>
      <c r="H89" s="164"/>
      <c r="I89" s="164"/>
      <c r="J89" s="104"/>
      <c r="K89" s="282"/>
      <c r="L89" s="282"/>
      <c r="M89" s="363"/>
      <c r="N89" s="363"/>
      <c r="O89" s="145">
        <v>0.0</v>
      </c>
      <c r="P89" s="145">
        <v>1.0</v>
      </c>
      <c r="Q89" s="145">
        <v>1.0</v>
      </c>
      <c r="R89" s="277"/>
      <c r="S89" s="228"/>
      <c r="T89" s="228"/>
      <c r="U89" s="228"/>
      <c r="V89" s="228"/>
    </row>
    <row r="90" outlineLevel="1">
      <c r="A90" s="146"/>
      <c r="B90" s="269" t="s">
        <v>4569</v>
      </c>
      <c r="C90" s="113" t="s">
        <v>377</v>
      </c>
      <c r="D90" s="146"/>
      <c r="E90" s="239" t="s">
        <v>150</v>
      </c>
      <c r="F90" s="138">
        <v>6.0</v>
      </c>
      <c r="G90" s="212"/>
      <c r="J90" s="210"/>
      <c r="K90" s="282"/>
      <c r="L90" s="282"/>
      <c r="M90" s="363"/>
      <c r="N90" s="363"/>
      <c r="O90" s="261"/>
      <c r="P90" s="261"/>
      <c r="Q90" s="261"/>
      <c r="R90" s="277"/>
      <c r="S90" s="228"/>
      <c r="T90" s="228"/>
      <c r="U90" s="228"/>
      <c r="V90" s="228"/>
    </row>
    <row r="91" outlineLevel="1">
      <c r="A91" s="156"/>
      <c r="B91" s="269" t="s">
        <v>225</v>
      </c>
      <c r="C91" s="113" t="s">
        <v>164</v>
      </c>
      <c r="D91" s="156"/>
      <c r="E91" s="239" t="s">
        <v>93</v>
      </c>
      <c r="F91" s="138">
        <v>8.4</v>
      </c>
      <c r="G91" s="106"/>
      <c r="H91" s="168"/>
      <c r="I91" s="168"/>
      <c r="J91" s="107"/>
      <c r="K91" s="282"/>
      <c r="L91" s="282"/>
      <c r="M91" s="363"/>
      <c r="N91" s="363"/>
      <c r="O91" s="261"/>
      <c r="P91" s="261"/>
      <c r="Q91" s="261"/>
      <c r="R91" s="277"/>
      <c r="S91" s="228"/>
      <c r="T91" s="228"/>
      <c r="U91" s="228"/>
      <c r="V91" s="228"/>
    </row>
    <row r="92" outlineLevel="1">
      <c r="A92" s="278" t="s">
        <v>233</v>
      </c>
      <c r="B92" s="269" t="s">
        <v>227</v>
      </c>
      <c r="C92" s="113" t="s">
        <v>119</v>
      </c>
      <c r="D92" s="279" t="s">
        <v>79</v>
      </c>
      <c r="E92" s="239" t="s">
        <v>86</v>
      </c>
      <c r="F92" s="138">
        <v>7.199999999999999</v>
      </c>
      <c r="G92" s="1170"/>
      <c r="H92" s="164"/>
      <c r="I92" s="164"/>
      <c r="J92" s="104"/>
      <c r="K92" s="282"/>
      <c r="L92" s="282"/>
      <c r="M92" s="363"/>
      <c r="N92" s="363"/>
      <c r="O92" s="145">
        <v>0.0</v>
      </c>
      <c r="P92" s="145">
        <v>1.0</v>
      </c>
      <c r="Q92" s="145">
        <v>1.0</v>
      </c>
      <c r="R92" s="277"/>
      <c r="S92" s="228"/>
      <c r="T92" s="228"/>
      <c r="U92" s="228"/>
      <c r="V92" s="228"/>
    </row>
    <row r="93" outlineLevel="1">
      <c r="A93" s="156"/>
      <c r="B93" s="269" t="s">
        <v>225</v>
      </c>
      <c r="C93" s="113" t="s">
        <v>386</v>
      </c>
      <c r="D93" s="156"/>
      <c r="E93" s="239" t="s">
        <v>204</v>
      </c>
      <c r="F93" s="138">
        <v>3.5999999999999996</v>
      </c>
      <c r="G93" s="106"/>
      <c r="H93" s="168"/>
      <c r="I93" s="168"/>
      <c r="J93" s="107"/>
      <c r="K93" s="282"/>
      <c r="L93" s="282"/>
      <c r="M93" s="363"/>
      <c r="N93" s="363"/>
      <c r="O93" s="261"/>
      <c r="P93" s="261"/>
      <c r="Q93" s="261"/>
      <c r="R93" s="277"/>
      <c r="S93" s="117"/>
      <c r="T93" s="117"/>
      <c r="U93" s="117"/>
      <c r="V93" s="117"/>
    </row>
    <row r="94" outlineLevel="1">
      <c r="A94" s="278" t="s">
        <v>234</v>
      </c>
      <c r="B94" s="269" t="s">
        <v>227</v>
      </c>
      <c r="C94" s="113" t="s">
        <v>129</v>
      </c>
      <c r="D94" s="279" t="s">
        <v>271</v>
      </c>
      <c r="E94" s="239" t="s">
        <v>204</v>
      </c>
      <c r="F94" s="138">
        <v>3.5999999999999996</v>
      </c>
      <c r="G94" s="1170"/>
      <c r="H94" s="164"/>
      <c r="I94" s="164"/>
      <c r="J94" s="104"/>
      <c r="K94" s="282"/>
      <c r="L94" s="282"/>
      <c r="M94" s="363"/>
      <c r="N94" s="363"/>
      <c r="O94" s="145">
        <v>0.0</v>
      </c>
      <c r="P94" s="145">
        <v>1.0</v>
      </c>
      <c r="Q94" s="145">
        <v>1.0</v>
      </c>
      <c r="R94" s="277"/>
      <c r="S94" s="117"/>
      <c r="T94" s="117"/>
      <c r="U94" s="117"/>
      <c r="V94" s="117"/>
    </row>
    <row r="95" outlineLevel="1">
      <c r="A95" s="156"/>
      <c r="B95" s="269" t="s">
        <v>225</v>
      </c>
      <c r="C95" s="113" t="s">
        <v>228</v>
      </c>
      <c r="D95" s="156"/>
      <c r="E95" s="239" t="s">
        <v>176</v>
      </c>
      <c r="F95" s="138">
        <v>2.4</v>
      </c>
      <c r="G95" s="106"/>
      <c r="H95" s="168"/>
      <c r="I95" s="168"/>
      <c r="J95" s="107"/>
      <c r="K95" s="282"/>
      <c r="L95" s="282"/>
      <c r="M95" s="363"/>
      <c r="N95" s="363"/>
      <c r="O95" s="261"/>
      <c r="P95" s="261"/>
      <c r="Q95" s="261"/>
      <c r="R95" s="277"/>
      <c r="S95" s="117"/>
      <c r="T95" s="117"/>
      <c r="U95" s="117"/>
      <c r="V95" s="117"/>
    </row>
    <row r="96">
      <c r="A96" s="223"/>
      <c r="B96" s="224"/>
      <c r="C96" s="225"/>
      <c r="D96" s="225"/>
      <c r="E96" s="227"/>
      <c r="F96" s="177"/>
      <c r="G96" s="177"/>
      <c r="H96" s="227"/>
      <c r="I96" s="227"/>
      <c r="J96" s="228"/>
      <c r="K96" s="228"/>
      <c r="L96" s="111"/>
      <c r="M96" s="111"/>
      <c r="N96" s="111"/>
      <c r="O96" s="117"/>
      <c r="P96" s="117"/>
      <c r="Q96" s="111"/>
      <c r="R96" s="111"/>
      <c r="S96" s="111"/>
      <c r="T96" s="111"/>
      <c r="U96" s="111"/>
      <c r="V96" s="111"/>
    </row>
    <row r="97">
      <c r="A97" s="284" t="s">
        <v>241</v>
      </c>
      <c r="B97" s="104"/>
      <c r="C97" s="265"/>
      <c r="D97" s="111"/>
      <c r="E97" s="111"/>
      <c r="F97" s="111"/>
      <c r="G97" s="111"/>
      <c r="H97" s="111"/>
      <c r="I97" s="111"/>
      <c r="J97" s="118"/>
      <c r="K97" s="111"/>
      <c r="L97" s="111"/>
      <c r="M97" s="111"/>
      <c r="N97" s="111"/>
      <c r="O97" s="111"/>
      <c r="P97" s="111"/>
      <c r="Q97" s="118"/>
      <c r="R97" s="111"/>
      <c r="S97" s="111"/>
      <c r="T97" s="111"/>
      <c r="U97" s="111"/>
      <c r="V97" s="111"/>
    </row>
    <row r="98" outlineLevel="1">
      <c r="A98" s="106"/>
      <c r="B98" s="107"/>
      <c r="C98" s="285" t="s">
        <v>235</v>
      </c>
      <c r="D98" s="285" t="s">
        <v>236</v>
      </c>
      <c r="E98" s="285" t="s">
        <v>49</v>
      </c>
      <c r="F98" s="285" t="s">
        <v>237</v>
      </c>
      <c r="G98" s="286"/>
      <c r="H98" s="227"/>
      <c r="I98" s="227"/>
      <c r="J98" s="228"/>
      <c r="K98" s="228"/>
      <c r="L98" s="111"/>
      <c r="M98" s="111"/>
      <c r="N98" s="111"/>
      <c r="O98" s="111"/>
      <c r="P98" s="111"/>
      <c r="Q98" s="111"/>
      <c r="R98" s="111"/>
      <c r="S98" s="111"/>
      <c r="T98" s="111"/>
      <c r="U98" s="111"/>
      <c r="V98" s="111"/>
    </row>
    <row r="99" outlineLevel="1">
      <c r="A99" s="287" t="s">
        <v>395</v>
      </c>
      <c r="B99" s="288" t="s">
        <v>216</v>
      </c>
      <c r="C99" s="113" t="s">
        <v>799</v>
      </c>
      <c r="D99" s="113" t="s">
        <v>5521</v>
      </c>
      <c r="E99" s="113" t="s">
        <v>5733</v>
      </c>
      <c r="F99" s="113" t="s">
        <v>5734</v>
      </c>
      <c r="G99" s="272"/>
      <c r="H99" s="227"/>
      <c r="I99" s="227"/>
      <c r="J99" s="228"/>
      <c r="K99" s="228"/>
      <c r="L99" s="228"/>
      <c r="M99" s="111"/>
      <c r="N99" s="111"/>
      <c r="O99" s="111"/>
      <c r="P99" s="111"/>
      <c r="Q99" s="111"/>
      <c r="R99" s="111"/>
      <c r="S99" s="111"/>
      <c r="T99" s="111"/>
      <c r="U99" s="111"/>
      <c r="V99" s="111"/>
    </row>
    <row r="100" outlineLevel="1">
      <c r="A100" s="212"/>
      <c r="B100" s="288" t="s">
        <v>245</v>
      </c>
      <c r="C100" s="113" t="s">
        <v>5736</v>
      </c>
      <c r="D100" s="113" t="s">
        <v>2218</v>
      </c>
      <c r="E100" s="113" t="s">
        <v>99</v>
      </c>
      <c r="F100" s="113">
        <v>38.0</v>
      </c>
      <c r="G100" s="289"/>
      <c r="H100" s="227"/>
      <c r="I100" s="227"/>
      <c r="J100" s="228"/>
      <c r="K100" s="228"/>
      <c r="L100" s="228"/>
      <c r="M100" s="228"/>
      <c r="N100" s="228"/>
      <c r="O100" s="111"/>
      <c r="P100" s="111"/>
      <c r="Q100" s="111"/>
      <c r="R100" s="111"/>
      <c r="S100" s="111"/>
      <c r="T100" s="111"/>
      <c r="U100" s="111"/>
      <c r="V100" s="111"/>
    </row>
    <row r="101" outlineLevel="1">
      <c r="A101" s="106"/>
      <c r="B101" s="288" t="s">
        <v>246</v>
      </c>
      <c r="C101" s="113" t="s">
        <v>5737</v>
      </c>
      <c r="D101" s="113" t="s">
        <v>1886</v>
      </c>
      <c r="E101" s="113" t="s">
        <v>218</v>
      </c>
      <c r="F101" s="113" t="s">
        <v>455</v>
      </c>
      <c r="G101" s="289"/>
      <c r="H101" s="290"/>
      <c r="I101" s="290"/>
      <c r="J101" s="117"/>
      <c r="K101" s="117"/>
      <c r="L101" s="117"/>
      <c r="M101" s="117"/>
      <c r="N101" s="117"/>
      <c r="O101" s="111"/>
      <c r="P101" s="111"/>
      <c r="Q101" s="111"/>
      <c r="R101" s="111"/>
      <c r="S101" s="111"/>
      <c r="T101" s="111"/>
      <c r="U101" s="111"/>
      <c r="V101" s="111"/>
    </row>
    <row r="102" outlineLevel="1">
      <c r="A102" s="287" t="s">
        <v>396</v>
      </c>
      <c r="B102" s="288" t="s">
        <v>397</v>
      </c>
      <c r="C102" s="113" t="s">
        <v>1324</v>
      </c>
      <c r="D102" s="113" t="s">
        <v>149</v>
      </c>
      <c r="E102" s="113" t="s">
        <v>185</v>
      </c>
      <c r="F102" s="177"/>
      <c r="G102" s="177"/>
      <c r="H102" s="118"/>
      <c r="I102" s="118"/>
      <c r="J102" s="111"/>
      <c r="K102" s="111"/>
      <c r="L102" s="111"/>
      <c r="M102" s="111"/>
      <c r="N102" s="111"/>
      <c r="O102" s="228"/>
      <c r="P102" s="228"/>
      <c r="Q102" s="228"/>
      <c r="R102" s="228"/>
      <c r="S102" s="228"/>
      <c r="T102" s="228"/>
      <c r="U102" s="228"/>
      <c r="V102" s="228"/>
    </row>
    <row r="103" outlineLevel="1">
      <c r="A103" s="106"/>
      <c r="B103" s="288" t="s">
        <v>398</v>
      </c>
      <c r="C103" s="113" t="s">
        <v>5738</v>
      </c>
      <c r="D103" s="113" t="s">
        <v>5739</v>
      </c>
      <c r="E103" s="113" t="s">
        <v>5799</v>
      </c>
      <c r="F103" s="289"/>
      <c r="G103" s="289"/>
      <c r="H103" s="118"/>
      <c r="I103" s="118"/>
      <c r="J103" s="117"/>
      <c r="K103" s="117"/>
      <c r="L103" s="117"/>
      <c r="M103" s="117"/>
      <c r="N103" s="111"/>
      <c r="O103" s="118"/>
      <c r="P103" s="118"/>
      <c r="Q103" s="118"/>
      <c r="R103" s="118"/>
      <c r="S103" s="118"/>
      <c r="T103" s="118"/>
      <c r="U103" s="118"/>
      <c r="V103" s="118"/>
    </row>
    <row r="104">
      <c r="A104" s="291"/>
      <c r="B104" s="292"/>
      <c r="C104" s="286"/>
      <c r="D104" s="286"/>
      <c r="E104" s="293"/>
      <c r="F104" s="286"/>
      <c r="G104" s="286"/>
      <c r="H104" s="286"/>
      <c r="I104" s="286"/>
      <c r="J104" s="111"/>
      <c r="K104" s="227"/>
      <c r="L104" s="227"/>
      <c r="M104" s="227"/>
      <c r="N104" s="227"/>
      <c r="O104" s="118"/>
      <c r="P104" s="118"/>
      <c r="Q104" s="118"/>
      <c r="R104" s="118"/>
      <c r="S104" s="118"/>
      <c r="T104" s="118"/>
      <c r="U104" s="118"/>
      <c r="V104" s="118"/>
    </row>
    <row r="105">
      <c r="A105" s="294" t="s">
        <v>238</v>
      </c>
      <c r="B105" s="104"/>
      <c r="C105" s="228"/>
      <c r="D105" s="117"/>
      <c r="E105" s="228"/>
      <c r="F105" s="114"/>
      <c r="G105" s="114"/>
      <c r="H105" s="117"/>
      <c r="I105" s="117"/>
      <c r="J105" s="118"/>
      <c r="K105" s="118"/>
      <c r="L105" s="118"/>
      <c r="M105" s="118"/>
      <c r="N105" s="118"/>
      <c r="O105" s="118"/>
      <c r="P105" s="118"/>
      <c r="Q105" s="118"/>
      <c r="R105" s="118"/>
      <c r="S105" s="118"/>
      <c r="T105" s="118"/>
      <c r="U105" s="118"/>
      <c r="V105" s="118"/>
    </row>
    <row r="106" outlineLevel="1">
      <c r="A106" s="106"/>
      <c r="B106" s="107"/>
      <c r="C106" s="295" t="s">
        <v>235</v>
      </c>
      <c r="D106" s="295" t="s">
        <v>49</v>
      </c>
      <c r="E106" s="295" t="s">
        <v>48</v>
      </c>
      <c r="F106" s="295" t="s">
        <v>50</v>
      </c>
      <c r="G106" s="296" t="s">
        <v>51</v>
      </c>
      <c r="H106" s="228"/>
      <c r="I106" s="228"/>
      <c r="J106" s="117"/>
      <c r="K106" s="297" t="s">
        <v>256</v>
      </c>
      <c r="L106" s="109"/>
      <c r="M106" s="298" t="s">
        <v>257</v>
      </c>
      <c r="N106" s="298" t="s">
        <v>49</v>
      </c>
      <c r="O106" s="118"/>
      <c r="P106" s="118"/>
      <c r="Q106" s="118"/>
      <c r="R106" s="118"/>
      <c r="S106" s="118"/>
      <c r="T106" s="118"/>
      <c r="U106" s="118"/>
      <c r="V106" s="118"/>
    </row>
    <row r="107" outlineLevel="1">
      <c r="A107" s="299" t="s">
        <v>239</v>
      </c>
      <c r="B107" s="300" t="s">
        <v>240</v>
      </c>
      <c r="C107" s="301"/>
      <c r="D107" s="113">
        <v>19.0</v>
      </c>
      <c r="E107" s="301"/>
      <c r="F107" s="301"/>
      <c r="G107" s="301"/>
      <c r="H107" s="228"/>
      <c r="I107" s="228"/>
      <c r="J107" s="111"/>
      <c r="K107" s="302" t="s">
        <v>258</v>
      </c>
      <c r="L107" s="303" t="s">
        <v>216</v>
      </c>
      <c r="M107" s="113" t="str">
        <f t="array" ref="M107">INDEX('アイテム'!$C$3:$D$115, MATCH($A$1,'アイテム'!$A$3:$A$115,0), MATCH(M$106,'アイテム'!$C$2:$AK$2,0))</f>
        <v>2</v>
      </c>
      <c r="N107" s="113">
        <f t="array" ref="N107">INDEX('アイテム'!$C$3:$D$115, MATCH($A$1,'アイテム'!$A$3:$A$115,0), MATCH(N$106,'アイテム'!$C$2:$AK$2,0))</f>
        <v>7</v>
      </c>
      <c r="O107" s="118"/>
      <c r="P107" s="118"/>
      <c r="Q107" s="118"/>
      <c r="R107" s="118"/>
      <c r="S107" s="118"/>
      <c r="T107" s="118"/>
      <c r="U107" s="118"/>
      <c r="V107" s="118"/>
    </row>
    <row r="108" outlineLevel="1">
      <c r="A108" s="146"/>
      <c r="B108" s="300" t="s">
        <v>216</v>
      </c>
      <c r="C108" s="113" t="s">
        <v>871</v>
      </c>
      <c r="D108" s="113">
        <v>34.0</v>
      </c>
      <c r="E108" s="301"/>
      <c r="F108" s="301"/>
      <c r="G108" s="301"/>
      <c r="H108" s="228"/>
      <c r="I108" s="228"/>
      <c r="J108" s="117"/>
      <c r="K108" s="156"/>
      <c r="L108" s="303" t="s">
        <v>5389</v>
      </c>
      <c r="M108" s="113" t="str">
        <f t="array" ref="M108">INDEX('アイテム'!$E$3:$F$115, MATCH($A$1,'アイテム'!$A$3:$A$115,0), MATCH(M$106,'アイテム'!$E$2:$AK$2,0))</f>
        <v>2</v>
      </c>
      <c r="N108" s="113">
        <f t="array" ref="N108">INDEX('アイテム'!$E$3:$F$115, MATCH($A$1,'アイテム'!$A$3:$A$115,0), MATCH(N$106,'アイテム'!$E$2:$AK$2,0))</f>
        <v>19</v>
      </c>
      <c r="O108" s="118"/>
      <c r="P108" s="118"/>
      <c r="Q108" s="118"/>
      <c r="R108" s="118"/>
      <c r="S108" s="118"/>
      <c r="T108" s="118"/>
      <c r="U108" s="118"/>
      <c r="V108" s="118"/>
    </row>
    <row r="109" outlineLevel="1">
      <c r="A109" s="146"/>
      <c r="B109" s="300" t="s">
        <v>241</v>
      </c>
      <c r="C109" s="113" t="s">
        <v>2087</v>
      </c>
      <c r="D109" s="113">
        <v>45.0</v>
      </c>
      <c r="E109" s="301"/>
      <c r="F109" s="301"/>
      <c r="G109" s="301"/>
      <c r="H109" s="228"/>
      <c r="I109" s="228"/>
      <c r="J109" s="111"/>
      <c r="K109" s="304" t="s">
        <v>260</v>
      </c>
      <c r="L109" s="109"/>
      <c r="M109" s="298" t="s">
        <v>261</v>
      </c>
      <c r="N109" s="298" t="s">
        <v>49</v>
      </c>
      <c r="O109" s="118"/>
      <c r="P109" s="118"/>
      <c r="Q109" s="118"/>
      <c r="R109" s="118"/>
      <c r="S109" s="118"/>
      <c r="T109" s="118"/>
      <c r="U109" s="118"/>
      <c r="V109" s="118"/>
    </row>
    <row r="110" outlineLevel="1">
      <c r="A110" s="146"/>
      <c r="B110" s="300" t="s">
        <v>242</v>
      </c>
      <c r="C110" s="113" t="s">
        <v>873</v>
      </c>
      <c r="D110" s="113">
        <v>14.0</v>
      </c>
      <c r="E110" s="301"/>
      <c r="F110" s="301"/>
      <c r="G110" s="301"/>
      <c r="H110" s="228"/>
      <c r="I110" s="228"/>
      <c r="J110" s="117"/>
      <c r="K110" s="305" t="s">
        <v>262</v>
      </c>
      <c r="L110" s="303" t="s">
        <v>226</v>
      </c>
      <c r="M110" s="113" t="str">
        <f t="array" ref="M110">INDEX('アイテム'!$G$3:$H$115, MATCH($A$1,'アイテム'!$A$3:$A$115,0), MATCH(M$109,'アイテム'!$G$2:$AK$2,0))</f>
        <v>8</v>
      </c>
      <c r="N110" s="113">
        <f t="array" ref="N110">INDEX('アイテム'!$G$3:$H$115, MATCH($A$1,'アイテム'!$A$3:$A$115,0), MATCH(N$109,'アイテム'!$G$2:$AK$2,0))</f>
        <v>24</v>
      </c>
      <c r="O110" s="111"/>
      <c r="P110" s="111"/>
      <c r="Q110" s="111"/>
      <c r="R110" s="111"/>
      <c r="S110" s="111"/>
      <c r="T110" s="111"/>
      <c r="U110" s="111"/>
      <c r="V110" s="111"/>
    </row>
    <row r="111" outlineLevel="1">
      <c r="A111" s="156"/>
      <c r="B111" s="300" t="s">
        <v>243</v>
      </c>
      <c r="C111" s="113" t="s">
        <v>2699</v>
      </c>
      <c r="D111" s="113">
        <v>55.0</v>
      </c>
      <c r="E111" s="113" t="s">
        <v>4135</v>
      </c>
      <c r="F111" s="113">
        <v>9.0</v>
      </c>
      <c r="G111" s="113">
        <v>10.799999999999999</v>
      </c>
      <c r="H111" s="228"/>
      <c r="I111" s="228"/>
      <c r="J111" s="111"/>
      <c r="K111" s="146"/>
      <c r="L111" s="303" t="s">
        <v>229</v>
      </c>
      <c r="M111" s="113" t="str">
        <f t="array" ref="M111">INDEX('アイテム'!$I$3:$J$115, MATCH($A$1,'アイテム'!$A$3:$A$115,0), MATCH(M$109,'アイテム'!$I$2:$AK$2,0))</f>
        <v>11</v>
      </c>
      <c r="N111" s="113">
        <f t="array" ref="N111">INDEX('アイテム'!$I$3:$J$115, MATCH($A$1,'アイテム'!$A$3:$A$115,0), MATCH(N$109,'アイテム'!$I$2:$AK$2,0))</f>
        <v>24</v>
      </c>
      <c r="O111" s="111"/>
      <c r="P111" s="111"/>
      <c r="Q111" s="111"/>
      <c r="R111" s="111"/>
      <c r="S111" s="111"/>
      <c r="T111" s="111"/>
      <c r="U111" s="111"/>
      <c r="V111" s="111"/>
    </row>
    <row r="112" outlineLevel="1">
      <c r="A112" s="299" t="s">
        <v>244</v>
      </c>
      <c r="B112" s="300" t="s">
        <v>216</v>
      </c>
      <c r="C112" s="113" t="s">
        <v>875</v>
      </c>
      <c r="D112" s="113">
        <v>26.0</v>
      </c>
      <c r="E112" s="301"/>
      <c r="F112" s="301"/>
      <c r="G112" s="301"/>
      <c r="H112" s="228"/>
      <c r="I112" s="228"/>
      <c r="J112" s="117"/>
      <c r="K112" s="146"/>
      <c r="L112" s="303" t="s">
        <v>233</v>
      </c>
      <c r="M112" s="113" t="str">
        <f t="array" ref="M112">INDEX('アイテム'!$K$3:$L$115, MATCH($A$1,'アイテム'!$A$3:$A$115,0), MATCH(M$109,'アイテム'!$K$2:$AK$2,0))</f>
        <v>12</v>
      </c>
      <c r="N112" s="113">
        <f t="array" ref="N112">INDEX('アイテム'!$K$3:$L$115, MATCH($A$1,'アイテム'!$A$3:$A$115,0), MATCH(N$109,'アイテム'!$K$2:$AK$2,0))</f>
        <v>23</v>
      </c>
      <c r="O112" s="228"/>
      <c r="P112" s="228"/>
      <c r="Q112" s="228"/>
      <c r="R112" s="228"/>
      <c r="S112" s="228"/>
      <c r="T112" s="228"/>
      <c r="U112" s="228"/>
      <c r="V112" s="228"/>
    </row>
    <row r="113" outlineLevel="1">
      <c r="A113" s="146"/>
      <c r="B113" s="300" t="s">
        <v>245</v>
      </c>
      <c r="C113" s="113" t="s">
        <v>875</v>
      </c>
      <c r="D113" s="113">
        <v>40.0</v>
      </c>
      <c r="E113" s="301"/>
      <c r="F113" s="301"/>
      <c r="G113" s="301"/>
      <c r="H113" s="228"/>
      <c r="I113" s="228"/>
      <c r="J113" s="111"/>
      <c r="K113" s="146"/>
      <c r="L113" s="303" t="s">
        <v>234</v>
      </c>
      <c r="M113" s="113" t="str">
        <f t="array" ref="M113">INDEX('アイテム'!$M$3:$N$115, MATCH($A$1,'アイテム'!$A$3:$A$115,0), MATCH(M$109,'アイテム'!$M$2:$AK$2,0))</f>
        <v>7</v>
      </c>
      <c r="N113" s="113">
        <f t="array" ref="N113">INDEX('アイテム'!$M$3:$N$115, MATCH($A$1,'アイテム'!$A$3:$A$115,0), MATCH(N$109,'アイテム'!$M$2:$AK$2,0))</f>
        <v>19</v>
      </c>
      <c r="O113" s="118"/>
      <c r="P113" s="118"/>
      <c r="Q113" s="118"/>
      <c r="R113" s="118"/>
      <c r="S113" s="118"/>
      <c r="T113" s="118"/>
      <c r="U113" s="118"/>
      <c r="V113" s="118"/>
    </row>
    <row r="114" outlineLevel="1">
      <c r="A114" s="156"/>
      <c r="B114" s="300" t="s">
        <v>246</v>
      </c>
      <c r="C114" s="113" t="s">
        <v>875</v>
      </c>
      <c r="D114" s="113">
        <v>40.0</v>
      </c>
      <c r="E114" s="301"/>
      <c r="F114" s="301"/>
      <c r="G114" s="301"/>
      <c r="H114" s="228"/>
      <c r="I114" s="228"/>
      <c r="J114" s="117"/>
      <c r="K114" s="146"/>
      <c r="L114" s="306" t="s">
        <v>219</v>
      </c>
      <c r="M114" s="113" t="str">
        <f t="array" ref="M114">INDEX('アイテム'!$O$3:$P$115, MATCH($A$1,'アイテム'!$A$3:$A$115,0), MATCH(M$109,'アイテム'!$O$2:$AK$2,0))</f>
        <v>5</v>
      </c>
      <c r="N114" s="113">
        <f t="array" ref="N114">INDEX('アイテム'!$O$3:$P$115, MATCH($A$1,'アイテム'!$A$3:$A$115,0), MATCH(N$109,'アイテム'!$O$2:$AK$2,0))</f>
        <v>29</v>
      </c>
      <c r="O114" s="118"/>
      <c r="P114" s="118"/>
      <c r="Q114" s="118"/>
      <c r="R114" s="118"/>
      <c r="S114" s="118"/>
      <c r="T114" s="118"/>
      <c r="U114" s="118"/>
      <c r="V114" s="118"/>
    </row>
    <row r="115" outlineLevel="1">
      <c r="A115" s="299" t="s">
        <v>247</v>
      </c>
      <c r="B115" s="300" t="s">
        <v>248</v>
      </c>
      <c r="C115" s="301"/>
      <c r="D115" s="113" t="s">
        <v>92</v>
      </c>
      <c r="E115" s="301"/>
      <c r="F115" s="301"/>
      <c r="G115" s="301"/>
      <c r="H115" s="228"/>
      <c r="I115" s="228"/>
      <c r="J115" s="111"/>
      <c r="K115" s="156"/>
      <c r="L115" s="306" t="s">
        <v>263</v>
      </c>
      <c r="M115" s="113" t="str">
        <f t="array" ref="M115">INDEX('アイテム'!$Q$3:$R$115, MATCH($A$1,'アイテム'!$A$3:$A$115,0), MATCH(M$109,'アイテム'!$Q$2:$AK$2,0))</f>
        <v>6</v>
      </c>
      <c r="N115" s="113">
        <f t="array" ref="N115">INDEX('アイテム'!$Q$3:$R$115, MATCH($A$1,'アイテム'!$A$3:$A$115,0), MATCH(N$109,'アイテム'!$Q$2:$AK$2,0))</f>
        <v>23</v>
      </c>
      <c r="O115" s="118"/>
      <c r="P115" s="118"/>
      <c r="Q115" s="118"/>
      <c r="R115" s="118"/>
      <c r="S115" s="118"/>
      <c r="T115" s="118"/>
      <c r="U115" s="118"/>
      <c r="V115" s="118"/>
    </row>
    <row r="116" outlineLevel="1">
      <c r="A116" s="146"/>
      <c r="B116" s="300" t="s">
        <v>216</v>
      </c>
      <c r="C116" s="308" t="s">
        <v>877</v>
      </c>
      <c r="D116" s="308">
        <v>29.0</v>
      </c>
      <c r="E116" s="301"/>
      <c r="F116" s="301"/>
      <c r="G116" s="301"/>
      <c r="H116" s="228"/>
      <c r="I116" s="228"/>
      <c r="J116" s="117"/>
      <c r="K116" s="305" t="s">
        <v>264</v>
      </c>
      <c r="L116" s="303" t="s">
        <v>226</v>
      </c>
      <c r="M116" s="113" t="str">
        <f t="array" ref="M116">INDEX('アイテム'!$S$3:$T$115, MATCH($A$1,'アイテム'!$A$3:$A$115,0), MATCH(M$109,'アイテム'!$S$2:$AK$2,0))</f>
        <v>8</v>
      </c>
      <c r="N116" s="113">
        <f t="array" ref="N116">INDEX('アイテム'!$S$3:$T$115, MATCH($A$1,'アイテム'!$A$3:$A$115,0), MATCH(N$109,'アイテム'!$S$2:$AK$2,0))</f>
        <v>24</v>
      </c>
      <c r="O116" s="118"/>
      <c r="P116" s="118"/>
      <c r="Q116" s="118"/>
      <c r="R116" s="118"/>
      <c r="S116" s="118"/>
      <c r="T116" s="118"/>
      <c r="U116" s="118"/>
      <c r="V116" s="118"/>
    </row>
    <row r="117" outlineLevel="1">
      <c r="A117" s="146"/>
      <c r="B117" s="300" t="s">
        <v>245</v>
      </c>
      <c r="C117" s="308" t="s">
        <v>874</v>
      </c>
      <c r="D117" s="308">
        <v>35.0</v>
      </c>
      <c r="E117" s="301"/>
      <c r="F117" s="301"/>
      <c r="G117" s="301"/>
      <c r="H117" s="228"/>
      <c r="I117" s="228"/>
      <c r="J117" s="111"/>
      <c r="K117" s="146"/>
      <c r="L117" s="303" t="s">
        <v>229</v>
      </c>
      <c r="M117" s="113" t="str">
        <f t="array" ref="M117">INDEX('アイテム'!$U$3:$V$115, MATCH($A$1,'アイテム'!$A$3:$A$115,0), MATCH(M$109,'アイテム'!$U$2:$AK$2,0))</f>
        <v>11</v>
      </c>
      <c r="N117" s="113">
        <f t="array" ref="N117">INDEX('アイテム'!$U$3:$V$115, MATCH($A$1,'アイテム'!$A$3:$A$115,0), MATCH(N$109,'アイテム'!$U$2:$AK$2,0))</f>
        <v>24</v>
      </c>
      <c r="O117" s="118"/>
      <c r="P117" s="118"/>
      <c r="Q117" s="118"/>
      <c r="R117" s="118"/>
      <c r="S117" s="118"/>
      <c r="T117" s="118"/>
      <c r="U117" s="118"/>
      <c r="V117" s="118"/>
    </row>
    <row r="118" outlineLevel="1">
      <c r="A118" s="146"/>
      <c r="B118" s="300" t="s">
        <v>246</v>
      </c>
      <c r="C118" s="113" t="s">
        <v>877</v>
      </c>
      <c r="D118" s="113">
        <v>35.0</v>
      </c>
      <c r="E118" s="301"/>
      <c r="F118" s="301"/>
      <c r="G118" s="301"/>
      <c r="H118" s="228"/>
      <c r="I118" s="228"/>
      <c r="J118" s="117"/>
      <c r="K118" s="146"/>
      <c r="L118" s="303" t="s">
        <v>233</v>
      </c>
      <c r="M118" s="113" t="str">
        <f t="array" ref="M118">INDEX('アイテム'!$W$3:$X$115, MATCH($A$1,'アイテム'!$A$3:$A$115,0), MATCH(M$109,'アイテム'!$W$2:$AK$2,0))</f>
        <v>12</v>
      </c>
      <c r="N118" s="113">
        <f t="array" ref="N118">INDEX('アイテム'!$W$3:$X$115, MATCH($A$1,'アイテム'!$A$3:$A$115,0), MATCH(N$109,'アイテム'!$W$2:$AK$2,0))</f>
        <v>23</v>
      </c>
      <c r="O118" s="118"/>
      <c r="P118" s="118"/>
      <c r="Q118" s="118"/>
      <c r="R118" s="118"/>
      <c r="S118" s="118"/>
      <c r="T118" s="118"/>
      <c r="U118" s="118"/>
      <c r="V118" s="118"/>
    </row>
    <row r="119" outlineLevel="1">
      <c r="A119" s="146"/>
      <c r="B119" s="300" t="s">
        <v>249</v>
      </c>
      <c r="C119" s="310" t="s">
        <v>872</v>
      </c>
      <c r="D119" s="310">
        <v>45.0</v>
      </c>
      <c r="E119" s="308" t="s">
        <v>334</v>
      </c>
      <c r="F119" s="308">
        <v>7.0</v>
      </c>
      <c r="G119" s="113">
        <v>8.4</v>
      </c>
      <c r="H119" s="228"/>
      <c r="I119" s="228"/>
      <c r="J119" s="111"/>
      <c r="K119" s="156"/>
      <c r="L119" s="303" t="s">
        <v>234</v>
      </c>
      <c r="M119" s="113" t="str">
        <f t="array" ref="M119">INDEX('アイテム'!$Y$3:$Z$115, MATCH($A$1,'アイテム'!$A$3:$A$115,0), MATCH(M$109,'アイテム'!$Y$2:$AK$2,0))</f>
        <v>7</v>
      </c>
      <c r="N119" s="113">
        <f t="array" ref="N119">INDEX('アイテム'!$Y$3:$Z$115, MATCH($A$1,'アイテム'!$A$3:$A$115,0), MATCH(N$109,'アイテム'!$Y$2:$AK$2,0))</f>
        <v>19</v>
      </c>
      <c r="O119" s="111"/>
      <c r="P119" s="111"/>
      <c r="Q119" s="111"/>
      <c r="R119" s="111"/>
      <c r="S119" s="111"/>
      <c r="T119" s="111"/>
      <c r="U119" s="111"/>
      <c r="V119" s="111"/>
    </row>
    <row r="120" outlineLevel="1">
      <c r="A120" s="156"/>
      <c r="B120" s="311" t="s">
        <v>250</v>
      </c>
      <c r="C120" s="156"/>
      <c r="D120" s="156"/>
      <c r="E120" s="308" t="s">
        <v>443</v>
      </c>
      <c r="F120" s="308">
        <v>7.0</v>
      </c>
      <c r="G120" s="113">
        <v>8.4</v>
      </c>
      <c r="H120" s="228"/>
      <c r="I120" s="228"/>
      <c r="J120" s="111"/>
      <c r="K120" s="312" t="s">
        <v>5390</v>
      </c>
      <c r="L120" s="168"/>
      <c r="M120" s="298" t="s">
        <v>49</v>
      </c>
      <c r="N120" s="114"/>
      <c r="O120" s="111"/>
      <c r="P120" s="111"/>
      <c r="Q120" s="111"/>
      <c r="R120" s="111"/>
      <c r="S120" s="111"/>
      <c r="T120" s="111"/>
      <c r="U120" s="111"/>
      <c r="V120" s="111"/>
    </row>
    <row r="121" outlineLevel="1">
      <c r="A121" s="299" t="s">
        <v>251</v>
      </c>
      <c r="B121" s="300" t="s">
        <v>248</v>
      </c>
      <c r="C121" s="301"/>
      <c r="D121" s="308" t="s">
        <v>92</v>
      </c>
      <c r="E121" s="301"/>
      <c r="F121" s="301"/>
      <c r="G121" s="301"/>
      <c r="H121" s="228"/>
      <c r="I121" s="228"/>
      <c r="J121" s="117"/>
      <c r="K121" s="313" t="s">
        <v>693</v>
      </c>
      <c r="L121" s="314" t="s">
        <v>693</v>
      </c>
      <c r="M121" s="113" t="str">
        <f t="array" ref="M121">INDEX('共通動作その他'!$C$3:$C$102, MATCH($A$1,'共通動作その他'!$A$3:$A$102,0), MATCH(M$120,'共通動作その他'!$C$2:$AA$2,0))</f>
        <v>#N/A</v>
      </c>
      <c r="N121" s="315"/>
      <c r="O121" s="111"/>
      <c r="P121" s="111"/>
      <c r="Q121" s="111"/>
      <c r="R121" s="111"/>
      <c r="S121" s="111"/>
      <c r="T121" s="111"/>
      <c r="U121" s="111"/>
      <c r="V121" s="111"/>
    </row>
    <row r="122" outlineLevel="1">
      <c r="A122" s="146"/>
      <c r="B122" s="300" t="s">
        <v>216</v>
      </c>
      <c r="C122" s="308" t="s">
        <v>877</v>
      </c>
      <c r="D122" s="308">
        <v>29.0</v>
      </c>
      <c r="E122" s="301"/>
      <c r="F122" s="301"/>
      <c r="G122" s="301"/>
      <c r="H122" s="228"/>
      <c r="I122" s="228"/>
      <c r="J122" s="111"/>
      <c r="K122" s="305" t="s">
        <v>2602</v>
      </c>
      <c r="L122" s="314" t="s">
        <v>5391</v>
      </c>
      <c r="M122" s="113" t="str">
        <f t="array" ref="M122">INDEX('共通動作その他'!$D$3:$D$102, MATCH($A$1,'共通動作その他'!$A$3:$A$102,0), MATCH(M$120,'共通動作その他'!$D$2:$AA$2,0))</f>
        <v>#N/A</v>
      </c>
      <c r="N122" s="315"/>
      <c r="O122" s="228"/>
      <c r="P122" s="228"/>
      <c r="Q122" s="228"/>
      <c r="R122" s="228"/>
      <c r="S122" s="228"/>
      <c r="T122" s="228"/>
      <c r="U122" s="228"/>
      <c r="V122" s="228"/>
    </row>
    <row r="123" outlineLevel="1">
      <c r="A123" s="146"/>
      <c r="B123" s="300" t="s">
        <v>245</v>
      </c>
      <c r="C123" s="308" t="s">
        <v>878</v>
      </c>
      <c r="D123" s="308">
        <v>35.0</v>
      </c>
      <c r="E123" s="301"/>
      <c r="F123" s="301"/>
      <c r="G123" s="301"/>
      <c r="H123" s="228"/>
      <c r="I123" s="228"/>
      <c r="J123" s="117"/>
      <c r="K123" s="146"/>
      <c r="L123" s="314" t="s">
        <v>5392</v>
      </c>
      <c r="M123" s="113" t="str">
        <f t="array" ref="M123">INDEX('共通動作その他'!$E$3:$E$102, MATCH($A$1,'共通動作その他'!$A$3:$A$102,0), MATCH(M$120,'共通動作その他'!$E$2:$AA$2,0))</f>
        <v>#N/A</v>
      </c>
      <c r="N123" s="102"/>
      <c r="O123" s="118"/>
      <c r="P123" s="118"/>
      <c r="Q123" s="118"/>
      <c r="R123" s="118"/>
      <c r="S123" s="118"/>
      <c r="T123" s="118"/>
      <c r="U123" s="118"/>
      <c r="V123" s="118"/>
    </row>
    <row r="124" outlineLevel="1">
      <c r="A124" s="146"/>
      <c r="B124" s="300" t="s">
        <v>246</v>
      </c>
      <c r="C124" s="308" t="s">
        <v>879</v>
      </c>
      <c r="D124" s="308">
        <v>35.0</v>
      </c>
      <c r="E124" s="301"/>
      <c r="F124" s="301"/>
      <c r="G124" s="301"/>
      <c r="H124" s="228"/>
      <c r="I124" s="228"/>
      <c r="J124" s="111"/>
      <c r="K124" s="146"/>
      <c r="L124" s="314" t="s">
        <v>5393</v>
      </c>
      <c r="M124" s="113" t="str">
        <f t="array" ref="M124">INDEX('共通動作その他'!$F$3:$F$102, MATCH($A$1,'共通動作その他'!$A$3:$A$102,0), MATCH(M$120,'共通動作その他'!$F$2:$AA$2,0))</f>
        <v>#N/A</v>
      </c>
      <c r="N124" s="102"/>
      <c r="O124" s="118"/>
      <c r="P124" s="118"/>
      <c r="Q124" s="118"/>
      <c r="R124" s="118"/>
      <c r="S124" s="118"/>
      <c r="T124" s="118"/>
      <c r="U124" s="118"/>
      <c r="V124" s="118"/>
    </row>
    <row r="125" outlineLevel="1">
      <c r="A125" s="146"/>
      <c r="B125" s="300" t="s">
        <v>249</v>
      </c>
      <c r="C125" s="310" t="s">
        <v>872</v>
      </c>
      <c r="D125" s="310">
        <v>45.0</v>
      </c>
      <c r="E125" s="308" t="s">
        <v>334</v>
      </c>
      <c r="F125" s="308">
        <v>7.0</v>
      </c>
      <c r="G125" s="113">
        <v>8.4</v>
      </c>
      <c r="H125" s="228"/>
      <c r="I125" s="228"/>
      <c r="J125" s="117"/>
      <c r="K125" s="146"/>
      <c r="L125" s="314" t="s">
        <v>5394</v>
      </c>
      <c r="M125" s="113" t="str">
        <f t="array" ref="M125">INDEX('共通動作その他'!$G$3:$G$102, MATCH($A$1,'共通動作その他'!$A$3:$A$102,0), MATCH(M$120,'共通動作その他'!$G$2:$AA$2,0))</f>
        <v>#N/A</v>
      </c>
      <c r="N125" s="102"/>
      <c r="O125" s="118"/>
      <c r="P125" s="118"/>
      <c r="Q125" s="118"/>
      <c r="R125" s="118"/>
      <c r="S125" s="118"/>
      <c r="T125" s="118"/>
      <c r="U125" s="118"/>
      <c r="V125" s="118"/>
    </row>
    <row r="126" outlineLevel="1">
      <c r="A126" s="156"/>
      <c r="B126" s="311" t="s">
        <v>250</v>
      </c>
      <c r="C126" s="156"/>
      <c r="D126" s="156"/>
      <c r="E126" s="308" t="s">
        <v>443</v>
      </c>
      <c r="F126" s="308">
        <v>7.0</v>
      </c>
      <c r="G126" s="113">
        <v>8.4</v>
      </c>
      <c r="H126" s="228"/>
      <c r="I126" s="228"/>
      <c r="J126" s="117"/>
      <c r="K126" s="304" t="s">
        <v>5395</v>
      </c>
      <c r="L126" s="110"/>
      <c r="M126" s="298" t="s">
        <v>49</v>
      </c>
      <c r="N126" s="102"/>
      <c r="O126" s="118"/>
      <c r="P126" s="118"/>
      <c r="Q126" s="118"/>
      <c r="R126" s="118"/>
      <c r="S126" s="118"/>
      <c r="T126" s="118"/>
      <c r="U126" s="118"/>
      <c r="V126" s="118"/>
    </row>
    <row r="127" outlineLevel="1">
      <c r="A127" s="299" t="s">
        <v>252</v>
      </c>
      <c r="B127" s="300" t="s">
        <v>253</v>
      </c>
      <c r="C127" s="308" t="s">
        <v>880</v>
      </c>
      <c r="D127" s="308">
        <v>29.0</v>
      </c>
      <c r="E127" s="301"/>
      <c r="F127" s="301"/>
      <c r="G127" s="301"/>
      <c r="H127" s="228"/>
      <c r="I127" s="228"/>
      <c r="J127" s="111"/>
      <c r="K127" s="313" t="s">
        <v>5396</v>
      </c>
      <c r="L127" s="306" t="s">
        <v>5397</v>
      </c>
      <c r="M127" s="113" t="str">
        <f t="array" ref="M127">INDEX('共通動作その他'!$H$3:$H$102, MATCH($A$1,'共通動作その他'!$A$3:$A$102,0), MATCH(M$126,'共通動作その他'!$H$2:$AA$2,0))</f>
        <v>#N/A</v>
      </c>
      <c r="N127" s="315"/>
      <c r="O127" s="118"/>
      <c r="P127" s="118"/>
      <c r="Q127" s="118"/>
      <c r="R127" s="118"/>
      <c r="S127" s="118"/>
      <c r="T127" s="118"/>
      <c r="U127" s="118"/>
      <c r="V127" s="118"/>
    </row>
    <row r="128" outlineLevel="1">
      <c r="A128" s="146"/>
      <c r="B128" s="300" t="s">
        <v>254</v>
      </c>
      <c r="C128" s="308" t="s">
        <v>880</v>
      </c>
      <c r="D128" s="308">
        <v>39.0</v>
      </c>
      <c r="E128" s="301"/>
      <c r="F128" s="301"/>
      <c r="G128" s="301"/>
      <c r="H128" s="228"/>
      <c r="I128" s="228"/>
      <c r="J128" s="117"/>
      <c r="K128" s="313" t="s">
        <v>5398</v>
      </c>
      <c r="L128" s="306" t="s">
        <v>5397</v>
      </c>
      <c r="M128" s="113" t="str">
        <f t="array" ref="M128">INDEX('共通動作その他'!$I$3:$I$102, MATCH($A$1,'共通動作その他'!$A$3:$A$102,0), MATCH(M$126,'共通動作その他'!$I$2:$AA$2,0))</f>
        <v>#N/A</v>
      </c>
      <c r="N128" s="315"/>
      <c r="O128" s="118"/>
      <c r="P128" s="118"/>
      <c r="Q128" s="118"/>
      <c r="R128" s="118"/>
      <c r="S128" s="118"/>
      <c r="T128" s="118"/>
      <c r="U128" s="118"/>
      <c r="V128" s="118"/>
    </row>
    <row r="129" outlineLevel="1">
      <c r="A129" s="146"/>
      <c r="B129" s="300" t="s">
        <v>216</v>
      </c>
      <c r="C129" s="308" t="s">
        <v>881</v>
      </c>
      <c r="D129" s="308">
        <v>21.0</v>
      </c>
      <c r="E129" s="301"/>
      <c r="F129" s="301"/>
      <c r="G129" s="301"/>
      <c r="H129" s="228"/>
      <c r="I129" s="228"/>
      <c r="J129" s="111"/>
      <c r="K129" s="102"/>
      <c r="L129" s="118"/>
      <c r="M129" s="118"/>
      <c r="N129" s="102"/>
      <c r="O129" s="118"/>
      <c r="P129" s="118"/>
      <c r="Q129" s="118"/>
      <c r="R129" s="118"/>
      <c r="S129" s="118"/>
      <c r="T129" s="118"/>
      <c r="U129" s="118"/>
      <c r="V129" s="118"/>
    </row>
    <row r="130" outlineLevel="1">
      <c r="A130" s="146"/>
      <c r="B130" s="300" t="s">
        <v>245</v>
      </c>
      <c r="C130" s="308" t="s">
        <v>882</v>
      </c>
      <c r="D130" s="308">
        <v>28.0</v>
      </c>
      <c r="E130" s="301"/>
      <c r="F130" s="301"/>
      <c r="G130" s="301"/>
      <c r="H130" s="228"/>
      <c r="I130" s="228"/>
      <c r="J130" s="228"/>
      <c r="K130" s="102"/>
      <c r="L130" s="118"/>
      <c r="M130" s="118"/>
      <c r="N130" s="102"/>
      <c r="O130" s="118"/>
      <c r="P130" s="118"/>
      <c r="Q130" s="118"/>
      <c r="R130" s="118"/>
      <c r="S130" s="118"/>
      <c r="T130" s="118"/>
      <c r="U130" s="118"/>
      <c r="V130" s="118"/>
    </row>
    <row r="131" outlineLevel="1">
      <c r="A131" s="146"/>
      <c r="B131" s="300" t="s">
        <v>246</v>
      </c>
      <c r="C131" s="308" t="s">
        <v>882</v>
      </c>
      <c r="D131" s="308">
        <v>28.0</v>
      </c>
      <c r="E131" s="301"/>
      <c r="F131" s="301"/>
      <c r="G131" s="301"/>
      <c r="H131" s="228"/>
      <c r="I131" s="228"/>
      <c r="J131" s="228"/>
      <c r="K131" s="102"/>
      <c r="L131" s="118"/>
      <c r="M131" s="118"/>
      <c r="N131" s="102"/>
      <c r="O131" s="118"/>
      <c r="P131" s="118"/>
      <c r="Q131" s="118"/>
      <c r="R131" s="118"/>
      <c r="S131" s="118"/>
      <c r="T131" s="118"/>
      <c r="U131" s="118"/>
      <c r="V131" s="118"/>
    </row>
    <row r="132" outlineLevel="1">
      <c r="A132" s="146"/>
      <c r="B132" s="300" t="s">
        <v>249</v>
      </c>
      <c r="C132" s="310" t="s">
        <v>883</v>
      </c>
      <c r="D132" s="310">
        <v>49.0</v>
      </c>
      <c r="E132" s="308" t="s">
        <v>334</v>
      </c>
      <c r="F132" s="308">
        <v>5.0</v>
      </c>
      <c r="G132" s="113">
        <v>6.0</v>
      </c>
      <c r="H132" s="228"/>
      <c r="I132" s="228"/>
      <c r="J132" s="228"/>
      <c r="K132" s="118"/>
      <c r="L132" s="118"/>
      <c r="M132" s="118"/>
      <c r="N132" s="102"/>
      <c r="O132" s="102"/>
      <c r="P132" s="102"/>
      <c r="Q132" s="102"/>
      <c r="R132" s="118"/>
      <c r="S132" s="118"/>
      <c r="T132" s="118"/>
      <c r="U132" s="118"/>
      <c r="V132" s="118"/>
    </row>
    <row r="133" outlineLevel="1">
      <c r="A133" s="156"/>
      <c r="B133" s="311" t="s">
        <v>250</v>
      </c>
      <c r="C133" s="156"/>
      <c r="D133" s="156"/>
      <c r="E133" s="308" t="s">
        <v>443</v>
      </c>
      <c r="F133" s="308">
        <v>5.0</v>
      </c>
      <c r="G133" s="113">
        <v>6.0</v>
      </c>
      <c r="H133" s="228"/>
      <c r="I133" s="228"/>
      <c r="J133" s="228"/>
      <c r="K133" s="118"/>
      <c r="L133" s="118"/>
      <c r="M133" s="118"/>
      <c r="N133" s="102"/>
      <c r="O133" s="102"/>
      <c r="P133" s="102"/>
      <c r="Q133" s="102"/>
      <c r="R133" s="118"/>
      <c r="S133" s="118"/>
      <c r="T133" s="118"/>
      <c r="U133" s="118"/>
      <c r="V133" s="118"/>
    </row>
    <row r="134" outlineLevel="1">
      <c r="A134" s="319"/>
      <c r="B134" s="320"/>
      <c r="C134" s="321"/>
      <c r="D134" s="321"/>
      <c r="E134" s="322"/>
      <c r="F134" s="322"/>
      <c r="G134" s="114"/>
      <c r="H134" s="228"/>
      <c r="I134" s="228"/>
      <c r="J134" s="228"/>
      <c r="K134" s="118"/>
      <c r="L134" s="118"/>
      <c r="M134" s="118"/>
      <c r="N134" s="102"/>
      <c r="O134" s="102"/>
      <c r="P134" s="102"/>
      <c r="Q134" s="102"/>
      <c r="R134" s="118"/>
      <c r="S134" s="118"/>
      <c r="T134" s="118"/>
      <c r="U134" s="118"/>
      <c r="V134" s="118"/>
    </row>
    <row r="135" outlineLevel="1">
      <c r="A135" s="323" t="s">
        <v>255</v>
      </c>
      <c r="B135" s="109"/>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4" t="s">
        <v>256</v>
      </c>
      <c r="B136" s="109"/>
      <c r="C136" s="325" t="s">
        <v>257</v>
      </c>
      <c r="D136" s="325" t="s">
        <v>49</v>
      </c>
      <c r="E136" s="322"/>
      <c r="F136" s="322"/>
      <c r="G136" s="114"/>
      <c r="H136" s="228"/>
      <c r="I136" s="228"/>
      <c r="J136" s="228"/>
      <c r="K136" s="118"/>
      <c r="L136" s="118"/>
      <c r="M136" s="118"/>
      <c r="N136" s="102"/>
      <c r="O136" s="102"/>
      <c r="P136" s="102"/>
      <c r="Q136" s="102"/>
      <c r="R136" s="118"/>
      <c r="S136" s="118"/>
      <c r="T136" s="118"/>
      <c r="U136" s="118"/>
      <c r="V136" s="118"/>
    </row>
    <row r="137" outlineLevel="1">
      <c r="A137" s="326" t="s">
        <v>258</v>
      </c>
      <c r="B137" s="327" t="s">
        <v>216</v>
      </c>
      <c r="C137" s="328" t="str">
        <f t="array" ref="C137">INDEX('アイテム'!$C$3:$D$114, MATCH($A$1,'アイテム'!$A$3:$A$114,0), MATCH(C136,'アイテム'!$C$2:$AQ$2,0))</f>
        <v>2</v>
      </c>
      <c r="D137" s="328">
        <f t="array" ref="D137">INDEX('アイテム'!$C$3:$D$114, MATCH($A$1,'アイテム'!$A$3:$A$114,0), MATCH(D136,'アイテム'!$C$2:$AQ$2,0))</f>
        <v>7</v>
      </c>
      <c r="E137" s="322"/>
      <c r="F137" s="322"/>
      <c r="G137" s="114"/>
      <c r="H137" s="228"/>
      <c r="I137" s="228"/>
      <c r="J137" s="228"/>
      <c r="K137" s="118"/>
      <c r="L137" s="118"/>
      <c r="M137" s="118"/>
      <c r="N137" s="102"/>
      <c r="O137" s="102"/>
      <c r="P137" s="102"/>
      <c r="Q137" s="102"/>
      <c r="R137" s="118"/>
      <c r="S137" s="118"/>
      <c r="T137" s="118"/>
      <c r="U137" s="118"/>
      <c r="V137" s="118"/>
    </row>
    <row r="138" outlineLevel="1">
      <c r="A138" s="156"/>
      <c r="B138" s="327" t="s">
        <v>219</v>
      </c>
      <c r="C138" s="328" t="str">
        <f t="array" ref="C138">INDEX('アイテム'!$E$3:$F$114, MATCH($A$1,'アイテム'!$A$3:$A$114,0), MATCH(C136,'アイテム'!$C$2:$AQ$2,0))</f>
        <v>2</v>
      </c>
      <c r="D138" s="328">
        <f t="array" ref="D138">INDEX('アイテム'!$E$3:$F$114, MATCH($A$1,'アイテム'!$A$3:$A$114,0), MATCH(D136,'アイテム'!$C$2:$AQ$2,0))</f>
        <v>19</v>
      </c>
      <c r="E138" s="322"/>
      <c r="F138" s="322"/>
      <c r="G138" s="114"/>
      <c r="H138" s="228"/>
      <c r="I138" s="228"/>
      <c r="J138" s="228"/>
      <c r="K138" s="118"/>
      <c r="L138" s="118"/>
      <c r="M138" s="118"/>
      <c r="N138" s="102"/>
      <c r="O138" s="102"/>
      <c r="P138" s="102"/>
      <c r="Q138" s="102"/>
      <c r="R138" s="118"/>
      <c r="S138" s="118"/>
      <c r="T138" s="118"/>
      <c r="U138" s="118"/>
      <c r="V138" s="118"/>
    </row>
    <row r="139" outlineLevel="1">
      <c r="A139" s="329" t="s">
        <v>259</v>
      </c>
      <c r="B139" s="327" t="s">
        <v>216</v>
      </c>
      <c r="C139" s="328">
        <f t="array" ref="C139">INDEX('アイテム'!$AA$3:$AB$114, MATCH($A$1,'アイテム'!$A$3:$A$114,0), MATCH(C136,'アイテム'!$C$2:$AQ$2,0))</f>
        <v>3</v>
      </c>
      <c r="D139" s="328" t="str">
        <f t="array" ref="D139">INDEX('アイテム'!$AA$3:$AB$114, MATCH($A$1,'アイテム'!$A$3:$A$114,0), MATCH(D136,'アイテム'!$C$2:$AQ$2,0))</f>
        <v>12</v>
      </c>
      <c r="E139" s="322"/>
      <c r="F139" s="322"/>
      <c r="G139" s="114"/>
      <c r="H139" s="228"/>
      <c r="I139" s="228"/>
      <c r="J139" s="228"/>
      <c r="K139" s="118"/>
      <c r="L139" s="118"/>
      <c r="M139" s="118"/>
      <c r="N139" s="102"/>
      <c r="O139" s="102"/>
      <c r="P139" s="102"/>
      <c r="Q139" s="102"/>
      <c r="R139" s="118"/>
      <c r="S139" s="118"/>
      <c r="T139" s="118"/>
      <c r="U139" s="118"/>
      <c r="V139" s="118"/>
    </row>
    <row r="140" outlineLevel="1">
      <c r="A140" s="324" t="s">
        <v>260</v>
      </c>
      <c r="B140" s="109"/>
      <c r="C140" s="325" t="s">
        <v>261</v>
      </c>
      <c r="D140" s="325" t="s">
        <v>49</v>
      </c>
      <c r="E140" s="322"/>
      <c r="F140" s="322"/>
      <c r="G140" s="114"/>
      <c r="H140" s="228"/>
      <c r="I140" s="228"/>
      <c r="J140" s="228"/>
      <c r="K140" s="118"/>
      <c r="L140" s="118"/>
      <c r="M140" s="118"/>
      <c r="N140" s="102"/>
      <c r="O140" s="102"/>
      <c r="P140" s="102"/>
      <c r="Q140" s="102"/>
      <c r="R140" s="118"/>
      <c r="S140" s="118"/>
      <c r="T140" s="118"/>
      <c r="U140" s="118"/>
      <c r="V140" s="118"/>
    </row>
    <row r="141" outlineLevel="1">
      <c r="A141" s="326" t="s">
        <v>262</v>
      </c>
      <c r="B141" s="327" t="s">
        <v>226</v>
      </c>
      <c r="C141" s="328" t="str">
        <f t="array" ref="C141">INDEX('アイテム'!$G$3:$H$114, MATCH($A$1,'アイテム'!$A$3:$A$114,0), MATCH(C136,'アイテム'!$C$2:$AQ$2,0))</f>
        <v>8</v>
      </c>
      <c r="D141" s="328">
        <f t="array" ref="D141">INDEX('アイテム'!$G$3:$H$114, MATCH($A$1,'アイテム'!$A$3:$A$114,0), MATCH(D136,'アイテム'!$C$2:$AQ$2,0))</f>
        <v>24</v>
      </c>
      <c r="E141" s="322"/>
      <c r="F141" s="322"/>
      <c r="G141" s="114"/>
      <c r="H141" s="228"/>
      <c r="I141" s="228"/>
      <c r="J141" s="228"/>
      <c r="K141" s="118"/>
      <c r="L141" s="118"/>
      <c r="M141" s="118"/>
      <c r="N141" s="102"/>
      <c r="O141" s="102"/>
      <c r="P141" s="102"/>
      <c r="Q141" s="102"/>
      <c r="R141" s="118"/>
      <c r="S141" s="118"/>
      <c r="T141" s="118"/>
      <c r="U141" s="118"/>
      <c r="V141" s="118"/>
    </row>
    <row r="142" outlineLevel="1">
      <c r="A142" s="146"/>
      <c r="B142" s="327" t="s">
        <v>229</v>
      </c>
      <c r="C142" s="328" t="str">
        <f t="array" ref="C142">INDEX('アイテム'!$I$3:$J$114, MATCH($A$1,'アイテム'!$A$3:$A$114,0), MATCH(C136,'アイテム'!$C$2:$AQ$2,0))</f>
        <v>11</v>
      </c>
      <c r="D142" s="328">
        <f t="array" ref="D142">INDEX('アイテム'!$I$3:$J$114, MATCH($A$1,'アイテム'!$A$3:$A$114,0), MATCH(D136,'アイテム'!$C$2:$AQ$2,0))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233</v>
      </c>
      <c r="C143" s="328" t="str">
        <f t="array" ref="C143">INDEX('アイテム'!$K$3:$L$114, MATCH($A$1,'アイテム'!$A$3:$A$114,0), MATCH(C136,'アイテム'!$C$2:$AQ$2,0))</f>
        <v>12</v>
      </c>
      <c r="D143" s="328">
        <f t="array" ref="D143">INDEX('アイテム'!$K$3:$L$114, MATCH($A$1,'アイテム'!$A$3:$A$114,0), MATCH(D136,'アイテム'!$C$2:$AQ$2,0))</f>
        <v>23</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234</v>
      </c>
      <c r="C144" s="328" t="str">
        <f t="array" ref="C144">INDEX('アイテム'!$M$3:$N$114, MATCH($A$1,'アイテム'!$A$3:$A$114,0), MATCH(C136,'アイテム'!$C$2:$AQ$2,0))</f>
        <v>7</v>
      </c>
      <c r="D144" s="328">
        <f t="array" ref="D144">INDEX('アイテム'!$M$3:$N$114, MATCH($A$1,'アイテム'!$A$3:$A$114,0), MATCH(D136,'アイテム'!$C$2:$AQ$2,0))</f>
        <v>19</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219</v>
      </c>
      <c r="C145" s="328" t="str">
        <f t="array" ref="C145">INDEX('アイテム'!$O$3:$P$114, MATCH($A$1,'アイテム'!$A$3:$A$114,0), MATCH(C136,'アイテム'!$C$2:$AQ$2,0))</f>
        <v>5</v>
      </c>
      <c r="D145" s="328">
        <f t="array" ref="D145">INDEX('アイテム'!$O$3:$P$114, MATCH($A$1,'アイテム'!$A$3:$A$114,0), MATCH(D136,'アイテム'!$C$2:$AQ$2,0))</f>
        <v>29</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263</v>
      </c>
      <c r="C146" s="328" t="str">
        <f t="array" ref="C146">INDEX('アイテム'!$Q$3:$R$114, MATCH($A$1,'アイテム'!$A$3:$A$114,0), MATCH(C136,'アイテム'!$C$2:$AQ$2,0))</f>
        <v>6</v>
      </c>
      <c r="D146" s="328">
        <f t="array" ref="D146">INDEX('アイテム'!$Q$3:$R$114, MATCH($A$1,'アイテム'!$A$3:$A$114,0), MATCH(D136,'アイテム'!$C$2:$AQ$2,0))</f>
        <v>23</v>
      </c>
      <c r="E146" s="322"/>
      <c r="F146" s="322"/>
      <c r="G146" s="114"/>
      <c r="H146" s="228"/>
      <c r="I146" s="228"/>
      <c r="J146" s="228"/>
      <c r="K146" s="118"/>
      <c r="L146" s="118"/>
      <c r="M146" s="118"/>
      <c r="N146" s="102"/>
      <c r="O146" s="102"/>
      <c r="P146" s="102"/>
      <c r="Q146" s="102"/>
      <c r="R146" s="118"/>
      <c r="S146" s="118"/>
      <c r="T146" s="118"/>
      <c r="U146" s="118"/>
      <c r="V146" s="118"/>
    </row>
    <row r="147" outlineLevel="1">
      <c r="A147" s="326" t="s">
        <v>264</v>
      </c>
      <c r="B147" s="327" t="s">
        <v>226</v>
      </c>
      <c r="C147" s="328" t="str">
        <f t="array" ref="C147">INDEX('アイテム'!$S$3:$T$114, MATCH($A$1,'アイテム'!$A$3:$A$114,0), MATCH(C136,'アイテム'!$C$2:$AQ$2,0))</f>
        <v>8</v>
      </c>
      <c r="D147" s="328">
        <f t="array" ref="D147">INDEX('アイテム'!$S$3:$T$114, MATCH($A$1,'アイテム'!$A$3:$A$114,0), MATCH(D136,'アイテム'!$C$2:$AQ$2,0))</f>
        <v>24</v>
      </c>
      <c r="E147" s="322"/>
      <c r="F147" s="322"/>
      <c r="G147" s="114"/>
      <c r="H147" s="228"/>
      <c r="I147" s="228"/>
      <c r="J147" s="228"/>
      <c r="K147" s="118"/>
      <c r="L147" s="118"/>
      <c r="M147" s="118"/>
      <c r="N147" s="102"/>
      <c r="O147" s="102"/>
      <c r="P147" s="102"/>
      <c r="Q147" s="102"/>
      <c r="R147" s="118"/>
      <c r="S147" s="118"/>
      <c r="T147" s="118"/>
      <c r="U147" s="118"/>
      <c r="V147" s="118"/>
    </row>
    <row r="148" outlineLevel="1">
      <c r="A148" s="146"/>
      <c r="B148" s="327" t="s">
        <v>229</v>
      </c>
      <c r="C148" s="328" t="str">
        <f t="array" ref="C148">INDEX('アイテム'!$U$3:$V$114, MATCH($A$1,'アイテム'!$A$3:$A$114,0), MATCH(C136,'アイテム'!$C$2:$AQ$2,0))</f>
        <v>11</v>
      </c>
      <c r="D148" s="328">
        <f t="array" ref="D148">INDEX('アイテム'!$U$3:$V$114, MATCH($A$1,'アイテム'!$A$3:$A$114,0), MATCH(D136,'アイテム'!$C$2:$AQ$2,0))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233</v>
      </c>
      <c r="C149" s="328" t="str">
        <f t="array" ref="C149">INDEX('アイテム'!$W$3:$X$114, MATCH($A$1,'アイテム'!$A$3:$A$114,0), MATCH(C136,'アイテム'!$C$2:$AQ$2,0))</f>
        <v>12</v>
      </c>
      <c r="D149" s="328">
        <f t="array" ref="D149">INDEX('アイテム'!$W$3:$X$114, MATCH($A$1,'アイテム'!$A$3:$A$114,0), MATCH(D136,'アイテム'!$C$2:$AQ$2,0))</f>
        <v>23</v>
      </c>
      <c r="E149" s="322"/>
      <c r="F149" s="322"/>
      <c r="G149" s="114"/>
      <c r="H149" s="228"/>
      <c r="I149" s="228"/>
      <c r="J149" s="228"/>
      <c r="K149" s="118"/>
      <c r="L149" s="118"/>
      <c r="M149" s="118"/>
      <c r="N149" s="102"/>
      <c r="O149" s="102"/>
      <c r="P149" s="102"/>
      <c r="Q149" s="102"/>
      <c r="R149" s="118"/>
      <c r="S149" s="118"/>
      <c r="T149" s="118"/>
      <c r="U149" s="118"/>
      <c r="V149" s="118"/>
    </row>
    <row r="150" outlineLevel="1">
      <c r="A150" s="156"/>
      <c r="B150" s="327" t="s">
        <v>234</v>
      </c>
      <c r="C150" s="328" t="str">
        <f t="array" ref="C150">INDEX('アイテム'!$Y$3:$Z$114, MATCH($A$1,'アイテム'!$A$3:$A$114,0), MATCH(C136,'アイテム'!$C$2:$AQ$2,0))</f>
        <v>7</v>
      </c>
      <c r="D150" s="328">
        <f t="array" ref="D150">INDEX('アイテム'!$Y$3:$Z$114, MATCH($A$1,'アイテム'!$A$3:$A$114,0), MATCH(D136,'アイテム'!$C$2:$AQ$2,0))</f>
        <v>19</v>
      </c>
      <c r="E150" s="322"/>
      <c r="F150" s="322"/>
      <c r="G150" s="114"/>
      <c r="H150" s="228"/>
      <c r="I150" s="228"/>
      <c r="J150" s="228"/>
      <c r="K150" s="118"/>
      <c r="L150" s="118"/>
      <c r="M150" s="118"/>
      <c r="N150" s="102"/>
      <c r="O150" s="102"/>
      <c r="P150" s="102"/>
      <c r="Q150" s="102"/>
      <c r="R150" s="118"/>
      <c r="S150" s="118"/>
      <c r="T150" s="118"/>
      <c r="U150" s="118"/>
      <c r="V150" s="118"/>
    </row>
    <row r="151" outlineLevel="1">
      <c r="A151" s="326" t="s">
        <v>265</v>
      </c>
      <c r="B151" s="327" t="s">
        <v>226</v>
      </c>
      <c r="C151" s="328">
        <f t="array" ref="C151">INDEX('アイテム'!$AC$3:$AD$114, MATCH($A$1,'アイテム'!$A$3:$A$114,0), MATCH(C136,'アイテム'!$C$2:$AQ$2,0))</f>
        <v>14</v>
      </c>
      <c r="D151" s="328" t="str">
        <f t="array" ref="D151">INDEX('アイテム'!$AC$3:$AD$114, MATCH($A$1,'アイテム'!$A$3:$A$114,0), MATCH(D136,'アイテム'!$C$2:$AQ$2,0))</f>
        <v>30</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229</v>
      </c>
      <c r="C152" s="328">
        <f t="array" ref="C152">INDEX('アイテム'!$AE$3:$AF$114, MATCH($A$1,'アイテム'!$A$3:$A$114,0), MATCH(C136,'アイテム'!$C$2:$AQ$2,0))</f>
        <v>15</v>
      </c>
      <c r="D152" s="328" t="str">
        <f t="array" ref="D152">INDEX('アイテム'!$AE$3:$AF$114, MATCH($A$1,'アイテム'!$A$3:$A$114,0), MATCH(D136,'アイテム'!$C$2:$AQ$2,0))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233</v>
      </c>
      <c r="C153" s="328">
        <f t="array" ref="C153">INDEX('アイテム'!$AG$3:$AH$114, MATCH($A$1,'アイテム'!$A$3:$A$114,0), MATCH(C136,'アイテム'!$C$2:$AQ$2,0))</f>
        <v>11</v>
      </c>
      <c r="D153" s="328" t="str">
        <f t="array" ref="D153">INDEX('アイテム'!$AG$3:$AH$114, MATCH($A$1,'アイテム'!$A$3:$A$114,0), MATCH(D136,'アイテム'!$C$2:$AQ$2,0))</f>
        <v>22</v>
      </c>
      <c r="E153" s="322"/>
      <c r="F153" s="322"/>
      <c r="G153" s="114"/>
      <c r="H153" s="228"/>
      <c r="I153" s="228"/>
      <c r="J153" s="228"/>
      <c r="K153" s="118"/>
      <c r="L153" s="118"/>
      <c r="M153" s="118"/>
      <c r="N153" s="102"/>
      <c r="O153" s="102"/>
      <c r="P153" s="102"/>
      <c r="Q153" s="102"/>
      <c r="R153" s="118"/>
      <c r="S153" s="118"/>
      <c r="T153" s="118"/>
      <c r="U153" s="118"/>
      <c r="V153" s="118"/>
    </row>
    <row r="154" outlineLevel="1">
      <c r="A154" s="156"/>
      <c r="B154" s="327" t="s">
        <v>234</v>
      </c>
      <c r="C154" s="328">
        <f t="array" ref="C154">INDEX('アイテム'!$AI$3:$AJ$114, MATCH($A$1,'アイテム'!$A$3:$A$114,0), MATCH(C136,'アイテム'!$C$2:$AQ$2,0))</f>
        <v>9</v>
      </c>
      <c r="D154" s="328" t="str">
        <f t="array" ref="D154">INDEX('アイテム'!$AI$3:$AJ$114, MATCH($A$1,'アイテム'!$A$3:$A$114,0), MATCH(D136,'アイテム'!$C$2:$AQ$2,0))</f>
        <v>22</v>
      </c>
      <c r="E154" s="322"/>
      <c r="F154" s="322"/>
      <c r="G154" s="114"/>
      <c r="H154" s="228"/>
      <c r="I154" s="228"/>
      <c r="J154" s="228"/>
      <c r="K154" s="118"/>
      <c r="L154" s="118"/>
      <c r="M154" s="118"/>
      <c r="N154" s="102"/>
      <c r="O154" s="102"/>
      <c r="P154" s="102"/>
      <c r="Q154" s="102"/>
      <c r="R154" s="118"/>
      <c r="S154" s="118"/>
      <c r="T154" s="118"/>
      <c r="U154" s="118"/>
      <c r="V154" s="118"/>
    </row>
  </sheetData>
  <mergeCells count="135">
    <mergeCell ref="H39:J41"/>
    <mergeCell ref="H42:J43"/>
    <mergeCell ref="I47:I49"/>
    <mergeCell ref="J47:J49"/>
    <mergeCell ref="I51:I52"/>
    <mergeCell ref="J51:J52"/>
    <mergeCell ref="I53:I54"/>
    <mergeCell ref="J53:J54"/>
    <mergeCell ref="H58:J58"/>
    <mergeCell ref="H59:J61"/>
    <mergeCell ref="H62:J62"/>
    <mergeCell ref="H63:J65"/>
    <mergeCell ref="H66:J66"/>
    <mergeCell ref="H67:J71"/>
    <mergeCell ref="K106:L106"/>
    <mergeCell ref="K107:K108"/>
    <mergeCell ref="K109:L109"/>
    <mergeCell ref="K110:K115"/>
    <mergeCell ref="K116:K119"/>
    <mergeCell ref="K120:L120"/>
    <mergeCell ref="K122:K125"/>
    <mergeCell ref="K126:L126"/>
    <mergeCell ref="H72:J72"/>
    <mergeCell ref="H73:J78"/>
    <mergeCell ref="G86:J86"/>
    <mergeCell ref="G87:J88"/>
    <mergeCell ref="G89:J91"/>
    <mergeCell ref="G92:J93"/>
    <mergeCell ref="G94:J95"/>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29"/>
    <mergeCell ref="H30:J30"/>
    <mergeCell ref="H31:J31"/>
    <mergeCell ref="H32:J32"/>
    <mergeCell ref="A45:B46"/>
    <mergeCell ref="A47:A49"/>
    <mergeCell ref="D47:D49"/>
    <mergeCell ref="A76:A78"/>
    <mergeCell ref="H33:J33"/>
    <mergeCell ref="H34:J34"/>
    <mergeCell ref="H35:J35"/>
    <mergeCell ref="H36:J38"/>
    <mergeCell ref="U36:U38"/>
    <mergeCell ref="U39:U41"/>
    <mergeCell ref="U42:U43"/>
    <mergeCell ref="U59:U61"/>
    <mergeCell ref="U63:U65"/>
    <mergeCell ref="V63:V65"/>
    <mergeCell ref="U67:U71"/>
    <mergeCell ref="V67:V71"/>
    <mergeCell ref="U73:U78"/>
    <mergeCell ref="V73:V78"/>
    <mergeCell ref="R46:V46"/>
    <mergeCell ref="R47:V49"/>
    <mergeCell ref="R50:V50"/>
    <mergeCell ref="R51:V52"/>
    <mergeCell ref="R53:V54"/>
    <mergeCell ref="R55:V55"/>
    <mergeCell ref="V59:V61"/>
    <mergeCell ref="C125:C126"/>
    <mergeCell ref="D125:D126"/>
    <mergeCell ref="C119:C120"/>
    <mergeCell ref="C132:C133"/>
    <mergeCell ref="A127:A133"/>
    <mergeCell ref="A135:B135"/>
    <mergeCell ref="A136:B136"/>
    <mergeCell ref="A137:A138"/>
    <mergeCell ref="A140:B140"/>
    <mergeCell ref="A141:A146"/>
    <mergeCell ref="A147:A150"/>
    <mergeCell ref="A151:A154"/>
    <mergeCell ref="A102:A103"/>
    <mergeCell ref="A107:A111"/>
    <mergeCell ref="A112:A114"/>
    <mergeCell ref="A115:A120"/>
    <mergeCell ref="D119:D120"/>
    <mergeCell ref="A121:A126"/>
    <mergeCell ref="D132:D133"/>
    <mergeCell ref="D39:D41"/>
    <mergeCell ref="D42:D43"/>
    <mergeCell ref="D87:D88"/>
    <mergeCell ref="D89:D91"/>
    <mergeCell ref="D92:D93"/>
    <mergeCell ref="D94:D95"/>
    <mergeCell ref="A24:B25"/>
    <mergeCell ref="A26:A31"/>
    <mergeCell ref="A36:A38"/>
    <mergeCell ref="C36:C38"/>
    <mergeCell ref="D36:D38"/>
    <mergeCell ref="A39:A41"/>
    <mergeCell ref="A42:A43"/>
    <mergeCell ref="A62:B62"/>
    <mergeCell ref="A66:B66"/>
    <mergeCell ref="D67:D70"/>
    <mergeCell ref="A72:B72"/>
    <mergeCell ref="A51:A52"/>
    <mergeCell ref="D51:D52"/>
    <mergeCell ref="A53:A54"/>
    <mergeCell ref="D53:D54"/>
    <mergeCell ref="A57:B57"/>
    <mergeCell ref="A58:B58"/>
    <mergeCell ref="D63:D64"/>
    <mergeCell ref="A59:A61"/>
    <mergeCell ref="A63:A64"/>
    <mergeCell ref="A67:A71"/>
    <mergeCell ref="A73:A75"/>
    <mergeCell ref="A80:B81"/>
    <mergeCell ref="A83:A85"/>
    <mergeCell ref="A86:B86"/>
    <mergeCell ref="A87:A88"/>
    <mergeCell ref="A89:A91"/>
    <mergeCell ref="A92:A93"/>
    <mergeCell ref="A94:A95"/>
    <mergeCell ref="A97:B98"/>
    <mergeCell ref="A99:A101"/>
    <mergeCell ref="A105:B106"/>
  </mergeCells>
  <conditionalFormatting sqref="K1:K130 L86:L95">
    <cfRule type="containsText" dxfId="0" priority="1" operator="containsText" text="361">
      <formula>NOT(ISERROR(SEARCH(("361"),(K1))))</formula>
    </cfRule>
  </conditionalFormatting>
  <conditionalFormatting sqref="O87:Q95">
    <cfRule type="cellIs" dxfId="2" priority="2" operator="equal">
      <formula>"敵のみ"</formula>
    </cfRule>
  </conditionalFormatting>
  <conditionalFormatting sqref="C87:D95">
    <cfRule type="cellIs" dxfId="3" priority="3" operator="equal">
      <formula>"-"</formula>
    </cfRule>
  </conditionalFormatting>
  <conditionalFormatting sqref="O1:O154 N86:N95 P86:P95 Q95 L129:L130">
    <cfRule type="cellIs" dxfId="4" priority="4" operator="greaterThan">
      <formula>0</formula>
    </cfRule>
  </conditionalFormatting>
  <conditionalFormatting sqref="P1:Q154 O86:O95 M129:M130">
    <cfRule type="cellIs" dxfId="5" priority="5" operator="lessThan">
      <formula>1</formula>
    </cfRule>
  </conditionalFormatting>
  <conditionalFormatting sqref="P1:Q154 O86:O95 M129:M130">
    <cfRule type="cellIs" dxfId="4" priority="6" operator="greaterThan">
      <formula>1</formula>
    </cfRule>
  </conditionalFormatting>
  <conditionalFormatting sqref="N25:N106 M86:M95 O86:O95">
    <cfRule type="cellIs" dxfId="6" priority="7" operator="greaterThan">
      <formula>0</formula>
    </cfRule>
  </conditionalFormatting>
  <conditionalFormatting sqref="K1:K154 L86:L95">
    <cfRule type="containsText" dxfId="6" priority="8" operator="containsText" text="363">
      <formula>NOT(ISERROR(SEARCH(("363"),(K1))))</formula>
    </cfRule>
  </conditionalFormatting>
  <conditionalFormatting sqref="K1:K154 L86:L95">
    <cfRule type="containsText" dxfId="6" priority="9" operator="containsText" text="365">
      <formula>NOT(ISERROR(SEARCH(("365"),(K1))))</formula>
    </cfRule>
  </conditionalFormatting>
  <conditionalFormatting sqref="K1:K154 L86:L95">
    <cfRule type="containsText" dxfId="6" priority="10" operator="containsText" text="366">
      <formula>NOT(ISERROR(SEARCH(("366"),(K1))))</formula>
    </cfRule>
  </conditionalFormatting>
  <conditionalFormatting sqref="K1:K154 L86:L95">
    <cfRule type="containsText" dxfId="6" priority="11" operator="containsText" text="367">
      <formula>NOT(ISERROR(SEARCH(("367"),(K1))))</formula>
    </cfRule>
  </conditionalFormatting>
  <conditionalFormatting sqref="N1:N15 N17:N154 M86:M95 O86:O95 K129:K130">
    <cfRule type="containsText" dxfId="6" priority="12" operator="containsText" text="/">
      <formula>NOT(ISERROR(SEARCH(("/"),(N1))))</formula>
    </cfRule>
  </conditionalFormatting>
  <drawing r:id="rId2"/>
  <legacyDrawing r:id="rId3"/>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5A"/>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0" width="11.63"/>
    <col customWidth="1" min="11" max="14" width="11.63" outlineLevel="1"/>
    <col customWidth="1" min="15" max="20" width="7.0" outlineLevel="1"/>
    <col customWidth="1" min="21" max="21" width="7.5"/>
    <col customWidth="1" min="22" max="22" width="7.0"/>
  </cols>
  <sheetData>
    <row r="1">
      <c r="A1" s="3335">
        <v>76.0</v>
      </c>
      <c r="B1" s="3336"/>
      <c r="C1" s="3337" t="str">
        <f>IMAGE(VLOOKUP($A$1,Fighters!A2:AI114,12,FALSE),1)</f>
        <v>#REF!</v>
      </c>
      <c r="D1" s="3338"/>
      <c r="E1" s="3338"/>
      <c r="F1" s="3338"/>
      <c r="G1" s="3339"/>
      <c r="H1" s="3340"/>
      <c r="I1" s="3338"/>
      <c r="J1" s="3339"/>
      <c r="K1" s="3341"/>
      <c r="L1" s="3338"/>
      <c r="M1" s="3339"/>
      <c r="N1" s="3342"/>
      <c r="O1" s="3342"/>
      <c r="P1" s="3342"/>
      <c r="Q1" s="3342"/>
      <c r="R1" s="3343"/>
      <c r="S1" s="3343"/>
      <c r="T1" s="3343"/>
      <c r="U1" s="3343"/>
      <c r="V1" s="3343"/>
    </row>
    <row r="2">
      <c r="A2" s="3344" t="str">
        <f>VLOOKUP($A$1,Fighters!$A$2:$V$90,6,FALSE)</f>
        <v>#ffff5a</v>
      </c>
      <c r="B2" s="3336"/>
      <c r="C2" s="3345"/>
      <c r="G2" s="3346"/>
      <c r="H2" s="3347"/>
      <c r="I2" s="3348"/>
      <c r="J2" s="3349"/>
      <c r="K2" s="3347"/>
      <c r="L2" s="3348"/>
      <c r="M2" s="3349"/>
      <c r="N2" s="3342"/>
      <c r="O2" s="3342"/>
      <c r="P2" s="3342"/>
      <c r="Q2" s="3342"/>
      <c r="R2" s="3343"/>
      <c r="S2" s="3343"/>
      <c r="T2" s="3343"/>
      <c r="U2" s="3343"/>
      <c r="V2" s="3343"/>
    </row>
    <row r="3">
      <c r="A3" s="3344" t="str">
        <f>VLOOKUP($A$1,Fighters!$A$2:$V$90,14,FALSE)</f>
        <v>76. ミェンミェン</v>
      </c>
      <c r="B3" s="3336"/>
      <c r="C3" s="3345"/>
      <c r="G3" s="3346"/>
      <c r="H3" s="3350"/>
      <c r="I3" s="3350"/>
      <c r="J3" s="3350"/>
      <c r="K3" s="3351"/>
      <c r="L3" s="3351"/>
      <c r="M3" s="3351"/>
      <c r="N3" s="3342"/>
      <c r="O3" s="3342"/>
      <c r="P3" s="3342"/>
      <c r="Q3" s="3342"/>
      <c r="R3" s="3352"/>
      <c r="S3" s="3343"/>
      <c r="T3" s="3343"/>
      <c r="U3" s="3343"/>
      <c r="V3" s="3343"/>
    </row>
    <row r="4">
      <c r="A4" s="3344" t="str">
        <f>VLOOKUP($A$1,Fighters!$A$2:$V$90,13,FALSE)</f>
        <v>0</v>
      </c>
      <c r="B4" s="3336"/>
      <c r="C4" s="3345"/>
      <c r="G4" s="3346"/>
      <c r="H4" s="3353"/>
      <c r="I4" s="3353"/>
      <c r="J4" s="3350"/>
      <c r="K4" s="3351"/>
      <c r="L4" s="3351"/>
      <c r="M4" s="3351"/>
      <c r="N4" s="3342"/>
      <c r="O4" s="3342"/>
      <c r="P4" s="3342"/>
      <c r="Q4" s="3342"/>
      <c r="R4" s="3352"/>
      <c r="S4" s="3343"/>
      <c r="T4" s="3343"/>
      <c r="U4" s="3343"/>
      <c r="V4" s="3343"/>
    </row>
    <row r="5" ht="16.5" customHeight="1">
      <c r="A5" s="3335"/>
      <c r="B5" s="3336"/>
      <c r="C5" s="3345"/>
      <c r="G5" s="3346"/>
      <c r="H5" s="3354"/>
      <c r="I5" s="3354"/>
      <c r="J5" s="3355"/>
      <c r="K5" s="3356"/>
      <c r="L5" s="3357"/>
      <c r="M5" s="3357"/>
      <c r="N5" s="3342"/>
      <c r="O5" s="3342"/>
      <c r="P5" s="3342"/>
      <c r="Q5" s="3342"/>
      <c r="R5" s="3352"/>
      <c r="S5" s="3343"/>
      <c r="T5" s="3343"/>
      <c r="U5" s="3343"/>
      <c r="V5" s="3343"/>
    </row>
    <row r="6">
      <c r="A6" s="3336"/>
      <c r="B6" s="3336"/>
      <c r="C6" s="3345"/>
      <c r="G6" s="3346"/>
      <c r="H6" s="3353"/>
      <c r="I6" s="3358" t="s">
        <v>39</v>
      </c>
      <c r="J6" s="3356"/>
      <c r="K6" s="3359"/>
      <c r="L6" s="3357"/>
      <c r="M6" s="3357"/>
      <c r="N6" s="3342"/>
      <c r="O6" s="3342"/>
      <c r="P6" s="3342"/>
      <c r="Q6" s="3342"/>
      <c r="R6" s="3352"/>
      <c r="S6" s="3343"/>
      <c r="T6" s="3343"/>
      <c r="U6" s="3343"/>
      <c r="V6" s="3343"/>
    </row>
    <row r="7">
      <c r="A7" s="3336"/>
      <c r="B7" s="3336"/>
      <c r="C7" s="3345"/>
      <c r="G7" s="3346"/>
      <c r="H7" s="3354"/>
      <c r="I7" s="3354"/>
      <c r="J7" s="3356"/>
      <c r="K7" s="3359"/>
      <c r="L7" s="3357"/>
      <c r="M7" s="3357"/>
      <c r="N7" s="3342"/>
      <c r="O7" s="3342"/>
      <c r="P7" s="3342"/>
      <c r="Q7" s="3342"/>
      <c r="R7" s="3352"/>
      <c r="S7" s="3343"/>
      <c r="T7" s="3343"/>
      <c r="U7" s="3343"/>
      <c r="V7" s="3343"/>
    </row>
    <row r="8">
      <c r="A8" s="3336"/>
      <c r="B8" s="3336"/>
      <c r="C8" s="3345"/>
      <c r="G8" s="3346"/>
      <c r="H8" s="3360">
        <v>44533.43642607639</v>
      </c>
      <c r="I8" s="3338"/>
      <c r="J8" s="3339"/>
      <c r="K8" s="3356"/>
      <c r="L8" s="3357"/>
      <c r="M8" s="3357"/>
      <c r="N8" s="3342"/>
      <c r="O8" s="3342"/>
      <c r="P8" s="3342"/>
      <c r="Q8" s="3342"/>
      <c r="R8" s="3352"/>
      <c r="S8" s="3343"/>
      <c r="T8" s="3343"/>
      <c r="U8" s="3343"/>
      <c r="V8" s="3343"/>
    </row>
    <row r="9">
      <c r="A9" s="3336"/>
      <c r="B9" s="3336"/>
      <c r="C9" s="3345"/>
      <c r="G9" s="3346"/>
      <c r="H9" s="3347"/>
      <c r="I9" s="3348"/>
      <c r="J9" s="3349"/>
      <c r="K9" s="3343"/>
      <c r="L9" s="3342"/>
      <c r="M9" s="3342"/>
      <c r="N9" s="3342"/>
      <c r="O9" s="3342"/>
      <c r="P9" s="3342"/>
      <c r="Q9" s="3342"/>
      <c r="R9" s="3352"/>
      <c r="S9" s="3343"/>
      <c r="T9" s="3343"/>
      <c r="U9" s="3343"/>
      <c r="V9" s="3343"/>
    </row>
    <row r="10">
      <c r="A10" s="3361"/>
      <c r="B10" s="3336"/>
      <c r="C10" s="3345"/>
      <c r="G10" s="3346"/>
      <c r="H10" s="3362"/>
      <c r="I10" s="3362"/>
      <c r="J10" s="3343"/>
      <c r="K10" s="3343"/>
      <c r="L10" s="3342"/>
      <c r="M10" s="3342"/>
      <c r="N10" s="3342"/>
      <c r="O10" s="3342"/>
      <c r="P10" s="3342"/>
      <c r="Q10" s="3342"/>
      <c r="R10" s="3352"/>
      <c r="S10" s="3343"/>
      <c r="T10" s="3343"/>
      <c r="U10" s="3343"/>
      <c r="V10" s="3343"/>
    </row>
    <row r="11">
      <c r="A11" s="3363"/>
      <c r="B11" s="3336"/>
      <c r="C11" s="3345"/>
      <c r="G11" s="3346"/>
      <c r="H11" s="3354"/>
      <c r="I11" s="3354"/>
      <c r="J11" s="3343"/>
      <c r="K11" s="3343"/>
      <c r="L11" s="3342"/>
      <c r="M11" s="3342"/>
      <c r="N11" s="3342"/>
      <c r="O11" s="3342"/>
      <c r="P11" s="3342"/>
      <c r="Q11" s="3342"/>
      <c r="R11" s="3352"/>
      <c r="S11" s="3343"/>
      <c r="T11" s="3343"/>
      <c r="U11" s="3343"/>
      <c r="V11" s="3343"/>
    </row>
    <row r="12">
      <c r="A12" s="3354"/>
      <c r="B12" s="3336"/>
      <c r="C12" s="3347"/>
      <c r="D12" s="3348"/>
      <c r="E12" s="3348"/>
      <c r="F12" s="3348"/>
      <c r="G12" s="3349"/>
      <c r="H12" s="3364"/>
      <c r="I12" s="3364"/>
      <c r="J12" s="3336"/>
      <c r="K12" s="3336"/>
      <c r="L12" s="3342"/>
      <c r="M12" s="3342"/>
      <c r="N12" s="3342"/>
      <c r="O12" s="3342"/>
      <c r="P12" s="3342"/>
      <c r="Q12" s="3342"/>
      <c r="R12" s="3352"/>
      <c r="S12" s="3343"/>
      <c r="T12" s="3343"/>
      <c r="U12" s="3343"/>
      <c r="V12" s="3343"/>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INDEX('行動フレーム・能力値'!$C$2:$AD$95,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104 [22nd]</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34F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 [46th]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INDEX('行動フレーム・能力値'!$C$2:$AD$95, MATCH($A$1,'行動フレーム・能力値'!$A$2:$A$95,0),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1.05 [53rd]</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46F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 [41st]</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30.7 [63rd]</v>
      </c>
      <c r="O18" s="99"/>
      <c r="P18" s="99"/>
      <c r="Q18" s="99"/>
      <c r="R18" s="99"/>
      <c r="S18" s="111"/>
      <c r="T18" s="111"/>
      <c r="U18" s="111"/>
      <c r="V18" s="111"/>
    </row>
    <row r="19" outlineLevel="1">
      <c r="A19" s="112" t="s">
        <v>5288</v>
      </c>
      <c r="B19" s="113" t="b">
        <f t="array" ref="B19">INDEX('行動フレーム・能力値'!$C$2:$AD$95,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1.55 [68th]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0.13 [9th]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16 [45th]</v>
      </c>
      <c r="O19" s="99"/>
      <c r="P19" s="99"/>
      <c r="Q19" s="99"/>
      <c r="R19" s="99"/>
      <c r="S19" s="111"/>
      <c r="T19" s="111"/>
      <c r="U19" s="111"/>
      <c r="V19" s="111"/>
    </row>
    <row r="20" outlineLevel="1">
      <c r="A20" s="112" t="s">
        <v>5292</v>
      </c>
      <c r="B20" s="113" t="b">
        <f t="array" ref="B20">INDEX('行動フレーム・能力値'!$C$2:$AD$95,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0.85 [84th]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33F</v>
      </c>
      <c r="I20" s="114"/>
      <c r="J20" s="1028"/>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 [58th]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 [67th]</v>
      </c>
      <c r="O20" s="99"/>
      <c r="P20" s="99"/>
      <c r="Q20" s="99"/>
      <c r="R20" s="99"/>
      <c r="S20" s="117"/>
      <c r="T20" s="117"/>
      <c r="U20" s="117"/>
      <c r="V20" s="100"/>
    </row>
    <row r="21" outlineLevel="1">
      <c r="A21" s="112" t="s">
        <v>587</v>
      </c>
      <c r="B21" s="113" t="b">
        <f t="array" ref="B21">INDEX('行動フレーム・能力値'!$C$2:$AD$95,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1.52 [57th]</v>
      </c>
      <c r="G21" s="101"/>
      <c r="H21" s="101"/>
      <c r="I21" s="114"/>
      <c r="J21" s="1028"/>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17"/>
      <c r="T21" s="117"/>
      <c r="U21" s="117"/>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2.432 [55th]</v>
      </c>
      <c r="G22" s="98"/>
      <c r="H22" s="98"/>
      <c r="I22" s="114"/>
      <c r="J22" s="1028"/>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0.11 [23rd]</v>
      </c>
      <c r="M22" s="100"/>
      <c r="N22" s="117"/>
      <c r="O22" s="99"/>
      <c r="P22" s="99"/>
      <c r="Q22" s="99"/>
      <c r="R22" s="99"/>
      <c r="S22" s="117"/>
      <c r="T22" s="117"/>
      <c r="U22" s="117"/>
      <c r="V22" s="100"/>
    </row>
    <row r="23">
      <c r="A23" s="101"/>
      <c r="B23" s="101"/>
      <c r="C23" s="101"/>
      <c r="D23" s="101"/>
      <c r="E23" s="101"/>
      <c r="F23" s="101"/>
      <c r="G23" s="98"/>
      <c r="H23" s="98"/>
      <c r="I23" s="114"/>
      <c r="J23" s="1028"/>
      <c r="K23" s="118"/>
      <c r="L23" s="114"/>
      <c r="M23" s="117"/>
      <c r="N23" s="117"/>
      <c r="O23" s="99"/>
      <c r="P23" s="99"/>
      <c r="Q23" s="99"/>
      <c r="R23" s="99"/>
      <c r="S23" s="117"/>
      <c r="T23" s="117"/>
      <c r="U23" s="117"/>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717</v>
      </c>
      <c r="D26" s="701" t="s">
        <v>173</v>
      </c>
      <c r="E26" s="139" t="s">
        <v>535</v>
      </c>
      <c r="F26" s="138">
        <v>3.0</v>
      </c>
      <c r="G26" s="139" t="s">
        <v>147</v>
      </c>
      <c r="H26" s="151" t="s">
        <v>5800</v>
      </c>
      <c r="I26" s="110"/>
      <c r="J26" s="109"/>
      <c r="K26" s="282"/>
      <c r="L26" s="282"/>
      <c r="M26" s="363"/>
      <c r="N26" s="363"/>
      <c r="O26" s="145">
        <v>0.0</v>
      </c>
      <c r="P26" s="145">
        <v>1.0</v>
      </c>
      <c r="Q26" s="145">
        <v>1.0</v>
      </c>
      <c r="R26" s="100"/>
      <c r="S26" s="100"/>
      <c r="T26" s="100"/>
      <c r="U26" s="1584"/>
      <c r="V26" s="100"/>
    </row>
    <row r="27" outlineLevel="1">
      <c r="A27" s="146"/>
      <c r="B27" s="147" t="s">
        <v>63</v>
      </c>
      <c r="C27" s="467" t="s">
        <v>518</v>
      </c>
      <c r="D27" s="467" t="s">
        <v>271</v>
      </c>
      <c r="E27" s="216" t="s">
        <v>176</v>
      </c>
      <c r="F27" s="138">
        <v>2.4</v>
      </c>
      <c r="G27" s="216" t="s">
        <v>60</v>
      </c>
      <c r="H27" s="151" t="s">
        <v>5801</v>
      </c>
      <c r="I27" s="110"/>
      <c r="J27" s="109"/>
      <c r="K27" s="282"/>
      <c r="L27" s="282"/>
      <c r="M27" s="363"/>
      <c r="N27" s="363"/>
      <c r="O27" s="145">
        <v>0.0</v>
      </c>
      <c r="P27" s="145">
        <v>1.0</v>
      </c>
      <c r="Q27" s="145">
        <v>1.0</v>
      </c>
      <c r="R27" s="100"/>
      <c r="S27" s="100"/>
      <c r="T27" s="100"/>
      <c r="U27" s="1584"/>
      <c r="V27" s="100"/>
    </row>
    <row r="28" outlineLevel="1">
      <c r="A28" s="146"/>
      <c r="B28" s="147" t="s">
        <v>70</v>
      </c>
      <c r="C28" s="467" t="s">
        <v>217</v>
      </c>
      <c r="D28" s="467" t="s">
        <v>193</v>
      </c>
      <c r="E28" s="216" t="s">
        <v>100</v>
      </c>
      <c r="F28" s="138">
        <v>6.6</v>
      </c>
      <c r="G28" s="216" t="s">
        <v>102</v>
      </c>
      <c r="H28" s="151"/>
      <c r="I28" s="110"/>
      <c r="J28" s="109"/>
      <c r="K28" s="282"/>
      <c r="L28" s="282"/>
      <c r="M28" s="363"/>
      <c r="N28" s="363"/>
      <c r="O28" s="145">
        <v>0.0</v>
      </c>
      <c r="P28" s="145">
        <v>1.0</v>
      </c>
      <c r="Q28" s="145">
        <v>1.0</v>
      </c>
      <c r="R28" s="100"/>
      <c r="S28" s="100"/>
      <c r="T28" s="100"/>
      <c r="U28" s="1584"/>
      <c r="V28" s="100"/>
    </row>
    <row r="29" outlineLevel="1">
      <c r="A29" s="146"/>
      <c r="B29" s="147" t="s">
        <v>703</v>
      </c>
      <c r="C29" s="659"/>
      <c r="D29" s="467" t="s">
        <v>204</v>
      </c>
      <c r="E29" s="659"/>
      <c r="F29" s="3365"/>
      <c r="G29" s="659"/>
      <c r="H29" s="151"/>
      <c r="I29" s="110"/>
      <c r="J29" s="109"/>
      <c r="K29" s="261"/>
      <c r="L29" s="261"/>
      <c r="M29" s="261"/>
      <c r="N29" s="261"/>
      <c r="O29" s="261"/>
      <c r="P29" s="261"/>
      <c r="Q29" s="261"/>
      <c r="R29" s="100"/>
      <c r="S29" s="100"/>
      <c r="T29" s="100"/>
      <c r="U29" s="3301"/>
      <c r="V29" s="100"/>
    </row>
    <row r="30" outlineLevel="1">
      <c r="A30" s="146"/>
      <c r="B30" s="147" t="s">
        <v>704</v>
      </c>
      <c r="C30" s="467" t="s">
        <v>5802</v>
      </c>
      <c r="D30" s="467" t="s">
        <v>153</v>
      </c>
      <c r="E30" s="467" t="s">
        <v>1098</v>
      </c>
      <c r="F30" s="138">
        <v>0.6</v>
      </c>
      <c r="G30" s="450" t="s">
        <v>75</v>
      </c>
      <c r="H30" s="151" t="s">
        <v>5745</v>
      </c>
      <c r="I30" s="110"/>
      <c r="J30" s="109"/>
      <c r="K30" s="282"/>
      <c r="L30" s="282"/>
      <c r="M30" s="363"/>
      <c r="N30" s="363"/>
      <c r="O30" s="145">
        <v>0.0</v>
      </c>
      <c r="P30" s="145">
        <v>1.0</v>
      </c>
      <c r="Q30" s="145">
        <v>1.0</v>
      </c>
      <c r="R30" s="100"/>
      <c r="S30" s="100"/>
      <c r="T30" s="100"/>
      <c r="U30" s="146"/>
      <c r="V30" s="100"/>
    </row>
    <row r="31" outlineLevel="1">
      <c r="A31" s="156"/>
      <c r="B31" s="147" t="s">
        <v>708</v>
      </c>
      <c r="C31" s="245" t="s">
        <v>217</v>
      </c>
      <c r="D31" s="245" t="s">
        <v>628</v>
      </c>
      <c r="E31" s="245" t="s">
        <v>150</v>
      </c>
      <c r="F31" s="246">
        <v>6.0</v>
      </c>
      <c r="G31" s="467" t="s">
        <v>102</v>
      </c>
      <c r="H31" s="151" t="s">
        <v>411</v>
      </c>
      <c r="I31" s="110"/>
      <c r="J31" s="109"/>
      <c r="K31" s="282"/>
      <c r="L31" s="282"/>
      <c r="M31" s="363"/>
      <c r="N31" s="363"/>
      <c r="O31" s="145">
        <v>0.0</v>
      </c>
      <c r="P31" s="145">
        <v>1.0</v>
      </c>
      <c r="Q31" s="145">
        <v>1.0</v>
      </c>
      <c r="R31" s="100"/>
      <c r="S31" s="100"/>
      <c r="T31" s="100"/>
      <c r="U31" s="156"/>
      <c r="V31" s="100"/>
    </row>
    <row r="32" outlineLevel="1">
      <c r="A32" s="133" t="s">
        <v>5803</v>
      </c>
      <c r="B32" s="147" t="s">
        <v>5804</v>
      </c>
      <c r="C32" s="245" t="s">
        <v>5805</v>
      </c>
      <c r="D32" s="245" t="s">
        <v>810</v>
      </c>
      <c r="E32" s="245" t="s">
        <v>5806</v>
      </c>
      <c r="F32" s="246" t="s">
        <v>5807</v>
      </c>
      <c r="G32" s="467" t="s">
        <v>4503</v>
      </c>
      <c r="H32" s="163" t="s">
        <v>5808</v>
      </c>
      <c r="I32" s="164"/>
      <c r="J32" s="104"/>
      <c r="K32" s="282"/>
      <c r="L32" s="282"/>
      <c r="M32" s="363"/>
      <c r="N32" s="363"/>
      <c r="O32" s="145"/>
      <c r="P32" s="145"/>
      <c r="Q32" s="145"/>
      <c r="R32" s="100"/>
      <c r="S32" s="100"/>
      <c r="T32" s="100"/>
      <c r="U32" s="3301"/>
      <c r="V32" s="100"/>
    </row>
    <row r="33" outlineLevel="1">
      <c r="A33" s="146"/>
      <c r="B33" s="147" t="s">
        <v>5809</v>
      </c>
      <c r="C33" s="245" t="s">
        <v>3545</v>
      </c>
      <c r="D33" s="823" t="s">
        <v>455</v>
      </c>
      <c r="E33" s="245" t="s">
        <v>150</v>
      </c>
      <c r="F33" s="246">
        <v>6.0</v>
      </c>
      <c r="G33" s="467" t="s">
        <v>102</v>
      </c>
      <c r="H33" s="212"/>
      <c r="J33" s="210"/>
      <c r="K33" s="282"/>
      <c r="L33" s="282"/>
      <c r="M33" s="363"/>
      <c r="N33" s="363"/>
      <c r="O33" s="145"/>
      <c r="P33" s="145"/>
      <c r="Q33" s="145"/>
      <c r="R33" s="100"/>
      <c r="S33" s="100"/>
      <c r="T33" s="100"/>
      <c r="U33" s="146"/>
      <c r="V33" s="100"/>
    </row>
    <row r="34" outlineLevel="1">
      <c r="A34" s="146"/>
      <c r="B34" s="147" t="s">
        <v>5810</v>
      </c>
      <c r="C34" s="245" t="s">
        <v>2443</v>
      </c>
      <c r="D34" s="107"/>
      <c r="E34" s="245" t="s">
        <v>535</v>
      </c>
      <c r="F34" s="246">
        <v>3.0</v>
      </c>
      <c r="G34" s="467" t="s">
        <v>170</v>
      </c>
      <c r="H34" s="212"/>
      <c r="J34" s="210"/>
      <c r="K34" s="282"/>
      <c r="L34" s="282"/>
      <c r="M34" s="363"/>
      <c r="N34" s="363"/>
      <c r="O34" s="145"/>
      <c r="P34" s="145"/>
      <c r="Q34" s="145"/>
      <c r="R34" s="100"/>
      <c r="S34" s="100"/>
      <c r="T34" s="100"/>
      <c r="U34" s="146"/>
      <c r="V34" s="100"/>
    </row>
    <row r="35" outlineLevel="1">
      <c r="A35" s="156"/>
      <c r="B35" s="147" t="s">
        <v>5811</v>
      </c>
      <c r="C35" s="245" t="s">
        <v>3100</v>
      </c>
      <c r="D35" s="245" t="s">
        <v>208</v>
      </c>
      <c r="E35" s="245" t="s">
        <v>232</v>
      </c>
      <c r="F35" s="246">
        <v>13.2</v>
      </c>
      <c r="G35" s="467" t="s">
        <v>121</v>
      </c>
      <c r="H35" s="106"/>
      <c r="I35" s="168"/>
      <c r="J35" s="107"/>
      <c r="K35" s="282"/>
      <c r="L35" s="282"/>
      <c r="M35" s="363"/>
      <c r="N35" s="363"/>
      <c r="O35" s="145"/>
      <c r="P35" s="145"/>
      <c r="Q35" s="145"/>
      <c r="R35" s="100"/>
      <c r="S35" s="100"/>
      <c r="T35" s="100"/>
      <c r="U35" s="156"/>
      <c r="V35" s="100"/>
    </row>
    <row r="36" outlineLevel="1">
      <c r="A36" s="133" t="s">
        <v>77</v>
      </c>
      <c r="B36" s="160"/>
      <c r="C36" s="245" t="s">
        <v>975</v>
      </c>
      <c r="D36" s="823" t="s">
        <v>282</v>
      </c>
      <c r="E36" s="245" t="s">
        <v>3480</v>
      </c>
      <c r="F36" s="246" t="s">
        <v>3481</v>
      </c>
      <c r="G36" s="467" t="s">
        <v>3196</v>
      </c>
      <c r="H36" s="163"/>
      <c r="I36" s="164"/>
      <c r="J36" s="104"/>
      <c r="K36" s="282"/>
      <c r="L36" s="282"/>
      <c r="M36" s="363"/>
      <c r="N36" s="363"/>
      <c r="O36" s="145">
        <v>0.0</v>
      </c>
      <c r="P36" s="145">
        <v>1.0</v>
      </c>
      <c r="Q36" s="145">
        <v>1.0</v>
      </c>
      <c r="R36" s="100"/>
      <c r="S36" s="100"/>
      <c r="T36" s="100"/>
      <c r="U36" s="3301"/>
      <c r="V36" s="100"/>
    </row>
    <row r="37" outlineLevel="1">
      <c r="A37" s="156"/>
      <c r="B37" s="147" t="s">
        <v>84</v>
      </c>
      <c r="C37" s="245" t="s">
        <v>1292</v>
      </c>
      <c r="D37" s="107"/>
      <c r="E37" s="245" t="s">
        <v>5812</v>
      </c>
      <c r="F37" s="246" t="s">
        <v>5813</v>
      </c>
      <c r="G37" s="467" t="s">
        <v>5814</v>
      </c>
      <c r="H37" s="106"/>
      <c r="I37" s="168"/>
      <c r="J37" s="107"/>
      <c r="K37" s="282"/>
      <c r="L37" s="282"/>
      <c r="M37" s="363"/>
      <c r="N37" s="363"/>
      <c r="O37" s="145">
        <v>0.0</v>
      </c>
      <c r="P37" s="145">
        <v>1.0</v>
      </c>
      <c r="Q37" s="145">
        <v>1.0</v>
      </c>
      <c r="R37" s="100"/>
      <c r="S37" s="100"/>
      <c r="T37" s="100"/>
      <c r="U37" s="156"/>
      <c r="V37" s="100"/>
    </row>
    <row r="38" outlineLevel="1">
      <c r="A38" s="133" t="s">
        <v>97</v>
      </c>
      <c r="B38" s="147" t="s">
        <v>1314</v>
      </c>
      <c r="C38" s="245" t="s">
        <v>267</v>
      </c>
      <c r="D38" s="823" t="s">
        <v>384</v>
      </c>
      <c r="E38" s="245" t="s">
        <v>5815</v>
      </c>
      <c r="F38" s="246" t="s">
        <v>5816</v>
      </c>
      <c r="G38" s="467" t="s">
        <v>5817</v>
      </c>
      <c r="H38" s="163"/>
      <c r="I38" s="164"/>
      <c r="J38" s="104"/>
      <c r="K38" s="282"/>
      <c r="L38" s="282"/>
      <c r="M38" s="363"/>
      <c r="N38" s="363"/>
      <c r="O38" s="145">
        <v>0.0</v>
      </c>
      <c r="P38" s="145">
        <v>1.0</v>
      </c>
      <c r="Q38" s="145">
        <v>1.0</v>
      </c>
      <c r="R38" s="100"/>
      <c r="S38" s="100"/>
      <c r="T38" s="100"/>
      <c r="U38" s="3301"/>
      <c r="V38" s="100"/>
    </row>
    <row r="39" outlineLevel="1">
      <c r="A39" s="146"/>
      <c r="B39" s="147" t="s">
        <v>5818</v>
      </c>
      <c r="C39" s="245" t="s">
        <v>733</v>
      </c>
      <c r="D39" s="210"/>
      <c r="E39" s="245" t="s">
        <v>1713</v>
      </c>
      <c r="F39" s="246" t="s">
        <v>1714</v>
      </c>
      <c r="G39" s="467" t="s">
        <v>1715</v>
      </c>
      <c r="H39" s="212"/>
      <c r="J39" s="210"/>
      <c r="K39" s="145"/>
      <c r="L39" s="363"/>
      <c r="M39" s="363"/>
      <c r="N39" s="363"/>
      <c r="O39" s="145"/>
      <c r="P39" s="145"/>
      <c r="Q39" s="145"/>
      <c r="R39" s="100"/>
      <c r="S39" s="100"/>
      <c r="T39" s="100"/>
      <c r="U39" s="146"/>
      <c r="V39" s="100"/>
    </row>
    <row r="40" outlineLevel="1">
      <c r="A40" s="146"/>
      <c r="B40" s="147" t="s">
        <v>1316</v>
      </c>
      <c r="C40" s="245" t="s">
        <v>543</v>
      </c>
      <c r="D40" s="210"/>
      <c r="E40" s="245" t="s">
        <v>5815</v>
      </c>
      <c r="F40" s="246" t="s">
        <v>5816</v>
      </c>
      <c r="G40" s="467" t="s">
        <v>5817</v>
      </c>
      <c r="H40" s="212"/>
      <c r="J40" s="210"/>
      <c r="K40" s="145"/>
      <c r="L40" s="363"/>
      <c r="M40" s="363"/>
      <c r="N40" s="363"/>
      <c r="O40" s="145"/>
      <c r="P40" s="145"/>
      <c r="Q40" s="145"/>
      <c r="R40" s="100"/>
      <c r="S40" s="100"/>
      <c r="T40" s="100"/>
      <c r="U40" s="146"/>
      <c r="V40" s="100"/>
    </row>
    <row r="41" outlineLevel="1">
      <c r="A41" s="156"/>
      <c r="B41" s="147" t="s">
        <v>5819</v>
      </c>
      <c r="C41" s="245" t="s">
        <v>1208</v>
      </c>
      <c r="D41" s="107"/>
      <c r="E41" s="245" t="s">
        <v>1713</v>
      </c>
      <c r="F41" s="246" t="s">
        <v>1714</v>
      </c>
      <c r="G41" s="467" t="s">
        <v>1715</v>
      </c>
      <c r="H41" s="106"/>
      <c r="I41" s="168"/>
      <c r="J41" s="107"/>
      <c r="K41" s="145"/>
      <c r="L41" s="363"/>
      <c r="M41" s="363"/>
      <c r="N41" s="363"/>
      <c r="O41" s="145"/>
      <c r="P41" s="145"/>
      <c r="Q41" s="145"/>
      <c r="R41" s="100"/>
      <c r="S41" s="100"/>
      <c r="T41" s="100"/>
      <c r="U41" s="156"/>
      <c r="V41" s="100"/>
    </row>
    <row r="42" outlineLevel="1">
      <c r="A42" s="133" t="s">
        <v>103</v>
      </c>
      <c r="B42" s="160"/>
      <c r="C42" s="245" t="s">
        <v>1290</v>
      </c>
      <c r="D42" s="823" t="s">
        <v>218</v>
      </c>
      <c r="E42" s="245" t="s">
        <v>5815</v>
      </c>
      <c r="F42" s="246" t="s">
        <v>5816</v>
      </c>
      <c r="G42" s="467" t="s">
        <v>5817</v>
      </c>
      <c r="H42" s="163" t="s">
        <v>5820</v>
      </c>
      <c r="I42" s="164"/>
      <c r="J42" s="104"/>
      <c r="K42" s="145"/>
      <c r="L42" s="363"/>
      <c r="M42" s="363"/>
      <c r="N42" s="363"/>
      <c r="O42" s="145">
        <v>0.0</v>
      </c>
      <c r="P42" s="145">
        <v>1.0</v>
      </c>
      <c r="Q42" s="145">
        <v>1.0</v>
      </c>
      <c r="R42" s="100"/>
      <c r="S42" s="100"/>
      <c r="T42" s="100"/>
      <c r="U42" s="3301"/>
      <c r="V42" s="100"/>
    </row>
    <row r="43" outlineLevel="1">
      <c r="A43" s="156"/>
      <c r="B43" s="147" t="s">
        <v>84</v>
      </c>
      <c r="C43" s="245" t="s">
        <v>943</v>
      </c>
      <c r="D43" s="107"/>
      <c r="E43" s="245" t="s">
        <v>5821</v>
      </c>
      <c r="F43" s="246" t="s">
        <v>5822</v>
      </c>
      <c r="G43" s="467" t="s">
        <v>5823</v>
      </c>
      <c r="H43" s="106"/>
      <c r="I43" s="168"/>
      <c r="J43" s="107"/>
      <c r="K43" s="363"/>
      <c r="L43" s="363"/>
      <c r="M43" s="363"/>
      <c r="N43" s="363"/>
      <c r="O43" s="145">
        <v>0.0</v>
      </c>
      <c r="P43" s="145">
        <v>1.0</v>
      </c>
      <c r="Q43" s="145">
        <v>1.0</v>
      </c>
      <c r="R43" s="100"/>
      <c r="S43" s="100"/>
      <c r="T43" s="100"/>
      <c r="U43" s="156"/>
      <c r="V43" s="100"/>
    </row>
    <row r="44" outlineLevel="1">
      <c r="A44" s="133" t="s">
        <v>5824</v>
      </c>
      <c r="B44" s="2717" t="s">
        <v>5825</v>
      </c>
      <c r="C44" s="245" t="s">
        <v>409</v>
      </c>
      <c r="D44" s="823" t="s">
        <v>901</v>
      </c>
      <c r="E44" s="3366" t="s">
        <v>5826</v>
      </c>
      <c r="F44" s="3367" t="s">
        <v>5827</v>
      </c>
      <c r="G44" s="467" t="s">
        <v>5828</v>
      </c>
      <c r="H44" s="163" t="s">
        <v>5829</v>
      </c>
      <c r="I44" s="164"/>
      <c r="J44" s="104"/>
      <c r="K44" s="363"/>
      <c r="L44" s="363"/>
      <c r="M44" s="363"/>
      <c r="N44" s="363"/>
      <c r="O44" s="145"/>
      <c r="P44" s="145"/>
      <c r="Q44" s="145"/>
      <c r="R44" s="100"/>
      <c r="S44" s="100"/>
      <c r="T44" s="100"/>
      <c r="U44" s="3301"/>
      <c r="V44" s="100"/>
    </row>
    <row r="45" outlineLevel="1">
      <c r="A45" s="146"/>
      <c r="B45" s="146"/>
      <c r="C45" s="245" t="s">
        <v>1169</v>
      </c>
      <c r="D45" s="210"/>
      <c r="E45" s="3368" t="s">
        <v>5830</v>
      </c>
      <c r="F45" s="3367" t="s">
        <v>5831</v>
      </c>
      <c r="G45" s="467" t="s">
        <v>5832</v>
      </c>
      <c r="H45" s="212"/>
      <c r="J45" s="210"/>
      <c r="K45" s="363"/>
      <c r="L45" s="363"/>
      <c r="M45" s="363"/>
      <c r="N45" s="363"/>
      <c r="O45" s="145"/>
      <c r="P45" s="145"/>
      <c r="Q45" s="145"/>
      <c r="R45" s="100"/>
      <c r="S45" s="100"/>
      <c r="T45" s="100"/>
      <c r="U45" s="146"/>
      <c r="V45" s="100"/>
    </row>
    <row r="46" outlineLevel="1">
      <c r="A46" s="146"/>
      <c r="B46" s="156"/>
      <c r="C46" s="780" t="s">
        <v>5833</v>
      </c>
      <c r="D46" s="107"/>
      <c r="E46" s="3368" t="s">
        <v>5834</v>
      </c>
      <c r="F46" s="3367" t="s">
        <v>5835</v>
      </c>
      <c r="G46" s="467" t="s">
        <v>5836</v>
      </c>
      <c r="H46" s="212"/>
      <c r="J46" s="210"/>
      <c r="K46" s="363"/>
      <c r="L46" s="363"/>
      <c r="M46" s="363"/>
      <c r="N46" s="363"/>
      <c r="O46" s="145"/>
      <c r="P46" s="145"/>
      <c r="Q46" s="145"/>
      <c r="R46" s="100"/>
      <c r="S46" s="100"/>
      <c r="T46" s="100"/>
      <c r="U46" s="146"/>
      <c r="V46" s="100"/>
    </row>
    <row r="47" outlineLevel="1">
      <c r="A47" s="146"/>
      <c r="B47" s="147" t="s">
        <v>5837</v>
      </c>
      <c r="C47" s="365" t="s">
        <v>2203</v>
      </c>
      <c r="D47" s="245" t="s">
        <v>5838</v>
      </c>
      <c r="E47" s="3368" t="s">
        <v>5839</v>
      </c>
      <c r="F47" s="3367" t="s">
        <v>5840</v>
      </c>
      <c r="G47" s="467" t="s">
        <v>5841</v>
      </c>
      <c r="H47" s="212"/>
      <c r="J47" s="210"/>
      <c r="K47" s="363"/>
      <c r="L47" s="363"/>
      <c r="M47" s="363"/>
      <c r="N47" s="363"/>
      <c r="O47" s="145"/>
      <c r="P47" s="145"/>
      <c r="Q47" s="145"/>
      <c r="R47" s="100"/>
      <c r="S47" s="100"/>
      <c r="T47" s="100"/>
      <c r="U47" s="146"/>
      <c r="V47" s="100"/>
    </row>
    <row r="48" outlineLevel="1">
      <c r="A48" s="146"/>
      <c r="B48" s="2717" t="s">
        <v>5842</v>
      </c>
      <c r="C48" s="245" t="s">
        <v>1137</v>
      </c>
      <c r="D48" s="823" t="s">
        <v>600</v>
      </c>
      <c r="E48" s="3369" t="s">
        <v>5843</v>
      </c>
      <c r="F48" s="3370" t="s">
        <v>5844</v>
      </c>
      <c r="G48" s="467" t="s">
        <v>95</v>
      </c>
      <c r="H48" s="212"/>
      <c r="J48" s="210"/>
      <c r="K48" s="363"/>
      <c r="L48" s="363"/>
      <c r="M48" s="363"/>
      <c r="N48" s="363"/>
      <c r="O48" s="145"/>
      <c r="P48" s="145"/>
      <c r="Q48" s="145"/>
      <c r="R48" s="100"/>
      <c r="S48" s="100"/>
      <c r="T48" s="100"/>
      <c r="U48" s="146"/>
      <c r="V48" s="100"/>
    </row>
    <row r="49" outlineLevel="1">
      <c r="A49" s="146"/>
      <c r="B49" s="156"/>
      <c r="C49" s="245" t="s">
        <v>5845</v>
      </c>
      <c r="D49" s="210"/>
      <c r="E49" s="3371" t="s">
        <v>5844</v>
      </c>
      <c r="F49" s="3370" t="s">
        <v>5846</v>
      </c>
      <c r="G49" s="467" t="s">
        <v>123</v>
      </c>
      <c r="H49" s="212"/>
      <c r="J49" s="210"/>
      <c r="K49" s="363"/>
      <c r="L49" s="363"/>
      <c r="M49" s="363"/>
      <c r="N49" s="363"/>
      <c r="O49" s="145"/>
      <c r="P49" s="145"/>
      <c r="Q49" s="145"/>
      <c r="R49" s="100"/>
      <c r="S49" s="100"/>
      <c r="T49" s="100"/>
      <c r="U49" s="146"/>
      <c r="V49" s="100"/>
    </row>
    <row r="50" outlineLevel="1">
      <c r="A50" s="146"/>
      <c r="B50" s="134" t="s">
        <v>5847</v>
      </c>
      <c r="C50" s="245" t="s">
        <v>3370</v>
      </c>
      <c r="D50" s="107"/>
      <c r="E50" s="3371" t="s">
        <v>5848</v>
      </c>
      <c r="F50" s="3370" t="s">
        <v>5849</v>
      </c>
      <c r="G50" s="467" t="s">
        <v>5709</v>
      </c>
      <c r="H50" s="212"/>
      <c r="J50" s="210"/>
      <c r="K50" s="363"/>
      <c r="L50" s="363"/>
      <c r="M50" s="363"/>
      <c r="N50" s="363"/>
      <c r="O50" s="145"/>
      <c r="P50" s="145"/>
      <c r="Q50" s="145"/>
      <c r="R50" s="100"/>
      <c r="S50" s="100"/>
      <c r="T50" s="100"/>
      <c r="U50" s="146"/>
      <c r="V50" s="100"/>
    </row>
    <row r="51" outlineLevel="1">
      <c r="A51" s="146"/>
      <c r="B51" s="2717" t="s">
        <v>5850</v>
      </c>
      <c r="C51" s="245" t="s">
        <v>409</v>
      </c>
      <c r="D51" s="823" t="s">
        <v>2269</v>
      </c>
      <c r="E51" s="3369" t="s">
        <v>5851</v>
      </c>
      <c r="F51" s="3370" t="s">
        <v>5852</v>
      </c>
      <c r="G51" s="467" t="s">
        <v>297</v>
      </c>
      <c r="H51" s="212"/>
      <c r="J51" s="210"/>
      <c r="K51" s="363"/>
      <c r="L51" s="363"/>
      <c r="M51" s="363"/>
      <c r="N51" s="363"/>
      <c r="O51" s="145"/>
      <c r="P51" s="145"/>
      <c r="Q51" s="145"/>
      <c r="R51" s="100"/>
      <c r="S51" s="100"/>
      <c r="T51" s="100"/>
      <c r="U51" s="146"/>
      <c r="V51" s="100"/>
    </row>
    <row r="52" outlineLevel="1">
      <c r="A52" s="146"/>
      <c r="B52" s="146"/>
      <c r="C52" s="245" t="s">
        <v>5853</v>
      </c>
      <c r="D52" s="210"/>
      <c r="E52" s="3371" t="s">
        <v>5854</v>
      </c>
      <c r="F52" s="3370" t="s">
        <v>5855</v>
      </c>
      <c r="G52" s="467" t="s">
        <v>82</v>
      </c>
      <c r="H52" s="212"/>
      <c r="J52" s="210"/>
      <c r="K52" s="363"/>
      <c r="L52" s="363"/>
      <c r="M52" s="363"/>
      <c r="N52" s="363"/>
      <c r="O52" s="145"/>
      <c r="P52" s="145"/>
      <c r="Q52" s="145"/>
      <c r="R52" s="100"/>
      <c r="S52" s="100"/>
      <c r="T52" s="100"/>
      <c r="U52" s="146"/>
      <c r="V52" s="100"/>
    </row>
    <row r="53" outlineLevel="1">
      <c r="A53" s="156"/>
      <c r="B53" s="156"/>
      <c r="C53" s="245" t="s">
        <v>5856</v>
      </c>
      <c r="D53" s="107"/>
      <c r="E53" s="3371" t="s">
        <v>5851</v>
      </c>
      <c r="F53" s="3370" t="s">
        <v>5852</v>
      </c>
      <c r="G53" s="467" t="s">
        <v>297</v>
      </c>
      <c r="H53" s="106"/>
      <c r="I53" s="168"/>
      <c r="J53" s="107"/>
      <c r="K53" s="363"/>
      <c r="L53" s="363"/>
      <c r="M53" s="363"/>
      <c r="N53" s="363"/>
      <c r="O53" s="145"/>
      <c r="P53" s="145"/>
      <c r="Q53" s="145"/>
      <c r="R53" s="100"/>
      <c r="S53" s="100"/>
      <c r="T53" s="100"/>
      <c r="U53" s="156"/>
      <c r="V53" s="100"/>
    </row>
    <row r="54" ht="40.5" customHeight="1" outlineLevel="1">
      <c r="A54" s="133" t="s">
        <v>116</v>
      </c>
      <c r="B54" s="160"/>
      <c r="C54" s="780" t="s">
        <v>161</v>
      </c>
      <c r="D54" s="826" t="s">
        <v>892</v>
      </c>
      <c r="E54" s="1091" t="s">
        <v>3191</v>
      </c>
      <c r="F54" s="246" t="s">
        <v>3192</v>
      </c>
      <c r="G54" s="467" t="s">
        <v>3193</v>
      </c>
      <c r="H54" s="386" t="s">
        <v>5857</v>
      </c>
      <c r="I54" s="164"/>
      <c r="J54" s="104"/>
      <c r="K54" s="363"/>
      <c r="L54" s="363"/>
      <c r="M54" s="363"/>
      <c r="N54" s="363"/>
      <c r="O54" s="145">
        <v>0.0</v>
      </c>
      <c r="P54" s="145">
        <v>1.0</v>
      </c>
      <c r="Q54" s="145">
        <v>1.0</v>
      </c>
      <c r="R54" s="100"/>
      <c r="S54" s="100"/>
      <c r="T54" s="100"/>
      <c r="U54" s="3301"/>
      <c r="V54" s="100"/>
    </row>
    <row r="55" ht="40.5" customHeight="1" outlineLevel="1">
      <c r="A55" s="146"/>
      <c r="B55" s="147" t="s">
        <v>187</v>
      </c>
      <c r="C55" s="780" t="s">
        <v>382</v>
      </c>
      <c r="D55" s="210"/>
      <c r="E55" s="245" t="s">
        <v>3194</v>
      </c>
      <c r="F55" s="246" t="s">
        <v>3195</v>
      </c>
      <c r="G55" s="467" t="s">
        <v>3196</v>
      </c>
      <c r="H55" s="212"/>
      <c r="J55" s="210"/>
      <c r="K55" s="363"/>
      <c r="L55" s="363"/>
      <c r="M55" s="363"/>
      <c r="N55" s="363"/>
      <c r="O55" s="145"/>
      <c r="P55" s="145"/>
      <c r="Q55" s="145"/>
      <c r="R55" s="100"/>
      <c r="S55" s="100"/>
      <c r="T55" s="100"/>
      <c r="U55" s="146"/>
      <c r="V55" s="100"/>
    </row>
    <row r="56" ht="40.5" customHeight="1" outlineLevel="1">
      <c r="A56" s="156"/>
      <c r="B56" s="147" t="s">
        <v>189</v>
      </c>
      <c r="C56" s="780" t="s">
        <v>325</v>
      </c>
      <c r="D56" s="107"/>
      <c r="E56" s="245" t="s">
        <v>5440</v>
      </c>
      <c r="F56" s="246" t="s">
        <v>5441</v>
      </c>
      <c r="G56" s="467" t="s">
        <v>5858</v>
      </c>
      <c r="H56" s="106"/>
      <c r="I56" s="168"/>
      <c r="J56" s="107"/>
      <c r="K56" s="363"/>
      <c r="L56" s="363"/>
      <c r="M56" s="363"/>
      <c r="N56" s="363"/>
      <c r="O56" s="145">
        <v>0.0</v>
      </c>
      <c r="P56" s="145">
        <v>1.0</v>
      </c>
      <c r="Q56" s="145">
        <v>1.0</v>
      </c>
      <c r="R56" s="100"/>
      <c r="S56" s="100"/>
      <c r="T56" s="100"/>
      <c r="U56" s="156"/>
      <c r="V56" s="100"/>
    </row>
    <row r="57" outlineLevel="1">
      <c r="A57" s="170" t="s">
        <v>124</v>
      </c>
      <c r="B57" s="147"/>
      <c r="C57" s="214" t="s">
        <v>549</v>
      </c>
      <c r="D57" s="245" t="s">
        <v>541</v>
      </c>
      <c r="E57" s="245" t="s">
        <v>3202</v>
      </c>
      <c r="F57" s="246" t="s">
        <v>3203</v>
      </c>
      <c r="G57" s="467" t="s">
        <v>5423</v>
      </c>
      <c r="H57" s="151" t="s">
        <v>5859</v>
      </c>
      <c r="I57" s="110"/>
      <c r="J57" s="109"/>
      <c r="K57" s="282"/>
      <c r="L57" s="282"/>
      <c r="M57" s="363"/>
      <c r="N57" s="363"/>
      <c r="O57" s="145">
        <v>0.0</v>
      </c>
      <c r="P57" s="145">
        <v>1.0</v>
      </c>
      <c r="Q57" s="145">
        <v>1.0</v>
      </c>
      <c r="R57" s="100"/>
      <c r="S57" s="100"/>
      <c r="T57" s="100"/>
      <c r="U57" s="1584"/>
      <c r="V57" s="100"/>
    </row>
    <row r="58">
      <c r="A58" s="118"/>
      <c r="B58" s="176"/>
      <c r="C58" s="118"/>
      <c r="D58" s="118"/>
      <c r="E58" s="118"/>
      <c r="F58" s="177"/>
      <c r="G58" s="177"/>
      <c r="H58" s="118"/>
      <c r="I58" s="118"/>
      <c r="J58" s="118"/>
      <c r="K58" s="118"/>
      <c r="L58" s="118"/>
      <c r="M58" s="118"/>
      <c r="N58" s="118"/>
      <c r="O58" s="118"/>
      <c r="P58" s="118"/>
      <c r="Q58" s="118"/>
      <c r="R58" s="118"/>
      <c r="S58" s="118"/>
      <c r="T58" s="118"/>
      <c r="U58" s="118"/>
      <c r="V58" s="118"/>
    </row>
    <row r="59">
      <c r="A59" s="178" t="s">
        <v>133</v>
      </c>
      <c r="B59" s="104"/>
      <c r="C59" s="179"/>
      <c r="D59" s="179"/>
      <c r="E59" s="179"/>
      <c r="F59" s="180"/>
      <c r="G59" s="179"/>
      <c r="H59" s="180"/>
      <c r="I59" s="180"/>
      <c r="J59" s="181"/>
      <c r="K59" s="180"/>
      <c r="L59" s="180"/>
      <c r="M59" s="180"/>
      <c r="N59" s="180"/>
      <c r="O59" s="180"/>
      <c r="P59" s="180"/>
      <c r="Q59" s="180"/>
      <c r="R59" s="180"/>
      <c r="S59" s="180"/>
      <c r="T59" s="180"/>
      <c r="U59" s="180"/>
      <c r="V59" s="180"/>
    </row>
    <row r="60" outlineLevel="1">
      <c r="A60" s="106"/>
      <c r="B60" s="107"/>
      <c r="C60" s="182" t="s">
        <v>48</v>
      </c>
      <c r="D60" s="183" t="s">
        <v>49</v>
      </c>
      <c r="E60" s="182" t="s">
        <v>50</v>
      </c>
      <c r="F60" s="184" t="s">
        <v>51</v>
      </c>
      <c r="G60" s="184" t="s">
        <v>134</v>
      </c>
      <c r="H60" s="185" t="s">
        <v>52</v>
      </c>
      <c r="I60" s="184" t="s">
        <v>135</v>
      </c>
      <c r="J60" s="186" t="s">
        <v>136</v>
      </c>
      <c r="K60" s="184" t="s">
        <v>137</v>
      </c>
      <c r="L60" s="184" t="s">
        <v>138</v>
      </c>
      <c r="M60" s="184" t="s">
        <v>139</v>
      </c>
      <c r="N60" s="184" t="s">
        <v>140</v>
      </c>
      <c r="O60" s="186" t="s">
        <v>141</v>
      </c>
      <c r="P60" s="184" t="s">
        <v>142</v>
      </c>
      <c r="Q60" s="186" t="s">
        <v>143</v>
      </c>
      <c r="R60" s="372" t="s">
        <v>53</v>
      </c>
      <c r="S60" s="110"/>
      <c r="T60" s="110"/>
      <c r="U60" s="110"/>
      <c r="V60" s="109"/>
    </row>
    <row r="61" ht="30.75" customHeight="1" outlineLevel="1">
      <c r="A61" s="188" t="s">
        <v>144</v>
      </c>
      <c r="B61" s="373" t="s">
        <v>5804</v>
      </c>
      <c r="C61" s="239" t="s">
        <v>771</v>
      </c>
      <c r="D61" s="113" t="s">
        <v>79</v>
      </c>
      <c r="E61" s="401" t="s">
        <v>5860</v>
      </c>
      <c r="F61" s="193" t="s">
        <v>5861</v>
      </c>
      <c r="G61" s="193" t="s">
        <v>5862</v>
      </c>
      <c r="H61" s="138" t="s">
        <v>4489</v>
      </c>
      <c r="I61" s="379" t="s">
        <v>129</v>
      </c>
      <c r="J61" s="455" t="s">
        <v>1949</v>
      </c>
      <c r="K61" s="138">
        <v>361.0</v>
      </c>
      <c r="L61" s="282"/>
      <c r="M61" s="363"/>
      <c r="N61" s="363"/>
      <c r="O61" s="145">
        <v>0.0</v>
      </c>
      <c r="P61" s="145">
        <v>1.0</v>
      </c>
      <c r="Q61" s="145">
        <v>1.0</v>
      </c>
      <c r="R61" s="163" t="s">
        <v>5863</v>
      </c>
      <c r="S61" s="164"/>
      <c r="T61" s="164"/>
      <c r="U61" s="164"/>
      <c r="V61" s="104"/>
    </row>
    <row r="62" ht="30.75" customHeight="1" outlineLevel="1">
      <c r="A62" s="146"/>
      <c r="B62" s="373" t="s">
        <v>5809</v>
      </c>
      <c r="C62" s="239" t="s">
        <v>1384</v>
      </c>
      <c r="D62" s="113" t="s">
        <v>593</v>
      </c>
      <c r="E62" s="401" t="s">
        <v>86</v>
      </c>
      <c r="F62" s="138">
        <v>7.199999999999999</v>
      </c>
      <c r="G62" s="138">
        <v>6.12</v>
      </c>
      <c r="H62" s="138" t="s">
        <v>60</v>
      </c>
      <c r="I62" s="210"/>
      <c r="J62" s="210"/>
      <c r="K62" s="138"/>
      <c r="L62" s="282"/>
      <c r="M62" s="363"/>
      <c r="N62" s="363"/>
      <c r="O62" s="145"/>
      <c r="P62" s="145"/>
      <c r="Q62" s="145"/>
      <c r="R62" s="212"/>
      <c r="V62" s="210"/>
    </row>
    <row r="63" ht="30.75" customHeight="1" outlineLevel="1">
      <c r="A63" s="156"/>
      <c r="B63" s="373" t="s">
        <v>5811</v>
      </c>
      <c r="C63" s="239" t="s">
        <v>3100</v>
      </c>
      <c r="D63" s="113" t="s">
        <v>413</v>
      </c>
      <c r="E63" s="239" t="s">
        <v>129</v>
      </c>
      <c r="F63" s="138">
        <v>14.399999999999999</v>
      </c>
      <c r="G63" s="138">
        <v>12.24</v>
      </c>
      <c r="H63" s="138" t="s">
        <v>75</v>
      </c>
      <c r="I63" s="107"/>
      <c r="J63" s="107"/>
      <c r="K63" s="138">
        <v>363.0</v>
      </c>
      <c r="L63" s="282"/>
      <c r="M63" s="363"/>
      <c r="N63" s="363"/>
      <c r="O63" s="145">
        <v>0.0</v>
      </c>
      <c r="P63" s="145">
        <v>1.0</v>
      </c>
      <c r="Q63" s="145">
        <v>1.0</v>
      </c>
      <c r="R63" s="106"/>
      <c r="S63" s="168"/>
      <c r="T63" s="168"/>
      <c r="U63" s="168"/>
      <c r="V63" s="107"/>
    </row>
    <row r="64" outlineLevel="1">
      <c r="A64" s="188" t="s">
        <v>5864</v>
      </c>
      <c r="B64" s="373" t="s">
        <v>5804</v>
      </c>
      <c r="C64" s="239" t="s">
        <v>2880</v>
      </c>
      <c r="D64" s="113" t="s">
        <v>892</v>
      </c>
      <c r="E64" s="245" t="s">
        <v>5806</v>
      </c>
      <c r="F64" s="246" t="s">
        <v>5807</v>
      </c>
      <c r="G64" s="138" t="s">
        <v>5865</v>
      </c>
      <c r="H64" s="138" t="s">
        <v>4503</v>
      </c>
      <c r="I64" s="455" t="s">
        <v>76</v>
      </c>
      <c r="J64" s="455" t="s">
        <v>76</v>
      </c>
      <c r="K64" s="138">
        <v>45.0</v>
      </c>
      <c r="L64" s="282"/>
      <c r="M64" s="363"/>
      <c r="N64" s="363"/>
      <c r="O64" s="145">
        <v>0.0</v>
      </c>
      <c r="P64" s="145">
        <v>1.0</v>
      </c>
      <c r="Q64" s="145">
        <v>1.0</v>
      </c>
      <c r="R64" s="163" t="s">
        <v>5866</v>
      </c>
      <c r="S64" s="164"/>
      <c r="T64" s="164"/>
      <c r="U64" s="164"/>
      <c r="V64" s="104"/>
    </row>
    <row r="65" ht="21.0" customHeight="1" outlineLevel="1">
      <c r="A65" s="146"/>
      <c r="B65" s="373" t="s">
        <v>5809</v>
      </c>
      <c r="C65" s="239" t="s">
        <v>465</v>
      </c>
      <c r="D65" s="279" t="s">
        <v>111</v>
      </c>
      <c r="E65" s="245" t="s">
        <v>150</v>
      </c>
      <c r="F65" s="138">
        <v>6.0</v>
      </c>
      <c r="G65" s="138">
        <v>5.1</v>
      </c>
      <c r="H65" s="138" t="s">
        <v>102</v>
      </c>
      <c r="I65" s="210"/>
      <c r="J65" s="210"/>
      <c r="K65" s="138"/>
      <c r="L65" s="282"/>
      <c r="M65" s="363"/>
      <c r="N65" s="363"/>
      <c r="O65" s="145"/>
      <c r="P65" s="145"/>
      <c r="Q65" s="145"/>
      <c r="R65" s="212"/>
      <c r="V65" s="210"/>
    </row>
    <row r="66" outlineLevel="1">
      <c r="A66" s="146"/>
      <c r="B66" s="373" t="s">
        <v>5867</v>
      </c>
      <c r="C66" s="239" t="s">
        <v>1169</v>
      </c>
      <c r="D66" s="156"/>
      <c r="E66" s="245" t="s">
        <v>535</v>
      </c>
      <c r="F66" s="138">
        <v>3.0</v>
      </c>
      <c r="G66" s="138">
        <v>2.55</v>
      </c>
      <c r="H66" s="138" t="s">
        <v>170</v>
      </c>
      <c r="I66" s="210"/>
      <c r="J66" s="210"/>
      <c r="K66" s="138"/>
      <c r="L66" s="282"/>
      <c r="M66" s="363"/>
      <c r="N66" s="363"/>
      <c r="O66" s="145"/>
      <c r="P66" s="145"/>
      <c r="Q66" s="145"/>
      <c r="R66" s="212"/>
      <c r="V66" s="210"/>
    </row>
    <row r="67" ht="21.0" customHeight="1" outlineLevel="1">
      <c r="A67" s="156"/>
      <c r="B67" s="373" t="s">
        <v>5811</v>
      </c>
      <c r="C67" s="239" t="s">
        <v>3900</v>
      </c>
      <c r="D67" s="113" t="s">
        <v>424</v>
      </c>
      <c r="E67" s="245" t="s">
        <v>232</v>
      </c>
      <c r="F67" s="138">
        <v>13.2</v>
      </c>
      <c r="G67" s="138">
        <v>11.22</v>
      </c>
      <c r="H67" s="138" t="s">
        <v>121</v>
      </c>
      <c r="I67" s="107"/>
      <c r="J67" s="107"/>
      <c r="K67" s="138">
        <v>365.0</v>
      </c>
      <c r="L67" s="282"/>
      <c r="M67" s="363"/>
      <c r="N67" s="363"/>
      <c r="O67" s="145">
        <v>0.0</v>
      </c>
      <c r="P67" s="145">
        <v>1.0</v>
      </c>
      <c r="Q67" s="145">
        <v>1.0</v>
      </c>
      <c r="R67" s="106"/>
      <c r="S67" s="168"/>
      <c r="T67" s="168"/>
      <c r="U67" s="168"/>
      <c r="V67" s="107"/>
    </row>
    <row r="68" outlineLevel="1">
      <c r="A68" s="188" t="s">
        <v>5868</v>
      </c>
      <c r="B68" s="3372" t="s">
        <v>5804</v>
      </c>
      <c r="C68" s="239" t="s">
        <v>409</v>
      </c>
      <c r="D68" s="279" t="s">
        <v>335</v>
      </c>
      <c r="E68" s="245" t="s">
        <v>5844</v>
      </c>
      <c r="F68" s="138" t="s">
        <v>5846</v>
      </c>
      <c r="G68" s="138" t="s">
        <v>5869</v>
      </c>
      <c r="H68" s="138" t="s">
        <v>5870</v>
      </c>
      <c r="I68" s="455" t="s">
        <v>76</v>
      </c>
      <c r="J68" s="455" t="s">
        <v>76</v>
      </c>
      <c r="K68" s="138">
        <v>57.0</v>
      </c>
      <c r="L68" s="282"/>
      <c r="M68" s="363"/>
      <c r="N68" s="363"/>
      <c r="O68" s="145">
        <v>0.0</v>
      </c>
      <c r="P68" s="145">
        <v>1.0</v>
      </c>
      <c r="Q68" s="145">
        <v>1.0</v>
      </c>
      <c r="R68" s="163" t="s">
        <v>5871</v>
      </c>
      <c r="S68" s="164"/>
      <c r="T68" s="164"/>
      <c r="U68" s="164"/>
      <c r="V68" s="104"/>
    </row>
    <row r="69" outlineLevel="1">
      <c r="A69" s="146"/>
      <c r="B69" s="146"/>
      <c r="C69" s="239" t="s">
        <v>401</v>
      </c>
      <c r="D69" s="146"/>
      <c r="E69" s="245" t="s">
        <v>5872</v>
      </c>
      <c r="F69" s="138" t="s">
        <v>5873</v>
      </c>
      <c r="G69" s="138" t="s">
        <v>5874</v>
      </c>
      <c r="H69" s="138" t="s">
        <v>4400</v>
      </c>
      <c r="I69" s="210"/>
      <c r="J69" s="210"/>
      <c r="K69" s="138"/>
      <c r="L69" s="282"/>
      <c r="M69" s="363"/>
      <c r="N69" s="363"/>
      <c r="O69" s="145"/>
      <c r="P69" s="145"/>
      <c r="Q69" s="145"/>
      <c r="R69" s="212"/>
      <c r="V69" s="210"/>
    </row>
    <row r="70" outlineLevel="1">
      <c r="A70" s="146"/>
      <c r="B70" s="156"/>
      <c r="C70" s="239" t="s">
        <v>4018</v>
      </c>
      <c r="D70" s="156"/>
      <c r="E70" s="245" t="s">
        <v>5875</v>
      </c>
      <c r="F70" s="138" t="s">
        <v>5876</v>
      </c>
      <c r="G70" s="138" t="s">
        <v>5877</v>
      </c>
      <c r="H70" s="138" t="s">
        <v>4410</v>
      </c>
      <c r="I70" s="210"/>
      <c r="J70" s="210"/>
      <c r="K70" s="138"/>
      <c r="L70" s="282"/>
      <c r="M70" s="363"/>
      <c r="N70" s="363"/>
      <c r="O70" s="145"/>
      <c r="P70" s="145"/>
      <c r="Q70" s="145"/>
      <c r="R70" s="212"/>
      <c r="V70" s="210"/>
    </row>
    <row r="71" outlineLevel="1">
      <c r="A71" s="146"/>
      <c r="B71" s="373" t="s">
        <v>5837</v>
      </c>
      <c r="C71" s="365" t="s">
        <v>2203</v>
      </c>
      <c r="D71" s="113" t="s">
        <v>5838</v>
      </c>
      <c r="E71" s="216" t="s">
        <v>5839</v>
      </c>
      <c r="F71" s="138" t="s">
        <v>5840</v>
      </c>
      <c r="G71" s="138" t="s">
        <v>5878</v>
      </c>
      <c r="H71" s="138" t="s">
        <v>4510</v>
      </c>
      <c r="I71" s="210"/>
      <c r="J71" s="210"/>
      <c r="K71" s="138"/>
      <c r="L71" s="282"/>
      <c r="M71" s="363"/>
      <c r="N71" s="363"/>
      <c r="O71" s="145"/>
      <c r="P71" s="145"/>
      <c r="Q71" s="145"/>
      <c r="R71" s="212"/>
      <c r="V71" s="210"/>
    </row>
    <row r="72" outlineLevel="1">
      <c r="A72" s="146"/>
      <c r="B72" s="3372" t="s">
        <v>5809</v>
      </c>
      <c r="C72" s="239" t="s">
        <v>1137</v>
      </c>
      <c r="D72" s="279" t="s">
        <v>300</v>
      </c>
      <c r="E72" s="239" t="s">
        <v>128</v>
      </c>
      <c r="F72" s="138">
        <v>12.0</v>
      </c>
      <c r="G72" s="138">
        <v>10.2</v>
      </c>
      <c r="H72" s="2880" t="s">
        <v>95</v>
      </c>
      <c r="I72" s="210"/>
      <c r="J72" s="210"/>
      <c r="K72" s="138"/>
      <c r="L72" s="282"/>
      <c r="M72" s="363"/>
      <c r="N72" s="363"/>
      <c r="O72" s="145"/>
      <c r="P72" s="145"/>
      <c r="Q72" s="145"/>
      <c r="R72" s="212"/>
      <c r="V72" s="210"/>
    </row>
    <row r="73" outlineLevel="1">
      <c r="A73" s="146"/>
      <c r="B73" s="156"/>
      <c r="C73" s="245" t="s">
        <v>1164</v>
      </c>
      <c r="D73" s="146"/>
      <c r="E73" s="239" t="s">
        <v>129</v>
      </c>
      <c r="F73" s="138">
        <v>14.399999999999999</v>
      </c>
      <c r="G73" s="138">
        <v>12.24</v>
      </c>
      <c r="H73" s="2880" t="s">
        <v>123</v>
      </c>
      <c r="I73" s="210"/>
      <c r="J73" s="210"/>
      <c r="K73" s="138"/>
      <c r="L73" s="282"/>
      <c r="M73" s="363"/>
      <c r="N73" s="363"/>
      <c r="O73" s="145"/>
      <c r="P73" s="145"/>
      <c r="Q73" s="145"/>
      <c r="R73" s="212"/>
      <c r="V73" s="210"/>
    </row>
    <row r="74" outlineLevel="1">
      <c r="A74" s="146"/>
      <c r="B74" s="373" t="s">
        <v>5867</v>
      </c>
      <c r="C74" s="245" t="s">
        <v>5879</v>
      </c>
      <c r="D74" s="156"/>
      <c r="E74" s="239" t="s">
        <v>535</v>
      </c>
      <c r="F74" s="138">
        <v>3.0</v>
      </c>
      <c r="G74" s="138">
        <v>2.55</v>
      </c>
      <c r="H74" s="2880" t="s">
        <v>170</v>
      </c>
      <c r="I74" s="210"/>
      <c r="J74" s="210"/>
      <c r="K74" s="138"/>
      <c r="L74" s="282"/>
      <c r="M74" s="363"/>
      <c r="N74" s="363"/>
      <c r="O74" s="145"/>
      <c r="P74" s="145"/>
      <c r="Q74" s="145"/>
      <c r="R74" s="212"/>
      <c r="V74" s="210"/>
    </row>
    <row r="75" outlineLevel="1">
      <c r="A75" s="146"/>
      <c r="B75" s="3372" t="s">
        <v>5811</v>
      </c>
      <c r="C75" s="245" t="s">
        <v>409</v>
      </c>
      <c r="D75" s="279" t="s">
        <v>1580</v>
      </c>
      <c r="E75" s="239" t="s">
        <v>296</v>
      </c>
      <c r="F75" s="138">
        <v>22.8</v>
      </c>
      <c r="G75" s="138">
        <v>19.38</v>
      </c>
      <c r="H75" s="2880" t="s">
        <v>297</v>
      </c>
      <c r="I75" s="210"/>
      <c r="J75" s="210"/>
      <c r="K75" s="138"/>
      <c r="L75" s="282"/>
      <c r="M75" s="363"/>
      <c r="N75" s="363"/>
      <c r="O75" s="145"/>
      <c r="P75" s="145"/>
      <c r="Q75" s="145"/>
      <c r="R75" s="212"/>
      <c r="V75" s="210"/>
    </row>
    <row r="76" outlineLevel="1">
      <c r="A76" s="146"/>
      <c r="B76" s="146"/>
      <c r="C76" s="245" t="s">
        <v>895</v>
      </c>
      <c r="D76" s="146"/>
      <c r="E76" s="239" t="s">
        <v>65</v>
      </c>
      <c r="F76" s="138">
        <v>25.2</v>
      </c>
      <c r="G76" s="138">
        <v>21.42</v>
      </c>
      <c r="H76" s="2880" t="s">
        <v>82</v>
      </c>
      <c r="I76" s="210"/>
      <c r="J76" s="210"/>
      <c r="K76" s="138"/>
      <c r="L76" s="282"/>
      <c r="M76" s="363"/>
      <c r="N76" s="363"/>
      <c r="O76" s="145"/>
      <c r="P76" s="145"/>
      <c r="Q76" s="145"/>
      <c r="R76" s="212"/>
      <c r="V76" s="210"/>
    </row>
    <row r="77" outlineLevel="1">
      <c r="A77" s="156"/>
      <c r="B77" s="156"/>
      <c r="C77" s="245" t="s">
        <v>5880</v>
      </c>
      <c r="D77" s="156"/>
      <c r="E77" s="239" t="s">
        <v>296</v>
      </c>
      <c r="F77" s="138">
        <v>22.8</v>
      </c>
      <c r="G77" s="138">
        <v>19.38</v>
      </c>
      <c r="H77" s="2880" t="s">
        <v>297</v>
      </c>
      <c r="I77" s="107"/>
      <c r="J77" s="107"/>
      <c r="K77" s="138">
        <v>241.0</v>
      </c>
      <c r="L77" s="282"/>
      <c r="M77" s="363"/>
      <c r="N77" s="363"/>
      <c r="O77" s="145">
        <v>0.0</v>
      </c>
      <c r="P77" s="145">
        <v>1.0</v>
      </c>
      <c r="Q77" s="145">
        <v>1.0</v>
      </c>
      <c r="R77" s="106"/>
      <c r="S77" s="168"/>
      <c r="T77" s="168"/>
      <c r="U77" s="168"/>
      <c r="V77" s="107"/>
    </row>
    <row r="78" outlineLevel="1">
      <c r="A78" s="213" t="s">
        <v>162</v>
      </c>
      <c r="B78" s="373"/>
      <c r="C78" s="239" t="s">
        <v>890</v>
      </c>
      <c r="D78" s="467" t="s">
        <v>282</v>
      </c>
      <c r="E78" s="239" t="s">
        <v>5881</v>
      </c>
      <c r="F78" s="138" t="s">
        <v>5882</v>
      </c>
      <c r="G78" s="138" t="s">
        <v>5883</v>
      </c>
      <c r="H78" s="2880" t="s">
        <v>914</v>
      </c>
      <c r="I78" s="467" t="s">
        <v>80</v>
      </c>
      <c r="J78" s="467" t="s">
        <v>3062</v>
      </c>
      <c r="K78" s="282"/>
      <c r="L78" s="282"/>
      <c r="M78" s="363"/>
      <c r="N78" s="363"/>
      <c r="O78" s="145">
        <v>0.0</v>
      </c>
      <c r="P78" s="145">
        <v>1.0</v>
      </c>
      <c r="Q78" s="145">
        <v>1.0</v>
      </c>
      <c r="R78" s="151"/>
      <c r="S78" s="110"/>
      <c r="T78" s="110"/>
      <c r="U78" s="110"/>
      <c r="V78" s="109"/>
    </row>
    <row r="79" outlineLevel="1">
      <c r="A79" s="188" t="s">
        <v>166</v>
      </c>
      <c r="B79" s="373"/>
      <c r="C79" s="239" t="s">
        <v>548</v>
      </c>
      <c r="D79" s="455" t="s">
        <v>289</v>
      </c>
      <c r="E79" s="239" t="s">
        <v>232</v>
      </c>
      <c r="F79" s="138">
        <v>13.2</v>
      </c>
      <c r="G79" s="138">
        <v>11.22</v>
      </c>
      <c r="H79" s="2880" t="s">
        <v>147</v>
      </c>
      <c r="I79" s="455" t="s">
        <v>92</v>
      </c>
      <c r="J79" s="455" t="s">
        <v>1311</v>
      </c>
      <c r="K79" s="282"/>
      <c r="L79" s="282"/>
      <c r="M79" s="363"/>
      <c r="N79" s="363"/>
      <c r="O79" s="145">
        <v>0.0</v>
      </c>
      <c r="P79" s="145">
        <v>1.0</v>
      </c>
      <c r="Q79" s="145">
        <v>1.0</v>
      </c>
      <c r="R79" s="163" t="s">
        <v>3746</v>
      </c>
      <c r="S79" s="164"/>
      <c r="T79" s="164"/>
      <c r="U79" s="164"/>
      <c r="V79" s="104"/>
    </row>
    <row r="80" outlineLevel="1">
      <c r="A80" s="146"/>
      <c r="B80" s="373" t="s">
        <v>84</v>
      </c>
      <c r="C80" s="239" t="s">
        <v>1464</v>
      </c>
      <c r="D80" s="210"/>
      <c r="E80" s="239" t="s">
        <v>274</v>
      </c>
      <c r="F80" s="138">
        <v>10.799999999999999</v>
      </c>
      <c r="G80" s="138">
        <v>9.18</v>
      </c>
      <c r="H80" s="2880" t="s">
        <v>147</v>
      </c>
      <c r="I80" s="210"/>
      <c r="J80" s="210"/>
      <c r="K80" s="282"/>
      <c r="L80" s="282"/>
      <c r="M80" s="363"/>
      <c r="N80" s="363"/>
      <c r="O80" s="145">
        <v>0.0</v>
      </c>
      <c r="P80" s="145">
        <v>1.0</v>
      </c>
      <c r="Q80" s="145">
        <v>1.0</v>
      </c>
      <c r="R80" s="212"/>
      <c r="V80" s="210"/>
    </row>
    <row r="81" outlineLevel="1">
      <c r="A81" s="156"/>
      <c r="B81" s="373" t="s">
        <v>174</v>
      </c>
      <c r="C81" s="239" t="s">
        <v>681</v>
      </c>
      <c r="D81" s="107"/>
      <c r="E81" s="239" t="s">
        <v>204</v>
      </c>
      <c r="F81" s="138">
        <v>3.5999999999999996</v>
      </c>
      <c r="G81" s="138">
        <v>3.6</v>
      </c>
      <c r="H81" s="2880" t="s">
        <v>147</v>
      </c>
      <c r="I81" s="107"/>
      <c r="J81" s="107"/>
      <c r="K81" s="282"/>
      <c r="L81" s="282"/>
      <c r="M81" s="363"/>
      <c r="N81" s="363"/>
      <c r="O81" s="145">
        <v>0.0</v>
      </c>
      <c r="P81" s="145">
        <v>1.0</v>
      </c>
      <c r="Q81" s="145">
        <v>1.0</v>
      </c>
      <c r="R81" s="106"/>
      <c r="S81" s="168"/>
      <c r="T81" s="168"/>
      <c r="U81" s="168"/>
      <c r="V81" s="107"/>
    </row>
    <row r="82">
      <c r="A82" s="223"/>
      <c r="B82" s="224"/>
      <c r="C82" s="225"/>
      <c r="D82" s="225"/>
      <c r="E82" s="226"/>
      <c r="F82" s="226"/>
      <c r="G82" s="226"/>
      <c r="H82" s="227"/>
      <c r="I82" s="227"/>
      <c r="J82" s="228"/>
      <c r="K82" s="228"/>
      <c r="L82" s="228"/>
      <c r="M82" s="228"/>
      <c r="N82" s="228"/>
      <c r="O82" s="228"/>
      <c r="P82" s="228"/>
      <c r="Q82" s="118"/>
      <c r="R82" s="118"/>
      <c r="S82" s="118"/>
      <c r="T82" s="118"/>
      <c r="U82" s="118"/>
      <c r="V82" s="118"/>
    </row>
    <row r="83">
      <c r="A83" s="229" t="s">
        <v>177</v>
      </c>
      <c r="B83" s="109"/>
      <c r="C83" s="225"/>
      <c r="D83" s="225"/>
      <c r="E83" s="226"/>
      <c r="F83" s="226"/>
      <c r="G83" s="226"/>
      <c r="H83" s="227"/>
      <c r="I83" s="227"/>
      <c r="J83" s="228"/>
      <c r="K83" s="228"/>
      <c r="L83" s="228"/>
      <c r="M83" s="228"/>
      <c r="N83" s="228"/>
      <c r="O83" s="228"/>
      <c r="P83" s="228"/>
      <c r="Q83" s="118"/>
      <c r="R83" s="118"/>
      <c r="S83" s="118"/>
      <c r="T83" s="118"/>
      <c r="U83" s="118"/>
      <c r="V83" s="118"/>
    </row>
    <row r="84" outlineLevel="1">
      <c r="A84" s="230" t="s">
        <v>5884</v>
      </c>
      <c r="B84" s="109"/>
      <c r="C84" s="231" t="s">
        <v>48</v>
      </c>
      <c r="D84" s="231" t="s">
        <v>49</v>
      </c>
      <c r="E84" s="232" t="s">
        <v>50</v>
      </c>
      <c r="F84" s="233" t="s">
        <v>51</v>
      </c>
      <c r="G84" s="232" t="s">
        <v>52</v>
      </c>
      <c r="H84" s="382" t="s">
        <v>53</v>
      </c>
      <c r="I84" s="110"/>
      <c r="J84" s="109"/>
      <c r="K84" s="235" t="s">
        <v>137</v>
      </c>
      <c r="L84" s="235" t="s">
        <v>138</v>
      </c>
      <c r="M84" s="235" t="s">
        <v>139</v>
      </c>
      <c r="N84" s="235" t="s">
        <v>140</v>
      </c>
      <c r="O84" s="236" t="s">
        <v>141</v>
      </c>
      <c r="P84" s="235" t="s">
        <v>142</v>
      </c>
      <c r="Q84" s="236" t="s">
        <v>143</v>
      </c>
      <c r="R84" s="235" t="s">
        <v>179</v>
      </c>
      <c r="S84" s="236" t="s">
        <v>180</v>
      </c>
      <c r="T84" s="236" t="s">
        <v>181</v>
      </c>
      <c r="U84" s="236" t="s">
        <v>182</v>
      </c>
      <c r="V84" s="3198" t="s">
        <v>183</v>
      </c>
    </row>
    <row r="85" ht="31.5" customHeight="1" outlineLevel="1">
      <c r="A85" s="546" t="s">
        <v>5885</v>
      </c>
      <c r="B85" s="402" t="s">
        <v>333</v>
      </c>
      <c r="C85" s="281"/>
      <c r="D85" s="239" t="s">
        <v>92</v>
      </c>
      <c r="E85" s="281"/>
      <c r="F85" s="476"/>
      <c r="G85" s="281"/>
      <c r="H85" s="163" t="s">
        <v>5886</v>
      </c>
      <c r="I85" s="164"/>
      <c r="J85" s="104"/>
      <c r="K85" s="138"/>
      <c r="L85" s="138"/>
      <c r="M85" s="145"/>
      <c r="N85" s="145"/>
      <c r="O85" s="145">
        <v>0.0</v>
      </c>
      <c r="P85" s="145">
        <v>1.0</v>
      </c>
      <c r="Q85" s="145">
        <v>1.0</v>
      </c>
      <c r="R85" s="145" t="b">
        <v>1</v>
      </c>
      <c r="S85" s="145" t="b">
        <v>1</v>
      </c>
      <c r="T85" s="145"/>
      <c r="U85" s="166" t="s">
        <v>5887</v>
      </c>
      <c r="V85" s="166" t="b">
        <v>0</v>
      </c>
    </row>
    <row r="86" ht="31.5" customHeight="1" outlineLevel="1">
      <c r="A86" s="156"/>
      <c r="B86" s="402" t="s">
        <v>340</v>
      </c>
      <c r="C86" s="281"/>
      <c r="D86" s="239" t="s">
        <v>79</v>
      </c>
      <c r="E86" s="281"/>
      <c r="F86" s="476"/>
      <c r="G86" s="281"/>
      <c r="H86" s="106"/>
      <c r="I86" s="168"/>
      <c r="J86" s="107"/>
      <c r="K86" s="138"/>
      <c r="L86" s="138"/>
      <c r="M86" s="145"/>
      <c r="N86" s="145"/>
      <c r="O86" s="145">
        <v>0.0</v>
      </c>
      <c r="P86" s="145">
        <v>1.0</v>
      </c>
      <c r="Q86" s="145">
        <v>1.0</v>
      </c>
      <c r="R86" s="145" t="b">
        <v>1</v>
      </c>
      <c r="S86" s="145" t="b">
        <v>1</v>
      </c>
      <c r="T86" s="145"/>
      <c r="U86" s="146"/>
      <c r="V86" s="146"/>
    </row>
    <row r="87" outlineLevel="1">
      <c r="A87" s="546" t="s">
        <v>5888</v>
      </c>
      <c r="B87" s="402" t="s">
        <v>5889</v>
      </c>
      <c r="C87" s="239" t="s">
        <v>2004</v>
      </c>
      <c r="D87" s="239" t="s">
        <v>289</v>
      </c>
      <c r="E87" s="239" t="s">
        <v>5890</v>
      </c>
      <c r="F87" s="138" t="s">
        <v>5891</v>
      </c>
      <c r="G87" s="239" t="s">
        <v>4410</v>
      </c>
      <c r="H87" s="163" t="s">
        <v>5892</v>
      </c>
      <c r="I87" s="164"/>
      <c r="J87" s="104"/>
      <c r="K87" s="138"/>
      <c r="L87" s="138"/>
      <c r="M87" s="145"/>
      <c r="N87" s="145"/>
      <c r="O87" s="145">
        <v>0.0</v>
      </c>
      <c r="P87" s="145">
        <v>1.0</v>
      </c>
      <c r="Q87" s="145">
        <v>1.0</v>
      </c>
      <c r="R87" s="145" t="b">
        <v>1</v>
      </c>
      <c r="S87" s="145" t="b">
        <v>1</v>
      </c>
      <c r="T87" s="145"/>
      <c r="U87" s="146"/>
      <c r="V87" s="146"/>
    </row>
    <row r="88" outlineLevel="1">
      <c r="A88" s="156"/>
      <c r="B88" s="402" t="s">
        <v>5893</v>
      </c>
      <c r="C88" s="3373"/>
      <c r="D88" s="239" t="s">
        <v>218</v>
      </c>
      <c r="E88" s="281"/>
      <c r="F88" s="476"/>
      <c r="G88" s="281"/>
      <c r="H88" s="106"/>
      <c r="I88" s="168"/>
      <c r="J88" s="107"/>
      <c r="K88" s="138"/>
      <c r="L88" s="138"/>
      <c r="M88" s="145"/>
      <c r="N88" s="145"/>
      <c r="O88" s="145">
        <v>0.0</v>
      </c>
      <c r="P88" s="145">
        <v>1.0</v>
      </c>
      <c r="Q88" s="145">
        <v>1.0</v>
      </c>
      <c r="R88" s="145" t="b">
        <v>1</v>
      </c>
      <c r="S88" s="145" t="b">
        <v>1</v>
      </c>
      <c r="T88" s="145"/>
      <c r="U88" s="156"/>
      <c r="V88" s="156"/>
    </row>
    <row r="89" outlineLevel="1">
      <c r="A89" s="230" t="s">
        <v>5894</v>
      </c>
      <c r="B89" s="109"/>
      <c r="C89" s="231" t="s">
        <v>48</v>
      </c>
      <c r="D89" s="231" t="s">
        <v>49</v>
      </c>
      <c r="E89" s="232" t="s">
        <v>50</v>
      </c>
      <c r="F89" s="233" t="s">
        <v>51</v>
      </c>
      <c r="G89" s="232" t="s">
        <v>52</v>
      </c>
      <c r="H89" s="382" t="s">
        <v>53</v>
      </c>
      <c r="I89" s="110"/>
      <c r="J89" s="109"/>
      <c r="K89" s="235" t="s">
        <v>137</v>
      </c>
      <c r="L89" s="235" t="s">
        <v>138</v>
      </c>
      <c r="M89" s="235" t="s">
        <v>139</v>
      </c>
      <c r="N89" s="235" t="s">
        <v>140</v>
      </c>
      <c r="O89" s="236" t="s">
        <v>141</v>
      </c>
      <c r="P89" s="235" t="s">
        <v>142</v>
      </c>
      <c r="Q89" s="236" t="s">
        <v>143</v>
      </c>
      <c r="R89" s="235" t="s">
        <v>179</v>
      </c>
      <c r="S89" s="236" t="s">
        <v>180</v>
      </c>
      <c r="T89" s="236" t="s">
        <v>181</v>
      </c>
      <c r="U89" s="236" t="s">
        <v>182</v>
      </c>
      <c r="V89" s="3198" t="s">
        <v>183</v>
      </c>
    </row>
    <row r="90" outlineLevel="1">
      <c r="A90" s="1202" t="s">
        <v>184</v>
      </c>
      <c r="B90" s="870"/>
      <c r="C90" s="281"/>
      <c r="D90" s="659"/>
      <c r="E90" s="281"/>
      <c r="F90" s="476"/>
      <c r="G90" s="281"/>
      <c r="H90" s="151" t="s">
        <v>5895</v>
      </c>
      <c r="I90" s="110"/>
      <c r="J90" s="109"/>
      <c r="K90" s="138"/>
      <c r="L90" s="138"/>
      <c r="M90" s="145"/>
      <c r="N90" s="145"/>
      <c r="O90" s="145">
        <v>0.0</v>
      </c>
      <c r="P90" s="145">
        <v>1.0</v>
      </c>
      <c r="Q90" s="145">
        <v>1.0</v>
      </c>
      <c r="R90" s="145" t="b">
        <v>1</v>
      </c>
      <c r="S90" s="145" t="b">
        <v>1</v>
      </c>
      <c r="T90" s="145"/>
      <c r="U90" s="145" t="s">
        <v>3287</v>
      </c>
      <c r="V90" s="145" t="b">
        <v>0</v>
      </c>
    </row>
    <row r="91">
      <c r="A91" s="223"/>
      <c r="B91" s="224"/>
      <c r="C91" s="225"/>
      <c r="D91" s="225"/>
      <c r="E91" s="226"/>
      <c r="F91" s="226"/>
      <c r="G91" s="226"/>
      <c r="H91" s="227"/>
      <c r="I91" s="227"/>
      <c r="J91" s="228"/>
      <c r="K91" s="228"/>
      <c r="L91" s="228"/>
      <c r="M91" s="228"/>
      <c r="N91" s="228"/>
      <c r="O91" s="228"/>
      <c r="P91" s="228"/>
      <c r="Q91" s="118"/>
      <c r="R91" s="118"/>
      <c r="S91" s="118"/>
      <c r="T91" s="118"/>
      <c r="U91" s="118"/>
      <c r="V91" s="118"/>
    </row>
    <row r="92">
      <c r="A92" s="264" t="s">
        <v>211</v>
      </c>
      <c r="B92" s="104"/>
      <c r="C92" s="227"/>
      <c r="D92" s="227"/>
      <c r="E92" s="228"/>
      <c r="F92" s="265"/>
      <c r="G92" s="265"/>
      <c r="H92" s="228"/>
      <c r="I92" s="228"/>
      <c r="J92" s="228"/>
      <c r="K92" s="228"/>
      <c r="L92" s="228"/>
      <c r="M92" s="228"/>
      <c r="N92" s="118"/>
      <c r="O92" s="118"/>
      <c r="P92" s="118"/>
      <c r="Q92" s="228"/>
      <c r="R92" s="228"/>
      <c r="S92" s="228"/>
      <c r="T92" s="228"/>
      <c r="U92" s="228"/>
      <c r="V92" s="228"/>
    </row>
    <row r="93" outlineLevel="1">
      <c r="A93" s="106"/>
      <c r="B93" s="107"/>
      <c r="C93" s="266" t="s">
        <v>48</v>
      </c>
      <c r="D93" s="266" t="s">
        <v>49</v>
      </c>
      <c r="E93" s="266" t="s">
        <v>50</v>
      </c>
      <c r="F93" s="267" t="s">
        <v>51</v>
      </c>
      <c r="G93" s="227"/>
      <c r="H93" s="227"/>
      <c r="I93" s="227"/>
      <c r="J93" s="228"/>
      <c r="K93" s="228"/>
      <c r="L93" s="228"/>
      <c r="M93" s="228"/>
      <c r="N93" s="228"/>
      <c r="O93" s="228"/>
      <c r="P93" s="228"/>
      <c r="Q93" s="228"/>
      <c r="R93" s="228"/>
      <c r="S93" s="228"/>
      <c r="T93" s="228"/>
      <c r="U93" s="228"/>
      <c r="V93" s="228"/>
    </row>
    <row r="94" outlineLevel="1">
      <c r="A94" s="268" t="s">
        <v>212</v>
      </c>
      <c r="B94" s="269" t="s">
        <v>212</v>
      </c>
      <c r="C94" s="113" t="s">
        <v>213</v>
      </c>
      <c r="D94" s="113" t="s">
        <v>86</v>
      </c>
      <c r="E94" s="113" t="s">
        <v>1024</v>
      </c>
      <c r="F94" s="138">
        <f>IFERROR(E94*1.2, "-")</f>
        <v>1.8</v>
      </c>
      <c r="G94" s="227"/>
      <c r="H94" s="227"/>
      <c r="I94" s="227"/>
      <c r="J94" s="228"/>
      <c r="K94" s="228"/>
      <c r="L94" s="228"/>
      <c r="M94" s="228"/>
      <c r="N94" s="228"/>
      <c r="O94" s="228"/>
      <c r="P94" s="228"/>
      <c r="Q94" s="228"/>
      <c r="R94" s="228"/>
      <c r="S94" s="228"/>
      <c r="T94" s="228"/>
      <c r="U94" s="228"/>
      <c r="V94" s="228"/>
    </row>
    <row r="95" outlineLevel="1">
      <c r="A95" s="270" t="s">
        <v>215</v>
      </c>
      <c r="B95" s="269" t="s">
        <v>216</v>
      </c>
      <c r="C95" s="113" t="s">
        <v>1497</v>
      </c>
      <c r="D95" s="113" t="s">
        <v>402</v>
      </c>
      <c r="E95" s="271"/>
      <c r="F95" s="272"/>
      <c r="G95" s="272"/>
      <c r="H95" s="227"/>
      <c r="I95" s="227"/>
      <c r="J95" s="228"/>
      <c r="K95" s="228"/>
      <c r="L95" s="228"/>
      <c r="M95" s="228"/>
      <c r="N95" s="228"/>
      <c r="O95" s="228"/>
      <c r="P95" s="228"/>
      <c r="Q95" s="228"/>
      <c r="R95" s="228"/>
      <c r="S95" s="228"/>
      <c r="T95" s="228"/>
      <c r="U95" s="228"/>
      <c r="V95" s="228"/>
    </row>
    <row r="96" outlineLevel="1">
      <c r="A96" s="212"/>
      <c r="B96" s="269" t="s">
        <v>219</v>
      </c>
      <c r="C96" s="113" t="s">
        <v>1497</v>
      </c>
      <c r="D96" s="113" t="s">
        <v>402</v>
      </c>
      <c r="E96" s="271"/>
      <c r="F96" s="272"/>
      <c r="G96" s="272"/>
      <c r="H96" s="227"/>
      <c r="I96" s="227"/>
      <c r="J96" s="228"/>
      <c r="K96" s="228"/>
      <c r="L96" s="228"/>
      <c r="M96" s="228"/>
      <c r="N96" s="228"/>
      <c r="O96" s="228"/>
      <c r="P96" s="228"/>
      <c r="Q96" s="228"/>
      <c r="R96" s="228"/>
      <c r="S96" s="228"/>
      <c r="T96" s="228"/>
      <c r="U96" s="228"/>
      <c r="V96" s="228"/>
    </row>
    <row r="97" outlineLevel="1">
      <c r="A97" s="106"/>
      <c r="B97" s="269" t="s">
        <v>222</v>
      </c>
      <c r="C97" s="113" t="s">
        <v>1497</v>
      </c>
      <c r="D97" s="113" t="s">
        <v>402</v>
      </c>
      <c r="E97" s="227"/>
      <c r="F97" s="272"/>
      <c r="G97" s="272"/>
      <c r="H97" s="227"/>
      <c r="I97" s="227"/>
      <c r="J97" s="228"/>
      <c r="K97" s="228"/>
      <c r="L97" s="228"/>
      <c r="M97" s="228"/>
      <c r="N97" s="228"/>
      <c r="O97" s="228"/>
      <c r="P97" s="228"/>
      <c r="Q97" s="228"/>
      <c r="R97" s="228"/>
      <c r="S97" s="228"/>
      <c r="T97" s="228"/>
      <c r="U97" s="228"/>
      <c r="V97" s="228"/>
    </row>
    <row r="98" outlineLevel="1">
      <c r="A98" s="273" t="s">
        <v>225</v>
      </c>
      <c r="B98" s="109"/>
      <c r="C98" s="266" t="s">
        <v>48</v>
      </c>
      <c r="D98" s="266" t="s">
        <v>49</v>
      </c>
      <c r="E98" s="266" t="s">
        <v>50</v>
      </c>
      <c r="F98" s="267" t="s">
        <v>51</v>
      </c>
      <c r="G98" s="1168" t="s">
        <v>53</v>
      </c>
      <c r="H98" s="110"/>
      <c r="I98" s="110"/>
      <c r="J98" s="109"/>
      <c r="K98" s="275" t="s">
        <v>137</v>
      </c>
      <c r="L98" s="275" t="s">
        <v>138</v>
      </c>
      <c r="M98" s="275" t="s">
        <v>139</v>
      </c>
      <c r="N98" s="275" t="s">
        <v>140</v>
      </c>
      <c r="O98" s="276" t="s">
        <v>141</v>
      </c>
      <c r="P98" s="275" t="s">
        <v>142</v>
      </c>
      <c r="Q98" s="276" t="s">
        <v>143</v>
      </c>
      <c r="R98" s="277"/>
      <c r="S98" s="277"/>
      <c r="T98" s="277"/>
      <c r="U98" s="277"/>
      <c r="V98" s="277"/>
    </row>
    <row r="99" outlineLevel="1">
      <c r="A99" s="278" t="s">
        <v>226</v>
      </c>
      <c r="B99" s="269" t="s">
        <v>227</v>
      </c>
      <c r="C99" s="113" t="s">
        <v>129</v>
      </c>
      <c r="D99" s="279" t="s">
        <v>99</v>
      </c>
      <c r="E99" s="239" t="s">
        <v>150</v>
      </c>
      <c r="F99" s="138">
        <f t="shared" ref="F99:F106" si="1">IFERROR(E99*1.2, "-")</f>
        <v>6</v>
      </c>
      <c r="G99" s="1170"/>
      <c r="H99" s="164"/>
      <c r="I99" s="164"/>
      <c r="J99" s="104"/>
      <c r="K99" s="282"/>
      <c r="L99" s="282"/>
      <c r="M99" s="363"/>
      <c r="N99" s="145"/>
      <c r="O99" s="145">
        <v>0.0</v>
      </c>
      <c r="P99" s="145">
        <v>1.0</v>
      </c>
      <c r="Q99" s="145">
        <v>1.0</v>
      </c>
      <c r="R99" s="277"/>
      <c r="S99" s="228"/>
      <c r="T99" s="228"/>
      <c r="U99" s="228"/>
      <c r="V99" s="228"/>
    </row>
    <row r="100" outlineLevel="1">
      <c r="A100" s="156"/>
      <c r="B100" s="269" t="s">
        <v>225</v>
      </c>
      <c r="C100" s="113" t="s">
        <v>228</v>
      </c>
      <c r="D100" s="156"/>
      <c r="E100" s="239" t="s">
        <v>73</v>
      </c>
      <c r="F100" s="138">
        <f t="shared" si="1"/>
        <v>4.8</v>
      </c>
      <c r="G100" s="106"/>
      <c r="H100" s="168"/>
      <c r="I100" s="168"/>
      <c r="J100" s="107"/>
      <c r="K100" s="282"/>
      <c r="L100" s="282"/>
      <c r="M100" s="363"/>
      <c r="N100" s="145"/>
      <c r="O100" s="261"/>
      <c r="P100" s="261"/>
      <c r="Q100" s="261"/>
      <c r="R100" s="277"/>
      <c r="S100" s="228"/>
      <c r="T100" s="228"/>
      <c r="U100" s="228"/>
      <c r="V100" s="228"/>
    </row>
    <row r="101" outlineLevel="1">
      <c r="A101" s="278" t="s">
        <v>229</v>
      </c>
      <c r="B101" s="269" t="s">
        <v>227</v>
      </c>
      <c r="C101" s="113" t="s">
        <v>105</v>
      </c>
      <c r="D101" s="279" t="s">
        <v>185</v>
      </c>
      <c r="E101" s="239" t="s">
        <v>119</v>
      </c>
      <c r="F101" s="138">
        <f t="shared" si="1"/>
        <v>16.8</v>
      </c>
      <c r="G101" s="1170"/>
      <c r="H101" s="164"/>
      <c r="I101" s="164"/>
      <c r="J101" s="104"/>
      <c r="K101" s="282"/>
      <c r="L101" s="282"/>
      <c r="M101" s="363"/>
      <c r="N101" s="363"/>
      <c r="O101" s="145">
        <v>0.0</v>
      </c>
      <c r="P101" s="145">
        <v>1.0</v>
      </c>
      <c r="Q101" s="145">
        <v>1.0</v>
      </c>
      <c r="R101" s="277"/>
      <c r="S101" s="228"/>
      <c r="T101" s="228"/>
      <c r="U101" s="228"/>
      <c r="V101" s="228"/>
    </row>
    <row r="102" outlineLevel="1">
      <c r="A102" s="156"/>
      <c r="B102" s="269" t="s">
        <v>225</v>
      </c>
      <c r="C102" s="113" t="s">
        <v>271</v>
      </c>
      <c r="D102" s="156"/>
      <c r="E102" s="239" t="s">
        <v>209</v>
      </c>
      <c r="F102" s="138">
        <f t="shared" si="1"/>
        <v>0</v>
      </c>
      <c r="G102" s="106"/>
      <c r="H102" s="168"/>
      <c r="I102" s="168"/>
      <c r="J102" s="107"/>
      <c r="K102" s="282"/>
      <c r="L102" s="282"/>
      <c r="M102" s="363"/>
      <c r="N102" s="363"/>
      <c r="O102" s="261"/>
      <c r="P102" s="261"/>
      <c r="Q102" s="261"/>
      <c r="R102" s="277"/>
      <c r="S102" s="228"/>
      <c r="T102" s="228"/>
      <c r="U102" s="228"/>
      <c r="V102" s="228"/>
    </row>
    <row r="103" outlineLevel="1">
      <c r="A103" s="278" t="s">
        <v>233</v>
      </c>
      <c r="B103" s="269" t="s">
        <v>227</v>
      </c>
      <c r="C103" s="113" t="s">
        <v>128</v>
      </c>
      <c r="D103" s="279" t="s">
        <v>289</v>
      </c>
      <c r="E103" s="239" t="s">
        <v>176</v>
      </c>
      <c r="F103" s="138">
        <f t="shared" si="1"/>
        <v>2.4</v>
      </c>
      <c r="G103" s="1170"/>
      <c r="H103" s="164"/>
      <c r="I103" s="164"/>
      <c r="J103" s="104"/>
      <c r="K103" s="282"/>
      <c r="L103" s="282"/>
      <c r="M103" s="363"/>
      <c r="N103" s="363"/>
      <c r="O103" s="145">
        <v>0.0</v>
      </c>
      <c r="P103" s="145">
        <v>1.0</v>
      </c>
      <c r="Q103" s="145">
        <v>1.0</v>
      </c>
      <c r="R103" s="277"/>
      <c r="S103" s="228"/>
      <c r="T103" s="228"/>
      <c r="U103" s="228"/>
      <c r="V103" s="228"/>
    </row>
    <row r="104" outlineLevel="1">
      <c r="A104" s="156"/>
      <c r="B104" s="269" t="s">
        <v>225</v>
      </c>
      <c r="C104" s="113" t="s">
        <v>232</v>
      </c>
      <c r="D104" s="156"/>
      <c r="E104" s="239" t="s">
        <v>80</v>
      </c>
      <c r="F104" s="138">
        <f t="shared" si="1"/>
        <v>9.6</v>
      </c>
      <c r="G104" s="106"/>
      <c r="H104" s="168"/>
      <c r="I104" s="168"/>
      <c r="J104" s="107"/>
      <c r="K104" s="282"/>
      <c r="L104" s="282"/>
      <c r="M104" s="363"/>
      <c r="N104" s="363"/>
      <c r="O104" s="261"/>
      <c r="P104" s="261"/>
      <c r="Q104" s="261"/>
      <c r="R104" s="277"/>
      <c r="S104" s="117"/>
      <c r="T104" s="117"/>
      <c r="U104" s="117"/>
      <c r="V104" s="117"/>
    </row>
    <row r="105" outlineLevel="1">
      <c r="A105" s="278" t="s">
        <v>234</v>
      </c>
      <c r="B105" s="269" t="s">
        <v>227</v>
      </c>
      <c r="C105" s="113" t="s">
        <v>386</v>
      </c>
      <c r="D105" s="279" t="s">
        <v>146</v>
      </c>
      <c r="E105" s="239" t="s">
        <v>73</v>
      </c>
      <c r="F105" s="138">
        <f t="shared" si="1"/>
        <v>4.8</v>
      </c>
      <c r="G105" s="1170"/>
      <c r="H105" s="164"/>
      <c r="I105" s="164"/>
      <c r="J105" s="104"/>
      <c r="K105" s="282"/>
      <c r="L105" s="282"/>
      <c r="M105" s="363"/>
      <c r="N105" s="363"/>
      <c r="O105" s="145">
        <v>0.0</v>
      </c>
      <c r="P105" s="145">
        <v>1.0</v>
      </c>
      <c r="Q105" s="145">
        <v>1.0</v>
      </c>
      <c r="R105" s="277"/>
      <c r="S105" s="117"/>
      <c r="T105" s="117"/>
      <c r="U105" s="117"/>
      <c r="V105" s="117"/>
    </row>
    <row r="106" outlineLevel="1">
      <c r="A106" s="156"/>
      <c r="B106" s="269" t="s">
        <v>225</v>
      </c>
      <c r="C106" s="113" t="s">
        <v>153</v>
      </c>
      <c r="D106" s="156"/>
      <c r="E106" s="239" t="s">
        <v>73</v>
      </c>
      <c r="F106" s="138">
        <f t="shared" si="1"/>
        <v>4.8</v>
      </c>
      <c r="G106" s="106"/>
      <c r="H106" s="168"/>
      <c r="I106" s="168"/>
      <c r="J106" s="107"/>
      <c r="K106" s="282"/>
      <c r="L106" s="282"/>
      <c r="M106" s="363"/>
      <c r="N106" s="363"/>
      <c r="O106" s="261"/>
      <c r="P106" s="261"/>
      <c r="Q106" s="261"/>
      <c r="R106" s="277"/>
      <c r="S106" s="117"/>
      <c r="T106" s="117"/>
      <c r="U106" s="117"/>
      <c r="V106" s="117"/>
    </row>
    <row r="107">
      <c r="A107" s="223"/>
      <c r="B107" s="224"/>
      <c r="C107" s="225"/>
      <c r="D107" s="225"/>
      <c r="E107" s="227"/>
      <c r="F107" s="177"/>
      <c r="G107" s="177"/>
      <c r="H107" s="227"/>
      <c r="I107" s="227"/>
      <c r="J107" s="228"/>
      <c r="K107" s="228"/>
      <c r="L107" s="111"/>
      <c r="M107" s="111"/>
      <c r="N107" s="111"/>
      <c r="O107" s="117"/>
      <c r="P107" s="117"/>
      <c r="Q107" s="111"/>
      <c r="R107" s="111"/>
      <c r="S107" s="111"/>
      <c r="T107" s="111"/>
      <c r="U107" s="111"/>
      <c r="V107" s="111"/>
    </row>
    <row r="108">
      <c r="A108" s="284" t="s">
        <v>241</v>
      </c>
      <c r="B108" s="104"/>
      <c r="C108" s="265"/>
      <c r="D108" s="111"/>
      <c r="E108" s="111"/>
      <c r="F108" s="111"/>
      <c r="G108" s="111"/>
      <c r="H108" s="111"/>
      <c r="I108" s="111"/>
      <c r="J108" s="118"/>
      <c r="K108" s="111"/>
      <c r="L108" s="111"/>
      <c r="M108" s="111"/>
      <c r="N108" s="111"/>
      <c r="O108" s="111"/>
      <c r="P108" s="111"/>
      <c r="Q108" s="118"/>
      <c r="R108" s="111"/>
      <c r="S108" s="111"/>
      <c r="T108" s="111"/>
      <c r="U108" s="111"/>
      <c r="V108" s="111"/>
    </row>
    <row r="109" outlineLevel="1">
      <c r="A109" s="106"/>
      <c r="B109" s="107"/>
      <c r="C109" s="285" t="s">
        <v>235</v>
      </c>
      <c r="D109" s="285" t="s">
        <v>236</v>
      </c>
      <c r="E109" s="285" t="s">
        <v>49</v>
      </c>
      <c r="F109" s="285" t="s">
        <v>237</v>
      </c>
      <c r="G109" s="286"/>
      <c r="H109" s="227"/>
      <c r="I109" s="227"/>
      <c r="J109" s="228"/>
      <c r="K109" s="228"/>
      <c r="L109" s="111"/>
      <c r="M109" s="111"/>
      <c r="N109" s="111"/>
      <c r="O109" s="111"/>
      <c r="P109" s="111"/>
      <c r="Q109" s="111"/>
      <c r="R109" s="111"/>
      <c r="S109" s="111"/>
      <c r="T109" s="111"/>
      <c r="U109" s="111"/>
      <c r="V109" s="111"/>
    </row>
    <row r="110" outlineLevel="1">
      <c r="A110" s="287" t="s">
        <v>395</v>
      </c>
      <c r="B110" s="288" t="s">
        <v>216</v>
      </c>
      <c r="C110" s="113" t="str">
        <f t="array" ref="C110">INDEX('回避'!$C$3:$U$91, MATCH($A$1,'回避'!$A$3:$A$91,0), MATCH(C109,'回避'!$C$2:$F$2,0))</f>
        <v>3-17</v>
      </c>
      <c r="D110" s="113" t="str">
        <f t="array" ref="D110">INDEX('回避'!$C$3:$U$91, MATCH($A$1,'回避'!$A$3:$A$91,0), MATCH(D109,'回避'!$C$2:$F$2,0))</f>
        <v>6-17</v>
      </c>
      <c r="E110" s="113" t="str">
        <f t="array" ref="E110">INDEX('回避'!$C$3:$U$91, MATCH($A$1,'回避'!$A$3:$A$91,0), MATCH(E109,'回避'!$C$2:$F$2,0))</f>
        <v>25 (20)</v>
      </c>
      <c r="F110" s="113" t="str">
        <f t="array" ref="F110">INDEX('回避'!$C$3:$U$91, MATCH($A$1,'回避'!$A$3:$A$91,0), MATCH(F109,'回避'!$C$2:$F$2,0))</f>
        <v>33 (27)</v>
      </c>
      <c r="G110" s="272"/>
      <c r="H110" s="227"/>
      <c r="I110" s="227"/>
      <c r="J110" s="228"/>
      <c r="K110" s="228"/>
      <c r="L110" s="228"/>
      <c r="M110" s="111"/>
      <c r="N110" s="111"/>
      <c r="O110" s="111"/>
      <c r="P110" s="111"/>
      <c r="Q110" s="111"/>
      <c r="R110" s="111"/>
      <c r="S110" s="111"/>
      <c r="T110" s="111"/>
      <c r="U110" s="111"/>
      <c r="V110" s="111"/>
    </row>
    <row r="111" outlineLevel="1">
      <c r="A111" s="212"/>
      <c r="B111" s="288" t="s">
        <v>245</v>
      </c>
      <c r="C111" s="113" t="str">
        <f t="array" ref="C111">INDEX('回避'!$G$3:$U$91, MATCH($A$1,'回避'!$A$3:$A$91,0), MATCH(C109,'回避'!$G$2:$J$2,0))</f>
        <v>4-15</v>
      </c>
      <c r="D111" s="113" t="str">
        <f t="array" ref="D111">INDEX('回避'!$G$3:$U$91, MATCH($A$1,'回避'!$A$3:$A$91,0), MATCH(D109,'回避'!$G$2:$J$2,0))</f>
        <v>8-14</v>
      </c>
      <c r="E111" s="113" t="str">
        <f t="array" ref="E111">INDEX('回避'!$G$3:$U$91, MATCH($A$1,'回避'!$A$3:$A$91,0), MATCH(E109,'回避'!$G$2:$J$2,0))</f>
        <v>29</v>
      </c>
      <c r="F111" s="113">
        <f t="array" ref="F111">INDEX('回避'!$G$3:$U$91, MATCH($A$1,'回避'!$A$3:$A$91,0), MATCH(F109,'回避'!$G$2:$J$2,0))</f>
        <v>38</v>
      </c>
      <c r="G111" s="289"/>
      <c r="H111" s="227"/>
      <c r="I111" s="227"/>
      <c r="J111" s="228"/>
      <c r="K111" s="228"/>
      <c r="L111" s="228"/>
      <c r="M111" s="228"/>
      <c r="N111" s="228"/>
      <c r="O111" s="111"/>
      <c r="P111" s="111"/>
      <c r="Q111" s="111"/>
      <c r="R111" s="111"/>
      <c r="S111" s="111"/>
      <c r="T111" s="111"/>
      <c r="U111" s="111"/>
      <c r="V111" s="111"/>
    </row>
    <row r="112" outlineLevel="1">
      <c r="A112" s="106"/>
      <c r="B112" s="288" t="s">
        <v>246</v>
      </c>
      <c r="C112" s="113" t="str">
        <f t="array" ref="C112">INDEX('回避'!$K$3:$U$91, MATCH($A$1,'回避'!$A$3:$A$91,0), MATCH(C109,'回避'!$K$2:$N$2,0))</f>
        <v>5-16</v>
      </c>
      <c r="D112" s="113" t="str">
        <f t="array" ref="D112">INDEX('回避'!$K$3:$U$91, MATCH($A$1,'回避'!$A$3:$A$91,0), MATCH(D109,'回避'!$K$2:$N$2,0))</f>
        <v>9-14</v>
      </c>
      <c r="E112" s="113" t="str">
        <f t="array" ref="E112">INDEX('回避'!$K$3:$U$91, MATCH($A$1,'回避'!$A$3:$A$91,0), MATCH(E109,'回避'!$K$2:$N$2,0))</f>
        <v>34</v>
      </c>
      <c r="F112" s="113" t="str">
        <f t="array" ref="F112">INDEX('回避'!$K$3:$U$91, MATCH($A$1,'回避'!$A$3:$A$91,0), MATCH(F109,'回避'!$K$2:$N$2,0))</f>
        <v>51</v>
      </c>
      <c r="G112" s="289"/>
      <c r="H112" s="290"/>
      <c r="I112" s="290"/>
      <c r="J112" s="117"/>
      <c r="K112" s="117"/>
      <c r="L112" s="117"/>
      <c r="M112" s="117"/>
      <c r="N112" s="117"/>
      <c r="O112" s="111"/>
      <c r="P112" s="111"/>
      <c r="Q112" s="111"/>
      <c r="R112" s="111"/>
      <c r="S112" s="111"/>
      <c r="T112" s="111"/>
      <c r="U112" s="111"/>
      <c r="V112" s="111"/>
    </row>
    <row r="113" outlineLevel="1">
      <c r="A113" s="287" t="s">
        <v>396</v>
      </c>
      <c r="B113" s="288" t="s">
        <v>397</v>
      </c>
      <c r="C113" s="113" t="str">
        <f t="array" ref="C113">INDEX('回避'!$O$3:$U$91, MATCH($A$1,'回避'!$A$3:$A$91,0), MATCH(C109,'回避'!$O$2:$R$2,0))</f>
        <v>3-30</v>
      </c>
      <c r="D113" s="113" t="str">
        <f t="array" ref="D113">INDEX('回避'!$O$3:$U$91, MATCH($A$1,'回避'!$A$3:$A$91,0), MATCH(D109,'回避'!$O$2:$R$2,0))</f>
        <v>6-27</v>
      </c>
      <c r="E113" s="365" t="str">
        <f t="array" ref="E113">INDEX('回避'!$O$3:$U$91, MATCH($A$1,'回避'!$A$3:$A$91,0), MATCH(E109,'回避'!$O$2:$R$2,0))</f>
        <v>50</v>
      </c>
      <c r="F113" s="177"/>
      <c r="G113" s="177"/>
      <c r="H113" s="118"/>
      <c r="I113" s="118"/>
      <c r="J113" s="111"/>
      <c r="K113" s="111"/>
      <c r="L113" s="111"/>
      <c r="M113" s="111"/>
      <c r="N113" s="111"/>
      <c r="O113" s="228"/>
      <c r="P113" s="228"/>
      <c r="Q113" s="228"/>
      <c r="R113" s="228"/>
      <c r="S113" s="228"/>
      <c r="T113" s="228"/>
      <c r="U113" s="228"/>
      <c r="V113" s="228"/>
    </row>
    <row r="114" outlineLevel="1">
      <c r="A114" s="106"/>
      <c r="B114" s="288" t="s">
        <v>398</v>
      </c>
      <c r="C114" s="113" t="str">
        <f t="array" ref="C114">INDEX('回避'!$S$3:$U$91, MATCH($A$1,'回避'!$A$3:$A$91,0), MATCH(C109,'回避'!$S$2:$U$2,0))</f>
        <v>3-21</v>
      </c>
      <c r="D114" s="113" t="str">
        <f t="array" ref="D114">INDEX('回避'!$S$3:$U$91, MATCH($A$1,'回避'!$A$3:$A$91,0), MATCH(D109,'回避'!$S$2:$U$2,0))</f>
        <v>6-20</v>
      </c>
      <c r="E114" s="113" t="str">
        <f t="array" ref="E114">INDEX('回避'!$S$3:$U$91, MATCH($A$1,'回避'!$A$3:$A$91,0), MATCH(E109,'回避'!$S$2:$U$2,0))</f>
        <v>真横：85
真上：108
真下：71</v>
      </c>
      <c r="F114" s="289"/>
      <c r="G114" s="289"/>
      <c r="H114" s="118"/>
      <c r="I114" s="118"/>
      <c r="J114" s="117"/>
      <c r="K114" s="117"/>
      <c r="L114" s="117"/>
      <c r="M114" s="117"/>
      <c r="N114" s="111"/>
      <c r="O114" s="118"/>
      <c r="P114" s="118"/>
      <c r="Q114" s="118"/>
      <c r="R114" s="118"/>
      <c r="S114" s="118"/>
      <c r="T114" s="118"/>
      <c r="U114" s="118"/>
      <c r="V114" s="118"/>
    </row>
    <row r="115">
      <c r="A115" s="291"/>
      <c r="B115" s="292"/>
      <c r="C115" s="286"/>
      <c r="D115" s="286"/>
      <c r="E115" s="293"/>
      <c r="F115" s="286"/>
      <c r="G115" s="286"/>
      <c r="H115" s="286"/>
      <c r="I115" s="286"/>
      <c r="J115" s="111"/>
      <c r="K115" s="227"/>
      <c r="L115" s="227"/>
      <c r="M115" s="227"/>
      <c r="N115" s="227"/>
      <c r="O115" s="118"/>
      <c r="P115" s="118"/>
      <c r="Q115" s="118"/>
      <c r="R115" s="118"/>
      <c r="S115" s="118"/>
      <c r="T115" s="118"/>
      <c r="U115" s="118"/>
      <c r="V115" s="118"/>
    </row>
    <row r="116">
      <c r="A116" s="294" t="s">
        <v>238</v>
      </c>
      <c r="B116" s="104"/>
      <c r="C116" s="228"/>
      <c r="D116" s="117"/>
      <c r="E116" s="228"/>
      <c r="F116" s="114"/>
      <c r="G116" s="114"/>
      <c r="H116" s="117"/>
      <c r="I116" s="117"/>
      <c r="J116" s="118"/>
      <c r="K116" s="118"/>
      <c r="L116" s="118"/>
      <c r="M116" s="118"/>
      <c r="N116" s="118"/>
      <c r="O116" s="118"/>
      <c r="P116" s="118"/>
      <c r="Q116" s="118"/>
      <c r="R116" s="118"/>
      <c r="S116" s="118"/>
      <c r="T116" s="118"/>
      <c r="U116" s="118"/>
      <c r="V116" s="118"/>
    </row>
    <row r="117" outlineLevel="1">
      <c r="A117" s="106"/>
      <c r="B117" s="107"/>
      <c r="C117" s="295" t="s">
        <v>235</v>
      </c>
      <c r="D117" s="295" t="s">
        <v>49</v>
      </c>
      <c r="E117" s="295" t="s">
        <v>48</v>
      </c>
      <c r="F117" s="295" t="s">
        <v>50</v>
      </c>
      <c r="G117" s="296" t="s">
        <v>51</v>
      </c>
      <c r="H117" s="228"/>
      <c r="I117" s="228"/>
      <c r="J117" s="117"/>
      <c r="K117" s="297" t="s">
        <v>256</v>
      </c>
      <c r="L117" s="109"/>
      <c r="M117" s="298" t="s">
        <v>257</v>
      </c>
      <c r="N117" s="298" t="s">
        <v>49</v>
      </c>
      <c r="O117" s="118"/>
      <c r="P117" s="118"/>
      <c r="Q117" s="118"/>
      <c r="R117" s="118"/>
      <c r="S117" s="118"/>
      <c r="T117" s="118"/>
      <c r="U117" s="118"/>
      <c r="V117" s="118"/>
    </row>
    <row r="118" outlineLevel="1">
      <c r="A118" s="299" t="s">
        <v>239</v>
      </c>
      <c r="B118" s="300" t="s">
        <v>240</v>
      </c>
      <c r="C118" s="301"/>
      <c r="D118" s="113">
        <f t="array" ref="D118">INDEX('崖行動・受け身'!$C$3:$C$115, MATCH($A$1,'崖行動・受け身'!$A$3:$A$115,0), MATCH(D117,'崖行動・受け身'!$C$2,0))</f>
        <v>19</v>
      </c>
      <c r="E118" s="301"/>
      <c r="F118" s="301"/>
      <c r="G118" s="301"/>
      <c r="H118" s="228"/>
      <c r="I118" s="228"/>
      <c r="J118" s="111"/>
      <c r="K118" s="302" t="s">
        <v>258</v>
      </c>
      <c r="L118" s="303" t="s">
        <v>216</v>
      </c>
      <c r="M118" s="113" t="str">
        <f t="array" ref="M118">INDEX('アイテム'!$C$3:$D$115, MATCH($A$1,'アイテム'!$A$3:$A$115,0), MATCH(M$117,'アイテム'!$C$2:$AK$2,0))</f>
        <v>2</v>
      </c>
      <c r="N118" s="113">
        <f t="array" ref="N118">INDEX('アイテム'!$C$3:$D$115, MATCH($A$1,'アイテム'!$A$3:$A$115,0), MATCH(N$117,'アイテム'!$C$2:$AK$2,0))</f>
        <v>7</v>
      </c>
      <c r="O118" s="118"/>
      <c r="P118" s="118"/>
      <c r="Q118" s="118"/>
      <c r="R118" s="118"/>
      <c r="S118" s="118"/>
      <c r="T118" s="118"/>
      <c r="U118" s="118"/>
      <c r="V118" s="118"/>
    </row>
    <row r="119" outlineLevel="1">
      <c r="A119" s="146"/>
      <c r="B119" s="300" t="s">
        <v>216</v>
      </c>
      <c r="C119" s="113" t="str">
        <f t="array" ref="C119">INDEX('崖行動・受け身'!$D$3:$E$115, MATCH($A$1,'崖行動・受け身'!$A$3:$A$115,0), MATCH(C$117,'崖行動・受け身'!$D$2:$E$2,0))</f>
        <v>1-33</v>
      </c>
      <c r="D119" s="113">
        <f t="array" ref="D119">INDEX('崖行動・受け身'!$D$3:$E$115, MATCH($A$1,'崖行動・受け身'!$A$3:$A$115,0), MATCH(D$117,'崖行動・受け身'!$D$2:$E$2,0))</f>
        <v>34</v>
      </c>
      <c r="E119" s="301"/>
      <c r="F119" s="301"/>
      <c r="G119" s="301"/>
      <c r="H119" s="228"/>
      <c r="I119" s="228"/>
      <c r="J119" s="117"/>
      <c r="K119" s="156"/>
      <c r="L119" s="303" t="s">
        <v>5389</v>
      </c>
      <c r="M119" s="113" t="str">
        <f t="array" ref="M119">INDEX('アイテム'!$E$3:$F$115, MATCH($A$1,'アイテム'!$A$3:$A$115,0), MATCH(M$117,'アイテム'!$E$2:$AK$2,0))</f>
        <v>2</v>
      </c>
      <c r="N119" s="113">
        <f t="array" ref="N119">INDEX('アイテム'!$E$3:$F$115, MATCH($A$1,'アイテム'!$A$3:$A$115,0), MATCH(N$117,'アイテム'!$E$2:$AK$2,0))</f>
        <v>19</v>
      </c>
      <c r="O119" s="118"/>
      <c r="P119" s="118"/>
      <c r="Q119" s="118"/>
      <c r="R119" s="118"/>
      <c r="S119" s="118"/>
      <c r="T119" s="118"/>
      <c r="U119" s="118"/>
      <c r="V119" s="118"/>
    </row>
    <row r="120" outlineLevel="1">
      <c r="A120" s="146"/>
      <c r="B120" s="300" t="s">
        <v>241</v>
      </c>
      <c r="C120" s="113" t="str">
        <f t="array" ref="C120">INDEX('崖行動・受け身'!$F$3:$G$115, MATCH($A$1,'崖行動・受け身'!$A$3:$A$115,0), MATCH(C$117,'崖行動・受け身'!$F$2:$G$2,0))</f>
        <v>1-30</v>
      </c>
      <c r="D120" s="113">
        <f t="array" ref="D120">INDEX('崖行動・受け身'!$F$3:$G$115, MATCH($A$1,'崖行動・受け身'!$A$3:$A$115,0), MATCH(D$117,'崖行動・受け身'!$F$2:$G$2,0))</f>
        <v>45</v>
      </c>
      <c r="E120" s="301"/>
      <c r="F120" s="301"/>
      <c r="G120" s="301"/>
      <c r="H120" s="228"/>
      <c r="I120" s="228"/>
      <c r="J120" s="111"/>
      <c r="K120" s="304" t="s">
        <v>260</v>
      </c>
      <c r="L120" s="109"/>
      <c r="M120" s="298" t="s">
        <v>261</v>
      </c>
      <c r="N120" s="298" t="s">
        <v>49</v>
      </c>
      <c r="O120" s="118"/>
      <c r="P120" s="118"/>
      <c r="Q120" s="118"/>
      <c r="R120" s="118"/>
      <c r="S120" s="118"/>
      <c r="T120" s="118"/>
      <c r="U120" s="118"/>
      <c r="V120" s="118"/>
    </row>
    <row r="121" outlineLevel="1">
      <c r="A121" s="146"/>
      <c r="B121" s="300" t="s">
        <v>242</v>
      </c>
      <c r="C121" s="113" t="str">
        <f t="array" ref="C121">INDEX('崖行動・受け身'!$H$3:$I$115, MATCH($A$1,'崖行動・受け身'!$A$3:$A$115,0), MATCH(C$117,'崖行動・受け身'!$H$2:$I$2,0))</f>
        <v>1-12</v>
      </c>
      <c r="D121" s="113">
        <f t="array" ref="D121">INDEX('崖行動・受け身'!$H$3:$I$115, MATCH($A$1,'崖行動・受け身'!$A$3:$A$115,0), MATCH(D$117,'崖行動・受け身'!$H$2:$I$2,0))</f>
        <v>14</v>
      </c>
      <c r="E121" s="301"/>
      <c r="F121" s="301"/>
      <c r="G121" s="301"/>
      <c r="H121" s="228"/>
      <c r="I121" s="228"/>
      <c r="J121" s="117"/>
      <c r="K121" s="305" t="s">
        <v>262</v>
      </c>
      <c r="L121" s="303" t="s">
        <v>226</v>
      </c>
      <c r="M121" s="113" t="str">
        <f t="array" ref="M121">INDEX('アイテム'!$G$3:$H$115, MATCH($A$1,'アイテム'!$A$3:$A$115,0), MATCH(M$120,'アイテム'!$G$2:$AK$2,0))</f>
        <v>8</v>
      </c>
      <c r="N121" s="113">
        <f t="array" ref="N121">INDEX('アイテム'!$G$3:$H$115, MATCH($A$1,'アイテム'!$A$3:$A$115,0), MATCH(N$120,'アイテム'!$G$2:$AK$2,0))</f>
        <v>24</v>
      </c>
      <c r="O121" s="111"/>
      <c r="P121" s="111"/>
      <c r="Q121" s="111"/>
      <c r="R121" s="111"/>
      <c r="S121" s="111"/>
      <c r="T121" s="111"/>
      <c r="U121" s="111"/>
      <c r="V121" s="111"/>
    </row>
    <row r="122" outlineLevel="1">
      <c r="A122" s="156"/>
      <c r="B122" s="300" t="s">
        <v>243</v>
      </c>
      <c r="C122" s="113" t="str">
        <f t="array" ref="C122">INDEX('崖行動・受け身'!$J$3:$M$115, MATCH($A$1,'崖行動・受け身'!$A$3:$A$115,0), MATCH(C$117,'崖行動・受け身'!$J$2:$M$2,0))</f>
        <v>1-26</v>
      </c>
      <c r="D122" s="113">
        <f t="array" ref="D122">INDEX('崖行動・受け身'!$J$3:$M$115, MATCH($A$1,'崖行動・受け身'!$A$3:$A$115,0), MATCH(D$117,'崖行動・受け身'!$J$2:$M$2,0))</f>
        <v>55</v>
      </c>
      <c r="E122" s="113" t="str">
        <f t="array" ref="E122">INDEX('崖行動・受け身'!$J$3:$M$115, MATCH($A$1,'崖行動・受け身'!$A$3:$A$115,0), MATCH(E$117,'崖行動・受け身'!$J$2:$M$2,0))</f>
        <v>24-26</v>
      </c>
      <c r="F122" s="113">
        <f t="array" ref="F122">INDEX('崖行動・受け身'!$J$3:$M$115, MATCH($A$1,'崖行動・受け身'!$A$3:$A$115,0), MATCH(F$117,'崖行動・受け身'!$J$2:$M$2,0))</f>
        <v>9</v>
      </c>
      <c r="G122" s="113">
        <f>F122*1.2</f>
        <v>10.8</v>
      </c>
      <c r="H122" s="228"/>
      <c r="I122" s="228"/>
      <c r="J122" s="111"/>
      <c r="K122" s="146"/>
      <c r="L122" s="303" t="s">
        <v>229</v>
      </c>
      <c r="M122" s="113" t="str">
        <f t="array" ref="M122">INDEX('アイテム'!$I$3:$J$115, MATCH($A$1,'アイテム'!$A$3:$A$115,0), MATCH(M$120,'アイテム'!$I$2:$AK$2,0))</f>
        <v>11</v>
      </c>
      <c r="N122" s="113">
        <f t="array" ref="N122">INDEX('アイテム'!$I$3:$J$115, MATCH($A$1,'アイテム'!$A$3:$A$115,0), MATCH(N$120,'アイテム'!$I$2:$AK$2,0))</f>
        <v>24</v>
      </c>
      <c r="O122" s="111"/>
      <c r="P122" s="111"/>
      <c r="Q122" s="111"/>
      <c r="R122" s="111"/>
      <c r="S122" s="111"/>
      <c r="T122" s="111"/>
      <c r="U122" s="111"/>
      <c r="V122" s="111"/>
    </row>
    <row r="123" outlineLevel="1">
      <c r="A123" s="299" t="s">
        <v>244</v>
      </c>
      <c r="B123" s="300" t="s">
        <v>216</v>
      </c>
      <c r="C123" s="113" t="str">
        <f t="array" ref="C123">INDEX('崖行動・受け身'!$N$3:$O$115, MATCH($A$1,'崖行動・受け身'!$A$3:$A$115,0), MATCH(C$117,'崖行動・受け身'!$N$2:$O$2,0))</f>
        <v>1-20</v>
      </c>
      <c r="D123" s="113">
        <f t="array" ref="D123">INDEX('崖行動・受け身'!$N$3:$O$115, MATCH($A$1,'崖行動・受け身'!$A$3:$A$115,0), MATCH(D$117,'崖行動・受け身'!$N$2:$O$2,0))</f>
        <v>26</v>
      </c>
      <c r="E123" s="301"/>
      <c r="F123" s="301"/>
      <c r="G123" s="301"/>
      <c r="H123" s="228"/>
      <c r="I123" s="228"/>
      <c r="J123" s="117"/>
      <c r="K123" s="146"/>
      <c r="L123" s="303" t="s">
        <v>233</v>
      </c>
      <c r="M123" s="113" t="str">
        <f t="array" ref="M123">INDEX('アイテム'!$K$3:$L$115, MATCH($A$1,'アイテム'!$A$3:$A$115,0), MATCH(M$120,'アイテム'!$K$2:$AK$2,0))</f>
        <v>12</v>
      </c>
      <c r="N123" s="113">
        <f t="array" ref="N123">INDEX('アイテム'!$K$3:$L$115, MATCH($A$1,'アイテム'!$A$3:$A$115,0), MATCH(N$120,'アイテム'!$K$2:$AK$2,0))</f>
        <v>23</v>
      </c>
      <c r="O123" s="228"/>
      <c r="P123" s="228"/>
      <c r="Q123" s="228"/>
      <c r="R123" s="228"/>
      <c r="S123" s="228"/>
      <c r="T123" s="228"/>
      <c r="U123" s="228"/>
      <c r="V123" s="228"/>
    </row>
    <row r="124" outlineLevel="1">
      <c r="A124" s="146"/>
      <c r="B124" s="300" t="s">
        <v>245</v>
      </c>
      <c r="C124" s="113" t="str">
        <f t="array" ref="C124">INDEX('崖行動・受け身'!$P$3:$Q$115, MATCH($A$1,'崖行動・受け身'!$A$3:$A$115,0), MATCH(C$117,'崖行動・受け身'!$P$2:$Q$2,0))</f>
        <v>1-20</v>
      </c>
      <c r="D124" s="113">
        <f t="array" ref="D124">INDEX('崖行動・受け身'!$P$3:$Q$115, MATCH($A$1,'崖行動・受け身'!$A$3:$A$115,0), MATCH(D$117,'崖行動・受け身'!$P$2:$Q$2,0))</f>
        <v>40</v>
      </c>
      <c r="E124" s="301"/>
      <c r="F124" s="301"/>
      <c r="G124" s="301"/>
      <c r="H124" s="228"/>
      <c r="I124" s="228"/>
      <c r="J124" s="111"/>
      <c r="K124" s="146"/>
      <c r="L124" s="303" t="s">
        <v>234</v>
      </c>
      <c r="M124" s="113" t="str">
        <f t="array" ref="M124">INDEX('アイテム'!$M$3:$N$115, MATCH($A$1,'アイテム'!$A$3:$A$115,0), MATCH(M$120,'アイテム'!$M$2:$AK$2,0))</f>
        <v>7</v>
      </c>
      <c r="N124" s="113">
        <f t="array" ref="N124">INDEX('アイテム'!$M$3:$N$115, MATCH($A$1,'アイテム'!$A$3:$A$115,0), MATCH(N$120,'アイテム'!$M$2:$AK$2,0))</f>
        <v>19</v>
      </c>
      <c r="O124" s="118"/>
      <c r="P124" s="118"/>
      <c r="Q124" s="118"/>
      <c r="R124" s="118"/>
      <c r="S124" s="118"/>
      <c r="T124" s="118"/>
      <c r="U124" s="118"/>
      <c r="V124" s="118"/>
    </row>
    <row r="125" outlineLevel="1">
      <c r="A125" s="156"/>
      <c r="B125" s="300" t="s">
        <v>246</v>
      </c>
      <c r="C125" s="113" t="str">
        <f t="array" ref="C125">INDEX('崖行動・受け身'!$R$3:$S$115, MATCH($A$1,'崖行動・受け身'!$A$3:$A$115,0), MATCH(C$117,'崖行動・受け身'!$R$2:$S$2,0))</f>
        <v>1-20</v>
      </c>
      <c r="D125" s="113">
        <f t="array" ref="D125">INDEX('崖行動・受け身'!$R$3:$S$115, MATCH($A$1,'崖行動・受け身'!$A$3:$A$115,0), MATCH(D$117,'崖行動・受け身'!$R$2:$S$2,0))</f>
        <v>40</v>
      </c>
      <c r="E125" s="301"/>
      <c r="F125" s="301"/>
      <c r="G125" s="301"/>
      <c r="H125" s="228"/>
      <c r="I125" s="228"/>
      <c r="J125" s="117"/>
      <c r="K125" s="146"/>
      <c r="L125" s="306" t="s">
        <v>219</v>
      </c>
      <c r="M125" s="113" t="str">
        <f t="array" ref="M125">INDEX('アイテム'!$O$3:$P$115, MATCH($A$1,'アイテム'!$A$3:$A$115,0), MATCH(M$120,'アイテム'!$O$2:$AK$2,0))</f>
        <v>5</v>
      </c>
      <c r="N125" s="113">
        <f t="array" ref="N125">INDEX('アイテム'!$O$3:$P$115, MATCH($A$1,'アイテム'!$A$3:$A$115,0), MATCH(N$120,'アイテム'!$O$2:$AK$2,0))</f>
        <v>29</v>
      </c>
      <c r="O125" s="118"/>
      <c r="P125" s="118"/>
      <c r="Q125" s="118"/>
      <c r="R125" s="118"/>
      <c r="S125" s="118"/>
      <c r="T125" s="118"/>
      <c r="U125" s="118"/>
      <c r="V125" s="118"/>
    </row>
    <row r="126" outlineLevel="1">
      <c r="A126" s="299" t="s">
        <v>247</v>
      </c>
      <c r="B126" s="300" t="s">
        <v>248</v>
      </c>
      <c r="C126" s="301"/>
      <c r="D126" s="113" t="str">
        <f t="array" ref="D126">INDEX('起きあがり'!$C$3:$C$115, MATCH($A$1,'起きあがり'!$A$3:$A$115,0), MATCH(D$117,'起きあがり'!$C$2:$AD$2,0))</f>
        <v>25</v>
      </c>
      <c r="E126" s="301"/>
      <c r="F126" s="301"/>
      <c r="G126" s="301"/>
      <c r="H126" s="228"/>
      <c r="I126" s="228"/>
      <c r="J126" s="111"/>
      <c r="K126" s="156"/>
      <c r="L126" s="306" t="s">
        <v>263</v>
      </c>
      <c r="M126" s="113" t="str">
        <f t="array" ref="M126">INDEX('アイテム'!$Q$3:$R$115, MATCH($A$1,'アイテム'!$A$3:$A$115,0), MATCH(M$120,'アイテム'!$Q$2:$AK$2,0))</f>
        <v>6</v>
      </c>
      <c r="N126" s="113">
        <f t="array" ref="N126">INDEX('アイテム'!$Q$3:$R$115, MATCH($A$1,'アイテム'!$A$3:$A$115,0), MATCH(N$120,'アイテム'!$Q$2:$AK$2,0))</f>
        <v>23</v>
      </c>
      <c r="O126" s="118"/>
      <c r="P126" s="118"/>
      <c r="Q126" s="118"/>
      <c r="R126" s="118"/>
      <c r="S126" s="118"/>
      <c r="T126" s="118"/>
      <c r="U126" s="118"/>
      <c r="V126" s="118"/>
    </row>
    <row r="127" outlineLevel="1">
      <c r="A127" s="146"/>
      <c r="B127" s="300" t="s">
        <v>216</v>
      </c>
      <c r="C127" s="307" t="str">
        <f t="array" ref="C127">INDEX('起きあがり'!$D$3:$E$115, MATCH($A$1,'起きあがり'!$A$3:$A$115,0), MATCH(C$117,'起きあがり'!$D$2:$AD$2,0))</f>
        <v>1-22</v>
      </c>
      <c r="D127" s="308">
        <f t="array" ref="D127">INDEX('起きあがり'!$D$3:$E$115, MATCH($A$1,'起きあがり'!$A$3:$A$115,0), MATCH(D$117,'起きあがり'!$D$2:$AD$2,0))</f>
        <v>29</v>
      </c>
      <c r="E127" s="301"/>
      <c r="F127" s="301"/>
      <c r="G127" s="301"/>
      <c r="H127" s="228"/>
      <c r="I127" s="228"/>
      <c r="J127" s="117"/>
      <c r="K127" s="305" t="s">
        <v>264</v>
      </c>
      <c r="L127" s="303" t="s">
        <v>226</v>
      </c>
      <c r="M127" s="113" t="str">
        <f t="array" ref="M127">INDEX('アイテム'!$S$3:$T$115, MATCH($A$1,'アイテム'!$A$3:$A$115,0), MATCH(M$120,'アイテム'!$S$2:$AK$2,0))</f>
        <v>8</v>
      </c>
      <c r="N127" s="113">
        <f t="array" ref="N127">INDEX('アイテム'!$S$3:$T$115, MATCH($A$1,'アイテム'!$A$3:$A$115,0), MATCH(N$120,'アイテム'!$S$2:$AK$2,0))</f>
        <v>24</v>
      </c>
      <c r="O127" s="118"/>
      <c r="P127" s="118"/>
      <c r="Q127" s="118"/>
      <c r="R127" s="118"/>
      <c r="S127" s="118"/>
      <c r="T127" s="118"/>
      <c r="U127" s="118"/>
      <c r="V127" s="118"/>
    </row>
    <row r="128" outlineLevel="1">
      <c r="A128" s="146"/>
      <c r="B128" s="300" t="s">
        <v>245</v>
      </c>
      <c r="C128" s="307" t="str">
        <f t="array" ref="C128">INDEX('起きあがり'!$F$3:$G$115, MATCH($A$1,'起きあがり'!$A$3:$A$115,0), MATCH(C$117,'起きあがり'!$F$2:$AD$2,0))</f>
        <v>1-21</v>
      </c>
      <c r="D128" s="308">
        <f t="array" ref="D128">INDEX('起きあがり'!$F$3:$G$115, MATCH($A$1,'起きあがり'!$A$3:$A$115,0), MATCH(D$117,'起きあがり'!$F$2:$AD$2,0))</f>
        <v>35</v>
      </c>
      <c r="E128" s="301"/>
      <c r="F128" s="301"/>
      <c r="G128" s="301"/>
      <c r="H128" s="228"/>
      <c r="I128" s="228"/>
      <c r="J128" s="111"/>
      <c r="K128" s="146"/>
      <c r="L128" s="303" t="s">
        <v>229</v>
      </c>
      <c r="M128" s="113" t="str">
        <f t="array" ref="M128">INDEX('アイテム'!$U$3:$V$115, MATCH($A$1,'アイテム'!$A$3:$A$115,0), MATCH(M$120,'アイテム'!$U$2:$AK$2,0))</f>
        <v>11</v>
      </c>
      <c r="N128" s="113">
        <f t="array" ref="N128">INDEX('アイテム'!$U$3:$V$115, MATCH($A$1,'アイテム'!$A$3:$A$115,0), MATCH(N$120,'アイテム'!$U$2:$AK$2,0))</f>
        <v>24</v>
      </c>
      <c r="O128" s="118"/>
      <c r="P128" s="118"/>
      <c r="Q128" s="118"/>
      <c r="R128" s="118"/>
      <c r="S128" s="118"/>
      <c r="T128" s="118"/>
      <c r="U128" s="118"/>
      <c r="V128" s="118"/>
    </row>
    <row r="129" outlineLevel="1">
      <c r="A129" s="146"/>
      <c r="B129" s="300" t="s">
        <v>246</v>
      </c>
      <c r="C129" s="113" t="str">
        <f t="array" ref="C129">INDEX('起きあがり'!$H$3:$I$115, MATCH($A$1,'起きあがり'!$A$3:$A$115,0), MATCH(C$117,'起きあがり'!$H$2:$AD$2,0))</f>
        <v>1-22</v>
      </c>
      <c r="D129" s="113">
        <f t="array" ref="D129">INDEX('起きあがり'!$H$3:$I$115, MATCH($A$1,'起きあがり'!$A$3:$A$115,0), MATCH(D$117,'起きあがり'!$H$2:$AD$2,0))</f>
        <v>35</v>
      </c>
      <c r="E129" s="301"/>
      <c r="F129" s="301"/>
      <c r="G129" s="301"/>
      <c r="H129" s="228"/>
      <c r="I129" s="228"/>
      <c r="J129" s="117"/>
      <c r="K129" s="146"/>
      <c r="L129" s="303" t="s">
        <v>233</v>
      </c>
      <c r="M129" s="113" t="str">
        <f t="array" ref="M129">INDEX('アイテム'!$W$3:$X$115, MATCH($A$1,'アイテム'!$A$3:$A$115,0), MATCH(M$120,'アイテム'!$W$2:$AK$2,0))</f>
        <v>12</v>
      </c>
      <c r="N129" s="113">
        <f t="array" ref="N129">INDEX('アイテム'!$W$3:$X$115, MATCH($A$1,'アイテム'!$A$3:$A$115,0), MATCH(N$120,'アイテム'!$W$2:$AK$2,0))</f>
        <v>23</v>
      </c>
      <c r="O129" s="118"/>
      <c r="P129" s="118"/>
      <c r="Q129" s="118"/>
      <c r="R129" s="118"/>
      <c r="S129" s="118"/>
      <c r="T129" s="118"/>
      <c r="U129" s="118"/>
      <c r="V129" s="118"/>
    </row>
    <row r="130" outlineLevel="1">
      <c r="A130" s="146"/>
      <c r="B130" s="300" t="s">
        <v>249</v>
      </c>
      <c r="C130" s="309" t="str">
        <f t="array" ref="C130">INDEX('起きあがり'!$J$3:$M$115, MATCH($A$1,'起きあがり'!$A$3:$A$115,0), MATCH(C$117,'起きあがり'!$J$2:$AD$2,0))</f>
        <v>1-25</v>
      </c>
      <c r="D130" s="310">
        <f t="array" ref="D130">INDEX('起きあがり'!$J$3:$M$115, MATCH($A$1,'起きあがり'!$A$3:$A$115,0), MATCH(D$117,'起きあがり'!$J$2:$AD$2,0))</f>
        <v>45</v>
      </c>
      <c r="E130" s="307" t="str">
        <f t="array" ref="E130">INDEX('起きあがり'!$J$3:$M$115, MATCH($A$1,'起きあがり'!$A$3:$A$115,0), MATCH(E$117,'起きあがり'!$J$2:$AD$2,0))</f>
        <v>19-20</v>
      </c>
      <c r="F130" s="308">
        <f t="array" ref="F130">INDEX('起きあがり'!$J$3:$M$115, MATCH($A$1,'起きあがり'!$A$3:$A$115,0), MATCH(F$117,'起きあがり'!$J$2:$AD$2,0))</f>
        <v>7</v>
      </c>
      <c r="G130" s="113">
        <f t="shared" ref="G130:G131" si="2">F130*1.2</f>
        <v>8.4</v>
      </c>
      <c r="H130" s="228"/>
      <c r="I130" s="228"/>
      <c r="J130" s="111"/>
      <c r="K130" s="156"/>
      <c r="L130" s="303" t="s">
        <v>234</v>
      </c>
      <c r="M130" s="113" t="str">
        <f t="array" ref="M130">INDEX('アイテム'!$Y$3:$Z$115, MATCH($A$1,'アイテム'!$A$3:$A$115,0), MATCH(M$120,'アイテム'!$Y$2:$AK$2,0))</f>
        <v>7</v>
      </c>
      <c r="N130" s="113">
        <f t="array" ref="N130">INDEX('アイテム'!$Y$3:$Z$115, MATCH($A$1,'アイテム'!$A$3:$A$115,0), MATCH(N$120,'アイテム'!$Y$2:$AK$2,0))</f>
        <v>19</v>
      </c>
      <c r="O130" s="111"/>
      <c r="P130" s="111"/>
      <c r="Q130" s="111"/>
      <c r="R130" s="111"/>
      <c r="S130" s="111"/>
      <c r="T130" s="111"/>
      <c r="U130" s="111"/>
      <c r="V130" s="111"/>
    </row>
    <row r="131" outlineLevel="1">
      <c r="A131" s="156"/>
      <c r="B131" s="311" t="s">
        <v>250</v>
      </c>
      <c r="C131" s="156"/>
      <c r="D131" s="156"/>
      <c r="E131" s="307" t="str">
        <f t="array" ref="E131">INDEX('起きあがり'!$N$3:$O$115, MATCH($A$1,'起きあがり'!$A$3:$A$115,0), MATCH(E$117,'起きあがり'!$N$2:$AD$2,0))</f>
        <v>24-25</v>
      </c>
      <c r="F131" s="308">
        <f t="array" ref="F131">INDEX('起きあがり'!$N$3:$O$115, MATCH($A$1,'起きあがり'!$A$3:$A$115,0), MATCH(F$117,'起きあがり'!$N$2:$AD$2,0))</f>
        <v>7</v>
      </c>
      <c r="G131" s="113">
        <f t="shared" si="2"/>
        <v>8.4</v>
      </c>
      <c r="H131" s="228"/>
      <c r="I131" s="228"/>
      <c r="J131" s="111"/>
      <c r="K131" s="312" t="s">
        <v>5390</v>
      </c>
      <c r="L131" s="168"/>
      <c r="M131" s="298" t="s">
        <v>49</v>
      </c>
      <c r="N131" s="114"/>
      <c r="O131" s="111"/>
      <c r="P131" s="111"/>
      <c r="Q131" s="111"/>
      <c r="R131" s="111"/>
      <c r="S131" s="111"/>
      <c r="T131" s="111"/>
      <c r="U131" s="111"/>
      <c r="V131" s="111"/>
    </row>
    <row r="132" outlineLevel="1">
      <c r="A132" s="299" t="s">
        <v>251</v>
      </c>
      <c r="B132" s="300" t="s">
        <v>248</v>
      </c>
      <c r="C132" s="301"/>
      <c r="D132" s="307" t="str">
        <f t="array" ref="D132">INDEX('起きあがり'!$C$3:$C$115, MATCH($A$1,'起きあがり'!$A$3:$A$115,0), MATCH(D$117,'起きあがり'!$C$2:$AD$2,0))</f>
        <v>25</v>
      </c>
      <c r="E132" s="301"/>
      <c r="F132" s="301"/>
      <c r="G132" s="301"/>
      <c r="H132" s="228"/>
      <c r="I132" s="228"/>
      <c r="J132" s="117"/>
      <c r="K132" s="313" t="s">
        <v>693</v>
      </c>
      <c r="L132" s="314" t="s">
        <v>693</v>
      </c>
      <c r="M132" s="113" t="str">
        <f t="array" ref="M132">INDEX('共通動作その他'!$C$3:$C$102, MATCH($A$1,'共通動作その他'!$A$3:$A$102,0), MATCH(M$131,'共通動作その他'!$C$2:$AA$2,0))</f>
        <v>#N/A</v>
      </c>
      <c r="N132" s="315"/>
      <c r="O132" s="111"/>
      <c r="P132" s="111"/>
      <c r="Q132" s="111"/>
      <c r="R132" s="111"/>
      <c r="S132" s="111"/>
      <c r="T132" s="111"/>
      <c r="U132" s="111"/>
      <c r="V132" s="111"/>
    </row>
    <row r="133" outlineLevel="1">
      <c r="A133" s="146"/>
      <c r="B133" s="300" t="s">
        <v>216</v>
      </c>
      <c r="C133" s="307" t="str">
        <f t="array" ref="C133">INDEX('起きあがり'!$P$3:$Q$115, MATCH($A$1,'起きあがり'!$A$3:$A$115,0), MATCH(C$117,'起きあがり'!$P$2:$AD$2,0))</f>
        <v>1-22</v>
      </c>
      <c r="D133" s="308">
        <f t="array" ref="D133">INDEX('起きあがり'!$P$3:$Q$115, MATCH($A$1,'起きあがり'!$A$3:$A$115,0), MATCH(D$117,'起きあがり'!$P$2:$AD$2,0))</f>
        <v>29</v>
      </c>
      <c r="E133" s="301"/>
      <c r="F133" s="301"/>
      <c r="G133" s="301"/>
      <c r="H133" s="228"/>
      <c r="I133" s="228"/>
      <c r="J133" s="111"/>
      <c r="K133" s="305" t="s">
        <v>2602</v>
      </c>
      <c r="L133" s="314" t="s">
        <v>5391</v>
      </c>
      <c r="M133" s="113" t="str">
        <f t="array" ref="M133">INDEX('共通動作その他'!$D$3:$D$102, MATCH($A$1,'共通動作その他'!$A$3:$A$102,0), MATCH(M$131,'共通動作その他'!$D$2:$AA$2,0))</f>
        <v>#N/A</v>
      </c>
      <c r="N133" s="315"/>
      <c r="O133" s="228"/>
      <c r="P133" s="228"/>
      <c r="Q133" s="228"/>
      <c r="R133" s="228"/>
      <c r="S133" s="228"/>
      <c r="T133" s="228"/>
      <c r="U133" s="228"/>
      <c r="V133" s="228"/>
    </row>
    <row r="134" outlineLevel="1">
      <c r="A134" s="146"/>
      <c r="B134" s="300" t="s">
        <v>245</v>
      </c>
      <c r="C134" s="307" t="str">
        <f t="array" ref="C134">INDEX('起きあがり'!$R$3:$S$115, MATCH($A$1,'起きあがり'!$A$3:$A$115,0), MATCH(C$117,'起きあがり'!$R$2:$AD$2,0))</f>
        <v>1-19</v>
      </c>
      <c r="D134" s="308">
        <f t="array" ref="D134">INDEX('起きあがり'!$R$3:$S$115, MATCH($A$1,'起きあがり'!$A$3:$A$115,0), MATCH(D$117,'起きあがり'!$R$2:$AD$2,0))</f>
        <v>35</v>
      </c>
      <c r="E134" s="301"/>
      <c r="F134" s="301"/>
      <c r="G134" s="301"/>
      <c r="H134" s="228"/>
      <c r="I134" s="228"/>
      <c r="J134" s="117"/>
      <c r="K134" s="146"/>
      <c r="L134" s="314" t="s">
        <v>5392</v>
      </c>
      <c r="M134" s="113" t="str">
        <f t="array" ref="M134">INDEX('共通動作その他'!$E$3:$E$102, MATCH($A$1,'共通動作その他'!$A$3:$A$102,0), MATCH(M$131,'共通動作その他'!$E$2:$AA$2,0))</f>
        <v>#N/A</v>
      </c>
      <c r="N134" s="102"/>
      <c r="O134" s="118"/>
      <c r="P134" s="118"/>
      <c r="Q134" s="118"/>
      <c r="R134" s="118"/>
      <c r="S134" s="118"/>
      <c r="T134" s="118"/>
      <c r="U134" s="118"/>
      <c r="V134" s="118"/>
    </row>
    <row r="135" outlineLevel="1">
      <c r="A135" s="146"/>
      <c r="B135" s="300" t="s">
        <v>246</v>
      </c>
      <c r="C135" s="307" t="str">
        <f t="array" ref="C135">INDEX('起きあがり'!$T$3:$U$115, MATCH($A$1,'起きあがり'!$A$3:$A$115,0), MATCH(C$117,'起きあがり'!$T$2:$AD$2,0))</f>
        <v>1-24</v>
      </c>
      <c r="D135" s="308">
        <f t="array" ref="D135">INDEX('起きあがり'!$T$3:$U$115, MATCH($A$1,'起きあがり'!$A$3:$A$115,0), MATCH(D$117,'起きあがり'!$T$2:$AD$2,0))</f>
        <v>35</v>
      </c>
      <c r="E135" s="301"/>
      <c r="F135" s="301"/>
      <c r="G135" s="301"/>
      <c r="H135" s="228"/>
      <c r="I135" s="228"/>
      <c r="J135" s="111"/>
      <c r="K135" s="146"/>
      <c r="L135" s="314" t="s">
        <v>5393</v>
      </c>
      <c r="M135" s="113" t="str">
        <f t="array" ref="M135">INDEX('共通動作その他'!$F$3:$F$102, MATCH($A$1,'共通動作その他'!$A$3:$A$102,0), MATCH(M$131,'共通動作その他'!$F$2:$AA$2,0))</f>
        <v>#N/A</v>
      </c>
      <c r="N135" s="102"/>
      <c r="O135" s="118"/>
      <c r="P135" s="118"/>
      <c r="Q135" s="118"/>
      <c r="R135" s="118"/>
      <c r="S135" s="118"/>
      <c r="T135" s="118"/>
      <c r="U135" s="118"/>
      <c r="V135" s="118"/>
    </row>
    <row r="136" outlineLevel="1">
      <c r="A136" s="146"/>
      <c r="B136" s="300" t="s">
        <v>249</v>
      </c>
      <c r="C136" s="309" t="str">
        <f t="array" ref="C136">INDEX('起きあがり'!$V$3:$Y$115, MATCH($A$1,'起きあがり'!$A$3:$A$115,0), MATCH(C$117,'起きあがり'!$V$2:$AD$2,0))</f>
        <v>1-25</v>
      </c>
      <c r="D136" s="310">
        <f t="array" ref="D136">INDEX('起きあがり'!$V$3:$Y$115, MATCH($A$1,'起きあがり'!$A$3:$A$115,0), MATCH(D$117,'起きあがり'!$V$2:$AD$2,0))</f>
        <v>45</v>
      </c>
      <c r="E136" s="307" t="str">
        <f t="array" ref="E136">INDEX('起きあがり'!$V$3:$Y$115, MATCH($A$1,'起きあがり'!$A$3:$A$115,0), MATCH(E$117,'起きあがり'!$V$2:$AD$2,0))</f>
        <v>19-20</v>
      </c>
      <c r="F136" s="308">
        <f t="array" ref="F136">INDEX('起きあがり'!$V$3:$Y$115, MATCH($A$1,'起きあがり'!$A$3:$A$115,0), MATCH(F$117,'起きあがり'!$V$2:$AD$2,0))</f>
        <v>7</v>
      </c>
      <c r="G136" s="113">
        <f t="shared" ref="G136:G137" si="3">F136*1.2</f>
        <v>8.4</v>
      </c>
      <c r="H136" s="228"/>
      <c r="I136" s="228"/>
      <c r="J136" s="117"/>
      <c r="K136" s="146"/>
      <c r="L136" s="314" t="s">
        <v>5394</v>
      </c>
      <c r="M136" s="113" t="str">
        <f t="array" ref="M136">INDEX('共通動作その他'!$G$3:$G$102, MATCH($A$1,'共通動作その他'!$A$3:$A$102,0), MATCH(M$131,'共通動作その他'!$G$2:$AA$2,0))</f>
        <v>#N/A</v>
      </c>
      <c r="N136" s="102"/>
      <c r="O136" s="118"/>
      <c r="P136" s="118"/>
      <c r="Q136" s="118"/>
      <c r="R136" s="118"/>
      <c r="S136" s="118"/>
      <c r="T136" s="118"/>
      <c r="U136" s="118"/>
      <c r="V136" s="118"/>
    </row>
    <row r="137" outlineLevel="1">
      <c r="A137" s="156"/>
      <c r="B137" s="311" t="s">
        <v>250</v>
      </c>
      <c r="C137" s="156"/>
      <c r="D137" s="156"/>
      <c r="E137" s="307" t="str">
        <f t="array" ref="E137">INDEX('起きあがり'!$Z$3:$AA$115, MATCH($A$1,'起きあがり'!$A$3:$A$115,0), MATCH(E$117,'起きあがり'!$Z$2:$AD$2,0))</f>
        <v>24-25</v>
      </c>
      <c r="F137" s="308">
        <f t="array" ref="F137">INDEX('起きあがり'!$Z$3:$AA$115, MATCH($A$1,'起きあがり'!$A$3:$A$115,0), MATCH(F$117,'起きあがり'!$Z$2:$AD$2,0))</f>
        <v>7</v>
      </c>
      <c r="G137" s="113">
        <f t="shared" si="3"/>
        <v>8.4</v>
      </c>
      <c r="H137" s="228"/>
      <c r="I137" s="228"/>
      <c r="J137" s="117"/>
      <c r="K137" s="304" t="s">
        <v>5395</v>
      </c>
      <c r="L137" s="110"/>
      <c r="M137" s="298" t="s">
        <v>49</v>
      </c>
      <c r="N137" s="102"/>
      <c r="O137" s="118"/>
      <c r="P137" s="118"/>
      <c r="Q137" s="118"/>
      <c r="R137" s="118"/>
      <c r="S137" s="118"/>
      <c r="T137" s="118"/>
      <c r="U137" s="118"/>
      <c r="V137" s="118"/>
    </row>
    <row r="138" outlineLevel="1">
      <c r="A138" s="299" t="s">
        <v>252</v>
      </c>
      <c r="B138" s="300" t="s">
        <v>253</v>
      </c>
      <c r="C138" s="307" t="str">
        <f t="array" ref="C138">INDEX('転倒'!$C$3:$D$115, MATCH($A$1,'転倒'!$A$3:$A$115,0), MATCH(C$117,'転倒'!$C$2:$AC$2,0))</f>
        <v>1-5</v>
      </c>
      <c r="D138" s="308">
        <f t="array" ref="D138">INDEX('転倒'!$C$3:$D$115, MATCH($A$1,'転倒'!$A$3:$A$115,0), MATCH(D$117,'転倒'!$C$2:$AC$2,0))</f>
        <v>29</v>
      </c>
      <c r="E138" s="301"/>
      <c r="F138" s="301"/>
      <c r="G138" s="301"/>
      <c r="H138" s="228"/>
      <c r="I138" s="228"/>
      <c r="J138" s="111"/>
      <c r="K138" s="313" t="s">
        <v>5396</v>
      </c>
      <c r="L138" s="306" t="s">
        <v>5397</v>
      </c>
      <c r="M138" s="113" t="str">
        <f t="array" ref="M138">INDEX('共通動作その他'!$H$3:$H$102, MATCH($A$1,'共通動作その他'!$A$3:$A$102,0), MATCH(M$137,'共通動作その他'!$H$2:$AA$2,0))</f>
        <v>#N/A</v>
      </c>
      <c r="N138" s="315"/>
      <c r="O138" s="118"/>
      <c r="P138" s="118"/>
      <c r="Q138" s="118"/>
      <c r="R138" s="118"/>
      <c r="S138" s="118"/>
      <c r="T138" s="118"/>
      <c r="U138" s="118"/>
      <c r="V138" s="118"/>
    </row>
    <row r="139" outlineLevel="1">
      <c r="A139" s="146"/>
      <c r="B139" s="300" t="s">
        <v>254</v>
      </c>
      <c r="C139" s="307" t="str">
        <f t="array" ref="C139">INDEX('転倒'!$E$3:$F$115, MATCH($A$1,'転倒'!$A$3:$A$115,0), MATCH(C$117,'転倒'!$E$2:$AC$2,0))</f>
        <v>1-5</v>
      </c>
      <c r="D139" s="308">
        <f t="array" ref="D139">INDEX('転倒'!$E$3:$F$115, MATCH($A$1,'転倒'!$A$3:$A$115,0), MATCH(D$117,'転倒'!$E$2:$AC$2,0))</f>
        <v>39</v>
      </c>
      <c r="E139" s="301"/>
      <c r="F139" s="301"/>
      <c r="G139" s="301"/>
      <c r="H139" s="228"/>
      <c r="I139" s="228"/>
      <c r="J139" s="117"/>
      <c r="K139" s="313" t="s">
        <v>5398</v>
      </c>
      <c r="L139" s="306" t="s">
        <v>5397</v>
      </c>
      <c r="M139" s="113" t="str">
        <f t="array" ref="M139">INDEX('共通動作その他'!$I$3:$I$102, MATCH($A$1,'共通動作その他'!$A$3:$A$102,0), MATCH(M$137,'共通動作その他'!$I$2:$AA$2,0))</f>
        <v>#N/A</v>
      </c>
      <c r="N139" s="315"/>
      <c r="O139" s="118"/>
      <c r="P139" s="118"/>
      <c r="Q139" s="118"/>
      <c r="R139" s="118"/>
      <c r="S139" s="118"/>
      <c r="T139" s="118"/>
      <c r="U139" s="118"/>
      <c r="V139" s="118"/>
    </row>
    <row r="140" outlineLevel="1">
      <c r="A140" s="146"/>
      <c r="B140" s="300" t="s">
        <v>216</v>
      </c>
      <c r="C140" s="307" t="str">
        <f t="array" ref="C140">INDEX('転倒'!$G$3:$H$115, MATCH($A$1,'転倒'!$A$3:$A$115,0), MATCH(C$117,'転倒'!$G$2:$AC$2,0))</f>
        <v>1-16</v>
      </c>
      <c r="D140" s="308">
        <f t="array" ref="D140">INDEX('転倒'!$G$3:$H$115, MATCH($A$1,'転倒'!$A$3:$A$115,0), MATCH(D$117,'転倒'!$G$2:$AC$2,0))</f>
        <v>21</v>
      </c>
      <c r="E140" s="301"/>
      <c r="F140" s="301"/>
      <c r="G140" s="301"/>
      <c r="H140" s="228"/>
      <c r="I140" s="228"/>
      <c r="J140" s="111"/>
      <c r="K140" s="102"/>
      <c r="L140" s="118"/>
      <c r="M140" s="118"/>
      <c r="N140" s="102"/>
      <c r="O140" s="118"/>
      <c r="P140" s="118"/>
      <c r="Q140" s="118"/>
      <c r="R140" s="118"/>
      <c r="S140" s="118"/>
      <c r="T140" s="118"/>
      <c r="U140" s="118"/>
      <c r="V140" s="118"/>
    </row>
    <row r="141" outlineLevel="1">
      <c r="A141" s="146"/>
      <c r="B141" s="300" t="s">
        <v>245</v>
      </c>
      <c r="C141" s="307" t="str">
        <f t="array" ref="C141">INDEX('転倒'!$I$3:$J$115, MATCH($A$1,'転倒'!$A$3:$A$115,0), MATCH(C$117,'転倒'!$I$2:$AC$2,0))</f>
        <v>1-9</v>
      </c>
      <c r="D141" s="308">
        <f t="array" ref="D141">INDEX('転倒'!$I$3:$J$115, MATCH($A$1,'転倒'!$A$3:$A$115,0), MATCH(D$117,'転倒'!$I$2:$AC$2,0))</f>
        <v>28</v>
      </c>
      <c r="E141" s="301"/>
      <c r="F141" s="301"/>
      <c r="G141" s="301"/>
      <c r="H141" s="228"/>
      <c r="I141" s="228"/>
      <c r="J141" s="228"/>
      <c r="K141" s="102"/>
      <c r="L141" s="118"/>
      <c r="M141" s="118"/>
      <c r="N141" s="102"/>
      <c r="O141" s="118"/>
      <c r="P141" s="118"/>
      <c r="Q141" s="118"/>
      <c r="R141" s="118"/>
      <c r="S141" s="118"/>
      <c r="T141" s="118"/>
      <c r="U141" s="118"/>
      <c r="V141" s="118"/>
    </row>
    <row r="142" outlineLevel="1">
      <c r="A142" s="146"/>
      <c r="B142" s="300" t="s">
        <v>246</v>
      </c>
      <c r="C142" s="307" t="str">
        <f t="array" ref="C142">INDEX('転倒'!$K$3:$L$115, MATCH($A$1,'転倒'!$A$3:$A$115,0), MATCH(C$117,'転倒'!$K$2:$AC$2,0))</f>
        <v>1-9</v>
      </c>
      <c r="D142" s="308">
        <f t="array" ref="D142">INDEX('転倒'!$K$3:$L$115, MATCH($A$1,'転倒'!$A$3:$A$115,0), MATCH(D$117,'転倒'!$K$2:$AC$2,0))</f>
        <v>28</v>
      </c>
      <c r="E142" s="301"/>
      <c r="F142" s="301"/>
      <c r="G142" s="301"/>
      <c r="H142" s="228"/>
      <c r="I142" s="228"/>
      <c r="J142" s="228"/>
      <c r="K142" s="102"/>
      <c r="L142" s="118"/>
      <c r="M142" s="118"/>
      <c r="N142" s="102"/>
      <c r="O142" s="118"/>
      <c r="P142" s="118"/>
      <c r="Q142" s="118"/>
      <c r="R142" s="118"/>
      <c r="S142" s="118"/>
      <c r="T142" s="118"/>
      <c r="U142" s="118"/>
      <c r="V142" s="118"/>
    </row>
    <row r="143" outlineLevel="1">
      <c r="A143" s="146"/>
      <c r="B143" s="300" t="s">
        <v>249</v>
      </c>
      <c r="C143" s="309" t="str">
        <f t="array" ref="C143">INDEX('転倒'!$M$3:$P$115, MATCH($A$1,'転倒'!$A$3:$A$115,0), MATCH(C$117,'転倒'!$M$2:$AC$2,0))</f>
        <v>1-7</v>
      </c>
      <c r="D143" s="310">
        <f t="array" ref="D143">INDEX('転倒'!$M$3:$P$115, MATCH($A$1,'転倒'!$A$3:$A$115,0), MATCH(D$117,'転倒'!$M$2:$AC$2,0))</f>
        <v>49</v>
      </c>
      <c r="E143" s="307" t="str">
        <f t="array" ref="E143">INDEX('転倒'!$M$3:$P$115, MATCH($A$1,'転倒'!$A$3:$A$115,0), MATCH(E$117,'転倒'!$M$2:$AC$2,0))</f>
        <v>19-20</v>
      </c>
      <c r="F143" s="308">
        <f t="array" ref="F143">INDEX('転倒'!$M$3:$P$115, MATCH($A$1,'転倒'!$A$3:$A$115,0), MATCH(F$117,'転倒'!$M$2:$AC$2,0))</f>
        <v>5</v>
      </c>
      <c r="G143" s="113">
        <f t="shared" ref="G143:G144" si="4">F143*1.2</f>
        <v>6</v>
      </c>
      <c r="H143" s="228"/>
      <c r="I143" s="228"/>
      <c r="J143" s="228"/>
      <c r="K143" s="118"/>
      <c r="L143" s="118"/>
      <c r="M143" s="118"/>
      <c r="N143" s="102"/>
      <c r="O143" s="102"/>
      <c r="P143" s="102"/>
      <c r="Q143" s="102"/>
      <c r="R143" s="118"/>
      <c r="S143" s="118"/>
      <c r="T143" s="118"/>
      <c r="U143" s="118"/>
      <c r="V143" s="118"/>
    </row>
    <row r="144" outlineLevel="1">
      <c r="A144" s="156"/>
      <c r="B144" s="311" t="s">
        <v>250</v>
      </c>
      <c r="C144" s="156"/>
      <c r="D144" s="156"/>
      <c r="E144" s="307" t="str">
        <f t="array" ref="E144">INDEX('転倒'!$Q$3:$R$115, MATCH($A$1,'転倒'!$A$3:$A$115,0), MATCH(E$117,'転倒'!$Q$2:$AC$2,0))</f>
        <v>31-32</v>
      </c>
      <c r="F144" s="308">
        <f t="array" ref="F144">INDEX('転倒'!$Q$3:$R$115, MATCH($A$1,'転倒'!$A$3:$A$115,0), MATCH(F$117,'転倒'!$Q$2:$AC$2,0))</f>
        <v>5</v>
      </c>
      <c r="G144" s="113">
        <f t="shared" si="4"/>
        <v>6</v>
      </c>
      <c r="H144" s="228"/>
      <c r="I144" s="228"/>
      <c r="J144" s="228"/>
      <c r="K144" s="118"/>
      <c r="L144" s="118"/>
      <c r="M144" s="118"/>
      <c r="N144" s="102"/>
      <c r="O144" s="102"/>
      <c r="P144" s="102"/>
      <c r="Q144" s="102"/>
      <c r="R144" s="118"/>
      <c r="S144" s="118"/>
      <c r="T144" s="118"/>
      <c r="U144" s="118"/>
      <c r="V144" s="118"/>
    </row>
    <row r="145" outlineLevel="1">
      <c r="A145" s="319"/>
      <c r="B145" s="320"/>
      <c r="C145" s="321"/>
      <c r="D145" s="321"/>
      <c r="E145" s="322"/>
      <c r="F145" s="322"/>
      <c r="G145" s="114"/>
      <c r="H145" s="228"/>
      <c r="I145" s="228"/>
      <c r="J145" s="228"/>
      <c r="K145" s="118"/>
      <c r="L145" s="118"/>
      <c r="M145" s="118"/>
      <c r="N145" s="102"/>
      <c r="O145" s="102"/>
      <c r="P145" s="102"/>
      <c r="Q145" s="102"/>
      <c r="R145" s="118"/>
      <c r="S145" s="118"/>
      <c r="T145" s="118"/>
      <c r="U145" s="118"/>
      <c r="V145" s="118"/>
    </row>
    <row r="146" outlineLevel="1">
      <c r="A146" s="323" t="s">
        <v>255</v>
      </c>
      <c r="B146" s="109"/>
      <c r="C146" s="321"/>
      <c r="D146" s="321"/>
      <c r="E146" s="322"/>
      <c r="F146" s="322"/>
      <c r="G146" s="114"/>
      <c r="H146" s="228"/>
      <c r="I146" s="228"/>
      <c r="J146" s="228"/>
      <c r="K146" s="118"/>
      <c r="L146" s="118"/>
      <c r="M146" s="118"/>
      <c r="N146" s="102"/>
      <c r="O146" s="102"/>
      <c r="P146" s="102"/>
      <c r="Q146" s="102"/>
      <c r="R146" s="118"/>
      <c r="S146" s="118"/>
      <c r="T146" s="118"/>
      <c r="U146" s="118"/>
      <c r="V146" s="118"/>
    </row>
    <row r="147" outlineLevel="1">
      <c r="A147" s="324" t="s">
        <v>256</v>
      </c>
      <c r="B147" s="109"/>
      <c r="C147" s="325" t="s">
        <v>257</v>
      </c>
      <c r="D147" s="325" t="s">
        <v>49</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258</v>
      </c>
      <c r="B148" s="327" t="s">
        <v>216</v>
      </c>
      <c r="C148" s="328" t="str">
        <f t="array" ref="C148">INDEX('アイテム'!$C$3:$D$114, MATCH($A$1,'アイテム'!$A$3:$A$114,0), MATCH(C147,'アイテム'!$C$2:$AQ$2,0))</f>
        <v>2</v>
      </c>
      <c r="D148" s="328">
        <f t="array" ref="D148">INDEX('アイテム'!$C$3:$D$114, MATCH($A$1,'アイテム'!$A$3:$A$114,0), MATCH(D147,'アイテム'!$C$2:$AQ$2,0))</f>
        <v>7</v>
      </c>
      <c r="E148" s="322"/>
      <c r="F148" s="322"/>
      <c r="G148" s="114"/>
      <c r="H148" s="228"/>
      <c r="I148" s="228"/>
      <c r="J148" s="228"/>
      <c r="K148" s="118"/>
      <c r="L148" s="118"/>
      <c r="M148" s="118"/>
      <c r="N148" s="102"/>
      <c r="O148" s="102"/>
      <c r="P148" s="102"/>
      <c r="Q148" s="102"/>
      <c r="R148" s="118"/>
      <c r="S148" s="118"/>
      <c r="T148" s="118"/>
      <c r="U148" s="118"/>
      <c r="V148" s="118"/>
    </row>
    <row r="149" outlineLevel="1">
      <c r="A149" s="156"/>
      <c r="B149" s="327" t="s">
        <v>219</v>
      </c>
      <c r="C149" s="328" t="str">
        <f t="array" ref="C149">INDEX('アイテム'!$E$3:$F$114, MATCH($A$1,'アイテム'!$A$3:$A$114,0), MATCH(C147,'アイテム'!$C$2:$AQ$2,0))</f>
        <v>2</v>
      </c>
      <c r="D149" s="328">
        <f t="array" ref="D149">INDEX('アイテム'!$E$3:$F$114, MATCH($A$1,'アイテム'!$A$3:$A$114,0), MATCH(D147,'アイテム'!$C$2:$AQ$2,0))</f>
        <v>19</v>
      </c>
      <c r="E149" s="322"/>
      <c r="F149" s="322"/>
      <c r="G149" s="114"/>
      <c r="H149" s="228"/>
      <c r="I149" s="228"/>
      <c r="J149" s="228"/>
      <c r="K149" s="118"/>
      <c r="L149" s="118"/>
      <c r="M149" s="118"/>
      <c r="N149" s="102"/>
      <c r="O149" s="102"/>
      <c r="P149" s="102"/>
      <c r="Q149" s="102"/>
      <c r="R149" s="118"/>
      <c r="S149" s="118"/>
      <c r="T149" s="118"/>
      <c r="U149" s="118"/>
      <c r="V149" s="118"/>
    </row>
    <row r="150" outlineLevel="1">
      <c r="A150" s="329" t="s">
        <v>259</v>
      </c>
      <c r="B150" s="327" t="s">
        <v>216</v>
      </c>
      <c r="C150" s="328">
        <f t="array" ref="C150">INDEX('アイテム'!$AA$3:$AB$114, MATCH($A$1,'アイテム'!$A$3:$A$114,0), MATCH(C147,'アイテム'!$C$2:$AQ$2,0))</f>
        <v>3</v>
      </c>
      <c r="D150" s="328" t="str">
        <f t="array" ref="D150">INDEX('アイテム'!$AA$3:$AB$114, MATCH($A$1,'アイテム'!$A$3:$A$114,0), MATCH(D147,'アイテム'!$C$2:$AQ$2,0))</f>
        <v>12</v>
      </c>
      <c r="E150" s="322"/>
      <c r="F150" s="322"/>
      <c r="G150" s="114"/>
      <c r="H150" s="228"/>
      <c r="I150" s="228"/>
      <c r="J150" s="228"/>
      <c r="K150" s="118"/>
      <c r="L150" s="118"/>
      <c r="M150" s="118"/>
      <c r="N150" s="102"/>
      <c r="O150" s="102"/>
      <c r="P150" s="102"/>
      <c r="Q150" s="102"/>
      <c r="R150" s="118"/>
      <c r="S150" s="118"/>
      <c r="T150" s="118"/>
      <c r="U150" s="118"/>
      <c r="V150" s="118"/>
    </row>
    <row r="151" outlineLevel="1">
      <c r="A151" s="324" t="s">
        <v>260</v>
      </c>
      <c r="B151" s="109"/>
      <c r="C151" s="325" t="s">
        <v>261</v>
      </c>
      <c r="D151" s="325" t="s">
        <v>49</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262</v>
      </c>
      <c r="B152" s="327" t="s">
        <v>226</v>
      </c>
      <c r="C152" s="328" t="str">
        <f t="array" ref="C152">INDEX('アイテム'!$G$3:$H$114, MATCH($A$1,'アイテム'!$A$3:$A$114,0), MATCH(C147,'アイテム'!$C$2:$AQ$2,0))</f>
        <v>8</v>
      </c>
      <c r="D152" s="328">
        <f t="array" ref="D152">INDEX('アイテム'!$G$3:$H$114, MATCH($A$1,'アイテム'!$A$3:$A$114,0), MATCH(D147,'アイテム'!$C$2:$AQ$2,0))</f>
        <v>24</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t="str">
        <f t="array" ref="C153">INDEX('アイテム'!$I$3:$J$114, MATCH($A$1,'アイテム'!$A$3:$A$114,0), MATCH(C147,'アイテム'!$C$2:$AQ$2,0))</f>
        <v>11</v>
      </c>
      <c r="D153" s="328">
        <f t="array" ref="D153">INDEX('アイテム'!$I$3:$J$114, MATCH($A$1,'アイテム'!$A$3:$A$114,0), MATCH(D147,'アイテム'!$C$2:$AQ$2,0))</f>
        <v>24</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t="str">
        <f t="array" ref="C154">INDEX('アイテム'!$K$3:$L$114, MATCH($A$1,'アイテム'!$A$3:$A$114,0), MATCH(C147,'アイテム'!$C$2:$AQ$2,0))</f>
        <v>12</v>
      </c>
      <c r="D154" s="328">
        <f t="array" ref="D154">INDEX('アイテム'!$K$3:$L$114, MATCH($A$1,'アイテム'!$A$3:$A$114,0), MATCH(D147,'アイテム'!$C$2:$AQ$2,0))</f>
        <v>23</v>
      </c>
      <c r="E154" s="322"/>
      <c r="F154" s="322"/>
      <c r="G154" s="114"/>
      <c r="H154" s="228"/>
      <c r="I154" s="228"/>
      <c r="J154" s="228"/>
      <c r="K154" s="118"/>
      <c r="L154" s="118"/>
      <c r="M154" s="118"/>
      <c r="N154" s="102"/>
      <c r="O154" s="102"/>
      <c r="P154" s="102"/>
      <c r="Q154" s="102"/>
      <c r="R154" s="118"/>
      <c r="S154" s="118"/>
      <c r="T154" s="118"/>
      <c r="U154" s="118"/>
      <c r="V154" s="118"/>
    </row>
    <row r="155" outlineLevel="1">
      <c r="A155" s="146"/>
      <c r="B155" s="327" t="s">
        <v>234</v>
      </c>
      <c r="C155" s="328" t="str">
        <f t="array" ref="C155">INDEX('アイテム'!$M$3:$N$114, MATCH($A$1,'アイテム'!$A$3:$A$114,0), MATCH(C147,'アイテム'!$C$2:$AQ$2,0))</f>
        <v>7</v>
      </c>
      <c r="D155" s="328">
        <f t="array" ref="D155">INDEX('アイテム'!$M$3:$N$114, MATCH($A$1,'アイテム'!$A$3:$A$114,0), MATCH(D147,'アイテム'!$C$2:$AQ$2,0))</f>
        <v>19</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219</v>
      </c>
      <c r="C156" s="328" t="str">
        <f t="array" ref="C156">INDEX('アイテム'!$O$3:$P$114, MATCH($A$1,'アイテム'!$A$3:$A$114,0), MATCH(C147,'アイテム'!$C$2:$AQ$2,0))</f>
        <v>5</v>
      </c>
      <c r="D156" s="328">
        <f t="array" ref="D156">INDEX('アイテム'!$O$3:$P$114, MATCH($A$1,'アイテム'!$A$3:$A$114,0), MATCH(D147,'アイテム'!$C$2:$AQ$2,0))</f>
        <v>29</v>
      </c>
      <c r="E156" s="322"/>
      <c r="F156" s="322"/>
      <c r="G156" s="114"/>
      <c r="H156" s="228"/>
      <c r="I156" s="228"/>
      <c r="J156" s="228"/>
      <c r="K156" s="118"/>
      <c r="L156" s="118"/>
      <c r="M156" s="118"/>
      <c r="N156" s="102"/>
      <c r="O156" s="102"/>
      <c r="P156" s="102"/>
      <c r="Q156" s="102"/>
      <c r="R156" s="118"/>
      <c r="S156" s="118"/>
      <c r="T156" s="118"/>
      <c r="U156" s="118"/>
      <c r="V156" s="118"/>
    </row>
    <row r="157" outlineLevel="1">
      <c r="A157" s="156"/>
      <c r="B157" s="327" t="s">
        <v>263</v>
      </c>
      <c r="C157" s="328" t="str">
        <f t="array" ref="C157">INDEX('アイテム'!$Q$3:$R$114, MATCH($A$1,'アイテム'!$A$3:$A$114,0), MATCH(C147,'アイテム'!$C$2:$AQ$2,0))</f>
        <v>6</v>
      </c>
      <c r="D157" s="328">
        <f t="array" ref="D157">INDEX('アイテム'!$Q$3:$R$114, MATCH($A$1,'アイテム'!$A$3:$A$114,0), MATCH(D147,'アイテム'!$C$2:$AQ$2,0))</f>
        <v>23</v>
      </c>
      <c r="E157" s="322"/>
      <c r="F157" s="322"/>
      <c r="G157" s="114"/>
      <c r="H157" s="228"/>
      <c r="I157" s="228"/>
      <c r="J157" s="228"/>
      <c r="K157" s="118"/>
      <c r="L157" s="118"/>
      <c r="M157" s="118"/>
      <c r="N157" s="102"/>
      <c r="O157" s="102"/>
      <c r="P157" s="102"/>
      <c r="Q157" s="102"/>
      <c r="R157" s="118"/>
      <c r="S157" s="118"/>
      <c r="T157" s="118"/>
      <c r="U157" s="118"/>
      <c r="V157" s="118"/>
    </row>
    <row r="158" outlineLevel="1">
      <c r="A158" s="326" t="s">
        <v>264</v>
      </c>
      <c r="B158" s="327" t="s">
        <v>226</v>
      </c>
      <c r="C158" s="328" t="str">
        <f t="array" ref="C158">INDEX('アイテム'!$S$3:$T$114, MATCH($A$1,'アイテム'!$A$3:$A$114,0), MATCH(C147,'アイテム'!$C$2:$AQ$2,0))</f>
        <v>8</v>
      </c>
      <c r="D158" s="328">
        <f t="array" ref="D158">INDEX('アイテム'!$S$3:$T$114, MATCH($A$1,'アイテム'!$A$3:$A$114,0), MATCH(D147,'アイテム'!$C$2:$AQ$2,0))</f>
        <v>24</v>
      </c>
      <c r="E158" s="322"/>
      <c r="F158" s="322"/>
      <c r="G158" s="114"/>
      <c r="H158" s="228"/>
      <c r="I158" s="228"/>
      <c r="J158" s="228"/>
      <c r="K158" s="118"/>
      <c r="L158" s="118"/>
      <c r="M158" s="118"/>
      <c r="N158" s="102"/>
      <c r="O158" s="102"/>
      <c r="P158" s="102"/>
      <c r="Q158" s="102"/>
      <c r="R158" s="118"/>
      <c r="S158" s="118"/>
      <c r="T158" s="118"/>
      <c r="U158" s="118"/>
      <c r="V158" s="118"/>
    </row>
    <row r="159" outlineLevel="1">
      <c r="A159" s="146"/>
      <c r="B159" s="327" t="s">
        <v>229</v>
      </c>
      <c r="C159" s="328" t="str">
        <f t="array" ref="C159">INDEX('アイテム'!$U$3:$V$114, MATCH($A$1,'アイテム'!$A$3:$A$114,0), MATCH(C147,'アイテム'!$C$2:$AQ$2,0))</f>
        <v>11</v>
      </c>
      <c r="D159" s="328">
        <f t="array" ref="D159">INDEX('アイテム'!$U$3:$V$114, MATCH($A$1,'アイテム'!$A$3:$A$114,0), MATCH(D147,'アイテム'!$C$2:$AQ$2,0))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233</v>
      </c>
      <c r="C160" s="328" t="str">
        <f t="array" ref="C160">INDEX('アイテム'!$W$3:$X$114, MATCH($A$1,'アイテム'!$A$3:$A$114,0), MATCH(C147,'アイテム'!$C$2:$AQ$2,0))</f>
        <v>12</v>
      </c>
      <c r="D160" s="328">
        <f t="array" ref="D160">INDEX('アイテム'!$W$3:$X$114, MATCH($A$1,'アイテム'!$A$3:$A$114,0), MATCH(D147,'アイテム'!$C$2:$AQ$2,0))</f>
        <v>23</v>
      </c>
      <c r="E160" s="322"/>
      <c r="F160" s="322"/>
      <c r="G160" s="114"/>
      <c r="H160" s="228"/>
      <c r="I160" s="228"/>
      <c r="J160" s="228"/>
      <c r="K160" s="118"/>
      <c r="L160" s="118"/>
      <c r="M160" s="118"/>
      <c r="N160" s="102"/>
      <c r="O160" s="102"/>
      <c r="P160" s="102"/>
      <c r="Q160" s="102"/>
      <c r="R160" s="118"/>
      <c r="S160" s="118"/>
      <c r="T160" s="118"/>
      <c r="U160" s="118"/>
      <c r="V160" s="118"/>
    </row>
    <row r="161" outlineLevel="1">
      <c r="A161" s="156"/>
      <c r="B161" s="327" t="s">
        <v>234</v>
      </c>
      <c r="C161" s="328" t="str">
        <f t="array" ref="C161">INDEX('アイテム'!$Y$3:$Z$114, MATCH($A$1,'アイテム'!$A$3:$A$114,0), MATCH(C147,'アイテム'!$C$2:$AQ$2,0))</f>
        <v>7</v>
      </c>
      <c r="D161" s="328">
        <f t="array" ref="D161">INDEX('アイテム'!$Y$3:$Z$114, MATCH($A$1,'アイテム'!$A$3:$A$114,0), MATCH(D147,'アイテム'!$C$2:$AQ$2,0))</f>
        <v>19</v>
      </c>
      <c r="E161" s="322"/>
      <c r="F161" s="322"/>
      <c r="G161" s="114"/>
      <c r="H161" s="228"/>
      <c r="I161" s="228"/>
      <c r="J161" s="228"/>
      <c r="K161" s="118"/>
      <c r="L161" s="118"/>
      <c r="M161" s="118"/>
      <c r="N161" s="102"/>
      <c r="O161" s="102"/>
      <c r="P161" s="102"/>
      <c r="Q161" s="102"/>
      <c r="R161" s="118"/>
      <c r="S161" s="118"/>
      <c r="T161" s="118"/>
      <c r="U161" s="118"/>
      <c r="V161" s="118"/>
    </row>
    <row r="162" outlineLevel="1">
      <c r="A162" s="326" t="s">
        <v>265</v>
      </c>
      <c r="B162" s="327" t="s">
        <v>226</v>
      </c>
      <c r="C162" s="328">
        <f t="array" ref="C162">INDEX('アイテム'!$AC$3:$AD$114, MATCH($A$1,'アイテム'!$A$3:$A$114,0), MATCH(C147,'アイテム'!$C$2:$AQ$2,0))</f>
        <v>14</v>
      </c>
      <c r="D162" s="328" t="str">
        <f t="array" ref="D162">INDEX('アイテム'!$AC$3:$AD$114, MATCH($A$1,'アイテム'!$A$3:$A$114,0), MATCH(D147,'アイテム'!$C$2:$AQ$2,0))</f>
        <v>30</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229</v>
      </c>
      <c r="C163" s="328">
        <f t="array" ref="C163">INDEX('アイテム'!$AE$3:$AF$114, MATCH($A$1,'アイテム'!$A$3:$A$114,0), MATCH(C147,'アイテム'!$C$2:$AQ$2,0))</f>
        <v>15</v>
      </c>
      <c r="D163" s="328" t="str">
        <f t="array" ref="D163">INDEX('アイテム'!$AE$3:$AF$114, MATCH($A$1,'アイテム'!$A$3:$A$114,0), MATCH(D147,'アイテム'!$C$2:$AQ$2,0))</f>
        <v>30</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233</v>
      </c>
      <c r="C164" s="328">
        <f t="array" ref="C164">INDEX('アイテム'!$AG$3:$AH$114, MATCH($A$1,'アイテム'!$A$3:$A$114,0), MATCH(C147,'アイテム'!$C$2:$AQ$2,0))</f>
        <v>11</v>
      </c>
      <c r="D164" s="328" t="str">
        <f t="array" ref="D164">INDEX('アイテム'!$AG$3:$AH$114, MATCH($A$1,'アイテム'!$A$3:$A$114,0), MATCH(D147,'アイテム'!$C$2:$AQ$2,0))</f>
        <v>22</v>
      </c>
      <c r="E164" s="322"/>
      <c r="F164" s="322"/>
      <c r="G164" s="114"/>
      <c r="H164" s="228"/>
      <c r="I164" s="228"/>
      <c r="J164" s="228"/>
      <c r="K164" s="118"/>
      <c r="L164" s="118"/>
      <c r="M164" s="118"/>
      <c r="N164" s="102"/>
      <c r="O164" s="102"/>
      <c r="P164" s="102"/>
      <c r="Q164" s="102"/>
      <c r="R164" s="118"/>
      <c r="S164" s="118"/>
      <c r="T164" s="118"/>
      <c r="U164" s="118"/>
      <c r="V164" s="118"/>
    </row>
    <row r="165" outlineLevel="1">
      <c r="A165" s="156"/>
      <c r="B165" s="327" t="s">
        <v>234</v>
      </c>
      <c r="C165" s="328">
        <f t="array" ref="C165">INDEX('アイテム'!$AI$3:$AJ$114, MATCH($A$1,'アイテム'!$A$3:$A$114,0), MATCH(C147,'アイテム'!$C$2:$AQ$2,0))</f>
        <v>9</v>
      </c>
      <c r="D165" s="328" t="str">
        <f t="array" ref="D165">INDEX('アイテム'!$AI$3:$AJ$114, MATCH($A$1,'アイテム'!$A$3:$A$114,0), MATCH(D147,'アイテム'!$C$2:$AQ$2,0))</f>
        <v>22</v>
      </c>
      <c r="E165" s="322"/>
      <c r="F165" s="322"/>
      <c r="G165" s="114"/>
      <c r="H165" s="228"/>
      <c r="I165" s="228"/>
      <c r="J165" s="228"/>
      <c r="K165" s="118"/>
      <c r="L165" s="118"/>
      <c r="M165" s="118"/>
      <c r="N165" s="102"/>
      <c r="O165" s="102"/>
      <c r="P165" s="102"/>
      <c r="Q165" s="102"/>
      <c r="R165" s="118"/>
      <c r="S165" s="118"/>
      <c r="T165" s="118"/>
      <c r="U165" s="118"/>
      <c r="V165" s="118"/>
    </row>
  </sheetData>
  <mergeCells count="141">
    <mergeCell ref="H26:J26"/>
    <mergeCell ref="H27:J27"/>
    <mergeCell ref="H28:J28"/>
    <mergeCell ref="H29:J29"/>
    <mergeCell ref="H30:J30"/>
    <mergeCell ref="H31:J31"/>
    <mergeCell ref="H32:J35"/>
    <mergeCell ref="H36:J37"/>
    <mergeCell ref="H38:J41"/>
    <mergeCell ref="H42:J43"/>
    <mergeCell ref="H44:J53"/>
    <mergeCell ref="H54:J56"/>
    <mergeCell ref="H57:J57"/>
    <mergeCell ref="J61:J63"/>
    <mergeCell ref="I68:I77"/>
    <mergeCell ref="J68:J77"/>
    <mergeCell ref="I79:I81"/>
    <mergeCell ref="J79:J81"/>
    <mergeCell ref="H84:J84"/>
    <mergeCell ref="H85:J86"/>
    <mergeCell ref="H89:J89"/>
    <mergeCell ref="K118:K119"/>
    <mergeCell ref="K120:L120"/>
    <mergeCell ref="K121:K126"/>
    <mergeCell ref="K127:K130"/>
    <mergeCell ref="K131:L131"/>
    <mergeCell ref="K133:K136"/>
    <mergeCell ref="K137:L137"/>
    <mergeCell ref="H90:J90"/>
    <mergeCell ref="G98:J98"/>
    <mergeCell ref="G99:J100"/>
    <mergeCell ref="G101:J102"/>
    <mergeCell ref="G103:J104"/>
    <mergeCell ref="G105:J106"/>
    <mergeCell ref="K117:L117"/>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A38:A41"/>
    <mergeCell ref="A42:A43"/>
    <mergeCell ref="A44:A53"/>
    <mergeCell ref="B48:B49"/>
    <mergeCell ref="D48:D50"/>
    <mergeCell ref="B51:B53"/>
    <mergeCell ref="D51:D53"/>
    <mergeCell ref="A87:A88"/>
    <mergeCell ref="R60:V60"/>
    <mergeCell ref="R61:V63"/>
    <mergeCell ref="R64:V67"/>
    <mergeCell ref="R68:V77"/>
    <mergeCell ref="R78:V78"/>
    <mergeCell ref="R79:V81"/>
    <mergeCell ref="V85:V88"/>
    <mergeCell ref="U29:U31"/>
    <mergeCell ref="U32:U35"/>
    <mergeCell ref="U36:U37"/>
    <mergeCell ref="U38:U41"/>
    <mergeCell ref="U42:U43"/>
    <mergeCell ref="U44:U53"/>
    <mergeCell ref="U54:U56"/>
    <mergeCell ref="U85:U88"/>
    <mergeCell ref="I61:I63"/>
    <mergeCell ref="I64:I67"/>
    <mergeCell ref="J64:J67"/>
    <mergeCell ref="H87:J88"/>
    <mergeCell ref="C136:C137"/>
    <mergeCell ref="C143:C144"/>
    <mergeCell ref="A138:A144"/>
    <mergeCell ref="A146:B146"/>
    <mergeCell ref="A147:B147"/>
    <mergeCell ref="A148:A149"/>
    <mergeCell ref="A151:B151"/>
    <mergeCell ref="A152:A157"/>
    <mergeCell ref="A158:A161"/>
    <mergeCell ref="A162:A165"/>
    <mergeCell ref="A123:A125"/>
    <mergeCell ref="A126:A131"/>
    <mergeCell ref="C130:C131"/>
    <mergeCell ref="D130:D131"/>
    <mergeCell ref="A132:A137"/>
    <mergeCell ref="D136:D137"/>
    <mergeCell ref="D143:D144"/>
    <mergeCell ref="A24:B25"/>
    <mergeCell ref="A26:A31"/>
    <mergeCell ref="A32:A35"/>
    <mergeCell ref="D33:D34"/>
    <mergeCell ref="A36:A37"/>
    <mergeCell ref="D36:D37"/>
    <mergeCell ref="D38:D41"/>
    <mergeCell ref="D42:D43"/>
    <mergeCell ref="B44:B46"/>
    <mergeCell ref="D44:D46"/>
    <mergeCell ref="A54:A56"/>
    <mergeCell ref="A59:B60"/>
    <mergeCell ref="A61:A63"/>
    <mergeCell ref="A64:A67"/>
    <mergeCell ref="A68:A77"/>
    <mergeCell ref="B68:B70"/>
    <mergeCell ref="B72:B73"/>
    <mergeCell ref="B75:B77"/>
    <mergeCell ref="A79:A81"/>
    <mergeCell ref="A83:B83"/>
    <mergeCell ref="A84:B84"/>
    <mergeCell ref="D101:D102"/>
    <mergeCell ref="D103:D104"/>
    <mergeCell ref="D105:D106"/>
    <mergeCell ref="D54:D56"/>
    <mergeCell ref="D65:D66"/>
    <mergeCell ref="D68:D70"/>
    <mergeCell ref="D72:D74"/>
    <mergeCell ref="D75:D77"/>
    <mergeCell ref="D79:D81"/>
    <mergeCell ref="D99:D100"/>
    <mergeCell ref="A85:A86"/>
    <mergeCell ref="A89:B89"/>
    <mergeCell ref="A92:B93"/>
    <mergeCell ref="A95:A97"/>
    <mergeCell ref="A98:B98"/>
    <mergeCell ref="A99:A100"/>
    <mergeCell ref="A101:A102"/>
    <mergeCell ref="A103:A104"/>
    <mergeCell ref="A105:A106"/>
    <mergeCell ref="A108:B109"/>
    <mergeCell ref="A110:A112"/>
    <mergeCell ref="A113:A114"/>
    <mergeCell ref="A116:B117"/>
    <mergeCell ref="A118:A122"/>
  </mergeCells>
  <conditionalFormatting sqref="K1:K141 L98:L106">
    <cfRule type="containsText" dxfId="0" priority="1" operator="containsText" text="361">
      <formula>NOT(ISERROR(SEARCH(("361"),(K1))))</formula>
    </cfRule>
  </conditionalFormatting>
  <conditionalFormatting sqref="O99:Q106">
    <cfRule type="cellIs" dxfId="2" priority="2" operator="equal">
      <formula>"敵のみ"</formula>
    </cfRule>
  </conditionalFormatting>
  <conditionalFormatting sqref="C99:D106">
    <cfRule type="cellIs" dxfId="3" priority="3" operator="equal">
      <formula>"-"</formula>
    </cfRule>
  </conditionalFormatting>
  <conditionalFormatting sqref="O1:O165 N98:N106 P98:P106 Q106 L140:L141">
    <cfRule type="cellIs" dxfId="4" priority="4" operator="greaterThan">
      <formula>0</formula>
    </cfRule>
  </conditionalFormatting>
  <conditionalFormatting sqref="P1:Q165 O98:O106 M140:M141">
    <cfRule type="cellIs" dxfId="5" priority="5" operator="lessThan">
      <formula>1</formula>
    </cfRule>
  </conditionalFormatting>
  <conditionalFormatting sqref="P1:Q165 O98:O106 M140:M141">
    <cfRule type="cellIs" dxfId="4" priority="6" operator="greaterThan">
      <formula>1</formula>
    </cfRule>
  </conditionalFormatting>
  <conditionalFormatting sqref="N25:N117 M98:M106 O98:O106">
    <cfRule type="cellIs" dxfId="6" priority="7" operator="greaterThan">
      <formula>0</formula>
    </cfRule>
  </conditionalFormatting>
  <conditionalFormatting sqref="K1:K165 L98:L106">
    <cfRule type="containsText" dxfId="6" priority="8" operator="containsText" text="363">
      <formula>NOT(ISERROR(SEARCH(("363"),(K1))))</formula>
    </cfRule>
  </conditionalFormatting>
  <conditionalFormatting sqref="K1:K165 L98:L106">
    <cfRule type="containsText" dxfId="6" priority="9" operator="containsText" text="365">
      <formula>NOT(ISERROR(SEARCH(("365"),(K1))))</formula>
    </cfRule>
  </conditionalFormatting>
  <conditionalFormatting sqref="K1:K165 L98:L106">
    <cfRule type="containsText" dxfId="6" priority="10" operator="containsText" text="366">
      <formula>NOT(ISERROR(SEARCH(("366"),(K1))))</formula>
    </cfRule>
  </conditionalFormatting>
  <conditionalFormatting sqref="K1:K165 L98:L106">
    <cfRule type="containsText" dxfId="6" priority="11" operator="containsText" text="367">
      <formula>NOT(ISERROR(SEARCH(("367"),(K1))))</formula>
    </cfRule>
  </conditionalFormatting>
  <conditionalFormatting sqref="N1:N15 N17:N165 M98:M106 O98:O106 K140:K141">
    <cfRule type="containsText" dxfId="6" priority="12" operator="containsText" text="/">
      <formula>NOT(ISERROR(SEARCH(("/"),(N1))))</formula>
    </cfRule>
  </conditionalFormatting>
  <drawing r:id="rId2"/>
  <legacyDrawing r:id="rId3"/>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DDDDD"/>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374">
        <v>77.0</v>
      </c>
      <c r="B1" s="3375"/>
      <c r="C1" s="3376" t="str">
        <f>IMAGE(VLOOKUP($A$1,Fighters!A2:AI114,12,FALSE),1)</f>
        <v>#REF!</v>
      </c>
      <c r="D1" s="3377"/>
      <c r="E1" s="3377"/>
      <c r="F1" s="3377"/>
      <c r="G1" s="3378"/>
      <c r="H1" s="3379"/>
      <c r="I1" s="3377"/>
      <c r="J1" s="3378"/>
      <c r="K1" s="3380"/>
      <c r="L1" s="3377"/>
      <c r="M1" s="3378"/>
      <c r="N1" s="3381"/>
      <c r="O1" s="3381"/>
      <c r="P1" s="3381"/>
      <c r="Q1" s="3381"/>
      <c r="R1" s="3382"/>
      <c r="S1" s="3382"/>
      <c r="T1" s="3382"/>
      <c r="U1" s="3382"/>
      <c r="V1" s="3382"/>
    </row>
    <row r="2">
      <c r="A2" s="3383" t="str">
        <f>VLOOKUP($A$1,Fighters!$A$2:$AI$101,6,FALSE)</f>
        <v>#dddddd</v>
      </c>
      <c r="B2" s="3375"/>
      <c r="C2" s="3384"/>
      <c r="G2" s="3385"/>
      <c r="H2" s="3386"/>
      <c r="I2" s="3387"/>
      <c r="J2" s="3388"/>
      <c r="K2" s="3386"/>
      <c r="L2" s="3387"/>
      <c r="M2" s="3388"/>
      <c r="N2" s="3381"/>
      <c r="O2" s="3381"/>
      <c r="P2" s="3381"/>
      <c r="Q2" s="3381"/>
      <c r="R2" s="3382"/>
      <c r="S2" s="3382"/>
      <c r="T2" s="3382"/>
      <c r="U2" s="3382"/>
      <c r="V2" s="3382"/>
    </row>
    <row r="3">
      <c r="A3" s="3383" t="str">
        <f>VLOOKUP($A$1,Fighters!$A$2:$AI$101,14,FALSE)</f>
        <v>77. スティーブ／アレックス</v>
      </c>
      <c r="B3" s="3375"/>
      <c r="C3" s="3384"/>
      <c r="G3" s="3385"/>
      <c r="H3" s="3389"/>
      <c r="I3" s="3389"/>
      <c r="J3" s="3389"/>
      <c r="K3" s="3390"/>
      <c r="L3" s="3390"/>
      <c r="M3" s="3390"/>
      <c r="N3" s="3381"/>
      <c r="O3" s="3381"/>
      <c r="P3" s="3381"/>
      <c r="Q3" s="3381"/>
      <c r="R3" s="3391"/>
      <c r="S3" s="3382"/>
      <c r="T3" s="3382"/>
      <c r="U3" s="3382"/>
      <c r="V3" s="3382"/>
    </row>
    <row r="4">
      <c r="A4" s="3383" t="str">
        <f>VLOOKUP($A$1,Fighters!$A$2:$AI$101,13,FALSE)</f>
        <v>0</v>
      </c>
      <c r="B4" s="3375"/>
      <c r="C4" s="3384"/>
      <c r="G4" s="3385"/>
      <c r="H4" s="3392"/>
      <c r="I4" s="3392"/>
      <c r="J4" s="3389"/>
      <c r="K4" s="3390"/>
      <c r="L4" s="3390"/>
      <c r="M4" s="3390"/>
      <c r="N4" s="3381"/>
      <c r="O4" s="3381"/>
      <c r="P4" s="3381"/>
      <c r="Q4" s="3381"/>
      <c r="R4" s="3391"/>
      <c r="S4" s="3382"/>
      <c r="T4" s="3382"/>
      <c r="U4" s="3382"/>
      <c r="V4" s="3382"/>
    </row>
    <row r="5" ht="16.5" customHeight="1">
      <c r="A5" s="3374"/>
      <c r="B5" s="3375"/>
      <c r="C5" s="3384"/>
      <c r="G5" s="3385"/>
      <c r="H5" s="3393"/>
      <c r="I5" s="3393"/>
      <c r="J5" s="3394"/>
      <c r="K5" s="3395"/>
      <c r="L5" s="3396"/>
      <c r="M5" s="3396"/>
      <c r="N5" s="3381"/>
      <c r="O5" s="3381"/>
      <c r="P5" s="3381"/>
      <c r="Q5" s="3381"/>
      <c r="R5" s="3391"/>
      <c r="S5" s="3382"/>
      <c r="T5" s="3382"/>
      <c r="U5" s="3382"/>
      <c r="V5" s="3382"/>
    </row>
    <row r="6">
      <c r="A6" s="3375"/>
      <c r="B6" s="3375"/>
      <c r="C6" s="3384"/>
      <c r="G6" s="3385"/>
      <c r="H6" s="3392"/>
      <c r="I6" s="3397" t="s">
        <v>39</v>
      </c>
      <c r="J6" s="3395"/>
      <c r="K6" s="3398"/>
      <c r="L6" s="3396"/>
      <c r="M6" s="3396"/>
      <c r="N6" s="3381"/>
      <c r="O6" s="3381"/>
      <c r="P6" s="3381"/>
      <c r="Q6" s="3381"/>
      <c r="R6" s="3391"/>
      <c r="S6" s="3382"/>
      <c r="T6" s="3382"/>
      <c r="U6" s="3382"/>
      <c r="V6" s="3382"/>
    </row>
    <row r="7">
      <c r="A7" s="3375"/>
      <c r="B7" s="3375"/>
      <c r="C7" s="3384"/>
      <c r="G7" s="3385"/>
      <c r="H7" s="3393"/>
      <c r="I7" s="3393"/>
      <c r="J7" s="3395"/>
      <c r="K7" s="3398"/>
      <c r="L7" s="3396"/>
      <c r="M7" s="3396"/>
      <c r="N7" s="3381"/>
      <c r="O7" s="3381"/>
      <c r="P7" s="3381"/>
      <c r="Q7" s="3381"/>
      <c r="R7" s="3391"/>
      <c r="S7" s="3382"/>
      <c r="T7" s="3382"/>
      <c r="U7" s="3382"/>
      <c r="V7" s="3382"/>
    </row>
    <row r="8">
      <c r="A8" s="3375"/>
      <c r="B8" s="3375"/>
      <c r="C8" s="3384"/>
      <c r="G8" s="3385"/>
      <c r="H8" s="3399">
        <v>44379.84825256944</v>
      </c>
      <c r="I8" s="3377"/>
      <c r="J8" s="3378"/>
      <c r="K8" s="3395"/>
      <c r="L8" s="3396"/>
      <c r="M8" s="3396"/>
      <c r="N8" s="3381"/>
      <c r="O8" s="3381"/>
      <c r="P8" s="3381"/>
      <c r="Q8" s="3381"/>
      <c r="R8" s="3391"/>
      <c r="S8" s="3382"/>
      <c r="T8" s="3382"/>
      <c r="U8" s="3382"/>
      <c r="V8" s="3382"/>
    </row>
    <row r="9">
      <c r="A9" s="3375"/>
      <c r="B9" s="3375"/>
      <c r="C9" s="3384"/>
      <c r="G9" s="3385"/>
      <c r="H9" s="3386"/>
      <c r="I9" s="3387"/>
      <c r="J9" s="3388"/>
      <c r="K9" s="3382"/>
      <c r="L9" s="3381"/>
      <c r="M9" s="3381"/>
      <c r="N9" s="3381"/>
      <c r="O9" s="3381"/>
      <c r="P9" s="3381"/>
      <c r="Q9" s="3381"/>
      <c r="R9" s="3391"/>
      <c r="S9" s="3382"/>
      <c r="T9" s="3382"/>
      <c r="U9" s="3382"/>
      <c r="V9" s="3382"/>
    </row>
    <row r="10">
      <c r="A10" s="3400"/>
      <c r="B10" s="3375"/>
      <c r="C10" s="3384"/>
      <c r="G10" s="3385"/>
      <c r="H10" s="3401"/>
      <c r="I10" s="3401"/>
      <c r="J10" s="3382"/>
      <c r="K10" s="3382"/>
      <c r="L10" s="3381"/>
      <c r="M10" s="3381"/>
      <c r="N10" s="3381"/>
      <c r="O10" s="3381"/>
      <c r="P10" s="3381"/>
      <c r="Q10" s="3381"/>
      <c r="R10" s="3391"/>
      <c r="S10" s="3382"/>
      <c r="T10" s="3382"/>
      <c r="U10" s="3382"/>
      <c r="V10" s="3382"/>
    </row>
    <row r="11">
      <c r="A11" s="3402"/>
      <c r="B11" s="3375"/>
      <c r="C11" s="3384"/>
      <c r="G11" s="3385"/>
      <c r="H11" s="3393"/>
      <c r="I11" s="3393"/>
      <c r="J11" s="3382"/>
      <c r="K11" s="3382"/>
      <c r="L11" s="3381"/>
      <c r="M11" s="3381"/>
      <c r="N11" s="3381"/>
      <c r="O11" s="3381"/>
      <c r="P11" s="3381"/>
      <c r="Q11" s="3381"/>
      <c r="R11" s="3391"/>
      <c r="S11" s="3382"/>
      <c r="T11" s="3382"/>
      <c r="U11" s="3382"/>
      <c r="V11" s="3382"/>
    </row>
    <row r="12">
      <c r="A12" s="3393"/>
      <c r="B12" s="3375"/>
      <c r="C12" s="3386"/>
      <c r="D12" s="3387"/>
      <c r="E12" s="3387"/>
      <c r="F12" s="3387"/>
      <c r="G12" s="3388"/>
      <c r="H12" s="3403"/>
      <c r="I12" s="3403"/>
      <c r="J12" s="3375"/>
      <c r="K12" s="3375"/>
      <c r="L12" s="3381"/>
      <c r="M12" s="3381"/>
      <c r="N12" s="3381"/>
      <c r="O12" s="3381"/>
      <c r="P12" s="3381"/>
      <c r="Q12" s="3381"/>
      <c r="R12" s="3391"/>
      <c r="S12" s="3382"/>
      <c r="T12" s="3382"/>
      <c r="U12" s="3382"/>
      <c r="V12" s="3382"/>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INDEX('行動フレーム・能力値'!$C$2:$AD$101,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92 [53rd]</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33F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1.45 [89th]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INDEX('行動フレーム・能力値'!$C$2:$AD$101, MATCH($A$1,'行動フレーム・能力値'!$A$2:$A$95,0), MATCH(A18,'行動フレーム・能力値'!$C$1:$AD$1,0))</f>
        <v>1</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0.85 [77th]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40F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0.115 [76th]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16.5 [89th]</v>
      </c>
      <c r="O18" s="99"/>
      <c r="P18" s="99"/>
      <c r="Q18" s="99"/>
      <c r="R18" s="99"/>
      <c r="S18" s="111"/>
      <c r="T18" s="111"/>
      <c r="U18" s="111"/>
      <c r="V18" s="111"/>
    </row>
    <row r="19" outlineLevel="1">
      <c r="A19" s="112" t="s">
        <v>5288</v>
      </c>
      <c r="B19" s="113" t="b">
        <f t="array" ref="B19">INDEX('行動フレーム・能力値'!$C$2:$AD$101,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1.45 [79th]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22F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0.095 [66th]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10 [88th]</v>
      </c>
      <c r="O19" s="99"/>
      <c r="P19" s="99"/>
      <c r="Q19" s="99"/>
      <c r="R19" s="99"/>
      <c r="S19" s="111"/>
      <c r="T19" s="111"/>
      <c r="U19" s="111"/>
      <c r="V19" s="111"/>
    </row>
    <row r="20" outlineLevel="1">
      <c r="A20" s="112" t="s">
        <v>5292</v>
      </c>
      <c r="B20" s="113" t="b">
        <f t="array" ref="B20">INDEX('行動フレーム・能力値'!$C$2:$AD$101,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0.86 [83rd]</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27F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0.05 [70th]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22.5 [86th]</v>
      </c>
      <c r="O20" s="99"/>
      <c r="P20" s="99"/>
      <c r="Q20" s="99"/>
      <c r="R20" s="99"/>
      <c r="S20" s="100"/>
      <c r="T20" s="100"/>
      <c r="U20" s="100"/>
      <c r="V20" s="100"/>
    </row>
    <row r="21" outlineLevel="1">
      <c r="A21" s="112" t="s">
        <v>587</v>
      </c>
      <c r="B21" s="113" t="b">
        <f t="array" ref="B21">INDEX('行動フレーム・能力値'!$C$2:$AD$101,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1.42 [67th]</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0.0075 [67th]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2.272 [65th]</v>
      </c>
      <c r="G22" s="98"/>
      <c r="H22" s="98"/>
      <c r="I22" s="101"/>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 [81st]</v>
      </c>
      <c r="M22" s="100"/>
      <c r="N22" s="117"/>
      <c r="O22" s="99"/>
      <c r="P22" s="99"/>
      <c r="Q22" s="99"/>
      <c r="R22" s="99"/>
      <c r="S22" s="100"/>
      <c r="T22" s="100"/>
      <c r="U22" s="100"/>
      <c r="V22" s="100"/>
    </row>
    <row r="23">
      <c r="A23" s="101"/>
      <c r="B23" s="101"/>
      <c r="C23" s="101"/>
      <c r="D23" s="101"/>
      <c r="E23" s="101"/>
      <c r="F23" s="101"/>
      <c r="G23" s="98"/>
      <c r="H23" s="98"/>
      <c r="I23" s="101"/>
      <c r="J23" s="101"/>
      <c r="K23" s="118"/>
      <c r="L23" s="114"/>
      <c r="M23" s="100"/>
      <c r="N23" s="117"/>
      <c r="O23" s="99"/>
      <c r="P23" s="99"/>
      <c r="Q23" s="99"/>
      <c r="R23" s="99"/>
      <c r="S23" s="100"/>
      <c r="T23" s="100"/>
      <c r="U23" s="100"/>
      <c r="V23" s="100"/>
    </row>
    <row r="24">
      <c r="A24" s="1121"/>
      <c r="B24" s="1121"/>
      <c r="C24" s="120"/>
      <c r="D24" s="108" t="s">
        <v>5896</v>
      </c>
      <c r="E24" s="110"/>
      <c r="F24" s="110"/>
      <c r="G24" s="110"/>
      <c r="H24" s="109"/>
      <c r="I24" s="101"/>
      <c r="J24" s="121"/>
      <c r="K24" s="121"/>
      <c r="L24" s="124"/>
      <c r="M24" s="124"/>
      <c r="N24" s="125"/>
      <c r="O24" s="125"/>
      <c r="P24" s="125"/>
      <c r="Q24" s="126"/>
      <c r="R24" s="100"/>
      <c r="S24" s="100"/>
      <c r="T24" s="100"/>
      <c r="U24" s="124"/>
      <c r="V24" s="124"/>
    </row>
    <row r="25">
      <c r="A25" s="1121"/>
      <c r="B25" s="1121"/>
      <c r="C25" s="120"/>
      <c r="D25" s="2615"/>
      <c r="E25" s="3404" t="s">
        <v>5897</v>
      </c>
      <c r="F25" s="3404" t="s">
        <v>5898</v>
      </c>
      <c r="G25" s="3404" t="s">
        <v>5899</v>
      </c>
      <c r="H25" s="3404" t="s">
        <v>5900</v>
      </c>
      <c r="I25" s="101"/>
      <c r="J25" s="121"/>
      <c r="K25" s="121"/>
      <c r="L25" s="124"/>
      <c r="M25" s="124"/>
      <c r="N25" s="125"/>
      <c r="O25" s="125"/>
      <c r="P25" s="125"/>
      <c r="Q25" s="126"/>
      <c r="R25" s="100"/>
      <c r="S25" s="100"/>
      <c r="T25" s="100"/>
      <c r="U25" s="124"/>
      <c r="V25" s="124"/>
    </row>
    <row r="26">
      <c r="A26" s="1121"/>
      <c r="B26" s="1121"/>
      <c r="C26" s="120"/>
      <c r="D26" s="112" t="s">
        <v>5901</v>
      </c>
      <c r="E26" s="239" t="s">
        <v>2939</v>
      </c>
      <c r="F26" s="239" t="s">
        <v>2939</v>
      </c>
      <c r="G26" s="239" t="s">
        <v>92</v>
      </c>
      <c r="H26" s="239" t="s">
        <v>1580</v>
      </c>
      <c r="I26" s="101"/>
      <c r="J26" s="121"/>
      <c r="K26" s="121"/>
      <c r="L26" s="124"/>
      <c r="M26" s="124"/>
      <c r="N26" s="125"/>
      <c r="O26" s="125"/>
      <c r="P26" s="125"/>
      <c r="Q26" s="126"/>
      <c r="R26" s="100"/>
      <c r="S26" s="100"/>
      <c r="T26" s="100"/>
      <c r="U26" s="124"/>
      <c r="V26" s="124"/>
    </row>
    <row r="27">
      <c r="A27" s="1121"/>
      <c r="B27" s="1121"/>
      <c r="C27" s="120"/>
      <c r="D27" s="112" t="s">
        <v>5902</v>
      </c>
      <c r="E27" s="239" t="s">
        <v>5903</v>
      </c>
      <c r="F27" s="239" t="s">
        <v>5904</v>
      </c>
      <c r="G27" s="239" t="s">
        <v>628</v>
      </c>
      <c r="H27" s="239" t="s">
        <v>763</v>
      </c>
      <c r="I27" s="101"/>
      <c r="J27" s="121"/>
      <c r="K27" s="121"/>
      <c r="L27" s="124"/>
      <c r="M27" s="124"/>
      <c r="N27" s="125"/>
      <c r="O27" s="125"/>
      <c r="P27" s="125"/>
      <c r="Q27" s="126"/>
      <c r="R27" s="100"/>
      <c r="S27" s="100"/>
      <c r="T27" s="100"/>
      <c r="U27" s="124"/>
      <c r="V27" s="124"/>
    </row>
    <row r="28">
      <c r="A28" s="1121"/>
      <c r="B28" s="1121"/>
      <c r="C28" s="120"/>
      <c r="D28" s="112" t="s">
        <v>5905</v>
      </c>
      <c r="E28" s="239" t="s">
        <v>5906</v>
      </c>
      <c r="F28" s="239" t="s">
        <v>5907</v>
      </c>
      <c r="G28" s="239" t="s">
        <v>413</v>
      </c>
      <c r="H28" s="239" t="s">
        <v>5908</v>
      </c>
      <c r="I28" s="101"/>
      <c r="J28" s="121"/>
      <c r="K28" s="121"/>
      <c r="L28" s="124"/>
      <c r="M28" s="124"/>
      <c r="N28" s="125"/>
      <c r="O28" s="125"/>
      <c r="P28" s="125"/>
      <c r="Q28" s="126"/>
      <c r="R28" s="100"/>
      <c r="S28" s="100"/>
      <c r="T28" s="100"/>
      <c r="U28" s="124"/>
      <c r="V28" s="124"/>
    </row>
    <row r="29">
      <c r="A29" s="1121"/>
      <c r="B29" s="1121"/>
      <c r="C29" s="120"/>
      <c r="D29" s="112" t="s">
        <v>5909</v>
      </c>
      <c r="E29" s="239" t="s">
        <v>2939</v>
      </c>
      <c r="F29" s="239" t="s">
        <v>1372</v>
      </c>
      <c r="G29" s="239" t="s">
        <v>92</v>
      </c>
      <c r="H29" s="239" t="s">
        <v>1580</v>
      </c>
      <c r="I29" s="101"/>
      <c r="J29" s="121"/>
      <c r="K29" s="121"/>
      <c r="L29" s="124"/>
      <c r="M29" s="124"/>
      <c r="N29" s="125"/>
      <c r="O29" s="125"/>
      <c r="P29" s="125"/>
      <c r="Q29" s="126"/>
      <c r="R29" s="100"/>
      <c r="S29" s="100"/>
      <c r="T29" s="100"/>
      <c r="U29" s="124"/>
      <c r="V29" s="124"/>
    </row>
    <row r="30">
      <c r="A30" s="1121"/>
      <c r="B30" s="1121"/>
      <c r="C30" s="120"/>
      <c r="D30" s="112" t="s">
        <v>5910</v>
      </c>
      <c r="E30" s="239" t="s">
        <v>5911</v>
      </c>
      <c r="F30" s="239" t="s">
        <v>5912</v>
      </c>
      <c r="G30" s="239" t="s">
        <v>413</v>
      </c>
      <c r="H30" s="239" t="s">
        <v>5908</v>
      </c>
      <c r="I30" s="101"/>
      <c r="J30" s="121"/>
      <c r="K30" s="121"/>
      <c r="L30" s="124"/>
      <c r="M30" s="124"/>
      <c r="N30" s="125"/>
      <c r="O30" s="125"/>
      <c r="P30" s="125"/>
      <c r="Q30" s="126"/>
      <c r="R30" s="100"/>
      <c r="S30" s="100"/>
      <c r="T30" s="100"/>
      <c r="U30" s="124"/>
      <c r="V30" s="124"/>
    </row>
    <row r="31">
      <c r="A31" s="1121"/>
      <c r="B31" s="1121"/>
      <c r="C31" s="120"/>
      <c r="D31" s="112" t="s">
        <v>5913</v>
      </c>
      <c r="E31" s="239" t="s">
        <v>2935</v>
      </c>
      <c r="F31" s="239" t="s">
        <v>5914</v>
      </c>
      <c r="G31" s="281"/>
      <c r="H31" s="281"/>
      <c r="I31" s="101"/>
      <c r="J31" s="121"/>
      <c r="K31" s="121"/>
      <c r="L31" s="124"/>
      <c r="M31" s="124"/>
      <c r="N31" s="125"/>
      <c r="O31" s="125"/>
      <c r="P31" s="125"/>
      <c r="Q31" s="126"/>
      <c r="R31" s="100"/>
      <c r="S31" s="100"/>
      <c r="T31" s="100"/>
      <c r="U31" s="124"/>
      <c r="V31" s="124"/>
    </row>
    <row r="32">
      <c r="A32" s="1121"/>
      <c r="B32" s="1121"/>
      <c r="C32" s="120"/>
      <c r="D32" s="121"/>
      <c r="E32" s="121"/>
      <c r="F32" s="122"/>
      <c r="G32" s="123"/>
      <c r="H32" s="121"/>
      <c r="I32" s="101"/>
      <c r="J32" s="121"/>
      <c r="K32" s="121"/>
      <c r="L32" s="124"/>
      <c r="M32" s="124"/>
      <c r="N32" s="125"/>
      <c r="O32" s="125"/>
      <c r="P32" s="125"/>
      <c r="Q32" s="126"/>
      <c r="R32" s="100"/>
      <c r="S32" s="100"/>
      <c r="T32" s="100"/>
      <c r="U32" s="124"/>
      <c r="V32" s="124"/>
    </row>
    <row r="33">
      <c r="A33" s="119" t="s">
        <v>47</v>
      </c>
      <c r="B33" s="104"/>
      <c r="C33" s="120"/>
      <c r="D33" s="121"/>
      <c r="E33" s="121"/>
      <c r="F33" s="122"/>
      <c r="G33" s="123"/>
      <c r="H33" s="121"/>
      <c r="I33" s="121"/>
      <c r="J33" s="121"/>
      <c r="K33" s="121"/>
      <c r="L33" s="124"/>
      <c r="M33" s="124"/>
      <c r="N33" s="125"/>
      <c r="O33" s="125"/>
      <c r="P33" s="125"/>
      <c r="Q33" s="126"/>
      <c r="R33" s="100"/>
      <c r="S33" s="100"/>
      <c r="T33" s="100"/>
      <c r="U33" s="124"/>
      <c r="V33" s="124"/>
    </row>
    <row r="34" outlineLevel="1">
      <c r="A34" s="106"/>
      <c r="B34" s="107"/>
      <c r="C34" s="127" t="s">
        <v>48</v>
      </c>
      <c r="D34" s="128" t="s">
        <v>49</v>
      </c>
      <c r="E34" s="128" t="s">
        <v>50</v>
      </c>
      <c r="F34" s="129" t="s">
        <v>51</v>
      </c>
      <c r="G34" s="128" t="s">
        <v>52</v>
      </c>
      <c r="H34" s="361" t="s">
        <v>53</v>
      </c>
      <c r="I34" s="110"/>
      <c r="J34" s="109"/>
      <c r="K34" s="131" t="s">
        <v>137</v>
      </c>
      <c r="L34" s="131" t="s">
        <v>138</v>
      </c>
      <c r="M34" s="131" t="s">
        <v>139</v>
      </c>
      <c r="N34" s="131" t="s">
        <v>140</v>
      </c>
      <c r="O34" s="132" t="s">
        <v>141</v>
      </c>
      <c r="P34" s="131" t="s">
        <v>142</v>
      </c>
      <c r="Q34" s="132" t="s">
        <v>143</v>
      </c>
      <c r="R34" s="100"/>
      <c r="S34" s="100"/>
      <c r="T34" s="100"/>
      <c r="U34" s="127" t="s">
        <v>54</v>
      </c>
      <c r="V34" s="100"/>
    </row>
    <row r="35" outlineLevel="1">
      <c r="A35" s="3405" t="s">
        <v>5915</v>
      </c>
      <c r="B35" s="147" t="s">
        <v>5901</v>
      </c>
      <c r="C35" s="3406" t="s">
        <v>270</v>
      </c>
      <c r="D35" s="3406" t="s">
        <v>153</v>
      </c>
      <c r="E35" s="3407" t="s">
        <v>5211</v>
      </c>
      <c r="F35" s="138">
        <v>4.08</v>
      </c>
      <c r="G35" s="3408" t="s">
        <v>170</v>
      </c>
      <c r="H35" s="2357" t="s">
        <v>5916</v>
      </c>
      <c r="I35" s="164"/>
      <c r="J35" s="104"/>
      <c r="K35" s="3409"/>
      <c r="L35" s="3409"/>
      <c r="M35" s="3410"/>
      <c r="N35" s="3410"/>
      <c r="O35" s="3411">
        <v>1.0</v>
      </c>
      <c r="P35" s="2885">
        <v>1.0</v>
      </c>
      <c r="Q35" s="2885">
        <v>1.0</v>
      </c>
      <c r="R35" s="3412"/>
      <c r="S35" s="3412"/>
      <c r="T35" s="3413"/>
      <c r="U35" s="3414"/>
      <c r="V35" s="3412"/>
    </row>
    <row r="36" outlineLevel="1">
      <c r="A36" s="210"/>
      <c r="B36" s="147" t="s">
        <v>5902</v>
      </c>
      <c r="C36" s="146"/>
      <c r="D36" s="146"/>
      <c r="E36" s="467" t="s">
        <v>5917</v>
      </c>
      <c r="F36" s="138">
        <v>4.488</v>
      </c>
      <c r="G36" s="450" t="s">
        <v>170</v>
      </c>
      <c r="H36" s="212"/>
      <c r="J36" s="210"/>
      <c r="K36" s="282"/>
      <c r="L36" s="282"/>
      <c r="M36" s="363"/>
      <c r="N36" s="363"/>
      <c r="O36" s="145"/>
      <c r="P36" s="145"/>
      <c r="Q36" s="145"/>
      <c r="R36" s="100"/>
      <c r="S36" s="100"/>
      <c r="T36" s="100"/>
      <c r="U36" s="146"/>
      <c r="V36" s="100"/>
    </row>
    <row r="37" outlineLevel="1">
      <c r="A37" s="210"/>
      <c r="B37" s="147" t="s">
        <v>5905</v>
      </c>
      <c r="C37" s="146"/>
      <c r="D37" s="146"/>
      <c r="E37" s="467" t="s">
        <v>584</v>
      </c>
      <c r="F37" s="138">
        <v>4.896</v>
      </c>
      <c r="G37" s="450" t="s">
        <v>170</v>
      </c>
      <c r="H37" s="212"/>
      <c r="J37" s="210"/>
      <c r="K37" s="282"/>
      <c r="L37" s="282"/>
      <c r="M37" s="363"/>
      <c r="N37" s="363"/>
      <c r="O37" s="145"/>
      <c r="P37" s="145"/>
      <c r="Q37" s="145"/>
      <c r="R37" s="100"/>
      <c r="S37" s="100"/>
      <c r="T37" s="100"/>
      <c r="U37" s="146"/>
      <c r="V37" s="100"/>
    </row>
    <row r="38" outlineLevel="1">
      <c r="A38" s="210"/>
      <c r="B38" s="147" t="s">
        <v>5910</v>
      </c>
      <c r="C38" s="146"/>
      <c r="D38" s="146"/>
      <c r="E38" s="467" t="s">
        <v>5918</v>
      </c>
      <c r="F38" s="138">
        <v>5.508</v>
      </c>
      <c r="G38" s="450" t="s">
        <v>170</v>
      </c>
      <c r="H38" s="212"/>
      <c r="J38" s="210"/>
      <c r="K38" s="282"/>
      <c r="L38" s="282"/>
      <c r="M38" s="363"/>
      <c r="N38" s="363"/>
      <c r="O38" s="145"/>
      <c r="P38" s="145"/>
      <c r="Q38" s="145"/>
      <c r="R38" s="100"/>
      <c r="S38" s="100"/>
      <c r="T38" s="100"/>
      <c r="U38" s="146"/>
      <c r="V38" s="100"/>
    </row>
    <row r="39" outlineLevel="1">
      <c r="A39" s="210"/>
      <c r="B39" s="147" t="s">
        <v>5913</v>
      </c>
      <c r="C39" s="156"/>
      <c r="D39" s="156"/>
      <c r="E39" s="2208" t="s">
        <v>5919</v>
      </c>
      <c r="F39" s="1940">
        <v>3.2640000000000002</v>
      </c>
      <c r="G39" s="450" t="s">
        <v>170</v>
      </c>
      <c r="H39" s="212"/>
      <c r="J39" s="210"/>
      <c r="K39" s="282"/>
      <c r="L39" s="282"/>
      <c r="M39" s="363"/>
      <c r="N39" s="363"/>
      <c r="O39" s="145"/>
      <c r="P39" s="145"/>
      <c r="Q39" s="145"/>
      <c r="R39" s="100"/>
      <c r="S39" s="100"/>
      <c r="T39" s="100"/>
      <c r="U39" s="146"/>
      <c r="V39" s="100"/>
    </row>
    <row r="40" outlineLevel="1">
      <c r="A40" s="210"/>
      <c r="B40" s="147" t="s">
        <v>5909</v>
      </c>
      <c r="C40" s="3415" t="s">
        <v>818</v>
      </c>
      <c r="D40" s="3415" t="s">
        <v>119</v>
      </c>
      <c r="E40" s="3229" t="s">
        <v>5211</v>
      </c>
      <c r="F40" s="1936">
        <v>4.08</v>
      </c>
      <c r="G40" s="450" t="s">
        <v>170</v>
      </c>
      <c r="H40" s="106"/>
      <c r="I40" s="168"/>
      <c r="J40" s="107"/>
      <c r="K40" s="282"/>
      <c r="L40" s="282"/>
      <c r="M40" s="363"/>
      <c r="N40" s="363"/>
      <c r="O40" s="145"/>
      <c r="P40" s="145"/>
      <c r="Q40" s="145"/>
      <c r="R40" s="100"/>
      <c r="S40" s="100"/>
      <c r="T40" s="100"/>
      <c r="U40" s="156"/>
      <c r="V40" s="100"/>
    </row>
    <row r="41" outlineLevel="1">
      <c r="A41" s="133" t="s">
        <v>77</v>
      </c>
      <c r="B41" s="147" t="s">
        <v>5901</v>
      </c>
      <c r="C41" s="3406" t="s">
        <v>161</v>
      </c>
      <c r="D41" s="3406" t="s">
        <v>271</v>
      </c>
      <c r="E41" s="3407" t="s">
        <v>3016</v>
      </c>
      <c r="F41" s="138">
        <v>12.48</v>
      </c>
      <c r="G41" s="3416" t="s">
        <v>121</v>
      </c>
      <c r="H41" s="163" t="s">
        <v>5920</v>
      </c>
      <c r="I41" s="164"/>
      <c r="J41" s="104"/>
      <c r="K41" s="282"/>
      <c r="L41" s="282"/>
      <c r="M41" s="363"/>
      <c r="N41" s="363"/>
      <c r="O41" s="145">
        <v>0.0</v>
      </c>
      <c r="P41" s="145">
        <v>1.0</v>
      </c>
      <c r="Q41" s="145">
        <v>1.0</v>
      </c>
      <c r="R41" s="100"/>
      <c r="S41" s="100"/>
      <c r="T41" s="100"/>
      <c r="U41" s="3301"/>
      <c r="V41" s="100"/>
    </row>
    <row r="42" outlineLevel="1">
      <c r="A42" s="146"/>
      <c r="B42" s="147" t="s">
        <v>5902</v>
      </c>
      <c r="C42" s="146"/>
      <c r="D42" s="146"/>
      <c r="E42" s="467" t="s">
        <v>5921</v>
      </c>
      <c r="F42" s="138">
        <v>13.728</v>
      </c>
      <c r="G42" s="467" t="s">
        <v>88</v>
      </c>
      <c r="H42" s="212"/>
      <c r="J42" s="210"/>
      <c r="K42" s="282"/>
      <c r="L42" s="282"/>
      <c r="M42" s="363"/>
      <c r="N42" s="363"/>
      <c r="O42" s="145"/>
      <c r="P42" s="145"/>
      <c r="Q42" s="145"/>
      <c r="R42" s="100"/>
      <c r="S42" s="100"/>
      <c r="T42" s="100"/>
      <c r="U42" s="146"/>
      <c r="V42" s="100"/>
    </row>
    <row r="43" outlineLevel="1">
      <c r="A43" s="146"/>
      <c r="B43" s="147" t="s">
        <v>5905</v>
      </c>
      <c r="C43" s="146"/>
      <c r="D43" s="146"/>
      <c r="E43" s="467" t="s">
        <v>5922</v>
      </c>
      <c r="F43" s="138">
        <v>14.975999999999999</v>
      </c>
      <c r="G43" s="467" t="s">
        <v>88</v>
      </c>
      <c r="H43" s="212"/>
      <c r="J43" s="210"/>
      <c r="K43" s="282"/>
      <c r="L43" s="282"/>
      <c r="M43" s="363"/>
      <c r="N43" s="363"/>
      <c r="O43" s="145"/>
      <c r="P43" s="145"/>
      <c r="Q43" s="145"/>
      <c r="R43" s="100"/>
      <c r="S43" s="100"/>
      <c r="T43" s="100"/>
      <c r="U43" s="146"/>
      <c r="V43" s="100"/>
    </row>
    <row r="44" outlineLevel="1">
      <c r="A44" s="146"/>
      <c r="B44" s="147" t="s">
        <v>5910</v>
      </c>
      <c r="C44" s="146"/>
      <c r="D44" s="146"/>
      <c r="E44" s="467" t="s">
        <v>5923</v>
      </c>
      <c r="F44" s="138">
        <v>16.848</v>
      </c>
      <c r="G44" s="467" t="s">
        <v>297</v>
      </c>
      <c r="H44" s="212"/>
      <c r="J44" s="210"/>
      <c r="K44" s="282"/>
      <c r="L44" s="282"/>
      <c r="M44" s="363"/>
      <c r="N44" s="363"/>
      <c r="O44" s="145"/>
      <c r="P44" s="145"/>
      <c r="Q44" s="145"/>
      <c r="R44" s="100"/>
      <c r="S44" s="100"/>
      <c r="T44" s="100"/>
      <c r="U44" s="146"/>
      <c r="V44" s="100"/>
    </row>
    <row r="45" outlineLevel="1">
      <c r="A45" s="146"/>
      <c r="B45" s="147" t="s">
        <v>5913</v>
      </c>
      <c r="C45" s="156"/>
      <c r="D45" s="146"/>
      <c r="E45" s="2208" t="s">
        <v>5924</v>
      </c>
      <c r="F45" s="1940">
        <v>9.984</v>
      </c>
      <c r="G45" s="2208" t="s">
        <v>123</v>
      </c>
      <c r="H45" s="212"/>
      <c r="J45" s="210"/>
      <c r="K45" s="282"/>
      <c r="L45" s="282"/>
      <c r="M45" s="363"/>
      <c r="N45" s="363"/>
      <c r="O45" s="145"/>
      <c r="P45" s="145"/>
      <c r="Q45" s="145"/>
      <c r="R45" s="100"/>
      <c r="S45" s="100"/>
      <c r="T45" s="100"/>
      <c r="U45" s="146"/>
      <c r="V45" s="100"/>
    </row>
    <row r="46" outlineLevel="1">
      <c r="A46" s="146"/>
      <c r="B46" s="147" t="s">
        <v>5925</v>
      </c>
      <c r="C46" s="3417" t="s">
        <v>382</v>
      </c>
      <c r="D46" s="146"/>
      <c r="E46" s="216" t="s">
        <v>94</v>
      </c>
      <c r="F46" s="138">
        <v>10.08</v>
      </c>
      <c r="G46" s="216" t="s">
        <v>123</v>
      </c>
      <c r="H46" s="212"/>
      <c r="J46" s="210"/>
      <c r="K46" s="282"/>
      <c r="L46" s="282"/>
      <c r="M46" s="363"/>
      <c r="N46" s="363"/>
      <c r="O46" s="145"/>
      <c r="P46" s="145"/>
      <c r="Q46" s="145"/>
      <c r="R46" s="100"/>
      <c r="S46" s="100"/>
      <c r="T46" s="100"/>
      <c r="U46" s="146"/>
      <c r="V46" s="100"/>
    </row>
    <row r="47" outlineLevel="1">
      <c r="A47" s="146"/>
      <c r="B47" s="147" t="s">
        <v>5926</v>
      </c>
      <c r="C47" s="210"/>
      <c r="D47" s="146"/>
      <c r="E47" s="216" t="s">
        <v>5927</v>
      </c>
      <c r="F47" s="138">
        <v>11.088</v>
      </c>
      <c r="G47" s="216" t="s">
        <v>275</v>
      </c>
      <c r="H47" s="212"/>
      <c r="J47" s="210"/>
      <c r="K47" s="282"/>
      <c r="L47" s="282"/>
      <c r="M47" s="363"/>
      <c r="N47" s="363"/>
      <c r="O47" s="145"/>
      <c r="P47" s="145"/>
      <c r="Q47" s="145"/>
      <c r="R47" s="100"/>
      <c r="S47" s="100"/>
      <c r="T47" s="100"/>
      <c r="U47" s="146"/>
      <c r="V47" s="100"/>
    </row>
    <row r="48" outlineLevel="1">
      <c r="A48" s="146"/>
      <c r="B48" s="147" t="s">
        <v>5928</v>
      </c>
      <c r="C48" s="210"/>
      <c r="D48" s="146"/>
      <c r="E48" s="216" t="s">
        <v>5929</v>
      </c>
      <c r="F48" s="138">
        <v>12.096</v>
      </c>
      <c r="G48" s="216" t="s">
        <v>121</v>
      </c>
      <c r="H48" s="212"/>
      <c r="J48" s="210"/>
      <c r="K48" s="282"/>
      <c r="L48" s="282"/>
      <c r="M48" s="363"/>
      <c r="N48" s="363"/>
      <c r="O48" s="145"/>
      <c r="P48" s="145"/>
      <c r="Q48" s="145"/>
      <c r="R48" s="100"/>
      <c r="S48" s="100"/>
      <c r="T48" s="100"/>
      <c r="U48" s="146"/>
      <c r="V48" s="100"/>
    </row>
    <row r="49" outlineLevel="1">
      <c r="A49" s="146"/>
      <c r="B49" s="147" t="s">
        <v>5930</v>
      </c>
      <c r="C49" s="210"/>
      <c r="D49" s="146"/>
      <c r="E49" s="216" t="s">
        <v>5931</v>
      </c>
      <c r="F49" s="138">
        <v>13.607999999999999</v>
      </c>
      <c r="G49" s="216" t="s">
        <v>88</v>
      </c>
      <c r="H49" s="212"/>
      <c r="J49" s="210"/>
      <c r="K49" s="282"/>
      <c r="L49" s="282"/>
      <c r="M49" s="363"/>
      <c r="N49" s="363"/>
      <c r="O49" s="145"/>
      <c r="P49" s="145"/>
      <c r="Q49" s="145"/>
      <c r="R49" s="100"/>
      <c r="S49" s="100"/>
      <c r="T49" s="100"/>
      <c r="U49" s="146"/>
      <c r="V49" s="100"/>
    </row>
    <row r="50" outlineLevel="1">
      <c r="A50" s="146"/>
      <c r="B50" s="147" t="s">
        <v>5932</v>
      </c>
      <c r="C50" s="107"/>
      <c r="D50" s="156"/>
      <c r="E50" s="2208" t="s">
        <v>5933</v>
      </c>
      <c r="F50" s="1940">
        <v>8.064</v>
      </c>
      <c r="G50" s="2208" t="s">
        <v>95</v>
      </c>
      <c r="H50" s="212"/>
      <c r="J50" s="210"/>
      <c r="K50" s="282"/>
      <c r="L50" s="282"/>
      <c r="M50" s="363"/>
      <c r="N50" s="363"/>
      <c r="O50" s="145"/>
      <c r="P50" s="145"/>
      <c r="Q50" s="145"/>
      <c r="R50" s="100"/>
      <c r="S50" s="100"/>
      <c r="T50" s="100"/>
      <c r="U50" s="146"/>
      <c r="V50" s="100"/>
    </row>
    <row r="51" outlineLevel="1">
      <c r="A51" s="146"/>
      <c r="B51" s="147" t="s">
        <v>5909</v>
      </c>
      <c r="C51" s="3415" t="s">
        <v>161</v>
      </c>
      <c r="D51" s="3418" t="s">
        <v>593</v>
      </c>
      <c r="E51" s="3415" t="s">
        <v>3016</v>
      </c>
      <c r="F51" s="1936">
        <v>12.48</v>
      </c>
      <c r="G51" s="3229" t="s">
        <v>121</v>
      </c>
      <c r="H51" s="212"/>
      <c r="J51" s="210"/>
      <c r="K51" s="282"/>
      <c r="L51" s="282"/>
      <c r="M51" s="363"/>
      <c r="N51" s="363"/>
      <c r="O51" s="145"/>
      <c r="P51" s="145"/>
      <c r="Q51" s="145"/>
      <c r="R51" s="100"/>
      <c r="S51" s="100"/>
      <c r="T51" s="100"/>
      <c r="U51" s="146"/>
      <c r="V51" s="100"/>
    </row>
    <row r="52" outlineLevel="1">
      <c r="A52" s="156"/>
      <c r="B52" s="147" t="s">
        <v>5934</v>
      </c>
      <c r="C52" s="3415" t="s">
        <v>382</v>
      </c>
      <c r="D52" s="107"/>
      <c r="E52" s="3415" t="s">
        <v>94</v>
      </c>
      <c r="F52" s="1936">
        <v>10.08</v>
      </c>
      <c r="G52" s="3229" t="s">
        <v>123</v>
      </c>
      <c r="H52" s="106"/>
      <c r="I52" s="168"/>
      <c r="J52" s="107"/>
      <c r="K52" s="282"/>
      <c r="L52" s="282"/>
      <c r="M52" s="363"/>
      <c r="N52" s="363"/>
      <c r="O52" s="145">
        <v>0.0</v>
      </c>
      <c r="P52" s="145">
        <v>1.0</v>
      </c>
      <c r="Q52" s="145">
        <v>1.0</v>
      </c>
      <c r="R52" s="100"/>
      <c r="S52" s="100"/>
      <c r="T52" s="100"/>
      <c r="U52" s="156"/>
      <c r="V52" s="100"/>
    </row>
    <row r="53" outlineLevel="1">
      <c r="A53" s="133" t="s">
        <v>97</v>
      </c>
      <c r="B53" s="147" t="s">
        <v>5901</v>
      </c>
      <c r="C53" s="3406" t="s">
        <v>2692</v>
      </c>
      <c r="D53" s="3406" t="s">
        <v>153</v>
      </c>
      <c r="E53" s="3407" t="s">
        <v>2134</v>
      </c>
      <c r="F53" s="138">
        <v>7.8</v>
      </c>
      <c r="G53" s="3416" t="s">
        <v>95</v>
      </c>
      <c r="H53" s="2357" t="s">
        <v>5935</v>
      </c>
      <c r="I53" s="164"/>
      <c r="J53" s="104"/>
      <c r="K53" s="282"/>
      <c r="L53" s="282"/>
      <c r="M53" s="363"/>
      <c r="N53" s="363"/>
      <c r="O53" s="145">
        <v>0.0</v>
      </c>
      <c r="P53" s="145">
        <v>1.0</v>
      </c>
      <c r="Q53" s="145">
        <v>1.0</v>
      </c>
      <c r="R53" s="100"/>
      <c r="S53" s="100"/>
      <c r="T53" s="100"/>
      <c r="U53" s="3301"/>
      <c r="V53" s="100"/>
    </row>
    <row r="54" outlineLevel="1">
      <c r="A54" s="146"/>
      <c r="B54" s="147" t="s">
        <v>5902</v>
      </c>
      <c r="C54" s="146"/>
      <c r="D54" s="146"/>
      <c r="E54" s="467" t="s">
        <v>5936</v>
      </c>
      <c r="F54" s="138">
        <v>8.58</v>
      </c>
      <c r="G54" s="467" t="s">
        <v>95</v>
      </c>
      <c r="H54" s="212"/>
      <c r="J54" s="210"/>
      <c r="K54" s="145"/>
      <c r="L54" s="363"/>
      <c r="M54" s="363"/>
      <c r="N54" s="363"/>
      <c r="O54" s="145"/>
      <c r="P54" s="145"/>
      <c r="Q54" s="145"/>
      <c r="R54" s="100"/>
      <c r="S54" s="100"/>
      <c r="T54" s="100"/>
      <c r="U54" s="146"/>
      <c r="V54" s="100"/>
    </row>
    <row r="55" outlineLevel="1">
      <c r="A55" s="146"/>
      <c r="B55" s="147" t="s">
        <v>5905</v>
      </c>
      <c r="C55" s="146"/>
      <c r="D55" s="146"/>
      <c r="E55" s="467" t="s">
        <v>4024</v>
      </c>
      <c r="F55" s="138">
        <v>9.36</v>
      </c>
      <c r="G55" s="467" t="s">
        <v>123</v>
      </c>
      <c r="H55" s="212"/>
      <c r="J55" s="210"/>
      <c r="K55" s="145"/>
      <c r="L55" s="363"/>
      <c r="M55" s="363"/>
      <c r="N55" s="363"/>
      <c r="O55" s="145"/>
      <c r="P55" s="145"/>
      <c r="Q55" s="145"/>
      <c r="R55" s="100"/>
      <c r="S55" s="100"/>
      <c r="T55" s="100"/>
      <c r="U55" s="146"/>
      <c r="V55" s="100"/>
    </row>
    <row r="56" outlineLevel="1">
      <c r="A56" s="146"/>
      <c r="B56" s="147" t="s">
        <v>5910</v>
      </c>
      <c r="C56" s="146"/>
      <c r="D56" s="146"/>
      <c r="E56" s="467" t="s">
        <v>5937</v>
      </c>
      <c r="F56" s="138">
        <v>10.53</v>
      </c>
      <c r="G56" s="467" t="s">
        <v>275</v>
      </c>
      <c r="H56" s="212"/>
      <c r="J56" s="210"/>
      <c r="K56" s="145"/>
      <c r="L56" s="363"/>
      <c r="M56" s="363"/>
      <c r="N56" s="363"/>
      <c r="O56" s="145"/>
      <c r="P56" s="145"/>
      <c r="Q56" s="145"/>
      <c r="R56" s="100"/>
      <c r="S56" s="100"/>
      <c r="T56" s="100"/>
      <c r="U56" s="146"/>
      <c r="V56" s="100"/>
    </row>
    <row r="57" outlineLevel="1">
      <c r="A57" s="146"/>
      <c r="B57" s="147" t="s">
        <v>5913</v>
      </c>
      <c r="C57" s="156"/>
      <c r="D57" s="156"/>
      <c r="E57" s="2208" t="s">
        <v>3014</v>
      </c>
      <c r="F57" s="1940">
        <v>6.24</v>
      </c>
      <c r="G57" s="2208" t="s">
        <v>102</v>
      </c>
      <c r="H57" s="212"/>
      <c r="J57" s="210"/>
      <c r="K57" s="145"/>
      <c r="L57" s="363"/>
      <c r="M57" s="363"/>
      <c r="N57" s="363"/>
      <c r="O57" s="145"/>
      <c r="P57" s="145"/>
      <c r="Q57" s="145"/>
      <c r="R57" s="100"/>
      <c r="S57" s="100"/>
      <c r="T57" s="100"/>
      <c r="U57" s="146"/>
      <c r="V57" s="100"/>
    </row>
    <row r="58" outlineLevel="1">
      <c r="A58" s="156"/>
      <c r="B58" s="147" t="s">
        <v>5909</v>
      </c>
      <c r="C58" s="3415" t="s">
        <v>163</v>
      </c>
      <c r="D58" s="3415" t="s">
        <v>129</v>
      </c>
      <c r="E58" s="3229" t="s">
        <v>2134</v>
      </c>
      <c r="F58" s="1936">
        <v>7.8</v>
      </c>
      <c r="G58" s="3229" t="s">
        <v>95</v>
      </c>
      <c r="H58" s="106"/>
      <c r="I58" s="168"/>
      <c r="J58" s="107"/>
      <c r="K58" s="145"/>
      <c r="L58" s="363"/>
      <c r="M58" s="363"/>
      <c r="N58" s="363"/>
      <c r="O58" s="145"/>
      <c r="P58" s="145"/>
      <c r="Q58" s="145"/>
      <c r="R58" s="100"/>
      <c r="S58" s="100"/>
      <c r="T58" s="100"/>
      <c r="U58" s="156"/>
      <c r="V58" s="100"/>
    </row>
    <row r="59" outlineLevel="1">
      <c r="A59" s="133" t="s">
        <v>103</v>
      </c>
      <c r="B59" s="147" t="s">
        <v>199</v>
      </c>
      <c r="C59" s="467" t="s">
        <v>5938</v>
      </c>
      <c r="D59" s="455" t="s">
        <v>634</v>
      </c>
      <c r="E59" s="3416" t="s">
        <v>1375</v>
      </c>
      <c r="F59" s="138">
        <v>0.96</v>
      </c>
      <c r="G59" s="467" t="s">
        <v>170</v>
      </c>
      <c r="H59" s="163" t="s">
        <v>5939</v>
      </c>
      <c r="I59" s="164"/>
      <c r="J59" s="104"/>
      <c r="K59" s="145"/>
      <c r="L59" s="363"/>
      <c r="M59" s="363"/>
      <c r="N59" s="363"/>
      <c r="O59" s="145">
        <v>0.0</v>
      </c>
      <c r="P59" s="145">
        <v>1.0</v>
      </c>
      <c r="Q59" s="145">
        <v>1.0</v>
      </c>
      <c r="R59" s="100"/>
      <c r="S59" s="100"/>
      <c r="T59" s="100"/>
      <c r="U59" s="3301"/>
      <c r="V59" s="100"/>
    </row>
    <row r="60" outlineLevel="1">
      <c r="A60" s="156"/>
      <c r="B60" s="147" t="s">
        <v>202</v>
      </c>
      <c r="C60" s="245" t="s">
        <v>1561</v>
      </c>
      <c r="D60" s="107"/>
      <c r="E60" s="467" t="s">
        <v>4540</v>
      </c>
      <c r="F60" s="138">
        <v>7.68</v>
      </c>
      <c r="G60" s="467" t="s">
        <v>60</v>
      </c>
      <c r="H60" s="106"/>
      <c r="I60" s="168"/>
      <c r="J60" s="107"/>
      <c r="K60" s="363"/>
      <c r="L60" s="363"/>
      <c r="M60" s="363"/>
      <c r="N60" s="363"/>
      <c r="O60" s="145">
        <v>0.0</v>
      </c>
      <c r="P60" s="145">
        <v>1.0</v>
      </c>
      <c r="Q60" s="145">
        <v>1.0</v>
      </c>
      <c r="R60" s="100"/>
      <c r="S60" s="100"/>
      <c r="T60" s="100"/>
      <c r="U60" s="156"/>
      <c r="V60" s="100"/>
    </row>
    <row r="61" outlineLevel="1">
      <c r="A61" s="133" t="s">
        <v>109</v>
      </c>
      <c r="B61" s="147" t="s">
        <v>5901</v>
      </c>
      <c r="C61" s="3419" t="s">
        <v>721</v>
      </c>
      <c r="D61" s="3419" t="s">
        <v>127</v>
      </c>
      <c r="E61" s="3416" t="s">
        <v>386</v>
      </c>
      <c r="F61" s="138">
        <v>18.0</v>
      </c>
      <c r="G61" s="3416" t="s">
        <v>121</v>
      </c>
      <c r="H61" s="163" t="s">
        <v>5940</v>
      </c>
      <c r="I61" s="164"/>
      <c r="J61" s="104"/>
      <c r="K61" s="282"/>
      <c r="L61" s="282"/>
      <c r="M61" s="363"/>
      <c r="N61" s="363"/>
      <c r="O61" s="145">
        <v>0.0</v>
      </c>
      <c r="P61" s="145">
        <v>1.0</v>
      </c>
      <c r="Q61" s="145">
        <v>1.0</v>
      </c>
      <c r="R61" s="100"/>
      <c r="S61" s="100"/>
      <c r="T61" s="100"/>
      <c r="U61" s="3301"/>
      <c r="V61" s="100"/>
    </row>
    <row r="62" outlineLevel="1">
      <c r="A62" s="146"/>
      <c r="B62" s="147" t="s">
        <v>5902</v>
      </c>
      <c r="C62" s="146"/>
      <c r="D62" s="146"/>
      <c r="E62" s="467" t="s">
        <v>5941</v>
      </c>
      <c r="F62" s="138">
        <v>19.8</v>
      </c>
      <c r="G62" s="467" t="s">
        <v>88</v>
      </c>
      <c r="H62" s="212"/>
      <c r="J62" s="210"/>
      <c r="K62" s="282"/>
      <c r="L62" s="282"/>
      <c r="M62" s="363"/>
      <c r="N62" s="363"/>
      <c r="O62" s="145">
        <v>0.0</v>
      </c>
      <c r="P62" s="145">
        <v>1.0</v>
      </c>
      <c r="Q62" s="145">
        <v>1.0</v>
      </c>
      <c r="R62" s="100"/>
      <c r="S62" s="100"/>
      <c r="T62" s="100"/>
      <c r="U62" s="146"/>
      <c r="V62" s="100"/>
    </row>
    <row r="63" outlineLevel="1">
      <c r="A63" s="146"/>
      <c r="B63" s="147" t="s">
        <v>5905</v>
      </c>
      <c r="C63" s="146"/>
      <c r="D63" s="146"/>
      <c r="E63" s="467" t="s">
        <v>466</v>
      </c>
      <c r="F63" s="138">
        <v>21.599999999999998</v>
      </c>
      <c r="G63" s="467" t="s">
        <v>407</v>
      </c>
      <c r="H63" s="212"/>
      <c r="J63" s="210"/>
      <c r="K63" s="282"/>
      <c r="L63" s="282"/>
      <c r="M63" s="363"/>
      <c r="N63" s="363"/>
      <c r="O63" s="145">
        <v>0.0</v>
      </c>
      <c r="P63" s="145">
        <v>1.0</v>
      </c>
      <c r="Q63" s="145">
        <v>1.0</v>
      </c>
      <c r="R63" s="100"/>
      <c r="S63" s="100"/>
      <c r="T63" s="100"/>
      <c r="U63" s="146"/>
      <c r="V63" s="100"/>
    </row>
    <row r="64" outlineLevel="1">
      <c r="A64" s="146"/>
      <c r="B64" s="147" t="s">
        <v>5910</v>
      </c>
      <c r="C64" s="146"/>
      <c r="D64" s="146"/>
      <c r="E64" s="467" t="s">
        <v>5942</v>
      </c>
      <c r="F64" s="138">
        <v>24.3</v>
      </c>
      <c r="G64" s="467" t="s">
        <v>297</v>
      </c>
      <c r="H64" s="212"/>
      <c r="J64" s="210"/>
      <c r="K64" s="282"/>
      <c r="L64" s="282"/>
      <c r="M64" s="363"/>
      <c r="N64" s="363"/>
      <c r="O64" s="145">
        <v>0.0</v>
      </c>
      <c r="P64" s="145">
        <v>1.0</v>
      </c>
      <c r="Q64" s="145">
        <v>1.0</v>
      </c>
      <c r="R64" s="100"/>
      <c r="S64" s="100"/>
      <c r="T64" s="100"/>
      <c r="U64" s="146"/>
      <c r="V64" s="100"/>
    </row>
    <row r="65" outlineLevel="1">
      <c r="A65" s="146"/>
      <c r="B65" s="147" t="s">
        <v>5913</v>
      </c>
      <c r="C65" s="156"/>
      <c r="D65" s="156"/>
      <c r="E65" s="2208" t="s">
        <v>129</v>
      </c>
      <c r="F65" s="1940">
        <v>14.399999999999999</v>
      </c>
      <c r="G65" s="2208" t="s">
        <v>123</v>
      </c>
      <c r="H65" s="212"/>
      <c r="J65" s="210"/>
      <c r="K65" s="282"/>
      <c r="L65" s="282"/>
      <c r="M65" s="363"/>
      <c r="N65" s="363"/>
      <c r="O65" s="145">
        <v>0.0</v>
      </c>
      <c r="P65" s="145">
        <v>1.0</v>
      </c>
      <c r="Q65" s="145">
        <v>1.0</v>
      </c>
      <c r="R65" s="100"/>
      <c r="S65" s="100"/>
      <c r="T65" s="100"/>
      <c r="U65" s="146"/>
      <c r="V65" s="100"/>
    </row>
    <row r="66" outlineLevel="1">
      <c r="A66" s="156"/>
      <c r="B66" s="147" t="s">
        <v>5909</v>
      </c>
      <c r="C66" s="3229" t="s">
        <v>627</v>
      </c>
      <c r="D66" s="3229" t="s">
        <v>193</v>
      </c>
      <c r="E66" s="3229" t="s">
        <v>386</v>
      </c>
      <c r="F66" s="1936">
        <v>18.0</v>
      </c>
      <c r="G66" s="3229" t="s">
        <v>121</v>
      </c>
      <c r="H66" s="106"/>
      <c r="I66" s="168"/>
      <c r="J66" s="107"/>
      <c r="K66" s="282"/>
      <c r="L66" s="282"/>
      <c r="M66" s="363"/>
      <c r="N66" s="363"/>
      <c r="O66" s="145">
        <v>0.0</v>
      </c>
      <c r="P66" s="145">
        <v>1.0</v>
      </c>
      <c r="Q66" s="145">
        <v>1.0</v>
      </c>
      <c r="R66" s="100"/>
      <c r="S66" s="100"/>
      <c r="T66" s="100"/>
      <c r="U66" s="156"/>
      <c r="V66" s="100"/>
    </row>
    <row r="67" outlineLevel="1">
      <c r="A67" s="133" t="s">
        <v>116</v>
      </c>
      <c r="B67" s="147" t="s">
        <v>683</v>
      </c>
      <c r="C67" s="467" t="s">
        <v>518</v>
      </c>
      <c r="D67" s="455" t="s">
        <v>499</v>
      </c>
      <c r="E67" s="467" t="s">
        <v>213</v>
      </c>
      <c r="F67" s="138">
        <v>1.2</v>
      </c>
      <c r="G67" s="467" t="s">
        <v>170</v>
      </c>
      <c r="H67" s="163" t="s">
        <v>5943</v>
      </c>
      <c r="I67" s="164"/>
      <c r="J67" s="104"/>
      <c r="K67" s="363"/>
      <c r="L67" s="363"/>
      <c r="M67" s="363"/>
      <c r="N67" s="363"/>
      <c r="O67" s="145"/>
      <c r="P67" s="145"/>
      <c r="Q67" s="145"/>
      <c r="R67" s="100"/>
      <c r="S67" s="100"/>
      <c r="T67" s="100"/>
      <c r="U67" s="3301"/>
      <c r="V67" s="100"/>
    </row>
    <row r="68" outlineLevel="1">
      <c r="A68" s="146"/>
      <c r="B68" s="147" t="s">
        <v>5944</v>
      </c>
      <c r="C68" s="467" t="s">
        <v>5945</v>
      </c>
      <c r="D68" s="210"/>
      <c r="E68" s="467" t="s">
        <v>3647</v>
      </c>
      <c r="F68" s="138">
        <v>0.48</v>
      </c>
      <c r="G68" s="467" t="s">
        <v>170</v>
      </c>
      <c r="H68" s="212"/>
      <c r="J68" s="210"/>
      <c r="K68" s="363"/>
      <c r="L68" s="363"/>
      <c r="M68" s="363"/>
      <c r="N68" s="363"/>
      <c r="O68" s="145">
        <v>0.0</v>
      </c>
      <c r="P68" s="145">
        <v>1.0</v>
      </c>
      <c r="Q68" s="145">
        <v>1.0</v>
      </c>
      <c r="R68" s="100"/>
      <c r="S68" s="100"/>
      <c r="T68" s="100"/>
      <c r="U68" s="146"/>
      <c r="V68" s="100"/>
    </row>
    <row r="69" outlineLevel="1">
      <c r="A69" s="146"/>
      <c r="B69" s="147" t="s">
        <v>5946</v>
      </c>
      <c r="C69" s="245" t="s">
        <v>1410</v>
      </c>
      <c r="D69" s="210"/>
      <c r="E69" s="467" t="s">
        <v>119</v>
      </c>
      <c r="F69" s="138">
        <v>16.8</v>
      </c>
      <c r="G69" s="467" t="s">
        <v>121</v>
      </c>
      <c r="H69" s="212"/>
      <c r="J69" s="210"/>
      <c r="K69" s="363"/>
      <c r="L69" s="363"/>
      <c r="M69" s="363"/>
      <c r="N69" s="363"/>
      <c r="O69" s="145"/>
      <c r="P69" s="145"/>
      <c r="Q69" s="145"/>
      <c r="R69" s="100"/>
      <c r="S69" s="100"/>
      <c r="T69" s="100"/>
      <c r="U69" s="146"/>
      <c r="V69" s="100"/>
    </row>
    <row r="70" outlineLevel="1">
      <c r="A70" s="146"/>
      <c r="B70" s="147" t="s">
        <v>5947</v>
      </c>
      <c r="C70" s="823" t="s">
        <v>1410</v>
      </c>
      <c r="D70" s="210"/>
      <c r="E70" s="467" t="s">
        <v>5948</v>
      </c>
      <c r="F70" s="138">
        <v>8.88</v>
      </c>
      <c r="G70" s="467" t="s">
        <v>102</v>
      </c>
      <c r="H70" s="212"/>
      <c r="J70" s="210"/>
      <c r="K70" s="363"/>
      <c r="L70" s="363"/>
      <c r="M70" s="363"/>
      <c r="N70" s="363"/>
      <c r="O70" s="145"/>
      <c r="P70" s="145"/>
      <c r="Q70" s="145"/>
      <c r="R70" s="100"/>
      <c r="S70" s="100"/>
      <c r="T70" s="100"/>
      <c r="U70" s="146"/>
      <c r="V70" s="100"/>
    </row>
    <row r="71" outlineLevel="1">
      <c r="A71" s="146"/>
      <c r="B71" s="147" t="s">
        <v>5949</v>
      </c>
      <c r="C71" s="210"/>
      <c r="D71" s="210"/>
      <c r="E71" s="467" t="s">
        <v>5950</v>
      </c>
      <c r="F71" s="138">
        <v>9.768</v>
      </c>
      <c r="G71" s="467" t="s">
        <v>102</v>
      </c>
      <c r="H71" s="212"/>
      <c r="J71" s="210"/>
      <c r="K71" s="363"/>
      <c r="L71" s="363"/>
      <c r="M71" s="363"/>
      <c r="N71" s="363"/>
      <c r="O71" s="145"/>
      <c r="P71" s="145"/>
      <c r="Q71" s="145"/>
      <c r="R71" s="100"/>
      <c r="S71" s="100"/>
      <c r="T71" s="100"/>
      <c r="U71" s="146"/>
      <c r="V71" s="100"/>
    </row>
    <row r="72" outlineLevel="1">
      <c r="A72" s="146"/>
      <c r="B72" s="147" t="s">
        <v>5951</v>
      </c>
      <c r="C72" s="210"/>
      <c r="D72" s="210"/>
      <c r="E72" s="467" t="s">
        <v>5952</v>
      </c>
      <c r="F72" s="138">
        <v>10.656</v>
      </c>
      <c r="G72" s="467" t="s">
        <v>95</v>
      </c>
      <c r="H72" s="212"/>
      <c r="J72" s="210"/>
      <c r="K72" s="363"/>
      <c r="L72" s="363"/>
      <c r="M72" s="363"/>
      <c r="N72" s="363"/>
      <c r="O72" s="145"/>
      <c r="P72" s="145"/>
      <c r="Q72" s="145"/>
      <c r="R72" s="100"/>
      <c r="S72" s="100"/>
      <c r="T72" s="100"/>
      <c r="U72" s="146"/>
      <c r="V72" s="100"/>
    </row>
    <row r="73" outlineLevel="1">
      <c r="A73" s="146"/>
      <c r="B73" s="147" t="s">
        <v>5953</v>
      </c>
      <c r="C73" s="210"/>
      <c r="D73" s="210"/>
      <c r="E73" s="467" t="s">
        <v>5954</v>
      </c>
      <c r="F73" s="138">
        <v>11.988</v>
      </c>
      <c r="G73" s="467" t="s">
        <v>95</v>
      </c>
      <c r="H73" s="212"/>
      <c r="J73" s="210"/>
      <c r="K73" s="363"/>
      <c r="L73" s="363"/>
      <c r="M73" s="363"/>
      <c r="N73" s="363"/>
      <c r="O73" s="145"/>
      <c r="P73" s="145"/>
      <c r="Q73" s="145"/>
      <c r="R73" s="100"/>
      <c r="S73" s="100"/>
      <c r="T73" s="100"/>
      <c r="U73" s="146"/>
      <c r="V73" s="100"/>
    </row>
    <row r="74" outlineLevel="1">
      <c r="A74" s="156"/>
      <c r="B74" s="147" t="s">
        <v>5955</v>
      </c>
      <c r="C74" s="107"/>
      <c r="D74" s="107"/>
      <c r="E74" s="467" t="s">
        <v>5948</v>
      </c>
      <c r="F74" s="138">
        <v>8.88</v>
      </c>
      <c r="G74" s="467" t="s">
        <v>102</v>
      </c>
      <c r="H74" s="106"/>
      <c r="I74" s="168"/>
      <c r="J74" s="107"/>
      <c r="K74" s="363"/>
      <c r="L74" s="363"/>
      <c r="M74" s="363"/>
      <c r="N74" s="363"/>
      <c r="O74" s="145"/>
      <c r="P74" s="145"/>
      <c r="Q74" s="145"/>
      <c r="R74" s="100"/>
      <c r="S74" s="100"/>
      <c r="T74" s="100"/>
      <c r="U74" s="156"/>
      <c r="V74" s="100"/>
    </row>
    <row r="75" outlineLevel="1">
      <c r="A75" s="133" t="s">
        <v>124</v>
      </c>
      <c r="B75" s="147" t="s">
        <v>5956</v>
      </c>
      <c r="C75" s="216" t="s">
        <v>5957</v>
      </c>
      <c r="D75" s="455" t="s">
        <v>455</v>
      </c>
      <c r="E75" s="467" t="s">
        <v>201</v>
      </c>
      <c r="F75" s="138">
        <v>0.72</v>
      </c>
      <c r="G75" s="467" t="s">
        <v>170</v>
      </c>
      <c r="H75" s="163" t="s">
        <v>5958</v>
      </c>
      <c r="I75" s="164"/>
      <c r="J75" s="104"/>
      <c r="K75" s="282"/>
      <c r="L75" s="282"/>
      <c r="M75" s="363"/>
      <c r="N75" s="363"/>
      <c r="O75" s="145">
        <v>0.0</v>
      </c>
      <c r="P75" s="145">
        <v>1.0</v>
      </c>
      <c r="Q75" s="145">
        <v>1.0</v>
      </c>
      <c r="R75" s="100"/>
      <c r="S75" s="100"/>
      <c r="T75" s="100"/>
      <c r="U75" s="3301"/>
      <c r="V75" s="100"/>
    </row>
    <row r="76" outlineLevel="1">
      <c r="A76" s="146"/>
      <c r="B76" s="147" t="s">
        <v>5959</v>
      </c>
      <c r="C76" s="216" t="s">
        <v>1378</v>
      </c>
      <c r="D76" s="210"/>
      <c r="E76" s="467" t="s">
        <v>119</v>
      </c>
      <c r="F76" s="138">
        <v>16.8</v>
      </c>
      <c r="G76" s="467" t="s">
        <v>121</v>
      </c>
      <c r="H76" s="212"/>
      <c r="J76" s="210"/>
      <c r="K76" s="282"/>
      <c r="L76" s="282"/>
      <c r="M76" s="363"/>
      <c r="N76" s="363"/>
      <c r="O76" s="145"/>
      <c r="P76" s="145"/>
      <c r="Q76" s="145"/>
      <c r="R76" s="100"/>
      <c r="S76" s="100"/>
      <c r="T76" s="100"/>
      <c r="U76" s="146"/>
      <c r="V76" s="100"/>
    </row>
    <row r="77" outlineLevel="1">
      <c r="A77" s="146"/>
      <c r="B77" s="147" t="s">
        <v>5960</v>
      </c>
      <c r="C77" s="216" t="s">
        <v>5961</v>
      </c>
      <c r="D77" s="210"/>
      <c r="E77" s="467" t="s">
        <v>201</v>
      </c>
      <c r="F77" s="138">
        <v>0.72</v>
      </c>
      <c r="G77" s="467" t="s">
        <v>170</v>
      </c>
      <c r="H77" s="212"/>
      <c r="J77" s="210"/>
      <c r="K77" s="282"/>
      <c r="L77" s="282"/>
      <c r="M77" s="363"/>
      <c r="N77" s="363"/>
      <c r="O77" s="145"/>
      <c r="P77" s="145"/>
      <c r="Q77" s="145"/>
      <c r="R77" s="100"/>
      <c r="S77" s="100"/>
      <c r="T77" s="100"/>
      <c r="U77" s="146"/>
      <c r="V77" s="100"/>
    </row>
    <row r="78" outlineLevel="1">
      <c r="A78" s="156"/>
      <c r="B78" s="147" t="s">
        <v>5962</v>
      </c>
      <c r="C78" s="216" t="s">
        <v>3908</v>
      </c>
      <c r="D78" s="107"/>
      <c r="E78" s="467" t="s">
        <v>119</v>
      </c>
      <c r="F78" s="138">
        <v>16.8</v>
      </c>
      <c r="G78" s="467" t="s">
        <v>121</v>
      </c>
      <c r="H78" s="106"/>
      <c r="I78" s="168"/>
      <c r="J78" s="107"/>
      <c r="K78" s="282"/>
      <c r="L78" s="282"/>
      <c r="M78" s="363"/>
      <c r="N78" s="363"/>
      <c r="O78" s="145">
        <v>0.0</v>
      </c>
      <c r="P78" s="145">
        <v>1.0</v>
      </c>
      <c r="Q78" s="145">
        <v>1.0</v>
      </c>
      <c r="R78" s="100"/>
      <c r="S78" s="100"/>
      <c r="T78" s="100"/>
      <c r="U78" s="156"/>
      <c r="V78" s="100"/>
    </row>
    <row r="79" outlineLevel="1">
      <c r="A79" s="771" t="s">
        <v>16</v>
      </c>
      <c r="B79" s="109"/>
      <c r="C79" s="127" t="s">
        <v>48</v>
      </c>
      <c r="D79" s="128" t="s">
        <v>49</v>
      </c>
      <c r="E79" s="128" t="s">
        <v>50</v>
      </c>
      <c r="F79" s="129" t="s">
        <v>51</v>
      </c>
      <c r="G79" s="128" t="s">
        <v>52</v>
      </c>
      <c r="H79" s="361" t="s">
        <v>53</v>
      </c>
      <c r="I79" s="110"/>
      <c r="J79" s="109"/>
      <c r="K79" s="131" t="s">
        <v>137</v>
      </c>
      <c r="L79" s="131" t="s">
        <v>138</v>
      </c>
      <c r="M79" s="131" t="s">
        <v>139</v>
      </c>
      <c r="N79" s="131" t="s">
        <v>140</v>
      </c>
      <c r="O79" s="132" t="s">
        <v>141</v>
      </c>
      <c r="P79" s="131" t="s">
        <v>142</v>
      </c>
      <c r="Q79" s="132" t="s">
        <v>143</v>
      </c>
      <c r="R79" s="100"/>
      <c r="S79" s="100"/>
      <c r="T79" s="100"/>
      <c r="U79" s="127" t="s">
        <v>54</v>
      </c>
      <c r="V79" s="100"/>
    </row>
    <row r="80" outlineLevel="1">
      <c r="A80" s="170" t="s">
        <v>5963</v>
      </c>
      <c r="B80" s="134"/>
      <c r="C80" s="301"/>
      <c r="D80" s="113" t="s">
        <v>93</v>
      </c>
      <c r="E80" s="301"/>
      <c r="F80" s="476"/>
      <c r="G80" s="301"/>
      <c r="H80" s="151" t="s">
        <v>5964</v>
      </c>
      <c r="I80" s="110"/>
      <c r="J80" s="109"/>
      <c r="K80" s="282"/>
      <c r="L80" s="282"/>
      <c r="M80" s="363"/>
      <c r="N80" s="363"/>
      <c r="O80" s="145"/>
      <c r="P80" s="145"/>
      <c r="Q80" s="145"/>
      <c r="R80" s="1584"/>
      <c r="S80" s="1584"/>
      <c r="T80" s="1584"/>
      <c r="U80" s="1584"/>
      <c r="V80" s="100"/>
    </row>
    <row r="81">
      <c r="A81" s="118"/>
      <c r="B81" s="176"/>
      <c r="C81" s="118"/>
      <c r="D81" s="118"/>
      <c r="E81" s="118"/>
      <c r="F81" s="177"/>
      <c r="G81" s="177"/>
      <c r="H81" s="118"/>
      <c r="I81" s="118"/>
      <c r="J81" s="118"/>
      <c r="K81" s="118"/>
      <c r="L81" s="118"/>
      <c r="M81" s="118"/>
      <c r="N81" s="118"/>
      <c r="O81" s="118"/>
      <c r="P81" s="118"/>
      <c r="Q81" s="118"/>
      <c r="R81" s="118"/>
      <c r="S81" s="118"/>
      <c r="T81" s="118"/>
      <c r="U81" s="118"/>
      <c r="V81" s="118"/>
    </row>
    <row r="82">
      <c r="A82" s="178" t="s">
        <v>133</v>
      </c>
      <c r="B82" s="104"/>
      <c r="C82" s="179"/>
      <c r="D82" s="179"/>
      <c r="E82" s="179"/>
      <c r="F82" s="180"/>
      <c r="G82" s="179"/>
      <c r="H82" s="180"/>
      <c r="I82" s="180"/>
      <c r="J82" s="181"/>
      <c r="K82" s="180"/>
      <c r="L82" s="180"/>
      <c r="M82" s="180"/>
      <c r="N82" s="180"/>
      <c r="O82" s="180"/>
      <c r="P82" s="180"/>
      <c r="Q82" s="180"/>
      <c r="R82" s="180"/>
      <c r="S82" s="180"/>
      <c r="T82" s="180"/>
      <c r="U82" s="180"/>
      <c r="V82" s="180"/>
    </row>
    <row r="83" outlineLevel="1">
      <c r="A83" s="106"/>
      <c r="B83" s="107"/>
      <c r="C83" s="182" t="s">
        <v>48</v>
      </c>
      <c r="D83" s="183" t="s">
        <v>49</v>
      </c>
      <c r="E83" s="182" t="s">
        <v>50</v>
      </c>
      <c r="F83" s="184" t="s">
        <v>51</v>
      </c>
      <c r="G83" s="184" t="s">
        <v>134</v>
      </c>
      <c r="H83" s="185" t="s">
        <v>52</v>
      </c>
      <c r="I83" s="184" t="s">
        <v>135</v>
      </c>
      <c r="J83" s="186" t="s">
        <v>136</v>
      </c>
      <c r="K83" s="184" t="s">
        <v>137</v>
      </c>
      <c r="L83" s="184" t="s">
        <v>138</v>
      </c>
      <c r="M83" s="184" t="s">
        <v>139</v>
      </c>
      <c r="N83" s="184" t="s">
        <v>140</v>
      </c>
      <c r="O83" s="186" t="s">
        <v>141</v>
      </c>
      <c r="P83" s="184" t="s">
        <v>142</v>
      </c>
      <c r="Q83" s="186" t="s">
        <v>143</v>
      </c>
      <c r="R83" s="372" t="s">
        <v>53</v>
      </c>
      <c r="S83" s="110"/>
      <c r="T83" s="110"/>
      <c r="U83" s="110"/>
      <c r="V83" s="109"/>
    </row>
    <row r="84" outlineLevel="1">
      <c r="A84" s="188" t="s">
        <v>144</v>
      </c>
      <c r="B84" s="3420" t="s">
        <v>5901</v>
      </c>
      <c r="C84" s="3419" t="s">
        <v>270</v>
      </c>
      <c r="D84" s="3419" t="s">
        <v>153</v>
      </c>
      <c r="E84" s="3407" t="s">
        <v>5211</v>
      </c>
      <c r="F84" s="138">
        <v>4.08</v>
      </c>
      <c r="G84" s="193">
        <v>3.468</v>
      </c>
      <c r="H84" s="1360" t="s">
        <v>170</v>
      </c>
      <c r="I84" s="455" t="s">
        <v>76</v>
      </c>
      <c r="J84" s="279" t="s">
        <v>76</v>
      </c>
      <c r="K84" s="138">
        <v>361.0</v>
      </c>
      <c r="L84" s="282"/>
      <c r="M84" s="363"/>
      <c r="N84" s="363"/>
      <c r="O84" s="145">
        <v>0.0</v>
      </c>
      <c r="P84" s="145">
        <v>1.0</v>
      </c>
      <c r="Q84" s="145">
        <v>1.0</v>
      </c>
      <c r="R84" s="163" t="s">
        <v>5965</v>
      </c>
      <c r="S84" s="164"/>
      <c r="T84" s="164"/>
      <c r="U84" s="164"/>
      <c r="V84" s="104"/>
    </row>
    <row r="85" outlineLevel="1">
      <c r="A85" s="146"/>
      <c r="B85" s="3420" t="s">
        <v>5902</v>
      </c>
      <c r="C85" s="146"/>
      <c r="D85" s="146"/>
      <c r="E85" s="467" t="s">
        <v>5917</v>
      </c>
      <c r="F85" s="193">
        <v>4.488</v>
      </c>
      <c r="G85" s="193">
        <v>3.8148000000000004</v>
      </c>
      <c r="H85" s="1360" t="s">
        <v>170</v>
      </c>
      <c r="I85" s="210"/>
      <c r="J85" s="146"/>
      <c r="K85" s="138"/>
      <c r="L85" s="282"/>
      <c r="M85" s="363"/>
      <c r="N85" s="363"/>
      <c r="O85" s="145"/>
      <c r="P85" s="145"/>
      <c r="Q85" s="145"/>
      <c r="R85" s="212"/>
      <c r="V85" s="210"/>
    </row>
    <row r="86" outlineLevel="1">
      <c r="A86" s="146"/>
      <c r="B86" s="3420" t="s">
        <v>5905</v>
      </c>
      <c r="C86" s="146"/>
      <c r="D86" s="146"/>
      <c r="E86" s="467" t="s">
        <v>584</v>
      </c>
      <c r="F86" s="193">
        <v>4.896</v>
      </c>
      <c r="G86" s="193">
        <v>4.1616</v>
      </c>
      <c r="H86" s="1360" t="s">
        <v>170</v>
      </c>
      <c r="I86" s="210"/>
      <c r="J86" s="146"/>
      <c r="K86" s="138"/>
      <c r="L86" s="282"/>
      <c r="M86" s="363"/>
      <c r="N86" s="363"/>
      <c r="O86" s="145"/>
      <c r="P86" s="145"/>
      <c r="Q86" s="145"/>
      <c r="R86" s="212"/>
      <c r="V86" s="210"/>
    </row>
    <row r="87" outlineLevel="1">
      <c r="A87" s="146"/>
      <c r="B87" s="3420" t="s">
        <v>5910</v>
      </c>
      <c r="C87" s="146"/>
      <c r="D87" s="146"/>
      <c r="E87" s="467" t="s">
        <v>5918</v>
      </c>
      <c r="F87" s="193">
        <v>5.508</v>
      </c>
      <c r="G87" s="193">
        <v>4.6818</v>
      </c>
      <c r="H87" s="1360" t="s">
        <v>170</v>
      </c>
      <c r="I87" s="210"/>
      <c r="J87" s="146"/>
      <c r="K87" s="138"/>
      <c r="L87" s="282"/>
      <c r="M87" s="363"/>
      <c r="N87" s="363"/>
      <c r="O87" s="145"/>
      <c r="P87" s="145"/>
      <c r="Q87" s="145"/>
      <c r="R87" s="212"/>
      <c r="V87" s="210"/>
    </row>
    <row r="88" outlineLevel="1">
      <c r="A88" s="146"/>
      <c r="B88" s="3420" t="s">
        <v>5913</v>
      </c>
      <c r="C88" s="156"/>
      <c r="D88" s="156"/>
      <c r="E88" s="2208" t="s">
        <v>5919</v>
      </c>
      <c r="F88" s="2216">
        <v>3.2640000000000002</v>
      </c>
      <c r="G88" s="2216">
        <v>2.7744000000000004</v>
      </c>
      <c r="H88" s="1360" t="s">
        <v>170</v>
      </c>
      <c r="I88" s="210"/>
      <c r="J88" s="146"/>
      <c r="K88" s="138"/>
      <c r="L88" s="282"/>
      <c r="M88" s="363"/>
      <c r="N88" s="363"/>
      <c r="O88" s="145"/>
      <c r="P88" s="145"/>
      <c r="Q88" s="145"/>
      <c r="R88" s="212"/>
      <c r="V88" s="210"/>
    </row>
    <row r="89" outlineLevel="1">
      <c r="A89" s="156"/>
      <c r="B89" s="3420" t="s">
        <v>5909</v>
      </c>
      <c r="C89" s="3229" t="s">
        <v>818</v>
      </c>
      <c r="D89" s="3229" t="s">
        <v>119</v>
      </c>
      <c r="E89" s="3229" t="s">
        <v>5211</v>
      </c>
      <c r="F89" s="1935">
        <v>4.08</v>
      </c>
      <c r="G89" s="1935">
        <v>3.468</v>
      </c>
      <c r="H89" s="1360" t="s">
        <v>170</v>
      </c>
      <c r="I89" s="107"/>
      <c r="J89" s="156"/>
      <c r="K89" s="138">
        <v>363.0</v>
      </c>
      <c r="L89" s="282"/>
      <c r="M89" s="363"/>
      <c r="N89" s="363"/>
      <c r="O89" s="145">
        <v>0.0</v>
      </c>
      <c r="P89" s="145">
        <v>1.0</v>
      </c>
      <c r="Q89" s="145">
        <v>1.0</v>
      </c>
      <c r="R89" s="106"/>
      <c r="S89" s="168"/>
      <c r="T89" s="168"/>
      <c r="U89" s="168"/>
      <c r="V89" s="107"/>
    </row>
    <row r="90" outlineLevel="1">
      <c r="A90" s="188" t="s">
        <v>151</v>
      </c>
      <c r="B90" s="3420" t="s">
        <v>5901</v>
      </c>
      <c r="C90" s="3419" t="s">
        <v>518</v>
      </c>
      <c r="D90" s="3419" t="s">
        <v>271</v>
      </c>
      <c r="E90" s="401" t="s">
        <v>159</v>
      </c>
      <c r="F90" s="193">
        <v>12.6</v>
      </c>
      <c r="G90" s="193">
        <v>10.71</v>
      </c>
      <c r="H90" s="138" t="s">
        <v>147</v>
      </c>
      <c r="I90" s="455" t="s">
        <v>129</v>
      </c>
      <c r="J90" s="279" t="s">
        <v>2698</v>
      </c>
      <c r="K90" s="138">
        <v>45.0</v>
      </c>
      <c r="L90" s="282"/>
      <c r="M90" s="363"/>
      <c r="N90" s="363"/>
      <c r="O90" s="145">
        <v>0.0</v>
      </c>
      <c r="P90" s="145">
        <v>1.0</v>
      </c>
      <c r="Q90" s="145">
        <v>1.0</v>
      </c>
      <c r="R90" s="163" t="s">
        <v>5966</v>
      </c>
      <c r="S90" s="164"/>
      <c r="T90" s="164"/>
      <c r="U90" s="164"/>
      <c r="V90" s="104"/>
    </row>
    <row r="91" outlineLevel="1">
      <c r="A91" s="146"/>
      <c r="B91" s="3420" t="s">
        <v>5902</v>
      </c>
      <c r="C91" s="146"/>
      <c r="D91" s="146"/>
      <c r="E91" s="401" t="s">
        <v>5967</v>
      </c>
      <c r="F91" s="193">
        <v>13.860000000000001</v>
      </c>
      <c r="G91" s="193">
        <v>11.781</v>
      </c>
      <c r="H91" s="138" t="s">
        <v>75</v>
      </c>
      <c r="I91" s="210"/>
      <c r="J91" s="146"/>
      <c r="K91" s="138"/>
      <c r="L91" s="282"/>
      <c r="M91" s="363"/>
      <c r="N91" s="363"/>
      <c r="O91" s="145"/>
      <c r="P91" s="145"/>
      <c r="Q91" s="145"/>
      <c r="R91" s="212"/>
      <c r="V91" s="210"/>
    </row>
    <row r="92" outlineLevel="1">
      <c r="A92" s="146"/>
      <c r="B92" s="3420" t="s">
        <v>5905</v>
      </c>
      <c r="C92" s="146"/>
      <c r="D92" s="146"/>
      <c r="E92" s="401" t="s">
        <v>1481</v>
      </c>
      <c r="F92" s="193">
        <v>15.12</v>
      </c>
      <c r="G92" s="193">
        <v>12.852</v>
      </c>
      <c r="H92" s="138" t="s">
        <v>75</v>
      </c>
      <c r="I92" s="210"/>
      <c r="J92" s="146"/>
      <c r="K92" s="138"/>
      <c r="L92" s="282"/>
      <c r="M92" s="363"/>
      <c r="N92" s="363"/>
      <c r="O92" s="145"/>
      <c r="P92" s="145"/>
      <c r="Q92" s="145"/>
      <c r="R92" s="212"/>
      <c r="V92" s="210"/>
    </row>
    <row r="93" outlineLevel="1">
      <c r="A93" s="146"/>
      <c r="B93" s="3420" t="s">
        <v>5910</v>
      </c>
      <c r="C93" s="146"/>
      <c r="D93" s="146"/>
      <c r="E93" s="401" t="s">
        <v>5968</v>
      </c>
      <c r="F93" s="193">
        <v>17.01</v>
      </c>
      <c r="G93" s="193">
        <v>14.4585</v>
      </c>
      <c r="H93" s="138" t="s">
        <v>75</v>
      </c>
      <c r="I93" s="210"/>
      <c r="J93" s="146"/>
      <c r="K93" s="138"/>
      <c r="L93" s="282"/>
      <c r="M93" s="363"/>
      <c r="N93" s="363"/>
      <c r="O93" s="145"/>
      <c r="P93" s="145"/>
      <c r="Q93" s="145"/>
      <c r="R93" s="212"/>
      <c r="V93" s="210"/>
    </row>
    <row r="94" outlineLevel="1">
      <c r="A94" s="146"/>
      <c r="B94" s="3420" t="s">
        <v>5913</v>
      </c>
      <c r="C94" s="156"/>
      <c r="D94" s="146"/>
      <c r="E94" s="2215" t="s">
        <v>94</v>
      </c>
      <c r="F94" s="2216">
        <v>10.08</v>
      </c>
      <c r="G94" s="2216">
        <v>8.568000000000001</v>
      </c>
      <c r="H94" s="1940" t="s">
        <v>147</v>
      </c>
      <c r="I94" s="210"/>
      <c r="J94" s="146"/>
      <c r="K94" s="138"/>
      <c r="L94" s="282"/>
      <c r="M94" s="363"/>
      <c r="N94" s="363"/>
      <c r="O94" s="145"/>
      <c r="P94" s="145"/>
      <c r="Q94" s="145"/>
      <c r="R94" s="212"/>
      <c r="V94" s="210"/>
    </row>
    <row r="95" outlineLevel="1">
      <c r="A95" s="146"/>
      <c r="B95" s="3420" t="s">
        <v>5925</v>
      </c>
      <c r="C95" s="3421" t="s">
        <v>627</v>
      </c>
      <c r="D95" s="146"/>
      <c r="E95" s="401" t="s">
        <v>129</v>
      </c>
      <c r="F95" s="193">
        <v>14.399999999999999</v>
      </c>
      <c r="G95" s="193">
        <v>12.24</v>
      </c>
      <c r="H95" s="138" t="s">
        <v>75</v>
      </c>
      <c r="I95" s="210"/>
      <c r="J95" s="146"/>
      <c r="K95" s="138"/>
      <c r="L95" s="282"/>
      <c r="M95" s="363"/>
      <c r="N95" s="363"/>
      <c r="O95" s="145"/>
      <c r="P95" s="145"/>
      <c r="Q95" s="145"/>
      <c r="R95" s="212"/>
      <c r="V95" s="210"/>
    </row>
    <row r="96" outlineLevel="1">
      <c r="A96" s="146"/>
      <c r="B96" s="3420" t="s">
        <v>5926</v>
      </c>
      <c r="C96" s="210"/>
      <c r="D96" s="146"/>
      <c r="E96" s="401" t="s">
        <v>1830</v>
      </c>
      <c r="F96" s="193">
        <v>15.839999999999998</v>
      </c>
      <c r="G96" s="193">
        <v>13.463999999999999</v>
      </c>
      <c r="H96" s="138" t="s">
        <v>75</v>
      </c>
      <c r="I96" s="210"/>
      <c r="J96" s="146"/>
      <c r="K96" s="138"/>
      <c r="L96" s="282"/>
      <c r="M96" s="363"/>
      <c r="N96" s="363"/>
      <c r="O96" s="145"/>
      <c r="P96" s="145"/>
      <c r="Q96" s="145"/>
      <c r="R96" s="212"/>
      <c r="V96" s="210"/>
    </row>
    <row r="97" outlineLevel="1">
      <c r="A97" s="146"/>
      <c r="B97" s="3420" t="s">
        <v>5928</v>
      </c>
      <c r="C97" s="210"/>
      <c r="D97" s="146"/>
      <c r="E97" s="401" t="s">
        <v>132</v>
      </c>
      <c r="F97" s="193">
        <v>17.28</v>
      </c>
      <c r="G97" s="193">
        <v>14.688</v>
      </c>
      <c r="H97" s="138" t="s">
        <v>75</v>
      </c>
      <c r="I97" s="210"/>
      <c r="J97" s="146"/>
      <c r="K97" s="138"/>
      <c r="L97" s="282"/>
      <c r="M97" s="363"/>
      <c r="N97" s="363"/>
      <c r="O97" s="145"/>
      <c r="P97" s="145"/>
      <c r="Q97" s="145"/>
      <c r="R97" s="212"/>
      <c r="V97" s="210"/>
    </row>
    <row r="98" outlineLevel="1">
      <c r="A98" s="146"/>
      <c r="B98" s="3420" t="s">
        <v>5930</v>
      </c>
      <c r="C98" s="107"/>
      <c r="D98" s="146"/>
      <c r="E98" s="401" t="s">
        <v>5969</v>
      </c>
      <c r="F98" s="193">
        <v>19.439999999999998</v>
      </c>
      <c r="G98" s="193">
        <v>16.524</v>
      </c>
      <c r="H98" s="138" t="s">
        <v>102</v>
      </c>
      <c r="I98" s="210"/>
      <c r="J98" s="146"/>
      <c r="K98" s="138"/>
      <c r="L98" s="282"/>
      <c r="M98" s="363"/>
      <c r="N98" s="363"/>
      <c r="O98" s="145"/>
      <c r="P98" s="145"/>
      <c r="Q98" s="145"/>
      <c r="R98" s="212"/>
      <c r="V98" s="210"/>
    </row>
    <row r="99" outlineLevel="1">
      <c r="A99" s="146"/>
      <c r="B99" s="3420" t="s">
        <v>5970</v>
      </c>
      <c r="C99" s="3422" t="s">
        <v>223</v>
      </c>
      <c r="D99" s="156"/>
      <c r="E99" s="2215" t="s">
        <v>81</v>
      </c>
      <c r="F99" s="2216">
        <v>11.52</v>
      </c>
      <c r="G99" s="2216">
        <v>9.792</v>
      </c>
      <c r="H99" s="1940" t="s">
        <v>147</v>
      </c>
      <c r="I99" s="210"/>
      <c r="J99" s="156"/>
      <c r="K99" s="138"/>
      <c r="L99" s="282"/>
      <c r="M99" s="363"/>
      <c r="N99" s="363"/>
      <c r="O99" s="145"/>
      <c r="P99" s="145"/>
      <c r="Q99" s="145"/>
      <c r="R99" s="212"/>
      <c r="V99" s="210"/>
    </row>
    <row r="100" outlineLevel="1">
      <c r="A100" s="146"/>
      <c r="B100" s="3420" t="s">
        <v>5909</v>
      </c>
      <c r="C100" s="3229" t="s">
        <v>518</v>
      </c>
      <c r="D100" s="3423" t="s">
        <v>593</v>
      </c>
      <c r="E100" s="3424" t="s">
        <v>159</v>
      </c>
      <c r="F100" s="1935">
        <v>12.6</v>
      </c>
      <c r="G100" s="1935">
        <v>10.71</v>
      </c>
      <c r="H100" s="1936" t="s">
        <v>147</v>
      </c>
      <c r="I100" s="210"/>
      <c r="J100" s="279" t="s">
        <v>5971</v>
      </c>
      <c r="K100" s="138"/>
      <c r="L100" s="282"/>
      <c r="M100" s="363"/>
      <c r="N100" s="363"/>
      <c r="O100" s="145"/>
      <c r="P100" s="145"/>
      <c r="Q100" s="145"/>
      <c r="R100" s="212"/>
      <c r="V100" s="210"/>
    </row>
    <row r="101" outlineLevel="1">
      <c r="A101" s="156"/>
      <c r="B101" s="3420" t="s">
        <v>5934</v>
      </c>
      <c r="C101" s="3229" t="s">
        <v>627</v>
      </c>
      <c r="D101" s="107"/>
      <c r="E101" s="3424" t="s">
        <v>129</v>
      </c>
      <c r="F101" s="1935">
        <v>14.399999999999999</v>
      </c>
      <c r="G101" s="1935">
        <v>12.24</v>
      </c>
      <c r="H101" s="1936" t="s">
        <v>75</v>
      </c>
      <c r="I101" s="107"/>
      <c r="J101" s="156"/>
      <c r="K101" s="138">
        <v>365.0</v>
      </c>
      <c r="L101" s="282"/>
      <c r="M101" s="363"/>
      <c r="N101" s="363"/>
      <c r="O101" s="145">
        <v>0.0</v>
      </c>
      <c r="P101" s="145">
        <v>1.0</v>
      </c>
      <c r="Q101" s="145">
        <v>1.0</v>
      </c>
      <c r="R101" s="106"/>
      <c r="S101" s="168"/>
      <c r="T101" s="168"/>
      <c r="U101" s="168"/>
      <c r="V101" s="107"/>
    </row>
    <row r="102" outlineLevel="1">
      <c r="A102" s="188" t="s">
        <v>157</v>
      </c>
      <c r="B102" s="3420" t="s">
        <v>5901</v>
      </c>
      <c r="C102" s="3419" t="s">
        <v>373</v>
      </c>
      <c r="D102" s="3419" t="s">
        <v>111</v>
      </c>
      <c r="E102" s="401" t="s">
        <v>3348</v>
      </c>
      <c r="F102" s="193">
        <v>13.799999999999999</v>
      </c>
      <c r="G102" s="193">
        <v>11.73</v>
      </c>
      <c r="H102" s="138" t="s">
        <v>75</v>
      </c>
      <c r="I102" s="455" t="s">
        <v>129</v>
      </c>
      <c r="J102" s="279" t="s">
        <v>2588</v>
      </c>
      <c r="K102" s="138">
        <v>57.0</v>
      </c>
      <c r="L102" s="282"/>
      <c r="M102" s="363"/>
      <c r="N102" s="363"/>
      <c r="O102" s="145">
        <v>0.0</v>
      </c>
      <c r="P102" s="145">
        <v>1.0</v>
      </c>
      <c r="Q102" s="145">
        <v>1.0</v>
      </c>
      <c r="R102" s="163" t="s">
        <v>5966</v>
      </c>
      <c r="S102" s="164"/>
      <c r="T102" s="164"/>
      <c r="U102" s="164"/>
      <c r="V102" s="104"/>
    </row>
    <row r="103" outlineLevel="1">
      <c r="A103" s="146"/>
      <c r="B103" s="3420" t="s">
        <v>5902</v>
      </c>
      <c r="C103" s="146"/>
      <c r="D103" s="146"/>
      <c r="E103" s="401" t="s">
        <v>5972</v>
      </c>
      <c r="F103" s="193">
        <v>15.18</v>
      </c>
      <c r="G103" s="193">
        <v>12.903</v>
      </c>
      <c r="H103" s="138" t="s">
        <v>75</v>
      </c>
      <c r="I103" s="210"/>
      <c r="J103" s="146"/>
      <c r="K103" s="138"/>
      <c r="L103" s="282"/>
      <c r="M103" s="363"/>
      <c r="N103" s="363"/>
      <c r="O103" s="145"/>
      <c r="P103" s="145"/>
      <c r="Q103" s="145"/>
      <c r="R103" s="212"/>
      <c r="V103" s="210"/>
    </row>
    <row r="104" outlineLevel="1">
      <c r="A104" s="146"/>
      <c r="B104" s="3420" t="s">
        <v>5905</v>
      </c>
      <c r="C104" s="146"/>
      <c r="D104" s="146"/>
      <c r="E104" s="401" t="s">
        <v>5973</v>
      </c>
      <c r="F104" s="193">
        <v>16.56</v>
      </c>
      <c r="G104" s="193">
        <v>14.076</v>
      </c>
      <c r="H104" s="138" t="s">
        <v>75</v>
      </c>
      <c r="I104" s="210"/>
      <c r="J104" s="146"/>
      <c r="K104" s="138"/>
      <c r="L104" s="282"/>
      <c r="M104" s="363"/>
      <c r="N104" s="363"/>
      <c r="O104" s="145"/>
      <c r="P104" s="145"/>
      <c r="Q104" s="145"/>
      <c r="R104" s="212"/>
      <c r="V104" s="210"/>
    </row>
    <row r="105" outlineLevel="1">
      <c r="A105" s="146"/>
      <c r="B105" s="3420" t="s">
        <v>5910</v>
      </c>
      <c r="C105" s="146"/>
      <c r="D105" s="146"/>
      <c r="E105" s="401" t="s">
        <v>5974</v>
      </c>
      <c r="F105" s="193">
        <v>18.63</v>
      </c>
      <c r="G105" s="193">
        <v>15.835500000000001</v>
      </c>
      <c r="H105" s="138" t="s">
        <v>102</v>
      </c>
      <c r="I105" s="210"/>
      <c r="J105" s="146"/>
      <c r="K105" s="138"/>
      <c r="L105" s="282"/>
      <c r="M105" s="363"/>
      <c r="N105" s="363"/>
      <c r="O105" s="145"/>
      <c r="P105" s="145"/>
      <c r="Q105" s="145"/>
      <c r="R105" s="212"/>
      <c r="V105" s="210"/>
    </row>
    <row r="106" outlineLevel="1">
      <c r="A106" s="146"/>
      <c r="B106" s="3420" t="s">
        <v>5913</v>
      </c>
      <c r="C106" s="156"/>
      <c r="D106" s="146"/>
      <c r="E106" s="2215" t="s">
        <v>5975</v>
      </c>
      <c r="F106" s="2216">
        <v>11.04</v>
      </c>
      <c r="G106" s="2216">
        <v>9.383999999999999</v>
      </c>
      <c r="H106" s="1940" t="s">
        <v>147</v>
      </c>
      <c r="I106" s="210"/>
      <c r="J106" s="146"/>
      <c r="K106" s="138"/>
      <c r="L106" s="282"/>
      <c r="M106" s="363"/>
      <c r="N106" s="363"/>
      <c r="O106" s="145"/>
      <c r="P106" s="145"/>
      <c r="Q106" s="145"/>
      <c r="R106" s="212"/>
      <c r="V106" s="210"/>
    </row>
    <row r="107" outlineLevel="1">
      <c r="A107" s="146"/>
      <c r="B107" s="3420" t="s">
        <v>5925</v>
      </c>
      <c r="C107" s="3421" t="s">
        <v>325</v>
      </c>
      <c r="D107" s="146"/>
      <c r="E107" s="401" t="s">
        <v>228</v>
      </c>
      <c r="F107" s="193">
        <v>15.6</v>
      </c>
      <c r="G107" s="193">
        <v>13.26</v>
      </c>
      <c r="H107" s="138" t="s">
        <v>75</v>
      </c>
      <c r="I107" s="210"/>
      <c r="J107" s="146"/>
      <c r="K107" s="138"/>
      <c r="L107" s="282"/>
      <c r="M107" s="363"/>
      <c r="N107" s="363"/>
      <c r="O107" s="145"/>
      <c r="P107" s="145"/>
      <c r="Q107" s="145"/>
      <c r="R107" s="212"/>
      <c r="V107" s="210"/>
    </row>
    <row r="108" outlineLevel="1">
      <c r="A108" s="146"/>
      <c r="B108" s="3420" t="s">
        <v>5926</v>
      </c>
      <c r="C108" s="210"/>
      <c r="D108" s="146"/>
      <c r="E108" s="401" t="s">
        <v>5976</v>
      </c>
      <c r="F108" s="193">
        <v>17.16</v>
      </c>
      <c r="G108" s="193">
        <v>14.586</v>
      </c>
      <c r="H108" s="138" t="s">
        <v>75</v>
      </c>
      <c r="I108" s="210"/>
      <c r="J108" s="146"/>
      <c r="K108" s="138"/>
      <c r="L108" s="282"/>
      <c r="M108" s="363"/>
      <c r="N108" s="363"/>
      <c r="O108" s="145"/>
      <c r="P108" s="145"/>
      <c r="Q108" s="145"/>
      <c r="R108" s="212"/>
      <c r="V108" s="210"/>
    </row>
    <row r="109" outlineLevel="1">
      <c r="A109" s="146"/>
      <c r="B109" s="3420" t="s">
        <v>5928</v>
      </c>
      <c r="C109" s="210"/>
      <c r="D109" s="146"/>
      <c r="E109" s="401" t="s">
        <v>5977</v>
      </c>
      <c r="F109" s="193">
        <v>18.72</v>
      </c>
      <c r="G109" s="193">
        <v>15.911999999999999</v>
      </c>
      <c r="H109" s="138" t="s">
        <v>102</v>
      </c>
      <c r="I109" s="210"/>
      <c r="J109" s="146"/>
      <c r="K109" s="138"/>
      <c r="L109" s="282"/>
      <c r="M109" s="363"/>
      <c r="N109" s="363"/>
      <c r="O109" s="145"/>
      <c r="P109" s="145"/>
      <c r="Q109" s="145"/>
      <c r="R109" s="212"/>
      <c r="V109" s="210"/>
    </row>
    <row r="110" outlineLevel="1">
      <c r="A110" s="146"/>
      <c r="B110" s="3420" t="s">
        <v>5978</v>
      </c>
      <c r="C110" s="210"/>
      <c r="D110" s="146"/>
      <c r="E110" s="401" t="s">
        <v>5979</v>
      </c>
      <c r="F110" s="193">
        <v>21.06</v>
      </c>
      <c r="G110" s="193">
        <v>17.901</v>
      </c>
      <c r="H110" s="138" t="s">
        <v>102</v>
      </c>
      <c r="I110" s="210"/>
      <c r="J110" s="146"/>
      <c r="K110" s="138"/>
      <c r="L110" s="282"/>
      <c r="M110" s="363"/>
      <c r="N110" s="363"/>
      <c r="O110" s="145"/>
      <c r="P110" s="145"/>
      <c r="Q110" s="145"/>
      <c r="R110" s="212"/>
      <c r="V110" s="210"/>
    </row>
    <row r="111" outlineLevel="1">
      <c r="A111" s="146"/>
      <c r="B111" s="3420" t="s">
        <v>5970</v>
      </c>
      <c r="C111" s="107"/>
      <c r="D111" s="156"/>
      <c r="E111" s="2215" t="s">
        <v>3016</v>
      </c>
      <c r="F111" s="2216">
        <v>12.48</v>
      </c>
      <c r="G111" s="2216">
        <v>10.608</v>
      </c>
      <c r="H111" s="1940" t="s">
        <v>147</v>
      </c>
      <c r="I111" s="210"/>
      <c r="J111" s="156"/>
      <c r="K111" s="138"/>
      <c r="L111" s="282"/>
      <c r="M111" s="363"/>
      <c r="N111" s="363"/>
      <c r="O111" s="145"/>
      <c r="P111" s="145"/>
      <c r="Q111" s="145"/>
      <c r="R111" s="212"/>
      <c r="V111" s="210"/>
    </row>
    <row r="112" outlineLevel="1">
      <c r="A112" s="146"/>
      <c r="B112" s="3420" t="s">
        <v>5909</v>
      </c>
      <c r="C112" s="3229" t="s">
        <v>373</v>
      </c>
      <c r="D112" s="3423" t="s">
        <v>384</v>
      </c>
      <c r="E112" s="3424" t="s">
        <v>3348</v>
      </c>
      <c r="F112" s="1935">
        <v>13.799999999999999</v>
      </c>
      <c r="G112" s="1935">
        <v>11.73</v>
      </c>
      <c r="H112" s="1936" t="s">
        <v>75</v>
      </c>
      <c r="I112" s="210"/>
      <c r="J112" s="279" t="s">
        <v>5980</v>
      </c>
      <c r="K112" s="138"/>
      <c r="L112" s="282"/>
      <c r="M112" s="363"/>
      <c r="N112" s="363"/>
      <c r="O112" s="145"/>
      <c r="P112" s="145"/>
      <c r="Q112" s="145"/>
      <c r="R112" s="212"/>
      <c r="V112" s="210"/>
    </row>
    <row r="113" outlineLevel="1">
      <c r="A113" s="156"/>
      <c r="B113" s="3420" t="s">
        <v>5934</v>
      </c>
      <c r="C113" s="3229" t="s">
        <v>325</v>
      </c>
      <c r="D113" s="107"/>
      <c r="E113" s="3424" t="s">
        <v>228</v>
      </c>
      <c r="F113" s="1935">
        <v>15.6</v>
      </c>
      <c r="G113" s="1935">
        <v>13.26</v>
      </c>
      <c r="H113" s="1936" t="s">
        <v>75</v>
      </c>
      <c r="I113" s="107"/>
      <c r="J113" s="156"/>
      <c r="K113" s="138">
        <v>241.0</v>
      </c>
      <c r="L113" s="282"/>
      <c r="M113" s="363"/>
      <c r="N113" s="363"/>
      <c r="O113" s="145">
        <v>0.0</v>
      </c>
      <c r="P113" s="145">
        <v>1.0</v>
      </c>
      <c r="Q113" s="145">
        <v>1.0</v>
      </c>
      <c r="R113" s="106"/>
      <c r="S113" s="168"/>
      <c r="T113" s="168"/>
      <c r="U113" s="168"/>
      <c r="V113" s="107"/>
    </row>
    <row r="114" outlineLevel="1">
      <c r="A114" s="188" t="s">
        <v>162</v>
      </c>
      <c r="B114" s="3420" t="s">
        <v>5901</v>
      </c>
      <c r="C114" s="3419" t="s">
        <v>5652</v>
      </c>
      <c r="D114" s="3419" t="s">
        <v>228</v>
      </c>
      <c r="E114" s="401" t="s">
        <v>2134</v>
      </c>
      <c r="F114" s="193">
        <v>7.8</v>
      </c>
      <c r="G114" s="193">
        <v>6.63</v>
      </c>
      <c r="H114" s="138" t="s">
        <v>60</v>
      </c>
      <c r="I114" s="455" t="s">
        <v>128</v>
      </c>
      <c r="J114" s="279" t="s">
        <v>5981</v>
      </c>
      <c r="K114" s="282"/>
      <c r="L114" s="282"/>
      <c r="M114" s="363"/>
      <c r="N114" s="363"/>
      <c r="O114" s="145">
        <v>0.0</v>
      </c>
      <c r="P114" s="145">
        <v>1.0</v>
      </c>
      <c r="Q114" s="145">
        <v>1.0</v>
      </c>
      <c r="R114" s="163" t="s">
        <v>5982</v>
      </c>
      <c r="S114" s="164"/>
      <c r="T114" s="164"/>
      <c r="U114" s="164"/>
      <c r="V114" s="104"/>
    </row>
    <row r="115" outlineLevel="1">
      <c r="A115" s="146"/>
      <c r="B115" s="3420" t="s">
        <v>5902</v>
      </c>
      <c r="C115" s="146"/>
      <c r="D115" s="146"/>
      <c r="E115" s="401" t="s">
        <v>5936</v>
      </c>
      <c r="F115" s="193">
        <v>8.58</v>
      </c>
      <c r="G115" s="193">
        <v>7.293</v>
      </c>
      <c r="H115" s="138" t="s">
        <v>60</v>
      </c>
      <c r="I115" s="210"/>
      <c r="J115" s="146"/>
      <c r="K115" s="282"/>
      <c r="L115" s="282"/>
      <c r="M115" s="363"/>
      <c r="N115" s="363"/>
      <c r="O115" s="145"/>
      <c r="P115" s="145"/>
      <c r="Q115" s="145"/>
      <c r="R115" s="212"/>
      <c r="V115" s="210"/>
    </row>
    <row r="116" outlineLevel="1">
      <c r="A116" s="146"/>
      <c r="B116" s="3420" t="s">
        <v>5905</v>
      </c>
      <c r="C116" s="146"/>
      <c r="D116" s="146"/>
      <c r="E116" s="401" t="s">
        <v>4024</v>
      </c>
      <c r="F116" s="193">
        <v>9.36</v>
      </c>
      <c r="G116" s="193">
        <v>7.9559999999999995</v>
      </c>
      <c r="H116" s="138" t="s">
        <v>147</v>
      </c>
      <c r="I116" s="210"/>
      <c r="J116" s="146"/>
      <c r="K116" s="282"/>
      <c r="L116" s="282"/>
      <c r="M116" s="363"/>
      <c r="N116" s="363"/>
      <c r="O116" s="145"/>
      <c r="P116" s="145"/>
      <c r="Q116" s="145"/>
      <c r="R116" s="212"/>
      <c r="V116" s="210"/>
    </row>
    <row r="117" outlineLevel="1">
      <c r="A117" s="146"/>
      <c r="B117" s="3420" t="s">
        <v>5910</v>
      </c>
      <c r="C117" s="146"/>
      <c r="D117" s="146"/>
      <c r="E117" s="401" t="s">
        <v>5937</v>
      </c>
      <c r="F117" s="193">
        <v>10.53</v>
      </c>
      <c r="G117" s="193">
        <v>8.9505</v>
      </c>
      <c r="H117" s="138" t="s">
        <v>147</v>
      </c>
      <c r="I117" s="210"/>
      <c r="J117" s="146"/>
      <c r="K117" s="282"/>
      <c r="L117" s="282"/>
      <c r="M117" s="363"/>
      <c r="N117" s="363"/>
      <c r="O117" s="145"/>
      <c r="P117" s="145"/>
      <c r="Q117" s="145"/>
      <c r="R117" s="212"/>
      <c r="V117" s="210"/>
    </row>
    <row r="118" outlineLevel="1">
      <c r="A118" s="146"/>
      <c r="B118" s="3420" t="s">
        <v>5913</v>
      </c>
      <c r="C118" s="156"/>
      <c r="D118" s="156"/>
      <c r="E118" s="2215" t="s">
        <v>3014</v>
      </c>
      <c r="F118" s="2216">
        <v>6.24</v>
      </c>
      <c r="G118" s="2216">
        <v>5.304</v>
      </c>
      <c r="H118" s="1940" t="s">
        <v>60</v>
      </c>
      <c r="I118" s="210"/>
      <c r="J118" s="156"/>
      <c r="K118" s="282"/>
      <c r="L118" s="282"/>
      <c r="M118" s="363"/>
      <c r="N118" s="363"/>
      <c r="O118" s="145"/>
      <c r="P118" s="145"/>
      <c r="Q118" s="145"/>
      <c r="R118" s="212"/>
      <c r="V118" s="210"/>
    </row>
    <row r="119" outlineLevel="1">
      <c r="A119" s="156"/>
      <c r="B119" s="3420" t="s">
        <v>5909</v>
      </c>
      <c r="C119" s="3229" t="s">
        <v>5652</v>
      </c>
      <c r="D119" s="3229" t="s">
        <v>232</v>
      </c>
      <c r="E119" s="3424" t="s">
        <v>2134</v>
      </c>
      <c r="F119" s="1935">
        <v>7.8</v>
      </c>
      <c r="G119" s="1935">
        <v>6.63</v>
      </c>
      <c r="H119" s="1936" t="s">
        <v>60</v>
      </c>
      <c r="I119" s="107"/>
      <c r="J119" s="113" t="s">
        <v>5983</v>
      </c>
      <c r="K119" s="282"/>
      <c r="L119" s="282"/>
      <c r="M119" s="363"/>
      <c r="N119" s="363"/>
      <c r="O119" s="145">
        <v>0.0</v>
      </c>
      <c r="P119" s="145">
        <v>1.0</v>
      </c>
      <c r="Q119" s="145">
        <v>1.0</v>
      </c>
      <c r="R119" s="106"/>
      <c r="S119" s="168"/>
      <c r="T119" s="168"/>
      <c r="U119" s="168"/>
      <c r="V119" s="107"/>
    </row>
    <row r="120" ht="25.5" customHeight="1" outlineLevel="1">
      <c r="A120" s="188" t="s">
        <v>166</v>
      </c>
      <c r="B120" s="373"/>
      <c r="C120" s="239" t="s">
        <v>2403</v>
      </c>
      <c r="D120" s="367" t="s">
        <v>462</v>
      </c>
      <c r="E120" s="239" t="s">
        <v>466</v>
      </c>
      <c r="F120" s="138">
        <v>21.599999999999998</v>
      </c>
      <c r="G120" s="138">
        <v>18.36</v>
      </c>
      <c r="H120" s="138" t="s">
        <v>102</v>
      </c>
      <c r="I120" s="455" t="s">
        <v>466</v>
      </c>
      <c r="J120" s="279" t="s">
        <v>5984</v>
      </c>
      <c r="K120" s="282"/>
      <c r="L120" s="282"/>
      <c r="M120" s="363"/>
      <c r="N120" s="363"/>
      <c r="O120" s="145">
        <v>0.0</v>
      </c>
      <c r="P120" s="145">
        <v>1.0</v>
      </c>
      <c r="Q120" s="145">
        <v>1.0</v>
      </c>
      <c r="R120" s="163" t="s">
        <v>5985</v>
      </c>
      <c r="S120" s="164"/>
      <c r="T120" s="164"/>
      <c r="U120" s="164"/>
      <c r="V120" s="104"/>
    </row>
    <row r="121" ht="25.5" customHeight="1" outlineLevel="1">
      <c r="A121" s="146"/>
      <c r="B121" s="373" t="s">
        <v>5986</v>
      </c>
      <c r="C121" s="239" t="s">
        <v>5987</v>
      </c>
      <c r="D121" s="146"/>
      <c r="E121" s="239" t="s">
        <v>128</v>
      </c>
      <c r="F121" s="138">
        <v>12.0</v>
      </c>
      <c r="G121" s="138">
        <v>10.2</v>
      </c>
      <c r="H121" s="138" t="s">
        <v>147</v>
      </c>
      <c r="I121" s="210"/>
      <c r="J121" s="146"/>
      <c r="K121" s="282"/>
      <c r="L121" s="282"/>
      <c r="M121" s="363"/>
      <c r="N121" s="363"/>
      <c r="O121" s="145"/>
      <c r="P121" s="145"/>
      <c r="Q121" s="145"/>
      <c r="R121" s="212"/>
      <c r="V121" s="210"/>
    </row>
    <row r="122" ht="25.5" customHeight="1" outlineLevel="1">
      <c r="A122" s="146"/>
      <c r="B122" s="373" t="s">
        <v>664</v>
      </c>
      <c r="C122" s="239" t="s">
        <v>175</v>
      </c>
      <c r="D122" s="156"/>
      <c r="E122" s="239" t="s">
        <v>80</v>
      </c>
      <c r="F122" s="138">
        <v>9.6</v>
      </c>
      <c r="G122" s="138">
        <v>8.16</v>
      </c>
      <c r="H122" s="138" t="s">
        <v>60</v>
      </c>
      <c r="I122" s="210"/>
      <c r="J122" s="146"/>
      <c r="K122" s="282"/>
      <c r="L122" s="282"/>
      <c r="M122" s="363"/>
      <c r="N122" s="363"/>
      <c r="O122" s="145"/>
      <c r="P122" s="145"/>
      <c r="Q122" s="145"/>
      <c r="R122" s="212"/>
      <c r="V122" s="210"/>
    </row>
    <row r="123" ht="25.5" customHeight="1" outlineLevel="1">
      <c r="A123" s="156"/>
      <c r="B123" s="373" t="s">
        <v>666</v>
      </c>
      <c r="C123" s="281"/>
      <c r="D123" s="113" t="s">
        <v>296</v>
      </c>
      <c r="E123" s="281"/>
      <c r="F123" s="281"/>
      <c r="G123" s="281"/>
      <c r="H123" s="281"/>
      <c r="I123" s="107"/>
      <c r="J123" s="156"/>
      <c r="K123" s="282"/>
      <c r="L123" s="282"/>
      <c r="M123" s="363"/>
      <c r="N123" s="363"/>
      <c r="O123" s="145">
        <v>0.0</v>
      </c>
      <c r="P123" s="145">
        <v>1.0</v>
      </c>
      <c r="Q123" s="145">
        <v>1.0</v>
      </c>
      <c r="R123" s="106"/>
      <c r="S123" s="168"/>
      <c r="T123" s="168"/>
      <c r="U123" s="168"/>
      <c r="V123" s="107"/>
    </row>
    <row r="124">
      <c r="A124" s="223"/>
      <c r="B124" s="224"/>
      <c r="C124" s="225"/>
      <c r="D124" s="225"/>
      <c r="E124" s="226"/>
      <c r="F124" s="226"/>
      <c r="G124" s="226"/>
      <c r="H124" s="227"/>
      <c r="I124" s="227"/>
      <c r="J124" s="228"/>
      <c r="K124" s="228"/>
      <c r="L124" s="228"/>
      <c r="M124" s="228"/>
      <c r="N124" s="228"/>
      <c r="O124" s="228"/>
      <c r="P124" s="228"/>
      <c r="Q124" s="118"/>
      <c r="R124" s="118"/>
      <c r="S124" s="118"/>
      <c r="T124" s="118"/>
      <c r="U124" s="118"/>
      <c r="V124" s="118"/>
    </row>
    <row r="125">
      <c r="A125" s="229" t="s">
        <v>177</v>
      </c>
      <c r="B125" s="109"/>
      <c r="C125" s="225"/>
      <c r="D125" s="225"/>
      <c r="E125" s="226"/>
      <c r="F125" s="226"/>
      <c r="G125" s="226"/>
      <c r="H125" s="227"/>
      <c r="I125" s="227"/>
      <c r="J125" s="228"/>
      <c r="K125" s="228"/>
      <c r="L125" s="228"/>
      <c r="M125" s="228"/>
      <c r="N125" s="228"/>
      <c r="O125" s="228"/>
      <c r="P125" s="228"/>
      <c r="Q125" s="118"/>
      <c r="R125" s="118"/>
      <c r="S125" s="118"/>
      <c r="T125" s="118"/>
      <c r="U125" s="118"/>
      <c r="V125" s="118"/>
    </row>
    <row r="126" outlineLevel="1">
      <c r="A126" s="230" t="s">
        <v>5988</v>
      </c>
      <c r="B126" s="109"/>
      <c r="C126" s="231" t="s">
        <v>48</v>
      </c>
      <c r="D126" s="231" t="s">
        <v>49</v>
      </c>
      <c r="E126" s="232" t="s">
        <v>50</v>
      </c>
      <c r="F126" s="233" t="s">
        <v>51</v>
      </c>
      <c r="G126" s="232" t="s">
        <v>52</v>
      </c>
      <c r="H126" s="382" t="s">
        <v>53</v>
      </c>
      <c r="I126" s="110"/>
      <c r="J126" s="109"/>
      <c r="K126" s="235" t="s">
        <v>137</v>
      </c>
      <c r="L126" s="235" t="s">
        <v>138</v>
      </c>
      <c r="M126" s="235" t="s">
        <v>139</v>
      </c>
      <c r="N126" s="235" t="s">
        <v>140</v>
      </c>
      <c r="O126" s="236" t="s">
        <v>141</v>
      </c>
      <c r="P126" s="235" t="s">
        <v>142</v>
      </c>
      <c r="Q126" s="236" t="s">
        <v>143</v>
      </c>
      <c r="R126" s="235" t="s">
        <v>179</v>
      </c>
      <c r="S126" s="236" t="s">
        <v>180</v>
      </c>
      <c r="T126" s="236" t="s">
        <v>181</v>
      </c>
      <c r="U126" s="236" t="s">
        <v>182</v>
      </c>
      <c r="V126" s="3198" t="s">
        <v>183</v>
      </c>
    </row>
    <row r="127" outlineLevel="1">
      <c r="A127" s="3425"/>
      <c r="B127" s="733" t="s">
        <v>5989</v>
      </c>
      <c r="C127" s="783"/>
      <c r="D127" s="3426" t="s">
        <v>274</v>
      </c>
      <c r="E127" s="783"/>
      <c r="F127" s="907"/>
      <c r="G127" s="3427"/>
      <c r="H127" s="3428" t="s">
        <v>5990</v>
      </c>
      <c r="I127" s="164"/>
      <c r="J127" s="104"/>
      <c r="K127" s="3429"/>
      <c r="L127" s="3429"/>
      <c r="M127" s="3430"/>
      <c r="N127" s="3430"/>
      <c r="O127" s="1489"/>
      <c r="P127" s="1489"/>
      <c r="Q127" s="1489"/>
      <c r="R127" s="1489" t="b">
        <v>0</v>
      </c>
      <c r="S127" s="1489" t="b">
        <v>0</v>
      </c>
      <c r="T127" s="1489" t="b">
        <v>0</v>
      </c>
      <c r="U127" s="3431" t="b">
        <v>0</v>
      </c>
      <c r="V127" s="3431" t="b">
        <v>0</v>
      </c>
    </row>
    <row r="128" outlineLevel="1">
      <c r="A128" s="237" t="s">
        <v>5991</v>
      </c>
      <c r="B128" s="243" t="s">
        <v>5901</v>
      </c>
      <c r="C128" s="239" t="s">
        <v>5992</v>
      </c>
      <c r="D128" s="281"/>
      <c r="E128" s="541"/>
      <c r="F128" s="3334"/>
      <c r="G128" s="281"/>
      <c r="H128" s="212"/>
      <c r="J128" s="210"/>
      <c r="K128" s="282"/>
      <c r="L128" s="282"/>
      <c r="M128" s="363"/>
      <c r="N128" s="363"/>
      <c r="O128" s="145"/>
      <c r="P128" s="145"/>
      <c r="Q128" s="145"/>
      <c r="R128" s="145" t="b">
        <v>0</v>
      </c>
      <c r="S128" s="145" t="b">
        <v>0</v>
      </c>
      <c r="T128" s="145" t="b">
        <v>0</v>
      </c>
      <c r="U128" s="146"/>
      <c r="V128" s="146"/>
    </row>
    <row r="129" outlineLevel="1">
      <c r="A129" s="146"/>
      <c r="B129" s="243" t="s">
        <v>5902</v>
      </c>
      <c r="C129" s="239" t="s">
        <v>5992</v>
      </c>
      <c r="D129" s="281"/>
      <c r="E129" s="541"/>
      <c r="F129" s="3334"/>
      <c r="G129" s="281"/>
      <c r="H129" s="212"/>
      <c r="J129" s="210"/>
      <c r="K129" s="282"/>
      <c r="L129" s="282"/>
      <c r="M129" s="363"/>
      <c r="N129" s="363"/>
      <c r="O129" s="145"/>
      <c r="P129" s="145"/>
      <c r="Q129" s="145"/>
      <c r="R129" s="145" t="b">
        <v>0</v>
      </c>
      <c r="S129" s="145" t="b">
        <v>0</v>
      </c>
      <c r="T129" s="145" t="b">
        <v>0</v>
      </c>
      <c r="U129" s="146"/>
      <c r="V129" s="146"/>
    </row>
    <row r="130" outlineLevel="1">
      <c r="A130" s="146"/>
      <c r="B130" s="243" t="s">
        <v>5905</v>
      </c>
      <c r="C130" s="239" t="s">
        <v>5993</v>
      </c>
      <c r="D130" s="281"/>
      <c r="E130" s="541"/>
      <c r="F130" s="3334"/>
      <c r="G130" s="281"/>
      <c r="H130" s="212"/>
      <c r="J130" s="210"/>
      <c r="K130" s="282"/>
      <c r="L130" s="282"/>
      <c r="M130" s="363"/>
      <c r="N130" s="363"/>
      <c r="O130" s="145"/>
      <c r="P130" s="145"/>
      <c r="Q130" s="145"/>
      <c r="R130" s="145" t="b">
        <v>0</v>
      </c>
      <c r="S130" s="145" t="b">
        <v>0</v>
      </c>
      <c r="T130" s="145" t="b">
        <v>0</v>
      </c>
      <c r="U130" s="146"/>
      <c r="V130" s="146"/>
    </row>
    <row r="131" outlineLevel="1">
      <c r="A131" s="146"/>
      <c r="B131" s="243" t="s">
        <v>5909</v>
      </c>
      <c r="C131" s="239" t="s">
        <v>5994</v>
      </c>
      <c r="D131" s="281"/>
      <c r="E131" s="541"/>
      <c r="F131" s="3334"/>
      <c r="G131" s="281"/>
      <c r="H131" s="212"/>
      <c r="J131" s="210"/>
      <c r="K131" s="282"/>
      <c r="L131" s="282"/>
      <c r="M131" s="363"/>
      <c r="N131" s="363"/>
      <c r="O131" s="145"/>
      <c r="P131" s="145"/>
      <c r="Q131" s="145"/>
      <c r="R131" s="145" t="b">
        <v>0</v>
      </c>
      <c r="S131" s="145" t="b">
        <v>0</v>
      </c>
      <c r="T131" s="145" t="b">
        <v>0</v>
      </c>
      <c r="U131" s="146"/>
      <c r="V131" s="146"/>
    </row>
    <row r="132" outlineLevel="1">
      <c r="A132" s="146"/>
      <c r="B132" s="243" t="s">
        <v>5910</v>
      </c>
      <c r="C132" s="239" t="s">
        <v>5993</v>
      </c>
      <c r="D132" s="281"/>
      <c r="E132" s="541"/>
      <c r="F132" s="3334"/>
      <c r="G132" s="281"/>
      <c r="H132" s="212"/>
      <c r="J132" s="210"/>
      <c r="K132" s="282"/>
      <c r="L132" s="282"/>
      <c r="M132" s="363"/>
      <c r="N132" s="363"/>
      <c r="O132" s="145"/>
      <c r="P132" s="145"/>
      <c r="Q132" s="145"/>
      <c r="R132" s="145" t="b">
        <v>0</v>
      </c>
      <c r="S132" s="145" t="b">
        <v>0</v>
      </c>
      <c r="T132" s="145" t="b">
        <v>0</v>
      </c>
      <c r="U132" s="146"/>
      <c r="V132" s="146"/>
    </row>
    <row r="133" outlineLevel="1">
      <c r="A133" s="156"/>
      <c r="B133" s="243" t="s">
        <v>5913</v>
      </c>
      <c r="C133" s="239" t="s">
        <v>5995</v>
      </c>
      <c r="D133" s="281"/>
      <c r="E133" s="541"/>
      <c r="F133" s="3334"/>
      <c r="G133" s="281"/>
      <c r="H133" s="212"/>
      <c r="J133" s="210"/>
      <c r="K133" s="282"/>
      <c r="L133" s="282"/>
      <c r="M133" s="363"/>
      <c r="N133" s="363"/>
      <c r="O133" s="145"/>
      <c r="P133" s="145"/>
      <c r="Q133" s="145"/>
      <c r="R133" s="145" t="b">
        <v>0</v>
      </c>
      <c r="S133" s="145" t="b">
        <v>0</v>
      </c>
      <c r="T133" s="145" t="b">
        <v>0</v>
      </c>
      <c r="U133" s="146"/>
      <c r="V133" s="146"/>
    </row>
    <row r="134" outlineLevel="1">
      <c r="A134" s="237" t="s">
        <v>5996</v>
      </c>
      <c r="B134" s="243" t="s">
        <v>5901</v>
      </c>
      <c r="C134" s="239" t="s">
        <v>5997</v>
      </c>
      <c r="D134" s="281"/>
      <c r="E134" s="541"/>
      <c r="F134" s="3334"/>
      <c r="G134" s="541"/>
      <c r="H134" s="212"/>
      <c r="J134" s="210"/>
      <c r="K134" s="282"/>
      <c r="L134" s="282"/>
      <c r="M134" s="363"/>
      <c r="N134" s="363"/>
      <c r="O134" s="145"/>
      <c r="P134" s="145"/>
      <c r="Q134" s="145"/>
      <c r="R134" s="145" t="b">
        <v>0</v>
      </c>
      <c r="S134" s="145" t="b">
        <v>0</v>
      </c>
      <c r="T134" s="145" t="b">
        <v>0</v>
      </c>
      <c r="U134" s="146"/>
      <c r="V134" s="146"/>
    </row>
    <row r="135" outlineLevel="1">
      <c r="A135" s="146"/>
      <c r="B135" s="243" t="s">
        <v>5902</v>
      </c>
      <c r="C135" s="239" t="s">
        <v>5997</v>
      </c>
      <c r="D135" s="281"/>
      <c r="E135" s="541"/>
      <c r="F135" s="3334"/>
      <c r="G135" s="541"/>
      <c r="H135" s="212"/>
      <c r="J135" s="210"/>
      <c r="K135" s="282"/>
      <c r="L135" s="282"/>
      <c r="M135" s="363"/>
      <c r="N135" s="363"/>
      <c r="O135" s="145"/>
      <c r="P135" s="145"/>
      <c r="Q135" s="145"/>
      <c r="R135" s="145" t="b">
        <v>0</v>
      </c>
      <c r="S135" s="145" t="b">
        <v>0</v>
      </c>
      <c r="T135" s="145" t="b">
        <v>0</v>
      </c>
      <c r="U135" s="146"/>
      <c r="V135" s="146"/>
    </row>
    <row r="136" outlineLevel="1">
      <c r="A136" s="146"/>
      <c r="B136" s="243" t="s">
        <v>5905</v>
      </c>
      <c r="C136" s="239" t="s">
        <v>5998</v>
      </c>
      <c r="D136" s="281"/>
      <c r="E136" s="541"/>
      <c r="F136" s="3334"/>
      <c r="G136" s="541"/>
      <c r="H136" s="212"/>
      <c r="J136" s="210"/>
      <c r="K136" s="282"/>
      <c r="L136" s="282"/>
      <c r="M136" s="363"/>
      <c r="N136" s="363"/>
      <c r="O136" s="145"/>
      <c r="P136" s="145"/>
      <c r="Q136" s="145"/>
      <c r="R136" s="145" t="b">
        <v>0</v>
      </c>
      <c r="S136" s="145" t="b">
        <v>0</v>
      </c>
      <c r="T136" s="145" t="b">
        <v>0</v>
      </c>
      <c r="U136" s="146"/>
      <c r="V136" s="146"/>
    </row>
    <row r="137" outlineLevel="1">
      <c r="A137" s="146"/>
      <c r="B137" s="243" t="s">
        <v>5909</v>
      </c>
      <c r="C137" s="239" t="s">
        <v>5993</v>
      </c>
      <c r="D137" s="281"/>
      <c r="E137" s="541"/>
      <c r="F137" s="3334"/>
      <c r="G137" s="541"/>
      <c r="H137" s="212"/>
      <c r="J137" s="210"/>
      <c r="K137" s="282"/>
      <c r="L137" s="282"/>
      <c r="M137" s="363"/>
      <c r="N137" s="363"/>
      <c r="O137" s="145"/>
      <c r="P137" s="145"/>
      <c r="Q137" s="145"/>
      <c r="R137" s="145" t="b">
        <v>0</v>
      </c>
      <c r="S137" s="145" t="b">
        <v>0</v>
      </c>
      <c r="T137" s="145" t="b">
        <v>0</v>
      </c>
      <c r="U137" s="146"/>
      <c r="V137" s="146"/>
    </row>
    <row r="138" outlineLevel="1">
      <c r="A138" s="146"/>
      <c r="B138" s="243" t="s">
        <v>5910</v>
      </c>
      <c r="C138" s="239" t="s">
        <v>5992</v>
      </c>
      <c r="D138" s="281"/>
      <c r="E138" s="541"/>
      <c r="F138" s="3334"/>
      <c r="G138" s="541"/>
      <c r="H138" s="212"/>
      <c r="J138" s="210"/>
      <c r="K138" s="282"/>
      <c r="L138" s="282"/>
      <c r="M138" s="363"/>
      <c r="N138" s="363"/>
      <c r="O138" s="145"/>
      <c r="P138" s="145"/>
      <c r="Q138" s="145"/>
      <c r="R138" s="145" t="b">
        <v>0</v>
      </c>
      <c r="S138" s="145" t="b">
        <v>0</v>
      </c>
      <c r="T138" s="145" t="b">
        <v>0</v>
      </c>
      <c r="U138" s="146"/>
      <c r="V138" s="146"/>
    </row>
    <row r="139" outlineLevel="1">
      <c r="A139" s="156"/>
      <c r="B139" s="243" t="s">
        <v>5913</v>
      </c>
      <c r="C139" s="239" t="s">
        <v>5999</v>
      </c>
      <c r="D139" s="281"/>
      <c r="E139" s="541"/>
      <c r="F139" s="3334"/>
      <c r="G139" s="541"/>
      <c r="H139" s="212"/>
      <c r="J139" s="210"/>
      <c r="K139" s="282"/>
      <c r="L139" s="282"/>
      <c r="M139" s="363"/>
      <c r="N139" s="363"/>
      <c r="O139" s="145"/>
      <c r="P139" s="145"/>
      <c r="Q139" s="145"/>
      <c r="R139" s="145" t="b">
        <v>0</v>
      </c>
      <c r="S139" s="145" t="b">
        <v>0</v>
      </c>
      <c r="T139" s="145" t="b">
        <v>0</v>
      </c>
      <c r="U139" s="146"/>
      <c r="V139" s="146"/>
    </row>
    <row r="140" outlineLevel="1">
      <c r="A140" s="237" t="s">
        <v>6000</v>
      </c>
      <c r="B140" s="243" t="s">
        <v>5901</v>
      </c>
      <c r="C140" s="239" t="s">
        <v>6001</v>
      </c>
      <c r="D140" s="281"/>
      <c r="E140" s="541"/>
      <c r="F140" s="3334"/>
      <c r="G140" s="281"/>
      <c r="H140" s="212"/>
      <c r="J140" s="210"/>
      <c r="K140" s="282"/>
      <c r="L140" s="282"/>
      <c r="M140" s="363"/>
      <c r="N140" s="363"/>
      <c r="O140" s="145"/>
      <c r="P140" s="145"/>
      <c r="Q140" s="145"/>
      <c r="R140" s="145" t="b">
        <v>0</v>
      </c>
      <c r="S140" s="145" t="b">
        <v>0</v>
      </c>
      <c r="T140" s="145" t="b">
        <v>0</v>
      </c>
      <c r="U140" s="146"/>
      <c r="V140" s="146"/>
    </row>
    <row r="141" outlineLevel="1">
      <c r="A141" s="146"/>
      <c r="B141" s="243" t="s">
        <v>5902</v>
      </c>
      <c r="C141" s="239" t="s">
        <v>6001</v>
      </c>
      <c r="D141" s="281"/>
      <c r="E141" s="541"/>
      <c r="F141" s="3334"/>
      <c r="G141" s="281"/>
      <c r="H141" s="212"/>
      <c r="J141" s="210"/>
      <c r="K141" s="282"/>
      <c r="L141" s="282"/>
      <c r="M141" s="363"/>
      <c r="N141" s="363"/>
      <c r="O141" s="145"/>
      <c r="P141" s="145"/>
      <c r="Q141" s="145"/>
      <c r="R141" s="145" t="b">
        <v>0</v>
      </c>
      <c r="S141" s="145" t="b">
        <v>0</v>
      </c>
      <c r="T141" s="145" t="b">
        <v>0</v>
      </c>
      <c r="U141" s="146"/>
      <c r="V141" s="146"/>
    </row>
    <row r="142" outlineLevel="1">
      <c r="A142" s="146"/>
      <c r="B142" s="243" t="s">
        <v>5905</v>
      </c>
      <c r="C142" s="239" t="s">
        <v>6002</v>
      </c>
      <c r="D142" s="281"/>
      <c r="E142" s="541"/>
      <c r="F142" s="3334"/>
      <c r="G142" s="281"/>
      <c r="H142" s="212"/>
      <c r="J142" s="210"/>
      <c r="K142" s="282"/>
      <c r="L142" s="282"/>
      <c r="M142" s="363"/>
      <c r="N142" s="363"/>
      <c r="O142" s="145"/>
      <c r="P142" s="145"/>
      <c r="Q142" s="145"/>
      <c r="R142" s="145" t="b">
        <v>0</v>
      </c>
      <c r="S142" s="145" t="b">
        <v>0</v>
      </c>
      <c r="T142" s="145" t="b">
        <v>0</v>
      </c>
      <c r="U142" s="146"/>
      <c r="V142" s="146"/>
    </row>
    <row r="143" outlineLevel="1">
      <c r="A143" s="146"/>
      <c r="B143" s="243" t="s">
        <v>5909</v>
      </c>
      <c r="C143" s="239" t="s">
        <v>5997</v>
      </c>
      <c r="D143" s="281"/>
      <c r="E143" s="541"/>
      <c r="F143" s="3334"/>
      <c r="G143" s="281"/>
      <c r="H143" s="212"/>
      <c r="J143" s="210"/>
      <c r="K143" s="282"/>
      <c r="L143" s="282"/>
      <c r="M143" s="363"/>
      <c r="N143" s="363"/>
      <c r="O143" s="145"/>
      <c r="P143" s="145"/>
      <c r="Q143" s="145"/>
      <c r="R143" s="145" t="b">
        <v>0</v>
      </c>
      <c r="S143" s="145" t="b">
        <v>0</v>
      </c>
      <c r="T143" s="145" t="b">
        <v>0</v>
      </c>
      <c r="U143" s="146"/>
      <c r="V143" s="146"/>
    </row>
    <row r="144" outlineLevel="1">
      <c r="A144" s="146"/>
      <c r="B144" s="243" t="s">
        <v>5910</v>
      </c>
      <c r="C144" s="239" t="s">
        <v>6003</v>
      </c>
      <c r="D144" s="281"/>
      <c r="E144" s="541"/>
      <c r="F144" s="3334"/>
      <c r="G144" s="281"/>
      <c r="H144" s="212"/>
      <c r="J144" s="210"/>
      <c r="K144" s="282"/>
      <c r="L144" s="282"/>
      <c r="M144" s="363"/>
      <c r="N144" s="363"/>
      <c r="O144" s="145"/>
      <c r="P144" s="145"/>
      <c r="Q144" s="145"/>
      <c r="R144" s="145" t="b">
        <v>0</v>
      </c>
      <c r="S144" s="145" t="b">
        <v>0</v>
      </c>
      <c r="T144" s="145" t="b">
        <v>0</v>
      </c>
      <c r="U144" s="146"/>
      <c r="V144" s="146"/>
    </row>
    <row r="145" outlineLevel="1">
      <c r="A145" s="156"/>
      <c r="B145" s="243" t="s">
        <v>5913</v>
      </c>
      <c r="C145" s="239" t="s">
        <v>6004</v>
      </c>
      <c r="D145" s="281"/>
      <c r="E145" s="541"/>
      <c r="F145" s="3334"/>
      <c r="G145" s="281"/>
      <c r="H145" s="212"/>
      <c r="J145" s="210"/>
      <c r="K145" s="282"/>
      <c r="L145" s="282"/>
      <c r="M145" s="363"/>
      <c r="N145" s="363"/>
      <c r="O145" s="145"/>
      <c r="P145" s="145"/>
      <c r="Q145" s="145"/>
      <c r="R145" s="145" t="b">
        <v>0</v>
      </c>
      <c r="S145" s="145" t="b">
        <v>0</v>
      </c>
      <c r="T145" s="145" t="b">
        <v>0</v>
      </c>
      <c r="U145" s="146"/>
      <c r="V145" s="146"/>
    </row>
    <row r="146" outlineLevel="1">
      <c r="A146" s="237" t="s">
        <v>6005</v>
      </c>
      <c r="B146" s="243" t="s">
        <v>5901</v>
      </c>
      <c r="C146" s="239" t="s">
        <v>5995</v>
      </c>
      <c r="D146" s="281"/>
      <c r="E146" s="541"/>
      <c r="F146" s="3334"/>
      <c r="G146" s="281"/>
      <c r="H146" s="212"/>
      <c r="J146" s="210"/>
      <c r="K146" s="282"/>
      <c r="L146" s="282"/>
      <c r="M146" s="363"/>
      <c r="N146" s="363"/>
      <c r="O146" s="145"/>
      <c r="P146" s="145"/>
      <c r="Q146" s="145"/>
      <c r="R146" s="145" t="b">
        <v>0</v>
      </c>
      <c r="S146" s="145" t="b">
        <v>0</v>
      </c>
      <c r="T146" s="145" t="b">
        <v>0</v>
      </c>
      <c r="U146" s="146"/>
      <c r="V146" s="146"/>
    </row>
    <row r="147" outlineLevel="1">
      <c r="A147" s="146"/>
      <c r="B147" s="243" t="s">
        <v>5902</v>
      </c>
      <c r="C147" s="239" t="s">
        <v>6006</v>
      </c>
      <c r="D147" s="281"/>
      <c r="E147" s="541"/>
      <c r="F147" s="3334"/>
      <c r="G147" s="281"/>
      <c r="H147" s="212"/>
      <c r="J147" s="210"/>
      <c r="K147" s="282"/>
      <c r="L147" s="282"/>
      <c r="M147" s="363"/>
      <c r="N147" s="363"/>
      <c r="O147" s="145"/>
      <c r="P147" s="145"/>
      <c r="Q147" s="145"/>
      <c r="R147" s="145" t="b">
        <v>0</v>
      </c>
      <c r="S147" s="145" t="b">
        <v>0</v>
      </c>
      <c r="T147" s="145" t="b">
        <v>0</v>
      </c>
      <c r="U147" s="146"/>
      <c r="V147" s="146"/>
    </row>
    <row r="148" outlineLevel="1">
      <c r="A148" s="146"/>
      <c r="B148" s="243" t="s">
        <v>5905</v>
      </c>
      <c r="C148" s="239" t="s">
        <v>6007</v>
      </c>
      <c r="D148" s="281"/>
      <c r="E148" s="541"/>
      <c r="F148" s="3334"/>
      <c r="G148" s="281"/>
      <c r="H148" s="212"/>
      <c r="J148" s="210"/>
      <c r="K148" s="282"/>
      <c r="L148" s="282"/>
      <c r="M148" s="363"/>
      <c r="N148" s="363"/>
      <c r="O148" s="145"/>
      <c r="P148" s="145"/>
      <c r="Q148" s="145"/>
      <c r="R148" s="145" t="b">
        <v>0</v>
      </c>
      <c r="S148" s="145" t="b">
        <v>0</v>
      </c>
      <c r="T148" s="145" t="b">
        <v>0</v>
      </c>
      <c r="U148" s="146"/>
      <c r="V148" s="146"/>
    </row>
    <row r="149" outlineLevel="1">
      <c r="A149" s="146"/>
      <c r="B149" s="243" t="s">
        <v>5909</v>
      </c>
      <c r="C149" s="239" t="s">
        <v>6001</v>
      </c>
      <c r="D149" s="281"/>
      <c r="E149" s="541"/>
      <c r="F149" s="3334"/>
      <c r="G149" s="281"/>
      <c r="H149" s="212"/>
      <c r="J149" s="210"/>
      <c r="K149" s="282"/>
      <c r="L149" s="282"/>
      <c r="M149" s="363"/>
      <c r="N149" s="363"/>
      <c r="O149" s="145"/>
      <c r="P149" s="145"/>
      <c r="Q149" s="145"/>
      <c r="R149" s="145" t="b">
        <v>0</v>
      </c>
      <c r="S149" s="145" t="b">
        <v>0</v>
      </c>
      <c r="T149" s="145" t="b">
        <v>0</v>
      </c>
      <c r="U149" s="146"/>
      <c r="V149" s="146"/>
    </row>
    <row r="150" outlineLevel="1">
      <c r="A150" s="146"/>
      <c r="B150" s="243" t="s">
        <v>5910</v>
      </c>
      <c r="C150" s="239" t="s">
        <v>6008</v>
      </c>
      <c r="D150" s="281"/>
      <c r="E150" s="541"/>
      <c r="F150" s="3334"/>
      <c r="G150" s="281"/>
      <c r="H150" s="212"/>
      <c r="J150" s="210"/>
      <c r="K150" s="282"/>
      <c r="L150" s="282"/>
      <c r="M150" s="363"/>
      <c r="N150" s="363"/>
      <c r="O150" s="145"/>
      <c r="P150" s="145"/>
      <c r="Q150" s="145"/>
      <c r="R150" s="145" t="b">
        <v>0</v>
      </c>
      <c r="S150" s="145" t="b">
        <v>0</v>
      </c>
      <c r="T150" s="145" t="b">
        <v>0</v>
      </c>
      <c r="U150" s="146"/>
      <c r="V150" s="146"/>
    </row>
    <row r="151" outlineLevel="1">
      <c r="A151" s="156"/>
      <c r="B151" s="243" t="s">
        <v>5913</v>
      </c>
      <c r="C151" s="239" t="s">
        <v>6009</v>
      </c>
      <c r="D151" s="281"/>
      <c r="E151" s="541"/>
      <c r="F151" s="3334"/>
      <c r="G151" s="281"/>
      <c r="H151" s="106"/>
      <c r="I151" s="168"/>
      <c r="J151" s="107"/>
      <c r="K151" s="282"/>
      <c r="L151" s="282"/>
      <c r="M151" s="363"/>
      <c r="N151" s="363"/>
      <c r="O151" s="145"/>
      <c r="P151" s="145"/>
      <c r="Q151" s="145"/>
      <c r="R151" s="145" t="b">
        <v>0</v>
      </c>
      <c r="S151" s="145" t="b">
        <v>0</v>
      </c>
      <c r="T151" s="145" t="b">
        <v>0</v>
      </c>
      <c r="U151" s="156"/>
      <c r="V151" s="156"/>
    </row>
    <row r="152" ht="34.5" customHeight="1" outlineLevel="1">
      <c r="A152" s="237" t="s">
        <v>6010</v>
      </c>
      <c r="B152" s="663" t="s">
        <v>6011</v>
      </c>
      <c r="C152" s="239" t="s">
        <v>6012</v>
      </c>
      <c r="D152" s="113" t="s">
        <v>146</v>
      </c>
      <c r="E152" s="281"/>
      <c r="F152" s="476"/>
      <c r="G152" s="281"/>
      <c r="H152" s="163" t="s">
        <v>6013</v>
      </c>
      <c r="I152" s="164"/>
      <c r="J152" s="104"/>
      <c r="K152" s="282"/>
      <c r="L152" s="282"/>
      <c r="M152" s="363"/>
      <c r="N152" s="363"/>
      <c r="O152" s="145"/>
      <c r="P152" s="145"/>
      <c r="Q152" s="145"/>
      <c r="R152" s="145" t="b">
        <v>0</v>
      </c>
      <c r="S152" s="145" t="b">
        <v>0</v>
      </c>
      <c r="T152" s="145" t="b">
        <v>0</v>
      </c>
      <c r="U152" s="166"/>
      <c r="V152" s="166"/>
    </row>
    <row r="153" ht="34.5" customHeight="1" outlineLevel="1">
      <c r="A153" s="146"/>
      <c r="B153" s="663" t="s">
        <v>5910</v>
      </c>
      <c r="C153" s="239" t="s">
        <v>6014</v>
      </c>
      <c r="D153" s="113" t="s">
        <v>300</v>
      </c>
      <c r="E153" s="281"/>
      <c r="F153" s="476"/>
      <c r="G153" s="281"/>
      <c r="H153" s="212"/>
      <c r="J153" s="210"/>
      <c r="K153" s="282"/>
      <c r="L153" s="282"/>
      <c r="M153" s="363"/>
      <c r="N153" s="363"/>
      <c r="O153" s="145"/>
      <c r="P153" s="145"/>
      <c r="Q153" s="145"/>
      <c r="R153" s="145" t="b">
        <v>0</v>
      </c>
      <c r="S153" s="145" t="b">
        <v>0</v>
      </c>
      <c r="T153" s="145" t="b">
        <v>0</v>
      </c>
      <c r="U153" s="146"/>
      <c r="V153" s="146"/>
    </row>
    <row r="154" ht="34.5" customHeight="1" outlineLevel="1">
      <c r="A154" s="146"/>
      <c r="B154" s="663" t="s">
        <v>6015</v>
      </c>
      <c r="C154" s="239" t="s">
        <v>6016</v>
      </c>
      <c r="D154" s="113" t="s">
        <v>221</v>
      </c>
      <c r="E154" s="281"/>
      <c r="F154" s="476"/>
      <c r="G154" s="281"/>
      <c r="H154" s="106"/>
      <c r="I154" s="168"/>
      <c r="J154" s="107"/>
      <c r="K154" s="282"/>
      <c r="L154" s="282"/>
      <c r="M154" s="363"/>
      <c r="N154" s="363"/>
      <c r="O154" s="145"/>
      <c r="P154" s="145"/>
      <c r="Q154" s="145"/>
      <c r="R154" s="145" t="b">
        <v>0</v>
      </c>
      <c r="S154" s="145" t="b">
        <v>0</v>
      </c>
      <c r="T154" s="145" t="b">
        <v>0</v>
      </c>
      <c r="U154" s="156"/>
      <c r="V154" s="156"/>
    </row>
    <row r="155" outlineLevel="1">
      <c r="A155" s="259" t="s">
        <v>6017</v>
      </c>
      <c r="B155" s="663"/>
      <c r="C155" s="239" t="s">
        <v>6018</v>
      </c>
      <c r="D155" s="113" t="s">
        <v>232</v>
      </c>
      <c r="E155" s="281"/>
      <c r="F155" s="476"/>
      <c r="G155" s="281"/>
      <c r="H155" s="151" t="s">
        <v>6019</v>
      </c>
      <c r="I155" s="110"/>
      <c r="J155" s="109"/>
      <c r="K155" s="282"/>
      <c r="L155" s="282"/>
      <c r="M155" s="363"/>
      <c r="N155" s="363"/>
      <c r="O155" s="145"/>
      <c r="P155" s="145"/>
      <c r="Q155" s="145"/>
      <c r="R155" s="145" t="b">
        <v>0</v>
      </c>
      <c r="S155" s="145" t="b">
        <v>0</v>
      </c>
      <c r="T155" s="145" t="b">
        <v>0</v>
      </c>
      <c r="U155" s="145" t="b">
        <v>0</v>
      </c>
      <c r="V155" s="145" t="b">
        <v>1</v>
      </c>
    </row>
    <row r="156" outlineLevel="1">
      <c r="A156" s="230" t="s">
        <v>6020</v>
      </c>
      <c r="B156" s="109"/>
      <c r="C156" s="231" t="s">
        <v>48</v>
      </c>
      <c r="D156" s="231" t="s">
        <v>49</v>
      </c>
      <c r="E156" s="232" t="s">
        <v>50</v>
      </c>
      <c r="F156" s="233" t="s">
        <v>51</v>
      </c>
      <c r="G156" s="232" t="s">
        <v>52</v>
      </c>
      <c r="H156" s="382" t="s">
        <v>53</v>
      </c>
      <c r="I156" s="110"/>
      <c r="J156" s="109"/>
      <c r="K156" s="235" t="s">
        <v>137</v>
      </c>
      <c r="L156" s="235" t="s">
        <v>138</v>
      </c>
      <c r="M156" s="235" t="s">
        <v>139</v>
      </c>
      <c r="N156" s="235" t="s">
        <v>140</v>
      </c>
      <c r="O156" s="236" t="s">
        <v>141</v>
      </c>
      <c r="P156" s="235" t="s">
        <v>142</v>
      </c>
      <c r="Q156" s="236" t="s">
        <v>143</v>
      </c>
      <c r="R156" s="235" t="s">
        <v>179</v>
      </c>
      <c r="S156" s="236" t="s">
        <v>180</v>
      </c>
      <c r="T156" s="236" t="s">
        <v>181</v>
      </c>
      <c r="U156" s="236" t="s">
        <v>182</v>
      </c>
      <c r="V156" s="3198" t="s">
        <v>183</v>
      </c>
    </row>
    <row r="157" ht="19.5" customHeight="1" outlineLevel="1">
      <c r="A157" s="237" t="s">
        <v>184</v>
      </c>
      <c r="B157" s="243" t="s">
        <v>6021</v>
      </c>
      <c r="C157" s="239" t="s">
        <v>6022</v>
      </c>
      <c r="D157" s="301"/>
      <c r="E157" s="139" t="s">
        <v>209</v>
      </c>
      <c r="F157" s="463">
        <v>0.0</v>
      </c>
      <c r="G157" s="541"/>
      <c r="H157" s="163" t="s">
        <v>6023</v>
      </c>
      <c r="I157" s="164"/>
      <c r="J157" s="104"/>
      <c r="K157" s="282"/>
      <c r="L157" s="282"/>
      <c r="M157" s="363"/>
      <c r="N157" s="363"/>
      <c r="O157" s="145"/>
      <c r="P157" s="145"/>
      <c r="Q157" s="145"/>
      <c r="R157" s="145" t="b">
        <v>0</v>
      </c>
      <c r="S157" s="145" t="b">
        <v>0</v>
      </c>
      <c r="T157" s="145" t="b">
        <v>0</v>
      </c>
      <c r="U157" s="166" t="b">
        <v>1</v>
      </c>
      <c r="V157" s="117" t="b">
        <v>1</v>
      </c>
    </row>
    <row r="158" ht="19.5" customHeight="1" outlineLevel="1">
      <c r="A158" s="146"/>
      <c r="B158" s="243" t="s">
        <v>6024</v>
      </c>
      <c r="C158" s="367" t="s">
        <v>6025</v>
      </c>
      <c r="D158" s="3432"/>
      <c r="E158" s="239" t="s">
        <v>6026</v>
      </c>
      <c r="F158" s="138" t="s">
        <v>6027</v>
      </c>
      <c r="G158" s="239" t="s">
        <v>759</v>
      </c>
      <c r="H158" s="212"/>
      <c r="J158" s="210"/>
      <c r="K158" s="282"/>
      <c r="L158" s="282"/>
      <c r="M158" s="363"/>
      <c r="N158" s="363"/>
      <c r="O158" s="145">
        <v>0.0</v>
      </c>
      <c r="P158" s="145">
        <v>1.0</v>
      </c>
      <c r="Q158" s="145">
        <v>1.0</v>
      </c>
      <c r="R158" s="145" t="b">
        <v>1</v>
      </c>
      <c r="S158" s="145" t="b">
        <v>1</v>
      </c>
      <c r="T158" s="145"/>
      <c r="U158" s="146"/>
    </row>
    <row r="159" ht="19.5" customHeight="1" outlineLevel="1">
      <c r="A159" s="146"/>
      <c r="B159" s="243" t="s">
        <v>6028</v>
      </c>
      <c r="C159" s="156"/>
      <c r="D159" s="156"/>
      <c r="E159" s="239" t="s">
        <v>6029</v>
      </c>
      <c r="F159" s="138" t="s">
        <v>6030</v>
      </c>
      <c r="G159" s="239" t="s">
        <v>1266</v>
      </c>
      <c r="H159" s="212"/>
      <c r="J159" s="210"/>
      <c r="K159" s="138"/>
      <c r="L159" s="138"/>
      <c r="M159" s="145"/>
      <c r="N159" s="145"/>
      <c r="O159" s="145"/>
      <c r="P159" s="145"/>
      <c r="Q159" s="145"/>
      <c r="R159" s="145" t="b">
        <v>0</v>
      </c>
      <c r="S159" s="145" t="b">
        <v>0</v>
      </c>
      <c r="T159" s="145" t="b">
        <v>0</v>
      </c>
      <c r="U159" s="146"/>
    </row>
    <row r="160" ht="19.5" customHeight="1" outlineLevel="1">
      <c r="A160" s="146"/>
      <c r="B160" s="462" t="s">
        <v>6031</v>
      </c>
      <c r="C160" s="281"/>
      <c r="D160" s="113" t="s">
        <v>150</v>
      </c>
      <c r="E160" s="281"/>
      <c r="F160" s="281"/>
      <c r="G160" s="281"/>
      <c r="H160" s="212"/>
      <c r="J160" s="210"/>
      <c r="K160" s="138"/>
      <c r="L160" s="138"/>
      <c r="M160" s="145"/>
      <c r="N160" s="145"/>
      <c r="O160" s="145">
        <v>0.0</v>
      </c>
      <c r="P160" s="145">
        <v>1.0</v>
      </c>
      <c r="Q160" s="145">
        <v>1.0</v>
      </c>
      <c r="R160" s="145" t="b">
        <v>1</v>
      </c>
      <c r="S160" s="145" t="b">
        <v>1</v>
      </c>
      <c r="T160" s="145"/>
      <c r="U160" s="146"/>
    </row>
    <row r="161" ht="19.5" customHeight="1" outlineLevel="1">
      <c r="A161" s="146"/>
      <c r="B161" s="156"/>
      <c r="C161" s="113" t="s">
        <v>2894</v>
      </c>
      <c r="D161" s="281"/>
      <c r="E161" s="113" t="s">
        <v>209</v>
      </c>
      <c r="F161" s="113" t="s">
        <v>209</v>
      </c>
      <c r="G161" s="541"/>
      <c r="H161" s="212"/>
      <c r="J161" s="210"/>
      <c r="K161" s="138"/>
      <c r="L161" s="138"/>
      <c r="M161" s="145"/>
      <c r="N161" s="145"/>
      <c r="O161" s="145"/>
      <c r="P161" s="145"/>
      <c r="Q161" s="145"/>
      <c r="R161" s="145" t="b">
        <v>0</v>
      </c>
      <c r="S161" s="145" t="b">
        <v>0</v>
      </c>
      <c r="T161" s="145" t="b">
        <v>0</v>
      </c>
      <c r="U161" s="146"/>
    </row>
    <row r="162" ht="19.5" customHeight="1" outlineLevel="1">
      <c r="A162" s="146"/>
      <c r="B162" s="243" t="s">
        <v>666</v>
      </c>
      <c r="C162" s="281"/>
      <c r="D162" s="113" t="s">
        <v>386</v>
      </c>
      <c r="E162" s="541"/>
      <c r="F162" s="541"/>
      <c r="G162" s="541"/>
      <c r="H162" s="106"/>
      <c r="I162" s="168"/>
      <c r="J162" s="107"/>
      <c r="K162" s="138"/>
      <c r="L162" s="138"/>
      <c r="M162" s="145"/>
      <c r="N162" s="145"/>
      <c r="O162" s="145"/>
      <c r="P162" s="145"/>
      <c r="Q162" s="145"/>
      <c r="R162" s="145" t="b">
        <v>0</v>
      </c>
      <c r="S162" s="145" t="b">
        <v>0</v>
      </c>
      <c r="T162" s="145" t="b">
        <v>0</v>
      </c>
      <c r="U162" s="156"/>
    </row>
    <row r="163" outlineLevel="1">
      <c r="A163" s="230" t="s">
        <v>6032</v>
      </c>
      <c r="B163" s="109"/>
      <c r="C163" s="231" t="s">
        <v>48</v>
      </c>
      <c r="D163" s="231" t="s">
        <v>49</v>
      </c>
      <c r="E163" s="232" t="s">
        <v>50</v>
      </c>
      <c r="F163" s="233" t="s">
        <v>51</v>
      </c>
      <c r="G163" s="232" t="s">
        <v>52</v>
      </c>
      <c r="H163" s="382" t="s">
        <v>53</v>
      </c>
      <c r="I163" s="110"/>
      <c r="J163" s="109"/>
      <c r="K163" s="235" t="s">
        <v>137</v>
      </c>
      <c r="L163" s="235" t="s">
        <v>138</v>
      </c>
      <c r="M163" s="235" t="s">
        <v>139</v>
      </c>
      <c r="N163" s="235" t="s">
        <v>140</v>
      </c>
      <c r="O163" s="236" t="s">
        <v>141</v>
      </c>
      <c r="P163" s="235" t="s">
        <v>142</v>
      </c>
      <c r="Q163" s="236" t="s">
        <v>143</v>
      </c>
      <c r="R163" s="235" t="s">
        <v>179</v>
      </c>
      <c r="S163" s="236" t="s">
        <v>180</v>
      </c>
      <c r="T163" s="236" t="s">
        <v>181</v>
      </c>
      <c r="U163" s="236" t="s">
        <v>182</v>
      </c>
      <c r="V163" s="3198" t="s">
        <v>183</v>
      </c>
    </row>
    <row r="164" ht="15.75" customHeight="1" outlineLevel="1">
      <c r="A164" s="546" t="s">
        <v>332</v>
      </c>
      <c r="B164" s="870"/>
      <c r="C164" s="239" t="s">
        <v>6033</v>
      </c>
      <c r="D164" s="281"/>
      <c r="E164" s="239" t="s">
        <v>150</v>
      </c>
      <c r="F164" s="138">
        <v>6.0</v>
      </c>
      <c r="G164" s="239" t="s">
        <v>102</v>
      </c>
      <c r="H164" s="163" t="s">
        <v>6034</v>
      </c>
      <c r="I164" s="164"/>
      <c r="J164" s="104"/>
      <c r="K164" s="138"/>
      <c r="L164" s="138"/>
      <c r="M164" s="145"/>
      <c r="N164" s="145"/>
      <c r="O164" s="145">
        <v>0.0</v>
      </c>
      <c r="P164" s="145">
        <v>1.0</v>
      </c>
      <c r="Q164" s="145">
        <v>1.0</v>
      </c>
      <c r="R164" s="145" t="b">
        <v>1</v>
      </c>
      <c r="S164" s="145" t="b">
        <v>1</v>
      </c>
      <c r="T164" s="145"/>
      <c r="U164" s="166" t="b">
        <v>1</v>
      </c>
      <c r="V164" s="166" t="b">
        <v>1</v>
      </c>
    </row>
    <row r="165" ht="15.75" customHeight="1" outlineLevel="1">
      <c r="A165" s="156"/>
      <c r="B165" s="402" t="s">
        <v>84</v>
      </c>
      <c r="C165" s="239" t="s">
        <v>2751</v>
      </c>
      <c r="D165" s="281"/>
      <c r="E165" s="139" t="s">
        <v>204</v>
      </c>
      <c r="F165" s="138">
        <v>3.5999999999999996</v>
      </c>
      <c r="G165" s="139" t="s">
        <v>147</v>
      </c>
      <c r="H165" s="212"/>
      <c r="J165" s="210"/>
      <c r="K165" s="138"/>
      <c r="L165" s="138"/>
      <c r="M165" s="145"/>
      <c r="N165" s="145"/>
      <c r="O165" s="145"/>
      <c r="P165" s="145"/>
      <c r="Q165" s="145"/>
      <c r="R165" s="145" t="b">
        <v>0</v>
      </c>
      <c r="S165" s="145" t="b">
        <v>0</v>
      </c>
      <c r="T165" s="145" t="b">
        <v>0</v>
      </c>
      <c r="U165" s="146"/>
      <c r="V165" s="146"/>
    </row>
    <row r="166" ht="15.75" customHeight="1" outlineLevel="1">
      <c r="A166" s="546" t="s">
        <v>344</v>
      </c>
      <c r="B166" s="870"/>
      <c r="C166" s="239" t="s">
        <v>6035</v>
      </c>
      <c r="D166" s="281"/>
      <c r="E166" s="239" t="s">
        <v>150</v>
      </c>
      <c r="F166" s="138">
        <v>6.0</v>
      </c>
      <c r="G166" s="139" t="s">
        <v>102</v>
      </c>
      <c r="H166" s="212"/>
      <c r="J166" s="210"/>
      <c r="K166" s="138"/>
      <c r="L166" s="138"/>
      <c r="M166" s="145"/>
      <c r="N166" s="145"/>
      <c r="O166" s="145"/>
      <c r="P166" s="145"/>
      <c r="Q166" s="145"/>
      <c r="R166" s="145" t="b">
        <v>0</v>
      </c>
      <c r="S166" s="145" t="b">
        <v>0</v>
      </c>
      <c r="T166" s="145" t="b">
        <v>0</v>
      </c>
      <c r="U166" s="146"/>
      <c r="V166" s="146"/>
    </row>
    <row r="167" ht="15.75" customHeight="1" outlineLevel="1">
      <c r="A167" s="156"/>
      <c r="B167" s="402" t="s">
        <v>84</v>
      </c>
      <c r="C167" s="239" t="s">
        <v>2750</v>
      </c>
      <c r="D167" s="281"/>
      <c r="E167" s="139" t="s">
        <v>204</v>
      </c>
      <c r="F167" s="138">
        <v>3.5999999999999996</v>
      </c>
      <c r="G167" s="139" t="s">
        <v>147</v>
      </c>
      <c r="H167" s="106"/>
      <c r="I167" s="168"/>
      <c r="J167" s="107"/>
      <c r="K167" s="138"/>
      <c r="L167" s="138"/>
      <c r="M167" s="145"/>
      <c r="N167" s="145"/>
      <c r="O167" s="145"/>
      <c r="P167" s="145"/>
      <c r="Q167" s="145"/>
      <c r="R167" s="145" t="b">
        <v>0</v>
      </c>
      <c r="S167" s="145" t="b">
        <v>0</v>
      </c>
      <c r="T167" s="145" t="b">
        <v>0</v>
      </c>
      <c r="U167" s="156"/>
      <c r="V167" s="156"/>
    </row>
    <row r="168" outlineLevel="1">
      <c r="A168" s="230" t="s">
        <v>6036</v>
      </c>
      <c r="B168" s="109"/>
      <c r="C168" s="231" t="s">
        <v>48</v>
      </c>
      <c r="D168" s="231" t="s">
        <v>49</v>
      </c>
      <c r="E168" s="232" t="s">
        <v>50</v>
      </c>
      <c r="F168" s="233" t="s">
        <v>51</v>
      </c>
      <c r="G168" s="232" t="s">
        <v>52</v>
      </c>
      <c r="H168" s="382" t="s">
        <v>53</v>
      </c>
      <c r="I168" s="110"/>
      <c r="J168" s="109"/>
      <c r="K168" s="235" t="s">
        <v>137</v>
      </c>
      <c r="L168" s="235" t="s">
        <v>138</v>
      </c>
      <c r="M168" s="235" t="s">
        <v>139</v>
      </c>
      <c r="N168" s="235" t="s">
        <v>140</v>
      </c>
      <c r="O168" s="236" t="s">
        <v>141</v>
      </c>
      <c r="P168" s="235" t="s">
        <v>142</v>
      </c>
      <c r="Q168" s="236" t="s">
        <v>143</v>
      </c>
      <c r="R168" s="235" t="s">
        <v>179</v>
      </c>
      <c r="S168" s="236" t="s">
        <v>180</v>
      </c>
      <c r="T168" s="236" t="s">
        <v>181</v>
      </c>
      <c r="U168" s="236" t="s">
        <v>182</v>
      </c>
      <c r="V168" s="3198" t="s">
        <v>183</v>
      </c>
    </row>
    <row r="169" outlineLevel="1">
      <c r="A169" s="237" t="s">
        <v>184</v>
      </c>
      <c r="B169" s="402" t="s">
        <v>6037</v>
      </c>
      <c r="C169" s="239" t="s">
        <v>6038</v>
      </c>
      <c r="D169" s="113" t="s">
        <v>6039</v>
      </c>
      <c r="E169" s="281"/>
      <c r="F169" s="281"/>
      <c r="G169" s="281"/>
      <c r="H169" s="163" t="s">
        <v>6040</v>
      </c>
      <c r="I169" s="164"/>
      <c r="J169" s="104"/>
      <c r="K169" s="138"/>
      <c r="L169" s="138"/>
      <c r="M169" s="145"/>
      <c r="N169" s="145"/>
      <c r="O169" s="145">
        <v>0.0</v>
      </c>
      <c r="P169" s="145">
        <v>1.0</v>
      </c>
      <c r="Q169" s="145">
        <v>1.0</v>
      </c>
      <c r="R169" s="145" t="b">
        <v>1</v>
      </c>
      <c r="S169" s="145" t="b">
        <v>1</v>
      </c>
      <c r="T169" s="145"/>
      <c r="U169" s="166" t="b">
        <v>1</v>
      </c>
      <c r="V169" s="166" t="b">
        <v>1</v>
      </c>
    </row>
    <row r="170" outlineLevel="1">
      <c r="A170" s="146"/>
      <c r="B170" s="402" t="s">
        <v>666</v>
      </c>
      <c r="C170" s="281"/>
      <c r="D170" s="113" t="s">
        <v>173</v>
      </c>
      <c r="E170" s="281"/>
      <c r="F170" s="281"/>
      <c r="G170" s="281"/>
      <c r="H170" s="212"/>
      <c r="J170" s="210"/>
      <c r="K170" s="138"/>
      <c r="L170" s="138"/>
      <c r="M170" s="145"/>
      <c r="N170" s="145"/>
      <c r="O170" s="145"/>
      <c r="P170" s="145"/>
      <c r="Q170" s="145"/>
      <c r="R170" s="145" t="b">
        <v>0</v>
      </c>
      <c r="S170" s="145" t="b">
        <v>0</v>
      </c>
      <c r="T170" s="145" t="b">
        <v>0</v>
      </c>
      <c r="U170" s="146"/>
      <c r="V170" s="146"/>
    </row>
    <row r="171" outlineLevel="1">
      <c r="A171" s="156"/>
      <c r="B171" s="402" t="s">
        <v>6041</v>
      </c>
      <c r="C171" s="239" t="s">
        <v>6016</v>
      </c>
      <c r="D171" s="113" t="s">
        <v>296</v>
      </c>
      <c r="E171" s="281"/>
      <c r="F171" s="281"/>
      <c r="G171" s="281"/>
      <c r="H171" s="106"/>
      <c r="I171" s="168"/>
      <c r="J171" s="107"/>
      <c r="K171" s="138"/>
      <c r="L171" s="138"/>
      <c r="M171" s="145"/>
      <c r="N171" s="145"/>
      <c r="O171" s="145"/>
      <c r="P171" s="145"/>
      <c r="Q171" s="145"/>
      <c r="R171" s="145" t="b">
        <v>0</v>
      </c>
      <c r="S171" s="145" t="b">
        <v>0</v>
      </c>
      <c r="T171" s="145" t="b">
        <v>0</v>
      </c>
      <c r="U171" s="146"/>
      <c r="V171" s="146"/>
    </row>
    <row r="172" ht="22.5" customHeight="1" outlineLevel="1">
      <c r="A172" s="237" t="s">
        <v>6042</v>
      </c>
      <c r="B172" s="402" t="s">
        <v>1485</v>
      </c>
      <c r="C172" s="239" t="s">
        <v>175</v>
      </c>
      <c r="D172" s="281"/>
      <c r="E172" s="239" t="s">
        <v>6043</v>
      </c>
      <c r="F172" s="138" t="s">
        <v>6044</v>
      </c>
      <c r="G172" s="239" t="s">
        <v>2774</v>
      </c>
      <c r="H172" s="163" t="s">
        <v>6045</v>
      </c>
      <c r="I172" s="164"/>
      <c r="J172" s="104"/>
      <c r="K172" s="138"/>
      <c r="L172" s="138"/>
      <c r="M172" s="145"/>
      <c r="N172" s="145"/>
      <c r="O172" s="145"/>
      <c r="P172" s="145"/>
      <c r="Q172" s="145"/>
      <c r="R172" s="145" t="b">
        <v>0</v>
      </c>
      <c r="S172" s="145" t="b">
        <v>0</v>
      </c>
      <c r="T172" s="145" t="b">
        <v>0</v>
      </c>
      <c r="U172" s="146"/>
      <c r="V172" s="146"/>
    </row>
    <row r="173" ht="22.5" customHeight="1" outlineLevel="1">
      <c r="A173" s="146"/>
      <c r="B173" s="402" t="s">
        <v>533</v>
      </c>
      <c r="C173" s="239" t="s">
        <v>383</v>
      </c>
      <c r="D173" s="281"/>
      <c r="E173" s="239" t="s">
        <v>6046</v>
      </c>
      <c r="F173" s="138" t="s">
        <v>6047</v>
      </c>
      <c r="G173" s="239" t="s">
        <v>6048</v>
      </c>
      <c r="H173" s="212"/>
      <c r="J173" s="210"/>
      <c r="K173" s="138"/>
      <c r="L173" s="138"/>
      <c r="M173" s="145"/>
      <c r="N173" s="145"/>
      <c r="O173" s="145"/>
      <c r="P173" s="145"/>
      <c r="Q173" s="145"/>
      <c r="R173" s="145" t="b">
        <v>0</v>
      </c>
      <c r="S173" s="145" t="b">
        <v>0</v>
      </c>
      <c r="T173" s="145" t="b">
        <v>0</v>
      </c>
      <c r="U173" s="146"/>
      <c r="V173" s="146"/>
    </row>
    <row r="174" ht="22.5" customHeight="1" outlineLevel="1">
      <c r="A174" s="156"/>
      <c r="B174" s="402" t="s">
        <v>6049</v>
      </c>
      <c r="C174" s="239" t="s">
        <v>119</v>
      </c>
      <c r="D174" s="281"/>
      <c r="E174" s="239" t="s">
        <v>119</v>
      </c>
      <c r="F174" s="138">
        <v>16.8</v>
      </c>
      <c r="G174" s="239" t="s">
        <v>75</v>
      </c>
      <c r="H174" s="106"/>
      <c r="I174" s="168"/>
      <c r="J174" s="107"/>
      <c r="K174" s="138"/>
      <c r="L174" s="138"/>
      <c r="M174" s="145"/>
      <c r="N174" s="145"/>
      <c r="O174" s="145">
        <v>0.0</v>
      </c>
      <c r="P174" s="145">
        <v>1.0</v>
      </c>
      <c r="Q174" s="145">
        <v>1.0</v>
      </c>
      <c r="R174" s="145" t="b">
        <v>1</v>
      </c>
      <c r="S174" s="145" t="b">
        <v>1</v>
      </c>
      <c r="T174" s="145"/>
      <c r="U174" s="156"/>
      <c r="V174" s="156"/>
    </row>
    <row r="175">
      <c r="A175" s="223"/>
      <c r="B175" s="224"/>
      <c r="C175" s="225"/>
      <c r="D175" s="225"/>
      <c r="E175" s="226"/>
      <c r="F175" s="226"/>
      <c r="G175" s="226"/>
      <c r="H175" s="227"/>
      <c r="I175" s="227"/>
      <c r="J175" s="228"/>
      <c r="K175" s="228"/>
      <c r="L175" s="228"/>
      <c r="M175" s="228"/>
      <c r="N175" s="228"/>
      <c r="O175" s="228"/>
      <c r="P175" s="228"/>
      <c r="Q175" s="118"/>
      <c r="R175" s="118"/>
      <c r="S175" s="118"/>
      <c r="T175" s="118"/>
      <c r="U175" s="118"/>
      <c r="V175" s="118"/>
    </row>
    <row r="176">
      <c r="A176" s="264" t="s">
        <v>211</v>
      </c>
      <c r="B176" s="104"/>
      <c r="C176" s="227"/>
      <c r="D176" s="227"/>
      <c r="E176" s="228"/>
      <c r="F176" s="265"/>
      <c r="G176" s="265"/>
      <c r="H176" s="228"/>
      <c r="I176" s="228"/>
      <c r="J176" s="228"/>
      <c r="K176" s="228"/>
      <c r="L176" s="228"/>
      <c r="M176" s="228"/>
      <c r="N176" s="118"/>
      <c r="O176" s="118"/>
      <c r="P176" s="118"/>
      <c r="Q176" s="228"/>
      <c r="R176" s="228"/>
      <c r="S176" s="228"/>
      <c r="T176" s="228"/>
      <c r="U176" s="228"/>
      <c r="V176" s="228"/>
    </row>
    <row r="177" outlineLevel="1">
      <c r="A177" s="106"/>
      <c r="B177" s="107"/>
      <c r="C177" s="266" t="s">
        <v>48</v>
      </c>
      <c r="D177" s="266" t="s">
        <v>49</v>
      </c>
      <c r="E177" s="266" t="s">
        <v>50</v>
      </c>
      <c r="F177" s="267" t="s">
        <v>51</v>
      </c>
      <c r="G177" s="227"/>
      <c r="H177" s="227"/>
      <c r="I177" s="227"/>
      <c r="J177" s="228"/>
      <c r="K177" s="228"/>
      <c r="L177" s="228"/>
      <c r="M177" s="228"/>
      <c r="N177" s="228"/>
      <c r="O177" s="228"/>
      <c r="P177" s="228"/>
      <c r="Q177" s="228"/>
      <c r="R177" s="228"/>
      <c r="S177" s="228"/>
      <c r="T177" s="228"/>
      <c r="U177" s="228"/>
      <c r="V177" s="228"/>
    </row>
    <row r="178" outlineLevel="1">
      <c r="A178" s="268" t="s">
        <v>212</v>
      </c>
      <c r="B178" s="269" t="s">
        <v>212</v>
      </c>
      <c r="C178" s="113" t="s">
        <v>213</v>
      </c>
      <c r="D178" s="113" t="s">
        <v>86</v>
      </c>
      <c r="E178" s="113" t="s">
        <v>1024</v>
      </c>
      <c r="F178" s="138">
        <f>IFERROR(E178*1.2, "-")</f>
        <v>1.8</v>
      </c>
      <c r="G178" s="227"/>
      <c r="H178" s="227"/>
      <c r="I178" s="227"/>
      <c r="J178" s="228"/>
      <c r="K178" s="228"/>
      <c r="L178" s="228"/>
      <c r="M178" s="228"/>
      <c r="N178" s="228"/>
      <c r="O178" s="228"/>
      <c r="P178" s="228"/>
      <c r="Q178" s="228"/>
      <c r="R178" s="228"/>
      <c r="S178" s="228"/>
      <c r="T178" s="228"/>
      <c r="U178" s="228"/>
      <c r="V178" s="228"/>
    </row>
    <row r="179" outlineLevel="1">
      <c r="A179" s="270" t="s">
        <v>215</v>
      </c>
      <c r="B179" s="269" t="s">
        <v>216</v>
      </c>
      <c r="C179" s="113" t="s">
        <v>6050</v>
      </c>
      <c r="D179" s="113" t="s">
        <v>402</v>
      </c>
      <c r="E179" s="271"/>
      <c r="F179" s="272"/>
      <c r="G179" s="272"/>
      <c r="H179" s="227"/>
      <c r="I179" s="227"/>
      <c r="J179" s="228"/>
      <c r="K179" s="228"/>
      <c r="L179" s="228"/>
      <c r="M179" s="228"/>
      <c r="N179" s="228"/>
      <c r="O179" s="228"/>
      <c r="P179" s="228"/>
      <c r="Q179" s="228"/>
      <c r="R179" s="228"/>
      <c r="S179" s="228"/>
      <c r="T179" s="228"/>
      <c r="U179" s="228"/>
      <c r="V179" s="228"/>
    </row>
    <row r="180" outlineLevel="1">
      <c r="A180" s="212"/>
      <c r="B180" s="269" t="s">
        <v>219</v>
      </c>
      <c r="C180" s="113" t="s">
        <v>1982</v>
      </c>
      <c r="D180" s="113" t="s">
        <v>335</v>
      </c>
      <c r="E180" s="271"/>
      <c r="F180" s="272"/>
      <c r="G180" s="272"/>
      <c r="H180" s="227"/>
      <c r="I180" s="227"/>
      <c r="J180" s="228"/>
      <c r="K180" s="228"/>
      <c r="L180" s="228"/>
      <c r="M180" s="228"/>
      <c r="N180" s="228"/>
      <c r="O180" s="228"/>
      <c r="P180" s="228"/>
      <c r="Q180" s="228"/>
      <c r="R180" s="228"/>
      <c r="S180" s="228"/>
      <c r="T180" s="228"/>
      <c r="U180" s="228"/>
      <c r="V180" s="228"/>
    </row>
    <row r="181" outlineLevel="1">
      <c r="A181" s="106"/>
      <c r="B181" s="269" t="s">
        <v>222</v>
      </c>
      <c r="C181" s="113" t="s">
        <v>6051</v>
      </c>
      <c r="D181" s="113" t="s">
        <v>462</v>
      </c>
      <c r="E181" s="227"/>
      <c r="F181" s="272"/>
      <c r="G181" s="272"/>
      <c r="H181" s="227"/>
      <c r="I181" s="227"/>
      <c r="J181" s="228"/>
      <c r="K181" s="228"/>
      <c r="L181" s="228"/>
      <c r="M181" s="228"/>
      <c r="N181" s="228"/>
      <c r="O181" s="228"/>
      <c r="P181" s="228"/>
      <c r="Q181" s="228"/>
      <c r="R181" s="228"/>
      <c r="S181" s="228"/>
      <c r="T181" s="228"/>
      <c r="U181" s="228"/>
      <c r="V181" s="228"/>
    </row>
    <row r="182" outlineLevel="1">
      <c r="A182" s="273" t="s">
        <v>225</v>
      </c>
      <c r="B182" s="109"/>
      <c r="C182" s="266" t="s">
        <v>48</v>
      </c>
      <c r="D182" s="266" t="s">
        <v>49</v>
      </c>
      <c r="E182" s="266" t="s">
        <v>50</v>
      </c>
      <c r="F182" s="267" t="s">
        <v>51</v>
      </c>
      <c r="G182" s="1168" t="s">
        <v>53</v>
      </c>
      <c r="H182" s="110"/>
      <c r="I182" s="110"/>
      <c r="J182" s="109"/>
      <c r="K182" s="275" t="s">
        <v>137</v>
      </c>
      <c r="L182" s="275" t="s">
        <v>138</v>
      </c>
      <c r="M182" s="275" t="s">
        <v>139</v>
      </c>
      <c r="N182" s="275" t="s">
        <v>140</v>
      </c>
      <c r="O182" s="276" t="s">
        <v>141</v>
      </c>
      <c r="P182" s="275" t="s">
        <v>142</v>
      </c>
      <c r="Q182" s="276" t="s">
        <v>143</v>
      </c>
      <c r="R182" s="277"/>
      <c r="S182" s="277"/>
      <c r="T182" s="277"/>
      <c r="U182" s="277"/>
      <c r="V182" s="277"/>
    </row>
    <row r="183" outlineLevel="1">
      <c r="A183" s="278" t="s">
        <v>226</v>
      </c>
      <c r="B183" s="269" t="s">
        <v>227</v>
      </c>
      <c r="C183" s="113" t="s">
        <v>305</v>
      </c>
      <c r="D183" s="279" t="s">
        <v>185</v>
      </c>
      <c r="E183" s="239" t="s">
        <v>204</v>
      </c>
      <c r="F183" s="138">
        <f t="shared" ref="F183:F184" si="1">IFERROR(E183*1.2, "-")</f>
        <v>3.6</v>
      </c>
      <c r="G183" s="1170"/>
      <c r="H183" s="164"/>
      <c r="I183" s="164"/>
      <c r="J183" s="104"/>
      <c r="K183" s="282"/>
      <c r="L183" s="282"/>
      <c r="M183" s="363"/>
      <c r="N183" s="145"/>
      <c r="O183" s="145">
        <v>0.0</v>
      </c>
      <c r="P183" s="145">
        <v>1.0</v>
      </c>
      <c r="Q183" s="145">
        <v>1.0</v>
      </c>
      <c r="R183" s="277"/>
      <c r="S183" s="228"/>
      <c r="T183" s="228"/>
      <c r="U183" s="228"/>
      <c r="V183" s="228"/>
    </row>
    <row r="184" outlineLevel="1">
      <c r="A184" s="156"/>
      <c r="B184" s="269" t="s">
        <v>225</v>
      </c>
      <c r="C184" s="113" t="s">
        <v>119</v>
      </c>
      <c r="D184" s="156"/>
      <c r="E184" s="239" t="s">
        <v>86</v>
      </c>
      <c r="F184" s="138">
        <f t="shared" si="1"/>
        <v>7.2</v>
      </c>
      <c r="G184" s="106"/>
      <c r="H184" s="168"/>
      <c r="I184" s="168"/>
      <c r="J184" s="107"/>
      <c r="K184" s="282"/>
      <c r="L184" s="282"/>
      <c r="M184" s="363"/>
      <c r="N184" s="145"/>
      <c r="O184" s="261"/>
      <c r="P184" s="261"/>
      <c r="Q184" s="261"/>
      <c r="R184" s="277"/>
      <c r="S184" s="228"/>
      <c r="T184" s="228"/>
      <c r="U184" s="228"/>
      <c r="V184" s="228"/>
    </row>
    <row r="185" outlineLevel="1">
      <c r="A185" s="278" t="s">
        <v>229</v>
      </c>
      <c r="B185" s="269" t="s">
        <v>227</v>
      </c>
      <c r="C185" s="281"/>
      <c r="D185" s="279" t="s">
        <v>218</v>
      </c>
      <c r="E185" s="281"/>
      <c r="F185" s="476"/>
      <c r="G185" s="1170"/>
      <c r="H185" s="164"/>
      <c r="I185" s="164"/>
      <c r="J185" s="104"/>
      <c r="K185" s="282"/>
      <c r="L185" s="282"/>
      <c r="M185" s="363"/>
      <c r="N185" s="363"/>
      <c r="O185" s="145">
        <v>0.0</v>
      </c>
      <c r="P185" s="145">
        <v>1.0</v>
      </c>
      <c r="Q185" s="145">
        <v>1.0</v>
      </c>
      <c r="R185" s="277"/>
      <c r="S185" s="228"/>
      <c r="T185" s="228"/>
      <c r="U185" s="228"/>
      <c r="V185" s="228"/>
    </row>
    <row r="186" outlineLevel="1">
      <c r="A186" s="156"/>
      <c r="B186" s="269" t="s">
        <v>225</v>
      </c>
      <c r="C186" s="113" t="s">
        <v>268</v>
      </c>
      <c r="D186" s="156"/>
      <c r="E186" s="239" t="s">
        <v>128</v>
      </c>
      <c r="F186" s="138">
        <f t="shared" ref="F186:F190" si="2">IFERROR(E186*1.2, "-")</f>
        <v>12</v>
      </c>
      <c r="G186" s="106"/>
      <c r="H186" s="168"/>
      <c r="I186" s="168"/>
      <c r="J186" s="107"/>
      <c r="K186" s="282"/>
      <c r="L186" s="282"/>
      <c r="M186" s="363"/>
      <c r="N186" s="363"/>
      <c r="O186" s="261"/>
      <c r="P186" s="261"/>
      <c r="Q186" s="261"/>
      <c r="R186" s="277"/>
      <c r="S186" s="228"/>
      <c r="T186" s="228"/>
      <c r="U186" s="228"/>
      <c r="V186" s="228"/>
    </row>
    <row r="187" outlineLevel="1">
      <c r="A187" s="278" t="s">
        <v>233</v>
      </c>
      <c r="B187" s="269" t="s">
        <v>227</v>
      </c>
      <c r="C187" s="113" t="s">
        <v>653</v>
      </c>
      <c r="D187" s="279" t="s">
        <v>111</v>
      </c>
      <c r="E187" s="239" t="s">
        <v>204</v>
      </c>
      <c r="F187" s="138">
        <f t="shared" si="2"/>
        <v>3.6</v>
      </c>
      <c r="G187" s="1170"/>
      <c r="H187" s="164"/>
      <c r="I187" s="164"/>
      <c r="J187" s="104"/>
      <c r="K187" s="282"/>
      <c r="L187" s="282"/>
      <c r="M187" s="363"/>
      <c r="N187" s="363"/>
      <c r="O187" s="145">
        <v>0.0</v>
      </c>
      <c r="P187" s="145">
        <v>1.0</v>
      </c>
      <c r="Q187" s="145">
        <v>1.0</v>
      </c>
      <c r="R187" s="277"/>
      <c r="S187" s="228"/>
      <c r="T187" s="228"/>
      <c r="U187" s="228"/>
      <c r="V187" s="228"/>
    </row>
    <row r="188" outlineLevel="1">
      <c r="A188" s="156"/>
      <c r="B188" s="269" t="s">
        <v>225</v>
      </c>
      <c r="C188" s="113" t="s">
        <v>296</v>
      </c>
      <c r="D188" s="156"/>
      <c r="E188" s="239" t="s">
        <v>80</v>
      </c>
      <c r="F188" s="138">
        <f t="shared" si="2"/>
        <v>9.6</v>
      </c>
      <c r="G188" s="106"/>
      <c r="H188" s="168"/>
      <c r="I188" s="168"/>
      <c r="J188" s="107"/>
      <c r="K188" s="282"/>
      <c r="L188" s="282"/>
      <c r="M188" s="363"/>
      <c r="N188" s="363"/>
      <c r="O188" s="261"/>
      <c r="P188" s="261"/>
      <c r="Q188" s="261"/>
      <c r="R188" s="277"/>
      <c r="S188" s="117"/>
      <c r="T188" s="117"/>
      <c r="U188" s="117"/>
      <c r="V188" s="117"/>
    </row>
    <row r="189" outlineLevel="1">
      <c r="A189" s="278" t="s">
        <v>234</v>
      </c>
      <c r="B189" s="269" t="s">
        <v>6052</v>
      </c>
      <c r="C189" s="113" t="s">
        <v>2529</v>
      </c>
      <c r="D189" s="279" t="s">
        <v>99</v>
      </c>
      <c r="E189" s="239" t="s">
        <v>93</v>
      </c>
      <c r="F189" s="138">
        <f t="shared" si="2"/>
        <v>8.4</v>
      </c>
      <c r="G189" s="283" t="s">
        <v>3251</v>
      </c>
      <c r="H189" s="164"/>
      <c r="I189" s="164"/>
      <c r="J189" s="104"/>
      <c r="K189" s="282"/>
      <c r="L189" s="282"/>
      <c r="M189" s="363"/>
      <c r="N189" s="363"/>
      <c r="O189" s="145">
        <v>0.0</v>
      </c>
      <c r="P189" s="145">
        <v>1.0</v>
      </c>
      <c r="Q189" s="145">
        <v>1.0</v>
      </c>
      <c r="R189" s="277"/>
      <c r="S189" s="117"/>
      <c r="T189" s="117"/>
      <c r="U189" s="117"/>
      <c r="V189" s="117"/>
    </row>
    <row r="190" outlineLevel="1">
      <c r="A190" s="156"/>
      <c r="B190" s="269" t="s">
        <v>225</v>
      </c>
      <c r="C190" s="113" t="s">
        <v>718</v>
      </c>
      <c r="D190" s="156"/>
      <c r="E190" s="239" t="s">
        <v>80</v>
      </c>
      <c r="F190" s="138">
        <f t="shared" si="2"/>
        <v>9.6</v>
      </c>
      <c r="G190" s="106"/>
      <c r="H190" s="168"/>
      <c r="I190" s="168"/>
      <c r="J190" s="107"/>
      <c r="K190" s="282"/>
      <c r="L190" s="282"/>
      <c r="M190" s="363"/>
      <c r="N190" s="363"/>
      <c r="O190" s="261"/>
      <c r="P190" s="261"/>
      <c r="Q190" s="261"/>
      <c r="R190" s="277"/>
      <c r="S190" s="117"/>
      <c r="T190" s="117"/>
      <c r="U190" s="117"/>
      <c r="V190" s="117"/>
    </row>
    <row r="191">
      <c r="A191" s="223"/>
      <c r="B191" s="224"/>
      <c r="C191" s="225"/>
      <c r="D191" s="225"/>
      <c r="E191" s="227"/>
      <c r="F191" s="177"/>
      <c r="G191" s="177"/>
      <c r="H191" s="227"/>
      <c r="I191" s="227"/>
      <c r="J191" s="228"/>
      <c r="K191" s="228"/>
      <c r="L191" s="111"/>
      <c r="M191" s="111"/>
      <c r="N191" s="111"/>
      <c r="O191" s="117"/>
      <c r="P191" s="117"/>
      <c r="Q191" s="111"/>
      <c r="R191" s="111"/>
      <c r="S191" s="111"/>
      <c r="T191" s="111"/>
      <c r="U191" s="111"/>
      <c r="V191" s="111"/>
    </row>
    <row r="192">
      <c r="A192" s="284" t="s">
        <v>241</v>
      </c>
      <c r="B192" s="104"/>
      <c r="C192" s="265"/>
      <c r="D192" s="111"/>
      <c r="E192" s="111"/>
      <c r="F192" s="111"/>
      <c r="G192" s="111"/>
      <c r="H192" s="111"/>
      <c r="I192" s="111"/>
      <c r="J192" s="118"/>
      <c r="K192" s="111"/>
      <c r="L192" s="111"/>
      <c r="M192" s="111"/>
      <c r="N192" s="111"/>
      <c r="O192" s="111"/>
      <c r="P192" s="111"/>
      <c r="Q192" s="118"/>
      <c r="R192" s="111"/>
      <c r="S192" s="111"/>
      <c r="T192" s="111"/>
      <c r="U192" s="111"/>
      <c r="V192" s="111"/>
    </row>
    <row r="193" outlineLevel="1">
      <c r="A193" s="106"/>
      <c r="B193" s="107"/>
      <c r="C193" s="285" t="s">
        <v>235</v>
      </c>
      <c r="D193" s="285" t="s">
        <v>236</v>
      </c>
      <c r="E193" s="285" t="s">
        <v>49</v>
      </c>
      <c r="F193" s="285" t="s">
        <v>237</v>
      </c>
      <c r="G193" s="286"/>
      <c r="H193" s="227"/>
      <c r="I193" s="227"/>
      <c r="J193" s="228"/>
      <c r="K193" s="228"/>
      <c r="L193" s="111"/>
      <c r="M193" s="111"/>
      <c r="N193" s="111"/>
      <c r="O193" s="111"/>
      <c r="P193" s="111"/>
      <c r="Q193" s="111"/>
      <c r="R193" s="111"/>
      <c r="S193" s="111"/>
      <c r="T193" s="111"/>
      <c r="U193" s="111"/>
      <c r="V193" s="111"/>
    </row>
    <row r="194" outlineLevel="1">
      <c r="A194" s="287" t="s">
        <v>395</v>
      </c>
      <c r="B194" s="288" t="s">
        <v>216</v>
      </c>
      <c r="C194" s="113" t="str">
        <f t="array" ref="C194">INDEX('回避'!$C$3:$U$91, MATCH($A$1,'回避'!$A$3:$A$91,0), MATCH(C193,'回避'!$C$2:$F$2,0))</f>
        <v>3-17</v>
      </c>
      <c r="D194" s="113" t="str">
        <f t="array" ref="D194">INDEX('回避'!$C$3:$U$91, MATCH($A$1,'回避'!$A$3:$A$91,0), MATCH(D193,'回避'!$C$2:$F$2,0))</f>
        <v>6-17</v>
      </c>
      <c r="E194" s="113" t="str">
        <f t="array" ref="E194">INDEX('回避'!$C$3:$U$91, MATCH($A$1,'回避'!$A$3:$A$91,0), MATCH(E193,'回避'!$C$2:$F$2,0))</f>
        <v>25 (20)</v>
      </c>
      <c r="F194" s="113" t="str">
        <f t="array" ref="F194">INDEX('回避'!$C$3:$U$91, MATCH($A$1,'回避'!$A$3:$A$91,0), MATCH(F193,'回避'!$C$2:$F$2,0))</f>
        <v>33 (27)</v>
      </c>
      <c r="G194" s="272"/>
      <c r="H194" s="227"/>
      <c r="I194" s="227"/>
      <c r="J194" s="228"/>
      <c r="K194" s="228"/>
      <c r="L194" s="228"/>
      <c r="M194" s="111"/>
      <c r="N194" s="111"/>
      <c r="O194" s="111"/>
      <c r="P194" s="111"/>
      <c r="Q194" s="111"/>
      <c r="R194" s="111"/>
      <c r="S194" s="111"/>
      <c r="T194" s="111"/>
      <c r="U194" s="111"/>
      <c r="V194" s="111"/>
    </row>
    <row r="195" outlineLevel="1">
      <c r="A195" s="212"/>
      <c r="B195" s="288" t="s">
        <v>245</v>
      </c>
      <c r="C195" s="113" t="str">
        <f t="array" ref="C195">INDEX('回避'!$G$3:$U$91, MATCH($A$1,'回避'!$A$3:$A$91,0), MATCH(C193,'回避'!$G$2:$J$2,0))</f>
        <v>4-15</v>
      </c>
      <c r="D195" s="113" t="str">
        <f t="array" ref="D195">INDEX('回避'!$G$3:$U$91, MATCH($A$1,'回避'!$A$3:$A$91,0), MATCH(D193,'回避'!$G$2:$J$2,0))</f>
        <v>8-14</v>
      </c>
      <c r="E195" s="113" t="str">
        <f t="array" ref="E195">INDEX('回避'!$G$3:$U$91, MATCH($A$1,'回避'!$A$3:$A$91,0), MATCH(E193,'回避'!$G$2:$J$2,0))</f>
        <v>29</v>
      </c>
      <c r="F195" s="113">
        <f t="array" ref="F195">INDEX('回避'!$G$3:$U$91, MATCH($A$1,'回避'!$A$3:$A$91,0), MATCH(F193,'回避'!$G$2:$J$2,0))</f>
        <v>38</v>
      </c>
      <c r="G195" s="289"/>
      <c r="H195" s="227"/>
      <c r="I195" s="227"/>
      <c r="J195" s="228"/>
      <c r="K195" s="228"/>
      <c r="L195" s="228"/>
      <c r="M195" s="228"/>
      <c r="N195" s="228"/>
      <c r="O195" s="111"/>
      <c r="P195" s="111"/>
      <c r="Q195" s="111"/>
      <c r="R195" s="111"/>
      <c r="S195" s="111"/>
      <c r="T195" s="111"/>
      <c r="U195" s="111"/>
      <c r="V195" s="111"/>
    </row>
    <row r="196" outlineLevel="1">
      <c r="A196" s="106"/>
      <c r="B196" s="288" t="s">
        <v>246</v>
      </c>
      <c r="C196" s="113" t="str">
        <f t="array" ref="C196">INDEX('回避'!$K$3:$U$91, MATCH($A$1,'回避'!$A$3:$A$91,0), MATCH(C193,'回避'!$K$2:$N$2,0))</f>
        <v>5-16</v>
      </c>
      <c r="D196" s="113" t="str">
        <f t="array" ref="D196">INDEX('回避'!$K$3:$U$91, MATCH($A$1,'回避'!$A$3:$A$91,0), MATCH(D193,'回避'!$K$2:$N$2,0))</f>
        <v>9-14</v>
      </c>
      <c r="E196" s="113" t="str">
        <f t="array" ref="E196">INDEX('回避'!$K$3:$U$91, MATCH($A$1,'回避'!$A$3:$A$91,0), MATCH(E193,'回避'!$K$2:$N$2,0))</f>
        <v>34</v>
      </c>
      <c r="F196" s="113" t="str">
        <f t="array" ref="F196">INDEX('回避'!$K$3:$U$91, MATCH($A$1,'回避'!$A$3:$A$91,0), MATCH(F193,'回避'!$K$2:$N$2,0))</f>
        <v>51</v>
      </c>
      <c r="G196" s="289"/>
      <c r="H196" s="290"/>
      <c r="I196" s="290"/>
      <c r="J196" s="117"/>
      <c r="K196" s="117"/>
      <c r="L196" s="117"/>
      <c r="M196" s="117"/>
      <c r="N196" s="117"/>
      <c r="O196" s="111"/>
      <c r="P196" s="111"/>
      <c r="Q196" s="111"/>
      <c r="R196" s="111"/>
      <c r="S196" s="111"/>
      <c r="T196" s="111"/>
      <c r="U196" s="111"/>
      <c r="V196" s="111"/>
    </row>
    <row r="197" outlineLevel="1">
      <c r="A197" s="287" t="s">
        <v>396</v>
      </c>
      <c r="B197" s="288" t="s">
        <v>397</v>
      </c>
      <c r="C197" s="113" t="str">
        <f t="array" ref="C197">INDEX('回避'!$O$3:$U$91, MATCH($A$1,'回避'!$A$3:$A$91,0), MATCH(C193,'回避'!$O$2:$R$2,0))</f>
        <v>3-30</v>
      </c>
      <c r="D197" s="113" t="str">
        <f t="array" ref="D197">INDEX('回避'!$O$3:$U$91, MATCH($A$1,'回避'!$A$3:$A$91,0), MATCH(D193,'回避'!$O$2:$R$2,0))</f>
        <v>6-27</v>
      </c>
      <c r="E197" s="113" t="str">
        <f t="array" ref="E197">INDEX('回避'!$O$3:$U$91, MATCH($A$1,'回避'!$A$3:$A$91,0), MATCH(E193,'回避'!$O$2:$R$2,0))</f>
        <v>54</v>
      </c>
      <c r="F197" s="177"/>
      <c r="G197" s="177"/>
      <c r="H197" s="118"/>
      <c r="I197" s="118"/>
      <c r="J197" s="111"/>
      <c r="K197" s="111"/>
      <c r="L197" s="111"/>
      <c r="M197" s="111"/>
      <c r="N197" s="111"/>
      <c r="O197" s="228"/>
      <c r="P197" s="228"/>
      <c r="Q197" s="228"/>
      <c r="R197" s="228"/>
      <c r="S197" s="228"/>
      <c r="T197" s="228"/>
      <c r="U197" s="228"/>
      <c r="V197" s="228"/>
    </row>
    <row r="198" outlineLevel="1">
      <c r="A198" s="106"/>
      <c r="B198" s="288" t="s">
        <v>398</v>
      </c>
      <c r="C198" s="113" t="str">
        <f t="array" ref="C198">INDEX('回避'!$S$3:$U$91, MATCH($A$1,'回避'!$A$3:$A$91,0), MATCH(C193,'回避'!$S$2:$U$2,0))</f>
        <v>3-21</v>
      </c>
      <c r="D198" s="113" t="str">
        <f t="array" ref="D198">INDEX('回避'!$S$3:$U$91, MATCH($A$1,'回避'!$A$3:$A$91,0), MATCH(D193,'回避'!$S$2:$U$2,0))</f>
        <v>6-20</v>
      </c>
      <c r="E198" s="113" t="str">
        <f t="array" ref="E198">INDEX('回避'!$S$3:$U$91, MATCH($A$1,'回避'!$A$3:$A$91,0), MATCH(E193,'回避'!$S$2:$U$2,0))</f>
        <v>真横：92
真上：122
真下：75</v>
      </c>
      <c r="F198" s="289"/>
      <c r="G198" s="289"/>
      <c r="H198" s="118"/>
      <c r="I198" s="118"/>
      <c r="J198" s="117"/>
      <c r="K198" s="117"/>
      <c r="L198" s="117"/>
      <c r="M198" s="117"/>
      <c r="N198" s="111"/>
      <c r="O198" s="118"/>
      <c r="P198" s="118"/>
      <c r="Q198" s="118"/>
      <c r="R198" s="118"/>
      <c r="S198" s="118"/>
      <c r="T198" s="118"/>
      <c r="U198" s="118"/>
      <c r="V198" s="118"/>
    </row>
    <row r="199">
      <c r="A199" s="291"/>
      <c r="B199" s="292"/>
      <c r="C199" s="286"/>
      <c r="D199" s="286"/>
      <c r="E199" s="293"/>
      <c r="F199" s="286"/>
      <c r="G199" s="286"/>
      <c r="H199" s="286"/>
      <c r="I199" s="286"/>
      <c r="J199" s="111"/>
      <c r="K199" s="227"/>
      <c r="L199" s="227"/>
      <c r="M199" s="227"/>
      <c r="N199" s="227"/>
      <c r="O199" s="118"/>
      <c r="P199" s="118"/>
      <c r="Q199" s="118"/>
      <c r="R199" s="118"/>
      <c r="S199" s="118"/>
      <c r="T199" s="118"/>
      <c r="U199" s="118"/>
      <c r="V199" s="118"/>
    </row>
    <row r="200">
      <c r="A200" s="294" t="s">
        <v>238</v>
      </c>
      <c r="B200" s="104"/>
      <c r="C200" s="228"/>
      <c r="D200" s="117"/>
      <c r="E200" s="228"/>
      <c r="F200" s="114"/>
      <c r="G200" s="114"/>
      <c r="H200" s="117"/>
      <c r="I200" s="117"/>
      <c r="J200" s="118"/>
      <c r="K200" s="118"/>
      <c r="L200" s="118"/>
      <c r="M200" s="118"/>
      <c r="N200" s="118"/>
      <c r="O200" s="118"/>
      <c r="P200" s="118"/>
      <c r="Q200" s="118"/>
      <c r="R200" s="118"/>
      <c r="S200" s="118"/>
      <c r="T200" s="118"/>
      <c r="U200" s="118"/>
      <c r="V200" s="118"/>
    </row>
    <row r="201" outlineLevel="1">
      <c r="A201" s="106"/>
      <c r="B201" s="107"/>
      <c r="C201" s="295" t="s">
        <v>235</v>
      </c>
      <c r="D201" s="295" t="s">
        <v>49</v>
      </c>
      <c r="E201" s="295" t="s">
        <v>48</v>
      </c>
      <c r="F201" s="295" t="s">
        <v>50</v>
      </c>
      <c r="G201" s="296" t="s">
        <v>51</v>
      </c>
      <c r="H201" s="3433" t="s">
        <v>53</v>
      </c>
      <c r="I201" s="109"/>
      <c r="J201" s="117"/>
      <c r="K201" s="297" t="s">
        <v>256</v>
      </c>
      <c r="L201" s="109"/>
      <c r="M201" s="298" t="s">
        <v>257</v>
      </c>
      <c r="N201" s="298" t="s">
        <v>49</v>
      </c>
      <c r="O201" s="118"/>
      <c r="P201" s="118"/>
      <c r="Q201" s="118"/>
      <c r="R201" s="118"/>
      <c r="S201" s="118"/>
      <c r="T201" s="118"/>
      <c r="U201" s="118"/>
      <c r="V201" s="118"/>
    </row>
    <row r="202" outlineLevel="1">
      <c r="A202" s="299" t="s">
        <v>239</v>
      </c>
      <c r="B202" s="300" t="s">
        <v>240</v>
      </c>
      <c r="C202" s="301"/>
      <c r="D202" s="113">
        <f t="array" ref="D202">INDEX('崖行動・受け身'!$C$3:$C$115, MATCH($A$1,'崖行動・受け身'!$A$3:$A$115,0), MATCH(D201,'崖行動・受け身'!$C$2,0))</f>
        <v>19</v>
      </c>
      <c r="E202" s="301"/>
      <c r="F202" s="301"/>
      <c r="G202" s="301"/>
      <c r="H202" s="3434"/>
      <c r="I202" s="109"/>
      <c r="J202" s="111"/>
      <c r="K202" s="302" t="s">
        <v>258</v>
      </c>
      <c r="L202" s="303" t="s">
        <v>216</v>
      </c>
      <c r="M202" s="113" t="str">
        <f t="array" ref="M202">INDEX('アイテム'!$C$3:$D$115, MATCH($A$1,'アイテム'!$A$3:$A$115,0), MATCH(M$201,'アイテム'!$C$2:$AK$2,0))</f>
        <v>2</v>
      </c>
      <c r="N202" s="113">
        <f t="array" ref="N202">INDEX('アイテム'!$C$3:$D$115, MATCH($A$1,'アイテム'!$A$3:$A$115,0), MATCH(N$201,'アイテム'!$C$2:$AK$2,0))</f>
        <v>7</v>
      </c>
      <c r="O202" s="118"/>
      <c r="P202" s="118"/>
      <c r="Q202" s="118"/>
      <c r="R202" s="118"/>
      <c r="S202" s="118"/>
      <c r="T202" s="118"/>
      <c r="U202" s="118"/>
      <c r="V202" s="118"/>
    </row>
    <row r="203" outlineLevel="1">
      <c r="A203" s="146"/>
      <c r="B203" s="300" t="s">
        <v>216</v>
      </c>
      <c r="C203" s="113" t="str">
        <f t="array" ref="C203">INDEX('崖行動・受け身'!$D$3:$E$115, MATCH($A$1,'崖行動・受け身'!$A$3:$A$115,0), MATCH(C$201,'崖行動・受け身'!$D$2:$E$2,0))</f>
        <v>1-33</v>
      </c>
      <c r="D203" s="113">
        <f t="array" ref="D203">INDEX('崖行動・受け身'!$D$3:$E$115, MATCH($A$1,'崖行動・受け身'!$A$3:$A$115,0), MATCH(D$201,'崖行動・受け身'!$D$2:$E$2,0))</f>
        <v>34</v>
      </c>
      <c r="E203" s="301"/>
      <c r="F203" s="301"/>
      <c r="G203" s="301"/>
      <c r="H203" s="3434"/>
      <c r="I203" s="109"/>
      <c r="J203" s="117"/>
      <c r="K203" s="156"/>
      <c r="L203" s="303" t="s">
        <v>5389</v>
      </c>
      <c r="M203" s="113" t="str">
        <f t="array" ref="M203">INDEX('アイテム'!$E$3:$F$115, MATCH($A$1,'アイテム'!$A$3:$A$115,0), MATCH(M$201,'アイテム'!$E$2:$AK$2,0))</f>
        <v>2</v>
      </c>
      <c r="N203" s="113">
        <f t="array" ref="N203">INDEX('アイテム'!$E$3:$F$115, MATCH($A$1,'アイテム'!$A$3:$A$115,0), MATCH(N$201,'アイテム'!$E$2:$AK$2,0))</f>
        <v>19</v>
      </c>
      <c r="O203" s="118"/>
      <c r="P203" s="118"/>
      <c r="Q203" s="118"/>
      <c r="R203" s="118"/>
      <c r="S203" s="118"/>
      <c r="T203" s="118"/>
      <c r="U203" s="118"/>
      <c r="V203" s="118"/>
    </row>
    <row r="204" outlineLevel="1">
      <c r="A204" s="146"/>
      <c r="B204" s="300" t="s">
        <v>241</v>
      </c>
      <c r="C204" s="113" t="str">
        <f t="array" ref="C204">INDEX('崖行動・受け身'!$F$3:$G$115, MATCH($A$1,'崖行動・受け身'!$A$3:$A$115,0), MATCH(C$201,'崖行動・受け身'!$F$2:$G$2,0))</f>
        <v>1-30</v>
      </c>
      <c r="D204" s="113">
        <f t="array" ref="D204">INDEX('崖行動・受け身'!$F$3:$G$115, MATCH($A$1,'崖行動・受け身'!$A$3:$A$115,0), MATCH(D$201,'崖行動・受け身'!$F$2:$G$2,0))</f>
        <v>45</v>
      </c>
      <c r="E204" s="301"/>
      <c r="F204" s="301"/>
      <c r="G204" s="301"/>
      <c r="H204" s="3434"/>
      <c r="I204" s="109"/>
      <c r="J204" s="111"/>
      <c r="K204" s="304" t="s">
        <v>260</v>
      </c>
      <c r="L204" s="109"/>
      <c r="M204" s="298" t="s">
        <v>261</v>
      </c>
      <c r="N204" s="298" t="s">
        <v>49</v>
      </c>
      <c r="O204" s="118"/>
      <c r="P204" s="118"/>
      <c r="Q204" s="118"/>
      <c r="R204" s="118"/>
      <c r="S204" s="118"/>
      <c r="T204" s="118"/>
      <c r="U204" s="118"/>
      <c r="V204" s="118"/>
    </row>
    <row r="205" outlineLevel="1">
      <c r="A205" s="146"/>
      <c r="B205" s="300" t="s">
        <v>242</v>
      </c>
      <c r="C205" s="113" t="str">
        <f t="array" ref="C205">INDEX('崖行動・受け身'!$H$3:$I$115, MATCH($A$1,'崖行動・受け身'!$A$3:$A$115,0), MATCH(C$201,'崖行動・受け身'!$H$2:$I$2,0))</f>
        <v>1-12</v>
      </c>
      <c r="D205" s="113">
        <f t="array" ref="D205">INDEX('崖行動・受け身'!$H$3:$I$115, MATCH($A$1,'崖行動・受け身'!$A$3:$A$115,0), MATCH(D$201,'崖行動・受け身'!$H$2:$I$2,0))</f>
        <v>14</v>
      </c>
      <c r="E205" s="301"/>
      <c r="F205" s="301"/>
      <c r="G205" s="301"/>
      <c r="H205" s="3434"/>
      <c r="I205" s="109"/>
      <c r="J205" s="117"/>
      <c r="K205" s="305" t="s">
        <v>262</v>
      </c>
      <c r="L205" s="303" t="s">
        <v>226</v>
      </c>
      <c r="M205" s="113" t="str">
        <f t="array" ref="M205">INDEX('アイテム'!$G$3:$H$115, MATCH($A$1,'アイテム'!$A$3:$A$115,0), MATCH(M$204,'アイテム'!$G$2:$AK$2,0))</f>
        <v>8</v>
      </c>
      <c r="N205" s="113">
        <f t="array" ref="N205">INDEX('アイテム'!$G$3:$H$115, MATCH($A$1,'アイテム'!$A$3:$A$115,0), MATCH(N$204,'アイテム'!$G$2:$AK$2,0))</f>
        <v>24</v>
      </c>
      <c r="O205" s="111"/>
      <c r="P205" s="111"/>
      <c r="Q205" s="111"/>
      <c r="R205" s="111"/>
      <c r="S205" s="111"/>
      <c r="T205" s="111"/>
      <c r="U205" s="111"/>
      <c r="V205" s="111"/>
    </row>
    <row r="206" outlineLevel="1">
      <c r="A206" s="156"/>
      <c r="B206" s="300" t="s">
        <v>243</v>
      </c>
      <c r="C206" s="113" t="str">
        <f t="array" ref="C206">INDEX('崖行動・受け身'!$J$3:$M$115, MATCH($A$1,'崖行動・受け身'!$A$3:$A$115,0), MATCH(C$201,'崖行動・受け身'!$J$2:$M$2,0))</f>
        <v>1-26</v>
      </c>
      <c r="D206" s="113">
        <f t="array" ref="D206">INDEX('崖行動・受け身'!$J$3:$M$115, MATCH($A$1,'崖行動・受け身'!$A$3:$A$115,0), MATCH(D$201,'崖行動・受け身'!$J$2:$M$2,0))</f>
        <v>55</v>
      </c>
      <c r="E206" s="113" t="str">
        <f t="array" ref="E206">INDEX('崖行動・受け身'!$J$3:$M$115, MATCH($A$1,'崖行動・受け身'!$A$3:$A$115,0), MATCH(E$201,'崖行動・受け身'!$J$2:$M$2,0))</f>
        <v>24-26</v>
      </c>
      <c r="F206" s="113">
        <f t="array" ref="F206">INDEX('崖行動・受け身'!$J$3:$M$115, MATCH($A$1,'崖行動・受け身'!$A$3:$A$115,0), MATCH(F$201,'崖行動・受け身'!$J$2:$M$2,0))</f>
        <v>9</v>
      </c>
      <c r="G206" s="113">
        <f>F206*1.2</f>
        <v>10.8</v>
      </c>
      <c r="H206" s="3435" t="s">
        <v>6053</v>
      </c>
      <c r="I206" s="109"/>
      <c r="J206" s="111"/>
      <c r="K206" s="146"/>
      <c r="L206" s="303" t="s">
        <v>229</v>
      </c>
      <c r="M206" s="113" t="str">
        <f t="array" ref="M206">INDEX('アイテム'!$I$3:$J$115, MATCH($A$1,'アイテム'!$A$3:$A$115,0), MATCH(M$204,'アイテム'!$I$2:$AK$2,0))</f>
        <v>11</v>
      </c>
      <c r="N206" s="113">
        <f t="array" ref="N206">INDEX('アイテム'!$I$3:$J$115, MATCH($A$1,'アイテム'!$A$3:$A$115,0), MATCH(N$204,'アイテム'!$I$2:$AK$2,0))</f>
        <v>24</v>
      </c>
      <c r="O206" s="111"/>
      <c r="P206" s="111"/>
      <c r="Q206" s="111"/>
      <c r="R206" s="111"/>
      <c r="S206" s="111"/>
      <c r="T206" s="111"/>
      <c r="U206" s="111"/>
      <c r="V206" s="111"/>
    </row>
    <row r="207" outlineLevel="1">
      <c r="A207" s="299" t="s">
        <v>244</v>
      </c>
      <c r="B207" s="300" t="s">
        <v>216</v>
      </c>
      <c r="C207" s="113" t="str">
        <f t="array" ref="C207">INDEX('崖行動・受け身'!$N$3:$O$115, MATCH($A$1,'崖行動・受け身'!$A$3:$A$115,0), MATCH(C$201,'崖行動・受け身'!$N$2:$O$2,0))</f>
        <v>1-20</v>
      </c>
      <c r="D207" s="113">
        <f t="array" ref="D207">INDEX('崖行動・受け身'!$N$3:$O$115, MATCH($A$1,'崖行動・受け身'!$A$3:$A$115,0), MATCH(D$201,'崖行動・受け身'!$N$2:$O$2,0))</f>
        <v>26</v>
      </c>
      <c r="E207" s="301"/>
      <c r="F207" s="301"/>
      <c r="G207" s="301"/>
      <c r="H207" s="3434"/>
      <c r="I207" s="109"/>
      <c r="J207" s="117"/>
      <c r="K207" s="146"/>
      <c r="L207" s="303" t="s">
        <v>233</v>
      </c>
      <c r="M207" s="113" t="str">
        <f t="array" ref="M207">INDEX('アイテム'!$K$3:$L$115, MATCH($A$1,'アイテム'!$A$3:$A$115,0), MATCH(M$204,'アイテム'!$K$2:$AK$2,0))</f>
        <v>12</v>
      </c>
      <c r="N207" s="113">
        <f t="array" ref="N207">INDEX('アイテム'!$K$3:$L$115, MATCH($A$1,'アイテム'!$A$3:$A$115,0), MATCH(N$204,'アイテム'!$K$2:$AK$2,0))</f>
        <v>23</v>
      </c>
      <c r="O207" s="228"/>
      <c r="P207" s="228"/>
      <c r="Q207" s="228"/>
      <c r="R207" s="228"/>
      <c r="S207" s="228"/>
      <c r="T207" s="228"/>
      <c r="U207" s="228"/>
      <c r="V207" s="228"/>
    </row>
    <row r="208" outlineLevel="1">
      <c r="A208" s="146"/>
      <c r="B208" s="300" t="s">
        <v>245</v>
      </c>
      <c r="C208" s="113" t="str">
        <f t="array" ref="C208">INDEX('崖行動・受け身'!$P$3:$Q$115, MATCH($A$1,'崖行動・受け身'!$A$3:$A$115,0), MATCH(C$201,'崖行動・受け身'!$P$2:$Q$2,0))</f>
        <v>1-20</v>
      </c>
      <c r="D208" s="113">
        <f t="array" ref="D208">INDEX('崖行動・受け身'!$P$3:$Q$115, MATCH($A$1,'崖行動・受け身'!$A$3:$A$115,0), MATCH(D$201,'崖行動・受け身'!$P$2:$Q$2,0))</f>
        <v>40</v>
      </c>
      <c r="E208" s="301"/>
      <c r="F208" s="301"/>
      <c r="G208" s="301"/>
      <c r="H208" s="3434"/>
      <c r="I208" s="109"/>
      <c r="J208" s="111"/>
      <c r="K208" s="146"/>
      <c r="L208" s="303" t="s">
        <v>234</v>
      </c>
      <c r="M208" s="113" t="str">
        <f t="array" ref="M208">INDEX('アイテム'!$M$3:$N$115, MATCH($A$1,'アイテム'!$A$3:$A$115,0), MATCH(M$204,'アイテム'!$M$2:$AK$2,0))</f>
        <v>7</v>
      </c>
      <c r="N208" s="113">
        <f t="array" ref="N208">INDEX('アイテム'!$M$3:$N$115, MATCH($A$1,'アイテム'!$A$3:$A$115,0), MATCH(N$204,'アイテム'!$M$2:$AK$2,0))</f>
        <v>19</v>
      </c>
      <c r="O208" s="118"/>
      <c r="P208" s="118"/>
      <c r="Q208" s="118"/>
      <c r="R208" s="118"/>
      <c r="S208" s="118"/>
      <c r="T208" s="118"/>
      <c r="U208" s="118"/>
      <c r="V208" s="118"/>
    </row>
    <row r="209" outlineLevel="1">
      <c r="A209" s="156"/>
      <c r="B209" s="300" t="s">
        <v>246</v>
      </c>
      <c r="C209" s="113" t="str">
        <f t="array" ref="C209">INDEX('崖行動・受け身'!$R$3:$S$115, MATCH($A$1,'崖行動・受け身'!$A$3:$A$115,0), MATCH(C$201,'崖行動・受け身'!$R$2:$S$2,0))</f>
        <v>1-20</v>
      </c>
      <c r="D209" s="113">
        <f t="array" ref="D209">INDEX('崖行動・受け身'!$R$3:$S$115, MATCH($A$1,'崖行動・受け身'!$A$3:$A$115,0), MATCH(D$201,'崖行動・受け身'!$R$2:$S$2,0))</f>
        <v>40</v>
      </c>
      <c r="E209" s="301"/>
      <c r="F209" s="301"/>
      <c r="G209" s="301"/>
      <c r="H209" s="3434"/>
      <c r="I209" s="109"/>
      <c r="J209" s="117"/>
      <c r="K209" s="146"/>
      <c r="L209" s="306" t="s">
        <v>219</v>
      </c>
      <c r="M209" s="113" t="str">
        <f t="array" ref="M209">INDEX('アイテム'!$O$3:$P$115, MATCH($A$1,'アイテム'!$A$3:$A$115,0), MATCH(M$204,'アイテム'!$O$2:$AK$2,0))</f>
        <v>5</v>
      </c>
      <c r="N209" s="113">
        <f t="array" ref="N209">INDEX('アイテム'!$O$3:$P$115, MATCH($A$1,'アイテム'!$A$3:$A$115,0), MATCH(N$204,'アイテム'!$O$2:$AK$2,0))</f>
        <v>29</v>
      </c>
      <c r="O209" s="118"/>
      <c r="P209" s="118"/>
      <c r="Q209" s="118"/>
      <c r="R209" s="118"/>
      <c r="S209" s="118"/>
      <c r="T209" s="118"/>
      <c r="U209" s="118"/>
      <c r="V209" s="118"/>
    </row>
    <row r="210" outlineLevel="1">
      <c r="A210" s="299" t="s">
        <v>247</v>
      </c>
      <c r="B210" s="300" t="s">
        <v>248</v>
      </c>
      <c r="C210" s="301"/>
      <c r="D210" s="113" t="str">
        <f t="array" ref="D210">INDEX('起きあがり'!$C$3:$C$115, MATCH($A$1,'起きあがり'!$A$3:$A$115,0), MATCH(D$201,'起きあがり'!$C$2:$AD$2,0))</f>
        <v>25</v>
      </c>
      <c r="E210" s="301"/>
      <c r="F210" s="301"/>
      <c r="G210" s="301"/>
      <c r="H210" s="3434"/>
      <c r="I210" s="109"/>
      <c r="J210" s="111"/>
      <c r="K210" s="156"/>
      <c r="L210" s="306" t="s">
        <v>263</v>
      </c>
      <c r="M210" s="113" t="str">
        <f t="array" ref="M210">INDEX('アイテム'!$Q$3:$R$115, MATCH($A$1,'アイテム'!$A$3:$A$115,0), MATCH(M$204,'アイテム'!$Q$2:$AK$2,0))</f>
        <v>6</v>
      </c>
      <c r="N210" s="113">
        <f t="array" ref="N210">INDEX('アイテム'!$Q$3:$R$115, MATCH($A$1,'アイテム'!$A$3:$A$115,0), MATCH(N$204,'アイテム'!$Q$2:$AK$2,0))</f>
        <v>23</v>
      </c>
      <c r="O210" s="118"/>
      <c r="P210" s="118"/>
      <c r="Q210" s="118"/>
      <c r="R210" s="118"/>
      <c r="S210" s="118"/>
      <c r="T210" s="118"/>
      <c r="U210" s="118"/>
      <c r="V210" s="118"/>
    </row>
    <row r="211" outlineLevel="1">
      <c r="A211" s="146"/>
      <c r="B211" s="300" t="s">
        <v>216</v>
      </c>
      <c r="C211" s="307" t="str">
        <f t="array" ref="C211">INDEX('起きあがり'!$D$3:$E$115, MATCH($A$1,'起きあがり'!$A$3:$A$115,0), MATCH(C$201,'起きあがり'!$D$2:$AD$2,0))</f>
        <v>1-22</v>
      </c>
      <c r="D211" s="308">
        <f t="array" ref="D211">INDEX('起きあがり'!$D$3:$E$115, MATCH($A$1,'起きあがり'!$A$3:$A$115,0), MATCH(D$201,'起きあがり'!$D$2:$AD$2,0))</f>
        <v>29</v>
      </c>
      <c r="E211" s="301"/>
      <c r="F211" s="301"/>
      <c r="G211" s="301"/>
      <c r="H211" s="3434"/>
      <c r="I211" s="109"/>
      <c r="J211" s="117"/>
      <c r="K211" s="305" t="s">
        <v>264</v>
      </c>
      <c r="L211" s="303" t="s">
        <v>226</v>
      </c>
      <c r="M211" s="113" t="str">
        <f t="array" ref="M211">INDEX('アイテム'!$S$3:$T$115, MATCH($A$1,'アイテム'!$A$3:$A$115,0), MATCH(M$204,'アイテム'!$S$2:$AK$2,0))</f>
        <v>8</v>
      </c>
      <c r="N211" s="113">
        <f t="array" ref="N211">INDEX('アイテム'!$S$3:$T$115, MATCH($A$1,'アイテム'!$A$3:$A$115,0), MATCH(N$204,'アイテム'!$S$2:$AK$2,0))</f>
        <v>24</v>
      </c>
      <c r="O211" s="118"/>
      <c r="P211" s="118"/>
      <c r="Q211" s="118"/>
      <c r="R211" s="118"/>
      <c r="S211" s="118"/>
      <c r="T211" s="118"/>
      <c r="U211" s="118"/>
      <c r="V211" s="118"/>
    </row>
    <row r="212" outlineLevel="1">
      <c r="A212" s="146"/>
      <c r="B212" s="300" t="s">
        <v>245</v>
      </c>
      <c r="C212" s="307" t="str">
        <f t="array" ref="C212">INDEX('起きあがり'!$F$3:$G$115, MATCH($A$1,'起きあがり'!$A$3:$A$115,0), MATCH(C$201,'起きあがり'!$F$2:$AD$2,0))</f>
        <v>1-21</v>
      </c>
      <c r="D212" s="308">
        <f t="array" ref="D212">INDEX('起きあがり'!$F$3:$G$115, MATCH($A$1,'起きあがり'!$A$3:$A$115,0), MATCH(D$201,'起きあがり'!$F$2:$AD$2,0))</f>
        <v>35</v>
      </c>
      <c r="E212" s="301"/>
      <c r="F212" s="301"/>
      <c r="G212" s="301"/>
      <c r="H212" s="3435"/>
      <c r="I212" s="109"/>
      <c r="J212" s="111"/>
      <c r="K212" s="146"/>
      <c r="L212" s="303" t="s">
        <v>229</v>
      </c>
      <c r="M212" s="113" t="str">
        <f t="array" ref="M212">INDEX('アイテム'!$U$3:$V$115, MATCH($A$1,'アイテム'!$A$3:$A$115,0), MATCH(M$204,'アイテム'!$U$2:$AK$2,0))</f>
        <v>11</v>
      </c>
      <c r="N212" s="113">
        <f t="array" ref="N212">INDEX('アイテム'!$U$3:$V$115, MATCH($A$1,'アイテム'!$A$3:$A$115,0), MATCH(N$204,'アイテム'!$U$2:$AK$2,0))</f>
        <v>24</v>
      </c>
      <c r="O212" s="118"/>
      <c r="P212" s="118"/>
      <c r="Q212" s="118"/>
      <c r="R212" s="118"/>
      <c r="S212" s="118"/>
      <c r="T212" s="118"/>
      <c r="U212" s="118"/>
      <c r="V212" s="118"/>
    </row>
    <row r="213" outlineLevel="1">
      <c r="A213" s="146"/>
      <c r="B213" s="300" t="s">
        <v>246</v>
      </c>
      <c r="C213" s="113" t="str">
        <f t="array" ref="C213">INDEX('起きあがり'!$H$3:$I$115, MATCH($A$1,'起きあがり'!$A$3:$A$115,0), MATCH(C$201,'起きあがり'!$H$2:$AD$2,0))</f>
        <v>1-22</v>
      </c>
      <c r="D213" s="113">
        <f t="array" ref="D213">INDEX('起きあがり'!$H$3:$I$115, MATCH($A$1,'起きあがり'!$A$3:$A$115,0), MATCH(D$201,'起きあがり'!$H$2:$AD$2,0))</f>
        <v>35</v>
      </c>
      <c r="E213" s="301"/>
      <c r="F213" s="301"/>
      <c r="G213" s="301"/>
      <c r="H213" s="3435"/>
      <c r="I213" s="109"/>
      <c r="J213" s="117"/>
      <c r="K213" s="146"/>
      <c r="L213" s="303" t="s">
        <v>233</v>
      </c>
      <c r="M213" s="113" t="str">
        <f t="array" ref="M213">INDEX('アイテム'!$W$3:$X$115, MATCH($A$1,'アイテム'!$A$3:$A$115,0), MATCH(M$204,'アイテム'!$W$2:$AK$2,0))</f>
        <v>12</v>
      </c>
      <c r="N213" s="113">
        <f t="array" ref="N213">INDEX('アイテム'!$W$3:$X$115, MATCH($A$1,'アイテム'!$A$3:$A$115,0), MATCH(N$204,'アイテム'!$W$2:$AK$2,0))</f>
        <v>23</v>
      </c>
      <c r="O213" s="118"/>
      <c r="P213" s="118"/>
      <c r="Q213" s="118"/>
      <c r="R213" s="118"/>
      <c r="S213" s="118"/>
      <c r="T213" s="118"/>
      <c r="U213" s="118"/>
      <c r="V213" s="118"/>
    </row>
    <row r="214" outlineLevel="1">
      <c r="A214" s="146"/>
      <c r="B214" s="300" t="s">
        <v>249</v>
      </c>
      <c r="C214" s="309" t="str">
        <f t="array" ref="C214">INDEX('起きあがり'!$J$3:$M$115, MATCH($A$1,'起きあがり'!$A$3:$A$115,0), MATCH(C$201,'起きあがり'!$J$2:$AD$2,0))</f>
        <v>1-25</v>
      </c>
      <c r="D214" s="310">
        <f t="array" ref="D214">INDEX('起きあがり'!$J$3:$M$115, MATCH($A$1,'起きあがり'!$A$3:$A$115,0), MATCH(D$201,'起きあがり'!$J$2:$AD$2,0))</f>
        <v>45</v>
      </c>
      <c r="E214" s="307" t="str">
        <f t="array" ref="E214">INDEX('起きあがり'!$J$3:$M$115, MATCH($A$1,'起きあがり'!$A$3:$A$115,0), MATCH(E$201,'起きあがり'!$J$2:$AD$2,0))</f>
        <v>19-20</v>
      </c>
      <c r="F214" s="308">
        <f t="array" ref="F214">INDEX('起きあがり'!$J$3:$M$115, MATCH($A$1,'起きあがり'!$A$3:$A$115,0), MATCH(F$201,'起きあがり'!$J$2:$AD$2,0))</f>
        <v>7</v>
      </c>
      <c r="G214" s="113">
        <f t="shared" ref="G214:G215" si="3">F214*1.2</f>
        <v>8.4</v>
      </c>
      <c r="H214" s="3435" t="s">
        <v>6053</v>
      </c>
      <c r="I214" s="109"/>
      <c r="J214" s="111"/>
      <c r="K214" s="156"/>
      <c r="L214" s="303" t="s">
        <v>234</v>
      </c>
      <c r="M214" s="113" t="str">
        <f t="array" ref="M214">INDEX('アイテム'!$Y$3:$Z$115, MATCH($A$1,'アイテム'!$A$3:$A$115,0), MATCH(M$204,'アイテム'!$Y$2:$AK$2,0))</f>
        <v>7</v>
      </c>
      <c r="N214" s="113">
        <f t="array" ref="N214">INDEX('アイテム'!$Y$3:$Z$115, MATCH($A$1,'アイテム'!$A$3:$A$115,0), MATCH(N$204,'アイテム'!$Y$2:$AK$2,0))</f>
        <v>19</v>
      </c>
      <c r="O214" s="111"/>
      <c r="P214" s="111"/>
      <c r="Q214" s="111"/>
      <c r="R214" s="111"/>
      <c r="S214" s="111"/>
      <c r="T214" s="111"/>
      <c r="U214" s="111"/>
      <c r="V214" s="111"/>
    </row>
    <row r="215" outlineLevel="1">
      <c r="A215" s="156"/>
      <c r="B215" s="311" t="s">
        <v>250</v>
      </c>
      <c r="C215" s="156"/>
      <c r="D215" s="156"/>
      <c r="E215" s="307" t="str">
        <f t="array" ref="E215">INDEX('起きあがり'!$N$3:$O$115, MATCH($A$1,'起きあがり'!$A$3:$A$115,0), MATCH(E$201,'起きあがり'!$N$2:$AD$2,0))</f>
        <v>24-25</v>
      </c>
      <c r="F215" s="308">
        <f t="array" ref="F215">INDEX('起きあがり'!$N$3:$O$115, MATCH($A$1,'起きあがり'!$A$3:$A$115,0), MATCH(F$201,'起きあがり'!$N$2:$AD$2,0))</f>
        <v>7</v>
      </c>
      <c r="G215" s="113">
        <f t="shared" si="3"/>
        <v>8.4</v>
      </c>
      <c r="H215" s="3435" t="s">
        <v>6053</v>
      </c>
      <c r="I215" s="109"/>
      <c r="J215" s="111"/>
      <c r="K215" s="312" t="s">
        <v>5390</v>
      </c>
      <c r="L215" s="168"/>
      <c r="M215" s="298" t="s">
        <v>49</v>
      </c>
      <c r="N215" s="114"/>
      <c r="O215" s="111"/>
      <c r="P215" s="111"/>
      <c r="Q215" s="111"/>
      <c r="R215" s="111"/>
      <c r="S215" s="111"/>
      <c r="T215" s="111"/>
      <c r="U215" s="111"/>
      <c r="V215" s="111"/>
    </row>
    <row r="216" outlineLevel="1">
      <c r="A216" s="299" t="s">
        <v>251</v>
      </c>
      <c r="B216" s="300" t="s">
        <v>248</v>
      </c>
      <c r="C216" s="301"/>
      <c r="D216" s="307" t="str">
        <f t="array" ref="D216">INDEX('起きあがり'!$C$3:$C$115, MATCH($A$1,'起きあがり'!$A$3:$A$115,0), MATCH(D$201,'起きあがり'!$C$2:$AD$2,0))</f>
        <v>25</v>
      </c>
      <c r="E216" s="301"/>
      <c r="F216" s="301"/>
      <c r="G216" s="301"/>
      <c r="H216" s="3434"/>
      <c r="I216" s="109"/>
      <c r="J216" s="117"/>
      <c r="K216" s="313" t="s">
        <v>693</v>
      </c>
      <c r="L216" s="314" t="s">
        <v>693</v>
      </c>
      <c r="M216" s="113" t="str">
        <f t="array" ref="M216">INDEX('共通動作その他'!$C$3:$C$102, MATCH($A$1,'共通動作その他'!$A$3:$A$102,0), MATCH(M$215,'共通動作その他'!$C$2:$AA$2,0))</f>
        <v>#N/A</v>
      </c>
      <c r="N216" s="315"/>
      <c r="O216" s="111"/>
      <c r="P216" s="111"/>
      <c r="Q216" s="111"/>
      <c r="R216" s="111"/>
      <c r="S216" s="111"/>
      <c r="T216" s="111"/>
      <c r="U216" s="111"/>
      <c r="V216" s="111"/>
    </row>
    <row r="217" outlineLevel="1">
      <c r="A217" s="146"/>
      <c r="B217" s="300" t="s">
        <v>216</v>
      </c>
      <c r="C217" s="307" t="str">
        <f t="array" ref="C217">INDEX('起きあがり'!$P$3:$Q$115, MATCH($A$1,'起きあがり'!$A$3:$A$115,0), MATCH(C$201,'起きあがり'!$P$2:$AD$2,0))</f>
        <v>1-22</v>
      </c>
      <c r="D217" s="308">
        <f t="array" ref="D217">INDEX('起きあがり'!$P$3:$Q$115, MATCH($A$1,'起きあがり'!$A$3:$A$115,0), MATCH(D$201,'起きあがり'!$P$2:$AD$2,0))</f>
        <v>29</v>
      </c>
      <c r="E217" s="301"/>
      <c r="F217" s="301"/>
      <c r="G217" s="301"/>
      <c r="H217" s="3434"/>
      <c r="I217" s="109"/>
      <c r="J217" s="111"/>
      <c r="K217" s="305" t="s">
        <v>2602</v>
      </c>
      <c r="L217" s="314" t="s">
        <v>5391</v>
      </c>
      <c r="M217" s="113" t="str">
        <f t="array" ref="M217">INDEX('共通動作その他'!$D$3:$D$102, MATCH($A$1,'共通動作その他'!$A$3:$A$102,0), MATCH(M$215,'共通動作その他'!$D$2:$AA$2,0))</f>
        <v>#N/A</v>
      </c>
      <c r="N217" s="315"/>
      <c r="O217" s="228"/>
      <c r="P217" s="228"/>
      <c r="Q217" s="228"/>
      <c r="R217" s="228"/>
      <c r="S217" s="228"/>
      <c r="T217" s="228"/>
      <c r="U217" s="228"/>
      <c r="V217" s="228"/>
    </row>
    <row r="218" outlineLevel="1">
      <c r="A218" s="146"/>
      <c r="B218" s="300" t="s">
        <v>245</v>
      </c>
      <c r="C218" s="307" t="str">
        <f t="array" ref="C218">INDEX('起きあがり'!$R$3:$S$115, MATCH($A$1,'起きあがり'!$A$3:$A$115,0), MATCH(C$201,'起きあがり'!$R$2:$AD$2,0))</f>
        <v>1-19</v>
      </c>
      <c r="D218" s="308">
        <f t="array" ref="D218">INDEX('起きあがり'!$R$3:$S$115, MATCH($A$1,'起きあがり'!$A$3:$A$115,0), MATCH(D$201,'起きあがり'!$R$2:$AD$2,0))</f>
        <v>35</v>
      </c>
      <c r="E218" s="301"/>
      <c r="F218" s="301"/>
      <c r="G218" s="301"/>
      <c r="H218" s="3434"/>
      <c r="I218" s="109"/>
      <c r="J218" s="117"/>
      <c r="K218" s="146"/>
      <c r="L218" s="314" t="s">
        <v>5392</v>
      </c>
      <c r="M218" s="113" t="str">
        <f t="array" ref="M218">INDEX('共通動作その他'!$E$3:$E$102, MATCH($A$1,'共通動作その他'!$A$3:$A$102,0), MATCH(M$215,'共通動作その他'!$E$2:$AA$2,0))</f>
        <v>#N/A</v>
      </c>
      <c r="N218" s="102"/>
      <c r="O218" s="118"/>
      <c r="P218" s="118"/>
      <c r="Q218" s="118"/>
      <c r="R218" s="118"/>
      <c r="S218" s="118"/>
      <c r="T218" s="118"/>
      <c r="U218" s="118"/>
      <c r="V218" s="118"/>
    </row>
    <row r="219" outlineLevel="1">
      <c r="A219" s="146"/>
      <c r="B219" s="300" t="s">
        <v>246</v>
      </c>
      <c r="C219" s="307" t="str">
        <f t="array" ref="C219">INDEX('起きあがり'!$T$3:$U$115, MATCH($A$1,'起きあがり'!$A$3:$A$115,0), MATCH(C$201,'起きあがり'!$T$2:$AD$2,0))</f>
        <v>1-24</v>
      </c>
      <c r="D219" s="308">
        <f t="array" ref="D219">INDEX('起きあがり'!$T$3:$U$115, MATCH($A$1,'起きあがり'!$A$3:$A$115,0), MATCH(D$201,'起きあがり'!$T$2:$AD$2,0))</f>
        <v>35</v>
      </c>
      <c r="E219" s="301"/>
      <c r="F219" s="301"/>
      <c r="G219" s="301"/>
      <c r="H219" s="3434"/>
      <c r="I219" s="109"/>
      <c r="J219" s="111"/>
      <c r="K219" s="146"/>
      <c r="L219" s="314" t="s">
        <v>5393</v>
      </c>
      <c r="M219" s="113" t="str">
        <f t="array" ref="M219">INDEX('共通動作その他'!$F$3:$F$102, MATCH($A$1,'共通動作その他'!$A$3:$A$102,0), MATCH(M$215,'共通動作その他'!$F$2:$AA$2,0))</f>
        <v>#N/A</v>
      </c>
      <c r="N219" s="102"/>
      <c r="O219" s="118"/>
      <c r="P219" s="118"/>
      <c r="Q219" s="118"/>
      <c r="R219" s="118"/>
      <c r="S219" s="118"/>
      <c r="T219" s="118"/>
      <c r="U219" s="118"/>
      <c r="V219" s="118"/>
    </row>
    <row r="220" outlineLevel="1">
      <c r="A220" s="146"/>
      <c r="B220" s="300" t="s">
        <v>249</v>
      </c>
      <c r="C220" s="309" t="str">
        <f t="array" ref="C220">INDEX('起きあがり'!$V$3:$Y$115, MATCH($A$1,'起きあがり'!$A$3:$A$115,0), MATCH(C$201,'起きあがり'!$V$2:$AD$2,0))</f>
        <v>1-22</v>
      </c>
      <c r="D220" s="310">
        <f t="array" ref="D220">INDEX('起きあがり'!$V$3:$Y$115, MATCH($A$1,'起きあがり'!$A$3:$A$115,0), MATCH(D$201,'起きあがり'!$V$2:$AD$2,0))</f>
        <v>45</v>
      </c>
      <c r="E220" s="307" t="str">
        <f t="array" ref="E220">INDEX('起きあがり'!$V$3:$Y$115, MATCH($A$1,'起きあがり'!$A$3:$A$115,0), MATCH(E$201,'起きあがり'!$V$2:$AD$2,0))</f>
        <v>16-17</v>
      </c>
      <c r="F220" s="308">
        <f t="array" ref="F220">INDEX('起きあがり'!$V$3:$Y$115, MATCH($A$1,'起きあがり'!$A$3:$A$115,0), MATCH(F$201,'起きあがり'!$V$2:$AD$2,0))</f>
        <v>7</v>
      </c>
      <c r="G220" s="113">
        <f t="shared" ref="G220:G221" si="4">F220*1.2</f>
        <v>8.4</v>
      </c>
      <c r="H220" s="3435" t="s">
        <v>6053</v>
      </c>
      <c r="I220" s="109"/>
      <c r="J220" s="117"/>
      <c r="K220" s="146"/>
      <c r="L220" s="314" t="s">
        <v>5394</v>
      </c>
      <c r="M220" s="113" t="str">
        <f t="array" ref="M220">INDEX('共通動作その他'!$G$3:$G$102, MATCH($A$1,'共通動作その他'!$A$3:$A$102,0), MATCH(M$215,'共通動作その他'!$G$2:$AA$2,0))</f>
        <v>#N/A</v>
      </c>
      <c r="N220" s="102"/>
      <c r="O220" s="118"/>
      <c r="P220" s="118"/>
      <c r="Q220" s="118"/>
      <c r="R220" s="118"/>
      <c r="S220" s="118"/>
      <c r="T220" s="118"/>
      <c r="U220" s="118"/>
      <c r="V220" s="118"/>
    </row>
    <row r="221" outlineLevel="1">
      <c r="A221" s="156"/>
      <c r="B221" s="311" t="s">
        <v>250</v>
      </c>
      <c r="C221" s="156"/>
      <c r="D221" s="156"/>
      <c r="E221" s="307" t="str">
        <f t="array" ref="E221">INDEX('起きあがり'!$Z$3:$AA$115, MATCH($A$1,'起きあがり'!$A$3:$A$115,0), MATCH(E$201,'起きあがり'!$Z$2:$AD$2,0))</f>
        <v>21-22</v>
      </c>
      <c r="F221" s="308">
        <f t="array" ref="F221">INDEX('起きあがり'!$Z$3:$AA$115, MATCH($A$1,'起きあがり'!$A$3:$A$115,0), MATCH(F$201,'起きあがり'!$Z$2:$AD$2,0))</f>
        <v>7</v>
      </c>
      <c r="G221" s="113">
        <f t="shared" si="4"/>
        <v>8.4</v>
      </c>
      <c r="H221" s="3435" t="s">
        <v>6053</v>
      </c>
      <c r="I221" s="109"/>
      <c r="J221" s="117"/>
      <c r="K221" s="304" t="s">
        <v>5395</v>
      </c>
      <c r="L221" s="110"/>
      <c r="M221" s="298" t="s">
        <v>49</v>
      </c>
      <c r="N221" s="102"/>
      <c r="O221" s="118"/>
      <c r="P221" s="118"/>
      <c r="Q221" s="118"/>
      <c r="R221" s="118"/>
      <c r="S221" s="118"/>
      <c r="T221" s="118"/>
      <c r="U221" s="118"/>
      <c r="V221" s="118"/>
    </row>
    <row r="222" outlineLevel="1">
      <c r="A222" s="299" t="s">
        <v>252</v>
      </c>
      <c r="B222" s="300" t="s">
        <v>253</v>
      </c>
      <c r="C222" s="307" t="str">
        <f t="array" ref="C222">INDEX('転倒'!$C$3:$D$115, MATCH($A$1,'転倒'!$A$3:$A$115,0), MATCH(C$201,'転倒'!$C$2:$AC$2,0))</f>
        <v>1-5</v>
      </c>
      <c r="D222" s="308">
        <f t="array" ref="D222">INDEX('転倒'!$C$3:$D$115, MATCH($A$1,'転倒'!$A$3:$A$115,0), MATCH(D$201,'転倒'!$C$2:$AC$2,0))</f>
        <v>29</v>
      </c>
      <c r="E222" s="301"/>
      <c r="F222" s="301"/>
      <c r="G222" s="301"/>
      <c r="H222" s="3434"/>
      <c r="I222" s="109"/>
      <c r="J222" s="111"/>
      <c r="K222" s="313" t="s">
        <v>5396</v>
      </c>
      <c r="L222" s="306" t="s">
        <v>5397</v>
      </c>
      <c r="M222" s="113" t="str">
        <f t="array" ref="M222">INDEX('共通動作その他'!$H$3:$H$102, MATCH($A$1,'共通動作その他'!$A$3:$A$102,0), MATCH(M$221,'共通動作その他'!$H$2:$AA$2,0))</f>
        <v>#N/A</v>
      </c>
      <c r="N222" s="315"/>
      <c r="O222" s="118"/>
      <c r="P222" s="118"/>
      <c r="Q222" s="118"/>
      <c r="R222" s="118"/>
      <c r="S222" s="118"/>
      <c r="T222" s="118"/>
      <c r="U222" s="118"/>
      <c r="V222" s="118"/>
    </row>
    <row r="223" outlineLevel="1">
      <c r="A223" s="146"/>
      <c r="B223" s="300" t="s">
        <v>254</v>
      </c>
      <c r="C223" s="307" t="str">
        <f t="array" ref="C223">INDEX('転倒'!$E$3:$F$115, MATCH($A$1,'転倒'!$A$3:$A$115,0), MATCH(C$201,'転倒'!$E$2:$AC$2,0))</f>
        <v>1-5</v>
      </c>
      <c r="D223" s="308">
        <f t="array" ref="D223">INDEX('転倒'!$E$3:$F$115, MATCH($A$1,'転倒'!$A$3:$A$115,0), MATCH(D$201,'転倒'!$E$2:$AC$2,0))</f>
        <v>39</v>
      </c>
      <c r="E223" s="301"/>
      <c r="F223" s="301"/>
      <c r="G223" s="301"/>
      <c r="H223" s="3434"/>
      <c r="I223" s="109"/>
      <c r="J223" s="117"/>
      <c r="K223" s="313" t="s">
        <v>5398</v>
      </c>
      <c r="L223" s="306" t="s">
        <v>5397</v>
      </c>
      <c r="M223" s="113" t="str">
        <f t="array" ref="M223">INDEX('共通動作その他'!$I$3:$I$102, MATCH($A$1,'共通動作その他'!$A$3:$A$102,0), MATCH(M$221,'共通動作その他'!$I$2:$AA$2,0))</f>
        <v>#N/A</v>
      </c>
      <c r="N223" s="315"/>
      <c r="O223" s="118"/>
      <c r="P223" s="118"/>
      <c r="Q223" s="118"/>
      <c r="R223" s="118"/>
      <c r="S223" s="118"/>
      <c r="T223" s="118"/>
      <c r="U223" s="118"/>
      <c r="V223" s="118"/>
    </row>
    <row r="224" outlineLevel="1">
      <c r="A224" s="146"/>
      <c r="B224" s="300" t="s">
        <v>216</v>
      </c>
      <c r="C224" s="307" t="str">
        <f t="array" ref="C224">INDEX('転倒'!$G$3:$H$115, MATCH($A$1,'転倒'!$A$3:$A$115,0), MATCH(C$201,'転倒'!$G$2:$AC$2,0))</f>
        <v>1-16</v>
      </c>
      <c r="D224" s="308">
        <f t="array" ref="D224">INDEX('転倒'!$G$3:$H$115, MATCH($A$1,'転倒'!$A$3:$A$115,0), MATCH(D$201,'転倒'!$G$2:$AC$2,0))</f>
        <v>21</v>
      </c>
      <c r="E224" s="301"/>
      <c r="F224" s="301"/>
      <c r="G224" s="301"/>
      <c r="H224" s="3434"/>
      <c r="I224" s="109"/>
      <c r="J224" s="111"/>
      <c r="K224" s="102"/>
      <c r="L224" s="118"/>
      <c r="M224" s="118"/>
      <c r="N224" s="102"/>
      <c r="O224" s="118"/>
      <c r="P224" s="118"/>
      <c r="Q224" s="118"/>
      <c r="R224" s="118"/>
      <c r="S224" s="118"/>
      <c r="T224" s="118"/>
      <c r="U224" s="118"/>
      <c r="V224" s="118"/>
    </row>
    <row r="225" outlineLevel="1">
      <c r="A225" s="146"/>
      <c r="B225" s="300" t="s">
        <v>245</v>
      </c>
      <c r="C225" s="307" t="str">
        <f t="array" ref="C225">INDEX('転倒'!$I$3:$J$115, MATCH($A$1,'転倒'!$A$3:$A$115,0), MATCH(C$201,'転倒'!$I$2:$AC$2,0))</f>
        <v>1-9</v>
      </c>
      <c r="D225" s="308">
        <f t="array" ref="D225">INDEX('転倒'!$I$3:$J$115, MATCH($A$1,'転倒'!$A$3:$A$115,0), MATCH(D$201,'転倒'!$I$2:$AC$2,0))</f>
        <v>28</v>
      </c>
      <c r="E225" s="301"/>
      <c r="F225" s="301"/>
      <c r="G225" s="301"/>
      <c r="H225" s="3434"/>
      <c r="I225" s="109"/>
      <c r="J225" s="228"/>
      <c r="K225" s="102"/>
      <c r="L225" s="118"/>
      <c r="M225" s="118"/>
      <c r="N225" s="102"/>
      <c r="O225" s="118"/>
      <c r="P225" s="118"/>
      <c r="Q225" s="118"/>
      <c r="R225" s="118"/>
      <c r="S225" s="118"/>
      <c r="T225" s="118"/>
      <c r="U225" s="118"/>
      <c r="V225" s="118"/>
    </row>
    <row r="226" outlineLevel="1">
      <c r="A226" s="146"/>
      <c r="B226" s="300" t="s">
        <v>246</v>
      </c>
      <c r="C226" s="307" t="str">
        <f t="array" ref="C226">INDEX('転倒'!$K$3:$L$115, MATCH($A$1,'転倒'!$A$3:$A$115,0), MATCH(C$201,'転倒'!$K$2:$AC$2,0))</f>
        <v>1-9</v>
      </c>
      <c r="D226" s="308">
        <f t="array" ref="D226">INDEX('転倒'!$K$3:$L$115, MATCH($A$1,'転倒'!$A$3:$A$115,0), MATCH(D$201,'転倒'!$K$2:$AC$2,0))</f>
        <v>28</v>
      </c>
      <c r="E226" s="301"/>
      <c r="F226" s="301"/>
      <c r="G226" s="301"/>
      <c r="H226" s="3434"/>
      <c r="I226" s="109"/>
      <c r="J226" s="228"/>
      <c r="K226" s="102"/>
      <c r="L226" s="118"/>
      <c r="M226" s="118"/>
      <c r="N226" s="102"/>
      <c r="O226" s="118"/>
      <c r="P226" s="118"/>
      <c r="Q226" s="118"/>
      <c r="R226" s="118"/>
      <c r="S226" s="118"/>
      <c r="T226" s="118"/>
      <c r="U226" s="118"/>
      <c r="V226" s="118"/>
    </row>
    <row r="227" outlineLevel="1">
      <c r="A227" s="146"/>
      <c r="B227" s="300" t="s">
        <v>249</v>
      </c>
      <c r="C227" s="309" t="str">
        <f t="array" ref="C227">INDEX('転倒'!$M$3:$P$115, MATCH($A$1,'転倒'!$A$3:$A$115,0), MATCH(C$201,'転倒'!$M$2:$AC$2,0))</f>
        <v>1-7</v>
      </c>
      <c r="D227" s="310">
        <f t="array" ref="D227">INDEX('転倒'!$M$3:$P$115, MATCH($A$1,'転倒'!$A$3:$A$115,0), MATCH(D$201,'転倒'!$M$2:$AC$2,0))</f>
        <v>49</v>
      </c>
      <c r="E227" s="307" t="str">
        <f t="array" ref="E227">INDEX('転倒'!$M$3:$P$115, MATCH($A$1,'転倒'!$A$3:$A$115,0), MATCH(E$201,'転倒'!$M$2:$AC$2,0))</f>
        <v>19-20</v>
      </c>
      <c r="F227" s="308">
        <f t="array" ref="F227">INDEX('転倒'!$M$3:$P$115, MATCH($A$1,'転倒'!$A$3:$A$115,0), MATCH(F$201,'転倒'!$M$2:$AC$2,0))</f>
        <v>5</v>
      </c>
      <c r="G227" s="113">
        <f t="shared" ref="G227:G228" si="5">F227*1.2</f>
        <v>6</v>
      </c>
      <c r="H227" s="3435" t="s">
        <v>6053</v>
      </c>
      <c r="I227" s="109"/>
      <c r="J227" s="228"/>
      <c r="K227" s="118"/>
      <c r="L227" s="118"/>
      <c r="M227" s="118"/>
      <c r="N227" s="102"/>
      <c r="O227" s="102"/>
      <c r="P227" s="102"/>
      <c r="Q227" s="102"/>
      <c r="R227" s="118"/>
      <c r="S227" s="118"/>
      <c r="T227" s="118"/>
      <c r="U227" s="118"/>
      <c r="V227" s="118"/>
    </row>
    <row r="228" outlineLevel="1">
      <c r="A228" s="156"/>
      <c r="B228" s="311" t="s">
        <v>250</v>
      </c>
      <c r="C228" s="156"/>
      <c r="D228" s="156"/>
      <c r="E228" s="307" t="str">
        <f t="array" ref="E228">INDEX('転倒'!$Q$3:$R$115, MATCH($A$1,'転倒'!$A$3:$A$115,0), MATCH(E$201,'転倒'!$Q$2:$AC$2,0))</f>
        <v>31-32</v>
      </c>
      <c r="F228" s="308">
        <f t="array" ref="F228">INDEX('転倒'!$Q$3:$R$115, MATCH($A$1,'転倒'!$A$3:$A$115,0), MATCH(F$201,'転倒'!$Q$2:$AC$2,0))</f>
        <v>5</v>
      </c>
      <c r="G228" s="113">
        <f t="shared" si="5"/>
        <v>6</v>
      </c>
      <c r="H228" s="3435" t="s">
        <v>6053</v>
      </c>
      <c r="I228" s="109"/>
      <c r="J228" s="228"/>
      <c r="K228" s="118"/>
      <c r="L228" s="118"/>
      <c r="M228" s="118"/>
      <c r="N228" s="102"/>
      <c r="O228" s="102"/>
      <c r="P228" s="102"/>
      <c r="Q228" s="102"/>
      <c r="R228" s="118"/>
      <c r="S228" s="118"/>
      <c r="T228" s="118"/>
      <c r="U228" s="118"/>
      <c r="V228" s="118"/>
    </row>
    <row r="229" outlineLevel="1">
      <c r="A229" s="319"/>
      <c r="B229" s="320"/>
      <c r="C229" s="321"/>
      <c r="D229" s="321"/>
      <c r="E229" s="322"/>
      <c r="F229" s="322"/>
      <c r="G229" s="114"/>
      <c r="H229" s="3436"/>
      <c r="I229" s="3436"/>
      <c r="J229" s="228"/>
      <c r="K229" s="118"/>
      <c r="L229" s="118"/>
      <c r="M229" s="118"/>
      <c r="N229" s="102"/>
      <c r="O229" s="102"/>
      <c r="P229" s="102"/>
      <c r="Q229" s="102"/>
      <c r="R229" s="118"/>
      <c r="S229" s="118"/>
      <c r="T229" s="118"/>
      <c r="U229" s="118"/>
      <c r="V229" s="118"/>
    </row>
    <row r="230" outlineLevel="1">
      <c r="A230" s="323" t="s">
        <v>255</v>
      </c>
      <c r="B230" s="109"/>
      <c r="C230" s="321"/>
      <c r="D230" s="321"/>
      <c r="E230" s="322"/>
      <c r="F230" s="322"/>
      <c r="G230" s="114"/>
      <c r="H230" s="3436"/>
      <c r="I230" s="3436"/>
      <c r="J230" s="228"/>
      <c r="K230" s="118"/>
      <c r="L230" s="118"/>
      <c r="M230" s="118"/>
      <c r="N230" s="102"/>
      <c r="O230" s="102"/>
      <c r="P230" s="102"/>
      <c r="Q230" s="102"/>
      <c r="R230" s="118"/>
      <c r="S230" s="118"/>
      <c r="T230" s="118"/>
      <c r="U230" s="118"/>
      <c r="V230" s="118"/>
    </row>
    <row r="231" outlineLevel="1">
      <c r="A231" s="324" t="s">
        <v>256</v>
      </c>
      <c r="B231" s="109"/>
      <c r="C231" s="325" t="s">
        <v>257</v>
      </c>
      <c r="D231" s="325" t="s">
        <v>49</v>
      </c>
      <c r="E231" s="322"/>
      <c r="F231" s="322"/>
      <c r="G231" s="114"/>
      <c r="H231" s="3436"/>
      <c r="I231" s="3436"/>
      <c r="J231" s="228"/>
      <c r="K231" s="118"/>
      <c r="L231" s="118"/>
      <c r="M231" s="118"/>
      <c r="N231" s="102"/>
      <c r="O231" s="102"/>
      <c r="P231" s="102"/>
      <c r="Q231" s="102"/>
      <c r="R231" s="118"/>
      <c r="S231" s="118"/>
      <c r="T231" s="118"/>
      <c r="U231" s="118"/>
      <c r="V231" s="118"/>
    </row>
    <row r="232" outlineLevel="1">
      <c r="A232" s="326" t="s">
        <v>258</v>
      </c>
      <c r="B232" s="327" t="s">
        <v>216</v>
      </c>
      <c r="C232" s="328" t="str">
        <f t="array" ref="C232">INDEX('アイテム'!$C$3:$D$114, MATCH($A$1,'アイテム'!$A$3:$A$114,0), MATCH(C231,'アイテム'!$C$2:$AQ$2,0))</f>
        <v>2</v>
      </c>
      <c r="D232" s="328">
        <f t="array" ref="D232">INDEX('アイテム'!$C$3:$D$114, MATCH($A$1,'アイテム'!$A$3:$A$114,0), MATCH(D231,'アイテム'!$C$2:$AQ$2,0))</f>
        <v>7</v>
      </c>
      <c r="E232" s="322"/>
      <c r="F232" s="322"/>
      <c r="G232" s="114"/>
      <c r="H232" s="3436"/>
      <c r="I232" s="3436"/>
      <c r="J232" s="228"/>
      <c r="K232" s="118"/>
      <c r="L232" s="118"/>
      <c r="M232" s="118"/>
      <c r="N232" s="102"/>
      <c r="O232" s="102"/>
      <c r="P232" s="102"/>
      <c r="Q232" s="102"/>
      <c r="R232" s="118"/>
      <c r="S232" s="118"/>
      <c r="T232" s="118"/>
      <c r="U232" s="118"/>
      <c r="V232" s="118"/>
    </row>
    <row r="233" outlineLevel="1">
      <c r="A233" s="156"/>
      <c r="B233" s="327" t="s">
        <v>219</v>
      </c>
      <c r="C233" s="328" t="str">
        <f t="array" ref="C233">INDEX('アイテム'!$E$3:$F$114, MATCH($A$1,'アイテム'!$A$3:$A$114,0), MATCH(C231,'アイテム'!$C$2:$AQ$2,0))</f>
        <v>2</v>
      </c>
      <c r="D233" s="328">
        <f t="array" ref="D233">INDEX('アイテム'!$E$3:$F$114, MATCH($A$1,'アイテム'!$A$3:$A$114,0), MATCH(D231,'アイテム'!$C$2:$AQ$2,0))</f>
        <v>19</v>
      </c>
      <c r="E233" s="322"/>
      <c r="F233" s="322"/>
      <c r="G233" s="114"/>
      <c r="H233" s="3436"/>
      <c r="I233" s="3436"/>
      <c r="J233" s="228"/>
      <c r="K233" s="118"/>
      <c r="L233" s="118"/>
      <c r="M233" s="118"/>
      <c r="N233" s="102"/>
      <c r="O233" s="102"/>
      <c r="P233" s="102"/>
      <c r="Q233" s="102"/>
      <c r="R233" s="118"/>
      <c r="S233" s="118"/>
      <c r="T233" s="118"/>
      <c r="U233" s="118"/>
      <c r="V233" s="118"/>
    </row>
    <row r="234" outlineLevel="1">
      <c r="A234" s="329" t="s">
        <v>259</v>
      </c>
      <c r="B234" s="327" t="s">
        <v>216</v>
      </c>
      <c r="C234" s="328">
        <f t="array" ref="C234">INDEX('アイテム'!$AA$3:$AB$114, MATCH($A$1,'アイテム'!$A$3:$A$114,0), MATCH(C231,'アイテム'!$C$2:$AQ$2,0))</f>
        <v>3</v>
      </c>
      <c r="D234" s="328" t="str">
        <f t="array" ref="D234">INDEX('アイテム'!$AA$3:$AB$114, MATCH($A$1,'アイテム'!$A$3:$A$114,0), MATCH(D231,'アイテム'!$C$2:$AQ$2,0))</f>
        <v>12</v>
      </c>
      <c r="E234" s="322"/>
      <c r="F234" s="322"/>
      <c r="G234" s="114"/>
      <c r="H234" s="3436"/>
      <c r="I234" s="3436"/>
      <c r="J234" s="228"/>
      <c r="K234" s="118"/>
      <c r="L234" s="118"/>
      <c r="M234" s="118"/>
      <c r="N234" s="102"/>
      <c r="O234" s="102"/>
      <c r="P234" s="102"/>
      <c r="Q234" s="102"/>
      <c r="R234" s="118"/>
      <c r="S234" s="118"/>
      <c r="T234" s="118"/>
      <c r="U234" s="118"/>
      <c r="V234" s="118"/>
    </row>
    <row r="235" outlineLevel="1">
      <c r="A235" s="324" t="s">
        <v>260</v>
      </c>
      <c r="B235" s="109"/>
      <c r="C235" s="325" t="s">
        <v>261</v>
      </c>
      <c r="D235" s="325" t="s">
        <v>49</v>
      </c>
      <c r="E235" s="322"/>
      <c r="F235" s="322"/>
      <c r="G235" s="114"/>
      <c r="H235" s="3436"/>
      <c r="I235" s="3436"/>
      <c r="J235" s="228"/>
      <c r="K235" s="118"/>
      <c r="L235" s="118"/>
      <c r="M235" s="118"/>
      <c r="N235" s="102"/>
      <c r="O235" s="102"/>
      <c r="P235" s="102"/>
      <c r="Q235" s="102"/>
      <c r="R235" s="118"/>
      <c r="S235" s="118"/>
      <c r="T235" s="118"/>
      <c r="U235" s="118"/>
      <c r="V235" s="118"/>
    </row>
    <row r="236" outlineLevel="1">
      <c r="A236" s="326" t="s">
        <v>262</v>
      </c>
      <c r="B236" s="327" t="s">
        <v>226</v>
      </c>
      <c r="C236" s="328" t="str">
        <f t="array" ref="C236">INDEX('アイテム'!$G$3:$H$114, MATCH($A$1,'アイテム'!$A$3:$A$114,0), MATCH(C231,'アイテム'!$C$2:$AQ$2,0))</f>
        <v>8</v>
      </c>
      <c r="D236" s="328">
        <f t="array" ref="D236">INDEX('アイテム'!$G$3:$H$114, MATCH($A$1,'アイテム'!$A$3:$A$114,0), MATCH(D231,'アイテム'!$C$2:$AQ$2,0))</f>
        <v>24</v>
      </c>
      <c r="E236" s="322"/>
      <c r="F236" s="322"/>
      <c r="G236" s="114"/>
      <c r="H236" s="3436"/>
      <c r="I236" s="3436"/>
      <c r="J236" s="228"/>
      <c r="K236" s="118"/>
      <c r="L236" s="118"/>
      <c r="M236" s="118"/>
      <c r="N236" s="102"/>
      <c r="O236" s="102"/>
      <c r="P236" s="102"/>
      <c r="Q236" s="102"/>
      <c r="R236" s="118"/>
      <c r="S236" s="118"/>
      <c r="T236" s="118"/>
      <c r="U236" s="118"/>
      <c r="V236" s="118"/>
    </row>
    <row r="237" outlineLevel="1">
      <c r="A237" s="146"/>
      <c r="B237" s="327" t="s">
        <v>229</v>
      </c>
      <c r="C237" s="328" t="str">
        <f t="array" ref="C237">INDEX('アイテム'!$I$3:$J$114, MATCH($A$1,'アイテム'!$A$3:$A$114,0), MATCH(C231,'アイテム'!$C$2:$AQ$2,0))</f>
        <v>11</v>
      </c>
      <c r="D237" s="328">
        <f t="array" ref="D237">INDEX('アイテム'!$I$3:$J$114, MATCH($A$1,'アイテム'!$A$3:$A$114,0), MATCH(D231,'アイテム'!$C$2:$AQ$2,0))</f>
        <v>24</v>
      </c>
      <c r="E237" s="322"/>
      <c r="F237" s="322"/>
      <c r="G237" s="114"/>
      <c r="H237" s="3436"/>
      <c r="I237" s="3436"/>
      <c r="J237" s="228"/>
      <c r="K237" s="118"/>
      <c r="L237" s="118"/>
      <c r="M237" s="118"/>
      <c r="N237" s="102"/>
      <c r="O237" s="102"/>
      <c r="P237" s="102"/>
      <c r="Q237" s="102"/>
      <c r="R237" s="118"/>
      <c r="S237" s="118"/>
      <c r="T237" s="118"/>
      <c r="U237" s="118"/>
      <c r="V237" s="118"/>
    </row>
    <row r="238" outlineLevel="1">
      <c r="A238" s="146"/>
      <c r="B238" s="327" t="s">
        <v>233</v>
      </c>
      <c r="C238" s="328" t="str">
        <f t="array" ref="C238">INDEX('アイテム'!$K$3:$L$114, MATCH($A$1,'アイテム'!$A$3:$A$114,0), MATCH(C231,'アイテム'!$C$2:$AQ$2,0))</f>
        <v>12</v>
      </c>
      <c r="D238" s="328">
        <f t="array" ref="D238">INDEX('アイテム'!$K$3:$L$114, MATCH($A$1,'アイテム'!$A$3:$A$114,0), MATCH(D231,'アイテム'!$C$2:$AQ$2,0))</f>
        <v>23</v>
      </c>
      <c r="E238" s="322"/>
      <c r="F238" s="322"/>
      <c r="G238" s="114"/>
      <c r="H238" s="3436"/>
      <c r="I238" s="3436"/>
      <c r="J238" s="228"/>
      <c r="K238" s="118"/>
      <c r="L238" s="118"/>
      <c r="M238" s="118"/>
      <c r="N238" s="102"/>
      <c r="O238" s="102"/>
      <c r="P238" s="102"/>
      <c r="Q238" s="102"/>
      <c r="R238" s="118"/>
      <c r="S238" s="118"/>
      <c r="T238" s="118"/>
      <c r="U238" s="118"/>
      <c r="V238" s="118"/>
    </row>
    <row r="239" outlineLevel="1">
      <c r="A239" s="146"/>
      <c r="B239" s="327" t="s">
        <v>234</v>
      </c>
      <c r="C239" s="328" t="str">
        <f t="array" ref="C239">INDEX('アイテム'!$M$3:$N$114, MATCH($A$1,'アイテム'!$A$3:$A$114,0), MATCH(C231,'アイテム'!$C$2:$AQ$2,0))</f>
        <v>7</v>
      </c>
      <c r="D239" s="328">
        <f t="array" ref="D239">INDEX('アイテム'!$M$3:$N$114, MATCH($A$1,'アイテム'!$A$3:$A$114,0), MATCH(D231,'アイテム'!$C$2:$AQ$2,0))</f>
        <v>19</v>
      </c>
      <c r="E239" s="322"/>
      <c r="F239" s="322"/>
      <c r="G239" s="114"/>
      <c r="H239" s="3436"/>
      <c r="I239" s="3436"/>
      <c r="J239" s="228"/>
      <c r="K239" s="118"/>
      <c r="L239" s="118"/>
      <c r="M239" s="118"/>
      <c r="N239" s="102"/>
      <c r="O239" s="102"/>
      <c r="P239" s="102"/>
      <c r="Q239" s="102"/>
      <c r="R239" s="118"/>
      <c r="S239" s="118"/>
      <c r="T239" s="118"/>
      <c r="U239" s="118"/>
      <c r="V239" s="118"/>
    </row>
    <row r="240" outlineLevel="1">
      <c r="A240" s="146"/>
      <c r="B240" s="327" t="s">
        <v>219</v>
      </c>
      <c r="C240" s="328" t="str">
        <f t="array" ref="C240">INDEX('アイテム'!$O$3:$P$114, MATCH($A$1,'アイテム'!$A$3:$A$114,0), MATCH(C231,'アイテム'!$C$2:$AQ$2,0))</f>
        <v>5</v>
      </c>
      <c r="D240" s="328">
        <f t="array" ref="D240">INDEX('アイテム'!$O$3:$P$114, MATCH($A$1,'アイテム'!$A$3:$A$114,0), MATCH(D231,'アイテム'!$C$2:$AQ$2,0))</f>
        <v>29</v>
      </c>
      <c r="E240" s="322"/>
      <c r="F240" s="322"/>
      <c r="G240" s="114"/>
      <c r="H240" s="3436"/>
      <c r="I240" s="3436"/>
      <c r="J240" s="228"/>
      <c r="K240" s="118"/>
      <c r="L240" s="118"/>
      <c r="M240" s="118"/>
      <c r="N240" s="102"/>
      <c r="O240" s="102"/>
      <c r="P240" s="102"/>
      <c r="Q240" s="102"/>
      <c r="R240" s="118"/>
      <c r="S240" s="118"/>
      <c r="T240" s="118"/>
      <c r="U240" s="118"/>
      <c r="V240" s="118"/>
    </row>
    <row r="241" outlineLevel="1">
      <c r="A241" s="156"/>
      <c r="B241" s="327" t="s">
        <v>263</v>
      </c>
      <c r="C241" s="328" t="str">
        <f t="array" ref="C241">INDEX('アイテム'!$Q$3:$R$114, MATCH($A$1,'アイテム'!$A$3:$A$114,0), MATCH(C231,'アイテム'!$C$2:$AQ$2,0))</f>
        <v>6</v>
      </c>
      <c r="D241" s="328">
        <f t="array" ref="D241">INDEX('アイテム'!$Q$3:$R$114, MATCH($A$1,'アイテム'!$A$3:$A$114,0), MATCH(D231,'アイテム'!$C$2:$AQ$2,0))</f>
        <v>23</v>
      </c>
      <c r="E241" s="322"/>
      <c r="F241" s="322"/>
      <c r="G241" s="114"/>
      <c r="H241" s="3436"/>
      <c r="I241" s="3436"/>
      <c r="J241" s="228"/>
      <c r="K241" s="118"/>
      <c r="L241" s="118"/>
      <c r="M241" s="118"/>
      <c r="N241" s="102"/>
      <c r="O241" s="102"/>
      <c r="P241" s="102"/>
      <c r="Q241" s="102"/>
      <c r="R241" s="118"/>
      <c r="S241" s="118"/>
      <c r="T241" s="118"/>
      <c r="U241" s="118"/>
      <c r="V241" s="118"/>
    </row>
    <row r="242" outlineLevel="1">
      <c r="A242" s="326" t="s">
        <v>264</v>
      </c>
      <c r="B242" s="327" t="s">
        <v>226</v>
      </c>
      <c r="C242" s="328" t="str">
        <f t="array" ref="C242">INDEX('アイテム'!$S$3:$T$114, MATCH($A$1,'アイテム'!$A$3:$A$114,0), MATCH(C231,'アイテム'!$C$2:$AQ$2,0))</f>
        <v>8</v>
      </c>
      <c r="D242" s="328">
        <f t="array" ref="D242">INDEX('アイテム'!$S$3:$T$114, MATCH($A$1,'アイテム'!$A$3:$A$114,0), MATCH(D231,'アイテム'!$C$2:$AQ$2,0))</f>
        <v>24</v>
      </c>
      <c r="E242" s="322"/>
      <c r="F242" s="322"/>
      <c r="G242" s="114"/>
      <c r="H242" s="3436"/>
      <c r="I242" s="3436"/>
      <c r="J242" s="228"/>
      <c r="K242" s="118"/>
      <c r="L242" s="118"/>
      <c r="M242" s="118"/>
      <c r="N242" s="102"/>
      <c r="O242" s="102"/>
      <c r="P242" s="102"/>
      <c r="Q242" s="102"/>
      <c r="R242" s="118"/>
      <c r="S242" s="118"/>
      <c r="T242" s="118"/>
      <c r="U242" s="118"/>
      <c r="V242" s="118"/>
    </row>
    <row r="243" outlineLevel="1">
      <c r="A243" s="146"/>
      <c r="B243" s="327" t="s">
        <v>229</v>
      </c>
      <c r="C243" s="328" t="str">
        <f t="array" ref="C243">INDEX('アイテム'!$U$3:$V$114, MATCH($A$1,'アイテム'!$A$3:$A$114,0), MATCH(C231,'アイテム'!$C$2:$AQ$2,0))</f>
        <v>11</v>
      </c>
      <c r="D243" s="328">
        <f t="array" ref="D243">INDEX('アイテム'!$U$3:$V$114, MATCH($A$1,'アイテム'!$A$3:$A$114,0), MATCH(D231,'アイテム'!$C$2:$AQ$2,0))</f>
        <v>24</v>
      </c>
      <c r="E243" s="322"/>
      <c r="F243" s="322"/>
      <c r="G243" s="114"/>
      <c r="H243" s="3436"/>
      <c r="I243" s="3436"/>
      <c r="J243" s="228"/>
      <c r="K243" s="118"/>
      <c r="L243" s="118"/>
      <c r="M243" s="118"/>
      <c r="N243" s="102"/>
      <c r="O243" s="102"/>
      <c r="P243" s="102"/>
      <c r="Q243" s="102"/>
      <c r="R243" s="118"/>
      <c r="S243" s="118"/>
      <c r="T243" s="118"/>
      <c r="U243" s="118"/>
      <c r="V243" s="118"/>
    </row>
    <row r="244" outlineLevel="1">
      <c r="A244" s="146"/>
      <c r="B244" s="327" t="s">
        <v>233</v>
      </c>
      <c r="C244" s="328" t="str">
        <f t="array" ref="C244">INDEX('アイテム'!$W$3:$X$114, MATCH($A$1,'アイテム'!$A$3:$A$114,0), MATCH(C231,'アイテム'!$C$2:$AQ$2,0))</f>
        <v>12</v>
      </c>
      <c r="D244" s="328">
        <f t="array" ref="D244">INDEX('アイテム'!$W$3:$X$114, MATCH($A$1,'アイテム'!$A$3:$A$114,0), MATCH(D231,'アイテム'!$C$2:$AQ$2,0))</f>
        <v>23</v>
      </c>
      <c r="E244" s="322"/>
      <c r="F244" s="322"/>
      <c r="G244" s="114"/>
      <c r="H244" s="3436"/>
      <c r="I244" s="3436"/>
      <c r="J244" s="228"/>
      <c r="K244" s="118"/>
      <c r="L244" s="118"/>
      <c r="M244" s="118"/>
      <c r="N244" s="102"/>
      <c r="O244" s="102"/>
      <c r="P244" s="102"/>
      <c r="Q244" s="102"/>
      <c r="R244" s="118"/>
      <c r="S244" s="118"/>
      <c r="T244" s="118"/>
      <c r="U244" s="118"/>
      <c r="V244" s="118"/>
    </row>
    <row r="245" outlineLevel="1">
      <c r="A245" s="156"/>
      <c r="B245" s="327" t="s">
        <v>234</v>
      </c>
      <c r="C245" s="328" t="str">
        <f t="array" ref="C245">INDEX('アイテム'!$Y$3:$Z$114, MATCH($A$1,'アイテム'!$A$3:$A$114,0), MATCH(C231,'アイテム'!$C$2:$AQ$2,0))</f>
        <v>7</v>
      </c>
      <c r="D245" s="328">
        <f t="array" ref="D245">INDEX('アイテム'!$Y$3:$Z$114, MATCH($A$1,'アイテム'!$A$3:$A$114,0), MATCH(D231,'アイテム'!$C$2:$AQ$2,0))</f>
        <v>19</v>
      </c>
      <c r="E245" s="322"/>
      <c r="F245" s="322"/>
      <c r="G245" s="114"/>
      <c r="H245" s="3436"/>
      <c r="I245" s="3436"/>
      <c r="J245" s="228"/>
      <c r="K245" s="118"/>
      <c r="L245" s="118"/>
      <c r="M245" s="118"/>
      <c r="N245" s="102"/>
      <c r="O245" s="102"/>
      <c r="P245" s="102"/>
      <c r="Q245" s="102"/>
      <c r="R245" s="118"/>
      <c r="S245" s="118"/>
      <c r="T245" s="118"/>
      <c r="U245" s="118"/>
      <c r="V245" s="118"/>
    </row>
    <row r="246" outlineLevel="1">
      <c r="A246" s="326" t="s">
        <v>265</v>
      </c>
      <c r="B246" s="327" t="s">
        <v>226</v>
      </c>
      <c r="C246" s="328">
        <f t="array" ref="C246">INDEX('アイテム'!$AC$3:$AD$114, MATCH($A$1,'アイテム'!$A$3:$A$114,0), MATCH(C231,'アイテム'!$C$2:$AQ$2,0))</f>
        <v>14</v>
      </c>
      <c r="D246" s="328" t="str">
        <f t="array" ref="D246">INDEX('アイテム'!$AC$3:$AD$114, MATCH($A$1,'アイテム'!$A$3:$A$114,0), MATCH(D231,'アイテム'!$C$2:$AQ$2,0))</f>
        <v>30</v>
      </c>
      <c r="E246" s="322"/>
      <c r="F246" s="322"/>
      <c r="G246" s="114"/>
      <c r="H246" s="3436"/>
      <c r="I246" s="3436"/>
      <c r="J246" s="228"/>
      <c r="K246" s="118"/>
      <c r="L246" s="118"/>
      <c r="M246" s="118"/>
      <c r="N246" s="102"/>
      <c r="O246" s="102"/>
      <c r="P246" s="102"/>
      <c r="Q246" s="102"/>
      <c r="R246" s="118"/>
      <c r="S246" s="118"/>
      <c r="T246" s="118"/>
      <c r="U246" s="118"/>
      <c r="V246" s="118"/>
    </row>
    <row r="247" outlineLevel="1">
      <c r="A247" s="146"/>
      <c r="B247" s="327" t="s">
        <v>229</v>
      </c>
      <c r="C247" s="328">
        <f t="array" ref="C247">INDEX('アイテム'!$AE$3:$AF$114, MATCH($A$1,'アイテム'!$A$3:$A$114,0), MATCH(C231,'アイテム'!$C$2:$AQ$2,0))</f>
        <v>15</v>
      </c>
      <c r="D247" s="328" t="str">
        <f t="array" ref="D247">INDEX('アイテム'!$AE$3:$AF$114, MATCH($A$1,'アイテム'!$A$3:$A$114,0), MATCH(D231,'アイテム'!$C$2:$AQ$2,0))</f>
        <v>30</v>
      </c>
      <c r="E247" s="322"/>
      <c r="F247" s="322"/>
      <c r="G247" s="114"/>
      <c r="H247" s="3436"/>
      <c r="I247" s="3436"/>
      <c r="J247" s="228"/>
      <c r="K247" s="118"/>
      <c r="L247" s="118"/>
      <c r="M247" s="118"/>
      <c r="N247" s="102"/>
      <c r="O247" s="102"/>
      <c r="P247" s="102"/>
      <c r="Q247" s="102"/>
      <c r="R247" s="118"/>
      <c r="S247" s="118"/>
      <c r="T247" s="118"/>
      <c r="U247" s="118"/>
      <c r="V247" s="118"/>
    </row>
    <row r="248" outlineLevel="1">
      <c r="A248" s="146"/>
      <c r="B248" s="327" t="s">
        <v>233</v>
      </c>
      <c r="C248" s="328">
        <f t="array" ref="C248">INDEX('アイテム'!$AG$3:$AH$114, MATCH($A$1,'アイテム'!$A$3:$A$114,0), MATCH(C231,'アイテム'!$C$2:$AQ$2,0))</f>
        <v>11</v>
      </c>
      <c r="D248" s="328" t="str">
        <f t="array" ref="D248">INDEX('アイテム'!$AG$3:$AH$114, MATCH($A$1,'アイテム'!$A$3:$A$114,0), MATCH(D231,'アイテム'!$C$2:$AQ$2,0))</f>
        <v>22</v>
      </c>
      <c r="E248" s="322"/>
      <c r="F248" s="322"/>
      <c r="G248" s="114"/>
      <c r="H248" s="3436"/>
      <c r="I248" s="3436"/>
      <c r="J248" s="228"/>
      <c r="K248" s="118"/>
      <c r="L248" s="118"/>
      <c r="M248" s="118"/>
      <c r="N248" s="102"/>
      <c r="O248" s="102"/>
      <c r="P248" s="102"/>
      <c r="Q248" s="102"/>
      <c r="R248" s="118"/>
      <c r="S248" s="118"/>
      <c r="T248" s="118"/>
      <c r="U248" s="118"/>
      <c r="V248" s="118"/>
    </row>
    <row r="249" outlineLevel="1">
      <c r="A249" s="156"/>
      <c r="B249" s="327" t="s">
        <v>234</v>
      </c>
      <c r="C249" s="328">
        <f t="array" ref="C249">INDEX('アイテム'!$AI$3:$AJ$114, MATCH($A$1,'アイテム'!$A$3:$A$114,0), MATCH(C231,'アイテム'!$C$2:$AQ$2,0))</f>
        <v>9</v>
      </c>
      <c r="D249" s="328" t="str">
        <f t="array" ref="D249">INDEX('アイテム'!$AI$3:$AJ$114, MATCH($A$1,'アイテム'!$A$3:$A$114,0), MATCH(D231,'アイテム'!$C$2:$AQ$2,0))</f>
        <v>22</v>
      </c>
      <c r="E249" s="322"/>
      <c r="F249" s="322"/>
      <c r="G249" s="114"/>
      <c r="H249" s="3436"/>
      <c r="I249" s="3436"/>
      <c r="J249" s="228"/>
      <c r="K249" s="118"/>
      <c r="L249" s="118"/>
      <c r="M249" s="118"/>
      <c r="N249" s="102"/>
      <c r="O249" s="102"/>
      <c r="P249" s="102"/>
      <c r="Q249" s="102"/>
      <c r="R249" s="118"/>
      <c r="S249" s="118"/>
      <c r="T249" s="118"/>
      <c r="U249" s="118"/>
      <c r="V249" s="118"/>
    </row>
  </sheetData>
  <mergeCells count="207">
    <mergeCell ref="U53:U58"/>
    <mergeCell ref="U59:U60"/>
    <mergeCell ref="U61:U66"/>
    <mergeCell ref="U67:U74"/>
    <mergeCell ref="U75:U78"/>
    <mergeCell ref="R83:V83"/>
    <mergeCell ref="R84:V89"/>
    <mergeCell ref="U152:U154"/>
    <mergeCell ref="U157:U162"/>
    <mergeCell ref="V157:V162"/>
    <mergeCell ref="U164:U167"/>
    <mergeCell ref="V164:V167"/>
    <mergeCell ref="U169:U174"/>
    <mergeCell ref="V169:V174"/>
    <mergeCell ref="R90:V101"/>
    <mergeCell ref="R102:V113"/>
    <mergeCell ref="R114:V119"/>
    <mergeCell ref="R120:V123"/>
    <mergeCell ref="U127:U151"/>
    <mergeCell ref="V127:V151"/>
    <mergeCell ref="V152:V154"/>
    <mergeCell ref="H10:H11"/>
    <mergeCell ref="I10:I11"/>
    <mergeCell ref="K16:N16"/>
    <mergeCell ref="H1:J2"/>
    <mergeCell ref="K1:M2"/>
    <mergeCell ref="H4:H5"/>
    <mergeCell ref="I4:I5"/>
    <mergeCell ref="H6:H7"/>
    <mergeCell ref="I6:I7"/>
    <mergeCell ref="H8:J9"/>
    <mergeCell ref="A33:B34"/>
    <mergeCell ref="H34:J34"/>
    <mergeCell ref="A35:A40"/>
    <mergeCell ref="C35:C39"/>
    <mergeCell ref="D35:D39"/>
    <mergeCell ref="H35:J40"/>
    <mergeCell ref="U35:U40"/>
    <mergeCell ref="C1:G12"/>
    <mergeCell ref="A10:A12"/>
    <mergeCell ref="A15:B16"/>
    <mergeCell ref="C16:D16"/>
    <mergeCell ref="E16:F16"/>
    <mergeCell ref="G16:H16"/>
    <mergeCell ref="D24:H24"/>
    <mergeCell ref="A41:A52"/>
    <mergeCell ref="C41:C45"/>
    <mergeCell ref="D41:D50"/>
    <mergeCell ref="U41:U52"/>
    <mergeCell ref="D51:D52"/>
    <mergeCell ref="A53:A58"/>
    <mergeCell ref="D53:D57"/>
    <mergeCell ref="H41:J52"/>
    <mergeCell ref="H53:J58"/>
    <mergeCell ref="H59:J60"/>
    <mergeCell ref="H61:J66"/>
    <mergeCell ref="H67:J74"/>
    <mergeCell ref="H75:J78"/>
    <mergeCell ref="H79:J79"/>
    <mergeCell ref="I114:I119"/>
    <mergeCell ref="J114:J118"/>
    <mergeCell ref="A146:A151"/>
    <mergeCell ref="A152:A154"/>
    <mergeCell ref="A156:B156"/>
    <mergeCell ref="C158:C159"/>
    <mergeCell ref="D158:D159"/>
    <mergeCell ref="B160:B161"/>
    <mergeCell ref="A163:B163"/>
    <mergeCell ref="A157:A162"/>
    <mergeCell ref="A164:A165"/>
    <mergeCell ref="A166:A167"/>
    <mergeCell ref="A168:B168"/>
    <mergeCell ref="A169:A171"/>
    <mergeCell ref="A172:A174"/>
    <mergeCell ref="A176:B177"/>
    <mergeCell ref="A179:A181"/>
    <mergeCell ref="A182:B182"/>
    <mergeCell ref="A183:A184"/>
    <mergeCell ref="D183:D184"/>
    <mergeCell ref="A185:A186"/>
    <mergeCell ref="D185:D186"/>
    <mergeCell ref="D187:D188"/>
    <mergeCell ref="D189:D190"/>
    <mergeCell ref="A187:A188"/>
    <mergeCell ref="A189:A190"/>
    <mergeCell ref="A192:B193"/>
    <mergeCell ref="A194:A196"/>
    <mergeCell ref="A197:A198"/>
    <mergeCell ref="A200:B201"/>
    <mergeCell ref="A202:A206"/>
    <mergeCell ref="C220:C221"/>
    <mergeCell ref="C227:C228"/>
    <mergeCell ref="A222:A228"/>
    <mergeCell ref="A230:B230"/>
    <mergeCell ref="A231:B231"/>
    <mergeCell ref="A232:A233"/>
    <mergeCell ref="A235:B235"/>
    <mergeCell ref="A236:A241"/>
    <mergeCell ref="A242:A245"/>
    <mergeCell ref="A246:A249"/>
    <mergeCell ref="A207:A209"/>
    <mergeCell ref="A210:A215"/>
    <mergeCell ref="C214:C215"/>
    <mergeCell ref="D214:D215"/>
    <mergeCell ref="A216:A221"/>
    <mergeCell ref="D220:D221"/>
    <mergeCell ref="D227:D228"/>
    <mergeCell ref="C46:C50"/>
    <mergeCell ref="C53:C57"/>
    <mergeCell ref="A59:A60"/>
    <mergeCell ref="D59:D60"/>
    <mergeCell ref="A61:A66"/>
    <mergeCell ref="C61:C65"/>
    <mergeCell ref="C70:C74"/>
    <mergeCell ref="C90:C94"/>
    <mergeCell ref="C95:C98"/>
    <mergeCell ref="C84:C88"/>
    <mergeCell ref="C102:C106"/>
    <mergeCell ref="C107:C111"/>
    <mergeCell ref="C114:C118"/>
    <mergeCell ref="D112:D113"/>
    <mergeCell ref="D114:D118"/>
    <mergeCell ref="D120:D122"/>
    <mergeCell ref="D61:D65"/>
    <mergeCell ref="D67:D74"/>
    <mergeCell ref="D75:D78"/>
    <mergeCell ref="D84:D88"/>
    <mergeCell ref="D90:D99"/>
    <mergeCell ref="D100:D101"/>
    <mergeCell ref="D102:D111"/>
    <mergeCell ref="A67:A74"/>
    <mergeCell ref="A75:A78"/>
    <mergeCell ref="A79:B79"/>
    <mergeCell ref="A82:B83"/>
    <mergeCell ref="A84:A89"/>
    <mergeCell ref="A90:A101"/>
    <mergeCell ref="A102:A113"/>
    <mergeCell ref="A114:A119"/>
    <mergeCell ref="A120:A123"/>
    <mergeCell ref="A125:B125"/>
    <mergeCell ref="A126:B126"/>
    <mergeCell ref="A128:A133"/>
    <mergeCell ref="A134:A139"/>
    <mergeCell ref="A140:A145"/>
    <mergeCell ref="H207:I207"/>
    <mergeCell ref="H212:I212"/>
    <mergeCell ref="H202:I202"/>
    <mergeCell ref="H203:I203"/>
    <mergeCell ref="H204:I204"/>
    <mergeCell ref="H205:I205"/>
    <mergeCell ref="K205:K210"/>
    <mergeCell ref="H206:I206"/>
    <mergeCell ref="K211:K214"/>
    <mergeCell ref="K217:K220"/>
    <mergeCell ref="K221:L221"/>
    <mergeCell ref="H213:I213"/>
    <mergeCell ref="H214:I214"/>
    <mergeCell ref="H215:I215"/>
    <mergeCell ref="K215:L215"/>
    <mergeCell ref="H216:I216"/>
    <mergeCell ref="H217:I217"/>
    <mergeCell ref="H220:I220"/>
    <mergeCell ref="H226:I226"/>
    <mergeCell ref="H227:I227"/>
    <mergeCell ref="H228:I228"/>
    <mergeCell ref="H218:I218"/>
    <mergeCell ref="H219:I219"/>
    <mergeCell ref="H221:I221"/>
    <mergeCell ref="H222:I222"/>
    <mergeCell ref="H223:I223"/>
    <mergeCell ref="H224:I224"/>
    <mergeCell ref="H225:I225"/>
    <mergeCell ref="J102:J111"/>
    <mergeCell ref="J112:J113"/>
    <mergeCell ref="H80:J80"/>
    <mergeCell ref="I84:I89"/>
    <mergeCell ref="J84:J89"/>
    <mergeCell ref="I90:I101"/>
    <mergeCell ref="J90:J99"/>
    <mergeCell ref="J100:J101"/>
    <mergeCell ref="I102:I113"/>
    <mergeCell ref="I120:I123"/>
    <mergeCell ref="J120:J123"/>
    <mergeCell ref="H126:J126"/>
    <mergeCell ref="H127:J151"/>
    <mergeCell ref="H152:J154"/>
    <mergeCell ref="H155:J155"/>
    <mergeCell ref="H156:J156"/>
    <mergeCell ref="H157:J162"/>
    <mergeCell ref="H163:J163"/>
    <mergeCell ref="H164:J167"/>
    <mergeCell ref="H168:J168"/>
    <mergeCell ref="H169:J171"/>
    <mergeCell ref="H172:J174"/>
    <mergeCell ref="G182:J182"/>
    <mergeCell ref="G183:J184"/>
    <mergeCell ref="G185:J186"/>
    <mergeCell ref="G187:J188"/>
    <mergeCell ref="G189:J190"/>
    <mergeCell ref="H201:I201"/>
    <mergeCell ref="K201:L201"/>
    <mergeCell ref="K202:K203"/>
    <mergeCell ref="K204:L204"/>
    <mergeCell ref="H208:I208"/>
    <mergeCell ref="H209:I209"/>
    <mergeCell ref="H210:I210"/>
    <mergeCell ref="H211:I211"/>
  </mergeCells>
  <conditionalFormatting sqref="K79">
    <cfRule type="containsText" dxfId="1" priority="1" operator="containsText" text="363">
      <formula>NOT(ISERROR(SEARCH(("363"),(K79))))</formula>
    </cfRule>
  </conditionalFormatting>
  <conditionalFormatting sqref="K79">
    <cfRule type="containsText" dxfId="1" priority="2" operator="containsText" text="365">
      <formula>NOT(ISERROR(SEARCH(("365"),(K79))))</formula>
    </cfRule>
  </conditionalFormatting>
  <conditionalFormatting sqref="K79">
    <cfRule type="containsText" dxfId="1" priority="3" operator="containsText" text="366">
      <formula>NOT(ISERROR(SEARCH(("366"),(K79))))</formula>
    </cfRule>
  </conditionalFormatting>
  <conditionalFormatting sqref="K79">
    <cfRule type="containsText" dxfId="1" priority="4" operator="containsText" text="367">
      <formula>NOT(ISERROR(SEARCH(("367"),(K79))))</formula>
    </cfRule>
  </conditionalFormatting>
  <conditionalFormatting sqref="K1:K225 L182:L190">
    <cfRule type="containsText" dxfId="0" priority="5" operator="containsText" text="361">
      <formula>NOT(ISERROR(SEARCH(("361"),(K1))))</formula>
    </cfRule>
  </conditionalFormatting>
  <conditionalFormatting sqref="O183:Q190">
    <cfRule type="cellIs" dxfId="2" priority="6" operator="equal">
      <formula>"敵のみ"</formula>
    </cfRule>
  </conditionalFormatting>
  <conditionalFormatting sqref="C183:D190">
    <cfRule type="cellIs" dxfId="3" priority="7" operator="equal">
      <formula>"-"</formula>
    </cfRule>
  </conditionalFormatting>
  <conditionalFormatting sqref="O1:O249 K79 N79 N182:N190 P182:P190 Q190 L224:L225">
    <cfRule type="cellIs" dxfId="4" priority="8" operator="greaterThan">
      <formula>0</formula>
    </cfRule>
  </conditionalFormatting>
  <conditionalFormatting sqref="P1:Q249 L79:M79 O79 O182:O190 M224:M225">
    <cfRule type="cellIs" dxfId="5" priority="9" operator="lessThan">
      <formula>1</formula>
    </cfRule>
  </conditionalFormatting>
  <conditionalFormatting sqref="P1:Q249 L79:M79 O79 O182:O190 M224:M225">
    <cfRule type="cellIs" dxfId="4" priority="10" operator="greaterThan">
      <formula>1</formula>
    </cfRule>
  </conditionalFormatting>
  <conditionalFormatting sqref="N34:N201 M182:M190 O182:O190">
    <cfRule type="cellIs" dxfId="6" priority="11" operator="greaterThan">
      <formula>0</formula>
    </cfRule>
  </conditionalFormatting>
  <conditionalFormatting sqref="K1:K249 L182:L190">
    <cfRule type="containsText" dxfId="6" priority="12" operator="containsText" text="363">
      <formula>NOT(ISERROR(SEARCH(("363"),(K1))))</formula>
    </cfRule>
  </conditionalFormatting>
  <conditionalFormatting sqref="K1:K249 L182:L190">
    <cfRule type="containsText" dxfId="6" priority="13" operator="containsText" text="365">
      <formula>NOT(ISERROR(SEARCH(("365"),(K1))))</formula>
    </cfRule>
  </conditionalFormatting>
  <conditionalFormatting sqref="K1:K249 L182:L190">
    <cfRule type="containsText" dxfId="6" priority="14" operator="containsText" text="366">
      <formula>NOT(ISERROR(SEARCH(("366"),(K1))))</formula>
    </cfRule>
  </conditionalFormatting>
  <conditionalFormatting sqref="K1:K249 L182:L190">
    <cfRule type="containsText" dxfId="6" priority="15" operator="containsText" text="367">
      <formula>NOT(ISERROR(SEARCH(("367"),(K1))))</formula>
    </cfRule>
  </conditionalFormatting>
  <conditionalFormatting sqref="N1:N15 N17:N249 M182:M190 O182:O190 K224:K225">
    <cfRule type="containsText" dxfId="6" priority="16" operator="containsText" text="/">
      <formula>NOT(ISERROR(SEARCH(("/"),(N1))))</formula>
    </cfRule>
  </conditionalFormatting>
  <drawing r:id="rId2"/>
  <legacyDrawing r:id="rId3"/>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FEFE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437">
        <v>78.0</v>
      </c>
      <c r="B1" s="3438"/>
      <c r="C1" s="3439" t="str">
        <f>IMAGE(VLOOKUP($A$1,Fighters!A2:AI114,12,FALSE),1)</f>
        <v>#REF!</v>
      </c>
      <c r="D1" s="3440"/>
      <c r="E1" s="3440"/>
      <c r="F1" s="3440"/>
      <c r="G1" s="3441"/>
      <c r="H1" s="3442"/>
      <c r="I1" s="3440"/>
      <c r="J1" s="3441"/>
      <c r="K1" s="3443"/>
      <c r="L1" s="3440"/>
      <c r="M1" s="3441"/>
      <c r="N1" s="3444"/>
      <c r="O1" s="3444"/>
      <c r="P1" s="3444"/>
      <c r="Q1" s="3444"/>
      <c r="R1" s="3445"/>
      <c r="S1" s="3445"/>
      <c r="T1" s="3445"/>
      <c r="U1" s="3445"/>
      <c r="V1" s="3445"/>
    </row>
    <row r="2">
      <c r="A2" s="3446" t="str">
        <f>VLOOKUP($A$1,Fighters!$A$2:$AI$101,6,FALSE)</f>
        <v>#efefef</v>
      </c>
      <c r="B2" s="3438"/>
      <c r="C2" s="3447"/>
      <c r="G2" s="3448"/>
      <c r="H2" s="3449"/>
      <c r="I2" s="3450"/>
      <c r="J2" s="3451"/>
      <c r="K2" s="3449"/>
      <c r="L2" s="3450"/>
      <c r="M2" s="3451"/>
      <c r="N2" s="3444"/>
      <c r="O2" s="3444"/>
      <c r="P2" s="3444"/>
      <c r="Q2" s="3444"/>
      <c r="R2" s="3445"/>
      <c r="S2" s="3445"/>
      <c r="T2" s="3445"/>
      <c r="U2" s="3445"/>
      <c r="V2" s="3445"/>
    </row>
    <row r="3">
      <c r="A3" s="3446" t="str">
        <f>VLOOKUP($A$1,Fighters!$A$2:$AI$101,14,FALSE)</f>
        <v>78. セフィロス</v>
      </c>
      <c r="B3" s="3438"/>
      <c r="C3" s="3447"/>
      <c r="G3" s="3448"/>
      <c r="H3" s="3452"/>
      <c r="I3" s="3452"/>
      <c r="J3" s="3452"/>
      <c r="K3" s="3453"/>
      <c r="L3" s="3453"/>
      <c r="M3" s="3453"/>
      <c r="N3" s="3444"/>
      <c r="O3" s="3444"/>
      <c r="P3" s="3444"/>
      <c r="Q3" s="3444"/>
      <c r="R3" s="3454"/>
      <c r="S3" s="3445"/>
      <c r="T3" s="3445"/>
      <c r="U3" s="3445"/>
      <c r="V3" s="3445"/>
    </row>
    <row r="4">
      <c r="A4" s="3446" t="str">
        <f>VLOOKUP($A$1,Fighters!$A$2:$AI$101,13,FALSE)</f>
        <v>1</v>
      </c>
      <c r="B4" s="3438"/>
      <c r="C4" s="3447"/>
      <c r="G4" s="3448"/>
      <c r="H4" s="3455"/>
      <c r="I4" s="3455"/>
      <c r="J4" s="3452"/>
      <c r="K4" s="3453"/>
      <c r="L4" s="3453"/>
      <c r="M4" s="3453"/>
      <c r="N4" s="3444"/>
      <c r="O4" s="3444"/>
      <c r="P4" s="3444"/>
      <c r="Q4" s="3444"/>
      <c r="R4" s="3454"/>
      <c r="S4" s="3445"/>
      <c r="T4" s="3445"/>
      <c r="U4" s="3445"/>
      <c r="V4" s="3445"/>
    </row>
    <row r="5" ht="16.5" customHeight="1">
      <c r="A5" s="3456"/>
      <c r="B5" s="3438"/>
      <c r="C5" s="3447"/>
      <c r="G5" s="3448"/>
      <c r="H5" s="3457"/>
      <c r="I5" s="3457"/>
      <c r="J5" s="3458"/>
      <c r="K5" s="3459"/>
      <c r="L5" s="3460"/>
      <c r="M5" s="3460"/>
      <c r="N5" s="3444"/>
      <c r="O5" s="3444"/>
      <c r="P5" s="3444"/>
      <c r="Q5" s="3444"/>
      <c r="R5" s="3454"/>
      <c r="S5" s="3445"/>
      <c r="T5" s="3445"/>
      <c r="U5" s="3445"/>
      <c r="V5" s="3445"/>
    </row>
    <row r="6">
      <c r="A6" s="3438"/>
      <c r="B6" s="3438"/>
      <c r="C6" s="3447"/>
      <c r="G6" s="3448"/>
      <c r="H6" s="3455"/>
      <c r="I6" s="3461" t="s">
        <v>39</v>
      </c>
      <c r="J6" s="3459"/>
      <c r="K6" s="3462"/>
      <c r="L6" s="3460"/>
      <c r="M6" s="3460"/>
      <c r="N6" s="3444"/>
      <c r="O6" s="3444"/>
      <c r="P6" s="3444"/>
      <c r="Q6" s="3444"/>
      <c r="R6" s="3454"/>
      <c r="S6" s="3445"/>
      <c r="T6" s="3445"/>
      <c r="U6" s="3445"/>
      <c r="V6" s="3445"/>
    </row>
    <row r="7">
      <c r="A7" s="3438"/>
      <c r="B7" s="3438"/>
      <c r="C7" s="3447"/>
      <c r="G7" s="3448"/>
      <c r="H7" s="3457"/>
      <c r="I7" s="3457"/>
      <c r="J7" s="3459"/>
      <c r="K7" s="3462"/>
      <c r="L7" s="3460"/>
      <c r="M7" s="3460"/>
      <c r="N7" s="3444"/>
      <c r="O7" s="3444"/>
      <c r="P7" s="3444"/>
      <c r="Q7" s="3444"/>
      <c r="R7" s="3454"/>
      <c r="S7" s="3445"/>
      <c r="T7" s="3445"/>
      <c r="U7" s="3445"/>
      <c r="V7" s="3445"/>
    </row>
    <row r="8">
      <c r="A8" s="3438"/>
      <c r="B8" s="3438"/>
      <c r="C8" s="3447"/>
      <c r="G8" s="3448"/>
      <c r="H8" s="3463">
        <v>44379.84831701389</v>
      </c>
      <c r="I8" s="3440"/>
      <c r="J8" s="3441"/>
      <c r="K8" s="3459"/>
      <c r="L8" s="3460"/>
      <c r="M8" s="3460"/>
      <c r="N8" s="3444"/>
      <c r="O8" s="3444"/>
      <c r="P8" s="3444"/>
      <c r="Q8" s="3444"/>
      <c r="R8" s="3454"/>
      <c r="S8" s="3445"/>
      <c r="T8" s="3445"/>
      <c r="U8" s="3445"/>
      <c r="V8" s="3445"/>
    </row>
    <row r="9">
      <c r="A9" s="3438"/>
      <c r="B9" s="3438"/>
      <c r="C9" s="3447"/>
      <c r="G9" s="3448"/>
      <c r="H9" s="3449"/>
      <c r="I9" s="3450"/>
      <c r="J9" s="3451"/>
      <c r="K9" s="3445"/>
      <c r="L9" s="3444"/>
      <c r="M9" s="3444"/>
      <c r="N9" s="3444"/>
      <c r="O9" s="3444"/>
      <c r="P9" s="3444"/>
      <c r="Q9" s="3444"/>
      <c r="R9" s="3454"/>
      <c r="S9" s="3445"/>
      <c r="T9" s="3445"/>
      <c r="U9" s="3445"/>
      <c r="V9" s="3445"/>
    </row>
    <row r="10">
      <c r="A10" s="3464"/>
      <c r="B10" s="3438"/>
      <c r="C10" s="3447"/>
      <c r="G10" s="3448"/>
      <c r="H10" s="3465"/>
      <c r="I10" s="3465"/>
      <c r="J10" s="3445"/>
      <c r="K10" s="3445"/>
      <c r="L10" s="3444"/>
      <c r="M10" s="3444"/>
      <c r="N10" s="3444"/>
      <c r="O10" s="3444"/>
      <c r="P10" s="3444"/>
      <c r="Q10" s="3444"/>
      <c r="R10" s="3454"/>
      <c r="S10" s="3445"/>
      <c r="T10" s="3445"/>
      <c r="U10" s="3445"/>
      <c r="V10" s="3445"/>
    </row>
    <row r="11">
      <c r="A11" s="3466"/>
      <c r="B11" s="3438"/>
      <c r="C11" s="3447"/>
      <c r="G11" s="3448"/>
      <c r="H11" s="3457"/>
      <c r="I11" s="3457"/>
      <c r="J11" s="3445"/>
      <c r="K11" s="3445"/>
      <c r="L11" s="3444"/>
      <c r="M11" s="3444"/>
      <c r="N11" s="3444"/>
      <c r="O11" s="3444"/>
      <c r="P11" s="3444"/>
      <c r="Q11" s="3444"/>
      <c r="R11" s="3454"/>
      <c r="S11" s="3445"/>
      <c r="T11" s="3445"/>
      <c r="U11" s="3445"/>
      <c r="V11" s="3445"/>
    </row>
    <row r="12">
      <c r="A12" s="3457"/>
      <c r="B12" s="3438"/>
      <c r="C12" s="3449"/>
      <c r="D12" s="3450"/>
      <c r="E12" s="3450"/>
      <c r="F12" s="3450"/>
      <c r="G12" s="3451"/>
      <c r="H12" s="3467"/>
      <c r="I12" s="3467"/>
      <c r="J12" s="3438"/>
      <c r="K12" s="3438"/>
      <c r="L12" s="3444"/>
      <c r="M12" s="3444"/>
      <c r="N12" s="3444"/>
      <c r="O12" s="3444"/>
      <c r="P12" s="3444"/>
      <c r="Q12" s="3444"/>
      <c r="R12" s="3454"/>
      <c r="S12" s="3445"/>
      <c r="T12" s="3445"/>
      <c r="U12" s="3445"/>
      <c r="V12" s="3445"/>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
        <v>6054</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79 [79th]</v>
      </c>
      <c r="G17" s="112" t="s">
        <v>5282</v>
      </c>
      <c r="H17" s="113" t="s">
        <v>6055</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1.92 [43rd]</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INDEX('行動フレーム・能力値'!$C$2:$AD$101, MATCH($A$1,'行動フレーム・能力値'!$A$2:$A$95,0),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 [73rd]</v>
      </c>
      <c r="G18" s="112" t="s">
        <v>5286</v>
      </c>
      <c r="H18" s="113" t="s">
        <v>6056</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0.12 [72nd]</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30.5 [64th]</v>
      </c>
      <c r="O18" s="99"/>
      <c r="P18" s="99"/>
      <c r="Q18" s="99"/>
      <c r="R18" s="99"/>
      <c r="S18" s="111"/>
      <c r="T18" s="111"/>
      <c r="U18" s="111"/>
      <c r="V18" s="111"/>
    </row>
    <row r="19" outlineLevel="1">
      <c r="A19" s="112" t="s">
        <v>5288</v>
      </c>
      <c r="B19" s="113" t="b">
        <f t="array" ref="B19">INDEX('行動フレーム・能力値'!$C$2:$AD$101,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1.86 [31st]</v>
      </c>
      <c r="G19" s="112" t="s">
        <v>5290</v>
      </c>
      <c r="H19" s="113" t="s">
        <v>6057</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 [39th]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10 [88th]</v>
      </c>
      <c r="O19" s="99"/>
      <c r="P19" s="99"/>
      <c r="Q19" s="99"/>
      <c r="R19" s="99"/>
      <c r="S19" s="111"/>
      <c r="T19" s="111"/>
      <c r="U19" s="111"/>
      <c r="V19" s="111"/>
    </row>
    <row r="20" outlineLevel="1">
      <c r="A20" s="112" t="s">
        <v>5292</v>
      </c>
      <c r="B20" s="113" t="b">
        <f t="array" ref="B20">INDEX('行動フレーム・能力値'!$C$2:$AD$101,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0.95 [67th]</v>
      </c>
      <c r="G20" s="112" t="s">
        <v>5293</v>
      </c>
      <c r="H20" s="113" t="s">
        <v>6058</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34 [36th]</v>
      </c>
      <c r="O20" s="99"/>
      <c r="P20" s="99"/>
      <c r="Q20" s="99"/>
      <c r="R20" s="99"/>
      <c r="S20" s="100"/>
      <c r="T20" s="100"/>
      <c r="U20" s="100"/>
      <c r="V20" s="100"/>
    </row>
    <row r="21" outlineLevel="1">
      <c r="A21" s="112" t="s">
        <v>587</v>
      </c>
      <c r="B21" s="113" t="b">
        <f t="array" ref="B21">INDEX('行動フレーム・能力値'!$C$2:$AD$101,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1.84 [12th]</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0.008 [57th]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2.944 [12th]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0.108 [27th]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01"/>
      <c r="B24" s="101"/>
      <c r="C24" s="108" t="s">
        <v>6059</v>
      </c>
      <c r="D24" s="109"/>
      <c r="E24" s="98"/>
      <c r="F24" s="101"/>
      <c r="G24" s="98"/>
      <c r="H24" s="98"/>
      <c r="I24" s="114"/>
      <c r="J24" s="101"/>
      <c r="K24" s="118"/>
      <c r="L24" s="114"/>
      <c r="M24" s="100"/>
      <c r="N24" s="117"/>
      <c r="O24" s="99"/>
      <c r="P24" s="99"/>
      <c r="Q24" s="99"/>
      <c r="R24" s="99"/>
      <c r="S24" s="100"/>
      <c r="T24" s="100"/>
      <c r="U24" s="100"/>
      <c r="V24" s="100"/>
    </row>
    <row r="25">
      <c r="A25" s="101"/>
      <c r="B25" s="101"/>
      <c r="C25" s="108" t="s">
        <v>3391</v>
      </c>
      <c r="D25" s="2174" t="s">
        <v>3392</v>
      </c>
      <c r="E25" s="1932" t="s">
        <v>3393</v>
      </c>
      <c r="F25" s="101"/>
      <c r="G25" s="98"/>
      <c r="H25" s="98"/>
      <c r="I25" s="114"/>
      <c r="J25" s="101"/>
      <c r="K25" s="118"/>
      <c r="L25" s="114"/>
      <c r="M25" s="100"/>
      <c r="N25" s="117"/>
      <c r="O25" s="99"/>
      <c r="P25" s="99"/>
      <c r="Q25" s="99"/>
      <c r="R25" s="99"/>
      <c r="S25" s="100"/>
      <c r="T25" s="100"/>
      <c r="U25" s="100"/>
      <c r="V25" s="100"/>
    </row>
    <row r="26">
      <c r="A26" s="101"/>
      <c r="B26" s="101"/>
      <c r="C26" s="2175" t="s">
        <v>1582</v>
      </c>
      <c r="D26" s="2176" t="s">
        <v>214</v>
      </c>
      <c r="E26" s="113" t="s">
        <v>76</v>
      </c>
      <c r="F26" s="101"/>
      <c r="G26" s="98"/>
      <c r="H26" s="98"/>
      <c r="I26" s="114"/>
      <c r="J26" s="101"/>
      <c r="K26" s="118"/>
      <c r="L26" s="114"/>
      <c r="M26" s="100"/>
      <c r="N26" s="117"/>
      <c r="O26" s="99"/>
      <c r="P26" s="99"/>
      <c r="Q26" s="99"/>
      <c r="R26" s="99"/>
      <c r="S26" s="100"/>
      <c r="T26" s="100"/>
      <c r="U26" s="100"/>
      <c r="V26" s="100"/>
    </row>
    <row r="27">
      <c r="A27" s="101"/>
      <c r="B27" s="101"/>
      <c r="C27" s="112" t="s">
        <v>3399</v>
      </c>
      <c r="D27" s="113" t="s">
        <v>2036</v>
      </c>
      <c r="E27" s="113"/>
      <c r="F27" s="101"/>
      <c r="G27" s="98"/>
      <c r="H27" s="98"/>
      <c r="I27" s="114"/>
      <c r="J27" s="101"/>
      <c r="K27" s="118"/>
      <c r="L27" s="114"/>
      <c r="M27" s="100"/>
      <c r="N27" s="117"/>
      <c r="O27" s="99"/>
      <c r="P27" s="99"/>
      <c r="Q27" s="99"/>
      <c r="R27" s="99"/>
      <c r="S27" s="100"/>
      <c r="T27" s="100"/>
      <c r="U27" s="100"/>
      <c r="V27" s="100"/>
    </row>
    <row r="28">
      <c r="A28" s="101"/>
      <c r="B28" s="101"/>
      <c r="C28" s="112" t="s">
        <v>3400</v>
      </c>
      <c r="D28" s="113" t="s">
        <v>1614</v>
      </c>
      <c r="E28" s="113"/>
      <c r="F28" s="101"/>
      <c r="G28" s="98"/>
      <c r="H28" s="98"/>
      <c r="I28" s="114"/>
      <c r="J28" s="101"/>
      <c r="K28" s="118"/>
      <c r="L28" s="114"/>
      <c r="M28" s="100"/>
      <c r="N28" s="117"/>
      <c r="O28" s="99"/>
      <c r="P28" s="99"/>
      <c r="Q28" s="99"/>
      <c r="R28" s="99"/>
      <c r="S28" s="100"/>
      <c r="T28" s="100"/>
      <c r="U28" s="100"/>
      <c r="V28" s="100"/>
    </row>
    <row r="29">
      <c r="A29" s="101"/>
      <c r="B29" s="101"/>
      <c r="C29" s="112" t="s">
        <v>3403</v>
      </c>
      <c r="D29" s="113" t="s">
        <v>3394</v>
      </c>
      <c r="E29" s="113"/>
      <c r="F29" s="101"/>
      <c r="G29" s="98"/>
      <c r="H29" s="98"/>
      <c r="I29" s="114"/>
      <c r="J29" s="101"/>
      <c r="K29" s="118"/>
      <c r="L29" s="114"/>
      <c r="M29" s="100"/>
      <c r="N29" s="117"/>
      <c r="O29" s="99"/>
      <c r="P29" s="99"/>
      <c r="Q29" s="99"/>
      <c r="R29" s="99"/>
      <c r="S29" s="100"/>
      <c r="T29" s="100"/>
      <c r="U29" s="100"/>
      <c r="V29" s="100"/>
    </row>
    <row r="30">
      <c r="A30" s="101"/>
      <c r="B30" s="101"/>
      <c r="C30" s="112" t="s">
        <v>3404</v>
      </c>
      <c r="D30" s="113" t="s">
        <v>214</v>
      </c>
      <c r="E30" s="113"/>
      <c r="F30" s="101"/>
      <c r="G30" s="98"/>
      <c r="H30" s="98"/>
      <c r="I30" s="114"/>
      <c r="J30" s="101"/>
      <c r="K30" s="118"/>
      <c r="L30" s="114"/>
      <c r="M30" s="100"/>
      <c r="N30" s="117"/>
      <c r="O30" s="99"/>
      <c r="P30" s="99"/>
      <c r="Q30" s="99"/>
      <c r="R30" s="99"/>
      <c r="S30" s="100"/>
      <c r="T30" s="100"/>
      <c r="U30" s="100"/>
      <c r="V30" s="100"/>
    </row>
    <row r="31">
      <c r="A31" s="101"/>
      <c r="B31" s="101"/>
      <c r="C31" s="112" t="s">
        <v>1584</v>
      </c>
      <c r="D31" s="113" t="s">
        <v>6060</v>
      </c>
      <c r="E31" s="113"/>
      <c r="F31" s="101"/>
      <c r="G31" s="98"/>
      <c r="H31" s="98"/>
      <c r="I31" s="114"/>
      <c r="J31" s="101"/>
      <c r="K31" s="118"/>
      <c r="L31" s="114"/>
      <c r="M31" s="100"/>
      <c r="N31" s="117"/>
      <c r="O31" s="99"/>
      <c r="P31" s="99"/>
      <c r="Q31" s="99"/>
      <c r="R31" s="99"/>
      <c r="S31" s="100"/>
      <c r="T31" s="100"/>
      <c r="U31" s="100"/>
      <c r="V31" s="100"/>
    </row>
    <row r="32">
      <c r="A32" s="101"/>
      <c r="B32" s="101"/>
      <c r="C32" s="112" t="s">
        <v>4520</v>
      </c>
      <c r="D32" s="113" t="s">
        <v>6061</v>
      </c>
      <c r="E32" s="113"/>
      <c r="F32" s="101"/>
      <c r="G32" s="98"/>
      <c r="H32" s="98"/>
      <c r="I32" s="114"/>
      <c r="J32" s="101"/>
      <c r="K32" s="118"/>
      <c r="L32" s="114"/>
      <c r="M32" s="100"/>
      <c r="N32" s="117"/>
      <c r="O32" s="99"/>
      <c r="P32" s="99"/>
      <c r="Q32" s="99"/>
      <c r="R32" s="99"/>
      <c r="S32" s="100"/>
      <c r="T32" s="100"/>
      <c r="U32" s="100"/>
      <c r="V32" s="100"/>
    </row>
    <row r="33">
      <c r="A33" s="101"/>
      <c r="B33" s="101"/>
      <c r="C33" s="112" t="s">
        <v>3407</v>
      </c>
      <c r="D33" s="113" t="s">
        <v>6061</v>
      </c>
      <c r="E33" s="113"/>
      <c r="F33" s="101"/>
      <c r="G33" s="98"/>
      <c r="H33" s="98"/>
      <c r="I33" s="114"/>
      <c r="J33" s="101"/>
      <c r="K33" s="118"/>
      <c r="L33" s="114"/>
      <c r="M33" s="100"/>
      <c r="N33" s="117"/>
      <c r="O33" s="99"/>
      <c r="P33" s="99"/>
      <c r="Q33" s="99"/>
      <c r="R33" s="99"/>
      <c r="S33" s="100"/>
      <c r="T33" s="100"/>
      <c r="U33" s="100"/>
      <c r="V33" s="100"/>
    </row>
    <row r="34">
      <c r="A34" s="101"/>
      <c r="B34" s="101"/>
      <c r="C34" s="112" t="s">
        <v>3408</v>
      </c>
      <c r="D34" s="113" t="s">
        <v>6062</v>
      </c>
      <c r="E34" s="113"/>
      <c r="F34" s="101"/>
      <c r="G34" s="98"/>
      <c r="H34" s="98"/>
      <c r="I34" s="114"/>
      <c r="J34" s="101"/>
      <c r="K34" s="118"/>
      <c r="L34" s="114"/>
      <c r="M34" s="100"/>
      <c r="N34" s="117"/>
      <c r="O34" s="99"/>
      <c r="P34" s="99"/>
      <c r="Q34" s="99"/>
      <c r="R34" s="99"/>
      <c r="S34" s="100"/>
      <c r="T34" s="100"/>
      <c r="U34" s="100"/>
      <c r="V34" s="100"/>
    </row>
    <row r="35">
      <c r="A35" s="101"/>
      <c r="B35" s="101"/>
      <c r="C35" s="101"/>
      <c r="D35" s="101"/>
      <c r="E35" s="101"/>
      <c r="F35" s="101"/>
      <c r="G35" s="98"/>
      <c r="H35" s="98"/>
      <c r="I35" s="114"/>
      <c r="J35" s="101"/>
      <c r="K35" s="118"/>
      <c r="L35" s="114"/>
      <c r="M35" s="100"/>
      <c r="N35" s="117"/>
      <c r="O35" s="99"/>
      <c r="P35" s="99"/>
      <c r="Q35" s="99"/>
      <c r="R35" s="99"/>
      <c r="S35" s="100"/>
      <c r="T35" s="100"/>
      <c r="U35" s="100"/>
      <c r="V35" s="100"/>
    </row>
    <row r="36">
      <c r="A36" s="119" t="s">
        <v>47</v>
      </c>
      <c r="B36" s="104"/>
      <c r="C36" s="120"/>
      <c r="D36" s="121"/>
      <c r="E36" s="121"/>
      <c r="F36" s="122"/>
      <c r="G36" s="123"/>
      <c r="H36" s="121"/>
      <c r="I36" s="121"/>
      <c r="J36" s="121"/>
      <c r="K36" s="121"/>
      <c r="L36" s="124"/>
      <c r="M36" s="124"/>
      <c r="N36" s="125"/>
      <c r="O36" s="125"/>
      <c r="P36" s="125"/>
      <c r="Q36" s="126"/>
      <c r="R36" s="100"/>
      <c r="S36" s="100"/>
      <c r="T36" s="100"/>
      <c r="U36" s="124"/>
      <c r="V36" s="124"/>
    </row>
    <row r="37" outlineLevel="1">
      <c r="A37" s="106"/>
      <c r="B37" s="107"/>
      <c r="C37" s="127" t="s">
        <v>48</v>
      </c>
      <c r="D37" s="128" t="s">
        <v>49</v>
      </c>
      <c r="E37" s="128" t="s">
        <v>50</v>
      </c>
      <c r="F37" s="129" t="s">
        <v>51</v>
      </c>
      <c r="G37" s="128" t="s">
        <v>52</v>
      </c>
      <c r="H37" s="361" t="s">
        <v>53</v>
      </c>
      <c r="I37" s="110"/>
      <c r="J37" s="109"/>
      <c r="K37" s="131" t="s">
        <v>137</v>
      </c>
      <c r="L37" s="131" t="s">
        <v>138</v>
      </c>
      <c r="M37" s="131" t="s">
        <v>139</v>
      </c>
      <c r="N37" s="131" t="s">
        <v>140</v>
      </c>
      <c r="O37" s="132" t="s">
        <v>141</v>
      </c>
      <c r="P37" s="131" t="s">
        <v>142</v>
      </c>
      <c r="Q37" s="132" t="s">
        <v>143</v>
      </c>
      <c r="R37" s="100"/>
      <c r="S37" s="100"/>
      <c r="T37" s="100"/>
      <c r="U37" s="127" t="s">
        <v>54</v>
      </c>
      <c r="V37" s="100"/>
    </row>
    <row r="38" outlineLevel="1">
      <c r="A38" s="133" t="s">
        <v>266</v>
      </c>
      <c r="B38" s="134" t="s">
        <v>55</v>
      </c>
      <c r="C38" s="701" t="s">
        <v>91</v>
      </c>
      <c r="D38" s="701" t="s">
        <v>593</v>
      </c>
      <c r="E38" s="139" t="s">
        <v>535</v>
      </c>
      <c r="F38" s="138">
        <v>3.0</v>
      </c>
      <c r="G38" s="139" t="s">
        <v>147</v>
      </c>
      <c r="H38" s="151" t="s">
        <v>6063</v>
      </c>
      <c r="I38" s="110"/>
      <c r="J38" s="109"/>
      <c r="K38" s="282"/>
      <c r="L38" s="282"/>
      <c r="M38" s="363"/>
      <c r="N38" s="363"/>
      <c r="O38" s="145">
        <v>0.0</v>
      </c>
      <c r="P38" s="145">
        <v>1.0</v>
      </c>
      <c r="Q38" s="145">
        <v>1.0</v>
      </c>
      <c r="R38" s="100"/>
      <c r="S38" s="100"/>
      <c r="T38" s="100"/>
      <c r="U38" s="1584"/>
      <c r="V38" s="100"/>
    </row>
    <row r="39" outlineLevel="1">
      <c r="A39" s="146"/>
      <c r="B39" s="147" t="s">
        <v>63</v>
      </c>
      <c r="C39" s="467" t="s">
        <v>91</v>
      </c>
      <c r="D39" s="467" t="s">
        <v>72</v>
      </c>
      <c r="E39" s="216" t="s">
        <v>176</v>
      </c>
      <c r="F39" s="138">
        <v>2.4</v>
      </c>
      <c r="G39" s="216" t="s">
        <v>60</v>
      </c>
      <c r="H39" s="151" t="s">
        <v>6064</v>
      </c>
      <c r="I39" s="110"/>
      <c r="J39" s="109"/>
      <c r="K39" s="282"/>
      <c r="L39" s="282"/>
      <c r="M39" s="363"/>
      <c r="N39" s="363"/>
      <c r="O39" s="145">
        <v>0.0</v>
      </c>
      <c r="P39" s="145">
        <v>1.0</v>
      </c>
      <c r="Q39" s="145">
        <v>1.0</v>
      </c>
      <c r="R39" s="100"/>
      <c r="S39" s="100"/>
      <c r="T39" s="100"/>
      <c r="U39" s="1584"/>
      <c r="V39" s="100"/>
    </row>
    <row r="40" outlineLevel="1">
      <c r="A40" s="156"/>
      <c r="B40" s="147" t="s">
        <v>70</v>
      </c>
      <c r="C40" s="467" t="s">
        <v>277</v>
      </c>
      <c r="D40" s="467" t="s">
        <v>193</v>
      </c>
      <c r="E40" s="216" t="s">
        <v>73</v>
      </c>
      <c r="F40" s="138">
        <v>4.8</v>
      </c>
      <c r="G40" s="216" t="s">
        <v>75</v>
      </c>
      <c r="H40" s="151"/>
      <c r="I40" s="110"/>
      <c r="J40" s="109"/>
      <c r="K40" s="282"/>
      <c r="L40" s="282"/>
      <c r="M40" s="363"/>
      <c r="N40" s="363"/>
      <c r="O40" s="145">
        <v>0.0</v>
      </c>
      <c r="P40" s="145">
        <v>1.0</v>
      </c>
      <c r="Q40" s="145">
        <v>1.0</v>
      </c>
      <c r="R40" s="100"/>
      <c r="S40" s="100"/>
      <c r="T40" s="100"/>
      <c r="U40" s="1584"/>
      <c r="V40" s="100"/>
    </row>
    <row r="41" outlineLevel="1">
      <c r="A41" s="133" t="s">
        <v>77</v>
      </c>
      <c r="B41" s="160"/>
      <c r="C41" s="467" t="s">
        <v>295</v>
      </c>
      <c r="D41" s="455" t="s">
        <v>374</v>
      </c>
      <c r="E41" s="467" t="s">
        <v>228</v>
      </c>
      <c r="F41" s="138">
        <v>15.6</v>
      </c>
      <c r="G41" s="467" t="s">
        <v>407</v>
      </c>
      <c r="H41" s="163"/>
      <c r="I41" s="164"/>
      <c r="J41" s="104"/>
      <c r="K41" s="282"/>
      <c r="L41" s="282"/>
      <c r="M41" s="363"/>
      <c r="N41" s="363"/>
      <c r="O41" s="145">
        <v>0.0</v>
      </c>
      <c r="P41" s="145">
        <v>1.0</v>
      </c>
      <c r="Q41" s="145">
        <v>1.0</v>
      </c>
      <c r="R41" s="100"/>
      <c r="S41" s="100"/>
      <c r="T41" s="100"/>
      <c r="U41" s="3301"/>
      <c r="V41" s="100"/>
    </row>
    <row r="42" outlineLevel="1">
      <c r="A42" s="156"/>
      <c r="B42" s="147" t="s">
        <v>84</v>
      </c>
      <c r="C42" s="467" t="s">
        <v>409</v>
      </c>
      <c r="D42" s="107"/>
      <c r="E42" s="467" t="s">
        <v>93</v>
      </c>
      <c r="F42" s="138">
        <v>8.4</v>
      </c>
      <c r="G42" s="467" t="s">
        <v>95</v>
      </c>
      <c r="H42" s="106"/>
      <c r="I42" s="168"/>
      <c r="J42" s="107"/>
      <c r="K42" s="282"/>
      <c r="L42" s="282"/>
      <c r="M42" s="363"/>
      <c r="N42" s="363"/>
      <c r="O42" s="145">
        <v>0.0</v>
      </c>
      <c r="P42" s="145">
        <v>1.0</v>
      </c>
      <c r="Q42" s="145">
        <v>1.0</v>
      </c>
      <c r="R42" s="100"/>
      <c r="S42" s="100"/>
      <c r="T42" s="100"/>
      <c r="U42" s="156"/>
      <c r="V42" s="100"/>
    </row>
    <row r="43" outlineLevel="1">
      <c r="A43" s="170" t="s">
        <v>89</v>
      </c>
      <c r="B43" s="147"/>
      <c r="C43" s="467" t="s">
        <v>325</v>
      </c>
      <c r="D43" s="467" t="s">
        <v>79</v>
      </c>
      <c r="E43" s="467" t="s">
        <v>6065</v>
      </c>
      <c r="F43" s="138" t="s">
        <v>6066</v>
      </c>
      <c r="G43" s="467" t="s">
        <v>6067</v>
      </c>
      <c r="H43" s="151"/>
      <c r="I43" s="110"/>
      <c r="J43" s="109"/>
      <c r="K43" s="282"/>
      <c r="L43" s="282"/>
      <c r="M43" s="363"/>
      <c r="N43" s="363"/>
      <c r="O43" s="145">
        <v>0.0</v>
      </c>
      <c r="P43" s="145">
        <v>1.0</v>
      </c>
      <c r="Q43" s="145">
        <v>1.0</v>
      </c>
      <c r="R43" s="100"/>
      <c r="S43" s="100"/>
      <c r="T43" s="100"/>
      <c r="U43" s="1584"/>
      <c r="V43" s="100"/>
    </row>
    <row r="44" outlineLevel="1">
      <c r="A44" s="133" t="s">
        <v>97</v>
      </c>
      <c r="B44" s="147" t="s">
        <v>683</v>
      </c>
      <c r="C44" s="467" t="s">
        <v>128</v>
      </c>
      <c r="D44" s="455" t="s">
        <v>393</v>
      </c>
      <c r="E44" s="467" t="s">
        <v>213</v>
      </c>
      <c r="F44" s="138">
        <v>1.2</v>
      </c>
      <c r="G44" s="467" t="s">
        <v>170</v>
      </c>
      <c r="H44" s="163" t="s">
        <v>6068</v>
      </c>
      <c r="I44" s="164"/>
      <c r="J44" s="104"/>
      <c r="K44" s="282"/>
      <c r="L44" s="282"/>
      <c r="M44" s="363"/>
      <c r="N44" s="363"/>
      <c r="O44" s="145">
        <v>0.0</v>
      </c>
      <c r="P44" s="145">
        <v>1.0</v>
      </c>
      <c r="Q44" s="145">
        <v>1.0</v>
      </c>
      <c r="R44" s="100"/>
      <c r="S44" s="100"/>
      <c r="T44" s="100"/>
      <c r="U44" s="3301"/>
      <c r="V44" s="100"/>
    </row>
    <row r="45" outlineLevel="1">
      <c r="A45" s="146"/>
      <c r="B45" s="147" t="s">
        <v>131</v>
      </c>
      <c r="C45" s="467" t="s">
        <v>721</v>
      </c>
      <c r="D45" s="210"/>
      <c r="E45" s="467" t="s">
        <v>6069</v>
      </c>
      <c r="F45" s="138" t="s">
        <v>6070</v>
      </c>
      <c r="G45" s="467" t="s">
        <v>3787</v>
      </c>
      <c r="H45" s="212"/>
      <c r="J45" s="210"/>
      <c r="K45" s="145"/>
      <c r="L45" s="363"/>
      <c r="M45" s="363"/>
      <c r="N45" s="363"/>
      <c r="O45" s="145"/>
      <c r="P45" s="145"/>
      <c r="Q45" s="145"/>
      <c r="R45" s="100"/>
      <c r="S45" s="100"/>
      <c r="T45" s="100"/>
      <c r="U45" s="146"/>
      <c r="V45" s="100"/>
    </row>
    <row r="46" outlineLevel="1">
      <c r="A46" s="156"/>
      <c r="B46" s="147" t="s">
        <v>432</v>
      </c>
      <c r="C46" s="467" t="s">
        <v>6071</v>
      </c>
      <c r="D46" s="107"/>
      <c r="E46" s="467" t="s">
        <v>6072</v>
      </c>
      <c r="F46" s="138" t="s">
        <v>6073</v>
      </c>
      <c r="G46" s="467" t="s">
        <v>6074</v>
      </c>
      <c r="H46" s="106"/>
      <c r="I46" s="168"/>
      <c r="J46" s="107"/>
      <c r="K46" s="145"/>
      <c r="L46" s="363"/>
      <c r="M46" s="363"/>
      <c r="N46" s="363"/>
      <c r="O46" s="145">
        <v>0.0</v>
      </c>
      <c r="P46" s="145">
        <v>1.0</v>
      </c>
      <c r="Q46" s="145">
        <v>1.0</v>
      </c>
      <c r="R46" s="100"/>
      <c r="S46" s="100"/>
      <c r="T46" s="100"/>
      <c r="U46" s="156"/>
      <c r="V46" s="100"/>
    </row>
    <row r="47" outlineLevel="1">
      <c r="A47" s="133" t="s">
        <v>103</v>
      </c>
      <c r="B47" s="160"/>
      <c r="C47" s="467" t="s">
        <v>5746</v>
      </c>
      <c r="D47" s="455" t="s">
        <v>221</v>
      </c>
      <c r="E47" s="467" t="s">
        <v>80</v>
      </c>
      <c r="F47" s="138">
        <v>9.6</v>
      </c>
      <c r="G47" s="467" t="s">
        <v>123</v>
      </c>
      <c r="H47" s="163"/>
      <c r="I47" s="164"/>
      <c r="J47" s="104"/>
      <c r="K47" s="145"/>
      <c r="L47" s="363"/>
      <c r="M47" s="363"/>
      <c r="N47" s="363"/>
      <c r="O47" s="145">
        <v>0.0</v>
      </c>
      <c r="P47" s="145">
        <v>1.0</v>
      </c>
      <c r="Q47" s="145">
        <v>1.0</v>
      </c>
      <c r="R47" s="100"/>
      <c r="S47" s="100"/>
      <c r="T47" s="100"/>
      <c r="U47" s="3301"/>
      <c r="V47" s="100"/>
    </row>
    <row r="48" outlineLevel="1">
      <c r="A48" s="156"/>
      <c r="B48" s="147" t="s">
        <v>84</v>
      </c>
      <c r="C48" s="467" t="s">
        <v>567</v>
      </c>
      <c r="D48" s="107"/>
      <c r="E48" s="467" t="s">
        <v>86</v>
      </c>
      <c r="F48" s="138">
        <v>7.199999999999999</v>
      </c>
      <c r="G48" s="467" t="s">
        <v>102</v>
      </c>
      <c r="H48" s="106"/>
      <c r="I48" s="168"/>
      <c r="J48" s="107"/>
      <c r="K48" s="363"/>
      <c r="L48" s="363"/>
      <c r="M48" s="363"/>
      <c r="N48" s="363"/>
      <c r="O48" s="145">
        <v>0.0</v>
      </c>
      <c r="P48" s="145">
        <v>1.0</v>
      </c>
      <c r="Q48" s="145">
        <v>1.0</v>
      </c>
      <c r="R48" s="100"/>
      <c r="S48" s="100"/>
      <c r="T48" s="100"/>
      <c r="U48" s="156"/>
      <c r="V48" s="100"/>
    </row>
    <row r="49" outlineLevel="1">
      <c r="A49" s="170" t="s">
        <v>109</v>
      </c>
      <c r="B49" s="147"/>
      <c r="C49" s="467" t="s">
        <v>443</v>
      </c>
      <c r="D49" s="467" t="s">
        <v>208</v>
      </c>
      <c r="E49" s="467" t="s">
        <v>6075</v>
      </c>
      <c r="F49" s="138" t="s">
        <v>6076</v>
      </c>
      <c r="G49" s="467" t="s">
        <v>6077</v>
      </c>
      <c r="H49" s="151" t="s">
        <v>6078</v>
      </c>
      <c r="I49" s="110"/>
      <c r="J49" s="109"/>
      <c r="K49" s="282"/>
      <c r="L49" s="282"/>
      <c r="M49" s="363"/>
      <c r="N49" s="363"/>
      <c r="O49" s="145">
        <v>0.0</v>
      </c>
      <c r="P49" s="145">
        <v>1.0</v>
      </c>
      <c r="Q49" s="145">
        <v>1.0</v>
      </c>
      <c r="R49" s="100"/>
      <c r="S49" s="100"/>
      <c r="T49" s="100"/>
      <c r="U49" s="1584"/>
      <c r="V49" s="100"/>
    </row>
    <row r="50" ht="20.25" customHeight="1" outlineLevel="1">
      <c r="A50" s="133" t="s">
        <v>116</v>
      </c>
      <c r="B50" s="147" t="s">
        <v>152</v>
      </c>
      <c r="C50" s="467" t="s">
        <v>173</v>
      </c>
      <c r="D50" s="455" t="s">
        <v>748</v>
      </c>
      <c r="E50" s="467" t="s">
        <v>6079</v>
      </c>
      <c r="F50" s="138" t="s">
        <v>6080</v>
      </c>
      <c r="G50" s="467" t="s">
        <v>6081</v>
      </c>
      <c r="H50" s="163" t="s">
        <v>6082</v>
      </c>
      <c r="I50" s="164"/>
      <c r="J50" s="104"/>
      <c r="K50" s="363"/>
      <c r="L50" s="363"/>
      <c r="M50" s="363"/>
      <c r="N50" s="363"/>
      <c r="O50" s="145">
        <v>0.0</v>
      </c>
      <c r="P50" s="145">
        <v>1.0</v>
      </c>
      <c r="Q50" s="145">
        <v>1.0</v>
      </c>
      <c r="R50" s="100"/>
      <c r="S50" s="100"/>
      <c r="T50" s="100"/>
      <c r="U50" s="3301"/>
      <c r="V50" s="100"/>
    </row>
    <row r="51" ht="20.25" customHeight="1" outlineLevel="1">
      <c r="A51" s="156"/>
      <c r="B51" s="147"/>
      <c r="C51" s="216" t="s">
        <v>4018</v>
      </c>
      <c r="D51" s="107"/>
      <c r="E51" s="467" t="s">
        <v>6083</v>
      </c>
      <c r="F51" s="138" t="s">
        <v>6084</v>
      </c>
      <c r="G51" s="467" t="s">
        <v>6067</v>
      </c>
      <c r="H51" s="106"/>
      <c r="I51" s="168"/>
      <c r="J51" s="107"/>
      <c r="K51" s="363"/>
      <c r="L51" s="363"/>
      <c r="M51" s="363"/>
      <c r="N51" s="363"/>
      <c r="O51" s="145">
        <v>0.0</v>
      </c>
      <c r="P51" s="145">
        <v>1.0</v>
      </c>
      <c r="Q51" s="145">
        <v>1.0</v>
      </c>
      <c r="R51" s="100"/>
      <c r="S51" s="100"/>
      <c r="T51" s="100"/>
      <c r="U51" s="156"/>
      <c r="V51" s="100"/>
    </row>
    <row r="52" ht="31.5" customHeight="1" outlineLevel="1">
      <c r="A52" s="133" t="s">
        <v>124</v>
      </c>
      <c r="B52" s="147" t="s">
        <v>6085</v>
      </c>
      <c r="C52" s="216" t="s">
        <v>314</v>
      </c>
      <c r="D52" s="455" t="s">
        <v>892</v>
      </c>
      <c r="E52" s="467" t="s">
        <v>6086</v>
      </c>
      <c r="F52" s="138" t="s">
        <v>6087</v>
      </c>
      <c r="G52" s="467" t="s">
        <v>6088</v>
      </c>
      <c r="H52" s="163" t="s">
        <v>6089</v>
      </c>
      <c r="I52" s="164"/>
      <c r="J52" s="104"/>
      <c r="K52" s="282"/>
      <c r="L52" s="282"/>
      <c r="M52" s="363"/>
      <c r="N52" s="363"/>
      <c r="O52" s="145">
        <v>0.0</v>
      </c>
      <c r="P52" s="145">
        <v>1.0</v>
      </c>
      <c r="Q52" s="145">
        <v>1.0</v>
      </c>
      <c r="R52" s="100"/>
      <c r="S52" s="100"/>
      <c r="T52" s="100"/>
      <c r="U52" s="3301"/>
      <c r="V52" s="100"/>
    </row>
    <row r="53" ht="31.5" customHeight="1" outlineLevel="1">
      <c r="A53" s="156"/>
      <c r="B53" s="147" t="s">
        <v>6090</v>
      </c>
      <c r="C53" s="216" t="s">
        <v>834</v>
      </c>
      <c r="D53" s="107"/>
      <c r="E53" s="467" t="s">
        <v>6091</v>
      </c>
      <c r="F53" s="138" t="s">
        <v>6092</v>
      </c>
      <c r="G53" s="467" t="s">
        <v>559</v>
      </c>
      <c r="H53" s="106"/>
      <c r="I53" s="168"/>
      <c r="J53" s="107"/>
      <c r="K53" s="282"/>
      <c r="L53" s="282"/>
      <c r="M53" s="363"/>
      <c r="N53" s="363"/>
      <c r="O53" s="145">
        <v>0.0</v>
      </c>
      <c r="P53" s="145">
        <v>1.0</v>
      </c>
      <c r="Q53" s="145">
        <v>1.0</v>
      </c>
      <c r="R53" s="100"/>
      <c r="S53" s="100"/>
      <c r="T53" s="100"/>
      <c r="U53" s="156"/>
      <c r="V53" s="100"/>
    </row>
    <row r="54">
      <c r="A54" s="118"/>
      <c r="B54" s="176"/>
      <c r="C54" s="118"/>
      <c r="D54" s="118"/>
      <c r="E54" s="118"/>
      <c r="F54" s="177"/>
      <c r="G54" s="177"/>
      <c r="H54" s="118"/>
      <c r="I54" s="118"/>
      <c r="J54" s="118"/>
      <c r="K54" s="118"/>
      <c r="L54" s="118"/>
      <c r="M54" s="118"/>
      <c r="N54" s="118"/>
      <c r="O54" s="118"/>
      <c r="P54" s="118"/>
      <c r="Q54" s="118"/>
      <c r="R54" s="118"/>
      <c r="S54" s="118"/>
      <c r="T54" s="118"/>
      <c r="U54" s="118"/>
      <c r="V54" s="118"/>
    </row>
    <row r="55">
      <c r="A55" s="178" t="s">
        <v>133</v>
      </c>
      <c r="B55" s="104"/>
      <c r="C55" s="179"/>
      <c r="D55" s="179"/>
      <c r="E55" s="179"/>
      <c r="F55" s="180"/>
      <c r="G55" s="179"/>
      <c r="H55" s="180"/>
      <c r="I55" s="180"/>
      <c r="J55" s="181"/>
      <c r="K55" s="180"/>
      <c r="L55" s="180"/>
      <c r="M55" s="180"/>
      <c r="N55" s="180"/>
      <c r="O55" s="180"/>
      <c r="P55" s="180"/>
      <c r="Q55" s="180"/>
      <c r="R55" s="180"/>
      <c r="S55" s="180"/>
      <c r="T55" s="180"/>
      <c r="U55" s="180"/>
      <c r="V55" s="180"/>
    </row>
    <row r="56" outlineLevel="1">
      <c r="A56" s="106"/>
      <c r="B56" s="107"/>
      <c r="C56" s="182" t="s">
        <v>48</v>
      </c>
      <c r="D56" s="183" t="s">
        <v>49</v>
      </c>
      <c r="E56" s="182" t="s">
        <v>50</v>
      </c>
      <c r="F56" s="184" t="s">
        <v>51</v>
      </c>
      <c r="G56" s="184" t="s">
        <v>134</v>
      </c>
      <c r="H56" s="185" t="s">
        <v>52</v>
      </c>
      <c r="I56" s="184" t="s">
        <v>135</v>
      </c>
      <c r="J56" s="186" t="s">
        <v>136</v>
      </c>
      <c r="K56" s="184" t="s">
        <v>137</v>
      </c>
      <c r="L56" s="184" t="s">
        <v>138</v>
      </c>
      <c r="M56" s="184" t="s">
        <v>139</v>
      </c>
      <c r="N56" s="184" t="s">
        <v>140</v>
      </c>
      <c r="O56" s="186" t="s">
        <v>141</v>
      </c>
      <c r="P56" s="184" t="s">
        <v>142</v>
      </c>
      <c r="Q56" s="186" t="s">
        <v>143</v>
      </c>
      <c r="R56" s="372" t="s">
        <v>53</v>
      </c>
      <c r="S56" s="110"/>
      <c r="T56" s="110"/>
      <c r="U56" s="110"/>
      <c r="V56" s="109"/>
    </row>
    <row r="57" outlineLevel="1">
      <c r="A57" s="213" t="s">
        <v>144</v>
      </c>
      <c r="B57" s="373"/>
      <c r="C57" s="239" t="s">
        <v>220</v>
      </c>
      <c r="D57" s="467" t="s">
        <v>72</v>
      </c>
      <c r="E57" s="401" t="s">
        <v>1855</v>
      </c>
      <c r="F57" s="193">
        <v>10.2</v>
      </c>
      <c r="G57" s="193">
        <v>8.67</v>
      </c>
      <c r="H57" s="138" t="s">
        <v>147</v>
      </c>
      <c r="I57" s="467" t="s">
        <v>274</v>
      </c>
      <c r="J57" s="467" t="s">
        <v>5445</v>
      </c>
      <c r="K57" s="138">
        <v>361.0</v>
      </c>
      <c r="L57" s="282"/>
      <c r="M57" s="363"/>
      <c r="N57" s="363"/>
      <c r="O57" s="145">
        <v>0.0</v>
      </c>
      <c r="P57" s="145">
        <v>1.0</v>
      </c>
      <c r="Q57" s="145">
        <v>1.0</v>
      </c>
      <c r="R57" s="151"/>
      <c r="S57" s="110"/>
      <c r="T57" s="110"/>
      <c r="U57" s="110"/>
      <c r="V57" s="109"/>
    </row>
    <row r="58" outlineLevel="1">
      <c r="A58" s="188" t="s">
        <v>151</v>
      </c>
      <c r="B58" s="373"/>
      <c r="C58" s="239" t="s">
        <v>305</v>
      </c>
      <c r="D58" s="455" t="s">
        <v>384</v>
      </c>
      <c r="E58" s="239" t="s">
        <v>6093</v>
      </c>
      <c r="F58" s="138" t="s">
        <v>6094</v>
      </c>
      <c r="G58" s="138" t="s">
        <v>6095</v>
      </c>
      <c r="H58" s="138" t="s">
        <v>451</v>
      </c>
      <c r="I58" s="455" t="s">
        <v>119</v>
      </c>
      <c r="J58" s="455" t="s">
        <v>148</v>
      </c>
      <c r="K58" s="138">
        <v>45.0</v>
      </c>
      <c r="L58" s="282"/>
      <c r="M58" s="363"/>
      <c r="N58" s="363"/>
      <c r="O58" s="145">
        <v>0.0</v>
      </c>
      <c r="P58" s="145">
        <v>1.0</v>
      </c>
      <c r="Q58" s="145">
        <v>1.0</v>
      </c>
      <c r="R58" s="163" t="s">
        <v>6096</v>
      </c>
      <c r="S58" s="164"/>
      <c r="T58" s="164"/>
      <c r="U58" s="164"/>
      <c r="V58" s="104"/>
    </row>
    <row r="59" outlineLevel="1">
      <c r="A59" s="146"/>
      <c r="B59" s="373" t="s">
        <v>84</v>
      </c>
      <c r="C59" s="239" t="s">
        <v>548</v>
      </c>
      <c r="D59" s="107"/>
      <c r="E59" s="239" t="s">
        <v>6097</v>
      </c>
      <c r="F59" s="138" t="s">
        <v>6098</v>
      </c>
      <c r="G59" s="138" t="s">
        <v>6099</v>
      </c>
      <c r="H59" s="138" t="s">
        <v>4895</v>
      </c>
      <c r="I59" s="210"/>
      <c r="J59" s="210"/>
      <c r="K59" s="138">
        <v>365.0</v>
      </c>
      <c r="L59" s="282"/>
      <c r="M59" s="363"/>
      <c r="N59" s="363"/>
      <c r="O59" s="145">
        <v>0.0</v>
      </c>
      <c r="P59" s="145">
        <v>1.0</v>
      </c>
      <c r="Q59" s="145">
        <v>1.0</v>
      </c>
      <c r="R59" s="212"/>
      <c r="V59" s="210"/>
    </row>
    <row r="60" outlineLevel="1">
      <c r="A60" s="146"/>
      <c r="B60" s="373" t="s">
        <v>6100</v>
      </c>
      <c r="C60" s="239" t="s">
        <v>129</v>
      </c>
      <c r="D60" s="467" t="s">
        <v>593</v>
      </c>
      <c r="E60" s="239" t="s">
        <v>6093</v>
      </c>
      <c r="F60" s="138" t="s">
        <v>6094</v>
      </c>
      <c r="G60" s="1360" t="s">
        <v>6094</v>
      </c>
      <c r="H60" s="138" t="s">
        <v>451</v>
      </c>
      <c r="I60" s="210"/>
      <c r="J60" s="210"/>
      <c r="K60" s="138"/>
      <c r="L60" s="282"/>
      <c r="M60" s="363"/>
      <c r="N60" s="363"/>
      <c r="O60" s="145"/>
      <c r="P60" s="145"/>
      <c r="Q60" s="145"/>
      <c r="R60" s="212"/>
      <c r="V60" s="210"/>
    </row>
    <row r="61" outlineLevel="1">
      <c r="A61" s="146"/>
      <c r="B61" s="373" t="s">
        <v>6101</v>
      </c>
      <c r="C61" s="281"/>
      <c r="D61" s="467" t="s">
        <v>1114</v>
      </c>
      <c r="E61" s="281"/>
      <c r="F61" s="476"/>
      <c r="G61" s="476"/>
      <c r="H61" s="476"/>
      <c r="I61" s="210"/>
      <c r="J61" s="210"/>
      <c r="K61" s="138"/>
      <c r="L61" s="282"/>
      <c r="M61" s="363"/>
      <c r="N61" s="363"/>
      <c r="O61" s="145"/>
      <c r="P61" s="145"/>
      <c r="Q61" s="145"/>
      <c r="R61" s="212"/>
      <c r="V61" s="210"/>
    </row>
    <row r="62" outlineLevel="1">
      <c r="A62" s="156"/>
      <c r="B62" s="373" t="s">
        <v>6102</v>
      </c>
      <c r="C62" s="281"/>
      <c r="D62" s="467" t="s">
        <v>296</v>
      </c>
      <c r="E62" s="281"/>
      <c r="F62" s="476"/>
      <c r="G62" s="476"/>
      <c r="H62" s="476"/>
      <c r="I62" s="107"/>
      <c r="J62" s="107"/>
      <c r="K62" s="138"/>
      <c r="L62" s="282"/>
      <c r="M62" s="363"/>
      <c r="N62" s="363"/>
      <c r="O62" s="145"/>
      <c r="P62" s="145"/>
      <c r="Q62" s="145"/>
      <c r="R62" s="106"/>
      <c r="S62" s="168"/>
      <c r="T62" s="168"/>
      <c r="U62" s="168"/>
      <c r="V62" s="107"/>
    </row>
    <row r="63" outlineLevel="1">
      <c r="A63" s="213" t="s">
        <v>157</v>
      </c>
      <c r="B63" s="373"/>
      <c r="C63" s="239" t="s">
        <v>561</v>
      </c>
      <c r="D63" s="467" t="s">
        <v>374</v>
      </c>
      <c r="E63" s="239" t="s">
        <v>6103</v>
      </c>
      <c r="F63" s="138" t="s">
        <v>6104</v>
      </c>
      <c r="G63" s="138" t="s">
        <v>6105</v>
      </c>
      <c r="H63" s="138" t="s">
        <v>2956</v>
      </c>
      <c r="I63" s="467" t="s">
        <v>153</v>
      </c>
      <c r="J63" s="467" t="s">
        <v>4533</v>
      </c>
      <c r="K63" s="138">
        <v>57.0</v>
      </c>
      <c r="L63" s="282"/>
      <c r="M63" s="363"/>
      <c r="N63" s="363"/>
      <c r="O63" s="145">
        <v>0.0</v>
      </c>
      <c r="P63" s="145">
        <v>1.0</v>
      </c>
      <c r="Q63" s="145">
        <v>1.0</v>
      </c>
      <c r="R63" s="151"/>
      <c r="S63" s="110"/>
      <c r="T63" s="110"/>
      <c r="U63" s="110"/>
      <c r="V63" s="109"/>
    </row>
    <row r="64" outlineLevel="1">
      <c r="A64" s="213" t="s">
        <v>162</v>
      </c>
      <c r="B64" s="373"/>
      <c r="C64" s="239" t="s">
        <v>3209</v>
      </c>
      <c r="D64" s="467" t="s">
        <v>892</v>
      </c>
      <c r="E64" s="239" t="s">
        <v>6106</v>
      </c>
      <c r="F64" s="138" t="s">
        <v>6107</v>
      </c>
      <c r="G64" s="138" t="s">
        <v>6108</v>
      </c>
      <c r="H64" s="138" t="s">
        <v>3486</v>
      </c>
      <c r="I64" s="467" t="s">
        <v>65</v>
      </c>
      <c r="J64" s="467" t="s">
        <v>6109</v>
      </c>
      <c r="K64" s="282"/>
      <c r="L64" s="282"/>
      <c r="M64" s="363"/>
      <c r="N64" s="363"/>
      <c r="O64" s="145">
        <v>0.0</v>
      </c>
      <c r="P64" s="145">
        <v>1.0</v>
      </c>
      <c r="Q64" s="145">
        <v>1.0</v>
      </c>
      <c r="R64" s="151"/>
      <c r="S64" s="110"/>
      <c r="T64" s="110"/>
      <c r="U64" s="110"/>
      <c r="V64" s="109"/>
    </row>
    <row r="65" outlineLevel="1">
      <c r="A65" s="188" t="s">
        <v>166</v>
      </c>
      <c r="B65" s="373"/>
      <c r="C65" s="239" t="s">
        <v>2695</v>
      </c>
      <c r="D65" s="455" t="s">
        <v>424</v>
      </c>
      <c r="E65" s="239" t="s">
        <v>4008</v>
      </c>
      <c r="F65" s="138" t="s">
        <v>4009</v>
      </c>
      <c r="G65" s="138" t="s">
        <v>6110</v>
      </c>
      <c r="H65" s="138" t="s">
        <v>980</v>
      </c>
      <c r="I65" s="455" t="s">
        <v>876</v>
      </c>
      <c r="J65" s="455" t="s">
        <v>3369</v>
      </c>
      <c r="K65" s="282"/>
      <c r="L65" s="282"/>
      <c r="M65" s="363"/>
      <c r="N65" s="363"/>
      <c r="O65" s="145">
        <v>0.0</v>
      </c>
      <c r="P65" s="145">
        <v>1.0</v>
      </c>
      <c r="Q65" s="145">
        <v>1.0</v>
      </c>
      <c r="R65" s="163" t="s">
        <v>3746</v>
      </c>
      <c r="S65" s="164"/>
      <c r="T65" s="164"/>
      <c r="U65" s="164"/>
      <c r="V65" s="104"/>
    </row>
    <row r="66" outlineLevel="1">
      <c r="A66" s="146"/>
      <c r="B66" s="373" t="s">
        <v>84</v>
      </c>
      <c r="C66" s="239" t="s">
        <v>514</v>
      </c>
      <c r="D66" s="210"/>
      <c r="E66" s="239" t="s">
        <v>128</v>
      </c>
      <c r="F66" s="138">
        <v>12.0</v>
      </c>
      <c r="G66" s="138">
        <v>10.2</v>
      </c>
      <c r="H66" s="138" t="s">
        <v>147</v>
      </c>
      <c r="I66" s="210"/>
      <c r="J66" s="210"/>
      <c r="K66" s="282"/>
      <c r="L66" s="282"/>
      <c r="M66" s="363"/>
      <c r="N66" s="363"/>
      <c r="O66" s="145">
        <v>0.0</v>
      </c>
      <c r="P66" s="145">
        <v>1.0</v>
      </c>
      <c r="Q66" s="145">
        <v>1.0</v>
      </c>
      <c r="R66" s="212"/>
      <c r="V66" s="210"/>
    </row>
    <row r="67" outlineLevel="1">
      <c r="A67" s="146"/>
      <c r="B67" s="3372" t="s">
        <v>174</v>
      </c>
      <c r="C67" s="239" t="s">
        <v>175</v>
      </c>
      <c r="D67" s="210"/>
      <c r="E67" s="239" t="s">
        <v>150</v>
      </c>
      <c r="F67" s="138">
        <v>6.0</v>
      </c>
      <c r="G67" s="138">
        <v>5.1</v>
      </c>
      <c r="H67" s="138" t="s">
        <v>102</v>
      </c>
      <c r="I67" s="210"/>
      <c r="J67" s="210"/>
      <c r="K67" s="282"/>
      <c r="L67" s="282"/>
      <c r="M67" s="363"/>
      <c r="N67" s="363"/>
      <c r="O67" s="145"/>
      <c r="P67" s="145"/>
      <c r="Q67" s="145"/>
      <c r="R67" s="212"/>
      <c r="V67" s="210"/>
    </row>
    <row r="68" outlineLevel="1">
      <c r="A68" s="156"/>
      <c r="B68" s="156"/>
      <c r="C68" s="239" t="s">
        <v>213</v>
      </c>
      <c r="D68" s="107"/>
      <c r="E68" s="239" t="s">
        <v>93</v>
      </c>
      <c r="F68" s="138">
        <v>8.4</v>
      </c>
      <c r="G68" s="138">
        <v>7.14</v>
      </c>
      <c r="H68" s="138" t="s">
        <v>95</v>
      </c>
      <c r="I68" s="107"/>
      <c r="J68" s="107"/>
      <c r="K68" s="282"/>
      <c r="L68" s="282"/>
      <c r="M68" s="363"/>
      <c r="N68" s="363"/>
      <c r="O68" s="145">
        <v>0.0</v>
      </c>
      <c r="P68" s="145">
        <v>1.0</v>
      </c>
      <c r="Q68" s="145">
        <v>1.0</v>
      </c>
      <c r="R68" s="106"/>
      <c r="S68" s="168"/>
      <c r="T68" s="168"/>
      <c r="U68" s="168"/>
      <c r="V68" s="107"/>
    </row>
    <row r="69">
      <c r="A69" s="223"/>
      <c r="B69" s="224"/>
      <c r="C69" s="225"/>
      <c r="D69" s="225"/>
      <c r="E69" s="226"/>
      <c r="F69" s="226"/>
      <c r="G69" s="226"/>
      <c r="H69" s="227"/>
      <c r="I69" s="227"/>
      <c r="J69" s="228"/>
      <c r="K69" s="228"/>
      <c r="L69" s="228"/>
      <c r="M69" s="228"/>
      <c r="N69" s="228"/>
      <c r="O69" s="228"/>
      <c r="P69" s="228"/>
      <c r="Q69" s="118"/>
      <c r="R69" s="118"/>
      <c r="S69" s="118"/>
      <c r="T69" s="118"/>
      <c r="U69" s="118"/>
      <c r="V69" s="118"/>
    </row>
    <row r="70">
      <c r="A70" s="229" t="s">
        <v>177</v>
      </c>
      <c r="B70" s="109"/>
      <c r="C70" s="225"/>
      <c r="D70" s="225"/>
      <c r="E70" s="226"/>
      <c r="F70" s="226"/>
      <c r="G70" s="226"/>
      <c r="H70" s="227"/>
      <c r="I70" s="227"/>
      <c r="J70" s="228"/>
      <c r="K70" s="228"/>
      <c r="L70" s="228"/>
      <c r="M70" s="228"/>
      <c r="N70" s="228"/>
      <c r="O70" s="228"/>
      <c r="P70" s="228"/>
      <c r="Q70" s="118"/>
      <c r="R70" s="118"/>
      <c r="S70" s="118"/>
      <c r="T70" s="118"/>
      <c r="U70" s="118"/>
      <c r="V70" s="118"/>
    </row>
    <row r="71" outlineLevel="1">
      <c r="A71" s="230" t="s">
        <v>6111</v>
      </c>
      <c r="B71" s="109"/>
      <c r="C71" s="231" t="s">
        <v>48</v>
      </c>
      <c r="D71" s="231" t="s">
        <v>49</v>
      </c>
      <c r="E71" s="232" t="s">
        <v>50</v>
      </c>
      <c r="F71" s="233" t="s">
        <v>51</v>
      </c>
      <c r="G71" s="232" t="s">
        <v>52</v>
      </c>
      <c r="H71" s="382" t="s">
        <v>53</v>
      </c>
      <c r="I71" s="110"/>
      <c r="J71" s="109"/>
      <c r="K71" s="235" t="s">
        <v>137</v>
      </c>
      <c r="L71" s="235" t="s">
        <v>138</v>
      </c>
      <c r="M71" s="235" t="s">
        <v>139</v>
      </c>
      <c r="N71" s="235" t="s">
        <v>140</v>
      </c>
      <c r="O71" s="236" t="s">
        <v>141</v>
      </c>
      <c r="P71" s="235" t="s">
        <v>142</v>
      </c>
      <c r="Q71" s="236" t="s">
        <v>143</v>
      </c>
      <c r="R71" s="235" t="s">
        <v>179</v>
      </c>
      <c r="S71" s="236" t="s">
        <v>180</v>
      </c>
      <c r="T71" s="236" t="s">
        <v>181</v>
      </c>
      <c r="U71" s="236" t="s">
        <v>182</v>
      </c>
      <c r="V71" s="3198" t="s">
        <v>183</v>
      </c>
    </row>
    <row r="72" outlineLevel="1">
      <c r="A72" s="237" t="s">
        <v>6112</v>
      </c>
      <c r="B72" s="243" t="s">
        <v>3208</v>
      </c>
      <c r="C72" s="239" t="s">
        <v>6113</v>
      </c>
      <c r="D72" s="279" t="s">
        <v>1202</v>
      </c>
      <c r="E72" s="239" t="s">
        <v>204</v>
      </c>
      <c r="F72" s="138">
        <v>3.5999999999999996</v>
      </c>
      <c r="G72" s="239" t="s">
        <v>170</v>
      </c>
      <c r="H72" s="163" t="s">
        <v>6114</v>
      </c>
      <c r="I72" s="164"/>
      <c r="J72" s="104"/>
      <c r="K72" s="282"/>
      <c r="L72" s="282"/>
      <c r="M72" s="363"/>
      <c r="N72" s="363"/>
      <c r="O72" s="145">
        <v>0.0</v>
      </c>
      <c r="P72" s="145">
        <v>1.0</v>
      </c>
      <c r="Q72" s="145">
        <v>1.0</v>
      </c>
      <c r="R72" s="145" t="b">
        <v>1</v>
      </c>
      <c r="S72" s="145" t="b">
        <v>1</v>
      </c>
      <c r="T72" s="145"/>
      <c r="U72" s="166" t="b">
        <v>1</v>
      </c>
      <c r="V72" s="166" t="b">
        <v>1</v>
      </c>
    </row>
    <row r="73" outlineLevel="1">
      <c r="A73" s="156"/>
      <c r="B73" s="663" t="s">
        <v>1485</v>
      </c>
      <c r="C73" s="239" t="s">
        <v>1444</v>
      </c>
      <c r="D73" s="156"/>
      <c r="E73" s="239" t="s">
        <v>159</v>
      </c>
      <c r="F73" s="138">
        <v>12.6</v>
      </c>
      <c r="G73" s="239" t="s">
        <v>147</v>
      </c>
      <c r="H73" s="212"/>
      <c r="J73" s="210"/>
      <c r="K73" s="282"/>
      <c r="L73" s="282"/>
      <c r="M73" s="363"/>
      <c r="N73" s="363"/>
      <c r="O73" s="145"/>
      <c r="P73" s="145"/>
      <c r="Q73" s="145"/>
      <c r="R73" s="145" t="b">
        <v>0</v>
      </c>
      <c r="S73" s="145" t="b">
        <v>0</v>
      </c>
      <c r="T73" s="145" t="b">
        <v>0</v>
      </c>
      <c r="U73" s="146"/>
      <c r="V73" s="146"/>
    </row>
    <row r="74" outlineLevel="1">
      <c r="A74" s="237" t="s">
        <v>6115</v>
      </c>
      <c r="B74" s="243" t="s">
        <v>3208</v>
      </c>
      <c r="C74" s="239" t="s">
        <v>6116</v>
      </c>
      <c r="D74" s="279" t="s">
        <v>1141</v>
      </c>
      <c r="E74" s="239" t="s">
        <v>651</v>
      </c>
      <c r="F74" s="138">
        <v>4.2</v>
      </c>
      <c r="G74" s="239" t="s">
        <v>170</v>
      </c>
      <c r="H74" s="212"/>
      <c r="J74" s="210"/>
      <c r="K74" s="282"/>
      <c r="L74" s="282"/>
      <c r="M74" s="363"/>
      <c r="N74" s="363"/>
      <c r="O74" s="145"/>
      <c r="P74" s="145"/>
      <c r="Q74" s="145"/>
      <c r="R74" s="145" t="b">
        <v>0</v>
      </c>
      <c r="S74" s="145" t="b">
        <v>0</v>
      </c>
      <c r="T74" s="145" t="b">
        <v>0</v>
      </c>
      <c r="U74" s="146"/>
      <c r="V74" s="146"/>
    </row>
    <row r="75" outlineLevel="1">
      <c r="A75" s="146"/>
      <c r="B75" s="663" t="s">
        <v>3378</v>
      </c>
      <c r="C75" s="239" t="s">
        <v>6117</v>
      </c>
      <c r="D75" s="146"/>
      <c r="E75" s="239" t="s">
        <v>6118</v>
      </c>
      <c r="F75" s="138">
        <v>4.44</v>
      </c>
      <c r="G75" s="239" t="s">
        <v>170</v>
      </c>
      <c r="H75" s="212"/>
      <c r="J75" s="210"/>
      <c r="K75" s="282"/>
      <c r="L75" s="282"/>
      <c r="M75" s="363"/>
      <c r="N75" s="363"/>
      <c r="O75" s="145"/>
      <c r="P75" s="145"/>
      <c r="Q75" s="145"/>
      <c r="R75" s="145" t="b">
        <v>0</v>
      </c>
      <c r="S75" s="145" t="b">
        <v>0</v>
      </c>
      <c r="T75" s="145" t="b">
        <v>0</v>
      </c>
      <c r="U75" s="146"/>
      <c r="V75" s="146"/>
    </row>
    <row r="76" outlineLevel="1">
      <c r="A76" s="156"/>
      <c r="B76" s="663" t="s">
        <v>3380</v>
      </c>
      <c r="C76" s="239" t="s">
        <v>334</v>
      </c>
      <c r="D76" s="156"/>
      <c r="E76" s="239" t="s">
        <v>274</v>
      </c>
      <c r="F76" s="138">
        <v>10.799999999999999</v>
      </c>
      <c r="G76" s="239" t="s">
        <v>147</v>
      </c>
      <c r="H76" s="212"/>
      <c r="J76" s="210"/>
      <c r="K76" s="282"/>
      <c r="L76" s="282"/>
      <c r="M76" s="363"/>
      <c r="N76" s="363"/>
      <c r="O76" s="145"/>
      <c r="P76" s="145"/>
      <c r="Q76" s="145"/>
      <c r="R76" s="145" t="b">
        <v>0</v>
      </c>
      <c r="S76" s="145" t="b">
        <v>0</v>
      </c>
      <c r="T76" s="145" t="b">
        <v>0</v>
      </c>
      <c r="U76" s="146"/>
      <c r="V76" s="146"/>
    </row>
    <row r="77" outlineLevel="1">
      <c r="A77" s="237" t="s">
        <v>6119</v>
      </c>
      <c r="B77" s="243" t="s">
        <v>3208</v>
      </c>
      <c r="C77" s="239" t="s">
        <v>6120</v>
      </c>
      <c r="D77" s="279" t="s">
        <v>6121</v>
      </c>
      <c r="E77" s="239" t="s">
        <v>86</v>
      </c>
      <c r="F77" s="138">
        <v>7.199999999999999</v>
      </c>
      <c r="G77" s="239" t="s">
        <v>60</v>
      </c>
      <c r="H77" s="212"/>
      <c r="J77" s="210"/>
      <c r="K77" s="282"/>
      <c r="L77" s="282"/>
      <c r="M77" s="363"/>
      <c r="N77" s="363"/>
      <c r="O77" s="145"/>
      <c r="P77" s="145"/>
      <c r="Q77" s="145"/>
      <c r="R77" s="145" t="b">
        <v>0</v>
      </c>
      <c r="S77" s="145" t="b">
        <v>0</v>
      </c>
      <c r="T77" s="145" t="b">
        <v>0</v>
      </c>
      <c r="U77" s="146"/>
      <c r="V77" s="146"/>
    </row>
    <row r="78" outlineLevel="1">
      <c r="A78" s="146"/>
      <c r="B78" s="663" t="s">
        <v>3378</v>
      </c>
      <c r="C78" s="239" t="s">
        <v>6122</v>
      </c>
      <c r="D78" s="146"/>
      <c r="E78" s="239" t="s">
        <v>6123</v>
      </c>
      <c r="F78" s="138" t="s">
        <v>6124</v>
      </c>
      <c r="G78" s="239" t="s">
        <v>6125</v>
      </c>
      <c r="H78" s="212"/>
      <c r="J78" s="210"/>
      <c r="K78" s="282"/>
      <c r="L78" s="282"/>
      <c r="M78" s="363"/>
      <c r="N78" s="363"/>
      <c r="O78" s="145"/>
      <c r="P78" s="145"/>
      <c r="Q78" s="145"/>
      <c r="R78" s="145" t="b">
        <v>0</v>
      </c>
      <c r="S78" s="145" t="b">
        <v>0</v>
      </c>
      <c r="T78" s="145" t="b">
        <v>0</v>
      </c>
      <c r="U78" s="146"/>
      <c r="V78" s="146"/>
    </row>
    <row r="79" outlineLevel="1">
      <c r="A79" s="156"/>
      <c r="B79" s="663" t="s">
        <v>3380</v>
      </c>
      <c r="C79" s="239" t="s">
        <v>610</v>
      </c>
      <c r="D79" s="156"/>
      <c r="E79" s="239" t="s">
        <v>6126</v>
      </c>
      <c r="F79" s="138" t="s">
        <v>6127</v>
      </c>
      <c r="G79" s="239" t="s">
        <v>5473</v>
      </c>
      <c r="H79" s="106"/>
      <c r="I79" s="168"/>
      <c r="J79" s="107"/>
      <c r="K79" s="282"/>
      <c r="L79" s="282"/>
      <c r="M79" s="363"/>
      <c r="N79" s="363"/>
      <c r="O79" s="145">
        <v>0.0</v>
      </c>
      <c r="P79" s="145">
        <v>1.0</v>
      </c>
      <c r="Q79" s="145">
        <v>1.0</v>
      </c>
      <c r="R79" s="145" t="b">
        <v>1</v>
      </c>
      <c r="S79" s="145" t="b">
        <v>1</v>
      </c>
      <c r="T79" s="145"/>
      <c r="U79" s="156"/>
      <c r="V79" s="156"/>
    </row>
    <row r="80" outlineLevel="1">
      <c r="A80" s="230" t="s">
        <v>6128</v>
      </c>
      <c r="B80" s="109"/>
      <c r="C80" s="231" t="s">
        <v>48</v>
      </c>
      <c r="D80" s="231" t="s">
        <v>49</v>
      </c>
      <c r="E80" s="232" t="s">
        <v>50</v>
      </c>
      <c r="F80" s="233" t="s">
        <v>51</v>
      </c>
      <c r="G80" s="232" t="s">
        <v>52</v>
      </c>
      <c r="H80" s="382" t="s">
        <v>53</v>
      </c>
      <c r="I80" s="110"/>
      <c r="J80" s="109"/>
      <c r="K80" s="235" t="s">
        <v>137</v>
      </c>
      <c r="L80" s="235" t="s">
        <v>138</v>
      </c>
      <c r="M80" s="235" t="s">
        <v>139</v>
      </c>
      <c r="N80" s="235" t="s">
        <v>140</v>
      </c>
      <c r="O80" s="236" t="s">
        <v>141</v>
      </c>
      <c r="P80" s="235" t="s">
        <v>142</v>
      </c>
      <c r="Q80" s="236" t="s">
        <v>143</v>
      </c>
      <c r="R80" s="235" t="s">
        <v>179</v>
      </c>
      <c r="S80" s="236" t="s">
        <v>180</v>
      </c>
      <c r="T80" s="236" t="s">
        <v>181</v>
      </c>
      <c r="U80" s="236" t="s">
        <v>182</v>
      </c>
      <c r="V80" s="3198" t="s">
        <v>183</v>
      </c>
    </row>
    <row r="81" ht="39.0" customHeight="1" outlineLevel="1">
      <c r="A81" s="237" t="s">
        <v>184</v>
      </c>
      <c r="B81" s="243" t="s">
        <v>6129</v>
      </c>
      <c r="C81" s="239" t="s">
        <v>567</v>
      </c>
      <c r="D81" s="113" t="s">
        <v>282</v>
      </c>
      <c r="E81" s="239">
        <f>1.5 + 3 / 27</f>
        <v>1.611111111</v>
      </c>
      <c r="F81" s="138">
        <f>E81*1.2</f>
        <v>1.933333333</v>
      </c>
      <c r="G81" s="239" t="s">
        <v>170</v>
      </c>
      <c r="H81" s="163" t="s">
        <v>6130</v>
      </c>
      <c r="I81" s="164"/>
      <c r="J81" s="104"/>
      <c r="K81" s="282"/>
      <c r="L81" s="282"/>
      <c r="M81" s="363"/>
      <c r="N81" s="363"/>
      <c r="O81" s="145">
        <v>0.0</v>
      </c>
      <c r="P81" s="145">
        <v>1.0</v>
      </c>
      <c r="Q81" s="145">
        <v>1.0</v>
      </c>
      <c r="R81" s="145" t="b">
        <v>1</v>
      </c>
      <c r="S81" s="145" t="b">
        <v>1</v>
      </c>
      <c r="T81" s="145"/>
      <c r="U81" s="166" t="b">
        <v>1</v>
      </c>
      <c r="V81" s="166" t="b">
        <v>1</v>
      </c>
    </row>
    <row r="82" ht="39.0" customHeight="1" outlineLevel="1">
      <c r="A82" s="146"/>
      <c r="B82" s="243" t="s">
        <v>6131</v>
      </c>
      <c r="C82" s="239" t="s">
        <v>6132</v>
      </c>
      <c r="D82" s="113" t="s">
        <v>1839</v>
      </c>
      <c r="E82" s="239" t="s">
        <v>1438</v>
      </c>
      <c r="F82" s="138">
        <v>5.3999999999999995</v>
      </c>
      <c r="G82" s="239" t="s">
        <v>60</v>
      </c>
      <c r="H82" s="106"/>
      <c r="I82" s="168"/>
      <c r="J82" s="107"/>
      <c r="K82" s="138"/>
      <c r="L82" s="138"/>
      <c r="M82" s="145"/>
      <c r="N82" s="145"/>
      <c r="O82" s="145"/>
      <c r="P82" s="145"/>
      <c r="Q82" s="145"/>
      <c r="R82" s="145" t="b">
        <v>0</v>
      </c>
      <c r="S82" s="145" t="b">
        <v>0</v>
      </c>
      <c r="T82" s="145" t="b">
        <v>0</v>
      </c>
      <c r="U82" s="146"/>
      <c r="V82" s="146"/>
    </row>
    <row r="83" ht="39.0" customHeight="1" outlineLevel="1">
      <c r="A83" s="146"/>
      <c r="B83" s="243" t="s">
        <v>6133</v>
      </c>
      <c r="C83" s="239" t="s">
        <v>6134</v>
      </c>
      <c r="D83" s="301"/>
      <c r="E83" s="239" t="s">
        <v>93</v>
      </c>
      <c r="F83" s="138">
        <v>8.4</v>
      </c>
      <c r="G83" s="239" t="s">
        <v>60</v>
      </c>
      <c r="H83" s="163" t="s">
        <v>6135</v>
      </c>
      <c r="I83" s="164"/>
      <c r="J83" s="104"/>
      <c r="K83" s="138"/>
      <c r="L83" s="138"/>
      <c r="M83" s="145"/>
      <c r="N83" s="145"/>
      <c r="O83" s="145">
        <v>0.0</v>
      </c>
      <c r="P83" s="145">
        <v>1.0</v>
      </c>
      <c r="Q83" s="145">
        <v>1.0</v>
      </c>
      <c r="R83" s="145" t="b">
        <v>1</v>
      </c>
      <c r="S83" s="145" t="b">
        <v>1</v>
      </c>
      <c r="T83" s="145"/>
      <c r="U83" s="146"/>
      <c r="V83" s="146"/>
    </row>
    <row r="84" ht="39.0" customHeight="1" outlineLevel="1">
      <c r="A84" s="146"/>
      <c r="B84" s="243" t="s">
        <v>6136</v>
      </c>
      <c r="C84" s="239" t="s">
        <v>5981</v>
      </c>
      <c r="D84" s="301"/>
      <c r="E84" s="239" t="s">
        <v>2134</v>
      </c>
      <c r="F84" s="138">
        <v>7.8</v>
      </c>
      <c r="G84" s="239" t="s">
        <v>60</v>
      </c>
      <c r="H84" s="212"/>
      <c r="J84" s="210"/>
      <c r="K84" s="138"/>
      <c r="L84" s="138"/>
      <c r="M84" s="145"/>
      <c r="N84" s="145"/>
      <c r="O84" s="145"/>
      <c r="P84" s="145"/>
      <c r="Q84" s="145"/>
      <c r="R84" s="145" t="b">
        <v>0</v>
      </c>
      <c r="S84" s="145" t="b">
        <v>0</v>
      </c>
      <c r="T84" s="145" t="b">
        <v>0</v>
      </c>
      <c r="U84" s="146"/>
      <c r="V84" s="146"/>
    </row>
    <row r="85" ht="39.0" customHeight="1" outlineLevel="1">
      <c r="A85" s="146"/>
      <c r="B85" s="243" t="s">
        <v>1485</v>
      </c>
      <c r="C85" s="239" t="s">
        <v>119</v>
      </c>
      <c r="D85" s="301"/>
      <c r="E85" s="239" t="s">
        <v>2134</v>
      </c>
      <c r="F85" s="138">
        <v>7.8</v>
      </c>
      <c r="G85" s="239" t="s">
        <v>60</v>
      </c>
      <c r="H85" s="106"/>
      <c r="I85" s="168"/>
      <c r="J85" s="107"/>
      <c r="K85" s="138"/>
      <c r="L85" s="138"/>
      <c r="M85" s="145"/>
      <c r="N85" s="145"/>
      <c r="O85" s="145">
        <v>0.0</v>
      </c>
      <c r="P85" s="145">
        <v>1.0</v>
      </c>
      <c r="Q85" s="145">
        <v>1.0</v>
      </c>
      <c r="R85" s="145" t="b">
        <v>1</v>
      </c>
      <c r="S85" s="145" t="b">
        <v>1</v>
      </c>
      <c r="T85" s="145"/>
      <c r="U85" s="156"/>
      <c r="V85" s="156"/>
    </row>
    <row r="86" outlineLevel="1">
      <c r="A86" s="230" t="s">
        <v>6137</v>
      </c>
      <c r="B86" s="109"/>
      <c r="C86" s="231" t="s">
        <v>48</v>
      </c>
      <c r="D86" s="231" t="s">
        <v>49</v>
      </c>
      <c r="E86" s="232" t="s">
        <v>50</v>
      </c>
      <c r="F86" s="233" t="s">
        <v>51</v>
      </c>
      <c r="G86" s="232" t="s">
        <v>52</v>
      </c>
      <c r="H86" s="382" t="s">
        <v>53</v>
      </c>
      <c r="I86" s="110"/>
      <c r="J86" s="109"/>
      <c r="K86" s="235" t="s">
        <v>137</v>
      </c>
      <c r="L86" s="235" t="s">
        <v>138</v>
      </c>
      <c r="M86" s="235" t="s">
        <v>139</v>
      </c>
      <c r="N86" s="235" t="s">
        <v>140</v>
      </c>
      <c r="O86" s="236" t="s">
        <v>141</v>
      </c>
      <c r="P86" s="235" t="s">
        <v>142</v>
      </c>
      <c r="Q86" s="236" t="s">
        <v>143</v>
      </c>
      <c r="R86" s="235" t="s">
        <v>179</v>
      </c>
      <c r="S86" s="236" t="s">
        <v>180</v>
      </c>
      <c r="T86" s="236" t="s">
        <v>181</v>
      </c>
      <c r="U86" s="236" t="s">
        <v>182</v>
      </c>
      <c r="V86" s="3198" t="s">
        <v>183</v>
      </c>
    </row>
    <row r="87" outlineLevel="1">
      <c r="A87" s="1202" t="s">
        <v>6138</v>
      </c>
      <c r="B87" s="870"/>
      <c r="C87" s="239" t="s">
        <v>431</v>
      </c>
      <c r="D87" s="239" t="s">
        <v>402</v>
      </c>
      <c r="E87" s="239" t="s">
        <v>93</v>
      </c>
      <c r="F87" s="138">
        <v>8.4</v>
      </c>
      <c r="G87" s="365" t="s">
        <v>147</v>
      </c>
      <c r="H87" s="151" t="s">
        <v>6139</v>
      </c>
      <c r="I87" s="110"/>
      <c r="J87" s="109"/>
      <c r="K87" s="138"/>
      <c r="L87" s="138"/>
      <c r="M87" s="145"/>
      <c r="N87" s="145"/>
      <c r="O87" s="145">
        <v>0.0</v>
      </c>
      <c r="P87" s="145">
        <v>1.0</v>
      </c>
      <c r="Q87" s="145">
        <v>1.0</v>
      </c>
      <c r="R87" s="145" t="b">
        <v>1</v>
      </c>
      <c r="S87" s="145" t="b">
        <v>1</v>
      </c>
      <c r="T87" s="145"/>
      <c r="U87" s="166" t="b">
        <v>0</v>
      </c>
      <c r="V87" s="166" t="b">
        <v>1</v>
      </c>
    </row>
    <row r="88" outlineLevel="1">
      <c r="A88" s="546" t="s">
        <v>6140</v>
      </c>
      <c r="B88" s="402" t="s">
        <v>852</v>
      </c>
      <c r="C88" s="239" t="s">
        <v>6141</v>
      </c>
      <c r="D88" s="367" t="s">
        <v>358</v>
      </c>
      <c r="E88" s="239" t="s">
        <v>657</v>
      </c>
      <c r="F88" s="138">
        <v>2.76</v>
      </c>
      <c r="G88" s="239" t="s">
        <v>60</v>
      </c>
      <c r="H88" s="163" t="s">
        <v>6142</v>
      </c>
      <c r="I88" s="164"/>
      <c r="J88" s="104"/>
      <c r="K88" s="138"/>
      <c r="L88" s="138"/>
      <c r="M88" s="145"/>
      <c r="N88" s="145"/>
      <c r="O88" s="145">
        <v>0.0</v>
      </c>
      <c r="P88" s="145">
        <v>1.0</v>
      </c>
      <c r="Q88" s="145">
        <v>1.0</v>
      </c>
      <c r="R88" s="145" t="b">
        <v>1</v>
      </c>
      <c r="S88" s="145" t="b">
        <v>1</v>
      </c>
      <c r="T88" s="145"/>
      <c r="U88" s="146"/>
      <c r="V88" s="146"/>
    </row>
    <row r="89" ht="18.75" customHeight="1" outlineLevel="1">
      <c r="A89" s="146"/>
      <c r="B89" s="402" t="s">
        <v>524</v>
      </c>
      <c r="C89" s="239" t="s">
        <v>413</v>
      </c>
      <c r="D89" s="146"/>
      <c r="E89" s="239" t="s">
        <v>6143</v>
      </c>
      <c r="F89" s="138" t="s">
        <v>6144</v>
      </c>
      <c r="G89" s="239" t="s">
        <v>1123</v>
      </c>
      <c r="H89" s="212"/>
      <c r="J89" s="210"/>
      <c r="K89" s="138"/>
      <c r="L89" s="138"/>
      <c r="M89" s="145"/>
      <c r="N89" s="145"/>
      <c r="O89" s="145"/>
      <c r="P89" s="145"/>
      <c r="Q89" s="145"/>
      <c r="R89" s="145" t="b">
        <v>0</v>
      </c>
      <c r="S89" s="145" t="b">
        <v>0</v>
      </c>
      <c r="T89" s="145" t="b">
        <v>0</v>
      </c>
      <c r="U89" s="146"/>
      <c r="V89" s="146"/>
    </row>
    <row r="90" ht="18.75" customHeight="1" outlineLevel="1">
      <c r="A90" s="156"/>
      <c r="B90" s="402" t="s">
        <v>174</v>
      </c>
      <c r="C90" s="239" t="s">
        <v>213</v>
      </c>
      <c r="D90" s="156"/>
      <c r="E90" s="239" t="s">
        <v>657</v>
      </c>
      <c r="F90" s="138">
        <v>2.76</v>
      </c>
      <c r="G90" s="239" t="s">
        <v>60</v>
      </c>
      <c r="H90" s="106"/>
      <c r="I90" s="168"/>
      <c r="J90" s="107"/>
      <c r="K90" s="138"/>
      <c r="L90" s="138"/>
      <c r="M90" s="145"/>
      <c r="N90" s="145"/>
      <c r="O90" s="145">
        <v>0.0</v>
      </c>
      <c r="P90" s="145">
        <v>1.0</v>
      </c>
      <c r="Q90" s="145">
        <v>1.0</v>
      </c>
      <c r="R90" s="145" t="b">
        <v>1</v>
      </c>
      <c r="S90" s="145" t="b">
        <v>1</v>
      </c>
      <c r="T90" s="145"/>
      <c r="U90" s="156"/>
      <c r="V90" s="156"/>
    </row>
    <row r="91" outlineLevel="1">
      <c r="A91" s="230" t="s">
        <v>6145</v>
      </c>
      <c r="B91" s="109"/>
      <c r="C91" s="231" t="s">
        <v>48</v>
      </c>
      <c r="D91" s="231" t="s">
        <v>49</v>
      </c>
      <c r="E91" s="232" t="s">
        <v>50</v>
      </c>
      <c r="F91" s="233" t="s">
        <v>51</v>
      </c>
      <c r="G91" s="232" t="s">
        <v>52</v>
      </c>
      <c r="H91" s="382" t="s">
        <v>53</v>
      </c>
      <c r="I91" s="110"/>
      <c r="J91" s="109"/>
      <c r="K91" s="235" t="s">
        <v>137</v>
      </c>
      <c r="L91" s="235" t="s">
        <v>138</v>
      </c>
      <c r="M91" s="235" t="s">
        <v>139</v>
      </c>
      <c r="N91" s="235" t="s">
        <v>140</v>
      </c>
      <c r="O91" s="236" t="s">
        <v>141</v>
      </c>
      <c r="P91" s="235" t="s">
        <v>142</v>
      </c>
      <c r="Q91" s="236" t="s">
        <v>143</v>
      </c>
      <c r="R91" s="235" t="s">
        <v>179</v>
      </c>
      <c r="S91" s="236" t="s">
        <v>180</v>
      </c>
      <c r="T91" s="236" t="s">
        <v>181</v>
      </c>
      <c r="U91" s="236" t="s">
        <v>182</v>
      </c>
      <c r="V91" s="3198" t="s">
        <v>183</v>
      </c>
    </row>
    <row r="92" outlineLevel="1">
      <c r="A92" s="546" t="s">
        <v>184</v>
      </c>
      <c r="B92" s="402" t="s">
        <v>1837</v>
      </c>
      <c r="C92" s="239" t="s">
        <v>6146</v>
      </c>
      <c r="D92" s="455" t="s">
        <v>951</v>
      </c>
      <c r="E92" s="281"/>
      <c r="F92" s="476"/>
      <c r="G92" s="281"/>
      <c r="H92" s="163" t="s">
        <v>6147</v>
      </c>
      <c r="I92" s="164"/>
      <c r="J92" s="104"/>
      <c r="K92" s="138"/>
      <c r="L92" s="138"/>
      <c r="M92" s="145"/>
      <c r="N92" s="145"/>
      <c r="O92" s="145">
        <v>0.0</v>
      </c>
      <c r="P92" s="145">
        <v>1.0</v>
      </c>
      <c r="Q92" s="145">
        <v>1.0</v>
      </c>
      <c r="R92" s="145" t="b">
        <v>1</v>
      </c>
      <c r="S92" s="145" t="b">
        <v>1</v>
      </c>
      <c r="T92" s="145"/>
      <c r="U92" s="166" t="b">
        <v>1</v>
      </c>
      <c r="V92" s="166" t="b">
        <v>1</v>
      </c>
    </row>
    <row r="93" outlineLevel="1">
      <c r="A93" s="146"/>
      <c r="B93" s="402" t="s">
        <v>6148</v>
      </c>
      <c r="C93" s="239" t="s">
        <v>6149</v>
      </c>
      <c r="D93" s="210"/>
      <c r="E93" s="239" t="s">
        <v>213</v>
      </c>
      <c r="F93" s="138">
        <v>1.2</v>
      </c>
      <c r="G93" s="239" t="s">
        <v>170</v>
      </c>
      <c r="H93" s="212"/>
      <c r="J93" s="210"/>
      <c r="K93" s="138"/>
      <c r="L93" s="138"/>
      <c r="M93" s="145"/>
      <c r="N93" s="145"/>
      <c r="O93" s="145">
        <v>0.0</v>
      </c>
      <c r="P93" s="145">
        <v>1.0</v>
      </c>
      <c r="Q93" s="145">
        <v>1.0</v>
      </c>
      <c r="R93" s="145" t="b">
        <v>1</v>
      </c>
      <c r="S93" s="145" t="b">
        <v>1</v>
      </c>
      <c r="T93" s="145"/>
      <c r="U93" s="146"/>
      <c r="V93" s="146"/>
    </row>
    <row r="94" outlineLevel="1">
      <c r="A94" s="146"/>
      <c r="B94" s="402" t="s">
        <v>6150</v>
      </c>
      <c r="C94" s="239" t="s">
        <v>892</v>
      </c>
      <c r="D94" s="107"/>
      <c r="E94" s="239" t="s">
        <v>150</v>
      </c>
      <c r="F94" s="138">
        <v>6.0</v>
      </c>
      <c r="G94" s="239" t="s">
        <v>60</v>
      </c>
      <c r="H94" s="106"/>
      <c r="I94" s="168"/>
      <c r="J94" s="107"/>
      <c r="K94" s="138"/>
      <c r="L94" s="138"/>
      <c r="M94" s="145"/>
      <c r="N94" s="145"/>
      <c r="O94" s="145"/>
      <c r="P94" s="145"/>
      <c r="Q94" s="145"/>
      <c r="R94" s="145" t="b">
        <v>0</v>
      </c>
      <c r="S94" s="145" t="b">
        <v>0</v>
      </c>
      <c r="T94" s="145" t="b">
        <v>0</v>
      </c>
      <c r="U94" s="146"/>
      <c r="V94" s="146"/>
    </row>
    <row r="95" ht="44.25" customHeight="1" outlineLevel="1">
      <c r="A95" s="146"/>
      <c r="B95" s="402" t="s">
        <v>6151</v>
      </c>
      <c r="C95" s="239" t="s">
        <v>6152</v>
      </c>
      <c r="D95" s="279" t="s">
        <v>413</v>
      </c>
      <c r="E95" s="239" t="s">
        <v>6153</v>
      </c>
      <c r="F95" s="138" t="s">
        <v>6154</v>
      </c>
      <c r="G95" s="239" t="s">
        <v>170</v>
      </c>
      <c r="H95" s="163" t="s">
        <v>6155</v>
      </c>
      <c r="I95" s="164"/>
      <c r="J95" s="104"/>
      <c r="K95" s="138"/>
      <c r="L95" s="138"/>
      <c r="M95" s="145"/>
      <c r="N95" s="145"/>
      <c r="O95" s="145">
        <v>0.0</v>
      </c>
      <c r="P95" s="145">
        <v>1.0</v>
      </c>
      <c r="Q95" s="145">
        <v>1.0</v>
      </c>
      <c r="R95" s="145" t="b">
        <v>1</v>
      </c>
      <c r="S95" s="145" t="b">
        <v>1</v>
      </c>
      <c r="T95" s="145"/>
      <c r="U95" s="146"/>
      <c r="V95" s="146"/>
    </row>
    <row r="96" ht="44.25" customHeight="1" outlineLevel="1">
      <c r="A96" s="146"/>
      <c r="B96" s="402" t="s">
        <v>6156</v>
      </c>
      <c r="C96" s="239" t="s">
        <v>65</v>
      </c>
      <c r="D96" s="156"/>
      <c r="E96" s="239" t="s">
        <v>6157</v>
      </c>
      <c r="F96" s="138" t="s">
        <v>6158</v>
      </c>
      <c r="G96" s="239" t="s">
        <v>6159</v>
      </c>
      <c r="H96" s="106"/>
      <c r="I96" s="168"/>
      <c r="J96" s="107"/>
      <c r="K96" s="138"/>
      <c r="L96" s="282"/>
      <c r="M96" s="363"/>
      <c r="N96" s="363"/>
      <c r="O96" s="145"/>
      <c r="P96" s="145"/>
      <c r="Q96" s="145"/>
      <c r="R96" s="145" t="b">
        <v>0</v>
      </c>
      <c r="S96" s="145" t="b">
        <v>0</v>
      </c>
      <c r="T96" s="145" t="b">
        <v>0</v>
      </c>
      <c r="U96" s="146"/>
      <c r="V96" s="146"/>
    </row>
    <row r="97" outlineLevel="1">
      <c r="A97" s="156"/>
      <c r="B97" s="402" t="s">
        <v>2304</v>
      </c>
      <c r="C97" s="281"/>
      <c r="D97" s="113" t="s">
        <v>628</v>
      </c>
      <c r="E97" s="281"/>
      <c r="F97" s="476"/>
      <c r="G97" s="281"/>
      <c r="H97" s="151"/>
      <c r="I97" s="110"/>
      <c r="J97" s="109"/>
      <c r="K97" s="138"/>
      <c r="L97" s="282"/>
      <c r="M97" s="363"/>
      <c r="N97" s="363"/>
      <c r="O97" s="145">
        <v>0.0</v>
      </c>
      <c r="P97" s="145">
        <v>1.0</v>
      </c>
      <c r="Q97" s="145">
        <v>1.0</v>
      </c>
      <c r="R97" s="145" t="b">
        <v>1</v>
      </c>
      <c r="S97" s="145" t="b">
        <v>1</v>
      </c>
      <c r="T97" s="145"/>
      <c r="U97" s="156"/>
      <c r="V97" s="156"/>
    </row>
    <row r="98">
      <c r="A98" s="223"/>
      <c r="B98" s="224"/>
      <c r="C98" s="225"/>
      <c r="D98" s="225"/>
      <c r="E98" s="226"/>
      <c r="F98" s="226"/>
      <c r="G98" s="226"/>
      <c r="H98" s="227"/>
      <c r="I98" s="227"/>
      <c r="J98" s="228"/>
      <c r="K98" s="228"/>
      <c r="L98" s="228"/>
      <c r="M98" s="228"/>
      <c r="N98" s="228"/>
      <c r="O98" s="228"/>
      <c r="P98" s="228"/>
      <c r="Q98" s="118"/>
      <c r="R98" s="118"/>
      <c r="S98" s="118"/>
      <c r="T98" s="118"/>
      <c r="U98" s="118"/>
      <c r="V98" s="118"/>
    </row>
    <row r="99">
      <c r="A99" s="264" t="s">
        <v>211</v>
      </c>
      <c r="B99" s="104"/>
      <c r="C99" s="227"/>
      <c r="D99" s="227"/>
      <c r="E99" s="228"/>
      <c r="F99" s="265"/>
      <c r="G99" s="265"/>
      <c r="H99" s="228"/>
      <c r="I99" s="228"/>
      <c r="J99" s="228"/>
      <c r="K99" s="228"/>
      <c r="L99" s="228"/>
      <c r="M99" s="228"/>
      <c r="N99" s="118"/>
      <c r="O99" s="118"/>
      <c r="P99" s="118"/>
      <c r="Q99" s="228"/>
      <c r="R99" s="228"/>
      <c r="S99" s="228"/>
      <c r="T99" s="228"/>
      <c r="U99" s="228"/>
      <c r="V99" s="228"/>
    </row>
    <row r="100" outlineLevel="1">
      <c r="A100" s="106"/>
      <c r="B100" s="107"/>
      <c r="C100" s="266" t="s">
        <v>48</v>
      </c>
      <c r="D100" s="266" t="s">
        <v>49</v>
      </c>
      <c r="E100" s="266" t="s">
        <v>50</v>
      </c>
      <c r="F100" s="267" t="s">
        <v>51</v>
      </c>
      <c r="G100" s="227"/>
      <c r="H100" s="227"/>
      <c r="I100" s="227"/>
      <c r="J100" s="228"/>
      <c r="K100" s="228"/>
      <c r="L100" s="228"/>
      <c r="M100" s="228"/>
      <c r="N100" s="228"/>
      <c r="O100" s="228"/>
      <c r="P100" s="228"/>
      <c r="Q100" s="228"/>
      <c r="R100" s="228"/>
      <c r="S100" s="228"/>
      <c r="T100" s="228"/>
      <c r="U100" s="228"/>
      <c r="V100" s="228"/>
    </row>
    <row r="101" outlineLevel="1">
      <c r="A101" s="268" t="s">
        <v>212</v>
      </c>
      <c r="B101" s="269" t="s">
        <v>212</v>
      </c>
      <c r="C101" s="113" t="s">
        <v>213</v>
      </c>
      <c r="D101" s="113" t="s">
        <v>86</v>
      </c>
      <c r="E101" s="113" t="s">
        <v>214</v>
      </c>
      <c r="F101" s="138">
        <v>1.56</v>
      </c>
      <c r="G101" s="227"/>
      <c r="H101" s="227"/>
      <c r="I101" s="227"/>
      <c r="J101" s="228"/>
      <c r="K101" s="228"/>
      <c r="L101" s="228"/>
      <c r="M101" s="228"/>
      <c r="N101" s="228"/>
      <c r="O101" s="228"/>
      <c r="P101" s="228"/>
      <c r="Q101" s="228"/>
      <c r="R101" s="228"/>
      <c r="S101" s="228"/>
      <c r="T101" s="228"/>
      <c r="U101" s="228"/>
      <c r="V101" s="228"/>
    </row>
    <row r="102" outlineLevel="1">
      <c r="A102" s="270" t="s">
        <v>215</v>
      </c>
      <c r="B102" s="269" t="s">
        <v>216</v>
      </c>
      <c r="C102" s="113" t="s">
        <v>319</v>
      </c>
      <c r="D102" s="113" t="s">
        <v>224</v>
      </c>
      <c r="E102" s="271"/>
      <c r="F102" s="272"/>
      <c r="G102" s="272"/>
      <c r="H102" s="227"/>
      <c r="I102" s="227"/>
      <c r="J102" s="228"/>
      <c r="K102" s="228"/>
      <c r="L102" s="228"/>
      <c r="M102" s="228"/>
      <c r="N102" s="228"/>
      <c r="O102" s="228"/>
      <c r="P102" s="228"/>
      <c r="Q102" s="228"/>
      <c r="R102" s="228"/>
      <c r="S102" s="228"/>
      <c r="T102" s="228"/>
      <c r="U102" s="228"/>
      <c r="V102" s="228"/>
    </row>
    <row r="103" outlineLevel="1">
      <c r="A103" s="212"/>
      <c r="B103" s="269" t="s">
        <v>219</v>
      </c>
      <c r="C103" s="113" t="s">
        <v>223</v>
      </c>
      <c r="D103" s="113" t="s">
        <v>393</v>
      </c>
      <c r="E103" s="271"/>
      <c r="F103" s="272"/>
      <c r="G103" s="272"/>
      <c r="H103" s="227"/>
      <c r="I103" s="227"/>
      <c r="J103" s="228"/>
      <c r="K103" s="228"/>
      <c r="L103" s="228"/>
      <c r="M103" s="228"/>
      <c r="N103" s="228"/>
      <c r="O103" s="228"/>
      <c r="P103" s="228"/>
      <c r="Q103" s="228"/>
      <c r="R103" s="228"/>
      <c r="S103" s="228"/>
      <c r="T103" s="228"/>
      <c r="U103" s="228"/>
      <c r="V103" s="228"/>
    </row>
    <row r="104" outlineLevel="1">
      <c r="A104" s="106"/>
      <c r="B104" s="269" t="s">
        <v>222</v>
      </c>
      <c r="C104" s="113" t="s">
        <v>299</v>
      </c>
      <c r="D104" s="113" t="s">
        <v>118</v>
      </c>
      <c r="E104" s="227"/>
      <c r="F104" s="272"/>
      <c r="G104" s="272"/>
      <c r="H104" s="227"/>
      <c r="I104" s="227"/>
      <c r="J104" s="228"/>
      <c r="K104" s="228"/>
      <c r="L104" s="228"/>
      <c r="M104" s="228"/>
      <c r="N104" s="228"/>
      <c r="O104" s="228"/>
      <c r="P104" s="228"/>
      <c r="Q104" s="228"/>
      <c r="R104" s="228"/>
      <c r="S104" s="228"/>
      <c r="T104" s="228"/>
      <c r="U104" s="228"/>
      <c r="V104" s="228"/>
    </row>
    <row r="105" outlineLevel="1">
      <c r="A105" s="273" t="s">
        <v>225</v>
      </c>
      <c r="B105" s="109"/>
      <c r="C105" s="266" t="s">
        <v>48</v>
      </c>
      <c r="D105" s="266" t="s">
        <v>49</v>
      </c>
      <c r="E105" s="266" t="s">
        <v>50</v>
      </c>
      <c r="F105" s="267" t="s">
        <v>51</v>
      </c>
      <c r="G105" s="1168" t="s">
        <v>53</v>
      </c>
      <c r="H105" s="110"/>
      <c r="I105" s="110"/>
      <c r="J105" s="109"/>
      <c r="K105" s="275" t="s">
        <v>137</v>
      </c>
      <c r="L105" s="275" t="s">
        <v>138</v>
      </c>
      <c r="M105" s="275" t="s">
        <v>139</v>
      </c>
      <c r="N105" s="275" t="s">
        <v>140</v>
      </c>
      <c r="O105" s="276" t="s">
        <v>141</v>
      </c>
      <c r="P105" s="275" t="s">
        <v>142</v>
      </c>
      <c r="Q105" s="276" t="s">
        <v>143</v>
      </c>
      <c r="R105" s="277"/>
      <c r="S105" s="277"/>
      <c r="T105" s="277"/>
      <c r="U105" s="277"/>
      <c r="V105" s="277"/>
    </row>
    <row r="106" outlineLevel="1">
      <c r="A106" s="278" t="s">
        <v>226</v>
      </c>
      <c r="B106" s="269" t="s">
        <v>227</v>
      </c>
      <c r="C106" s="113" t="s">
        <v>119</v>
      </c>
      <c r="D106" s="279" t="s">
        <v>218</v>
      </c>
      <c r="E106" s="239" t="s">
        <v>204</v>
      </c>
      <c r="F106" s="138">
        <v>3.5999999999999996</v>
      </c>
      <c r="G106" s="1170"/>
      <c r="H106" s="164"/>
      <c r="I106" s="164"/>
      <c r="J106" s="104"/>
      <c r="K106" s="282"/>
      <c r="L106" s="282"/>
      <c r="M106" s="363"/>
      <c r="N106" s="145"/>
      <c r="O106" s="145">
        <v>0.0</v>
      </c>
      <c r="P106" s="145">
        <v>1.0</v>
      </c>
      <c r="Q106" s="145">
        <v>1.0</v>
      </c>
      <c r="R106" s="277"/>
      <c r="S106" s="228"/>
      <c r="T106" s="228"/>
      <c r="U106" s="228"/>
      <c r="V106" s="228"/>
    </row>
    <row r="107" outlineLevel="1">
      <c r="A107" s="156"/>
      <c r="B107" s="269" t="s">
        <v>225</v>
      </c>
      <c r="C107" s="113" t="s">
        <v>386</v>
      </c>
      <c r="D107" s="156"/>
      <c r="E107" s="239" t="s">
        <v>204</v>
      </c>
      <c r="F107" s="138">
        <v>3.5999999999999996</v>
      </c>
      <c r="G107" s="106"/>
      <c r="H107" s="168"/>
      <c r="I107" s="168"/>
      <c r="J107" s="107"/>
      <c r="K107" s="282"/>
      <c r="L107" s="282"/>
      <c r="M107" s="363"/>
      <c r="N107" s="145"/>
      <c r="O107" s="261"/>
      <c r="P107" s="261"/>
      <c r="Q107" s="261"/>
      <c r="R107" s="277"/>
      <c r="S107" s="228"/>
      <c r="T107" s="228"/>
      <c r="U107" s="228"/>
      <c r="V107" s="228"/>
    </row>
    <row r="108" outlineLevel="1">
      <c r="A108" s="278" t="s">
        <v>229</v>
      </c>
      <c r="B108" s="269" t="s">
        <v>227</v>
      </c>
      <c r="C108" s="113" t="s">
        <v>466</v>
      </c>
      <c r="D108" s="279" t="s">
        <v>271</v>
      </c>
      <c r="E108" s="239" t="s">
        <v>204</v>
      </c>
      <c r="F108" s="138">
        <v>3.5999999999999996</v>
      </c>
      <c r="G108" s="1170"/>
      <c r="H108" s="164"/>
      <c r="I108" s="164"/>
      <c r="J108" s="104"/>
      <c r="K108" s="282"/>
      <c r="L108" s="282"/>
      <c r="M108" s="363"/>
      <c r="N108" s="363"/>
      <c r="O108" s="145">
        <v>0.0</v>
      </c>
      <c r="P108" s="145">
        <v>1.0</v>
      </c>
      <c r="Q108" s="145">
        <v>1.0</v>
      </c>
      <c r="R108" s="277"/>
      <c r="S108" s="228"/>
      <c r="T108" s="228"/>
      <c r="U108" s="228"/>
      <c r="V108" s="228"/>
    </row>
    <row r="109" outlineLevel="1">
      <c r="A109" s="156"/>
      <c r="B109" s="269" t="s">
        <v>225</v>
      </c>
      <c r="C109" s="113" t="s">
        <v>296</v>
      </c>
      <c r="D109" s="156"/>
      <c r="E109" s="239" t="s">
        <v>651</v>
      </c>
      <c r="F109" s="138">
        <v>4.2</v>
      </c>
      <c r="G109" s="106"/>
      <c r="H109" s="168"/>
      <c r="I109" s="168"/>
      <c r="J109" s="107"/>
      <c r="K109" s="282"/>
      <c r="L109" s="282"/>
      <c r="M109" s="363"/>
      <c r="N109" s="363"/>
      <c r="O109" s="261"/>
      <c r="P109" s="261"/>
      <c r="Q109" s="261"/>
      <c r="R109" s="277"/>
      <c r="S109" s="228"/>
      <c r="T109" s="228"/>
      <c r="U109" s="228"/>
      <c r="V109" s="228"/>
    </row>
    <row r="110" outlineLevel="1">
      <c r="A110" s="278" t="s">
        <v>233</v>
      </c>
      <c r="B110" s="269" t="s">
        <v>227</v>
      </c>
      <c r="C110" s="113" t="s">
        <v>305</v>
      </c>
      <c r="D110" s="279" t="s">
        <v>964</v>
      </c>
      <c r="E110" s="239" t="s">
        <v>73</v>
      </c>
      <c r="F110" s="138">
        <v>4.8</v>
      </c>
      <c r="G110" s="1170"/>
      <c r="H110" s="164"/>
      <c r="I110" s="164"/>
      <c r="J110" s="104"/>
      <c r="K110" s="282"/>
      <c r="L110" s="282"/>
      <c r="M110" s="363"/>
      <c r="N110" s="363"/>
      <c r="O110" s="145">
        <v>0.0</v>
      </c>
      <c r="P110" s="145">
        <v>1.0</v>
      </c>
      <c r="Q110" s="145">
        <v>1.0</v>
      </c>
      <c r="R110" s="277"/>
      <c r="S110" s="228"/>
      <c r="T110" s="228"/>
      <c r="U110" s="228"/>
      <c r="V110" s="228"/>
    </row>
    <row r="111" outlineLevel="1">
      <c r="A111" s="156"/>
      <c r="B111" s="269" t="s">
        <v>225</v>
      </c>
      <c r="C111" s="113" t="s">
        <v>119</v>
      </c>
      <c r="D111" s="156"/>
      <c r="E111" s="239" t="s">
        <v>204</v>
      </c>
      <c r="F111" s="138">
        <v>3.5999999999999996</v>
      </c>
      <c r="G111" s="106"/>
      <c r="H111" s="168"/>
      <c r="I111" s="168"/>
      <c r="J111" s="107"/>
      <c r="K111" s="282"/>
      <c r="L111" s="282"/>
      <c r="M111" s="363"/>
      <c r="N111" s="363"/>
      <c r="O111" s="261"/>
      <c r="P111" s="261"/>
      <c r="Q111" s="261"/>
      <c r="R111" s="277"/>
      <c r="S111" s="117"/>
      <c r="T111" s="117"/>
      <c r="U111" s="117"/>
      <c r="V111" s="117"/>
    </row>
    <row r="112" outlineLevel="1">
      <c r="A112" s="278" t="s">
        <v>234</v>
      </c>
      <c r="B112" s="269" t="s">
        <v>227</v>
      </c>
      <c r="C112" s="281"/>
      <c r="D112" s="279" t="s">
        <v>111</v>
      </c>
      <c r="E112" s="281"/>
      <c r="F112" s="476"/>
      <c r="G112" s="1170"/>
      <c r="H112" s="164"/>
      <c r="I112" s="164"/>
      <c r="J112" s="104"/>
      <c r="K112" s="282"/>
      <c r="L112" s="282"/>
      <c r="M112" s="363"/>
      <c r="N112" s="363"/>
      <c r="O112" s="145">
        <v>0.0</v>
      </c>
      <c r="P112" s="145">
        <v>1.0</v>
      </c>
      <c r="Q112" s="145">
        <v>1.0</v>
      </c>
      <c r="R112" s="277"/>
      <c r="S112" s="117"/>
      <c r="T112" s="117"/>
      <c r="U112" s="117"/>
      <c r="V112" s="117"/>
    </row>
    <row r="113" outlineLevel="1">
      <c r="A113" s="156"/>
      <c r="B113" s="269" t="s">
        <v>225</v>
      </c>
      <c r="C113" s="113" t="s">
        <v>628</v>
      </c>
      <c r="D113" s="156"/>
      <c r="E113" s="239" t="s">
        <v>73</v>
      </c>
      <c r="F113" s="138">
        <v>4.8</v>
      </c>
      <c r="G113" s="106"/>
      <c r="H113" s="168"/>
      <c r="I113" s="168"/>
      <c r="J113" s="107"/>
      <c r="K113" s="282"/>
      <c r="L113" s="282"/>
      <c r="M113" s="363"/>
      <c r="N113" s="363"/>
      <c r="O113" s="261"/>
      <c r="P113" s="261"/>
      <c r="Q113" s="261"/>
      <c r="R113" s="277"/>
      <c r="S113" s="117"/>
      <c r="T113" s="117"/>
      <c r="U113" s="117"/>
      <c r="V113" s="117"/>
    </row>
    <row r="114">
      <c r="A114" s="223"/>
      <c r="B114" s="224"/>
      <c r="C114" s="225"/>
      <c r="D114" s="225"/>
      <c r="E114" s="227"/>
      <c r="F114" s="177"/>
      <c r="G114" s="177"/>
      <c r="H114" s="227"/>
      <c r="I114" s="227"/>
      <c r="J114" s="228"/>
      <c r="K114" s="228"/>
      <c r="L114" s="111"/>
      <c r="M114" s="111"/>
      <c r="N114" s="111"/>
      <c r="O114" s="117"/>
      <c r="P114" s="117"/>
      <c r="Q114" s="111"/>
      <c r="R114" s="111"/>
      <c r="S114" s="111"/>
      <c r="T114" s="111"/>
      <c r="U114" s="111"/>
      <c r="V114" s="111"/>
    </row>
    <row r="115">
      <c r="A115" s="284" t="s">
        <v>241</v>
      </c>
      <c r="B115" s="104"/>
      <c r="C115" s="265"/>
      <c r="D115" s="111"/>
      <c r="E115" s="111"/>
      <c r="F115" s="111"/>
      <c r="G115" s="111"/>
      <c r="H115" s="111"/>
      <c r="I115" s="111"/>
      <c r="J115" s="118"/>
      <c r="K115" s="111"/>
      <c r="L115" s="111"/>
      <c r="M115" s="111"/>
      <c r="N115" s="111"/>
      <c r="O115" s="111"/>
      <c r="P115" s="111"/>
      <c r="Q115" s="118"/>
      <c r="R115" s="111"/>
      <c r="S115" s="111"/>
      <c r="T115" s="111"/>
      <c r="U115" s="111"/>
      <c r="V115" s="111"/>
    </row>
    <row r="116" outlineLevel="1">
      <c r="A116" s="106"/>
      <c r="B116" s="107"/>
      <c r="C116" s="285" t="s">
        <v>235</v>
      </c>
      <c r="D116" s="285" t="s">
        <v>236</v>
      </c>
      <c r="E116" s="285" t="s">
        <v>49</v>
      </c>
      <c r="F116" s="285" t="s">
        <v>237</v>
      </c>
      <c r="G116" s="286"/>
      <c r="H116" s="227"/>
      <c r="I116" s="227"/>
      <c r="J116" s="228"/>
      <c r="K116" s="228"/>
      <c r="L116" s="111"/>
      <c r="M116" s="111"/>
      <c r="N116" s="111"/>
      <c r="O116" s="111"/>
      <c r="P116" s="111"/>
      <c r="Q116" s="111"/>
      <c r="R116" s="111"/>
      <c r="S116" s="111"/>
      <c r="T116" s="111"/>
      <c r="U116" s="111"/>
      <c r="V116" s="111"/>
    </row>
    <row r="117" outlineLevel="1">
      <c r="A117" s="287" t="s">
        <v>395</v>
      </c>
      <c r="B117" s="288" t="s">
        <v>216</v>
      </c>
      <c r="C117" s="113" t="str">
        <f t="array" ref="C117">INDEX('回避'!$C$3:$U$91, MATCH($A$1,'回避'!$A$3:$A$91,0), MATCH(C116,'回避'!$C$2:$F$2,0))</f>
        <v>3-17</v>
      </c>
      <c r="D117" s="113" t="str">
        <f t="array" ref="D117">INDEX('回避'!$C$3:$U$91, MATCH($A$1,'回避'!$A$3:$A$91,0), MATCH(D116,'回避'!$C$2:$F$2,0))</f>
        <v>6-17</v>
      </c>
      <c r="E117" s="113" t="str">
        <f t="array" ref="E117">INDEX('回避'!$C$3:$U$91, MATCH($A$1,'回避'!$A$3:$A$91,0), MATCH(E116,'回避'!$C$2:$F$2,0))</f>
        <v>25 (20)</v>
      </c>
      <c r="F117" s="113" t="str">
        <f t="array" ref="F117">INDEX('回避'!$C$3:$U$91, MATCH($A$1,'回避'!$A$3:$A$91,0), MATCH(F116,'回避'!$C$2:$F$2,0))</f>
        <v>33 (27)</v>
      </c>
      <c r="G117" s="272"/>
      <c r="H117" s="227"/>
      <c r="I117" s="227"/>
      <c r="J117" s="228"/>
      <c r="K117" s="228"/>
      <c r="L117" s="228"/>
      <c r="M117" s="111"/>
      <c r="N117" s="111"/>
      <c r="O117" s="111"/>
      <c r="P117" s="111"/>
      <c r="Q117" s="111"/>
      <c r="R117" s="111"/>
      <c r="S117" s="111"/>
      <c r="T117" s="111"/>
      <c r="U117" s="111"/>
      <c r="V117" s="111"/>
    </row>
    <row r="118" outlineLevel="1">
      <c r="A118" s="212"/>
      <c r="B118" s="288" t="s">
        <v>245</v>
      </c>
      <c r="C118" s="113" t="str">
        <f t="array" ref="C118">INDEX('回避'!$G$3:$U$91, MATCH($A$1,'回避'!$A$3:$A$91,0), MATCH(C116,'回避'!$G$2:$J$2,0))</f>
        <v>4-15</v>
      </c>
      <c r="D118" s="113" t="str">
        <f t="array" ref="D118">INDEX('回避'!$G$3:$U$91, MATCH($A$1,'回避'!$A$3:$A$91,0), MATCH(D116,'回避'!$G$2:$J$2,0))</f>
        <v>8-14</v>
      </c>
      <c r="E118" s="113" t="str">
        <f t="array" ref="E118">INDEX('回避'!$G$3:$U$91, MATCH($A$1,'回避'!$A$3:$A$91,0), MATCH(E116,'回避'!$G$2:$J$2,0))</f>
        <v>29</v>
      </c>
      <c r="F118" s="113" t="str">
        <f t="array" ref="F118">INDEX('回避'!$G$3:$U$91, MATCH($A$1,'回避'!$A$3:$A$91,0), MATCH(F116,'回避'!$G$2:$J$2,0))</f>
        <v>38</v>
      </c>
      <c r="G118" s="289"/>
      <c r="H118" s="227"/>
      <c r="I118" s="227"/>
      <c r="J118" s="228"/>
      <c r="K118" s="228"/>
      <c r="L118" s="228"/>
      <c r="M118" s="228"/>
      <c r="N118" s="228"/>
      <c r="O118" s="111"/>
      <c r="P118" s="111"/>
      <c r="Q118" s="111"/>
      <c r="R118" s="111"/>
      <c r="S118" s="111"/>
      <c r="T118" s="111"/>
      <c r="U118" s="111"/>
      <c r="V118" s="111"/>
    </row>
    <row r="119" outlineLevel="1">
      <c r="A119" s="106"/>
      <c r="B119" s="288" t="s">
        <v>246</v>
      </c>
      <c r="C119" s="113" t="str">
        <f t="array" ref="C119">INDEX('回避'!$K$3:$U$91, MATCH($A$1,'回避'!$A$3:$A$91,0), MATCH(C116,'回避'!$K$2:$N$2,0))</f>
        <v>5-16</v>
      </c>
      <c r="D119" s="113" t="str">
        <f t="array" ref="D119">INDEX('回避'!$K$3:$U$91, MATCH($A$1,'回避'!$A$3:$A$91,0), MATCH(D116,'回避'!$K$2:$N$2,0))</f>
        <v>9-14</v>
      </c>
      <c r="E119" s="113" t="str">
        <f t="array" ref="E119">INDEX('回避'!$K$3:$U$91, MATCH($A$1,'回避'!$A$3:$A$91,0), MATCH(E116,'回避'!$K$2:$N$2,0))</f>
        <v>34</v>
      </c>
      <c r="F119" s="113" t="str">
        <f t="array" ref="F119">INDEX('回避'!$K$3:$U$91, MATCH($A$1,'回避'!$A$3:$A$91,0), MATCH(F116,'回避'!$K$2:$N$2,0))</f>
        <v>51</v>
      </c>
      <c r="G119" s="289"/>
      <c r="H119" s="290"/>
      <c r="I119" s="290"/>
      <c r="J119" s="117"/>
      <c r="K119" s="117"/>
      <c r="L119" s="117"/>
      <c r="M119" s="117"/>
      <c r="N119" s="117"/>
      <c r="O119" s="111"/>
      <c r="P119" s="111"/>
      <c r="Q119" s="111"/>
      <c r="R119" s="111"/>
      <c r="S119" s="111"/>
      <c r="T119" s="111"/>
      <c r="U119" s="111"/>
      <c r="V119" s="111"/>
    </row>
    <row r="120" outlineLevel="1">
      <c r="A120" s="287" t="s">
        <v>396</v>
      </c>
      <c r="B120" s="288" t="s">
        <v>397</v>
      </c>
      <c r="C120" s="113" t="str">
        <f t="array" ref="C120">INDEX('回避'!$O$3:$U$91, MATCH($A$1,'回避'!$A$3:$A$91,0), MATCH(C116,'回避'!$O$2:$R$2,0))</f>
        <v>3-30</v>
      </c>
      <c r="D120" s="113" t="str">
        <f t="array" ref="D120">INDEX('回避'!$O$3:$U$91, MATCH($A$1,'回避'!$A$3:$A$91,0), MATCH(D116,'回避'!$O$2:$R$2,0))</f>
        <v>6-27</v>
      </c>
      <c r="E120" s="113" t="str">
        <f t="array" ref="E120">INDEX('回避'!$O$3:$U$91, MATCH($A$1,'回避'!$A$3:$A$91,0), MATCH(E116,'回避'!$O$2:$R$2,0))</f>
        <v>44</v>
      </c>
      <c r="F120" s="177"/>
      <c r="G120" s="177"/>
      <c r="H120" s="118"/>
      <c r="I120" s="118"/>
      <c r="J120" s="111"/>
      <c r="K120" s="111"/>
      <c r="L120" s="111"/>
      <c r="M120" s="111"/>
      <c r="N120" s="111"/>
      <c r="O120" s="228"/>
      <c r="P120" s="228"/>
      <c r="Q120" s="228"/>
      <c r="R120" s="228"/>
      <c r="S120" s="228"/>
      <c r="T120" s="228"/>
      <c r="U120" s="228"/>
      <c r="V120" s="228"/>
    </row>
    <row r="121" outlineLevel="1">
      <c r="A121" s="106"/>
      <c r="B121" s="288" t="s">
        <v>398</v>
      </c>
      <c r="C121" s="113" t="str">
        <f t="array" ref="C121">INDEX('回避'!$S$3:$U$91, MATCH($A$1,'回避'!$A$3:$A$91,0), MATCH(C116,'回避'!$S$2:$U$2,0))</f>
        <v>3-21</v>
      </c>
      <c r="D121" s="113" t="str">
        <f t="array" ref="D121">INDEX('回避'!$S$3:$U$91, MATCH($A$1,'回避'!$A$3:$A$91,0), MATCH(D116,'回避'!$S$2:$U$2,0))</f>
        <v>6-20</v>
      </c>
      <c r="E121" s="113" t="str">
        <f t="array" ref="E121">INDEX('回避'!$S$3:$U$91, MATCH($A$1,'回避'!$A$3:$A$91,0), MATCH(E116,'回避'!$S$2:$U$2,0))</f>
        <v>真横：74
真上：97
真下：61</v>
      </c>
      <c r="F121" s="289"/>
      <c r="G121" s="289"/>
      <c r="H121" s="118"/>
      <c r="I121" s="118"/>
      <c r="J121" s="117"/>
      <c r="K121" s="117"/>
      <c r="L121" s="117"/>
      <c r="M121" s="117"/>
      <c r="N121" s="111"/>
      <c r="O121" s="118"/>
      <c r="P121" s="118"/>
      <c r="Q121" s="118"/>
      <c r="R121" s="118"/>
      <c r="S121" s="118"/>
      <c r="T121" s="118"/>
      <c r="U121" s="118"/>
      <c r="V121" s="118"/>
    </row>
    <row r="122">
      <c r="A122" s="291"/>
      <c r="B122" s="292"/>
      <c r="C122" s="286"/>
      <c r="D122" s="286"/>
      <c r="E122" s="293"/>
      <c r="F122" s="286"/>
      <c r="G122" s="286"/>
      <c r="H122" s="286"/>
      <c r="I122" s="286"/>
      <c r="J122" s="111"/>
      <c r="K122" s="227"/>
      <c r="L122" s="227"/>
      <c r="M122" s="227"/>
      <c r="N122" s="227"/>
      <c r="O122" s="118"/>
      <c r="P122" s="118"/>
      <c r="Q122" s="118"/>
      <c r="R122" s="118"/>
      <c r="S122" s="118"/>
      <c r="T122" s="118"/>
      <c r="U122" s="118"/>
      <c r="V122" s="118"/>
    </row>
    <row r="123">
      <c r="A123" s="294" t="s">
        <v>238</v>
      </c>
      <c r="B123" s="104"/>
      <c r="C123" s="228"/>
      <c r="D123" s="117"/>
      <c r="E123" s="228"/>
      <c r="F123" s="114"/>
      <c r="G123" s="114"/>
      <c r="H123" s="117"/>
      <c r="I123" s="117"/>
      <c r="J123" s="118"/>
      <c r="K123" s="118"/>
      <c r="L123" s="118"/>
      <c r="M123" s="118"/>
      <c r="N123" s="118"/>
      <c r="O123" s="118"/>
      <c r="P123" s="118"/>
      <c r="Q123" s="118"/>
      <c r="R123" s="118"/>
      <c r="S123" s="118"/>
      <c r="T123" s="118"/>
      <c r="U123" s="118"/>
      <c r="V123" s="118"/>
    </row>
    <row r="124" outlineLevel="1">
      <c r="A124" s="106"/>
      <c r="B124" s="107"/>
      <c r="C124" s="295" t="s">
        <v>235</v>
      </c>
      <c r="D124" s="295" t="s">
        <v>49</v>
      </c>
      <c r="E124" s="295" t="s">
        <v>48</v>
      </c>
      <c r="F124" s="295" t="s">
        <v>50</v>
      </c>
      <c r="G124" s="296" t="s">
        <v>51</v>
      </c>
      <c r="H124" s="228"/>
      <c r="I124" s="228"/>
      <c r="J124" s="117"/>
      <c r="K124" s="297" t="s">
        <v>256</v>
      </c>
      <c r="L124" s="109"/>
      <c r="M124" s="298" t="s">
        <v>257</v>
      </c>
      <c r="N124" s="298" t="s">
        <v>49</v>
      </c>
      <c r="O124" s="118"/>
      <c r="P124" s="118"/>
      <c r="Q124" s="118"/>
      <c r="R124" s="118"/>
      <c r="S124" s="118"/>
      <c r="T124" s="118"/>
      <c r="U124" s="118"/>
      <c r="V124" s="118"/>
    </row>
    <row r="125" outlineLevel="1">
      <c r="A125" s="299" t="s">
        <v>239</v>
      </c>
      <c r="B125" s="300" t="s">
        <v>240</v>
      </c>
      <c r="C125" s="301"/>
      <c r="D125" s="113">
        <f t="array" ref="D125">INDEX('崖行動・受け身'!$C$3:$C$115, MATCH($A$1,'崖行動・受け身'!$A$3:$A$115,0), MATCH(D124,'崖行動・受け身'!$C$2,0))</f>
        <v>19</v>
      </c>
      <c r="E125" s="301"/>
      <c r="F125" s="301"/>
      <c r="G125" s="301"/>
      <c r="H125" s="228"/>
      <c r="I125" s="228"/>
      <c r="J125" s="111"/>
      <c r="K125" s="302" t="s">
        <v>258</v>
      </c>
      <c r="L125" s="303" t="s">
        <v>216</v>
      </c>
      <c r="M125" s="113" t="str">
        <f t="array" ref="M125">INDEX('アイテム'!$C$3:$D$115, MATCH($A$1,'アイテム'!$A$3:$A$115,0), MATCH(M$124,'アイテム'!$C$2:$AK$2,0))</f>
        <v>2</v>
      </c>
      <c r="N125" s="113">
        <f t="array" ref="N125">INDEX('アイテム'!$C$3:$D$115, MATCH($A$1,'アイテム'!$A$3:$A$115,0), MATCH(N$124,'アイテム'!$C$2:$AK$2,0))</f>
        <v>7</v>
      </c>
      <c r="O125" s="118"/>
      <c r="P125" s="118"/>
      <c r="Q125" s="118"/>
      <c r="R125" s="118"/>
      <c r="S125" s="118"/>
      <c r="T125" s="118"/>
      <c r="U125" s="118"/>
      <c r="V125" s="118"/>
    </row>
    <row r="126" outlineLevel="1">
      <c r="A126" s="146"/>
      <c r="B126" s="300" t="s">
        <v>216</v>
      </c>
      <c r="C126" s="113" t="str">
        <f t="array" ref="C126">INDEX('崖行動・受け身'!$D$3:$E$115, MATCH($A$1,'崖行動・受け身'!$A$3:$A$115,0), MATCH(C$124,'崖行動・受け身'!$D$2:$E$2,0))</f>
        <v>1-33</v>
      </c>
      <c r="D126" s="113">
        <f t="array" ref="D126">INDEX('崖行動・受け身'!$D$3:$E$115, MATCH($A$1,'崖行動・受け身'!$A$3:$A$115,0), MATCH(D$124,'崖行動・受け身'!$D$2:$E$2,0))</f>
        <v>34</v>
      </c>
      <c r="E126" s="301"/>
      <c r="F126" s="301"/>
      <c r="G126" s="301"/>
      <c r="H126" s="228"/>
      <c r="I126" s="228"/>
      <c r="J126" s="117"/>
      <c r="K126" s="156"/>
      <c r="L126" s="303" t="s">
        <v>5389</v>
      </c>
      <c r="M126" s="113" t="str">
        <f t="array" ref="M126">INDEX('アイテム'!$E$3:$F$115, MATCH($A$1,'アイテム'!$A$3:$A$115,0), MATCH(M$124,'アイテム'!$E$2:$AK$2,0))</f>
        <v>2</v>
      </c>
      <c r="N126" s="113">
        <f t="array" ref="N126">INDEX('アイテム'!$E$3:$F$115, MATCH($A$1,'アイテム'!$A$3:$A$115,0), MATCH(N$124,'アイテム'!$E$2:$AK$2,0))</f>
        <v>19</v>
      </c>
      <c r="O126" s="118"/>
      <c r="P126" s="118"/>
      <c r="Q126" s="118"/>
      <c r="R126" s="118"/>
      <c r="S126" s="118"/>
      <c r="T126" s="118"/>
      <c r="U126" s="118"/>
      <c r="V126" s="118"/>
    </row>
    <row r="127" outlineLevel="1">
      <c r="A127" s="146"/>
      <c r="B127" s="300" t="s">
        <v>241</v>
      </c>
      <c r="C127" s="113" t="str">
        <f t="array" ref="C127">INDEX('崖行動・受け身'!$F$3:$G$115, MATCH($A$1,'崖行動・受け身'!$A$3:$A$115,0), MATCH(C$124,'崖行動・受け身'!$F$2:$G$2,0))</f>
        <v>1-27</v>
      </c>
      <c r="D127" s="113">
        <f t="array" ref="D127">INDEX('崖行動・受け身'!$F$3:$G$115, MATCH($A$1,'崖行動・受け身'!$A$3:$A$115,0), MATCH(D$124,'崖行動・受け身'!$F$2:$G$2,0))</f>
        <v>45</v>
      </c>
      <c r="E127" s="301"/>
      <c r="F127" s="301"/>
      <c r="G127" s="301"/>
      <c r="H127" s="228"/>
      <c r="I127" s="228"/>
      <c r="J127" s="111"/>
      <c r="K127" s="304" t="s">
        <v>260</v>
      </c>
      <c r="L127" s="109"/>
      <c r="M127" s="298" t="s">
        <v>261</v>
      </c>
      <c r="N127" s="298" t="s">
        <v>49</v>
      </c>
      <c r="O127" s="118"/>
      <c r="P127" s="118"/>
      <c r="Q127" s="118"/>
      <c r="R127" s="118"/>
      <c r="S127" s="118"/>
      <c r="T127" s="118"/>
      <c r="U127" s="118"/>
      <c r="V127" s="118"/>
    </row>
    <row r="128" outlineLevel="1">
      <c r="A128" s="146"/>
      <c r="B128" s="300" t="s">
        <v>242</v>
      </c>
      <c r="C128" s="113" t="str">
        <f t="array" ref="C128">INDEX('崖行動・受け身'!$H$3:$I$115, MATCH($A$1,'崖行動・受け身'!$A$3:$A$115,0), MATCH(C$124,'崖行動・受け身'!$H$2:$I$2,0))</f>
        <v>1-12</v>
      </c>
      <c r="D128" s="113">
        <f t="array" ref="D128">INDEX('崖行動・受け身'!$H$3:$I$115, MATCH($A$1,'崖行動・受け身'!$A$3:$A$115,0), MATCH(D$124,'崖行動・受け身'!$H$2:$I$2,0))</f>
        <v>14</v>
      </c>
      <c r="E128" s="301"/>
      <c r="F128" s="301"/>
      <c r="G128" s="301"/>
      <c r="H128" s="228"/>
      <c r="I128" s="228"/>
      <c r="J128" s="117"/>
      <c r="K128" s="305" t="s">
        <v>262</v>
      </c>
      <c r="L128" s="303" t="s">
        <v>226</v>
      </c>
      <c r="M128" s="113" t="str">
        <f t="array" ref="M128">INDEX('アイテム'!$G$3:$H$115, MATCH($A$1,'アイテム'!$A$3:$A$115,0), MATCH(M$127,'アイテム'!$G$2:$AK$2,0))</f>
        <v>8</v>
      </c>
      <c r="N128" s="113">
        <f t="array" ref="N128">INDEX('アイテム'!$G$3:$H$115, MATCH($A$1,'アイテム'!$A$3:$A$115,0), MATCH(N$127,'アイテム'!$G$2:$AK$2,0))</f>
        <v>24</v>
      </c>
      <c r="O128" s="111"/>
      <c r="P128" s="111"/>
      <c r="Q128" s="111"/>
      <c r="R128" s="111"/>
      <c r="S128" s="111"/>
      <c r="T128" s="111"/>
      <c r="U128" s="111"/>
      <c r="V128" s="111"/>
    </row>
    <row r="129" outlineLevel="1">
      <c r="A129" s="156"/>
      <c r="B129" s="300" t="s">
        <v>243</v>
      </c>
      <c r="C129" s="113" t="str">
        <f t="array" ref="C129">INDEX('崖行動・受け身'!$J$3:$M$115, MATCH($A$1,'崖行動・受け身'!$A$3:$A$115,0), MATCH(C$124,'崖行動・受け身'!$J$2:$M$2,0))</f>
        <v>1-26</v>
      </c>
      <c r="D129" s="113">
        <f t="array" ref="D129">INDEX('崖行動・受け身'!$J$3:$M$115, MATCH($A$1,'崖行動・受け身'!$A$3:$A$115,0), MATCH(D$124,'崖行動・受け身'!$J$2:$M$2,0))</f>
        <v>55</v>
      </c>
      <c r="E129" s="113" t="str">
        <f t="array" ref="E129">INDEX('崖行動・受け身'!$J$3:$M$115, MATCH($A$1,'崖行動・受け身'!$A$3:$A$115,0), MATCH(E$124,'崖行動・受け身'!$J$2:$M$2,0))</f>
        <v>24-26</v>
      </c>
      <c r="F129" s="113">
        <f t="array" ref="F129">INDEX('崖行動・受け身'!$J$3:$M$115, MATCH($A$1,'崖行動・受け身'!$A$3:$A$115,0), MATCH(F$124,'崖行動・受け身'!$J$2:$M$2,0))</f>
        <v>9</v>
      </c>
      <c r="G129" s="113">
        <f>F129*1.2</f>
        <v>10.8</v>
      </c>
      <c r="H129" s="228"/>
      <c r="I129" s="228"/>
      <c r="J129" s="111"/>
      <c r="K129" s="146"/>
      <c r="L129" s="303" t="s">
        <v>229</v>
      </c>
      <c r="M129" s="113" t="str">
        <f t="array" ref="M129">INDEX('アイテム'!$I$3:$J$115, MATCH($A$1,'アイテム'!$A$3:$A$115,0), MATCH(M$127,'アイテム'!$I$2:$AK$2,0))</f>
        <v>11</v>
      </c>
      <c r="N129" s="113">
        <f t="array" ref="N129">INDEX('アイテム'!$I$3:$J$115, MATCH($A$1,'アイテム'!$A$3:$A$115,0), MATCH(N$127,'アイテム'!$I$2:$AK$2,0))</f>
        <v>24</v>
      </c>
      <c r="O129" s="111"/>
      <c r="P129" s="111"/>
      <c r="Q129" s="111"/>
      <c r="R129" s="111"/>
      <c r="S129" s="111"/>
      <c r="T129" s="111"/>
      <c r="U129" s="111"/>
      <c r="V129" s="111"/>
    </row>
    <row r="130" outlineLevel="1">
      <c r="A130" s="299" t="s">
        <v>244</v>
      </c>
      <c r="B130" s="300" t="s">
        <v>216</v>
      </c>
      <c r="C130" s="113" t="str">
        <f t="array" ref="C130">INDEX('崖行動・受け身'!$N$3:$O$115, MATCH($A$1,'崖行動・受け身'!$A$3:$A$115,0), MATCH(C$124,'崖行動・受け身'!$N$2:$O$2,0))</f>
        <v>1-20</v>
      </c>
      <c r="D130" s="113">
        <f t="array" ref="D130">INDEX('崖行動・受け身'!$N$3:$O$115, MATCH($A$1,'崖行動・受け身'!$A$3:$A$115,0), MATCH(D$124,'崖行動・受け身'!$N$2:$O$2,0))</f>
        <v>26</v>
      </c>
      <c r="E130" s="301"/>
      <c r="F130" s="301"/>
      <c r="G130" s="301"/>
      <c r="H130" s="228"/>
      <c r="I130" s="228"/>
      <c r="J130" s="117"/>
      <c r="K130" s="146"/>
      <c r="L130" s="303" t="s">
        <v>233</v>
      </c>
      <c r="M130" s="113" t="str">
        <f t="array" ref="M130">INDEX('アイテム'!$K$3:$L$115, MATCH($A$1,'アイテム'!$A$3:$A$115,0), MATCH(M$127,'アイテム'!$K$2:$AK$2,0))</f>
        <v>12</v>
      </c>
      <c r="N130" s="113">
        <f t="array" ref="N130">INDEX('アイテム'!$K$3:$L$115, MATCH($A$1,'アイテム'!$A$3:$A$115,0), MATCH(N$127,'アイテム'!$K$2:$AK$2,0))</f>
        <v>23</v>
      </c>
      <c r="O130" s="228"/>
      <c r="P130" s="228"/>
      <c r="Q130" s="228"/>
      <c r="R130" s="228"/>
      <c r="S130" s="228"/>
      <c r="T130" s="228"/>
      <c r="U130" s="228"/>
      <c r="V130" s="228"/>
    </row>
    <row r="131" outlineLevel="1">
      <c r="A131" s="146"/>
      <c r="B131" s="300" t="s">
        <v>245</v>
      </c>
      <c r="C131" s="113" t="str">
        <f t="array" ref="C131">INDEX('崖行動・受け身'!$P$3:$Q$115, MATCH($A$1,'崖行動・受け身'!$A$3:$A$115,0), MATCH(C$124,'崖行動・受け身'!$P$2:$Q$2,0))</f>
        <v>1-20</v>
      </c>
      <c r="D131" s="113">
        <f t="array" ref="D131">INDEX('崖行動・受け身'!$P$3:$Q$115, MATCH($A$1,'崖行動・受け身'!$A$3:$A$115,0), MATCH(D$124,'崖行動・受け身'!$P$2:$Q$2,0))</f>
        <v>40</v>
      </c>
      <c r="E131" s="301"/>
      <c r="F131" s="301"/>
      <c r="G131" s="301"/>
      <c r="H131" s="228"/>
      <c r="I131" s="228"/>
      <c r="J131" s="111"/>
      <c r="K131" s="146"/>
      <c r="L131" s="303" t="s">
        <v>234</v>
      </c>
      <c r="M131" s="113" t="str">
        <f t="array" ref="M131">INDEX('アイテム'!$M$3:$N$115, MATCH($A$1,'アイテム'!$A$3:$A$115,0), MATCH(M$127,'アイテム'!$M$2:$AK$2,0))</f>
        <v>7</v>
      </c>
      <c r="N131" s="113">
        <f t="array" ref="N131">INDEX('アイテム'!$M$3:$N$115, MATCH($A$1,'アイテム'!$A$3:$A$115,0), MATCH(N$127,'アイテム'!$M$2:$AK$2,0))</f>
        <v>19</v>
      </c>
      <c r="O131" s="118"/>
      <c r="P131" s="118"/>
      <c r="Q131" s="118"/>
      <c r="R131" s="118"/>
      <c r="S131" s="118"/>
      <c r="T131" s="118"/>
      <c r="U131" s="118"/>
      <c r="V131" s="118"/>
    </row>
    <row r="132" outlineLevel="1">
      <c r="A132" s="156"/>
      <c r="B132" s="300" t="s">
        <v>246</v>
      </c>
      <c r="C132" s="113" t="str">
        <f t="array" ref="C132">INDEX('崖行動・受け身'!$R$3:$S$115, MATCH($A$1,'崖行動・受け身'!$A$3:$A$115,0), MATCH(C$124,'崖行動・受け身'!$R$2:$S$2,0))</f>
        <v>1-20</v>
      </c>
      <c r="D132" s="113">
        <f t="array" ref="D132">INDEX('崖行動・受け身'!$R$3:$S$115, MATCH($A$1,'崖行動・受け身'!$A$3:$A$115,0), MATCH(D$124,'崖行動・受け身'!$R$2:$S$2,0))</f>
        <v>40</v>
      </c>
      <c r="E132" s="301"/>
      <c r="F132" s="301"/>
      <c r="G132" s="301"/>
      <c r="H132" s="228"/>
      <c r="I132" s="228"/>
      <c r="J132" s="117"/>
      <c r="K132" s="146"/>
      <c r="L132" s="306" t="s">
        <v>219</v>
      </c>
      <c r="M132" s="113" t="str">
        <f t="array" ref="M132">INDEX('アイテム'!$O$3:$P$115, MATCH($A$1,'アイテム'!$A$3:$A$115,0), MATCH(M$127,'アイテム'!$O$2:$AK$2,0))</f>
        <v>5</v>
      </c>
      <c r="N132" s="113">
        <f t="array" ref="N132">INDEX('アイテム'!$O$3:$P$115, MATCH($A$1,'アイテム'!$A$3:$A$115,0), MATCH(N$127,'アイテム'!$O$2:$AK$2,0))</f>
        <v>29</v>
      </c>
      <c r="O132" s="118"/>
      <c r="P132" s="118"/>
      <c r="Q132" s="118"/>
      <c r="R132" s="118"/>
      <c r="S132" s="118"/>
      <c r="T132" s="118"/>
      <c r="U132" s="118"/>
      <c r="V132" s="118"/>
    </row>
    <row r="133" outlineLevel="1">
      <c r="A133" s="299" t="s">
        <v>247</v>
      </c>
      <c r="B133" s="300" t="s">
        <v>248</v>
      </c>
      <c r="C133" s="301"/>
      <c r="D133" s="113" t="str">
        <f t="array" ref="D133">INDEX('起きあがり'!$C$3:$C$115, MATCH($A$1,'起きあがり'!$A$3:$A$115,0), MATCH(D$124,'起きあがり'!$C$2:$AD$2,0))</f>
        <v>25</v>
      </c>
      <c r="E133" s="301"/>
      <c r="F133" s="301"/>
      <c r="G133" s="301"/>
      <c r="H133" s="228"/>
      <c r="I133" s="228"/>
      <c r="J133" s="111"/>
      <c r="K133" s="156"/>
      <c r="L133" s="306" t="s">
        <v>263</v>
      </c>
      <c r="M133" s="113" t="str">
        <f t="array" ref="M133">INDEX('アイテム'!$Q$3:$R$115, MATCH($A$1,'アイテム'!$A$3:$A$115,0), MATCH(M$127,'アイテム'!$Q$2:$AK$2,0))</f>
        <v>6</v>
      </c>
      <c r="N133" s="113">
        <f t="array" ref="N133">INDEX('アイテム'!$Q$3:$R$115, MATCH($A$1,'アイテム'!$A$3:$A$115,0), MATCH(N$127,'アイテム'!$Q$2:$AK$2,0))</f>
        <v>23</v>
      </c>
      <c r="O133" s="118"/>
      <c r="P133" s="118"/>
      <c r="Q133" s="118"/>
      <c r="R133" s="118"/>
      <c r="S133" s="118"/>
      <c r="T133" s="118"/>
      <c r="U133" s="118"/>
      <c r="V133" s="118"/>
    </row>
    <row r="134" outlineLevel="1">
      <c r="A134" s="146"/>
      <c r="B134" s="300" t="s">
        <v>216</v>
      </c>
      <c r="C134" s="307" t="str">
        <f t="array" ref="C134">INDEX('起きあがり'!$D$3:$E$115, MATCH($A$1,'起きあがり'!$A$3:$A$115,0), MATCH(C$124,'起きあがり'!$D$2:$AD$2,0))</f>
        <v>1-22</v>
      </c>
      <c r="D134" s="308">
        <f t="array" ref="D134">INDEX('起きあがり'!$D$3:$E$115, MATCH($A$1,'起きあがり'!$A$3:$A$115,0), MATCH(D$124,'起きあがり'!$D$2:$AD$2,0))</f>
        <v>29</v>
      </c>
      <c r="E134" s="301"/>
      <c r="F134" s="301"/>
      <c r="G134" s="301"/>
      <c r="H134" s="228"/>
      <c r="I134" s="228"/>
      <c r="J134" s="117"/>
      <c r="K134" s="305" t="s">
        <v>264</v>
      </c>
      <c r="L134" s="303" t="s">
        <v>226</v>
      </c>
      <c r="M134" s="113" t="str">
        <f t="array" ref="M134">INDEX('アイテム'!$S$3:$T$115, MATCH($A$1,'アイテム'!$A$3:$A$115,0), MATCH(M$127,'アイテム'!$S$2:$AK$2,0))</f>
        <v>8</v>
      </c>
      <c r="N134" s="113">
        <f t="array" ref="N134">INDEX('アイテム'!$S$3:$T$115, MATCH($A$1,'アイテム'!$A$3:$A$115,0), MATCH(N$127,'アイテム'!$S$2:$AK$2,0))</f>
        <v>24</v>
      </c>
      <c r="O134" s="118"/>
      <c r="P134" s="118"/>
      <c r="Q134" s="118"/>
      <c r="R134" s="118"/>
      <c r="S134" s="118"/>
      <c r="T134" s="118"/>
      <c r="U134" s="118"/>
      <c r="V134" s="118"/>
    </row>
    <row r="135" outlineLevel="1">
      <c r="A135" s="146"/>
      <c r="B135" s="300" t="s">
        <v>245</v>
      </c>
      <c r="C135" s="307" t="str">
        <f t="array" ref="C135">INDEX('起きあがり'!$F$3:$G$115, MATCH($A$1,'起きあがり'!$A$3:$A$115,0), MATCH(C$124,'起きあがり'!$F$2:$AD$2,0))</f>
        <v>1-21</v>
      </c>
      <c r="D135" s="308">
        <f t="array" ref="D135">INDEX('起きあがり'!$F$3:$G$115, MATCH($A$1,'起きあがり'!$A$3:$A$115,0), MATCH(D$124,'起きあがり'!$F$2:$AD$2,0))</f>
        <v>35</v>
      </c>
      <c r="E135" s="301"/>
      <c r="F135" s="301"/>
      <c r="G135" s="301"/>
      <c r="H135" s="228"/>
      <c r="I135" s="228"/>
      <c r="J135" s="111"/>
      <c r="K135" s="146"/>
      <c r="L135" s="303" t="s">
        <v>229</v>
      </c>
      <c r="M135" s="113" t="str">
        <f t="array" ref="M135">INDEX('アイテム'!$U$3:$V$115, MATCH($A$1,'アイテム'!$A$3:$A$115,0), MATCH(M$127,'アイテム'!$U$2:$AK$2,0))</f>
        <v>11</v>
      </c>
      <c r="N135" s="113">
        <f t="array" ref="N135">INDEX('アイテム'!$U$3:$V$115, MATCH($A$1,'アイテム'!$A$3:$A$115,0), MATCH(N$127,'アイテム'!$U$2:$AK$2,0))</f>
        <v>24</v>
      </c>
      <c r="O135" s="118"/>
      <c r="P135" s="118"/>
      <c r="Q135" s="118"/>
      <c r="R135" s="118"/>
      <c r="S135" s="118"/>
      <c r="T135" s="118"/>
      <c r="U135" s="118"/>
      <c r="V135" s="118"/>
    </row>
    <row r="136" outlineLevel="1">
      <c r="A136" s="146"/>
      <c r="B136" s="300" t="s">
        <v>246</v>
      </c>
      <c r="C136" s="113" t="str">
        <f t="array" ref="C136">INDEX('起きあがり'!$H$3:$I$115, MATCH($A$1,'起きあがり'!$A$3:$A$115,0), MATCH(C$124,'起きあがり'!$H$2:$AD$2,0))</f>
        <v>1-22</v>
      </c>
      <c r="D136" s="113">
        <f t="array" ref="D136">INDEX('起きあがり'!$H$3:$I$115, MATCH($A$1,'起きあがり'!$A$3:$A$115,0), MATCH(D$124,'起きあがり'!$H$2:$AD$2,0))</f>
        <v>35</v>
      </c>
      <c r="E136" s="301"/>
      <c r="F136" s="301"/>
      <c r="G136" s="301"/>
      <c r="H136" s="228"/>
      <c r="I136" s="228"/>
      <c r="J136" s="117"/>
      <c r="K136" s="146"/>
      <c r="L136" s="303" t="s">
        <v>233</v>
      </c>
      <c r="M136" s="113" t="str">
        <f t="array" ref="M136">INDEX('アイテム'!$W$3:$X$115, MATCH($A$1,'アイテム'!$A$3:$A$115,0), MATCH(M$127,'アイテム'!$W$2:$AK$2,0))</f>
        <v>12</v>
      </c>
      <c r="N136" s="113">
        <f t="array" ref="N136">INDEX('アイテム'!$W$3:$X$115, MATCH($A$1,'アイテム'!$A$3:$A$115,0), MATCH(N$127,'アイテム'!$W$2:$AK$2,0))</f>
        <v>23</v>
      </c>
      <c r="O136" s="118"/>
      <c r="P136" s="118"/>
      <c r="Q136" s="118"/>
      <c r="R136" s="118"/>
      <c r="S136" s="118"/>
      <c r="T136" s="118"/>
      <c r="U136" s="118"/>
      <c r="V136" s="118"/>
    </row>
    <row r="137" outlineLevel="1">
      <c r="A137" s="146"/>
      <c r="B137" s="300" t="s">
        <v>249</v>
      </c>
      <c r="C137" s="309" t="str">
        <f t="array" ref="C137">INDEX('起きあがり'!$J$3:$M$115, MATCH($A$1,'起きあがり'!$A$3:$A$115,0), MATCH(C$124,'起きあがり'!$J$2:$AD$2,0))</f>
        <v>1-25</v>
      </c>
      <c r="D137" s="310">
        <f t="array" ref="D137">INDEX('起きあがり'!$J$3:$M$115, MATCH($A$1,'起きあがり'!$A$3:$A$115,0), MATCH(D$124,'起きあがり'!$J$2:$AD$2,0))</f>
        <v>45</v>
      </c>
      <c r="E137" s="307" t="str">
        <f t="array" ref="E137">INDEX('起きあがり'!$J$3:$M$115, MATCH($A$1,'起きあがり'!$A$3:$A$115,0), MATCH(E$124,'起きあがり'!$J$2:$AD$2,0))</f>
        <v>19-20</v>
      </c>
      <c r="F137" s="308">
        <f t="array" ref="F137">INDEX('起きあがり'!$J$3:$M$115, MATCH($A$1,'起きあがり'!$A$3:$A$115,0), MATCH(F$124,'起きあがり'!$J$2:$AD$2,0))</f>
        <v>7</v>
      </c>
      <c r="G137" s="113">
        <f t="shared" ref="G137:G138" si="1">F137*1.2</f>
        <v>8.4</v>
      </c>
      <c r="H137" s="228"/>
      <c r="I137" s="228"/>
      <c r="J137" s="111"/>
      <c r="K137" s="156"/>
      <c r="L137" s="303" t="s">
        <v>234</v>
      </c>
      <c r="M137" s="113" t="str">
        <f t="array" ref="M137">INDEX('アイテム'!$Y$3:$Z$115, MATCH($A$1,'アイテム'!$A$3:$A$115,0), MATCH(M$127,'アイテム'!$Y$2:$AK$2,0))</f>
        <v>7</v>
      </c>
      <c r="N137" s="113">
        <f t="array" ref="N137">INDEX('アイテム'!$Y$3:$Z$115, MATCH($A$1,'アイテム'!$A$3:$A$115,0), MATCH(N$127,'アイテム'!$Y$2:$AK$2,0))</f>
        <v>19</v>
      </c>
      <c r="O137" s="111"/>
      <c r="P137" s="111"/>
      <c r="Q137" s="111"/>
      <c r="R137" s="111"/>
      <c r="S137" s="111"/>
      <c r="T137" s="111"/>
      <c r="U137" s="111"/>
      <c r="V137" s="111"/>
    </row>
    <row r="138" outlineLevel="1">
      <c r="A138" s="156"/>
      <c r="B138" s="311" t="s">
        <v>250</v>
      </c>
      <c r="C138" s="156"/>
      <c r="D138" s="156"/>
      <c r="E138" s="307" t="str">
        <f t="array" ref="E138">INDEX('起きあがり'!$N$3:$O$115, MATCH($A$1,'起きあがり'!$A$3:$A$115,0), MATCH(E$124,'起きあがり'!$N$2:$AD$2,0))</f>
        <v>24-25</v>
      </c>
      <c r="F138" s="308">
        <f t="array" ref="F138">INDEX('起きあがり'!$N$3:$O$115, MATCH($A$1,'起きあがり'!$A$3:$A$115,0), MATCH(F$124,'起きあがり'!$N$2:$AD$2,0))</f>
        <v>7</v>
      </c>
      <c r="G138" s="113">
        <f t="shared" si="1"/>
        <v>8.4</v>
      </c>
      <c r="H138" s="228"/>
      <c r="I138" s="228"/>
      <c r="J138" s="111"/>
      <c r="K138" s="312" t="s">
        <v>5390</v>
      </c>
      <c r="L138" s="168"/>
      <c r="M138" s="298" t="s">
        <v>49</v>
      </c>
      <c r="N138" s="114"/>
      <c r="O138" s="111"/>
      <c r="P138" s="111"/>
      <c r="Q138" s="111"/>
      <c r="R138" s="111"/>
      <c r="S138" s="111"/>
      <c r="T138" s="111"/>
      <c r="U138" s="111"/>
      <c r="V138" s="111"/>
    </row>
    <row r="139" outlineLevel="1">
      <c r="A139" s="299" t="s">
        <v>251</v>
      </c>
      <c r="B139" s="300" t="s">
        <v>248</v>
      </c>
      <c r="C139" s="301"/>
      <c r="D139" s="307" t="str">
        <f t="array" ref="D139">INDEX('起きあがり'!$C$3:$C$115, MATCH($A$1,'起きあがり'!$A$3:$A$115,0), MATCH(D$124,'起きあがり'!$C$2:$AD$2,0))</f>
        <v>25</v>
      </c>
      <c r="E139" s="301"/>
      <c r="F139" s="301"/>
      <c r="G139" s="301"/>
      <c r="H139" s="228"/>
      <c r="I139" s="228"/>
      <c r="J139" s="117"/>
      <c r="K139" s="313" t="s">
        <v>693</v>
      </c>
      <c r="L139" s="314" t="s">
        <v>693</v>
      </c>
      <c r="M139" s="113" t="str">
        <f t="array" ref="M139">INDEX('共通動作その他'!$C$3:$C$102, MATCH($A$1,'共通動作その他'!$A$3:$A$102,0), MATCH(M$138,'共通動作その他'!$C$2:$AA$2,0))</f>
        <v>#N/A</v>
      </c>
      <c r="N139" s="315"/>
      <c r="O139" s="111"/>
      <c r="P139" s="111"/>
      <c r="Q139" s="111"/>
      <c r="R139" s="111"/>
      <c r="S139" s="111"/>
      <c r="T139" s="111"/>
      <c r="U139" s="111"/>
      <c r="V139" s="111"/>
    </row>
    <row r="140" outlineLevel="1">
      <c r="A140" s="146"/>
      <c r="B140" s="300" t="s">
        <v>216</v>
      </c>
      <c r="C140" s="307" t="str">
        <f t="array" ref="C140">INDEX('起きあがり'!$P$3:$Q$115, MATCH($A$1,'起きあがり'!$A$3:$A$115,0), MATCH(C$124,'起きあがり'!$P$2:$AD$2,0))</f>
        <v>1-22</v>
      </c>
      <c r="D140" s="308">
        <f t="array" ref="D140">INDEX('起きあがり'!$P$3:$Q$115, MATCH($A$1,'起きあがり'!$A$3:$A$115,0), MATCH(D$124,'起きあがり'!$P$2:$AD$2,0))</f>
        <v>29</v>
      </c>
      <c r="E140" s="301"/>
      <c r="F140" s="301"/>
      <c r="G140" s="301"/>
      <c r="H140" s="228"/>
      <c r="I140" s="228"/>
      <c r="J140" s="111"/>
      <c r="K140" s="305" t="s">
        <v>2602</v>
      </c>
      <c r="L140" s="314" t="s">
        <v>5391</v>
      </c>
      <c r="M140" s="113" t="str">
        <f t="array" ref="M140">INDEX('共通動作その他'!$D$3:$D$102, MATCH($A$1,'共通動作その他'!$A$3:$A$102,0), MATCH(M$138,'共通動作その他'!$D$2:$AA$2,0))</f>
        <v>#N/A</v>
      </c>
      <c r="N140" s="315"/>
      <c r="O140" s="228"/>
      <c r="P140" s="228"/>
      <c r="Q140" s="228"/>
      <c r="R140" s="228"/>
      <c r="S140" s="228"/>
      <c r="T140" s="228"/>
      <c r="U140" s="228"/>
      <c r="V140" s="228"/>
    </row>
    <row r="141" outlineLevel="1">
      <c r="A141" s="146"/>
      <c r="B141" s="300" t="s">
        <v>245</v>
      </c>
      <c r="C141" s="307" t="str">
        <f t="array" ref="C141">INDEX('起きあがり'!$R$3:$S$115, MATCH($A$1,'起きあがり'!$A$3:$A$115,0), MATCH(C$124,'起きあがり'!$R$2:$AD$2,0))</f>
        <v>1-19</v>
      </c>
      <c r="D141" s="308">
        <f t="array" ref="D141">INDEX('起きあがり'!$R$3:$S$115, MATCH($A$1,'起きあがり'!$A$3:$A$115,0), MATCH(D$124,'起きあがり'!$R$2:$AD$2,0))</f>
        <v>35</v>
      </c>
      <c r="E141" s="301"/>
      <c r="F141" s="301"/>
      <c r="G141" s="301"/>
      <c r="H141" s="228"/>
      <c r="I141" s="228"/>
      <c r="J141" s="117"/>
      <c r="K141" s="146"/>
      <c r="L141" s="314" t="s">
        <v>5392</v>
      </c>
      <c r="M141" s="113" t="str">
        <f t="array" ref="M141">INDEX('共通動作その他'!$E$3:$E$102, MATCH($A$1,'共通動作その他'!$A$3:$A$102,0), MATCH(M$138,'共通動作その他'!$E$2:$AA$2,0))</f>
        <v>#N/A</v>
      </c>
      <c r="N141" s="102"/>
      <c r="O141" s="118"/>
      <c r="P141" s="118"/>
      <c r="Q141" s="118"/>
      <c r="R141" s="118"/>
      <c r="S141" s="118"/>
      <c r="T141" s="118"/>
      <c r="U141" s="118"/>
      <c r="V141" s="118"/>
    </row>
    <row r="142" outlineLevel="1">
      <c r="A142" s="146"/>
      <c r="B142" s="300" t="s">
        <v>246</v>
      </c>
      <c r="C142" s="307" t="str">
        <f t="array" ref="C142">INDEX('起きあがり'!$T$3:$U$115, MATCH($A$1,'起きあがり'!$A$3:$A$115,0), MATCH(C$124,'起きあがり'!$T$2:$AD$2,0))</f>
        <v>1-24</v>
      </c>
      <c r="D142" s="308">
        <f t="array" ref="D142">INDEX('起きあがり'!$T$3:$U$115, MATCH($A$1,'起きあがり'!$A$3:$A$115,0), MATCH(D$124,'起きあがり'!$T$2:$AD$2,0))</f>
        <v>35</v>
      </c>
      <c r="E142" s="301"/>
      <c r="F142" s="301"/>
      <c r="G142" s="301"/>
      <c r="H142" s="228"/>
      <c r="I142" s="228"/>
      <c r="J142" s="111"/>
      <c r="K142" s="146"/>
      <c r="L142" s="314" t="s">
        <v>5393</v>
      </c>
      <c r="M142" s="113" t="str">
        <f t="array" ref="M142">INDEX('共通動作その他'!$F$3:$F$102, MATCH($A$1,'共通動作その他'!$A$3:$A$102,0), MATCH(M$138,'共通動作その他'!$F$2:$AA$2,0))</f>
        <v>#N/A</v>
      </c>
      <c r="N142" s="102"/>
      <c r="O142" s="118"/>
      <c r="P142" s="118"/>
      <c r="Q142" s="118"/>
      <c r="R142" s="118"/>
      <c r="S142" s="118"/>
      <c r="T142" s="118"/>
      <c r="U142" s="118"/>
      <c r="V142" s="118"/>
    </row>
    <row r="143" outlineLevel="1">
      <c r="A143" s="146"/>
      <c r="B143" s="300" t="s">
        <v>249</v>
      </c>
      <c r="C143" s="309" t="str">
        <f t="array" ref="C143">INDEX('起きあがり'!$V$3:$Y$115, MATCH($A$1,'起きあがり'!$A$3:$A$115,0), MATCH(C$124,'起きあがり'!$V$2:$AD$2,0))</f>
        <v>1-25</v>
      </c>
      <c r="D143" s="310">
        <f t="array" ref="D143">INDEX('起きあがり'!$V$3:$Y$115, MATCH($A$1,'起きあがり'!$A$3:$A$115,0), MATCH(D$124,'起きあがり'!$V$2:$AD$2,0))</f>
        <v>45</v>
      </c>
      <c r="E143" s="307" t="str">
        <f t="array" ref="E143">INDEX('起きあがり'!$V$3:$Y$115, MATCH($A$1,'起きあがり'!$A$3:$A$115,0), MATCH(E$124,'起きあがり'!$V$2:$AD$2,0))</f>
        <v>19-20</v>
      </c>
      <c r="F143" s="308">
        <f t="array" ref="F143">INDEX('起きあがり'!$V$3:$Y$115, MATCH($A$1,'起きあがり'!$A$3:$A$115,0), MATCH(F$124,'起きあがり'!$V$2:$AD$2,0))</f>
        <v>7</v>
      </c>
      <c r="G143" s="113">
        <f t="shared" ref="G143:G144" si="2">F143*1.2</f>
        <v>8.4</v>
      </c>
      <c r="H143" s="228"/>
      <c r="I143" s="228"/>
      <c r="J143" s="117"/>
      <c r="K143" s="146"/>
      <c r="L143" s="314" t="s">
        <v>5394</v>
      </c>
      <c r="M143" s="113" t="str">
        <f t="array" ref="M143">INDEX('共通動作その他'!$G$3:$G$102, MATCH($A$1,'共通動作その他'!$A$3:$A$102,0), MATCH(M$138,'共通動作その他'!$G$2:$AA$2,0))</f>
        <v>#N/A</v>
      </c>
      <c r="N143" s="102"/>
      <c r="O143" s="118"/>
      <c r="P143" s="118"/>
      <c r="Q143" s="118"/>
      <c r="R143" s="118"/>
      <c r="S143" s="118"/>
      <c r="T143" s="118"/>
      <c r="U143" s="118"/>
      <c r="V143" s="118"/>
    </row>
    <row r="144" outlineLevel="1">
      <c r="A144" s="156"/>
      <c r="B144" s="311" t="s">
        <v>250</v>
      </c>
      <c r="C144" s="156"/>
      <c r="D144" s="156"/>
      <c r="E144" s="307" t="str">
        <f t="array" ref="E144">INDEX('起きあがり'!$Z$3:$AA$115, MATCH($A$1,'起きあがり'!$A$3:$A$115,0), MATCH(E$124,'起きあがり'!$Z$2:$AD$2,0))</f>
        <v>24-25</v>
      </c>
      <c r="F144" s="308">
        <f t="array" ref="F144">INDEX('起きあがり'!$Z$3:$AA$115, MATCH($A$1,'起きあがり'!$A$3:$A$115,0), MATCH(F$124,'起きあがり'!$Z$2:$AD$2,0))</f>
        <v>7</v>
      </c>
      <c r="G144" s="113">
        <f t="shared" si="2"/>
        <v>8.4</v>
      </c>
      <c r="H144" s="228"/>
      <c r="I144" s="228"/>
      <c r="J144" s="117"/>
      <c r="K144" s="304" t="s">
        <v>5395</v>
      </c>
      <c r="L144" s="110"/>
      <c r="M144" s="298" t="s">
        <v>49</v>
      </c>
      <c r="N144" s="102"/>
      <c r="O144" s="118"/>
      <c r="P144" s="118"/>
      <c r="Q144" s="118"/>
      <c r="R144" s="118"/>
      <c r="S144" s="118"/>
      <c r="T144" s="118"/>
      <c r="U144" s="118"/>
      <c r="V144" s="118"/>
    </row>
    <row r="145" outlineLevel="1">
      <c r="A145" s="299" t="s">
        <v>252</v>
      </c>
      <c r="B145" s="300" t="s">
        <v>253</v>
      </c>
      <c r="C145" s="307" t="str">
        <f t="array" ref="C145">INDEX('転倒'!$C$3:$D$115, MATCH($A$1,'転倒'!$A$3:$A$115,0), MATCH(C$124,'転倒'!$C$2:$AC$2,0))</f>
        <v>1-5</v>
      </c>
      <c r="D145" s="308">
        <f t="array" ref="D145">INDEX('転倒'!$C$3:$D$115, MATCH($A$1,'転倒'!$A$3:$A$115,0), MATCH(D$124,'転倒'!$C$2:$AC$2,0))</f>
        <v>29</v>
      </c>
      <c r="E145" s="301"/>
      <c r="F145" s="301"/>
      <c r="G145" s="301"/>
      <c r="H145" s="228"/>
      <c r="I145" s="228"/>
      <c r="J145" s="111"/>
      <c r="K145" s="313" t="s">
        <v>5396</v>
      </c>
      <c r="L145" s="306" t="s">
        <v>5397</v>
      </c>
      <c r="M145" s="113" t="str">
        <f t="array" ref="M145">INDEX('共通動作その他'!$H$3:$H$102, MATCH($A$1,'共通動作その他'!$A$3:$A$102,0), MATCH(M$144,'共通動作その他'!$H$2:$AA$2,0))</f>
        <v>#N/A</v>
      </c>
      <c r="N145" s="315"/>
      <c r="O145" s="118"/>
      <c r="P145" s="118"/>
      <c r="Q145" s="118"/>
      <c r="R145" s="118"/>
      <c r="S145" s="118"/>
      <c r="T145" s="118"/>
      <c r="U145" s="118"/>
      <c r="V145" s="118"/>
    </row>
    <row r="146" outlineLevel="1">
      <c r="A146" s="146"/>
      <c r="B146" s="300" t="s">
        <v>254</v>
      </c>
      <c r="C146" s="307" t="str">
        <f t="array" ref="C146">INDEX('転倒'!$E$3:$F$115, MATCH($A$1,'転倒'!$A$3:$A$115,0), MATCH(C$124,'転倒'!$E$2:$AC$2,0))</f>
        <v>1-5</v>
      </c>
      <c r="D146" s="308">
        <f t="array" ref="D146">INDEX('転倒'!$E$3:$F$115, MATCH($A$1,'転倒'!$A$3:$A$115,0), MATCH(D$124,'転倒'!$E$2:$AC$2,0))</f>
        <v>39</v>
      </c>
      <c r="E146" s="301"/>
      <c r="F146" s="301"/>
      <c r="G146" s="301"/>
      <c r="H146" s="228"/>
      <c r="I146" s="228"/>
      <c r="J146" s="117"/>
      <c r="K146" s="313" t="s">
        <v>5398</v>
      </c>
      <c r="L146" s="306" t="s">
        <v>5397</v>
      </c>
      <c r="M146" s="113" t="str">
        <f t="array" ref="M146">INDEX('共通動作その他'!$I$3:$I$102, MATCH($A$1,'共通動作その他'!$A$3:$A$102,0), MATCH(M$144,'共通動作その他'!$I$2:$AA$2,0))</f>
        <v>#N/A</v>
      </c>
      <c r="N146" s="315"/>
      <c r="O146" s="118"/>
      <c r="P146" s="118"/>
      <c r="Q146" s="118"/>
      <c r="R146" s="118"/>
      <c r="S146" s="118"/>
      <c r="T146" s="118"/>
      <c r="U146" s="118"/>
      <c r="V146" s="118"/>
    </row>
    <row r="147" outlineLevel="1">
      <c r="A147" s="146"/>
      <c r="B147" s="300" t="s">
        <v>216</v>
      </c>
      <c r="C147" s="307" t="str">
        <f t="array" ref="C147">INDEX('転倒'!$G$3:$H$115, MATCH($A$1,'転倒'!$A$3:$A$115,0), MATCH(C$124,'転倒'!$G$2:$AC$2,0))</f>
        <v>1-16</v>
      </c>
      <c r="D147" s="308">
        <f t="array" ref="D147">INDEX('転倒'!$G$3:$H$115, MATCH($A$1,'転倒'!$A$3:$A$115,0), MATCH(D$124,'転倒'!$G$2:$AC$2,0))</f>
        <v>21</v>
      </c>
      <c r="E147" s="301"/>
      <c r="F147" s="301"/>
      <c r="G147" s="301"/>
      <c r="H147" s="228"/>
      <c r="I147" s="228"/>
      <c r="J147" s="111"/>
      <c r="K147" s="102"/>
      <c r="L147" s="118"/>
      <c r="M147" s="118"/>
      <c r="N147" s="102"/>
      <c r="O147" s="118"/>
      <c r="P147" s="118"/>
      <c r="Q147" s="118"/>
      <c r="R147" s="118"/>
      <c r="S147" s="118"/>
      <c r="T147" s="118"/>
      <c r="U147" s="118"/>
      <c r="V147" s="118"/>
    </row>
    <row r="148" outlineLevel="1">
      <c r="A148" s="146"/>
      <c r="B148" s="300" t="s">
        <v>245</v>
      </c>
      <c r="C148" s="307" t="str">
        <f t="array" ref="C148">INDEX('転倒'!$I$3:$J$115, MATCH($A$1,'転倒'!$A$3:$A$115,0), MATCH(C$124,'転倒'!$I$2:$AC$2,0))</f>
        <v>1-9</v>
      </c>
      <c r="D148" s="308">
        <f t="array" ref="D148">INDEX('転倒'!$I$3:$J$115, MATCH($A$1,'転倒'!$A$3:$A$115,0), MATCH(D$124,'転倒'!$I$2:$AC$2,0))</f>
        <v>28</v>
      </c>
      <c r="E148" s="301"/>
      <c r="F148" s="301"/>
      <c r="G148" s="301"/>
      <c r="H148" s="228"/>
      <c r="I148" s="228"/>
      <c r="J148" s="228"/>
      <c r="K148" s="102"/>
      <c r="L148" s="118"/>
      <c r="M148" s="118"/>
      <c r="N148" s="102"/>
      <c r="O148" s="118"/>
      <c r="P148" s="118"/>
      <c r="Q148" s="118"/>
      <c r="R148" s="118"/>
      <c r="S148" s="118"/>
      <c r="T148" s="118"/>
      <c r="U148" s="118"/>
      <c r="V148" s="118"/>
    </row>
    <row r="149" outlineLevel="1">
      <c r="A149" s="146"/>
      <c r="B149" s="300" t="s">
        <v>246</v>
      </c>
      <c r="C149" s="307" t="str">
        <f t="array" ref="C149">INDEX('転倒'!$K$3:$L$115, MATCH($A$1,'転倒'!$A$3:$A$115,0), MATCH(C$124,'転倒'!$K$2:$AC$2,0))</f>
        <v>1-9</v>
      </c>
      <c r="D149" s="308">
        <f t="array" ref="D149">INDEX('転倒'!$K$3:$L$115, MATCH($A$1,'転倒'!$A$3:$A$115,0), MATCH(D$124,'転倒'!$K$2:$AC$2,0))</f>
        <v>28</v>
      </c>
      <c r="E149" s="301"/>
      <c r="F149" s="301"/>
      <c r="G149" s="301"/>
      <c r="H149" s="228"/>
      <c r="I149" s="228"/>
      <c r="J149" s="228"/>
      <c r="K149" s="102"/>
      <c r="L149" s="118"/>
      <c r="M149" s="118"/>
      <c r="N149" s="102"/>
      <c r="O149" s="118"/>
      <c r="P149" s="118"/>
      <c r="Q149" s="118"/>
      <c r="R149" s="118"/>
      <c r="S149" s="118"/>
      <c r="T149" s="118"/>
      <c r="U149" s="118"/>
      <c r="V149" s="118"/>
    </row>
    <row r="150" outlineLevel="1">
      <c r="A150" s="146"/>
      <c r="B150" s="300" t="s">
        <v>249</v>
      </c>
      <c r="C150" s="309" t="str">
        <f t="array" ref="C150">INDEX('転倒'!$M$3:$P$115, MATCH($A$1,'転倒'!$A$3:$A$115,0), MATCH(C$124,'転倒'!$M$2:$AC$2,0))</f>
        <v>1-7</v>
      </c>
      <c r="D150" s="310">
        <f t="array" ref="D150">INDEX('転倒'!$M$3:$P$115, MATCH($A$1,'転倒'!$A$3:$A$115,0), MATCH(D$124,'転倒'!$M$2:$AC$2,0))</f>
        <v>49</v>
      </c>
      <c r="E150" s="307" t="str">
        <f t="array" ref="E150">INDEX('転倒'!$M$3:$P$115, MATCH($A$1,'転倒'!$A$3:$A$115,0), MATCH(E$124,'転倒'!$M$2:$AC$2,0))</f>
        <v>19-20</v>
      </c>
      <c r="F150" s="308">
        <f t="array" ref="F150">INDEX('転倒'!$M$3:$P$115, MATCH($A$1,'転倒'!$A$3:$A$115,0), MATCH(F$124,'転倒'!$M$2:$AC$2,0))</f>
        <v>5</v>
      </c>
      <c r="G150" s="113">
        <f t="shared" ref="G150:G151" si="3">F150*1.2</f>
        <v>6</v>
      </c>
      <c r="H150" s="228"/>
      <c r="I150" s="228"/>
      <c r="J150" s="228"/>
      <c r="K150" s="118"/>
      <c r="L150" s="118"/>
      <c r="M150" s="118"/>
      <c r="N150" s="102"/>
      <c r="O150" s="102"/>
      <c r="P150" s="102"/>
      <c r="Q150" s="102"/>
      <c r="R150" s="118"/>
      <c r="S150" s="118"/>
      <c r="T150" s="118"/>
      <c r="U150" s="118"/>
      <c r="V150" s="118"/>
    </row>
    <row r="151" outlineLevel="1">
      <c r="A151" s="156"/>
      <c r="B151" s="311" t="s">
        <v>250</v>
      </c>
      <c r="C151" s="156"/>
      <c r="D151" s="156"/>
      <c r="E151" s="307" t="str">
        <f t="array" ref="E151">INDEX('転倒'!$Q$3:$R$115, MATCH($A$1,'転倒'!$A$3:$A$115,0), MATCH(E$124,'転倒'!$Q$2:$AC$2,0))</f>
        <v>31-32</v>
      </c>
      <c r="F151" s="308">
        <f t="array" ref="F151">INDEX('転倒'!$Q$3:$R$115, MATCH($A$1,'転倒'!$A$3:$A$115,0), MATCH(F$124,'転倒'!$Q$2:$AC$2,0))</f>
        <v>5</v>
      </c>
      <c r="G151" s="113">
        <f t="shared" si="3"/>
        <v>6</v>
      </c>
      <c r="H151" s="228"/>
      <c r="I151" s="228"/>
      <c r="J151" s="228"/>
      <c r="K151" s="118"/>
      <c r="L151" s="118"/>
      <c r="M151" s="118"/>
      <c r="N151" s="102"/>
      <c r="O151" s="102"/>
      <c r="P151" s="102"/>
      <c r="Q151" s="102"/>
      <c r="R151" s="118"/>
      <c r="S151" s="118"/>
      <c r="T151" s="118"/>
      <c r="U151" s="118"/>
      <c r="V151" s="118"/>
    </row>
    <row r="152" outlineLevel="1">
      <c r="A152" s="319"/>
      <c r="B152" s="320"/>
      <c r="C152" s="321"/>
      <c r="D152" s="321"/>
      <c r="E152" s="322"/>
      <c r="F152" s="322"/>
      <c r="G152" s="114"/>
      <c r="H152" s="228"/>
      <c r="I152" s="228"/>
      <c r="J152" s="228"/>
      <c r="K152" s="118"/>
      <c r="L152" s="118"/>
      <c r="M152" s="118"/>
      <c r="N152" s="102"/>
      <c r="O152" s="102"/>
      <c r="P152" s="102"/>
      <c r="Q152" s="102"/>
      <c r="R152" s="118"/>
      <c r="S152" s="118"/>
      <c r="T152" s="118"/>
      <c r="U152" s="118"/>
      <c r="V152" s="118"/>
    </row>
    <row r="153" outlineLevel="1">
      <c r="A153" s="323" t="s">
        <v>255</v>
      </c>
      <c r="B153" s="109"/>
      <c r="C153" s="321"/>
      <c r="D153" s="321"/>
      <c r="E153" s="322"/>
      <c r="F153" s="322"/>
      <c r="G153" s="114"/>
      <c r="H153" s="228"/>
      <c r="I153" s="228"/>
      <c r="J153" s="228"/>
      <c r="K153" s="118"/>
      <c r="L153" s="118"/>
      <c r="M153" s="118"/>
      <c r="N153" s="102"/>
      <c r="O153" s="102"/>
      <c r="P153" s="102"/>
      <c r="Q153" s="102"/>
      <c r="R153" s="118"/>
      <c r="S153" s="118"/>
      <c r="T153" s="118"/>
      <c r="U153" s="118"/>
      <c r="V153" s="118"/>
    </row>
    <row r="154" outlineLevel="1">
      <c r="A154" s="324" t="s">
        <v>256</v>
      </c>
      <c r="B154" s="109"/>
      <c r="C154" s="325" t="s">
        <v>257</v>
      </c>
      <c r="D154" s="325" t="s">
        <v>49</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258</v>
      </c>
      <c r="B155" s="327" t="s">
        <v>216</v>
      </c>
      <c r="C155" s="328" t="str">
        <f t="array" ref="C155">INDEX('アイテム'!$C$3:$D$114, MATCH($A$1,'アイテム'!$A$3:$A$114,0), MATCH(C154,'アイテム'!$C$2:$AQ$2,0))</f>
        <v>2</v>
      </c>
      <c r="D155" s="328">
        <f t="array" ref="D155">INDEX('アイテム'!$C$3:$D$114, MATCH($A$1,'アイテム'!$A$3:$A$114,0), MATCH(D154,'アイテム'!$C$2:$AQ$2,0))</f>
        <v>7</v>
      </c>
      <c r="E155" s="322"/>
      <c r="F155" s="322"/>
      <c r="G155" s="114"/>
      <c r="H155" s="228"/>
      <c r="I155" s="228"/>
      <c r="J155" s="228"/>
      <c r="K155" s="118"/>
      <c r="L155" s="118"/>
      <c r="M155" s="118"/>
      <c r="N155" s="102"/>
      <c r="O155" s="102"/>
      <c r="P155" s="102"/>
      <c r="Q155" s="102"/>
      <c r="R155" s="118"/>
      <c r="S155" s="118"/>
      <c r="T155" s="118"/>
      <c r="U155" s="118"/>
      <c r="V155" s="118"/>
    </row>
    <row r="156" outlineLevel="1">
      <c r="A156" s="156"/>
      <c r="B156" s="327" t="s">
        <v>219</v>
      </c>
      <c r="C156" s="328" t="str">
        <f t="array" ref="C156">INDEX('アイテム'!$E$3:$F$114, MATCH($A$1,'アイテム'!$A$3:$A$114,0), MATCH(C154,'アイテム'!$C$2:$AQ$2,0))</f>
        <v>2</v>
      </c>
      <c r="D156" s="328">
        <f t="array" ref="D156">INDEX('アイテム'!$E$3:$F$114, MATCH($A$1,'アイテム'!$A$3:$A$114,0), MATCH(D154,'アイテム'!$C$2:$AQ$2,0))</f>
        <v>19</v>
      </c>
      <c r="E156" s="322"/>
      <c r="F156" s="322"/>
      <c r="G156" s="114"/>
      <c r="H156" s="228"/>
      <c r="I156" s="228"/>
      <c r="J156" s="228"/>
      <c r="K156" s="118"/>
      <c r="L156" s="118"/>
      <c r="M156" s="118"/>
      <c r="N156" s="102"/>
      <c r="O156" s="102"/>
      <c r="P156" s="102"/>
      <c r="Q156" s="102"/>
      <c r="R156" s="118"/>
      <c r="S156" s="118"/>
      <c r="T156" s="118"/>
      <c r="U156" s="118"/>
      <c r="V156" s="118"/>
    </row>
    <row r="157" outlineLevel="1">
      <c r="A157" s="329" t="s">
        <v>259</v>
      </c>
      <c r="B157" s="327" t="s">
        <v>216</v>
      </c>
      <c r="C157" s="328">
        <f t="array" ref="C157">INDEX('アイテム'!$AA$3:$AB$114, MATCH($A$1,'アイテム'!$A$3:$A$114,0), MATCH(C154,'アイテム'!$C$2:$AQ$2,0))</f>
        <v>3</v>
      </c>
      <c r="D157" s="328" t="str">
        <f t="array" ref="D157">INDEX('アイテム'!$AA$3:$AB$114, MATCH($A$1,'アイテム'!$A$3:$A$114,0), MATCH(D154,'アイテム'!$C$2:$AQ$2,0))</f>
        <v>12</v>
      </c>
      <c r="E157" s="322"/>
      <c r="F157" s="322"/>
      <c r="G157" s="114"/>
      <c r="H157" s="228"/>
      <c r="I157" s="228"/>
      <c r="J157" s="228"/>
      <c r="K157" s="118"/>
      <c r="L157" s="118"/>
      <c r="M157" s="118"/>
      <c r="N157" s="102"/>
      <c r="O157" s="102"/>
      <c r="P157" s="102"/>
      <c r="Q157" s="102"/>
      <c r="R157" s="118"/>
      <c r="S157" s="118"/>
      <c r="T157" s="118"/>
      <c r="U157" s="118"/>
      <c r="V157" s="118"/>
    </row>
    <row r="158" outlineLevel="1">
      <c r="A158" s="324" t="s">
        <v>260</v>
      </c>
      <c r="B158" s="109"/>
      <c r="C158" s="325" t="s">
        <v>261</v>
      </c>
      <c r="D158" s="325" t="s">
        <v>49</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262</v>
      </c>
      <c r="B159" s="327" t="s">
        <v>226</v>
      </c>
      <c r="C159" s="328" t="str">
        <f t="array" ref="C159">INDEX('アイテム'!$G$3:$H$114, MATCH($A$1,'アイテム'!$A$3:$A$114,0), MATCH(C154,'アイテム'!$C$2:$AQ$2,0))</f>
        <v>8</v>
      </c>
      <c r="D159" s="328">
        <f t="array" ref="D159">INDEX('アイテム'!$G$3:$H$114, MATCH($A$1,'アイテム'!$A$3:$A$114,0), MATCH(D154,'アイテム'!$C$2:$AQ$2,0))</f>
        <v>24</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t="str">
        <f t="array" ref="C160">INDEX('アイテム'!$I$3:$J$114, MATCH($A$1,'アイテム'!$A$3:$A$114,0), MATCH(C154,'アイテム'!$C$2:$AQ$2,0))</f>
        <v>11</v>
      </c>
      <c r="D160" s="328">
        <f t="array" ref="D160">INDEX('アイテム'!$I$3:$J$114, MATCH($A$1,'アイテム'!$A$3:$A$114,0), MATCH(D154,'アイテム'!$C$2:$AQ$2,0))</f>
        <v>24</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t="str">
        <f t="array" ref="C161">INDEX('アイテム'!$K$3:$L$114, MATCH($A$1,'アイテム'!$A$3:$A$114,0), MATCH(C154,'アイテム'!$C$2:$AQ$2,0))</f>
        <v>12</v>
      </c>
      <c r="D161" s="328">
        <f t="array" ref="D161">INDEX('アイテム'!$K$3:$L$114, MATCH($A$1,'アイテム'!$A$3:$A$114,0), MATCH(D154,'アイテム'!$C$2:$AQ$2,0))</f>
        <v>23</v>
      </c>
      <c r="E161" s="322"/>
      <c r="F161" s="322"/>
      <c r="G161" s="114"/>
      <c r="H161" s="228"/>
      <c r="I161" s="228"/>
      <c r="J161" s="228"/>
      <c r="K161" s="118"/>
      <c r="L161" s="118"/>
      <c r="M161" s="118"/>
      <c r="N161" s="102"/>
      <c r="O161" s="102"/>
      <c r="P161" s="102"/>
      <c r="Q161" s="102"/>
      <c r="R161" s="118"/>
      <c r="S161" s="118"/>
      <c r="T161" s="118"/>
      <c r="U161" s="118"/>
      <c r="V161" s="118"/>
    </row>
    <row r="162" outlineLevel="1">
      <c r="A162" s="146"/>
      <c r="B162" s="327" t="s">
        <v>234</v>
      </c>
      <c r="C162" s="328" t="str">
        <f t="array" ref="C162">INDEX('アイテム'!$M$3:$N$114, MATCH($A$1,'アイテム'!$A$3:$A$114,0), MATCH(C154,'アイテム'!$C$2:$AQ$2,0))</f>
        <v>7</v>
      </c>
      <c r="D162" s="328">
        <f t="array" ref="D162">INDEX('アイテム'!$M$3:$N$114, MATCH($A$1,'アイテム'!$A$3:$A$114,0), MATCH(D154,'アイテム'!$C$2:$AQ$2,0))</f>
        <v>19</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219</v>
      </c>
      <c r="C163" s="328" t="str">
        <f t="array" ref="C163">INDEX('アイテム'!$O$3:$P$114, MATCH($A$1,'アイテム'!$A$3:$A$114,0), MATCH(C154,'アイテム'!$C$2:$AQ$2,0))</f>
        <v>5</v>
      </c>
      <c r="D163" s="328">
        <f t="array" ref="D163">INDEX('アイテム'!$O$3:$P$114, MATCH($A$1,'アイテム'!$A$3:$A$114,0), MATCH(D154,'アイテム'!$C$2:$AQ$2,0))</f>
        <v>29</v>
      </c>
      <c r="E163" s="322"/>
      <c r="F163" s="322"/>
      <c r="G163" s="114"/>
      <c r="H163" s="228"/>
      <c r="I163" s="228"/>
      <c r="J163" s="228"/>
      <c r="K163" s="118"/>
      <c r="L163" s="118"/>
      <c r="M163" s="118"/>
      <c r="N163" s="102"/>
      <c r="O163" s="102"/>
      <c r="P163" s="102"/>
      <c r="Q163" s="102"/>
      <c r="R163" s="118"/>
      <c r="S163" s="118"/>
      <c r="T163" s="118"/>
      <c r="U163" s="118"/>
      <c r="V163" s="118"/>
    </row>
    <row r="164" outlineLevel="1">
      <c r="A164" s="156"/>
      <c r="B164" s="327" t="s">
        <v>263</v>
      </c>
      <c r="C164" s="328" t="str">
        <f t="array" ref="C164">INDEX('アイテム'!$Q$3:$R$114, MATCH($A$1,'アイテム'!$A$3:$A$114,0), MATCH(C154,'アイテム'!$C$2:$AQ$2,0))</f>
        <v>6</v>
      </c>
      <c r="D164" s="328">
        <f t="array" ref="D164">INDEX('アイテム'!$Q$3:$R$114, MATCH($A$1,'アイテム'!$A$3:$A$114,0), MATCH(D154,'アイテム'!$C$2:$AQ$2,0))</f>
        <v>23</v>
      </c>
      <c r="E164" s="322"/>
      <c r="F164" s="322"/>
      <c r="G164" s="114"/>
      <c r="H164" s="228"/>
      <c r="I164" s="228"/>
      <c r="J164" s="228"/>
      <c r="K164" s="118"/>
      <c r="L164" s="118"/>
      <c r="M164" s="118"/>
      <c r="N164" s="102"/>
      <c r="O164" s="102"/>
      <c r="P164" s="102"/>
      <c r="Q164" s="102"/>
      <c r="R164" s="118"/>
      <c r="S164" s="118"/>
      <c r="T164" s="118"/>
      <c r="U164" s="118"/>
      <c r="V164" s="118"/>
    </row>
    <row r="165" outlineLevel="1">
      <c r="A165" s="326" t="s">
        <v>264</v>
      </c>
      <c r="B165" s="327" t="s">
        <v>226</v>
      </c>
      <c r="C165" s="328" t="str">
        <f t="array" ref="C165">INDEX('アイテム'!$S$3:$T$114, MATCH($A$1,'アイテム'!$A$3:$A$114,0), MATCH(C154,'アイテム'!$C$2:$AQ$2,0))</f>
        <v>8</v>
      </c>
      <c r="D165" s="328">
        <f t="array" ref="D165">INDEX('アイテム'!$S$3:$T$114, MATCH($A$1,'アイテム'!$A$3:$A$114,0), MATCH(D154,'アイテム'!$C$2:$AQ$2,0))</f>
        <v>24</v>
      </c>
      <c r="E165" s="322"/>
      <c r="F165" s="322"/>
      <c r="G165" s="114"/>
      <c r="H165" s="228"/>
      <c r="I165" s="228"/>
      <c r="J165" s="228"/>
      <c r="K165" s="118"/>
      <c r="L165" s="118"/>
      <c r="M165" s="118"/>
      <c r="N165" s="102"/>
      <c r="O165" s="102"/>
      <c r="P165" s="102"/>
      <c r="Q165" s="102"/>
      <c r="R165" s="118"/>
      <c r="S165" s="118"/>
      <c r="T165" s="118"/>
      <c r="U165" s="118"/>
      <c r="V165" s="118"/>
    </row>
    <row r="166" outlineLevel="1">
      <c r="A166" s="146"/>
      <c r="B166" s="327" t="s">
        <v>229</v>
      </c>
      <c r="C166" s="328" t="str">
        <f t="array" ref="C166">INDEX('アイテム'!$U$3:$V$114, MATCH($A$1,'アイテム'!$A$3:$A$114,0), MATCH(C154,'アイテム'!$C$2:$AQ$2,0))</f>
        <v>11</v>
      </c>
      <c r="D166" s="328">
        <f t="array" ref="D166">INDEX('アイテム'!$U$3:$V$114, MATCH($A$1,'アイテム'!$A$3:$A$114,0), MATCH(D154,'アイテム'!$C$2:$AQ$2,0))</f>
        <v>24</v>
      </c>
      <c r="E166" s="322"/>
      <c r="F166" s="322"/>
      <c r="G166" s="114"/>
      <c r="H166" s="228"/>
      <c r="I166" s="228"/>
      <c r="J166" s="228"/>
      <c r="K166" s="118"/>
      <c r="L166" s="118"/>
      <c r="M166" s="118"/>
      <c r="N166" s="102"/>
      <c r="O166" s="102"/>
      <c r="P166" s="102"/>
      <c r="Q166" s="102"/>
      <c r="R166" s="118"/>
      <c r="S166" s="118"/>
      <c r="T166" s="118"/>
      <c r="U166" s="118"/>
      <c r="V166" s="118"/>
    </row>
    <row r="167" outlineLevel="1">
      <c r="A167" s="146"/>
      <c r="B167" s="327" t="s">
        <v>233</v>
      </c>
      <c r="C167" s="328" t="str">
        <f t="array" ref="C167">INDEX('アイテム'!$W$3:$X$114, MATCH($A$1,'アイテム'!$A$3:$A$114,0), MATCH(C154,'アイテム'!$C$2:$AQ$2,0))</f>
        <v>12</v>
      </c>
      <c r="D167" s="328">
        <f t="array" ref="D167">INDEX('アイテム'!$W$3:$X$114, MATCH($A$1,'アイテム'!$A$3:$A$114,0), MATCH(D154,'アイテム'!$C$2:$AQ$2,0))</f>
        <v>23</v>
      </c>
      <c r="E167" s="322"/>
      <c r="F167" s="322"/>
      <c r="G167" s="114"/>
      <c r="H167" s="228"/>
      <c r="I167" s="228"/>
      <c r="J167" s="228"/>
      <c r="K167" s="118"/>
      <c r="L167" s="118"/>
      <c r="M167" s="118"/>
      <c r="N167" s="102"/>
      <c r="O167" s="102"/>
      <c r="P167" s="102"/>
      <c r="Q167" s="102"/>
      <c r="R167" s="118"/>
      <c r="S167" s="118"/>
      <c r="T167" s="118"/>
      <c r="U167" s="118"/>
      <c r="V167" s="118"/>
    </row>
    <row r="168" outlineLevel="1">
      <c r="A168" s="156"/>
      <c r="B168" s="327" t="s">
        <v>234</v>
      </c>
      <c r="C168" s="328" t="str">
        <f t="array" ref="C168">INDEX('アイテム'!$Y$3:$Z$114, MATCH($A$1,'アイテム'!$A$3:$A$114,0), MATCH(C154,'アイテム'!$C$2:$AQ$2,0))</f>
        <v>7</v>
      </c>
      <c r="D168" s="328">
        <f t="array" ref="D168">INDEX('アイテム'!$Y$3:$Z$114, MATCH($A$1,'アイテム'!$A$3:$A$114,0), MATCH(D154,'アイテム'!$C$2:$AQ$2,0))</f>
        <v>19</v>
      </c>
      <c r="E168" s="322"/>
      <c r="F168" s="322"/>
      <c r="G168" s="114"/>
      <c r="H168" s="228"/>
      <c r="I168" s="228"/>
      <c r="J168" s="228"/>
      <c r="K168" s="118"/>
      <c r="L168" s="118"/>
      <c r="M168" s="118"/>
      <c r="N168" s="102"/>
      <c r="O168" s="102"/>
      <c r="P168" s="102"/>
      <c r="Q168" s="102"/>
      <c r="R168" s="118"/>
      <c r="S168" s="118"/>
      <c r="T168" s="118"/>
      <c r="U168" s="118"/>
      <c r="V168" s="118"/>
    </row>
    <row r="169" outlineLevel="1">
      <c r="A169" s="326" t="s">
        <v>265</v>
      </c>
      <c r="B169" s="327" t="s">
        <v>226</v>
      </c>
      <c r="C169" s="328">
        <f t="array" ref="C169">INDEX('アイテム'!$AC$3:$AD$114, MATCH($A$1,'アイテム'!$A$3:$A$114,0), MATCH(C154,'アイテム'!$C$2:$AQ$2,0))</f>
        <v>14</v>
      </c>
      <c r="D169" s="328" t="str">
        <f t="array" ref="D169">INDEX('アイテム'!$AC$3:$AD$114, MATCH($A$1,'アイテム'!$A$3:$A$114,0), MATCH(D154,'アイテム'!$C$2:$AQ$2,0))</f>
        <v>30</v>
      </c>
      <c r="E169" s="322"/>
      <c r="F169" s="322"/>
      <c r="G169" s="114"/>
      <c r="H169" s="228"/>
      <c r="I169" s="228"/>
      <c r="J169" s="228"/>
      <c r="K169" s="118"/>
      <c r="L169" s="118"/>
      <c r="M169" s="118"/>
      <c r="N169" s="102"/>
      <c r="O169" s="102"/>
      <c r="P169" s="102"/>
      <c r="Q169" s="102"/>
      <c r="R169" s="118"/>
      <c r="S169" s="118"/>
      <c r="T169" s="118"/>
      <c r="U169" s="118"/>
      <c r="V169" s="118"/>
    </row>
    <row r="170" outlineLevel="1">
      <c r="A170" s="146"/>
      <c r="B170" s="327" t="s">
        <v>229</v>
      </c>
      <c r="C170" s="328">
        <f t="array" ref="C170">INDEX('アイテム'!$AE$3:$AF$114, MATCH($A$1,'アイテム'!$A$3:$A$114,0), MATCH(C154,'アイテム'!$C$2:$AQ$2,0))</f>
        <v>15</v>
      </c>
      <c r="D170" s="328" t="str">
        <f t="array" ref="D170">INDEX('アイテム'!$AE$3:$AF$114, MATCH($A$1,'アイテム'!$A$3:$A$114,0), MATCH(D154,'アイテム'!$C$2:$AQ$2,0))</f>
        <v>30</v>
      </c>
      <c r="E170" s="322"/>
      <c r="F170" s="322"/>
      <c r="G170" s="114"/>
      <c r="H170" s="228"/>
      <c r="I170" s="228"/>
      <c r="J170" s="228"/>
      <c r="K170" s="118"/>
      <c r="L170" s="118"/>
      <c r="M170" s="118"/>
      <c r="N170" s="102"/>
      <c r="O170" s="102"/>
      <c r="P170" s="102"/>
      <c r="Q170" s="102"/>
      <c r="R170" s="118"/>
      <c r="S170" s="118"/>
      <c r="T170" s="118"/>
      <c r="U170" s="118"/>
      <c r="V170" s="118"/>
    </row>
    <row r="171" outlineLevel="1">
      <c r="A171" s="146"/>
      <c r="B171" s="327" t="s">
        <v>233</v>
      </c>
      <c r="C171" s="328">
        <f t="array" ref="C171">INDEX('アイテム'!$AG$3:$AH$114, MATCH($A$1,'アイテム'!$A$3:$A$114,0), MATCH(C154,'アイテム'!$C$2:$AQ$2,0))</f>
        <v>11</v>
      </c>
      <c r="D171" s="328" t="str">
        <f t="array" ref="D171">INDEX('アイテム'!$AG$3:$AH$114, MATCH($A$1,'アイテム'!$A$3:$A$114,0), MATCH(D154,'アイテム'!$C$2:$AQ$2,0))</f>
        <v>22</v>
      </c>
      <c r="E171" s="322"/>
      <c r="F171" s="322"/>
      <c r="G171" s="114"/>
      <c r="H171" s="228"/>
      <c r="I171" s="228"/>
      <c r="J171" s="228"/>
      <c r="K171" s="118"/>
      <c r="L171" s="118"/>
      <c r="M171" s="118"/>
      <c r="N171" s="102"/>
      <c r="O171" s="102"/>
      <c r="P171" s="102"/>
      <c r="Q171" s="102"/>
      <c r="R171" s="118"/>
      <c r="S171" s="118"/>
      <c r="T171" s="118"/>
      <c r="U171" s="118"/>
      <c r="V171" s="118"/>
    </row>
    <row r="172" outlineLevel="1">
      <c r="A172" s="156"/>
      <c r="B172" s="327" t="s">
        <v>234</v>
      </c>
      <c r="C172" s="328">
        <f t="array" ref="C172">INDEX('アイテム'!$AI$3:$AJ$114, MATCH($A$1,'アイテム'!$A$3:$A$114,0), MATCH(C154,'アイテム'!$C$2:$AQ$2,0))</f>
        <v>9</v>
      </c>
      <c r="D172" s="328" t="str">
        <f t="array" ref="D172">INDEX('アイテム'!$AI$3:$AJ$114, MATCH($A$1,'アイテム'!$A$3:$A$114,0), MATCH(D154,'アイテム'!$C$2:$AQ$2,0))</f>
        <v>22</v>
      </c>
      <c r="E172" s="322"/>
      <c r="F172" s="322"/>
      <c r="G172" s="114"/>
      <c r="H172" s="228"/>
      <c r="I172" s="228"/>
      <c r="J172" s="228"/>
      <c r="K172" s="118"/>
      <c r="L172" s="118"/>
      <c r="M172" s="118"/>
      <c r="N172" s="102"/>
      <c r="O172" s="102"/>
      <c r="P172" s="102"/>
      <c r="Q172" s="102"/>
      <c r="R172" s="118"/>
      <c r="S172" s="118"/>
      <c r="T172" s="118"/>
      <c r="U172" s="118"/>
      <c r="V172" s="118"/>
    </row>
  </sheetData>
  <mergeCells count="144">
    <mergeCell ref="H44:J46"/>
    <mergeCell ref="H47:J48"/>
    <mergeCell ref="H49:J49"/>
    <mergeCell ref="H50:J51"/>
    <mergeCell ref="H52:J53"/>
    <mergeCell ref="H40:J40"/>
    <mergeCell ref="H41:J42"/>
    <mergeCell ref="U41:U42"/>
    <mergeCell ref="U44:U46"/>
    <mergeCell ref="U47:U48"/>
    <mergeCell ref="U50:U51"/>
    <mergeCell ref="U52:U53"/>
    <mergeCell ref="J65:J68"/>
    <mergeCell ref="H71:J71"/>
    <mergeCell ref="H72:J79"/>
    <mergeCell ref="D74:D76"/>
    <mergeCell ref="D77:D79"/>
    <mergeCell ref="D50:D51"/>
    <mergeCell ref="D52:D53"/>
    <mergeCell ref="D58:D59"/>
    <mergeCell ref="I58:I62"/>
    <mergeCell ref="J58:J62"/>
    <mergeCell ref="D65:D68"/>
    <mergeCell ref="I65:I68"/>
    <mergeCell ref="U72:U79"/>
    <mergeCell ref="U81:U85"/>
    <mergeCell ref="V81:V85"/>
    <mergeCell ref="U87:U90"/>
    <mergeCell ref="V87:V90"/>
    <mergeCell ref="U92:U97"/>
    <mergeCell ref="V92:V97"/>
    <mergeCell ref="R56:V56"/>
    <mergeCell ref="R57:V57"/>
    <mergeCell ref="R58:V62"/>
    <mergeCell ref="R63:V63"/>
    <mergeCell ref="R64:V64"/>
    <mergeCell ref="R65:V68"/>
    <mergeCell ref="V72:V79"/>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C24:D24"/>
    <mergeCell ref="A36:B37"/>
    <mergeCell ref="H37:J37"/>
    <mergeCell ref="A38:A40"/>
    <mergeCell ref="H38:J38"/>
    <mergeCell ref="H39:J39"/>
    <mergeCell ref="D41:D42"/>
    <mergeCell ref="H43:J43"/>
    <mergeCell ref="A41:A42"/>
    <mergeCell ref="A44:A46"/>
    <mergeCell ref="D44:D46"/>
    <mergeCell ref="A47:A48"/>
    <mergeCell ref="D47:D48"/>
    <mergeCell ref="A50:A51"/>
    <mergeCell ref="A55:B56"/>
    <mergeCell ref="A52:A53"/>
    <mergeCell ref="A58:A62"/>
    <mergeCell ref="A65:A68"/>
    <mergeCell ref="B67:B68"/>
    <mergeCell ref="A70:B70"/>
    <mergeCell ref="A71:B71"/>
    <mergeCell ref="D72:D73"/>
    <mergeCell ref="H86:J86"/>
    <mergeCell ref="H87:J87"/>
    <mergeCell ref="K134:K137"/>
    <mergeCell ref="K138:L138"/>
    <mergeCell ref="K140:K143"/>
    <mergeCell ref="K144:L144"/>
    <mergeCell ref="G108:J109"/>
    <mergeCell ref="G110:J111"/>
    <mergeCell ref="G112:J113"/>
    <mergeCell ref="K124:L124"/>
    <mergeCell ref="K125:K126"/>
    <mergeCell ref="K127:L127"/>
    <mergeCell ref="K128:K133"/>
    <mergeCell ref="A125:A129"/>
    <mergeCell ref="A130:A132"/>
    <mergeCell ref="A133:A138"/>
    <mergeCell ref="C137:C138"/>
    <mergeCell ref="D137:D138"/>
    <mergeCell ref="C143:C144"/>
    <mergeCell ref="D143:D144"/>
    <mergeCell ref="A139:A144"/>
    <mergeCell ref="A145:A151"/>
    <mergeCell ref="C150:C151"/>
    <mergeCell ref="D150:D151"/>
    <mergeCell ref="A153:B153"/>
    <mergeCell ref="A154:B154"/>
    <mergeCell ref="A158:B158"/>
    <mergeCell ref="A72:A73"/>
    <mergeCell ref="A74:A76"/>
    <mergeCell ref="A77:A79"/>
    <mergeCell ref="A80:B80"/>
    <mergeCell ref="H80:J80"/>
    <mergeCell ref="H81:J82"/>
    <mergeCell ref="H83:J85"/>
    <mergeCell ref="A81:A85"/>
    <mergeCell ref="A86:B86"/>
    <mergeCell ref="A88:A90"/>
    <mergeCell ref="D88:D90"/>
    <mergeCell ref="A91:B91"/>
    <mergeCell ref="D92:D94"/>
    <mergeCell ref="D95:D96"/>
    <mergeCell ref="H88:J90"/>
    <mergeCell ref="H91:J91"/>
    <mergeCell ref="H92:J94"/>
    <mergeCell ref="H95:J96"/>
    <mergeCell ref="H97:J97"/>
    <mergeCell ref="G105:J105"/>
    <mergeCell ref="G106:J107"/>
    <mergeCell ref="D110:D111"/>
    <mergeCell ref="D112:D113"/>
    <mergeCell ref="A92:A97"/>
    <mergeCell ref="A99:B100"/>
    <mergeCell ref="A102:A104"/>
    <mergeCell ref="A105:B105"/>
    <mergeCell ref="A106:A107"/>
    <mergeCell ref="D106:D107"/>
    <mergeCell ref="D108:D109"/>
    <mergeCell ref="A108:A109"/>
    <mergeCell ref="A110:A111"/>
    <mergeCell ref="A112:A113"/>
    <mergeCell ref="A115:B116"/>
    <mergeCell ref="A117:A119"/>
    <mergeCell ref="A120:A121"/>
    <mergeCell ref="A123:B124"/>
    <mergeCell ref="A155:A156"/>
    <mergeCell ref="A159:A164"/>
    <mergeCell ref="A165:A168"/>
    <mergeCell ref="A169:A172"/>
  </mergeCells>
  <conditionalFormatting sqref="K1:K148 L105:L113">
    <cfRule type="containsText" dxfId="0" priority="1" operator="containsText" text="361">
      <formula>NOT(ISERROR(SEARCH(("361"),(K1))))</formula>
    </cfRule>
  </conditionalFormatting>
  <conditionalFormatting sqref="O106:Q113">
    <cfRule type="cellIs" dxfId="2" priority="2" operator="equal">
      <formula>"敵のみ"</formula>
    </cfRule>
  </conditionalFormatting>
  <conditionalFormatting sqref="C106:D113">
    <cfRule type="cellIs" dxfId="3" priority="3" operator="equal">
      <formula>"-"</formula>
    </cfRule>
  </conditionalFormatting>
  <conditionalFormatting sqref="O1:O172 N105:N113 P105:P113 Q113 L147:L148">
    <cfRule type="cellIs" dxfId="4" priority="4" operator="greaterThan">
      <formula>0</formula>
    </cfRule>
  </conditionalFormatting>
  <conditionalFormatting sqref="P1:Q172 O105:O113 M147:M148">
    <cfRule type="cellIs" dxfId="5" priority="5" operator="lessThan">
      <formula>1</formula>
    </cfRule>
  </conditionalFormatting>
  <conditionalFormatting sqref="P1:Q172 O105:O113 M147:M148">
    <cfRule type="cellIs" dxfId="4" priority="6" operator="greaterThan">
      <formula>1</formula>
    </cfRule>
  </conditionalFormatting>
  <conditionalFormatting sqref="N37:N124 M105:M113 O105:O113">
    <cfRule type="cellIs" dxfId="6" priority="7" operator="greaterThan">
      <formula>0</formula>
    </cfRule>
  </conditionalFormatting>
  <conditionalFormatting sqref="K1:K172 L105:L113">
    <cfRule type="containsText" dxfId="6" priority="8" operator="containsText" text="363">
      <formula>NOT(ISERROR(SEARCH(("363"),(K1))))</formula>
    </cfRule>
  </conditionalFormatting>
  <conditionalFormatting sqref="K1:K172 L105:L113">
    <cfRule type="containsText" dxfId="6" priority="9" operator="containsText" text="365">
      <formula>NOT(ISERROR(SEARCH(("365"),(K1))))</formula>
    </cfRule>
  </conditionalFormatting>
  <conditionalFormatting sqref="K1:K172 L105:L113">
    <cfRule type="containsText" dxfId="6" priority="10" operator="containsText" text="366">
      <formula>NOT(ISERROR(SEARCH(("366"),(K1))))</formula>
    </cfRule>
  </conditionalFormatting>
  <conditionalFormatting sqref="K1:K172 L105:L113">
    <cfRule type="containsText" dxfId="6" priority="11" operator="containsText" text="367">
      <formula>NOT(ISERROR(SEARCH(("367"),(K1))))</formula>
    </cfRule>
  </conditionalFormatting>
  <conditionalFormatting sqref="N1:N15 N17:N172 M105:M113 O105:O113 K147:K148">
    <cfRule type="containsText" dxfId="6" priority="12" operator="containsText" text="/">
      <formula>NOT(ISERROR(SEARCH(("/"),(N1))))</formula>
    </cfRule>
  </conditionalFormatting>
  <drawing r:id="rId2"/>
  <legacyDrawing r:id="rId3"/>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96A69"/>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468">
        <v>79.0</v>
      </c>
      <c r="B1" s="3469"/>
      <c r="C1" s="3470" t="str">
        <f>IMAGE(VLOOKUP($A$1,Fighters!A2:AI114,12,FALSE),1)</f>
        <v>#REF!</v>
      </c>
      <c r="D1" s="3471"/>
      <c r="E1" s="3471"/>
      <c r="F1" s="3471"/>
      <c r="G1" s="3472"/>
      <c r="H1" s="3473"/>
      <c r="I1" s="3471"/>
      <c r="J1" s="3472"/>
      <c r="K1" s="3474"/>
      <c r="L1" s="3471"/>
      <c r="M1" s="3472"/>
      <c r="N1" s="3475"/>
      <c r="O1" s="3475"/>
      <c r="P1" s="3475"/>
      <c r="Q1" s="3475"/>
      <c r="R1" s="3476"/>
      <c r="S1" s="3476"/>
      <c r="T1" s="3476"/>
      <c r="U1" s="3476"/>
      <c r="V1" s="3476"/>
    </row>
    <row r="2">
      <c r="A2" s="3477" t="str">
        <f>VLOOKUP($A$1,Fighters!$A$2:$AI$101,6,FALSE)</f>
        <v>#b96a69</v>
      </c>
      <c r="B2" s="3469"/>
      <c r="C2" s="3478"/>
      <c r="G2" s="3479"/>
      <c r="H2" s="3480"/>
      <c r="I2" s="3481"/>
      <c r="J2" s="3482"/>
      <c r="K2" s="3480"/>
      <c r="L2" s="3481"/>
      <c r="M2" s="3482"/>
      <c r="N2" s="3475"/>
      <c r="O2" s="3475"/>
      <c r="P2" s="3475"/>
      <c r="Q2" s="3475"/>
      <c r="R2" s="3476"/>
      <c r="S2" s="3476"/>
      <c r="T2" s="3476"/>
      <c r="U2" s="3476"/>
      <c r="V2" s="3476"/>
    </row>
    <row r="3">
      <c r="A3" s="3477" t="str">
        <f>VLOOKUP($A$1,Fighters!$A$2:$AI$101,14,FALSE)</f>
        <v>79. ホムラ</v>
      </c>
      <c r="B3" s="3469"/>
      <c r="C3" s="3478"/>
      <c r="G3" s="3479"/>
      <c r="H3" s="3483"/>
      <c r="I3" s="3483"/>
      <c r="J3" s="3483"/>
      <c r="K3" s="3484"/>
      <c r="L3" s="3484"/>
      <c r="M3" s="3484"/>
      <c r="N3" s="3475"/>
      <c r="O3" s="3475"/>
      <c r="P3" s="3475"/>
      <c r="Q3" s="3475"/>
      <c r="R3" s="3485"/>
      <c r="S3" s="3476"/>
      <c r="T3" s="3476"/>
      <c r="U3" s="3476"/>
      <c r="V3" s="3476"/>
    </row>
    <row r="4">
      <c r="A4" s="3477" t="str">
        <f>VLOOKUP($A$1,Fighters!$A$2:$AI$101,13,FALSE)</f>
        <v>1</v>
      </c>
      <c r="B4" s="3469"/>
      <c r="C4" s="3478"/>
      <c r="G4" s="3479"/>
      <c r="H4" s="3486"/>
      <c r="I4" s="3486"/>
      <c r="J4" s="3483"/>
      <c r="K4" s="3484"/>
      <c r="L4" s="3484"/>
      <c r="M4" s="3484"/>
      <c r="N4" s="3475"/>
      <c r="O4" s="3475"/>
      <c r="P4" s="3475"/>
      <c r="Q4" s="3475"/>
      <c r="R4" s="3485"/>
      <c r="S4" s="3476"/>
      <c r="T4" s="3476"/>
      <c r="U4" s="3476"/>
      <c r="V4" s="3476"/>
    </row>
    <row r="5" ht="16.5" customHeight="1">
      <c r="A5" s="3487"/>
      <c r="B5" s="3469"/>
      <c r="C5" s="3478"/>
      <c r="G5" s="3479"/>
      <c r="H5" s="3488"/>
      <c r="I5" s="3488"/>
      <c r="J5" s="3489"/>
      <c r="K5" s="3490"/>
      <c r="L5" s="3491"/>
      <c r="M5" s="3491"/>
      <c r="N5" s="3475"/>
      <c r="O5" s="3475"/>
      <c r="P5" s="3475"/>
      <c r="Q5" s="3475"/>
      <c r="R5" s="3485"/>
      <c r="S5" s="3476"/>
      <c r="T5" s="3476"/>
      <c r="U5" s="3476"/>
      <c r="V5" s="3476"/>
    </row>
    <row r="6">
      <c r="A6" s="3469"/>
      <c r="B6" s="3469"/>
      <c r="C6" s="3478"/>
      <c r="G6" s="3479"/>
      <c r="H6" s="3486"/>
      <c r="I6" s="3492" t="s">
        <v>39</v>
      </c>
      <c r="J6" s="3490"/>
      <c r="K6" s="3493"/>
      <c r="L6" s="3491"/>
      <c r="M6" s="3491"/>
      <c r="N6" s="3475"/>
      <c r="O6" s="3475"/>
      <c r="P6" s="3475"/>
      <c r="Q6" s="3475"/>
      <c r="R6" s="3485"/>
      <c r="S6" s="3476"/>
      <c r="T6" s="3476"/>
      <c r="U6" s="3476"/>
      <c r="V6" s="3476"/>
    </row>
    <row r="7">
      <c r="A7" s="3469"/>
      <c r="B7" s="3469"/>
      <c r="C7" s="3478"/>
      <c r="G7" s="3479"/>
      <c r="H7" s="3488"/>
      <c r="I7" s="3488"/>
      <c r="J7" s="3490"/>
      <c r="K7" s="3493"/>
      <c r="L7" s="3491"/>
      <c r="M7" s="3491"/>
      <c r="N7" s="3475"/>
      <c r="O7" s="3475"/>
      <c r="P7" s="3475"/>
      <c r="Q7" s="3475"/>
      <c r="R7" s="3485"/>
      <c r="S7" s="3476"/>
      <c r="T7" s="3476"/>
      <c r="U7" s="3476"/>
      <c r="V7" s="3476"/>
    </row>
    <row r="8">
      <c r="A8" s="3469"/>
      <c r="B8" s="3469"/>
      <c r="C8" s="3478"/>
      <c r="G8" s="3479"/>
      <c r="H8" s="3494">
        <v>44535.31312568287</v>
      </c>
      <c r="I8" s="3471"/>
      <c r="J8" s="3472"/>
      <c r="K8" s="3490"/>
      <c r="L8" s="3491"/>
      <c r="M8" s="3491"/>
      <c r="N8" s="3475"/>
      <c r="O8" s="3475"/>
      <c r="P8" s="3475"/>
      <c r="Q8" s="3475"/>
      <c r="R8" s="3485"/>
      <c r="S8" s="3476"/>
      <c r="T8" s="3476"/>
      <c r="U8" s="3476"/>
      <c r="V8" s="3476"/>
    </row>
    <row r="9">
      <c r="A9" s="3469"/>
      <c r="B9" s="3469"/>
      <c r="C9" s="3478"/>
      <c r="G9" s="3479"/>
      <c r="H9" s="3480"/>
      <c r="I9" s="3481"/>
      <c r="J9" s="3482"/>
      <c r="K9" s="3476"/>
      <c r="L9" s="3475"/>
      <c r="M9" s="3475"/>
      <c r="N9" s="3475"/>
      <c r="O9" s="3475"/>
      <c r="P9" s="3475"/>
      <c r="Q9" s="3475"/>
      <c r="R9" s="3485"/>
      <c r="S9" s="3476"/>
      <c r="T9" s="3476"/>
      <c r="U9" s="3476"/>
      <c r="V9" s="3476"/>
    </row>
    <row r="10">
      <c r="A10" s="3495"/>
      <c r="B10" s="3469"/>
      <c r="C10" s="3478"/>
      <c r="G10" s="3479"/>
      <c r="H10" s="3496"/>
      <c r="I10" s="3496"/>
      <c r="J10" s="3476"/>
      <c r="K10" s="3476"/>
      <c r="L10" s="3475"/>
      <c r="M10" s="3475"/>
      <c r="N10" s="3475"/>
      <c r="O10" s="3475"/>
      <c r="P10" s="3475"/>
      <c r="Q10" s="3475"/>
      <c r="R10" s="3485"/>
      <c r="S10" s="3476"/>
      <c r="T10" s="3476"/>
      <c r="U10" s="3476"/>
      <c r="V10" s="3476"/>
    </row>
    <row r="11">
      <c r="A11" s="3497"/>
      <c r="B11" s="3469"/>
      <c r="C11" s="3478"/>
      <c r="G11" s="3479"/>
      <c r="H11" s="3488"/>
      <c r="I11" s="3488"/>
      <c r="J11" s="3476"/>
      <c r="K11" s="3476"/>
      <c r="L11" s="3475"/>
      <c r="M11" s="3475"/>
      <c r="N11" s="3475"/>
      <c r="O11" s="3475"/>
      <c r="P11" s="3475"/>
      <c r="Q11" s="3475"/>
      <c r="R11" s="3485"/>
      <c r="S11" s="3476"/>
      <c r="T11" s="3476"/>
      <c r="U11" s="3476"/>
      <c r="V11" s="3476"/>
    </row>
    <row r="12">
      <c r="A12" s="3488"/>
      <c r="B12" s="3469"/>
      <c r="C12" s="3480"/>
      <c r="D12" s="3481"/>
      <c r="E12" s="3481"/>
      <c r="F12" s="3481"/>
      <c r="G12" s="3482"/>
      <c r="H12" s="3498"/>
      <c r="I12" s="3498"/>
      <c r="J12" s="3469"/>
      <c r="K12" s="3469"/>
      <c r="L12" s="3475"/>
      <c r="M12" s="3475"/>
      <c r="N12" s="3475"/>
      <c r="O12" s="3475"/>
      <c r="P12" s="3475"/>
      <c r="Q12" s="3475"/>
      <c r="R12" s="3485"/>
      <c r="S12" s="3476"/>
      <c r="T12" s="3476"/>
      <c r="U12" s="3476"/>
      <c r="V12" s="347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INDEX('行動フレーム・能力値'!$C$2:$AD$101, MATCH($A$1,'行動フレーム・能力値'!$A$2:$A$101,0),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98 [33rd]</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39F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1.69 [80th]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INDEX('行動フレーム・能力値'!$C$2:$AD$101, MATCH($A$1,'行動フレーム・能力値'!$A$2:$A$101,0),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0.92 [66th]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47F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0.125 [68th]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26.3 [80th]</v>
      </c>
      <c r="O18" s="99"/>
      <c r="P18" s="99"/>
      <c r="Q18" s="99"/>
      <c r="R18" s="99"/>
      <c r="S18" s="111"/>
      <c r="T18" s="111"/>
      <c r="U18" s="111"/>
      <c r="V18" s="111"/>
    </row>
    <row r="19" outlineLevel="1">
      <c r="A19" s="112" t="s">
        <v>5288</v>
      </c>
      <c r="B19" s="113" t="b">
        <f t="array" ref="B19">INDEX('行動フレーム・能力値'!$C$2:$AD$101, MATCH($A$1,'行動フレーム・能力値'!$A$2:$A$101,0),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1.38 [84th]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26F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 [85th]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15.2 [57th]</v>
      </c>
      <c r="O19" s="99"/>
      <c r="P19" s="99"/>
      <c r="Q19" s="99"/>
      <c r="R19" s="99"/>
      <c r="S19" s="111"/>
      <c r="T19" s="111"/>
      <c r="U19" s="111"/>
      <c r="V19" s="111"/>
    </row>
    <row r="20" outlineLevel="1">
      <c r="A20" s="112" t="s">
        <v>5292</v>
      </c>
      <c r="B20" s="113" t="b">
        <f t="array" ref="B20">INDEX('行動フレーム・能力値'!$C$2:$AD$101, MATCH($A$1,'行動フレーム・能力値'!$A$2:$A$101,0),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1.1 [37th]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32F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0.065 [55th]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29 [67th]</v>
      </c>
      <c r="O20" s="99"/>
      <c r="P20" s="99"/>
      <c r="Q20" s="99"/>
      <c r="R20" s="99"/>
      <c r="S20" s="100"/>
      <c r="T20" s="100"/>
      <c r="U20" s="100"/>
      <c r="V20" s="100"/>
    </row>
    <row r="21" outlineLevel="1">
      <c r="A21" s="112" t="s">
        <v>587</v>
      </c>
      <c r="B21" s="113" t="b">
        <f t="array" ref="B21">INDEX('行動フレーム・能力値'!$C$2:$AD$101, MATCH($A$1,'行動フレーム・能力値'!$A$2:$A$101,0),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29F [89th]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1.62 [41st]</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0.009 [52nd]</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2.592 [41st]</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0.078 [71st]</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818</v>
      </c>
      <c r="D26" s="701" t="s">
        <v>3182</v>
      </c>
      <c r="E26" s="139" t="s">
        <v>204</v>
      </c>
      <c r="F26" s="138">
        <v>3.5999999999999996</v>
      </c>
      <c r="G26" s="139" t="s">
        <v>147</v>
      </c>
      <c r="H26" s="151" t="s">
        <v>6160</v>
      </c>
      <c r="I26" s="110"/>
      <c r="J26" s="109"/>
      <c r="K26" s="282"/>
      <c r="L26" s="282"/>
      <c r="M26" s="363"/>
      <c r="N26" s="363"/>
      <c r="O26" s="145">
        <v>0.0</v>
      </c>
      <c r="P26" s="145">
        <v>1.0</v>
      </c>
      <c r="Q26" s="145">
        <v>1.0</v>
      </c>
      <c r="R26" s="100"/>
      <c r="S26" s="100"/>
      <c r="T26" s="100"/>
      <c r="U26" s="1584"/>
      <c r="V26" s="100"/>
    </row>
    <row r="27" outlineLevel="1">
      <c r="A27" s="146"/>
      <c r="B27" s="147" t="s">
        <v>63</v>
      </c>
      <c r="C27" s="467" t="s">
        <v>267</v>
      </c>
      <c r="D27" s="467" t="s">
        <v>271</v>
      </c>
      <c r="E27" s="216" t="s">
        <v>176</v>
      </c>
      <c r="F27" s="138">
        <v>2.4</v>
      </c>
      <c r="G27" s="216" t="s">
        <v>60</v>
      </c>
      <c r="H27" s="151" t="s">
        <v>6161</v>
      </c>
      <c r="I27" s="110"/>
      <c r="J27" s="109"/>
      <c r="K27" s="282"/>
      <c r="L27" s="282"/>
      <c r="M27" s="363"/>
      <c r="N27" s="363"/>
      <c r="O27" s="145">
        <v>0.0</v>
      </c>
      <c r="P27" s="145">
        <v>1.0</v>
      </c>
      <c r="Q27" s="145">
        <v>1.0</v>
      </c>
      <c r="R27" s="100"/>
      <c r="S27" s="100"/>
      <c r="T27" s="100"/>
      <c r="U27" s="1584"/>
      <c r="V27" s="100"/>
    </row>
    <row r="28" outlineLevel="1">
      <c r="A28" s="146"/>
      <c r="B28" s="147" t="s">
        <v>70</v>
      </c>
      <c r="C28" s="467" t="s">
        <v>91</v>
      </c>
      <c r="D28" s="467" t="s">
        <v>193</v>
      </c>
      <c r="E28" s="216" t="s">
        <v>150</v>
      </c>
      <c r="F28" s="138">
        <v>6.0</v>
      </c>
      <c r="G28" s="216" t="s">
        <v>102</v>
      </c>
      <c r="H28" s="151"/>
      <c r="I28" s="110"/>
      <c r="J28" s="109"/>
      <c r="K28" s="282"/>
      <c r="L28" s="282"/>
      <c r="M28" s="363"/>
      <c r="N28" s="363"/>
      <c r="O28" s="145">
        <v>0.0</v>
      </c>
      <c r="P28" s="145">
        <v>1.0</v>
      </c>
      <c r="Q28" s="145">
        <v>1.0</v>
      </c>
      <c r="R28" s="100"/>
      <c r="S28" s="100"/>
      <c r="T28" s="100"/>
      <c r="U28" s="1584"/>
      <c r="V28" s="100"/>
    </row>
    <row r="29" outlineLevel="1">
      <c r="A29" s="146"/>
      <c r="B29" s="147" t="s">
        <v>703</v>
      </c>
      <c r="C29" s="659"/>
      <c r="D29" s="467" t="s">
        <v>93</v>
      </c>
      <c r="E29" s="659"/>
      <c r="F29" s="658"/>
      <c r="G29" s="659"/>
      <c r="H29" s="151"/>
      <c r="I29" s="110"/>
      <c r="J29" s="109"/>
      <c r="K29" s="261"/>
      <c r="L29" s="261"/>
      <c r="M29" s="261"/>
      <c r="N29" s="261"/>
      <c r="O29" s="261"/>
      <c r="P29" s="261"/>
      <c r="Q29" s="261"/>
      <c r="R29" s="100"/>
      <c r="S29" s="100"/>
      <c r="T29" s="100"/>
      <c r="U29" s="1584"/>
      <c r="V29" s="100"/>
    </row>
    <row r="30" outlineLevel="1">
      <c r="A30" s="146"/>
      <c r="B30" s="147" t="s">
        <v>704</v>
      </c>
      <c r="C30" s="467" t="s">
        <v>6162</v>
      </c>
      <c r="D30" s="467" t="s">
        <v>386</v>
      </c>
      <c r="E30" s="467" t="s">
        <v>201</v>
      </c>
      <c r="F30" s="138">
        <v>0.72</v>
      </c>
      <c r="G30" s="450" t="s">
        <v>75</v>
      </c>
      <c r="H30" s="151" t="s">
        <v>4575</v>
      </c>
      <c r="I30" s="110"/>
      <c r="J30" s="109"/>
      <c r="K30" s="282"/>
      <c r="L30" s="282"/>
      <c r="M30" s="363"/>
      <c r="N30" s="363"/>
      <c r="O30" s="145">
        <v>0.0</v>
      </c>
      <c r="P30" s="145">
        <v>1.0</v>
      </c>
      <c r="Q30" s="145">
        <v>1.0</v>
      </c>
      <c r="R30" s="100"/>
      <c r="S30" s="100"/>
      <c r="T30" s="100"/>
      <c r="U30" s="1584"/>
      <c r="V30" s="100"/>
    </row>
    <row r="31" outlineLevel="1">
      <c r="A31" s="156"/>
      <c r="B31" s="147" t="s">
        <v>708</v>
      </c>
      <c r="C31" s="467" t="s">
        <v>217</v>
      </c>
      <c r="D31" s="467" t="s">
        <v>79</v>
      </c>
      <c r="E31" s="467" t="s">
        <v>150</v>
      </c>
      <c r="F31" s="138">
        <v>6.0</v>
      </c>
      <c r="G31" s="467" t="s">
        <v>102</v>
      </c>
      <c r="H31" s="151" t="s">
        <v>411</v>
      </c>
      <c r="I31" s="110"/>
      <c r="J31" s="109"/>
      <c r="K31" s="282"/>
      <c r="L31" s="282"/>
      <c r="M31" s="363"/>
      <c r="N31" s="363"/>
      <c r="O31" s="145">
        <v>0.0</v>
      </c>
      <c r="P31" s="145">
        <v>1.0</v>
      </c>
      <c r="Q31" s="145">
        <v>1.0</v>
      </c>
      <c r="R31" s="100"/>
      <c r="S31" s="100"/>
      <c r="T31" s="100"/>
      <c r="U31" s="1584"/>
      <c r="V31" s="100"/>
    </row>
    <row r="32" outlineLevel="1">
      <c r="A32" s="170" t="s">
        <v>77</v>
      </c>
      <c r="B32" s="160"/>
      <c r="C32" s="467" t="s">
        <v>203</v>
      </c>
      <c r="D32" s="467" t="s">
        <v>634</v>
      </c>
      <c r="E32" s="467" t="s">
        <v>6163</v>
      </c>
      <c r="F32" s="138" t="s">
        <v>6164</v>
      </c>
      <c r="G32" s="450" t="s">
        <v>6165</v>
      </c>
      <c r="H32" s="151" t="s">
        <v>1433</v>
      </c>
      <c r="I32" s="110"/>
      <c r="J32" s="109"/>
      <c r="K32" s="282"/>
      <c r="L32" s="282"/>
      <c r="M32" s="363"/>
      <c r="N32" s="363"/>
      <c r="O32" s="145">
        <v>0.0</v>
      </c>
      <c r="P32" s="145">
        <v>1.0</v>
      </c>
      <c r="Q32" s="145">
        <v>1.0</v>
      </c>
      <c r="R32" s="100"/>
      <c r="S32" s="100"/>
      <c r="T32" s="100"/>
      <c r="U32" s="1584"/>
      <c r="V32" s="100"/>
    </row>
    <row r="33" outlineLevel="1">
      <c r="A33" s="170" t="s">
        <v>89</v>
      </c>
      <c r="B33" s="147"/>
      <c r="C33" s="467" t="s">
        <v>373</v>
      </c>
      <c r="D33" s="467" t="s">
        <v>79</v>
      </c>
      <c r="E33" s="467" t="s">
        <v>3348</v>
      </c>
      <c r="F33" s="138">
        <v>13.799999999999999</v>
      </c>
      <c r="G33" s="450" t="s">
        <v>1187</v>
      </c>
      <c r="H33" s="151" t="s">
        <v>1433</v>
      </c>
      <c r="I33" s="110"/>
      <c r="J33" s="109"/>
      <c r="K33" s="282"/>
      <c r="L33" s="282"/>
      <c r="M33" s="363"/>
      <c r="N33" s="363"/>
      <c r="O33" s="145">
        <v>0.0</v>
      </c>
      <c r="P33" s="145">
        <v>1.0</v>
      </c>
      <c r="Q33" s="145">
        <v>1.0</v>
      </c>
      <c r="R33" s="100"/>
      <c r="S33" s="100"/>
      <c r="T33" s="100"/>
      <c r="U33" s="1584"/>
      <c r="V33" s="100"/>
    </row>
    <row r="34" outlineLevel="1">
      <c r="A34" s="170" t="s">
        <v>97</v>
      </c>
      <c r="B34" s="160"/>
      <c r="C34" s="467" t="s">
        <v>1292</v>
      </c>
      <c r="D34" s="467" t="s">
        <v>118</v>
      </c>
      <c r="E34" s="467" t="s">
        <v>1858</v>
      </c>
      <c r="F34" s="138">
        <v>11.4</v>
      </c>
      <c r="G34" s="467" t="s">
        <v>275</v>
      </c>
      <c r="H34" s="151"/>
      <c r="I34" s="110"/>
      <c r="J34" s="109"/>
      <c r="K34" s="282"/>
      <c r="L34" s="282"/>
      <c r="M34" s="363"/>
      <c r="N34" s="363"/>
      <c r="O34" s="145">
        <v>0.0</v>
      </c>
      <c r="P34" s="145">
        <v>1.0</v>
      </c>
      <c r="Q34" s="145">
        <v>1.0</v>
      </c>
      <c r="R34" s="100"/>
      <c r="S34" s="100"/>
      <c r="T34" s="100"/>
      <c r="U34" s="1584"/>
      <c r="V34" s="100"/>
    </row>
    <row r="35" outlineLevel="1">
      <c r="A35" s="170" t="s">
        <v>103</v>
      </c>
      <c r="B35" s="160"/>
      <c r="C35" s="467" t="s">
        <v>835</v>
      </c>
      <c r="D35" s="467" t="s">
        <v>876</v>
      </c>
      <c r="E35" s="467" t="s">
        <v>5812</v>
      </c>
      <c r="F35" s="138" t="s">
        <v>5813</v>
      </c>
      <c r="G35" s="467" t="s">
        <v>6166</v>
      </c>
      <c r="H35" s="151"/>
      <c r="I35" s="110"/>
      <c r="J35" s="109"/>
      <c r="K35" s="145"/>
      <c r="L35" s="363"/>
      <c r="M35" s="363"/>
      <c r="N35" s="363"/>
      <c r="O35" s="145">
        <v>0.0</v>
      </c>
      <c r="P35" s="145">
        <v>1.0</v>
      </c>
      <c r="Q35" s="145">
        <v>1.0</v>
      </c>
      <c r="R35" s="100"/>
      <c r="S35" s="100"/>
      <c r="T35" s="100"/>
      <c r="U35" s="1584"/>
      <c r="V35" s="100"/>
    </row>
    <row r="36" outlineLevel="1">
      <c r="A36" s="170" t="s">
        <v>109</v>
      </c>
      <c r="B36" s="147"/>
      <c r="C36" s="467" t="s">
        <v>401</v>
      </c>
      <c r="D36" s="467" t="s">
        <v>208</v>
      </c>
      <c r="E36" s="467" t="s">
        <v>718</v>
      </c>
      <c r="F36" s="138">
        <v>24.0</v>
      </c>
      <c r="G36" s="467" t="s">
        <v>297</v>
      </c>
      <c r="H36" s="151" t="s">
        <v>1214</v>
      </c>
      <c r="I36" s="110"/>
      <c r="J36" s="109"/>
      <c r="K36" s="282"/>
      <c r="L36" s="282"/>
      <c r="M36" s="363"/>
      <c r="N36" s="363"/>
      <c r="O36" s="145">
        <v>0.0</v>
      </c>
      <c r="P36" s="145">
        <v>1.0</v>
      </c>
      <c r="Q36" s="145">
        <v>1.0</v>
      </c>
      <c r="R36" s="100"/>
      <c r="S36" s="100"/>
      <c r="T36" s="100"/>
      <c r="U36" s="1584"/>
      <c r="V36" s="100"/>
    </row>
    <row r="37" outlineLevel="1">
      <c r="A37" s="133" t="s">
        <v>116</v>
      </c>
      <c r="B37" s="147" t="s">
        <v>650</v>
      </c>
      <c r="C37" s="467" t="s">
        <v>561</v>
      </c>
      <c r="D37" s="455" t="s">
        <v>1577</v>
      </c>
      <c r="E37" s="467" t="s">
        <v>651</v>
      </c>
      <c r="F37" s="138">
        <v>4.2</v>
      </c>
      <c r="G37" s="467" t="s">
        <v>147</v>
      </c>
      <c r="H37" s="163" t="s">
        <v>560</v>
      </c>
      <c r="I37" s="164"/>
      <c r="J37" s="104"/>
      <c r="K37" s="363"/>
      <c r="L37" s="363"/>
      <c r="M37" s="363"/>
      <c r="N37" s="363"/>
      <c r="O37" s="145">
        <v>0.0</v>
      </c>
      <c r="P37" s="145">
        <v>1.0</v>
      </c>
      <c r="Q37" s="145">
        <v>1.0</v>
      </c>
      <c r="R37" s="100"/>
      <c r="S37" s="100"/>
      <c r="T37" s="100"/>
      <c r="U37" s="3301"/>
      <c r="V37" s="100"/>
    </row>
    <row r="38" outlineLevel="1">
      <c r="A38" s="146"/>
      <c r="B38" s="147" t="s">
        <v>6167</v>
      </c>
      <c r="C38" s="216" t="s">
        <v>1161</v>
      </c>
      <c r="D38" s="210"/>
      <c r="E38" s="467" t="s">
        <v>1217</v>
      </c>
      <c r="F38" s="138">
        <v>16.2</v>
      </c>
      <c r="G38" s="467" t="s">
        <v>275</v>
      </c>
      <c r="H38" s="212"/>
      <c r="J38" s="210"/>
      <c r="K38" s="363"/>
      <c r="L38" s="363"/>
      <c r="M38" s="363"/>
      <c r="N38" s="363"/>
      <c r="O38" s="145"/>
      <c r="P38" s="145"/>
      <c r="Q38" s="145"/>
      <c r="R38" s="100"/>
      <c r="S38" s="100"/>
      <c r="T38" s="100"/>
      <c r="U38" s="146"/>
      <c r="V38" s="100"/>
    </row>
    <row r="39" outlineLevel="1">
      <c r="A39" s="156"/>
      <c r="B39" s="147" t="s">
        <v>6168</v>
      </c>
      <c r="C39" s="216" t="s">
        <v>1162</v>
      </c>
      <c r="D39" s="107"/>
      <c r="E39" s="467" t="s">
        <v>129</v>
      </c>
      <c r="F39" s="138">
        <v>14.399999999999999</v>
      </c>
      <c r="G39" s="467" t="s">
        <v>123</v>
      </c>
      <c r="H39" s="106"/>
      <c r="I39" s="168"/>
      <c r="J39" s="107"/>
      <c r="K39" s="363"/>
      <c r="L39" s="363"/>
      <c r="M39" s="363"/>
      <c r="N39" s="363"/>
      <c r="O39" s="145">
        <v>0.0</v>
      </c>
      <c r="P39" s="145">
        <v>1.0</v>
      </c>
      <c r="Q39" s="145">
        <v>1.0</v>
      </c>
      <c r="R39" s="100"/>
      <c r="S39" s="100"/>
      <c r="T39" s="100"/>
      <c r="U39" s="156"/>
      <c r="V39" s="100"/>
    </row>
    <row r="40" outlineLevel="1">
      <c r="A40" s="133" t="s">
        <v>124</v>
      </c>
      <c r="B40" s="147" t="s">
        <v>125</v>
      </c>
      <c r="C40" s="216" t="s">
        <v>383</v>
      </c>
      <c r="D40" s="455" t="s">
        <v>600</v>
      </c>
      <c r="E40" s="467" t="s">
        <v>6169</v>
      </c>
      <c r="F40" s="138" t="s">
        <v>6170</v>
      </c>
      <c r="G40" s="467" t="s">
        <v>6171</v>
      </c>
      <c r="H40" s="163" t="s">
        <v>130</v>
      </c>
      <c r="I40" s="164"/>
      <c r="J40" s="104"/>
      <c r="K40" s="282"/>
      <c r="L40" s="282"/>
      <c r="M40" s="363"/>
      <c r="N40" s="363"/>
      <c r="O40" s="145">
        <v>0.0</v>
      </c>
      <c r="P40" s="145">
        <v>1.0</v>
      </c>
      <c r="Q40" s="145">
        <v>1.0</v>
      </c>
      <c r="R40" s="100"/>
      <c r="S40" s="100"/>
      <c r="T40" s="100"/>
      <c r="U40" s="3301"/>
      <c r="V40" s="100"/>
    </row>
    <row r="41" outlineLevel="1">
      <c r="A41" s="156"/>
      <c r="B41" s="147" t="s">
        <v>131</v>
      </c>
      <c r="C41" s="216" t="s">
        <v>312</v>
      </c>
      <c r="D41" s="107"/>
      <c r="E41" s="467" t="s">
        <v>6169</v>
      </c>
      <c r="F41" s="138" t="s">
        <v>6170</v>
      </c>
      <c r="G41" s="467" t="s">
        <v>6171</v>
      </c>
      <c r="H41" s="106"/>
      <c r="I41" s="168"/>
      <c r="J41" s="107"/>
      <c r="K41" s="282"/>
      <c r="L41" s="282"/>
      <c r="M41" s="363"/>
      <c r="N41" s="363"/>
      <c r="O41" s="145">
        <v>0.0</v>
      </c>
      <c r="P41" s="145">
        <v>1.0</v>
      </c>
      <c r="Q41" s="145">
        <v>1.0</v>
      </c>
      <c r="R41" s="100"/>
      <c r="S41" s="100"/>
      <c r="T41" s="100"/>
      <c r="U41" s="156"/>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
        <v>135</v>
      </c>
      <c r="J44" s="186" t="s">
        <v>136</v>
      </c>
      <c r="K44" s="184" t="s">
        <v>137</v>
      </c>
      <c r="L44" s="184" t="s">
        <v>138</v>
      </c>
      <c r="M44" s="184" t="s">
        <v>139</v>
      </c>
      <c r="N44" s="184" t="s">
        <v>140</v>
      </c>
      <c r="O44" s="186" t="s">
        <v>141</v>
      </c>
      <c r="P44" s="184" t="s">
        <v>142</v>
      </c>
      <c r="Q44" s="186" t="s">
        <v>143</v>
      </c>
      <c r="R44" s="372" t="s">
        <v>53</v>
      </c>
      <c r="S44" s="110"/>
      <c r="T44" s="110"/>
      <c r="U44" s="110"/>
      <c r="V44" s="109"/>
    </row>
    <row r="45" outlineLevel="1">
      <c r="A45" s="188" t="s">
        <v>144</v>
      </c>
      <c r="B45" s="373"/>
      <c r="C45" s="239" t="s">
        <v>1292</v>
      </c>
      <c r="D45" s="455" t="s">
        <v>402</v>
      </c>
      <c r="E45" s="3499" t="s">
        <v>128</v>
      </c>
      <c r="F45" s="3500">
        <v>12.0</v>
      </c>
      <c r="G45" s="3500">
        <v>10.2</v>
      </c>
      <c r="H45" s="138" t="s">
        <v>147</v>
      </c>
      <c r="I45" s="455" t="s">
        <v>386</v>
      </c>
      <c r="J45" s="455" t="s">
        <v>4907</v>
      </c>
      <c r="K45" s="138">
        <v>361.0</v>
      </c>
      <c r="L45" s="282"/>
      <c r="M45" s="363"/>
      <c r="N45" s="363"/>
      <c r="O45" s="145">
        <v>0.0</v>
      </c>
      <c r="P45" s="145">
        <v>1.0</v>
      </c>
      <c r="Q45" s="145">
        <v>1.0</v>
      </c>
      <c r="R45" s="163"/>
      <c r="S45" s="164"/>
      <c r="T45" s="164"/>
      <c r="U45" s="164"/>
      <c r="V45" s="104"/>
    </row>
    <row r="46" outlineLevel="1">
      <c r="A46" s="156"/>
      <c r="B46" s="373" t="s">
        <v>84</v>
      </c>
      <c r="C46" s="239" t="s">
        <v>1694</v>
      </c>
      <c r="D46" s="107"/>
      <c r="E46" s="215" t="s">
        <v>80</v>
      </c>
      <c r="F46" s="1672">
        <v>9.6</v>
      </c>
      <c r="G46" s="1672">
        <v>8.16</v>
      </c>
      <c r="H46" s="138" t="s">
        <v>147</v>
      </c>
      <c r="I46" s="107"/>
      <c r="J46" s="107"/>
      <c r="K46" s="138">
        <v>363.0</v>
      </c>
      <c r="L46" s="282"/>
      <c r="M46" s="363"/>
      <c r="N46" s="363"/>
      <c r="O46" s="145">
        <v>0.0</v>
      </c>
      <c r="P46" s="145">
        <v>1.0</v>
      </c>
      <c r="Q46" s="145">
        <v>1.0</v>
      </c>
      <c r="R46" s="106"/>
      <c r="S46" s="168"/>
      <c r="T46" s="168"/>
      <c r="U46" s="168"/>
      <c r="V46" s="107"/>
    </row>
    <row r="47" outlineLevel="1">
      <c r="A47" s="213" t="s">
        <v>151</v>
      </c>
      <c r="B47" s="373"/>
      <c r="C47" s="239" t="s">
        <v>580</v>
      </c>
      <c r="D47" s="467" t="s">
        <v>541</v>
      </c>
      <c r="E47" s="215" t="s">
        <v>129</v>
      </c>
      <c r="F47" s="1672">
        <v>14.399999999999999</v>
      </c>
      <c r="G47" s="1672">
        <v>12.24</v>
      </c>
      <c r="H47" s="138" t="s">
        <v>75</v>
      </c>
      <c r="I47" s="467" t="s">
        <v>119</v>
      </c>
      <c r="J47" s="467" t="s">
        <v>6172</v>
      </c>
      <c r="K47" s="138">
        <v>45.0</v>
      </c>
      <c r="L47" s="282"/>
      <c r="M47" s="363"/>
      <c r="N47" s="363"/>
      <c r="O47" s="145">
        <v>0.0</v>
      </c>
      <c r="P47" s="145">
        <v>1.0</v>
      </c>
      <c r="Q47" s="145">
        <v>1.0</v>
      </c>
      <c r="R47" s="151"/>
      <c r="S47" s="110"/>
      <c r="T47" s="110"/>
      <c r="U47" s="110"/>
      <c r="V47" s="109"/>
    </row>
    <row r="48" outlineLevel="1">
      <c r="A48" s="188" t="s">
        <v>157</v>
      </c>
      <c r="B48" s="373"/>
      <c r="C48" s="239" t="s">
        <v>454</v>
      </c>
      <c r="D48" s="455" t="s">
        <v>185</v>
      </c>
      <c r="E48" s="215" t="s">
        <v>119</v>
      </c>
      <c r="F48" s="1672">
        <v>16.8</v>
      </c>
      <c r="G48" s="1672">
        <v>14.280000000000001</v>
      </c>
      <c r="H48" s="138" t="s">
        <v>75</v>
      </c>
      <c r="I48" s="455" t="s">
        <v>119</v>
      </c>
      <c r="J48" s="455" t="s">
        <v>6173</v>
      </c>
      <c r="K48" s="138">
        <v>57.0</v>
      </c>
      <c r="L48" s="282"/>
      <c r="M48" s="363"/>
      <c r="N48" s="363"/>
      <c r="O48" s="145">
        <v>0.0</v>
      </c>
      <c r="P48" s="145">
        <v>1.0</v>
      </c>
      <c r="Q48" s="145">
        <v>1.0</v>
      </c>
      <c r="R48" s="163"/>
      <c r="S48" s="164"/>
      <c r="T48" s="164"/>
      <c r="U48" s="164"/>
      <c r="V48" s="104"/>
    </row>
    <row r="49" outlineLevel="1">
      <c r="A49" s="156"/>
      <c r="B49" s="373" t="s">
        <v>84</v>
      </c>
      <c r="C49" s="239" t="s">
        <v>466</v>
      </c>
      <c r="D49" s="107"/>
      <c r="E49" s="215" t="s">
        <v>129</v>
      </c>
      <c r="F49" s="1672">
        <v>14.399999999999999</v>
      </c>
      <c r="G49" s="1672">
        <v>12.24</v>
      </c>
      <c r="H49" s="138" t="s">
        <v>75</v>
      </c>
      <c r="I49" s="107"/>
      <c r="J49" s="107"/>
      <c r="K49" s="138">
        <v>241.0</v>
      </c>
      <c r="L49" s="282"/>
      <c r="M49" s="363"/>
      <c r="N49" s="363"/>
      <c r="O49" s="145">
        <v>0.0</v>
      </c>
      <c r="P49" s="145">
        <v>1.0</v>
      </c>
      <c r="Q49" s="145">
        <v>1.0</v>
      </c>
      <c r="R49" s="106"/>
      <c r="S49" s="168"/>
      <c r="T49" s="168"/>
      <c r="U49" s="168"/>
      <c r="V49" s="107"/>
    </row>
    <row r="50" outlineLevel="1">
      <c r="A50" s="213" t="s">
        <v>162</v>
      </c>
      <c r="B50" s="373"/>
      <c r="C50" s="239" t="s">
        <v>1734</v>
      </c>
      <c r="D50" s="467" t="s">
        <v>600</v>
      </c>
      <c r="E50" s="215" t="s">
        <v>128</v>
      </c>
      <c r="F50" s="1672">
        <v>12.0</v>
      </c>
      <c r="G50" s="1672">
        <v>10.2</v>
      </c>
      <c r="H50" s="138" t="s">
        <v>147</v>
      </c>
      <c r="I50" s="467" t="s">
        <v>80</v>
      </c>
      <c r="J50" s="467" t="s">
        <v>3063</v>
      </c>
      <c r="K50" s="282"/>
      <c r="L50" s="282"/>
      <c r="M50" s="363"/>
      <c r="N50" s="363"/>
      <c r="O50" s="145">
        <v>0.0</v>
      </c>
      <c r="P50" s="145">
        <v>1.0</v>
      </c>
      <c r="Q50" s="145">
        <v>1.0</v>
      </c>
      <c r="R50" s="151"/>
      <c r="S50" s="110"/>
      <c r="T50" s="110"/>
      <c r="U50" s="110"/>
      <c r="V50" s="109"/>
    </row>
    <row r="51" outlineLevel="1">
      <c r="A51" s="188" t="s">
        <v>166</v>
      </c>
      <c r="B51" s="373" t="s">
        <v>6174</v>
      </c>
      <c r="C51" s="239" t="s">
        <v>394</v>
      </c>
      <c r="D51" s="455" t="s">
        <v>901</v>
      </c>
      <c r="E51" s="215" t="s">
        <v>129</v>
      </c>
      <c r="F51" s="1672">
        <v>14.399999999999999</v>
      </c>
      <c r="G51" s="1672">
        <v>12.24</v>
      </c>
      <c r="H51" s="138" t="s">
        <v>75</v>
      </c>
      <c r="I51" s="455" t="s">
        <v>119</v>
      </c>
      <c r="J51" s="455" t="s">
        <v>2282</v>
      </c>
      <c r="K51" s="282"/>
      <c r="L51" s="282"/>
      <c r="M51" s="363"/>
      <c r="N51" s="363"/>
      <c r="O51" s="145"/>
      <c r="P51" s="145"/>
      <c r="Q51" s="145"/>
      <c r="R51" s="163"/>
      <c r="S51" s="164"/>
      <c r="T51" s="164"/>
      <c r="U51" s="164"/>
      <c r="V51" s="104"/>
    </row>
    <row r="52" outlineLevel="1">
      <c r="A52" s="146"/>
      <c r="B52" s="373" t="s">
        <v>6175</v>
      </c>
      <c r="C52" s="239" t="s">
        <v>466</v>
      </c>
      <c r="D52" s="210"/>
      <c r="E52" s="215" t="s">
        <v>119</v>
      </c>
      <c r="F52" s="1672">
        <v>16.8</v>
      </c>
      <c r="G52" s="1672">
        <v>14.280000000000001</v>
      </c>
      <c r="H52" s="138" t="s">
        <v>75</v>
      </c>
      <c r="I52" s="210"/>
      <c r="J52" s="210"/>
      <c r="K52" s="282"/>
      <c r="L52" s="282"/>
      <c r="M52" s="363"/>
      <c r="N52" s="363"/>
      <c r="O52" s="145"/>
      <c r="P52" s="145"/>
      <c r="Q52" s="145"/>
      <c r="R52" s="212"/>
      <c r="V52" s="210"/>
    </row>
    <row r="53" outlineLevel="1">
      <c r="A53" s="156"/>
      <c r="B53" s="373" t="s">
        <v>84</v>
      </c>
      <c r="C53" s="239" t="s">
        <v>334</v>
      </c>
      <c r="D53" s="107"/>
      <c r="E53" s="215" t="s">
        <v>129</v>
      </c>
      <c r="F53" s="1672">
        <v>14.399999999999999</v>
      </c>
      <c r="G53" s="1672">
        <v>12.24</v>
      </c>
      <c r="H53" s="138" t="s">
        <v>75</v>
      </c>
      <c r="I53" s="107"/>
      <c r="J53" s="107"/>
      <c r="K53" s="282"/>
      <c r="L53" s="282"/>
      <c r="M53" s="363"/>
      <c r="N53" s="363"/>
      <c r="O53" s="145">
        <v>0.0</v>
      </c>
      <c r="P53" s="145">
        <v>1.0</v>
      </c>
      <c r="Q53" s="145">
        <v>1.0</v>
      </c>
      <c r="R53" s="106"/>
      <c r="S53" s="168"/>
      <c r="T53" s="168"/>
      <c r="U53" s="168"/>
      <c r="V53" s="107"/>
    </row>
    <row r="54">
      <c r="A54" s="223"/>
      <c r="B54" s="224"/>
      <c r="C54" s="225"/>
      <c r="D54" s="225"/>
      <c r="E54" s="226"/>
      <c r="F54" s="226"/>
      <c r="G54" s="226"/>
      <c r="H54" s="227"/>
      <c r="I54" s="227"/>
      <c r="J54" s="228"/>
      <c r="K54" s="228"/>
      <c r="L54" s="228"/>
      <c r="M54" s="228"/>
      <c r="N54" s="228"/>
      <c r="O54" s="228"/>
      <c r="P54" s="228"/>
      <c r="Q54" s="118"/>
      <c r="R54" s="118"/>
      <c r="S54" s="118"/>
      <c r="T54" s="118"/>
      <c r="U54" s="118"/>
      <c r="V54" s="118"/>
    </row>
    <row r="55">
      <c r="A55" s="229" t="s">
        <v>177</v>
      </c>
      <c r="B55" s="109"/>
      <c r="C55" s="225"/>
      <c r="D55" s="225"/>
      <c r="E55" s="226"/>
      <c r="F55" s="226"/>
      <c r="G55" s="226"/>
      <c r="H55" s="227"/>
      <c r="I55" s="227"/>
      <c r="J55" s="228"/>
      <c r="K55" s="228"/>
      <c r="L55" s="228"/>
      <c r="M55" s="228"/>
      <c r="N55" s="228"/>
      <c r="O55" s="228"/>
      <c r="P55" s="228"/>
      <c r="Q55" s="118"/>
      <c r="R55" s="118"/>
      <c r="S55" s="118"/>
      <c r="T55" s="118"/>
      <c r="U55" s="118"/>
      <c r="V55" s="118"/>
    </row>
    <row r="56" outlineLevel="1">
      <c r="A56" s="230" t="s">
        <v>6176</v>
      </c>
      <c r="B56" s="109"/>
      <c r="C56" s="231" t="s">
        <v>48</v>
      </c>
      <c r="D56" s="231" t="s">
        <v>49</v>
      </c>
      <c r="E56" s="232" t="s">
        <v>50</v>
      </c>
      <c r="F56" s="233" t="s">
        <v>51</v>
      </c>
      <c r="G56" s="232" t="s">
        <v>52</v>
      </c>
      <c r="H56" s="382" t="s">
        <v>53</v>
      </c>
      <c r="I56" s="110"/>
      <c r="J56" s="109"/>
      <c r="K56" s="235" t="s">
        <v>137</v>
      </c>
      <c r="L56" s="235" t="s">
        <v>138</v>
      </c>
      <c r="M56" s="235" t="s">
        <v>139</v>
      </c>
      <c r="N56" s="235" t="s">
        <v>140</v>
      </c>
      <c r="O56" s="236" t="s">
        <v>141</v>
      </c>
      <c r="P56" s="235" t="s">
        <v>142</v>
      </c>
      <c r="Q56" s="236" t="s">
        <v>143</v>
      </c>
      <c r="R56" s="235" t="s">
        <v>179</v>
      </c>
      <c r="S56" s="236" t="s">
        <v>180</v>
      </c>
      <c r="T56" s="236" t="s">
        <v>181</v>
      </c>
      <c r="U56" s="236" t="s">
        <v>182</v>
      </c>
      <c r="V56" s="3198" t="s">
        <v>183</v>
      </c>
    </row>
    <row r="57" outlineLevel="1">
      <c r="A57" s="259" t="s">
        <v>6177</v>
      </c>
      <c r="B57" s="243"/>
      <c r="C57" s="281"/>
      <c r="D57" s="113" t="s">
        <v>274</v>
      </c>
      <c r="E57" s="281"/>
      <c r="F57" s="281"/>
      <c r="G57" s="281"/>
      <c r="H57" s="163" t="s">
        <v>6178</v>
      </c>
      <c r="I57" s="164"/>
      <c r="J57" s="104"/>
      <c r="K57" s="282"/>
      <c r="L57" s="282"/>
      <c r="M57" s="363"/>
      <c r="N57" s="363"/>
      <c r="O57" s="145"/>
      <c r="P57" s="145"/>
      <c r="Q57" s="145"/>
      <c r="R57" s="145" t="b">
        <v>0</v>
      </c>
      <c r="S57" s="145" t="b">
        <v>0</v>
      </c>
      <c r="T57" s="145" t="b">
        <v>0</v>
      </c>
      <c r="U57" s="166" t="b">
        <v>1</v>
      </c>
      <c r="V57" s="166" t="b">
        <v>0</v>
      </c>
    </row>
    <row r="58" outlineLevel="1">
      <c r="A58" s="237" t="s">
        <v>6179</v>
      </c>
      <c r="B58" s="243" t="s">
        <v>6180</v>
      </c>
      <c r="C58" s="239" t="s">
        <v>6181</v>
      </c>
      <c r="D58" s="279" t="s">
        <v>6182</v>
      </c>
      <c r="E58" s="239" t="s">
        <v>204</v>
      </c>
      <c r="F58" s="138">
        <v>3.5999999999999996</v>
      </c>
      <c r="G58" s="239" t="s">
        <v>147</v>
      </c>
      <c r="H58" s="212"/>
      <c r="J58" s="210"/>
      <c r="K58" s="282"/>
      <c r="L58" s="282"/>
      <c r="M58" s="363"/>
      <c r="N58" s="363"/>
      <c r="O58" s="145">
        <v>0.0</v>
      </c>
      <c r="P58" s="145">
        <v>1.0</v>
      </c>
      <c r="Q58" s="145">
        <v>1.0</v>
      </c>
      <c r="R58" s="145" t="b">
        <v>1</v>
      </c>
      <c r="S58" s="145" t="b">
        <v>1</v>
      </c>
      <c r="T58" s="145"/>
      <c r="U58" s="146"/>
      <c r="V58" s="146"/>
    </row>
    <row r="59" outlineLevel="1">
      <c r="A59" s="146"/>
      <c r="B59" s="243" t="s">
        <v>6183</v>
      </c>
      <c r="C59" s="239" t="s">
        <v>382</v>
      </c>
      <c r="D59" s="146"/>
      <c r="E59" s="239" t="s">
        <v>204</v>
      </c>
      <c r="F59" s="138">
        <v>3.5999999999999996</v>
      </c>
      <c r="G59" s="239" t="s">
        <v>147</v>
      </c>
      <c r="H59" s="212"/>
      <c r="J59" s="210"/>
      <c r="K59" s="282"/>
      <c r="L59" s="282"/>
      <c r="M59" s="363"/>
      <c r="N59" s="363"/>
      <c r="O59" s="145"/>
      <c r="P59" s="145"/>
      <c r="Q59" s="145"/>
      <c r="R59" s="145" t="b">
        <v>0</v>
      </c>
      <c r="S59" s="145" t="b">
        <v>0</v>
      </c>
      <c r="T59" s="145" t="b">
        <v>0</v>
      </c>
      <c r="U59" s="146"/>
      <c r="V59" s="146"/>
    </row>
    <row r="60" outlineLevel="1">
      <c r="A60" s="146"/>
      <c r="B60" s="243" t="s">
        <v>6184</v>
      </c>
      <c r="C60" s="239" t="s">
        <v>1137</v>
      </c>
      <c r="D60" s="146"/>
      <c r="E60" s="239" t="s">
        <v>204</v>
      </c>
      <c r="F60" s="138">
        <v>3.5999999999999996</v>
      </c>
      <c r="G60" s="239" t="s">
        <v>147</v>
      </c>
      <c r="H60" s="212"/>
      <c r="J60" s="210"/>
      <c r="K60" s="282"/>
      <c r="L60" s="282"/>
      <c r="M60" s="363"/>
      <c r="N60" s="363"/>
      <c r="O60" s="145"/>
      <c r="P60" s="145"/>
      <c r="Q60" s="145"/>
      <c r="R60" s="145" t="b">
        <v>0</v>
      </c>
      <c r="S60" s="145" t="b">
        <v>0</v>
      </c>
      <c r="T60" s="145" t="b">
        <v>0</v>
      </c>
      <c r="U60" s="146"/>
      <c r="V60" s="146"/>
    </row>
    <row r="61" outlineLevel="1">
      <c r="A61" s="156"/>
      <c r="B61" s="243" t="s">
        <v>6185</v>
      </c>
      <c r="C61" s="239" t="s">
        <v>5677</v>
      </c>
      <c r="D61" s="156"/>
      <c r="E61" s="239" t="s">
        <v>93</v>
      </c>
      <c r="F61" s="138">
        <v>8.4</v>
      </c>
      <c r="G61" s="239" t="s">
        <v>95</v>
      </c>
      <c r="H61" s="212"/>
      <c r="J61" s="210"/>
      <c r="K61" s="282"/>
      <c r="L61" s="282"/>
      <c r="M61" s="363"/>
      <c r="N61" s="363"/>
      <c r="O61" s="145"/>
      <c r="P61" s="145"/>
      <c r="Q61" s="145"/>
      <c r="R61" s="145" t="b">
        <v>0</v>
      </c>
      <c r="S61" s="145" t="b">
        <v>0</v>
      </c>
      <c r="T61" s="145" t="b">
        <v>0</v>
      </c>
      <c r="U61" s="146"/>
      <c r="V61" s="146"/>
    </row>
    <row r="62" outlineLevel="1">
      <c r="A62" s="237" t="s">
        <v>6186</v>
      </c>
      <c r="B62" s="243" t="s">
        <v>6180</v>
      </c>
      <c r="C62" s="239" t="s">
        <v>6187</v>
      </c>
      <c r="D62" s="279" t="s">
        <v>6188</v>
      </c>
      <c r="E62" s="239" t="s">
        <v>73</v>
      </c>
      <c r="F62" s="138">
        <v>4.8</v>
      </c>
      <c r="G62" s="239" t="s">
        <v>75</v>
      </c>
      <c r="H62" s="212"/>
      <c r="J62" s="210"/>
      <c r="K62" s="282"/>
      <c r="L62" s="282"/>
      <c r="M62" s="363"/>
      <c r="N62" s="363"/>
      <c r="O62" s="145"/>
      <c r="P62" s="145"/>
      <c r="Q62" s="145"/>
      <c r="R62" s="145" t="b">
        <v>0</v>
      </c>
      <c r="S62" s="145" t="b">
        <v>0</v>
      </c>
      <c r="T62" s="145" t="b">
        <v>0</v>
      </c>
      <c r="U62" s="146"/>
      <c r="V62" s="146"/>
    </row>
    <row r="63" outlineLevel="1">
      <c r="A63" s="146"/>
      <c r="B63" s="243" t="s">
        <v>6183</v>
      </c>
      <c r="C63" s="239" t="s">
        <v>325</v>
      </c>
      <c r="D63" s="146"/>
      <c r="E63" s="239" t="s">
        <v>73</v>
      </c>
      <c r="F63" s="138">
        <v>4.8</v>
      </c>
      <c r="G63" s="239" t="s">
        <v>75</v>
      </c>
      <c r="H63" s="212"/>
      <c r="J63" s="210"/>
      <c r="K63" s="282"/>
      <c r="L63" s="282"/>
      <c r="M63" s="363"/>
      <c r="N63" s="363"/>
      <c r="O63" s="145"/>
      <c r="P63" s="145"/>
      <c r="Q63" s="145"/>
      <c r="R63" s="145" t="b">
        <v>0</v>
      </c>
      <c r="S63" s="145" t="b">
        <v>0</v>
      </c>
      <c r="T63" s="145" t="b">
        <v>0</v>
      </c>
      <c r="U63" s="146"/>
      <c r="V63" s="146"/>
    </row>
    <row r="64" outlineLevel="1">
      <c r="A64" s="146"/>
      <c r="B64" s="243" t="s">
        <v>6184</v>
      </c>
      <c r="C64" s="239" t="s">
        <v>2159</v>
      </c>
      <c r="D64" s="146"/>
      <c r="E64" s="239" t="s">
        <v>73</v>
      </c>
      <c r="F64" s="138">
        <v>4.8</v>
      </c>
      <c r="G64" s="239" t="s">
        <v>75</v>
      </c>
      <c r="H64" s="212"/>
      <c r="J64" s="210"/>
      <c r="K64" s="282"/>
      <c r="L64" s="282"/>
      <c r="M64" s="363"/>
      <c r="N64" s="363"/>
      <c r="O64" s="145"/>
      <c r="P64" s="145"/>
      <c r="Q64" s="145"/>
      <c r="R64" s="145" t="b">
        <v>0</v>
      </c>
      <c r="S64" s="145" t="b">
        <v>0</v>
      </c>
      <c r="T64" s="145" t="b">
        <v>0</v>
      </c>
      <c r="U64" s="146"/>
      <c r="V64" s="146"/>
    </row>
    <row r="65" outlineLevel="1">
      <c r="A65" s="146"/>
      <c r="B65" s="3501" t="s">
        <v>6189</v>
      </c>
      <c r="C65" s="239" t="s">
        <v>739</v>
      </c>
      <c r="D65" s="146"/>
      <c r="E65" s="239" t="s">
        <v>73</v>
      </c>
      <c r="F65" s="138">
        <v>4.8</v>
      </c>
      <c r="G65" s="239" t="s">
        <v>75</v>
      </c>
      <c r="H65" s="212"/>
      <c r="J65" s="210"/>
      <c r="K65" s="282"/>
      <c r="L65" s="282"/>
      <c r="M65" s="363"/>
      <c r="N65" s="363"/>
      <c r="O65" s="145"/>
      <c r="P65" s="145"/>
      <c r="Q65" s="145"/>
      <c r="R65" s="145" t="b">
        <v>0</v>
      </c>
      <c r="S65" s="145" t="b">
        <v>0</v>
      </c>
      <c r="T65" s="145" t="b">
        <v>0</v>
      </c>
      <c r="U65" s="146"/>
      <c r="V65" s="146"/>
    </row>
    <row r="66" outlineLevel="1">
      <c r="A66" s="146"/>
      <c r="B66" s="243" t="s">
        <v>6190</v>
      </c>
      <c r="C66" s="239" t="s">
        <v>574</v>
      </c>
      <c r="D66" s="146"/>
      <c r="E66" s="239" t="s">
        <v>73</v>
      </c>
      <c r="F66" s="138">
        <v>4.8</v>
      </c>
      <c r="G66" s="239" t="s">
        <v>75</v>
      </c>
      <c r="H66" s="212"/>
      <c r="J66" s="210"/>
      <c r="K66" s="282"/>
      <c r="L66" s="282"/>
      <c r="M66" s="363"/>
      <c r="N66" s="363"/>
      <c r="O66" s="145"/>
      <c r="P66" s="145"/>
      <c r="Q66" s="145"/>
      <c r="R66" s="145" t="b">
        <v>0</v>
      </c>
      <c r="S66" s="145" t="b">
        <v>0</v>
      </c>
      <c r="T66" s="145" t="b">
        <v>0</v>
      </c>
      <c r="U66" s="146"/>
      <c r="V66" s="146"/>
    </row>
    <row r="67" outlineLevel="1">
      <c r="A67" s="156"/>
      <c r="B67" s="243" t="s">
        <v>6191</v>
      </c>
      <c r="C67" s="239" t="s">
        <v>6192</v>
      </c>
      <c r="D67" s="146"/>
      <c r="E67" s="239" t="s">
        <v>128</v>
      </c>
      <c r="F67" s="138">
        <v>12.0</v>
      </c>
      <c r="G67" s="239" t="s">
        <v>121</v>
      </c>
      <c r="H67" s="212"/>
      <c r="J67" s="210"/>
      <c r="K67" s="282"/>
      <c r="L67" s="282"/>
      <c r="M67" s="363"/>
      <c r="N67" s="363"/>
      <c r="O67" s="145"/>
      <c r="P67" s="145"/>
      <c r="Q67" s="145"/>
      <c r="R67" s="145" t="b">
        <v>0</v>
      </c>
      <c r="S67" s="145" t="b">
        <v>0</v>
      </c>
      <c r="T67" s="145" t="b">
        <v>0</v>
      </c>
      <c r="U67" s="146"/>
      <c r="V67" s="146"/>
    </row>
    <row r="68" outlineLevel="1">
      <c r="A68" s="237" t="s">
        <v>6193</v>
      </c>
      <c r="B68" s="243" t="s">
        <v>6180</v>
      </c>
      <c r="C68" s="239" t="s">
        <v>6194</v>
      </c>
      <c r="D68" s="279" t="s">
        <v>6195</v>
      </c>
      <c r="E68" s="239" t="s">
        <v>150</v>
      </c>
      <c r="F68" s="138">
        <v>6.0</v>
      </c>
      <c r="G68" s="239" t="s">
        <v>102</v>
      </c>
      <c r="H68" s="212"/>
      <c r="J68" s="210"/>
      <c r="K68" s="282"/>
      <c r="L68" s="282"/>
      <c r="M68" s="363"/>
      <c r="N68" s="363"/>
      <c r="O68" s="145"/>
      <c r="P68" s="145"/>
      <c r="Q68" s="145"/>
      <c r="R68" s="145" t="b">
        <v>0</v>
      </c>
      <c r="S68" s="145" t="b">
        <v>0</v>
      </c>
      <c r="T68" s="145" t="b">
        <v>0</v>
      </c>
      <c r="U68" s="146"/>
      <c r="V68" s="146"/>
    </row>
    <row r="69" outlineLevel="1">
      <c r="A69" s="146"/>
      <c r="B69" s="243" t="s">
        <v>6183</v>
      </c>
      <c r="C69" s="239" t="s">
        <v>721</v>
      </c>
      <c r="D69" s="146"/>
      <c r="E69" s="239" t="s">
        <v>150</v>
      </c>
      <c r="F69" s="138">
        <v>6.0</v>
      </c>
      <c r="G69" s="239" t="s">
        <v>102</v>
      </c>
      <c r="H69" s="212"/>
      <c r="J69" s="210"/>
      <c r="K69" s="282"/>
      <c r="L69" s="282"/>
      <c r="M69" s="363"/>
      <c r="N69" s="363"/>
      <c r="O69" s="145"/>
      <c r="P69" s="145"/>
      <c r="Q69" s="145"/>
      <c r="R69" s="145" t="b">
        <v>0</v>
      </c>
      <c r="S69" s="145" t="b">
        <v>0</v>
      </c>
      <c r="T69" s="145" t="b">
        <v>0</v>
      </c>
      <c r="U69" s="146"/>
      <c r="V69" s="146"/>
    </row>
    <row r="70" outlineLevel="1">
      <c r="A70" s="146"/>
      <c r="B70" s="243" t="s">
        <v>6184</v>
      </c>
      <c r="C70" s="239" t="s">
        <v>378</v>
      </c>
      <c r="D70" s="146"/>
      <c r="E70" s="239" t="s">
        <v>150</v>
      </c>
      <c r="F70" s="138">
        <v>6.0</v>
      </c>
      <c r="G70" s="239" t="s">
        <v>102</v>
      </c>
      <c r="H70" s="212"/>
      <c r="J70" s="210"/>
      <c r="K70" s="282"/>
      <c r="L70" s="282"/>
      <c r="M70" s="363"/>
      <c r="N70" s="363"/>
      <c r="O70" s="145"/>
      <c r="P70" s="145"/>
      <c r="Q70" s="145"/>
      <c r="R70" s="145" t="b">
        <v>0</v>
      </c>
      <c r="S70" s="145" t="b">
        <v>0</v>
      </c>
      <c r="T70" s="145" t="b">
        <v>0</v>
      </c>
      <c r="U70" s="146"/>
      <c r="V70" s="146"/>
    </row>
    <row r="71" outlineLevel="1">
      <c r="A71" s="146"/>
      <c r="B71" s="3501" t="s">
        <v>6189</v>
      </c>
      <c r="C71" s="239" t="s">
        <v>4135</v>
      </c>
      <c r="D71" s="146"/>
      <c r="E71" s="239" t="s">
        <v>150</v>
      </c>
      <c r="F71" s="138">
        <v>6.0</v>
      </c>
      <c r="G71" s="239" t="s">
        <v>102</v>
      </c>
      <c r="H71" s="212"/>
      <c r="J71" s="210"/>
      <c r="K71" s="282"/>
      <c r="L71" s="282"/>
      <c r="M71" s="363"/>
      <c r="N71" s="363"/>
      <c r="O71" s="145"/>
      <c r="P71" s="145"/>
      <c r="Q71" s="145"/>
      <c r="R71" s="145" t="b">
        <v>0</v>
      </c>
      <c r="S71" s="145" t="b">
        <v>0</v>
      </c>
      <c r="T71" s="145" t="b">
        <v>0</v>
      </c>
      <c r="U71" s="146"/>
      <c r="V71" s="146"/>
    </row>
    <row r="72" outlineLevel="1">
      <c r="A72" s="146"/>
      <c r="B72" s="243" t="s">
        <v>6190</v>
      </c>
      <c r="C72" s="239" t="s">
        <v>1940</v>
      </c>
      <c r="D72" s="146"/>
      <c r="E72" s="239" t="s">
        <v>150</v>
      </c>
      <c r="F72" s="138">
        <v>6.0</v>
      </c>
      <c r="G72" s="239" t="s">
        <v>102</v>
      </c>
      <c r="H72" s="212"/>
      <c r="J72" s="210"/>
      <c r="K72" s="282"/>
      <c r="L72" s="282"/>
      <c r="M72" s="363"/>
      <c r="N72" s="363"/>
      <c r="O72" s="145"/>
      <c r="P72" s="145"/>
      <c r="Q72" s="145"/>
      <c r="R72" s="145" t="b">
        <v>0</v>
      </c>
      <c r="S72" s="145" t="b">
        <v>0</v>
      </c>
      <c r="T72" s="145" t="b">
        <v>0</v>
      </c>
      <c r="U72" s="146"/>
      <c r="V72" s="146"/>
    </row>
    <row r="73" outlineLevel="1">
      <c r="A73" s="146"/>
      <c r="B73" s="3501" t="s">
        <v>6196</v>
      </c>
      <c r="C73" s="239" t="s">
        <v>1990</v>
      </c>
      <c r="D73" s="146"/>
      <c r="E73" s="239" t="s">
        <v>150</v>
      </c>
      <c r="F73" s="138">
        <v>6.0</v>
      </c>
      <c r="G73" s="239" t="s">
        <v>102</v>
      </c>
      <c r="H73" s="212"/>
      <c r="J73" s="210"/>
      <c r="K73" s="282"/>
      <c r="L73" s="282"/>
      <c r="M73" s="363"/>
      <c r="N73" s="363"/>
      <c r="O73" s="145"/>
      <c r="P73" s="145"/>
      <c r="Q73" s="145"/>
      <c r="R73" s="145" t="b">
        <v>0</v>
      </c>
      <c r="S73" s="145" t="b">
        <v>0</v>
      </c>
      <c r="T73" s="145" t="b">
        <v>0</v>
      </c>
      <c r="U73" s="146"/>
      <c r="V73" s="146"/>
    </row>
    <row r="74" outlineLevel="1">
      <c r="A74" s="146"/>
      <c r="B74" s="243" t="s">
        <v>6197</v>
      </c>
      <c r="C74" s="239" t="s">
        <v>525</v>
      </c>
      <c r="D74" s="146"/>
      <c r="E74" s="239" t="s">
        <v>150</v>
      </c>
      <c r="F74" s="138">
        <v>6.0</v>
      </c>
      <c r="G74" s="239" t="s">
        <v>102</v>
      </c>
      <c r="H74" s="212"/>
      <c r="J74" s="210"/>
      <c r="K74" s="282"/>
      <c r="L74" s="282"/>
      <c r="M74" s="363"/>
      <c r="N74" s="363"/>
      <c r="O74" s="145"/>
      <c r="P74" s="145"/>
      <c r="Q74" s="145"/>
      <c r="R74" s="145" t="b">
        <v>0</v>
      </c>
      <c r="S74" s="145" t="b">
        <v>0</v>
      </c>
      <c r="T74" s="145" t="b">
        <v>0</v>
      </c>
      <c r="U74" s="146"/>
      <c r="V74" s="146"/>
    </row>
    <row r="75" outlineLevel="1">
      <c r="A75" s="156"/>
      <c r="B75" s="243" t="s">
        <v>6198</v>
      </c>
      <c r="C75" s="239" t="s">
        <v>6199</v>
      </c>
      <c r="D75" s="156"/>
      <c r="E75" s="239" t="s">
        <v>228</v>
      </c>
      <c r="F75" s="138">
        <v>15.6</v>
      </c>
      <c r="G75" s="239" t="s">
        <v>407</v>
      </c>
      <c r="H75" s="106"/>
      <c r="I75" s="168"/>
      <c r="J75" s="107"/>
      <c r="K75" s="282"/>
      <c r="L75" s="282"/>
      <c r="M75" s="363"/>
      <c r="N75" s="363"/>
      <c r="O75" s="145">
        <v>0.0</v>
      </c>
      <c r="P75" s="145">
        <v>1.0</v>
      </c>
      <c r="Q75" s="145">
        <v>1.0</v>
      </c>
      <c r="R75" s="145" t="b">
        <v>1</v>
      </c>
      <c r="S75" s="145" t="b">
        <v>1</v>
      </c>
      <c r="T75" s="145"/>
      <c r="U75" s="156"/>
      <c r="V75" s="156"/>
    </row>
    <row r="76" outlineLevel="1">
      <c r="A76" s="230" t="s">
        <v>6200</v>
      </c>
      <c r="B76" s="109"/>
      <c r="C76" s="231" t="s">
        <v>48</v>
      </c>
      <c r="D76" s="231" t="s">
        <v>49</v>
      </c>
      <c r="E76" s="232" t="s">
        <v>50</v>
      </c>
      <c r="F76" s="233" t="s">
        <v>51</v>
      </c>
      <c r="G76" s="232" t="s">
        <v>52</v>
      </c>
      <c r="H76" s="382" t="s">
        <v>53</v>
      </c>
      <c r="I76" s="110"/>
      <c r="J76" s="109"/>
      <c r="K76" s="235" t="s">
        <v>137</v>
      </c>
      <c r="L76" s="235" t="s">
        <v>138</v>
      </c>
      <c r="M76" s="235" t="s">
        <v>139</v>
      </c>
      <c r="N76" s="235" t="s">
        <v>140</v>
      </c>
      <c r="O76" s="236" t="s">
        <v>141</v>
      </c>
      <c r="P76" s="235" t="s">
        <v>142</v>
      </c>
      <c r="Q76" s="236" t="s">
        <v>143</v>
      </c>
      <c r="R76" s="235" t="s">
        <v>179</v>
      </c>
      <c r="S76" s="236" t="s">
        <v>180</v>
      </c>
      <c r="T76" s="236" t="s">
        <v>181</v>
      </c>
      <c r="U76" s="236" t="s">
        <v>182</v>
      </c>
      <c r="V76" s="3198" t="s">
        <v>183</v>
      </c>
    </row>
    <row r="77" outlineLevel="1">
      <c r="A77" s="237" t="s">
        <v>6201</v>
      </c>
      <c r="B77" s="243" t="s">
        <v>152</v>
      </c>
      <c r="C77" s="239" t="s">
        <v>295</v>
      </c>
      <c r="D77" s="901" t="s">
        <v>6202</v>
      </c>
      <c r="E77" s="239" t="s">
        <v>86</v>
      </c>
      <c r="F77" s="138">
        <v>7.2</v>
      </c>
      <c r="G77" s="239" t="s">
        <v>102</v>
      </c>
      <c r="H77" s="2046" t="s">
        <v>6203</v>
      </c>
      <c r="J77" s="210"/>
      <c r="K77" s="138"/>
      <c r="L77" s="138"/>
      <c r="M77" s="145"/>
      <c r="N77" s="145"/>
      <c r="O77" s="145"/>
      <c r="P77" s="145"/>
      <c r="Q77" s="145"/>
      <c r="R77" s="145" t="b">
        <v>0</v>
      </c>
      <c r="S77" s="145" t="b">
        <v>0</v>
      </c>
      <c r="T77" s="145" t="b">
        <v>0</v>
      </c>
      <c r="U77" s="166" t="b">
        <v>1</v>
      </c>
      <c r="V77" s="166" t="b">
        <v>1</v>
      </c>
    </row>
    <row r="78" outlineLevel="1">
      <c r="A78" s="146"/>
      <c r="B78" s="243" t="s">
        <v>6204</v>
      </c>
      <c r="C78" s="239" t="s">
        <v>6205</v>
      </c>
      <c r="D78" s="146"/>
      <c r="E78" s="239" t="s">
        <v>1024</v>
      </c>
      <c r="F78" s="138">
        <v>1.8</v>
      </c>
      <c r="G78" s="239" t="s">
        <v>170</v>
      </c>
      <c r="H78" s="212"/>
      <c r="J78" s="210"/>
      <c r="K78" s="138"/>
      <c r="L78" s="138"/>
      <c r="M78" s="145"/>
      <c r="N78" s="145"/>
      <c r="O78" s="145"/>
      <c r="P78" s="145"/>
      <c r="Q78" s="145"/>
      <c r="R78" s="145" t="b">
        <v>0</v>
      </c>
      <c r="S78" s="145" t="b">
        <v>0</v>
      </c>
      <c r="T78" s="145" t="b">
        <v>0</v>
      </c>
      <c r="U78" s="146"/>
      <c r="V78" s="146"/>
    </row>
    <row r="79" outlineLevel="1">
      <c r="A79" s="146"/>
      <c r="B79" s="243" t="s">
        <v>6206</v>
      </c>
      <c r="C79" s="239" t="s">
        <v>593</v>
      </c>
      <c r="D79" s="146"/>
      <c r="E79" s="239" t="s">
        <v>1024</v>
      </c>
      <c r="F79" s="138">
        <v>1.8</v>
      </c>
      <c r="G79" s="239" t="s">
        <v>170</v>
      </c>
      <c r="H79" s="212"/>
      <c r="J79" s="210"/>
      <c r="K79" s="138"/>
      <c r="L79" s="138"/>
      <c r="M79" s="145"/>
      <c r="N79" s="145"/>
      <c r="O79" s="145"/>
      <c r="P79" s="145"/>
      <c r="Q79" s="145"/>
      <c r="R79" s="145" t="b">
        <v>0</v>
      </c>
      <c r="S79" s="145" t="b">
        <v>0</v>
      </c>
      <c r="T79" s="145" t="b">
        <v>0</v>
      </c>
      <c r="U79" s="146"/>
      <c r="V79" s="146"/>
    </row>
    <row r="80" outlineLevel="1">
      <c r="A80" s="146"/>
      <c r="B80" s="243" t="s">
        <v>6207</v>
      </c>
      <c r="C80" s="239" t="s">
        <v>6208</v>
      </c>
      <c r="D80" s="146"/>
      <c r="E80" s="239" t="s">
        <v>1024</v>
      </c>
      <c r="F80" s="138">
        <v>1.8</v>
      </c>
      <c r="G80" s="239" t="s">
        <v>170</v>
      </c>
      <c r="H80" s="212"/>
      <c r="J80" s="210"/>
      <c r="K80" s="138"/>
      <c r="L80" s="138"/>
      <c r="M80" s="145"/>
      <c r="N80" s="145"/>
      <c r="O80" s="145"/>
      <c r="P80" s="145"/>
      <c r="Q80" s="145"/>
      <c r="R80" s="145" t="b">
        <v>0</v>
      </c>
      <c r="S80" s="145" t="b">
        <v>0</v>
      </c>
      <c r="T80" s="145" t="b">
        <v>0</v>
      </c>
      <c r="U80" s="146"/>
      <c r="V80" s="146"/>
    </row>
    <row r="81" outlineLevel="1">
      <c r="A81" s="146"/>
      <c r="B81" s="243" t="s">
        <v>6209</v>
      </c>
      <c r="C81" s="239" t="s">
        <v>6210</v>
      </c>
      <c r="D81" s="146"/>
      <c r="E81" s="239" t="s">
        <v>1024</v>
      </c>
      <c r="F81" s="138">
        <v>1.8</v>
      </c>
      <c r="G81" s="239" t="s">
        <v>170</v>
      </c>
      <c r="H81" s="212"/>
      <c r="J81" s="210"/>
      <c r="K81" s="138"/>
      <c r="L81" s="138"/>
      <c r="M81" s="145"/>
      <c r="N81" s="145"/>
      <c r="O81" s="145"/>
      <c r="P81" s="145"/>
      <c r="Q81" s="145"/>
      <c r="R81" s="145" t="b">
        <v>0</v>
      </c>
      <c r="S81" s="145" t="b">
        <v>0</v>
      </c>
      <c r="T81" s="145" t="b">
        <v>0</v>
      </c>
      <c r="U81" s="146"/>
      <c r="V81" s="146"/>
    </row>
    <row r="82" outlineLevel="1">
      <c r="A82" s="146"/>
      <c r="B82" s="243" t="s">
        <v>6211</v>
      </c>
      <c r="C82" s="239" t="s">
        <v>6212</v>
      </c>
      <c r="D82" s="146"/>
      <c r="E82" s="239" t="s">
        <v>1375</v>
      </c>
      <c r="F82" s="138">
        <v>0.96</v>
      </c>
      <c r="G82" s="239" t="s">
        <v>170</v>
      </c>
      <c r="H82" s="212"/>
      <c r="J82" s="210"/>
      <c r="K82" s="138"/>
      <c r="L82" s="138"/>
      <c r="M82" s="145"/>
      <c r="N82" s="145"/>
      <c r="O82" s="145"/>
      <c r="P82" s="145"/>
      <c r="Q82" s="145"/>
      <c r="R82" s="145" t="b">
        <v>0</v>
      </c>
      <c r="S82" s="145" t="b">
        <v>0</v>
      </c>
      <c r="T82" s="145" t="b">
        <v>0</v>
      </c>
      <c r="U82" s="146"/>
      <c r="V82" s="146"/>
    </row>
    <row r="83" outlineLevel="1">
      <c r="A83" s="146"/>
      <c r="B83" s="243" t="s">
        <v>6213</v>
      </c>
      <c r="C83" s="239" t="s">
        <v>6214</v>
      </c>
      <c r="D83" s="146"/>
      <c r="E83" s="239" t="s">
        <v>209</v>
      </c>
      <c r="F83" s="138">
        <v>0.0</v>
      </c>
      <c r="G83" s="281"/>
      <c r="H83" s="212"/>
      <c r="J83" s="210"/>
      <c r="K83" s="138"/>
      <c r="L83" s="138"/>
      <c r="M83" s="145"/>
      <c r="N83" s="145"/>
      <c r="O83" s="145"/>
      <c r="P83" s="145"/>
      <c r="Q83" s="145"/>
      <c r="R83" s="145" t="b">
        <v>0</v>
      </c>
      <c r="S83" s="145" t="b">
        <v>0</v>
      </c>
      <c r="T83" s="145" t="b">
        <v>0</v>
      </c>
      <c r="U83" s="146"/>
      <c r="V83" s="146"/>
    </row>
    <row r="84" outlineLevel="1">
      <c r="A84" s="156"/>
      <c r="B84" s="243" t="s">
        <v>6215</v>
      </c>
      <c r="C84" s="239" t="s">
        <v>6216</v>
      </c>
      <c r="D84" s="156"/>
      <c r="E84" s="239" t="s">
        <v>128</v>
      </c>
      <c r="F84" s="138">
        <v>12.0</v>
      </c>
      <c r="G84" s="239" t="s">
        <v>147</v>
      </c>
      <c r="H84" s="212"/>
      <c r="J84" s="210"/>
      <c r="K84" s="138"/>
      <c r="L84" s="138"/>
      <c r="M84" s="145"/>
      <c r="N84" s="145"/>
      <c r="O84" s="145"/>
      <c r="P84" s="145"/>
      <c r="Q84" s="145"/>
      <c r="R84" s="145" t="b">
        <v>0</v>
      </c>
      <c r="S84" s="145" t="b">
        <v>0</v>
      </c>
      <c r="T84" s="145" t="b">
        <v>0</v>
      </c>
      <c r="U84" s="146"/>
      <c r="V84" s="146"/>
    </row>
    <row r="85" outlineLevel="1">
      <c r="A85" s="237" t="s">
        <v>6217</v>
      </c>
      <c r="B85" s="243" t="s">
        <v>152</v>
      </c>
      <c r="C85" s="239" t="s">
        <v>295</v>
      </c>
      <c r="D85" s="901" t="s">
        <v>6202</v>
      </c>
      <c r="E85" s="239" t="s">
        <v>80</v>
      </c>
      <c r="F85" s="138">
        <v>9.6</v>
      </c>
      <c r="G85" s="239" t="s">
        <v>123</v>
      </c>
      <c r="H85" s="212"/>
      <c r="J85" s="210"/>
      <c r="K85" s="282"/>
      <c r="L85" s="282"/>
      <c r="M85" s="363"/>
      <c r="N85" s="363"/>
      <c r="O85" s="145">
        <v>0.0</v>
      </c>
      <c r="P85" s="145">
        <v>1.0</v>
      </c>
      <c r="Q85" s="145">
        <v>1.0</v>
      </c>
      <c r="R85" s="145" t="b">
        <v>1</v>
      </c>
      <c r="S85" s="145" t="b">
        <v>1</v>
      </c>
      <c r="T85" s="145"/>
      <c r="U85" s="146"/>
      <c r="V85" s="146"/>
    </row>
    <row r="86" outlineLevel="1">
      <c r="A86" s="146"/>
      <c r="B86" s="243" t="s">
        <v>6218</v>
      </c>
      <c r="C86" s="239" t="s">
        <v>6219</v>
      </c>
      <c r="D86" s="146"/>
      <c r="E86" s="239" t="s">
        <v>1024</v>
      </c>
      <c r="F86" s="138">
        <v>1.8</v>
      </c>
      <c r="G86" s="239" t="s">
        <v>170</v>
      </c>
      <c r="H86" s="212"/>
      <c r="J86" s="210"/>
      <c r="K86" s="138"/>
      <c r="L86" s="138"/>
      <c r="M86" s="145"/>
      <c r="N86" s="145"/>
      <c r="O86" s="145"/>
      <c r="P86" s="145"/>
      <c r="Q86" s="145"/>
      <c r="R86" s="145" t="b">
        <v>0</v>
      </c>
      <c r="S86" s="145" t="b">
        <v>0</v>
      </c>
      <c r="T86" s="145" t="b">
        <v>0</v>
      </c>
      <c r="U86" s="146"/>
      <c r="V86" s="146"/>
    </row>
    <row r="87" outlineLevel="1">
      <c r="A87" s="146"/>
      <c r="B87" s="243" t="s">
        <v>6207</v>
      </c>
      <c r="C87" s="239" t="s">
        <v>6220</v>
      </c>
      <c r="D87" s="146"/>
      <c r="E87" s="239" t="s">
        <v>1024</v>
      </c>
      <c r="F87" s="138">
        <v>1.8</v>
      </c>
      <c r="G87" s="239" t="s">
        <v>170</v>
      </c>
      <c r="H87" s="212"/>
      <c r="J87" s="210"/>
      <c r="K87" s="138"/>
      <c r="L87" s="138"/>
      <c r="M87" s="145"/>
      <c r="N87" s="145"/>
      <c r="O87" s="145"/>
      <c r="P87" s="145"/>
      <c r="Q87" s="145"/>
      <c r="R87" s="145" t="b">
        <v>0</v>
      </c>
      <c r="S87" s="145" t="b">
        <v>0</v>
      </c>
      <c r="T87" s="145" t="b">
        <v>0</v>
      </c>
      <c r="U87" s="146"/>
      <c r="V87" s="146"/>
    </row>
    <row r="88" outlineLevel="1">
      <c r="A88" s="146"/>
      <c r="B88" s="243" t="s">
        <v>6209</v>
      </c>
      <c r="C88" s="239" t="s">
        <v>6221</v>
      </c>
      <c r="D88" s="146"/>
      <c r="E88" s="239" t="s">
        <v>1024</v>
      </c>
      <c r="F88" s="138">
        <v>1.8</v>
      </c>
      <c r="G88" s="239" t="s">
        <v>170</v>
      </c>
      <c r="H88" s="212"/>
      <c r="J88" s="210"/>
      <c r="K88" s="138"/>
      <c r="L88" s="138"/>
      <c r="M88" s="145"/>
      <c r="N88" s="145"/>
      <c r="O88" s="145"/>
      <c r="P88" s="145"/>
      <c r="Q88" s="145"/>
      <c r="R88" s="145" t="b">
        <v>0</v>
      </c>
      <c r="S88" s="145" t="b">
        <v>0</v>
      </c>
      <c r="T88" s="145" t="b">
        <v>0</v>
      </c>
      <c r="U88" s="146"/>
      <c r="V88" s="146"/>
    </row>
    <row r="89" outlineLevel="1">
      <c r="A89" s="146"/>
      <c r="B89" s="243" t="s">
        <v>6211</v>
      </c>
      <c r="C89" s="239" t="s">
        <v>6222</v>
      </c>
      <c r="D89" s="146"/>
      <c r="E89" s="239" t="s">
        <v>1375</v>
      </c>
      <c r="F89" s="138">
        <v>0.96</v>
      </c>
      <c r="G89" s="239" t="s">
        <v>170</v>
      </c>
      <c r="H89" s="212"/>
      <c r="J89" s="210"/>
      <c r="K89" s="138"/>
      <c r="L89" s="138"/>
      <c r="M89" s="145"/>
      <c r="N89" s="145"/>
      <c r="O89" s="145"/>
      <c r="P89" s="145"/>
      <c r="Q89" s="145"/>
      <c r="R89" s="145" t="b">
        <v>0</v>
      </c>
      <c r="S89" s="145" t="b">
        <v>0</v>
      </c>
      <c r="T89" s="145" t="b">
        <v>0</v>
      </c>
      <c r="U89" s="146"/>
      <c r="V89" s="146"/>
    </row>
    <row r="90" outlineLevel="1">
      <c r="A90" s="146"/>
      <c r="B90" s="243" t="s">
        <v>6213</v>
      </c>
      <c r="C90" s="239" t="s">
        <v>6223</v>
      </c>
      <c r="D90" s="146"/>
      <c r="E90" s="239" t="s">
        <v>209</v>
      </c>
      <c r="F90" s="138">
        <v>0.0</v>
      </c>
      <c r="G90" s="281"/>
      <c r="H90" s="212"/>
      <c r="J90" s="210"/>
      <c r="K90" s="138"/>
      <c r="L90" s="138"/>
      <c r="M90" s="145"/>
      <c r="N90" s="145"/>
      <c r="O90" s="145"/>
      <c r="P90" s="145"/>
      <c r="Q90" s="145"/>
      <c r="R90" s="145" t="b">
        <v>0</v>
      </c>
      <c r="S90" s="145" t="b">
        <v>0</v>
      </c>
      <c r="T90" s="145" t="b">
        <v>0</v>
      </c>
      <c r="U90" s="146"/>
      <c r="V90" s="146"/>
    </row>
    <row r="91" outlineLevel="1">
      <c r="A91" s="146"/>
      <c r="B91" s="243" t="s">
        <v>6215</v>
      </c>
      <c r="C91" s="239" t="s">
        <v>6224</v>
      </c>
      <c r="D91" s="156"/>
      <c r="E91" s="239" t="s">
        <v>128</v>
      </c>
      <c r="F91" s="138">
        <v>12.0</v>
      </c>
      <c r="G91" s="239" t="s">
        <v>147</v>
      </c>
      <c r="H91" s="212"/>
      <c r="J91" s="210"/>
      <c r="K91" s="138"/>
      <c r="L91" s="138"/>
      <c r="M91" s="145"/>
      <c r="N91" s="145"/>
      <c r="O91" s="145"/>
      <c r="P91" s="145"/>
      <c r="Q91" s="145"/>
      <c r="R91" s="145" t="b">
        <v>0</v>
      </c>
      <c r="S91" s="145" t="b">
        <v>0</v>
      </c>
      <c r="T91" s="145" t="b">
        <v>0</v>
      </c>
      <c r="U91" s="146"/>
      <c r="V91" s="146"/>
    </row>
    <row r="92" outlineLevel="1">
      <c r="A92" s="259"/>
      <c r="B92" s="243" t="s">
        <v>497</v>
      </c>
      <c r="C92" s="281"/>
      <c r="D92" s="113" t="s">
        <v>119</v>
      </c>
      <c r="E92" s="281"/>
      <c r="F92" s="476"/>
      <c r="G92" s="281"/>
      <c r="H92" s="106"/>
      <c r="I92" s="168"/>
      <c r="J92" s="107"/>
      <c r="K92" s="138"/>
      <c r="L92" s="138"/>
      <c r="M92" s="145"/>
      <c r="N92" s="145"/>
      <c r="O92" s="145">
        <v>0.0</v>
      </c>
      <c r="P92" s="145">
        <v>1.0</v>
      </c>
      <c r="Q92" s="145">
        <v>1.0</v>
      </c>
      <c r="R92" s="145" t="b">
        <v>1</v>
      </c>
      <c r="S92" s="145" t="b">
        <v>1</v>
      </c>
      <c r="T92" s="145"/>
      <c r="U92" s="156"/>
      <c r="V92" s="156"/>
    </row>
    <row r="93" outlineLevel="1">
      <c r="A93" s="230" t="s">
        <v>6225</v>
      </c>
      <c r="B93" s="109"/>
      <c r="C93" s="231" t="s">
        <v>48</v>
      </c>
      <c r="D93" s="231" t="s">
        <v>49</v>
      </c>
      <c r="E93" s="232" t="s">
        <v>50</v>
      </c>
      <c r="F93" s="233" t="s">
        <v>51</v>
      </c>
      <c r="G93" s="232" t="s">
        <v>52</v>
      </c>
      <c r="H93" s="382" t="s">
        <v>53</v>
      </c>
      <c r="I93" s="110"/>
      <c r="J93" s="109"/>
      <c r="K93" s="235" t="s">
        <v>137</v>
      </c>
      <c r="L93" s="235" t="s">
        <v>138</v>
      </c>
      <c r="M93" s="235" t="s">
        <v>139</v>
      </c>
      <c r="N93" s="235" t="s">
        <v>140</v>
      </c>
      <c r="O93" s="236" t="s">
        <v>141</v>
      </c>
      <c r="P93" s="235" t="s">
        <v>142</v>
      </c>
      <c r="Q93" s="236" t="s">
        <v>143</v>
      </c>
      <c r="R93" s="235" t="s">
        <v>179</v>
      </c>
      <c r="S93" s="236" t="s">
        <v>180</v>
      </c>
      <c r="T93" s="236" t="s">
        <v>181</v>
      </c>
      <c r="U93" s="236" t="s">
        <v>182</v>
      </c>
      <c r="V93" s="3198" t="s">
        <v>183</v>
      </c>
    </row>
    <row r="94" outlineLevel="1">
      <c r="A94" s="237" t="s">
        <v>184</v>
      </c>
      <c r="B94" s="402" t="s">
        <v>152</v>
      </c>
      <c r="C94" s="239" t="s">
        <v>721</v>
      </c>
      <c r="D94" s="367" t="s">
        <v>2249</v>
      </c>
      <c r="E94" s="239" t="s">
        <v>73</v>
      </c>
      <c r="F94" s="138">
        <v>4.8</v>
      </c>
      <c r="G94" s="239" t="s">
        <v>75</v>
      </c>
      <c r="H94" s="163" t="s">
        <v>6226</v>
      </c>
      <c r="I94" s="164"/>
      <c r="J94" s="104"/>
      <c r="K94" s="138"/>
      <c r="L94" s="138"/>
      <c r="M94" s="145"/>
      <c r="N94" s="145"/>
      <c r="O94" s="145">
        <v>0.0</v>
      </c>
      <c r="P94" s="145">
        <v>1.0</v>
      </c>
      <c r="Q94" s="145">
        <v>1.0</v>
      </c>
      <c r="R94" s="145" t="b">
        <v>1</v>
      </c>
      <c r="S94" s="145" t="b">
        <v>1</v>
      </c>
      <c r="T94" s="145"/>
      <c r="U94" s="166" t="b">
        <v>1</v>
      </c>
      <c r="V94" s="166" t="b">
        <v>1</v>
      </c>
    </row>
    <row r="95" outlineLevel="1">
      <c r="A95" s="146"/>
      <c r="B95" s="402" t="s">
        <v>2912</v>
      </c>
      <c r="C95" s="239" t="s">
        <v>6227</v>
      </c>
      <c r="D95" s="156"/>
      <c r="E95" s="239" t="s">
        <v>150</v>
      </c>
      <c r="F95" s="138">
        <v>6.0</v>
      </c>
      <c r="G95" s="239" t="s">
        <v>102</v>
      </c>
      <c r="H95" s="212"/>
      <c r="J95" s="210"/>
      <c r="K95" s="138"/>
      <c r="L95" s="138"/>
      <c r="M95" s="145"/>
      <c r="N95" s="145"/>
      <c r="O95" s="145"/>
      <c r="P95" s="145"/>
      <c r="Q95" s="145"/>
      <c r="R95" s="145" t="b">
        <v>0</v>
      </c>
      <c r="S95" s="145" t="b">
        <v>0</v>
      </c>
      <c r="T95" s="145" t="b">
        <v>0</v>
      </c>
      <c r="U95" s="146"/>
      <c r="V95" s="146"/>
    </row>
    <row r="96" outlineLevel="1">
      <c r="A96" s="146"/>
      <c r="B96" s="402" t="s">
        <v>174</v>
      </c>
      <c r="C96" s="239" t="s">
        <v>213</v>
      </c>
      <c r="D96" s="367" t="s">
        <v>289</v>
      </c>
      <c r="E96" s="239" t="s">
        <v>176</v>
      </c>
      <c r="F96" s="138">
        <v>2.4</v>
      </c>
      <c r="G96" s="239" t="s">
        <v>60</v>
      </c>
      <c r="H96" s="212"/>
      <c r="J96" s="210"/>
      <c r="K96" s="138"/>
      <c r="L96" s="138"/>
      <c r="M96" s="145"/>
      <c r="N96" s="145"/>
      <c r="O96" s="145"/>
      <c r="P96" s="145"/>
      <c r="Q96" s="145"/>
      <c r="R96" s="145" t="b">
        <v>0</v>
      </c>
      <c r="S96" s="145" t="b">
        <v>0</v>
      </c>
      <c r="T96" s="145" t="b">
        <v>0</v>
      </c>
      <c r="U96" s="146"/>
      <c r="V96" s="146"/>
    </row>
    <row r="97" outlineLevel="1">
      <c r="A97" s="146"/>
      <c r="B97" s="402" t="s">
        <v>1075</v>
      </c>
      <c r="C97" s="239" t="s">
        <v>6228</v>
      </c>
      <c r="D97" s="146"/>
      <c r="E97" s="239" t="s">
        <v>274</v>
      </c>
      <c r="F97" s="138">
        <v>10.799999999999999</v>
      </c>
      <c r="G97" s="239" t="s">
        <v>147</v>
      </c>
      <c r="H97" s="212"/>
      <c r="J97" s="210"/>
      <c r="K97" s="138"/>
      <c r="L97" s="138"/>
      <c r="M97" s="145"/>
      <c r="N97" s="145"/>
      <c r="O97" s="145"/>
      <c r="P97" s="145"/>
      <c r="Q97" s="145"/>
      <c r="R97" s="145" t="b">
        <v>0</v>
      </c>
      <c r="S97" s="145" t="b">
        <v>0</v>
      </c>
      <c r="T97" s="145" t="b">
        <v>0</v>
      </c>
      <c r="U97" s="146"/>
      <c r="V97" s="146"/>
    </row>
    <row r="98" outlineLevel="1">
      <c r="A98" s="146"/>
      <c r="B98" s="402" t="s">
        <v>6229</v>
      </c>
      <c r="C98" s="239" t="s">
        <v>733</v>
      </c>
      <c r="D98" s="156"/>
      <c r="E98" s="239" t="s">
        <v>538</v>
      </c>
      <c r="F98" s="138" t="s">
        <v>539</v>
      </c>
      <c r="G98" s="239" t="s">
        <v>926</v>
      </c>
      <c r="H98" s="106"/>
      <c r="I98" s="168"/>
      <c r="J98" s="107"/>
      <c r="K98" s="138"/>
      <c r="L98" s="138"/>
      <c r="M98" s="145"/>
      <c r="N98" s="145"/>
      <c r="O98" s="145"/>
      <c r="P98" s="145"/>
      <c r="Q98" s="145"/>
      <c r="R98" s="145" t="b">
        <v>0</v>
      </c>
      <c r="S98" s="145" t="b">
        <v>0</v>
      </c>
      <c r="T98" s="145" t="b">
        <v>0</v>
      </c>
      <c r="U98" s="156"/>
      <c r="V98" s="156"/>
    </row>
    <row r="99" outlineLevel="1">
      <c r="A99" s="230" t="s">
        <v>6230</v>
      </c>
      <c r="B99" s="109"/>
      <c r="C99" s="231" t="s">
        <v>48</v>
      </c>
      <c r="D99" s="231" t="s">
        <v>49</v>
      </c>
      <c r="E99" s="232" t="s">
        <v>50</v>
      </c>
      <c r="F99" s="233" t="s">
        <v>51</v>
      </c>
      <c r="G99" s="232" t="s">
        <v>52</v>
      </c>
      <c r="H99" s="382" t="s">
        <v>53</v>
      </c>
      <c r="I99" s="110"/>
      <c r="J99" s="109"/>
      <c r="K99" s="235" t="s">
        <v>137</v>
      </c>
      <c r="L99" s="235" t="s">
        <v>138</v>
      </c>
      <c r="M99" s="235" t="s">
        <v>139</v>
      </c>
      <c r="N99" s="235" t="s">
        <v>140</v>
      </c>
      <c r="O99" s="236" t="s">
        <v>141</v>
      </c>
      <c r="P99" s="235" t="s">
        <v>142</v>
      </c>
      <c r="Q99" s="236" t="s">
        <v>143</v>
      </c>
      <c r="R99" s="235" t="s">
        <v>179</v>
      </c>
      <c r="S99" s="236" t="s">
        <v>180</v>
      </c>
      <c r="T99" s="236" t="s">
        <v>181</v>
      </c>
      <c r="U99" s="236" t="s">
        <v>182</v>
      </c>
      <c r="V99" s="3198" t="s">
        <v>183</v>
      </c>
    </row>
    <row r="100" outlineLevel="1">
      <c r="A100" s="259" t="s">
        <v>184</v>
      </c>
      <c r="B100" s="626"/>
      <c r="C100" s="281"/>
      <c r="D100" s="467" t="s">
        <v>964</v>
      </c>
      <c r="E100" s="281"/>
      <c r="F100" s="476"/>
      <c r="G100" s="281"/>
      <c r="H100" s="151" t="s">
        <v>6231</v>
      </c>
      <c r="I100" s="110"/>
      <c r="J100" s="109"/>
      <c r="K100" s="138"/>
      <c r="L100" s="138"/>
      <c r="M100" s="145"/>
      <c r="N100" s="145"/>
      <c r="O100" s="145">
        <v>0.0</v>
      </c>
      <c r="P100" s="145">
        <v>1.0</v>
      </c>
      <c r="Q100" s="145">
        <v>1.0</v>
      </c>
      <c r="R100" s="145" t="b">
        <v>1</v>
      </c>
      <c r="S100" s="145" t="b">
        <v>1</v>
      </c>
      <c r="T100" s="145"/>
      <c r="U100" s="145" t="b">
        <v>0</v>
      </c>
      <c r="V100" s="145" t="b">
        <v>0</v>
      </c>
    </row>
    <row r="101">
      <c r="A101" s="223"/>
      <c r="B101" s="224"/>
      <c r="C101" s="225"/>
      <c r="D101" s="225"/>
      <c r="E101" s="226"/>
      <c r="F101" s="226"/>
      <c r="G101" s="226"/>
      <c r="H101" s="227"/>
      <c r="I101" s="227"/>
      <c r="J101" s="228"/>
      <c r="K101" s="228"/>
      <c r="L101" s="228"/>
      <c r="M101" s="228"/>
      <c r="N101" s="228"/>
      <c r="O101" s="228"/>
      <c r="P101" s="228"/>
      <c r="Q101" s="118"/>
      <c r="R101" s="118"/>
      <c r="S101" s="118"/>
      <c r="T101" s="118"/>
      <c r="U101" s="118"/>
      <c r="V101" s="118"/>
    </row>
    <row r="102">
      <c r="A102" s="264" t="s">
        <v>211</v>
      </c>
      <c r="B102" s="104"/>
      <c r="C102" s="227"/>
      <c r="D102" s="227"/>
      <c r="E102" s="228"/>
      <c r="F102" s="265"/>
      <c r="G102" s="265"/>
      <c r="H102" s="228"/>
      <c r="I102" s="228"/>
      <c r="J102" s="228"/>
      <c r="K102" s="228"/>
      <c r="L102" s="228"/>
      <c r="M102" s="228"/>
      <c r="N102" s="118"/>
      <c r="O102" s="118"/>
      <c r="P102" s="118"/>
      <c r="Q102" s="228"/>
      <c r="R102" s="228"/>
      <c r="S102" s="228"/>
      <c r="T102" s="228"/>
      <c r="U102" s="228"/>
      <c r="V102" s="228"/>
    </row>
    <row r="103" outlineLevel="1">
      <c r="A103" s="106"/>
      <c r="B103" s="107"/>
      <c r="C103" s="266" t="s">
        <v>48</v>
      </c>
      <c r="D103" s="266" t="s">
        <v>49</v>
      </c>
      <c r="E103" s="266" t="s">
        <v>50</v>
      </c>
      <c r="F103" s="267" t="s">
        <v>51</v>
      </c>
      <c r="G103" s="227"/>
      <c r="H103" s="227"/>
      <c r="I103" s="227"/>
      <c r="J103" s="228"/>
      <c r="K103" s="228"/>
      <c r="L103" s="228"/>
      <c r="M103" s="228"/>
      <c r="N103" s="228"/>
      <c r="O103" s="228"/>
      <c r="P103" s="228"/>
      <c r="Q103" s="228"/>
      <c r="R103" s="228"/>
      <c r="S103" s="228"/>
      <c r="T103" s="228"/>
      <c r="U103" s="228"/>
      <c r="V103" s="228"/>
    </row>
    <row r="104" outlineLevel="1">
      <c r="A104" s="268" t="s">
        <v>212</v>
      </c>
      <c r="B104" s="269" t="s">
        <v>212</v>
      </c>
      <c r="C104" s="113" t="s">
        <v>213</v>
      </c>
      <c r="D104" s="113" t="s">
        <v>86</v>
      </c>
      <c r="E104" s="113" t="s">
        <v>1024</v>
      </c>
      <c r="F104" s="138">
        <v>1.7999999999999998</v>
      </c>
      <c r="G104" s="227"/>
      <c r="H104" s="227"/>
      <c r="I104" s="227"/>
      <c r="J104" s="228"/>
      <c r="K104" s="228"/>
      <c r="L104" s="228"/>
      <c r="M104" s="228"/>
      <c r="N104" s="228"/>
      <c r="O104" s="228"/>
      <c r="P104" s="228"/>
      <c r="Q104" s="228"/>
      <c r="R104" s="228"/>
      <c r="S104" s="228"/>
      <c r="T104" s="228"/>
      <c r="U104" s="228"/>
      <c r="V104" s="228"/>
    </row>
    <row r="105" outlineLevel="1">
      <c r="A105" s="270" t="s">
        <v>215</v>
      </c>
      <c r="B105" s="269" t="s">
        <v>216</v>
      </c>
      <c r="C105" s="113" t="s">
        <v>319</v>
      </c>
      <c r="D105" s="113" t="s">
        <v>79</v>
      </c>
      <c r="E105" s="271"/>
      <c r="F105" s="272"/>
      <c r="G105" s="272"/>
      <c r="H105" s="227"/>
      <c r="I105" s="227"/>
      <c r="J105" s="228"/>
      <c r="K105" s="228"/>
      <c r="L105" s="228"/>
      <c r="M105" s="228"/>
      <c r="N105" s="228"/>
      <c r="O105" s="228"/>
      <c r="P105" s="228"/>
      <c r="Q105" s="228"/>
      <c r="R105" s="228"/>
      <c r="S105" s="228"/>
      <c r="T105" s="228"/>
      <c r="U105" s="228"/>
      <c r="V105" s="228"/>
    </row>
    <row r="106" outlineLevel="1">
      <c r="A106" s="212"/>
      <c r="B106" s="269" t="s">
        <v>219</v>
      </c>
      <c r="C106" s="113" t="s">
        <v>373</v>
      </c>
      <c r="D106" s="113" t="s">
        <v>393</v>
      </c>
      <c r="E106" s="271"/>
      <c r="F106" s="272"/>
      <c r="G106" s="272"/>
      <c r="H106" s="227"/>
      <c r="I106" s="227"/>
      <c r="J106" s="228"/>
      <c r="K106" s="228"/>
      <c r="L106" s="228"/>
      <c r="M106" s="228"/>
      <c r="N106" s="228"/>
      <c r="O106" s="228"/>
      <c r="P106" s="228"/>
      <c r="Q106" s="228"/>
      <c r="R106" s="228"/>
      <c r="S106" s="228"/>
      <c r="T106" s="228"/>
      <c r="U106" s="228"/>
      <c r="V106" s="228"/>
    </row>
    <row r="107" outlineLevel="1">
      <c r="A107" s="106"/>
      <c r="B107" s="269" t="s">
        <v>222</v>
      </c>
      <c r="C107" s="113" t="s">
        <v>305</v>
      </c>
      <c r="D107" s="113" t="s">
        <v>118</v>
      </c>
      <c r="E107" s="227"/>
      <c r="F107" s="272"/>
      <c r="G107" s="272"/>
      <c r="H107" s="227"/>
      <c r="I107" s="227"/>
      <c r="J107" s="228"/>
      <c r="K107" s="228"/>
      <c r="L107" s="228"/>
      <c r="M107" s="228"/>
      <c r="N107" s="228"/>
      <c r="O107" s="228"/>
      <c r="P107" s="228"/>
      <c r="Q107" s="228"/>
      <c r="R107" s="228"/>
      <c r="S107" s="228"/>
      <c r="T107" s="228"/>
      <c r="U107" s="228"/>
      <c r="V107" s="228"/>
    </row>
    <row r="108" outlineLevel="1">
      <c r="A108" s="273" t="s">
        <v>225</v>
      </c>
      <c r="B108" s="109"/>
      <c r="C108" s="266" t="s">
        <v>48</v>
      </c>
      <c r="D108" s="266" t="s">
        <v>49</v>
      </c>
      <c r="E108" s="266" t="s">
        <v>50</v>
      </c>
      <c r="F108" s="267" t="s">
        <v>51</v>
      </c>
      <c r="G108" s="1168" t="s">
        <v>53</v>
      </c>
      <c r="H108" s="110"/>
      <c r="I108" s="110"/>
      <c r="J108" s="109"/>
      <c r="K108" s="275" t="s">
        <v>137</v>
      </c>
      <c r="L108" s="275" t="s">
        <v>138</v>
      </c>
      <c r="M108" s="275" t="s">
        <v>139</v>
      </c>
      <c r="N108" s="275" t="s">
        <v>140</v>
      </c>
      <c r="O108" s="276" t="s">
        <v>141</v>
      </c>
      <c r="P108" s="275" t="s">
        <v>142</v>
      </c>
      <c r="Q108" s="276" t="s">
        <v>143</v>
      </c>
      <c r="R108" s="277"/>
      <c r="S108" s="277"/>
      <c r="T108" s="277"/>
      <c r="U108" s="277"/>
      <c r="V108" s="277"/>
    </row>
    <row r="109" outlineLevel="1">
      <c r="A109" s="278" t="s">
        <v>226</v>
      </c>
      <c r="B109" s="269" t="s">
        <v>227</v>
      </c>
      <c r="C109" s="113" t="s">
        <v>128</v>
      </c>
      <c r="D109" s="279" t="s">
        <v>105</v>
      </c>
      <c r="E109" s="239" t="s">
        <v>651</v>
      </c>
      <c r="F109" s="138">
        <f t="shared" ref="F109:F112" si="1">IFERROR(E109*1.2, "-")</f>
        <v>4.2</v>
      </c>
      <c r="G109" s="1170"/>
      <c r="H109" s="164"/>
      <c r="I109" s="164"/>
      <c r="J109" s="104"/>
      <c r="K109" s="282"/>
      <c r="L109" s="282"/>
      <c r="M109" s="363"/>
      <c r="N109" s="145"/>
      <c r="O109" s="145">
        <v>0.0</v>
      </c>
      <c r="P109" s="145">
        <v>1.0</v>
      </c>
      <c r="Q109" s="145">
        <v>1.0</v>
      </c>
      <c r="R109" s="277"/>
      <c r="S109" s="228"/>
      <c r="T109" s="228"/>
      <c r="U109" s="228"/>
      <c r="V109" s="228"/>
    </row>
    <row r="110" outlineLevel="1">
      <c r="A110" s="156"/>
      <c r="B110" s="269" t="s">
        <v>225</v>
      </c>
      <c r="C110" s="113" t="s">
        <v>232</v>
      </c>
      <c r="D110" s="156"/>
      <c r="E110" s="239" t="s">
        <v>100</v>
      </c>
      <c r="F110" s="138">
        <f t="shared" si="1"/>
        <v>6.6</v>
      </c>
      <c r="G110" s="106"/>
      <c r="H110" s="168"/>
      <c r="I110" s="168"/>
      <c r="J110" s="107"/>
      <c r="K110" s="282"/>
      <c r="L110" s="282"/>
      <c r="M110" s="363"/>
      <c r="N110" s="145"/>
      <c r="O110" s="261"/>
      <c r="P110" s="261"/>
      <c r="Q110" s="261"/>
      <c r="R110" s="277"/>
      <c r="S110" s="228"/>
      <c r="T110" s="228"/>
      <c r="U110" s="228"/>
      <c r="V110" s="228"/>
    </row>
    <row r="111" outlineLevel="1">
      <c r="A111" s="278" t="s">
        <v>229</v>
      </c>
      <c r="B111" s="269" t="s">
        <v>227</v>
      </c>
      <c r="C111" s="113" t="s">
        <v>561</v>
      </c>
      <c r="D111" s="279" t="s">
        <v>193</v>
      </c>
      <c r="E111" s="239" t="s">
        <v>204</v>
      </c>
      <c r="F111" s="138">
        <f t="shared" si="1"/>
        <v>3.6</v>
      </c>
      <c r="G111" s="1170"/>
      <c r="H111" s="164"/>
      <c r="I111" s="164"/>
      <c r="J111" s="104"/>
      <c r="K111" s="282"/>
      <c r="L111" s="282"/>
      <c r="M111" s="363"/>
      <c r="N111" s="363"/>
      <c r="O111" s="145">
        <v>0.0</v>
      </c>
      <c r="P111" s="145">
        <v>1.0</v>
      </c>
      <c r="Q111" s="145">
        <v>1.0</v>
      </c>
      <c r="R111" s="277"/>
      <c r="S111" s="228"/>
      <c r="T111" s="228"/>
      <c r="U111" s="228"/>
      <c r="V111" s="228"/>
    </row>
    <row r="112" outlineLevel="1">
      <c r="A112" s="156"/>
      <c r="B112" s="269" t="s">
        <v>225</v>
      </c>
      <c r="C112" s="113" t="s">
        <v>394</v>
      </c>
      <c r="D112" s="156"/>
      <c r="E112" s="239" t="s">
        <v>73</v>
      </c>
      <c r="F112" s="138">
        <f t="shared" si="1"/>
        <v>4.8</v>
      </c>
      <c r="G112" s="106"/>
      <c r="H112" s="168"/>
      <c r="I112" s="168"/>
      <c r="J112" s="107"/>
      <c r="K112" s="282"/>
      <c r="L112" s="282"/>
      <c r="M112" s="363"/>
      <c r="N112" s="363"/>
      <c r="O112" s="261"/>
      <c r="P112" s="261"/>
      <c r="Q112" s="261"/>
      <c r="R112" s="277"/>
      <c r="S112" s="228"/>
      <c r="T112" s="228"/>
      <c r="U112" s="228"/>
      <c r="V112" s="228"/>
    </row>
    <row r="113" outlineLevel="1">
      <c r="A113" s="278" t="s">
        <v>233</v>
      </c>
      <c r="B113" s="269" t="s">
        <v>227</v>
      </c>
      <c r="C113" s="281"/>
      <c r="D113" s="279" t="s">
        <v>99</v>
      </c>
      <c r="E113" s="281"/>
      <c r="F113" s="476"/>
      <c r="G113" s="1170"/>
      <c r="H113" s="164"/>
      <c r="I113" s="164"/>
      <c r="J113" s="104"/>
      <c r="K113" s="282"/>
      <c r="L113" s="282"/>
      <c r="M113" s="363"/>
      <c r="N113" s="363"/>
      <c r="O113" s="145">
        <v>0.0</v>
      </c>
      <c r="P113" s="145">
        <v>1.0</v>
      </c>
      <c r="Q113" s="145">
        <v>1.0</v>
      </c>
      <c r="R113" s="277"/>
      <c r="S113" s="228"/>
      <c r="T113" s="228"/>
      <c r="U113" s="228"/>
      <c r="V113" s="228"/>
    </row>
    <row r="114" outlineLevel="1">
      <c r="A114" s="156"/>
      <c r="B114" s="269" t="s">
        <v>225</v>
      </c>
      <c r="C114" s="113" t="s">
        <v>274</v>
      </c>
      <c r="D114" s="156"/>
      <c r="E114" s="239" t="s">
        <v>150</v>
      </c>
      <c r="F114" s="138">
        <f t="shared" ref="F114:F116" si="2">IFERROR(E114*1.2, "-")</f>
        <v>6</v>
      </c>
      <c r="G114" s="106"/>
      <c r="H114" s="168"/>
      <c r="I114" s="168"/>
      <c r="J114" s="107"/>
      <c r="K114" s="282"/>
      <c r="L114" s="282"/>
      <c r="M114" s="363"/>
      <c r="N114" s="363"/>
      <c r="O114" s="261"/>
      <c r="P114" s="261"/>
      <c r="Q114" s="261"/>
      <c r="R114" s="277"/>
      <c r="S114" s="117"/>
      <c r="T114" s="117"/>
      <c r="U114" s="117"/>
      <c r="V114" s="117"/>
    </row>
    <row r="115" outlineLevel="1">
      <c r="A115" s="278" t="s">
        <v>234</v>
      </c>
      <c r="B115" s="269" t="s">
        <v>227</v>
      </c>
      <c r="C115" s="113" t="s">
        <v>1169</v>
      </c>
      <c r="D115" s="279" t="s">
        <v>146</v>
      </c>
      <c r="E115" s="239" t="s">
        <v>73</v>
      </c>
      <c r="F115" s="138">
        <f t="shared" si="2"/>
        <v>4.8</v>
      </c>
      <c r="G115" s="283" t="s">
        <v>6232</v>
      </c>
      <c r="H115" s="164"/>
      <c r="I115" s="164"/>
      <c r="J115" s="104"/>
      <c r="K115" s="282"/>
      <c r="L115" s="282"/>
      <c r="M115" s="363"/>
      <c r="N115" s="363"/>
      <c r="O115" s="145">
        <v>0.0</v>
      </c>
      <c r="P115" s="145">
        <v>1.0</v>
      </c>
      <c r="Q115" s="145">
        <v>1.0</v>
      </c>
      <c r="R115" s="277"/>
      <c r="S115" s="117"/>
      <c r="T115" s="117"/>
      <c r="U115" s="117"/>
      <c r="V115" s="117"/>
    </row>
    <row r="116" outlineLevel="1">
      <c r="A116" s="156"/>
      <c r="B116" s="269" t="s">
        <v>225</v>
      </c>
      <c r="C116" s="113" t="s">
        <v>92</v>
      </c>
      <c r="D116" s="156"/>
      <c r="E116" s="239" t="s">
        <v>73</v>
      </c>
      <c r="F116" s="138">
        <f t="shared" si="2"/>
        <v>4.8</v>
      </c>
      <c r="G116" s="106"/>
      <c r="H116" s="168"/>
      <c r="I116" s="168"/>
      <c r="J116" s="107"/>
      <c r="K116" s="282"/>
      <c r="L116" s="282"/>
      <c r="M116" s="363"/>
      <c r="N116" s="363"/>
      <c r="O116" s="261"/>
      <c r="P116" s="261"/>
      <c r="Q116" s="261"/>
      <c r="R116" s="277"/>
      <c r="S116" s="117"/>
      <c r="T116" s="117"/>
      <c r="U116" s="117"/>
      <c r="V116" s="117"/>
    </row>
    <row r="117">
      <c r="A117" s="223"/>
      <c r="B117" s="224"/>
      <c r="C117" s="225"/>
      <c r="D117" s="225"/>
      <c r="E117" s="227"/>
      <c r="F117" s="177"/>
      <c r="G117" s="3502"/>
      <c r="H117" s="227"/>
      <c r="I117" s="227"/>
      <c r="J117" s="228"/>
      <c r="K117" s="228"/>
      <c r="L117" s="111"/>
      <c r="M117" s="111"/>
      <c r="N117" s="111"/>
      <c r="O117" s="117"/>
      <c r="P117" s="117"/>
      <c r="Q117" s="111"/>
      <c r="R117" s="111"/>
      <c r="S117" s="111"/>
      <c r="T117" s="111"/>
      <c r="U117" s="111"/>
      <c r="V117" s="111"/>
    </row>
    <row r="118">
      <c r="A118" s="284" t="s">
        <v>241</v>
      </c>
      <c r="B118" s="104"/>
      <c r="C118" s="265"/>
      <c r="D118" s="111"/>
      <c r="E118" s="111"/>
      <c r="F118" s="111"/>
      <c r="G118" s="111"/>
      <c r="H118" s="111"/>
      <c r="I118" s="111"/>
      <c r="J118" s="118"/>
      <c r="K118" s="111"/>
      <c r="L118" s="111"/>
      <c r="M118" s="111"/>
      <c r="N118" s="111"/>
      <c r="O118" s="111"/>
      <c r="P118" s="111"/>
      <c r="Q118" s="118"/>
      <c r="R118" s="111"/>
      <c r="S118" s="111"/>
      <c r="T118" s="111"/>
      <c r="U118" s="111"/>
      <c r="V118" s="111"/>
    </row>
    <row r="119" outlineLevel="1">
      <c r="A119" s="106"/>
      <c r="B119" s="107"/>
      <c r="C119" s="285" t="s">
        <v>235</v>
      </c>
      <c r="D119" s="285" t="s">
        <v>236</v>
      </c>
      <c r="E119" s="285" t="s">
        <v>49</v>
      </c>
      <c r="F119" s="285" t="s">
        <v>237</v>
      </c>
      <c r="G119" s="286"/>
      <c r="H119" s="227"/>
      <c r="I119" s="227"/>
      <c r="J119" s="228"/>
      <c r="K119" s="228"/>
      <c r="L119" s="111"/>
      <c r="M119" s="111"/>
      <c r="N119" s="111"/>
      <c r="O119" s="111"/>
      <c r="P119" s="111"/>
      <c r="Q119" s="111"/>
      <c r="R119" s="111"/>
      <c r="S119" s="111"/>
      <c r="T119" s="111"/>
      <c r="U119" s="111"/>
      <c r="V119" s="111"/>
    </row>
    <row r="120" outlineLevel="1">
      <c r="A120" s="287" t="s">
        <v>395</v>
      </c>
      <c r="B120" s="288" t="s">
        <v>216</v>
      </c>
      <c r="C120" s="113" t="str">
        <f t="array" ref="C120">INDEX('回避'!$C$3:$U$101, MATCH($A$1,'回避'!$A$3:$A$101,0), MATCH(C119,'回避'!$C$2:$F$2,0))</f>
        <v>3-17</v>
      </c>
      <c r="D120" s="113" t="str">
        <f t="array" ref="D120">INDEX('回避'!$C$3:$U$101, MATCH($A$1,'回避'!$A$3:$A$101,0), MATCH(D119,'回避'!$C$2:$F$2,0))</f>
        <v>6-17</v>
      </c>
      <c r="E120" s="113" t="str">
        <f t="array" ref="E120">INDEX('回避'!$C$3:$U$101, MATCH($A$1,'回避'!$A$3:$A$101,0), MATCH(E119,'回避'!$C$2:$F$2,0))</f>
        <v>25 (20)</v>
      </c>
      <c r="F120" s="113" t="str">
        <f t="array" ref="F120">INDEX('回避'!$C$3:$U$101, MATCH($A$1,'回避'!$A$3:$A$101,0), MATCH(F119,'回避'!$C$2:$F$2,0))</f>
        <v>33 (27)</v>
      </c>
      <c r="G120" s="272"/>
      <c r="H120" s="227"/>
      <c r="I120" s="227"/>
      <c r="J120" s="228"/>
      <c r="K120" s="228"/>
      <c r="L120" s="228"/>
      <c r="M120" s="111"/>
      <c r="N120" s="111"/>
      <c r="O120" s="111"/>
      <c r="P120" s="111"/>
      <c r="Q120" s="111"/>
      <c r="R120" s="111"/>
      <c r="S120" s="111"/>
      <c r="T120" s="111"/>
      <c r="U120" s="111"/>
      <c r="V120" s="111"/>
    </row>
    <row r="121" outlineLevel="1">
      <c r="A121" s="212"/>
      <c r="B121" s="288" t="s">
        <v>245</v>
      </c>
      <c r="C121" s="113" t="str">
        <f t="array" ref="C121">INDEX('回避'!$G$3:$U$101, MATCH($A$1,'回避'!$A$3:$A$101,0), MATCH(C119,'回避'!$G$2:$J$2,0))</f>
        <v>4-15</v>
      </c>
      <c r="D121" s="113" t="str">
        <f t="array" ref="D121">INDEX('回避'!$G$3:$U$101, MATCH($A$1,'回避'!$A$3:$A$101,0), MATCH(D119,'回避'!$G$2:$J$2,0))</f>
        <v>8-14</v>
      </c>
      <c r="E121" s="113" t="str">
        <f t="array" ref="E121">INDEX('回避'!$G$3:$U$101, MATCH($A$1,'回避'!$A$3:$A$101,0), MATCH(E119,'回避'!$G$2:$J$2,0))</f>
        <v>29</v>
      </c>
      <c r="F121" s="113" t="str">
        <f t="array" ref="F121">INDEX('回避'!$G$3:$U$101, MATCH($A$1,'回避'!$A$3:$A$101,0), MATCH(F119,'回避'!$G$2:$J$2,0))</f>
        <v>38</v>
      </c>
      <c r="G121" s="289"/>
      <c r="H121" s="227"/>
      <c r="I121" s="227"/>
      <c r="J121" s="228"/>
      <c r="K121" s="228"/>
      <c r="L121" s="228"/>
      <c r="M121" s="228"/>
      <c r="N121" s="228"/>
      <c r="O121" s="111"/>
      <c r="P121" s="111"/>
      <c r="Q121" s="111"/>
      <c r="R121" s="111"/>
      <c r="S121" s="111"/>
      <c r="T121" s="111"/>
      <c r="U121" s="111"/>
      <c r="V121" s="111"/>
    </row>
    <row r="122" outlineLevel="1">
      <c r="A122" s="106"/>
      <c r="B122" s="288" t="s">
        <v>246</v>
      </c>
      <c r="C122" s="113" t="str">
        <f t="array" ref="C122">INDEX('回避'!$K$3:$U$101, MATCH($A$1,'回避'!$A$3:$A$101,0), MATCH(C119,'回避'!$K$2:$N$2,0))</f>
        <v>5-16</v>
      </c>
      <c r="D122" s="113" t="str">
        <f t="array" ref="D122">INDEX('回避'!$K$3:$U$101, MATCH($A$1,'回避'!$A$3:$A$101,0), MATCH(D119,'回避'!$K$2:$N$2,0))</f>
        <v>9-14</v>
      </c>
      <c r="E122" s="113" t="str">
        <f t="array" ref="E122">INDEX('回避'!$K$3:$U$101, MATCH($A$1,'回避'!$A$3:$A$101,0), MATCH(E119,'回避'!$K$2:$N$2,0))</f>
        <v>34</v>
      </c>
      <c r="F122" s="113" t="str">
        <f t="array" ref="F122">INDEX('回避'!$K$3:$U$101, MATCH($A$1,'回避'!$A$3:$A$101,0), MATCH(F119,'回避'!$K$2:$N$2,0))</f>
        <v>51</v>
      </c>
      <c r="G122" s="289"/>
      <c r="H122" s="290"/>
      <c r="I122" s="290"/>
      <c r="J122" s="117"/>
      <c r="K122" s="117"/>
      <c r="L122" s="117"/>
      <c r="M122" s="117"/>
      <c r="N122" s="117"/>
      <c r="O122" s="111"/>
      <c r="P122" s="111"/>
      <c r="Q122" s="111"/>
      <c r="R122" s="111"/>
      <c r="S122" s="111"/>
      <c r="T122" s="111"/>
      <c r="U122" s="111"/>
      <c r="V122" s="111"/>
    </row>
    <row r="123" outlineLevel="1">
      <c r="A123" s="287" t="s">
        <v>396</v>
      </c>
      <c r="B123" s="288" t="s">
        <v>397</v>
      </c>
      <c r="C123" s="113" t="str">
        <f t="array" ref="C123">INDEX('回避'!$O$3:$U$101, MATCH($A$1,'回避'!$A$3:$A$101,0), MATCH(C119,'回避'!$O$2:$R$2,0))</f>
        <v>3-30</v>
      </c>
      <c r="D123" s="113" t="str">
        <f t="array" ref="D123">INDEX('回避'!$O$3:$U$101, MATCH($A$1,'回避'!$A$3:$A$101,0), MATCH(D119,'回避'!$O$2:$R$2,0))</f>
        <v>6-27</v>
      </c>
      <c r="E123" s="113" t="str">
        <f t="array" ref="E123">INDEX('回避'!$O$3:$U$101, MATCH($A$1,'回避'!$A$3:$A$101,0), MATCH(E119,'回避'!$O$2:$R$2,0))</f>
        <v>49</v>
      </c>
      <c r="F123" s="177"/>
      <c r="G123" s="177"/>
      <c r="H123" s="118"/>
      <c r="I123" s="118"/>
      <c r="J123" s="111"/>
      <c r="K123" s="111"/>
      <c r="L123" s="111"/>
      <c r="M123" s="111"/>
      <c r="N123" s="111"/>
      <c r="O123" s="228"/>
      <c r="P123" s="228"/>
      <c r="Q123" s="228"/>
      <c r="R123" s="228"/>
      <c r="S123" s="228"/>
      <c r="T123" s="228"/>
      <c r="U123" s="228"/>
      <c r="V123" s="228"/>
    </row>
    <row r="124" outlineLevel="1">
      <c r="A124" s="106"/>
      <c r="B124" s="288" t="s">
        <v>398</v>
      </c>
      <c r="C124" s="113" t="str">
        <f t="array" ref="C124">INDEX('回避'!$S$3:$U$101, MATCH($A$1,'回避'!$A$3:$A$101,0), MATCH(C119,'回避'!$S$2:$U$2,0))</f>
        <v>3-21</v>
      </c>
      <c r="D124" s="113" t="str">
        <f t="array" ref="D124">INDEX('回避'!$S$3:$U$101, MATCH($A$1,'回避'!$A$3:$A$101,0), MATCH(D119,'回避'!$S$2:$U$2,0))</f>
        <v>6-20</v>
      </c>
      <c r="E124" s="113" t="str">
        <f t="array" ref="E124">INDEX('回避'!$S$3:$U$101, MATCH($A$1,'回避'!$A$3:$A$101,0), MATCH(E119,'回避'!$S$2:$U$2,0))</f>
        <v>真横：83
真上：110
真下：68</v>
      </c>
      <c r="F124" s="289"/>
      <c r="G124" s="289"/>
      <c r="H124" s="118"/>
      <c r="I124" s="118"/>
      <c r="J124" s="117"/>
      <c r="K124" s="117"/>
      <c r="L124" s="117"/>
      <c r="M124" s="117"/>
      <c r="N124" s="111"/>
      <c r="O124" s="118"/>
      <c r="P124" s="118"/>
      <c r="Q124" s="118"/>
      <c r="R124" s="118"/>
      <c r="S124" s="118"/>
      <c r="T124" s="118"/>
      <c r="U124" s="118"/>
      <c r="V124" s="118"/>
    </row>
    <row r="125">
      <c r="A125" s="291"/>
      <c r="B125" s="292"/>
      <c r="C125" s="286"/>
      <c r="D125" s="286"/>
      <c r="E125" s="293"/>
      <c r="F125" s="286"/>
      <c r="G125" s="286"/>
      <c r="H125" s="286"/>
      <c r="I125" s="286"/>
      <c r="J125" s="111"/>
      <c r="K125" s="227"/>
      <c r="L125" s="227"/>
      <c r="M125" s="227"/>
      <c r="N125" s="227"/>
      <c r="O125" s="118"/>
      <c r="P125" s="118"/>
      <c r="Q125" s="118"/>
      <c r="R125" s="118"/>
      <c r="S125" s="118"/>
      <c r="T125" s="118"/>
      <c r="U125" s="118"/>
      <c r="V125" s="118"/>
    </row>
    <row r="126">
      <c r="A126" s="294" t="s">
        <v>238</v>
      </c>
      <c r="B126" s="104"/>
      <c r="C126" s="228"/>
      <c r="D126" s="117"/>
      <c r="E126" s="228"/>
      <c r="F126" s="114"/>
      <c r="G126" s="114"/>
      <c r="H126" s="117"/>
      <c r="I126" s="117"/>
      <c r="J126" s="118"/>
      <c r="K126" s="118"/>
      <c r="L126" s="118"/>
      <c r="M126" s="118"/>
      <c r="N126" s="118"/>
      <c r="O126" s="118"/>
      <c r="P126" s="118"/>
      <c r="Q126" s="118"/>
      <c r="R126" s="118"/>
      <c r="S126" s="118"/>
      <c r="T126" s="118"/>
      <c r="U126" s="118"/>
      <c r="V126" s="118"/>
    </row>
    <row r="127" outlineLevel="1">
      <c r="A127" s="106"/>
      <c r="B127" s="107"/>
      <c r="C127" s="295" t="s">
        <v>235</v>
      </c>
      <c r="D127" s="295" t="s">
        <v>49</v>
      </c>
      <c r="E127" s="295" t="s">
        <v>48</v>
      </c>
      <c r="F127" s="295" t="s">
        <v>50</v>
      </c>
      <c r="G127" s="296" t="s">
        <v>51</v>
      </c>
      <c r="H127" s="228"/>
      <c r="I127" s="228"/>
      <c r="J127" s="117"/>
      <c r="K127" s="297" t="s">
        <v>256</v>
      </c>
      <c r="L127" s="109"/>
      <c r="M127" s="298" t="s">
        <v>257</v>
      </c>
      <c r="N127" s="298" t="s">
        <v>49</v>
      </c>
      <c r="O127" s="118"/>
      <c r="P127" s="118"/>
      <c r="Q127" s="118"/>
      <c r="R127" s="118"/>
      <c r="S127" s="118"/>
      <c r="T127" s="118"/>
      <c r="U127" s="118"/>
      <c r="V127" s="118"/>
    </row>
    <row r="128" outlineLevel="1">
      <c r="A128" s="299" t="s">
        <v>239</v>
      </c>
      <c r="B128" s="300" t="s">
        <v>240</v>
      </c>
      <c r="C128" s="301"/>
      <c r="D128" s="113">
        <f t="array" ref="D128">INDEX('崖行動・受け身'!$C$3:$C$115, MATCH($A$1,'崖行動・受け身'!$A$3:$A$115,0), MATCH(D127,'崖行動・受け身'!$C$2,0))</f>
        <v>19</v>
      </c>
      <c r="E128" s="301"/>
      <c r="F128" s="301"/>
      <c r="G128" s="301"/>
      <c r="H128" s="228"/>
      <c r="I128" s="228"/>
      <c r="J128" s="111"/>
      <c r="K128" s="302" t="s">
        <v>258</v>
      </c>
      <c r="L128" s="303" t="s">
        <v>216</v>
      </c>
      <c r="M128" s="113" t="str">
        <f t="array" ref="M128">INDEX('アイテム'!$C$3:$D$115, MATCH($A$1,'アイテム'!$A$3:$A$115,0), MATCH(M$127,'アイテム'!$C$2:$AK$2,0))</f>
        <v>2</v>
      </c>
      <c r="N128" s="113">
        <f t="array" ref="N128">INDEX('アイテム'!$C$3:$D$115, MATCH($A$1,'アイテム'!$A$3:$A$115,0), MATCH(N$127,'アイテム'!$C$2:$AK$2,0))</f>
        <v>7</v>
      </c>
      <c r="O128" s="118"/>
      <c r="P128" s="118"/>
      <c r="Q128" s="118"/>
      <c r="R128" s="118"/>
      <c r="S128" s="118"/>
      <c r="T128" s="118"/>
      <c r="U128" s="118"/>
      <c r="V128" s="118"/>
    </row>
    <row r="129" outlineLevel="1">
      <c r="A129" s="146"/>
      <c r="B129" s="300" t="s">
        <v>216</v>
      </c>
      <c r="C129" s="113" t="str">
        <f t="array" ref="C129">INDEX('崖行動・受け身'!$D$3:$E$115, MATCH($A$1,'崖行動・受け身'!$A$3:$A$115,0), MATCH(C$127,'崖行動・受け身'!$D$2:$E$2,0))</f>
        <v>1-33</v>
      </c>
      <c r="D129" s="113">
        <f t="array" ref="D129">INDEX('崖行動・受け身'!$D$3:$E$115, MATCH($A$1,'崖行動・受け身'!$A$3:$A$115,0), MATCH(D$127,'崖行動・受け身'!$D$2:$E$2,0))</f>
        <v>34</v>
      </c>
      <c r="E129" s="301"/>
      <c r="F129" s="301"/>
      <c r="G129" s="301"/>
      <c r="H129" s="228"/>
      <c r="I129" s="228"/>
      <c r="J129" s="117"/>
      <c r="K129" s="156"/>
      <c r="L129" s="303" t="s">
        <v>5389</v>
      </c>
      <c r="M129" s="113" t="str">
        <f t="array" ref="M129">INDEX('アイテム'!$E$3:$F$115, MATCH($A$1,'アイテム'!$A$3:$A$115,0), MATCH(M$127,'アイテム'!$E$2:$AK$2,0))</f>
        <v>2</v>
      </c>
      <c r="N129" s="113">
        <f t="array" ref="N129">INDEX('アイテム'!$E$3:$F$115, MATCH($A$1,'アイテム'!$A$3:$A$115,0), MATCH(N$127,'アイテム'!$E$2:$AK$2,0))</f>
        <v>19</v>
      </c>
      <c r="O129" s="118"/>
      <c r="P129" s="118"/>
      <c r="Q129" s="118"/>
      <c r="R129" s="118"/>
      <c r="S129" s="118"/>
      <c r="T129" s="118"/>
      <c r="U129" s="118"/>
      <c r="V129" s="118"/>
    </row>
    <row r="130" outlineLevel="1">
      <c r="A130" s="146"/>
      <c r="B130" s="300" t="s">
        <v>241</v>
      </c>
      <c r="C130" s="113" t="str">
        <f t="array" ref="C130">INDEX('崖行動・受け身'!$F$3:$G$115, MATCH($A$1,'崖行動・受け身'!$A$3:$A$115,0), MATCH(C$127,'崖行動・受け身'!$F$2:$G$2,0))</f>
        <v>1-30</v>
      </c>
      <c r="D130" s="113">
        <f t="array" ref="D130">INDEX('崖行動・受け身'!$F$3:$G$115, MATCH($A$1,'崖行動・受け身'!$A$3:$A$115,0), MATCH(D$127,'崖行動・受け身'!$F$2:$G$2,0))</f>
        <v>45</v>
      </c>
      <c r="E130" s="301"/>
      <c r="F130" s="301"/>
      <c r="G130" s="301"/>
      <c r="H130" s="228"/>
      <c r="I130" s="228"/>
      <c r="J130" s="111"/>
      <c r="K130" s="304" t="s">
        <v>260</v>
      </c>
      <c r="L130" s="109"/>
      <c r="M130" s="298" t="s">
        <v>261</v>
      </c>
      <c r="N130" s="298" t="s">
        <v>49</v>
      </c>
      <c r="O130" s="118"/>
      <c r="P130" s="118"/>
      <c r="Q130" s="118"/>
      <c r="R130" s="118"/>
      <c r="S130" s="118"/>
      <c r="T130" s="118"/>
      <c r="U130" s="118"/>
      <c r="V130" s="118"/>
    </row>
    <row r="131" outlineLevel="1">
      <c r="A131" s="146"/>
      <c r="B131" s="300" t="s">
        <v>242</v>
      </c>
      <c r="C131" s="113" t="str">
        <f t="array" ref="C131">INDEX('崖行動・受け身'!$H$3:$I$115, MATCH($A$1,'崖行動・受け身'!$A$3:$A$115,0), MATCH(C$127,'崖行動・受け身'!$H$2:$I$2,0))</f>
        <v>1-12</v>
      </c>
      <c r="D131" s="113">
        <f t="array" ref="D131">INDEX('崖行動・受け身'!$H$3:$I$115, MATCH($A$1,'崖行動・受け身'!$A$3:$A$115,0), MATCH(D$127,'崖行動・受け身'!$H$2:$I$2,0))</f>
        <v>14</v>
      </c>
      <c r="E131" s="301"/>
      <c r="F131" s="301"/>
      <c r="G131" s="301"/>
      <c r="H131" s="228"/>
      <c r="I131" s="228"/>
      <c r="J131" s="117"/>
      <c r="K131" s="305" t="s">
        <v>262</v>
      </c>
      <c r="L131" s="303" t="s">
        <v>226</v>
      </c>
      <c r="M131" s="113" t="str">
        <f t="array" ref="M131">INDEX('アイテム'!$G$3:$H$115, MATCH($A$1,'アイテム'!$A$3:$A$115,0), MATCH(M$130,'アイテム'!$G$2:$AK$2,0))</f>
        <v>8</v>
      </c>
      <c r="N131" s="113">
        <f t="array" ref="N131">INDEX('アイテム'!$G$3:$H$115, MATCH($A$1,'アイテム'!$A$3:$A$115,0), MATCH(N$130,'アイテム'!$G$2:$AK$2,0))</f>
        <v>24</v>
      </c>
      <c r="O131" s="111"/>
      <c r="P131" s="111"/>
      <c r="Q131" s="111"/>
      <c r="R131" s="111"/>
      <c r="S131" s="111"/>
      <c r="T131" s="111"/>
      <c r="U131" s="111"/>
      <c r="V131" s="111"/>
    </row>
    <row r="132" outlineLevel="1">
      <c r="A132" s="156"/>
      <c r="B132" s="300" t="s">
        <v>243</v>
      </c>
      <c r="C132" s="113" t="str">
        <f t="array" ref="C132">INDEX('崖行動・受け身'!$J$3:$M$115, MATCH($A$1,'崖行動・受け身'!$A$3:$A$115,0), MATCH(C$127,'崖行動・受け身'!$J$2:$M$2,0))</f>
        <v>1-26</v>
      </c>
      <c r="D132" s="113">
        <f t="array" ref="D132">INDEX('崖行動・受け身'!$J$3:$M$115, MATCH($A$1,'崖行動・受け身'!$A$3:$A$115,0), MATCH(D$127,'崖行動・受け身'!$J$2:$M$2,0))</f>
        <v>55</v>
      </c>
      <c r="E132" s="113" t="str">
        <f t="array" ref="E132">INDEX('崖行動・受け身'!$J$3:$M$115, MATCH($A$1,'崖行動・受け身'!$A$3:$A$115,0), MATCH(E$127,'崖行動・受け身'!$J$2:$M$2,0))</f>
        <v>24-26</v>
      </c>
      <c r="F132" s="113">
        <f t="array" ref="F132">INDEX('崖行動・受け身'!$J$3:$M$115, MATCH($A$1,'崖行動・受け身'!$A$3:$A$115,0), MATCH(F$127,'崖行動・受け身'!$J$2:$M$2,0))</f>
        <v>10</v>
      </c>
      <c r="G132" s="113">
        <f>F132*1.2</f>
        <v>12</v>
      </c>
      <c r="H132" s="228"/>
      <c r="I132" s="228"/>
      <c r="J132" s="111"/>
      <c r="K132" s="146"/>
      <c r="L132" s="303" t="s">
        <v>229</v>
      </c>
      <c r="M132" s="113" t="str">
        <f t="array" ref="M132">INDEX('アイテム'!$I$3:$J$115, MATCH($A$1,'アイテム'!$A$3:$A$115,0), MATCH(M$130,'アイテム'!$I$2:$AK$2,0))</f>
        <v>11</v>
      </c>
      <c r="N132" s="113">
        <f t="array" ref="N132">INDEX('アイテム'!$I$3:$J$115, MATCH($A$1,'アイテム'!$A$3:$A$115,0), MATCH(N$130,'アイテム'!$I$2:$AK$2,0))</f>
        <v>24</v>
      </c>
      <c r="O132" s="111"/>
      <c r="P132" s="111"/>
      <c r="Q132" s="111"/>
      <c r="R132" s="111"/>
      <c r="S132" s="111"/>
      <c r="T132" s="111"/>
      <c r="U132" s="111"/>
      <c r="V132" s="111"/>
    </row>
    <row r="133" outlineLevel="1">
      <c r="A133" s="299" t="s">
        <v>244</v>
      </c>
      <c r="B133" s="300" t="s">
        <v>216</v>
      </c>
      <c r="C133" s="113" t="str">
        <f t="array" ref="C133">INDEX('崖行動・受け身'!$N$3:$O$115, MATCH($A$1,'崖行動・受け身'!$A$3:$A$115,0), MATCH(C$127,'崖行動・受け身'!$N$2:$O$2,0))</f>
        <v>1-20</v>
      </c>
      <c r="D133" s="113">
        <f t="array" ref="D133">INDEX('崖行動・受け身'!$N$3:$O$115, MATCH($A$1,'崖行動・受け身'!$A$3:$A$115,0), MATCH(D$127,'崖行動・受け身'!$N$2:$O$2,0))</f>
        <v>26</v>
      </c>
      <c r="E133" s="301"/>
      <c r="F133" s="301"/>
      <c r="G133" s="301"/>
      <c r="H133" s="228"/>
      <c r="I133" s="228"/>
      <c r="J133" s="117"/>
      <c r="K133" s="146"/>
      <c r="L133" s="303" t="s">
        <v>233</v>
      </c>
      <c r="M133" s="113" t="str">
        <f t="array" ref="M133">INDEX('アイテム'!$K$3:$L$115, MATCH($A$1,'アイテム'!$A$3:$A$115,0), MATCH(M$130,'アイテム'!$K$2:$AK$2,0))</f>
        <v>12</v>
      </c>
      <c r="N133" s="113">
        <f t="array" ref="N133">INDEX('アイテム'!$K$3:$L$115, MATCH($A$1,'アイテム'!$A$3:$A$115,0), MATCH(N$130,'アイテム'!$K$2:$AK$2,0))</f>
        <v>23</v>
      </c>
      <c r="O133" s="228"/>
      <c r="P133" s="228"/>
      <c r="Q133" s="228"/>
      <c r="R133" s="228"/>
      <c r="S133" s="228"/>
      <c r="T133" s="228"/>
      <c r="U133" s="228"/>
      <c r="V133" s="228"/>
    </row>
    <row r="134" outlineLevel="1">
      <c r="A134" s="146"/>
      <c r="B134" s="300" t="s">
        <v>245</v>
      </c>
      <c r="C134" s="113" t="str">
        <f t="array" ref="C134">INDEX('崖行動・受け身'!$P$3:$Q$115, MATCH($A$1,'崖行動・受け身'!$A$3:$A$115,0), MATCH(C$127,'崖行動・受け身'!$P$2:$Q$2,0))</f>
        <v>1-20</v>
      </c>
      <c r="D134" s="113">
        <f t="array" ref="D134">INDEX('崖行動・受け身'!$P$3:$Q$115, MATCH($A$1,'崖行動・受け身'!$A$3:$A$115,0), MATCH(D$127,'崖行動・受け身'!$P$2:$Q$2,0))</f>
        <v>40</v>
      </c>
      <c r="E134" s="301"/>
      <c r="F134" s="301"/>
      <c r="G134" s="301"/>
      <c r="H134" s="228"/>
      <c r="I134" s="228"/>
      <c r="J134" s="111"/>
      <c r="K134" s="146"/>
      <c r="L134" s="303" t="s">
        <v>234</v>
      </c>
      <c r="M134" s="113" t="str">
        <f t="array" ref="M134">INDEX('アイテム'!$M$3:$N$115, MATCH($A$1,'アイテム'!$A$3:$A$115,0), MATCH(M$130,'アイテム'!$M$2:$AK$2,0))</f>
        <v>7</v>
      </c>
      <c r="N134" s="113">
        <f t="array" ref="N134">INDEX('アイテム'!$M$3:$N$115, MATCH($A$1,'アイテム'!$A$3:$A$115,0), MATCH(N$130,'アイテム'!$M$2:$AK$2,0))</f>
        <v>19</v>
      </c>
      <c r="O134" s="118"/>
      <c r="P134" s="118"/>
      <c r="Q134" s="118"/>
      <c r="R134" s="118"/>
      <c r="S134" s="118"/>
      <c r="T134" s="118"/>
      <c r="U134" s="118"/>
      <c r="V134" s="118"/>
    </row>
    <row r="135" outlineLevel="1">
      <c r="A135" s="156"/>
      <c r="B135" s="300" t="s">
        <v>246</v>
      </c>
      <c r="C135" s="113" t="str">
        <f t="array" ref="C135">INDEX('崖行動・受け身'!$R$3:$S$115, MATCH($A$1,'崖行動・受け身'!$A$3:$A$115,0), MATCH(C$127,'崖行動・受け身'!$R$2:$S$2,0))</f>
        <v>1-20</v>
      </c>
      <c r="D135" s="113">
        <f t="array" ref="D135">INDEX('崖行動・受け身'!$R$3:$S$115, MATCH($A$1,'崖行動・受け身'!$A$3:$A$115,0), MATCH(D$127,'崖行動・受け身'!$R$2:$S$2,0))</f>
        <v>40</v>
      </c>
      <c r="E135" s="301"/>
      <c r="F135" s="301"/>
      <c r="G135" s="301"/>
      <c r="H135" s="228"/>
      <c r="I135" s="228"/>
      <c r="J135" s="117"/>
      <c r="K135" s="146"/>
      <c r="L135" s="306" t="s">
        <v>219</v>
      </c>
      <c r="M135" s="113" t="str">
        <f t="array" ref="M135">INDEX('アイテム'!$O$3:$P$115, MATCH($A$1,'アイテム'!$A$3:$A$115,0), MATCH(M$130,'アイテム'!$O$2:$AK$2,0))</f>
        <v>5</v>
      </c>
      <c r="N135" s="113">
        <f t="array" ref="N135">INDEX('アイテム'!$O$3:$P$115, MATCH($A$1,'アイテム'!$A$3:$A$115,0), MATCH(N$130,'アイテム'!$O$2:$AK$2,0))</f>
        <v>29</v>
      </c>
      <c r="O135" s="118"/>
      <c r="P135" s="118"/>
      <c r="Q135" s="118"/>
      <c r="R135" s="118"/>
      <c r="S135" s="118"/>
      <c r="T135" s="118"/>
      <c r="U135" s="118"/>
      <c r="V135" s="118"/>
    </row>
    <row r="136" outlineLevel="1">
      <c r="A136" s="299" t="s">
        <v>247</v>
      </c>
      <c r="B136" s="300" t="s">
        <v>248</v>
      </c>
      <c r="C136" s="301"/>
      <c r="D136" s="113" t="str">
        <f t="array" ref="D136">INDEX('起きあがり'!$C$3:$C$115, MATCH($A$1,'起きあがり'!$A$3:$A$115,0), MATCH(D$127,'起きあがり'!$C$2:$AD$2,0))</f>
        <v>25</v>
      </c>
      <c r="E136" s="301"/>
      <c r="F136" s="301"/>
      <c r="G136" s="301"/>
      <c r="H136" s="228"/>
      <c r="I136" s="228"/>
      <c r="J136" s="111"/>
      <c r="K136" s="156"/>
      <c r="L136" s="306" t="s">
        <v>263</v>
      </c>
      <c r="M136" s="113" t="str">
        <f t="array" ref="M136">INDEX('アイテム'!$Q$3:$R$115, MATCH($A$1,'アイテム'!$A$3:$A$115,0), MATCH(M$130,'アイテム'!$Q$2:$AK$2,0))</f>
        <v>6</v>
      </c>
      <c r="N136" s="113">
        <f t="array" ref="N136">INDEX('アイテム'!$Q$3:$R$115, MATCH($A$1,'アイテム'!$A$3:$A$115,0), MATCH(N$130,'アイテム'!$Q$2:$AK$2,0))</f>
        <v>23</v>
      </c>
      <c r="O136" s="118"/>
      <c r="P136" s="118"/>
      <c r="Q136" s="118"/>
      <c r="R136" s="118"/>
      <c r="S136" s="118"/>
      <c r="T136" s="118"/>
      <c r="U136" s="118"/>
      <c r="V136" s="118"/>
    </row>
    <row r="137" outlineLevel="1">
      <c r="A137" s="146"/>
      <c r="B137" s="300" t="s">
        <v>216</v>
      </c>
      <c r="C137" s="307" t="str">
        <f t="array" ref="C137">INDEX('起きあがり'!$D$3:$E$115, MATCH($A$1,'起きあがり'!$A$3:$A$115,0), MATCH(C$127,'起きあがり'!$D$2:$AD$2,0))</f>
        <v>1-22</v>
      </c>
      <c r="D137" s="308">
        <f t="array" ref="D137">INDEX('起きあがり'!$D$3:$E$115, MATCH($A$1,'起きあがり'!$A$3:$A$115,0), MATCH(D$127,'起きあがり'!$D$2:$AD$2,0))</f>
        <v>29</v>
      </c>
      <c r="E137" s="301"/>
      <c r="F137" s="301"/>
      <c r="G137" s="301"/>
      <c r="H137" s="228"/>
      <c r="I137" s="228"/>
      <c r="J137" s="117"/>
      <c r="K137" s="305" t="s">
        <v>264</v>
      </c>
      <c r="L137" s="303" t="s">
        <v>226</v>
      </c>
      <c r="M137" s="113" t="str">
        <f t="array" ref="M137">INDEX('アイテム'!$S$3:$T$115, MATCH($A$1,'アイテム'!$A$3:$A$115,0), MATCH(M$130,'アイテム'!$S$2:$AK$2,0))</f>
        <v>8</v>
      </c>
      <c r="N137" s="113">
        <f t="array" ref="N137">INDEX('アイテム'!$S$3:$T$115, MATCH($A$1,'アイテム'!$A$3:$A$115,0), MATCH(N$130,'アイテム'!$S$2:$AK$2,0))</f>
        <v>24</v>
      </c>
      <c r="O137" s="118"/>
      <c r="P137" s="118"/>
      <c r="Q137" s="118"/>
      <c r="R137" s="118"/>
      <c r="S137" s="118"/>
      <c r="T137" s="118"/>
      <c r="U137" s="118"/>
      <c r="V137" s="118"/>
    </row>
    <row r="138" outlineLevel="1">
      <c r="A138" s="146"/>
      <c r="B138" s="300" t="s">
        <v>245</v>
      </c>
      <c r="C138" s="307" t="str">
        <f t="array" ref="C138">INDEX('起きあがり'!$F$3:$G$115, MATCH($A$1,'起きあがり'!$A$3:$A$115,0), MATCH(C$127,'起きあがり'!$F$2:$AD$2,0))</f>
        <v>1-21</v>
      </c>
      <c r="D138" s="308">
        <f t="array" ref="D138">INDEX('起きあがり'!$F$3:$G$115, MATCH($A$1,'起きあがり'!$A$3:$A$115,0), MATCH(D$127,'起きあがり'!$F$2:$AD$2,0))</f>
        <v>35</v>
      </c>
      <c r="E138" s="301"/>
      <c r="F138" s="301"/>
      <c r="G138" s="301"/>
      <c r="H138" s="228"/>
      <c r="I138" s="228"/>
      <c r="J138" s="111"/>
      <c r="K138" s="146"/>
      <c r="L138" s="303" t="s">
        <v>229</v>
      </c>
      <c r="M138" s="113" t="str">
        <f t="array" ref="M138">INDEX('アイテム'!$U$3:$V$115, MATCH($A$1,'アイテム'!$A$3:$A$115,0), MATCH(M$130,'アイテム'!$U$2:$AK$2,0))</f>
        <v>11</v>
      </c>
      <c r="N138" s="113">
        <f t="array" ref="N138">INDEX('アイテム'!$U$3:$V$115, MATCH($A$1,'アイテム'!$A$3:$A$115,0), MATCH(N$130,'アイテム'!$U$2:$AK$2,0))</f>
        <v>24</v>
      </c>
      <c r="O138" s="118"/>
      <c r="P138" s="118"/>
      <c r="Q138" s="118"/>
      <c r="R138" s="118"/>
      <c r="S138" s="118"/>
      <c r="T138" s="118"/>
      <c r="U138" s="118"/>
      <c r="V138" s="118"/>
    </row>
    <row r="139" outlineLevel="1">
      <c r="A139" s="146"/>
      <c r="B139" s="300" t="s">
        <v>246</v>
      </c>
      <c r="C139" s="113" t="str">
        <f t="array" ref="C139">INDEX('起きあがり'!$H$3:$I$115, MATCH($A$1,'起きあがり'!$A$3:$A$115,0), MATCH(C$127,'起きあがり'!$H$2:$AD$2,0))</f>
        <v>1-22</v>
      </c>
      <c r="D139" s="113">
        <f t="array" ref="D139">INDEX('起きあがり'!$H$3:$I$115, MATCH($A$1,'起きあがり'!$A$3:$A$115,0), MATCH(D$127,'起きあがり'!$H$2:$AD$2,0))</f>
        <v>35</v>
      </c>
      <c r="E139" s="301"/>
      <c r="F139" s="301"/>
      <c r="G139" s="301"/>
      <c r="H139" s="228"/>
      <c r="I139" s="228"/>
      <c r="J139" s="117"/>
      <c r="K139" s="146"/>
      <c r="L139" s="303" t="s">
        <v>233</v>
      </c>
      <c r="M139" s="113" t="str">
        <f t="array" ref="M139">INDEX('アイテム'!$W$3:$X$115, MATCH($A$1,'アイテム'!$A$3:$A$115,0), MATCH(M$130,'アイテム'!$W$2:$AK$2,0))</f>
        <v>12</v>
      </c>
      <c r="N139" s="113">
        <f t="array" ref="N139">INDEX('アイテム'!$W$3:$X$115, MATCH($A$1,'アイテム'!$A$3:$A$115,0), MATCH(N$130,'アイテム'!$W$2:$AK$2,0))</f>
        <v>23</v>
      </c>
      <c r="O139" s="118"/>
      <c r="P139" s="118"/>
      <c r="Q139" s="118"/>
      <c r="R139" s="118"/>
      <c r="S139" s="118"/>
      <c r="T139" s="118"/>
      <c r="U139" s="118"/>
      <c r="V139" s="118"/>
    </row>
    <row r="140" outlineLevel="1">
      <c r="A140" s="146"/>
      <c r="B140" s="300" t="s">
        <v>249</v>
      </c>
      <c r="C140" s="309" t="str">
        <f t="array" ref="C140">INDEX('起きあがり'!$J$3:$M$115, MATCH($A$1,'起きあがり'!$A$3:$A$115,0), MATCH(C$127,'起きあがり'!$J$2:$AD$2,0))</f>
        <v>1-25</v>
      </c>
      <c r="D140" s="310">
        <f t="array" ref="D140">INDEX('起きあがり'!$J$3:$M$115, MATCH($A$1,'起きあがり'!$A$3:$A$115,0), MATCH(D$127,'起きあがり'!$J$2:$AD$2,0))</f>
        <v>45</v>
      </c>
      <c r="E140" s="307" t="str">
        <f t="array" ref="E140">INDEX('起きあがり'!$J$3:$M$115, MATCH($A$1,'起きあがり'!$A$3:$A$115,0), MATCH(E$127,'起きあがり'!$J$2:$AD$2,0))</f>
        <v>14-15</v>
      </c>
      <c r="F140" s="308">
        <f t="array" ref="F140">INDEX('起きあがり'!$J$3:$M$115, MATCH($A$1,'起きあがり'!$A$3:$A$115,0), MATCH(F$127,'起きあがり'!$J$2:$AD$2,0))</f>
        <v>7</v>
      </c>
      <c r="G140" s="113">
        <f t="shared" ref="G140:G141" si="3">F140*1.2</f>
        <v>8.4</v>
      </c>
      <c r="H140" s="228"/>
      <c r="I140" s="228"/>
      <c r="J140" s="111"/>
      <c r="K140" s="156"/>
      <c r="L140" s="303" t="s">
        <v>234</v>
      </c>
      <c r="M140" s="113" t="str">
        <f t="array" ref="M140">INDEX('アイテム'!$Y$3:$Z$115, MATCH($A$1,'アイテム'!$A$3:$A$115,0), MATCH(M$130,'アイテム'!$Y$2:$AK$2,0))</f>
        <v>7</v>
      </c>
      <c r="N140" s="113">
        <f t="array" ref="N140">INDEX('アイテム'!$Y$3:$Z$115, MATCH($A$1,'アイテム'!$A$3:$A$115,0), MATCH(N$130,'アイテム'!$Y$2:$AK$2,0))</f>
        <v>19</v>
      </c>
      <c r="O140" s="111"/>
      <c r="P140" s="111"/>
      <c r="Q140" s="111"/>
      <c r="R140" s="111"/>
      <c r="S140" s="111"/>
      <c r="T140" s="111"/>
      <c r="U140" s="111"/>
      <c r="V140" s="111"/>
    </row>
    <row r="141" outlineLevel="1">
      <c r="A141" s="156"/>
      <c r="B141" s="311" t="s">
        <v>250</v>
      </c>
      <c r="C141" s="156"/>
      <c r="D141" s="156"/>
      <c r="E141" s="307" t="str">
        <f t="array" ref="E141">INDEX('起きあがり'!$N$3:$O$115, MATCH($A$1,'起きあがり'!$A$3:$A$115,0), MATCH(E$127,'起きあがり'!$N$2:$AD$2,0))</f>
        <v>24-25</v>
      </c>
      <c r="F141" s="308">
        <f t="array" ref="F141">INDEX('起きあがり'!$N$3:$O$115, MATCH($A$1,'起きあがり'!$A$3:$A$115,0), MATCH(F$127,'起きあがり'!$N$2:$AD$2,0))</f>
        <v>7</v>
      </c>
      <c r="G141" s="113">
        <f t="shared" si="3"/>
        <v>8.4</v>
      </c>
      <c r="H141" s="228"/>
      <c r="I141" s="228"/>
      <c r="J141" s="111"/>
      <c r="K141" s="312" t="s">
        <v>5390</v>
      </c>
      <c r="L141" s="168"/>
      <c r="M141" s="298" t="s">
        <v>49</v>
      </c>
      <c r="N141" s="114"/>
      <c r="O141" s="111"/>
      <c r="P141" s="111"/>
      <c r="Q141" s="111"/>
      <c r="R141" s="111"/>
      <c r="S141" s="111"/>
      <c r="T141" s="111"/>
      <c r="U141" s="111"/>
      <c r="V141" s="111"/>
    </row>
    <row r="142" outlineLevel="1">
      <c r="A142" s="299" t="s">
        <v>251</v>
      </c>
      <c r="B142" s="300" t="s">
        <v>248</v>
      </c>
      <c r="C142" s="301"/>
      <c r="D142" s="307" t="str">
        <f t="array" ref="D142">INDEX('起きあがり'!$C$3:$C$115, MATCH($A$1,'起きあがり'!$A$3:$A$115,0), MATCH(D$127,'起きあがり'!$C$2:$AD$2,0))</f>
        <v>25</v>
      </c>
      <c r="E142" s="301"/>
      <c r="F142" s="301"/>
      <c r="G142" s="301"/>
      <c r="H142" s="228"/>
      <c r="I142" s="228"/>
      <c r="J142" s="117"/>
      <c r="K142" s="313" t="s">
        <v>693</v>
      </c>
      <c r="L142" s="314" t="s">
        <v>693</v>
      </c>
      <c r="M142" s="113" t="str">
        <f t="array" ref="M142">INDEX('共通動作その他'!$C$3:$C$102, MATCH($A$1,'共通動作その他'!$A$3:$A$102,0), MATCH(M$141,'共通動作その他'!$C$2:$AA$2,0))</f>
        <v>#N/A</v>
      </c>
      <c r="N142" s="315"/>
      <c r="O142" s="111"/>
      <c r="P142" s="111"/>
      <c r="Q142" s="111"/>
      <c r="R142" s="111"/>
      <c r="S142" s="111"/>
      <c r="T142" s="111"/>
      <c r="U142" s="111"/>
      <c r="V142" s="111"/>
    </row>
    <row r="143" outlineLevel="1">
      <c r="A143" s="146"/>
      <c r="B143" s="300" t="s">
        <v>216</v>
      </c>
      <c r="C143" s="307" t="str">
        <f t="array" ref="C143">INDEX('起きあがり'!$P$3:$Q$115, MATCH($A$1,'起きあがり'!$A$3:$A$115,0), MATCH(C$127,'起きあがり'!$P$2:$AD$2,0))</f>
        <v>1-22</v>
      </c>
      <c r="D143" s="308">
        <f t="array" ref="D143">INDEX('起きあがり'!$P$3:$Q$115, MATCH($A$1,'起きあがり'!$A$3:$A$115,0), MATCH(D$127,'起きあがり'!$P$2:$AD$2,0))</f>
        <v>29</v>
      </c>
      <c r="E143" s="301"/>
      <c r="F143" s="301"/>
      <c r="G143" s="301"/>
      <c r="H143" s="228"/>
      <c r="I143" s="228"/>
      <c r="J143" s="111"/>
      <c r="K143" s="305" t="s">
        <v>2602</v>
      </c>
      <c r="L143" s="314" t="s">
        <v>5391</v>
      </c>
      <c r="M143" s="113" t="str">
        <f t="array" ref="M143">INDEX('共通動作その他'!$D$3:$D$102, MATCH($A$1,'共通動作その他'!$A$3:$A$102,0), MATCH(M$141,'共通動作その他'!$D$2:$AA$2,0))</f>
        <v>#N/A</v>
      </c>
      <c r="N143" s="315"/>
      <c r="O143" s="228"/>
      <c r="P143" s="228"/>
      <c r="Q143" s="228"/>
      <c r="R143" s="228"/>
      <c r="S143" s="228"/>
      <c r="T143" s="228"/>
      <c r="U143" s="228"/>
      <c r="V143" s="228"/>
    </row>
    <row r="144" outlineLevel="1">
      <c r="A144" s="146"/>
      <c r="B144" s="300" t="s">
        <v>245</v>
      </c>
      <c r="C144" s="307" t="str">
        <f t="array" ref="C144">INDEX('起きあがり'!$R$3:$S$115, MATCH($A$1,'起きあがり'!$A$3:$A$115,0), MATCH(C$127,'起きあがり'!$R$2:$AD$2,0))</f>
        <v>1-19</v>
      </c>
      <c r="D144" s="308">
        <f t="array" ref="D144">INDEX('起きあがり'!$R$3:$S$115, MATCH($A$1,'起きあがり'!$A$3:$A$115,0), MATCH(D$127,'起きあがり'!$R$2:$AD$2,0))</f>
        <v>35</v>
      </c>
      <c r="E144" s="301"/>
      <c r="F144" s="301"/>
      <c r="G144" s="301"/>
      <c r="H144" s="228"/>
      <c r="I144" s="228"/>
      <c r="J144" s="117"/>
      <c r="K144" s="146"/>
      <c r="L144" s="314" t="s">
        <v>5392</v>
      </c>
      <c r="M144" s="113" t="str">
        <f t="array" ref="M144">INDEX('共通動作その他'!$E$3:$E$102, MATCH($A$1,'共通動作その他'!$A$3:$A$102,0), MATCH(M$141,'共通動作その他'!$E$2:$AA$2,0))</f>
        <v>#N/A</v>
      </c>
      <c r="N144" s="102"/>
      <c r="O144" s="118"/>
      <c r="P144" s="118"/>
      <c r="Q144" s="118"/>
      <c r="R144" s="118"/>
      <c r="S144" s="118"/>
      <c r="T144" s="118"/>
      <c r="U144" s="118"/>
      <c r="V144" s="118"/>
    </row>
    <row r="145" outlineLevel="1">
      <c r="A145" s="146"/>
      <c r="B145" s="300" t="s">
        <v>246</v>
      </c>
      <c r="C145" s="307" t="str">
        <f t="array" ref="C145">INDEX('起きあがり'!$T$3:$U$115, MATCH($A$1,'起きあがり'!$A$3:$A$115,0), MATCH(C$127,'起きあがり'!$T$2:$AD$2,0))</f>
        <v>1-24</v>
      </c>
      <c r="D145" s="308">
        <f t="array" ref="D145">INDEX('起きあがり'!$T$3:$U$115, MATCH($A$1,'起きあがり'!$A$3:$A$115,0), MATCH(D$127,'起きあがり'!$T$2:$AD$2,0))</f>
        <v>35</v>
      </c>
      <c r="E145" s="301"/>
      <c r="F145" s="301"/>
      <c r="G145" s="301"/>
      <c r="H145" s="228"/>
      <c r="I145" s="228"/>
      <c r="J145" s="111"/>
      <c r="K145" s="146"/>
      <c r="L145" s="314" t="s">
        <v>5393</v>
      </c>
      <c r="M145" s="113" t="str">
        <f t="array" ref="M145">INDEX('共通動作その他'!$F$3:$F$102, MATCH($A$1,'共通動作その他'!$A$3:$A$102,0), MATCH(M$141,'共通動作その他'!$F$2:$AA$2,0))</f>
        <v>#N/A</v>
      </c>
      <c r="N145" s="102"/>
      <c r="O145" s="118"/>
      <c r="P145" s="118"/>
      <c r="Q145" s="118"/>
      <c r="R145" s="118"/>
      <c r="S145" s="118"/>
      <c r="T145" s="118"/>
      <c r="U145" s="118"/>
      <c r="V145" s="118"/>
    </row>
    <row r="146" outlineLevel="1">
      <c r="A146" s="146"/>
      <c r="B146" s="300" t="s">
        <v>249</v>
      </c>
      <c r="C146" s="309" t="str">
        <f t="array" ref="C146">INDEX('起きあがり'!$V$3:$Y$115, MATCH($A$1,'起きあがり'!$A$3:$A$115,0), MATCH(C$127,'起きあがり'!$V$2:$AD$2,0))</f>
        <v>1-25</v>
      </c>
      <c r="D146" s="310">
        <f t="array" ref="D146">INDEX('起きあがり'!$V$3:$Y$115, MATCH($A$1,'起きあがり'!$A$3:$A$115,0), MATCH(D$127,'起きあがり'!$V$2:$AD$2,0))</f>
        <v>45</v>
      </c>
      <c r="E146" s="307" t="str">
        <f t="array" ref="E146">INDEX('起きあがり'!$V$3:$Y$115, MATCH($A$1,'起きあがり'!$A$3:$A$115,0), MATCH(E$127,'起きあがり'!$V$2:$AD$2,0))</f>
        <v>14-15</v>
      </c>
      <c r="F146" s="308">
        <f t="array" ref="F146">INDEX('起きあがり'!$V$3:$Y$115, MATCH($A$1,'起きあがり'!$A$3:$A$115,0), MATCH(F$127,'起きあがり'!$V$2:$AD$2,0))</f>
        <v>7</v>
      </c>
      <c r="G146" s="113">
        <f t="shared" ref="G146:G147" si="4">F146*1.2</f>
        <v>8.4</v>
      </c>
      <c r="H146" s="228"/>
      <c r="I146" s="228"/>
      <c r="J146" s="117"/>
      <c r="K146" s="146"/>
      <c r="L146" s="314" t="s">
        <v>5394</v>
      </c>
      <c r="M146" s="113" t="str">
        <f t="array" ref="M146">INDEX('共通動作その他'!$G$3:$G$102, MATCH($A$1,'共通動作その他'!$A$3:$A$102,0), MATCH(M$141,'共通動作その他'!$G$2:$AA$2,0))</f>
        <v>#N/A</v>
      </c>
      <c r="N146" s="102"/>
      <c r="O146" s="118"/>
      <c r="P146" s="118"/>
      <c r="Q146" s="118"/>
      <c r="R146" s="118"/>
      <c r="S146" s="118"/>
      <c r="T146" s="118"/>
      <c r="U146" s="118"/>
      <c r="V146" s="118"/>
    </row>
    <row r="147" outlineLevel="1">
      <c r="A147" s="156"/>
      <c r="B147" s="311" t="s">
        <v>250</v>
      </c>
      <c r="C147" s="156"/>
      <c r="D147" s="156"/>
      <c r="E147" s="307" t="str">
        <f t="array" ref="E147">INDEX('起きあがり'!$Z$3:$AA$115, MATCH($A$1,'起きあがり'!$A$3:$A$115,0), MATCH(E$127,'起きあがり'!$Z$2:$AD$2,0))</f>
        <v>24-25</v>
      </c>
      <c r="F147" s="308">
        <f t="array" ref="F147">INDEX('起きあがり'!$Z$3:$AA$115, MATCH($A$1,'起きあがり'!$A$3:$A$115,0), MATCH(F$127,'起きあがり'!$Z$2:$AD$2,0))</f>
        <v>7</v>
      </c>
      <c r="G147" s="113">
        <f t="shared" si="4"/>
        <v>8.4</v>
      </c>
      <c r="H147" s="228"/>
      <c r="I147" s="228"/>
      <c r="J147" s="117"/>
      <c r="K147" s="304" t="s">
        <v>5395</v>
      </c>
      <c r="L147" s="110"/>
      <c r="M147" s="298" t="s">
        <v>49</v>
      </c>
      <c r="N147" s="102"/>
      <c r="O147" s="118"/>
      <c r="P147" s="118"/>
      <c r="Q147" s="118"/>
      <c r="R147" s="118"/>
      <c r="S147" s="118"/>
      <c r="T147" s="118"/>
      <c r="U147" s="118"/>
      <c r="V147" s="118"/>
    </row>
    <row r="148" outlineLevel="1">
      <c r="A148" s="299" t="s">
        <v>252</v>
      </c>
      <c r="B148" s="300" t="s">
        <v>253</v>
      </c>
      <c r="C148" s="307" t="str">
        <f t="array" ref="C148">INDEX('転倒'!$C$3:$D$115, MATCH($A$1,'転倒'!$A$3:$A$115,0), MATCH(C$127,'転倒'!$C$2:$AC$2,0))</f>
        <v>1-5</v>
      </c>
      <c r="D148" s="308">
        <f t="array" ref="D148">INDEX('転倒'!$C$3:$D$115, MATCH($A$1,'転倒'!$A$3:$A$115,0), MATCH(D$127,'転倒'!$C$2:$AC$2,0))</f>
        <v>29</v>
      </c>
      <c r="E148" s="301"/>
      <c r="F148" s="301"/>
      <c r="G148" s="301"/>
      <c r="H148" s="228"/>
      <c r="I148" s="228"/>
      <c r="J148" s="111"/>
      <c r="K148" s="313" t="s">
        <v>5396</v>
      </c>
      <c r="L148" s="306" t="s">
        <v>5397</v>
      </c>
      <c r="M148" s="113" t="str">
        <f t="array" ref="M148">INDEX('共通動作その他'!$H$3:$H$102, MATCH($A$1,'共通動作その他'!$A$3:$A$102,0), MATCH(M$147,'共通動作その他'!$H$2:$AA$2,0))</f>
        <v>#N/A</v>
      </c>
      <c r="N148" s="315"/>
      <c r="O148" s="118"/>
      <c r="P148" s="118"/>
      <c r="Q148" s="118"/>
      <c r="R148" s="118"/>
      <c r="S148" s="118"/>
      <c r="T148" s="118"/>
      <c r="U148" s="118"/>
      <c r="V148" s="118"/>
    </row>
    <row r="149" outlineLevel="1">
      <c r="A149" s="146"/>
      <c r="B149" s="300" t="s">
        <v>254</v>
      </c>
      <c r="C149" s="307" t="str">
        <f t="array" ref="C149">INDEX('転倒'!$E$3:$F$115, MATCH($A$1,'転倒'!$A$3:$A$115,0), MATCH(C$127,'転倒'!$E$2:$AC$2,0))</f>
        <v>1-5</v>
      </c>
      <c r="D149" s="308">
        <f t="array" ref="D149">INDEX('転倒'!$E$3:$F$115, MATCH($A$1,'転倒'!$A$3:$A$115,0), MATCH(D$127,'転倒'!$E$2:$AC$2,0))</f>
        <v>39</v>
      </c>
      <c r="E149" s="301"/>
      <c r="F149" s="301"/>
      <c r="G149" s="301"/>
      <c r="H149" s="228"/>
      <c r="I149" s="228"/>
      <c r="J149" s="117"/>
      <c r="K149" s="313" t="s">
        <v>5398</v>
      </c>
      <c r="L149" s="306" t="s">
        <v>5397</v>
      </c>
      <c r="M149" s="113" t="str">
        <f t="array" ref="M149">INDEX('共通動作その他'!$I$3:$I$102, MATCH($A$1,'共通動作その他'!$A$3:$A$102,0), MATCH(M$147,'共通動作その他'!$I$2:$AA$2,0))</f>
        <v>#N/A</v>
      </c>
      <c r="N149" s="315"/>
      <c r="O149" s="118"/>
      <c r="P149" s="118"/>
      <c r="Q149" s="118"/>
      <c r="R149" s="118"/>
      <c r="S149" s="118"/>
      <c r="T149" s="118"/>
      <c r="U149" s="118"/>
      <c r="V149" s="118"/>
    </row>
    <row r="150" outlineLevel="1">
      <c r="A150" s="146"/>
      <c r="B150" s="300" t="s">
        <v>216</v>
      </c>
      <c r="C150" s="307" t="str">
        <f t="array" ref="C150">INDEX('転倒'!$G$3:$H$115, MATCH($A$1,'転倒'!$A$3:$A$115,0), MATCH(C$127,'転倒'!$G$2:$AC$2,0))</f>
        <v>1-16</v>
      </c>
      <c r="D150" s="308">
        <f t="array" ref="D150">INDEX('転倒'!$G$3:$H$115, MATCH($A$1,'転倒'!$A$3:$A$115,0), MATCH(D$127,'転倒'!$G$2:$AC$2,0))</f>
        <v>21</v>
      </c>
      <c r="E150" s="301"/>
      <c r="F150" s="301"/>
      <c r="G150" s="301"/>
      <c r="H150" s="228"/>
      <c r="I150" s="228"/>
      <c r="J150" s="111"/>
      <c r="K150" s="102"/>
      <c r="L150" s="118"/>
      <c r="M150" s="118"/>
      <c r="N150" s="102"/>
      <c r="O150" s="118"/>
      <c r="P150" s="118"/>
      <c r="Q150" s="118"/>
      <c r="R150" s="118"/>
      <c r="S150" s="118"/>
      <c r="T150" s="118"/>
      <c r="U150" s="118"/>
      <c r="V150" s="118"/>
    </row>
    <row r="151" outlineLevel="1">
      <c r="A151" s="146"/>
      <c r="B151" s="300" t="s">
        <v>245</v>
      </c>
      <c r="C151" s="307" t="str">
        <f t="array" ref="C151">INDEX('転倒'!$I$3:$J$115, MATCH($A$1,'転倒'!$A$3:$A$115,0), MATCH(C$127,'転倒'!$I$2:$AC$2,0))</f>
        <v>1-9</v>
      </c>
      <c r="D151" s="308">
        <f t="array" ref="D151">INDEX('転倒'!$I$3:$J$115, MATCH($A$1,'転倒'!$A$3:$A$115,0), MATCH(D$127,'転倒'!$I$2:$AC$2,0))</f>
        <v>28</v>
      </c>
      <c r="E151" s="301"/>
      <c r="F151" s="301"/>
      <c r="G151" s="301"/>
      <c r="H151" s="228"/>
      <c r="I151" s="228"/>
      <c r="J151" s="228"/>
      <c r="K151" s="102"/>
      <c r="L151" s="118"/>
      <c r="M151" s="118"/>
      <c r="N151" s="102"/>
      <c r="O151" s="118"/>
      <c r="P151" s="118"/>
      <c r="Q151" s="118"/>
      <c r="R151" s="118"/>
      <c r="S151" s="118"/>
      <c r="T151" s="118"/>
      <c r="U151" s="118"/>
      <c r="V151" s="118"/>
    </row>
    <row r="152" outlineLevel="1">
      <c r="A152" s="146"/>
      <c r="B152" s="300" t="s">
        <v>246</v>
      </c>
      <c r="C152" s="307" t="str">
        <f t="array" ref="C152">INDEX('転倒'!$K$3:$L$115, MATCH($A$1,'転倒'!$A$3:$A$115,0), MATCH(C$127,'転倒'!$K$2:$AC$2,0))</f>
        <v>1-9</v>
      </c>
      <c r="D152" s="308">
        <f t="array" ref="D152">INDEX('転倒'!$K$3:$L$115, MATCH($A$1,'転倒'!$A$3:$A$115,0), MATCH(D$127,'転倒'!$K$2:$AC$2,0))</f>
        <v>28</v>
      </c>
      <c r="E152" s="301"/>
      <c r="F152" s="301"/>
      <c r="G152" s="301"/>
      <c r="H152" s="228"/>
      <c r="I152" s="228"/>
      <c r="J152" s="228"/>
      <c r="K152" s="102"/>
      <c r="L152" s="118"/>
      <c r="M152" s="118"/>
      <c r="N152" s="102"/>
      <c r="O152" s="118"/>
      <c r="P152" s="118"/>
      <c r="Q152" s="118"/>
      <c r="R152" s="118"/>
      <c r="S152" s="118"/>
      <c r="T152" s="118"/>
      <c r="U152" s="118"/>
      <c r="V152" s="118"/>
    </row>
    <row r="153" outlineLevel="1">
      <c r="A153" s="146"/>
      <c r="B153" s="300" t="s">
        <v>249</v>
      </c>
      <c r="C153" s="309" t="str">
        <f t="array" ref="C153">INDEX('転倒'!$M$3:$P$115, MATCH($A$1,'転倒'!$A$3:$A$115,0), MATCH(C$127,'転倒'!$M$2:$AC$2,0))</f>
        <v>1-7</v>
      </c>
      <c r="D153" s="310">
        <f t="array" ref="D153">INDEX('転倒'!$M$3:$P$115, MATCH($A$1,'転倒'!$A$3:$A$115,0), MATCH(D$127,'転倒'!$M$2:$AC$2,0))</f>
        <v>49</v>
      </c>
      <c r="E153" s="307" t="str">
        <f t="array" ref="E153">INDEX('転倒'!$M$3:$P$115, MATCH($A$1,'転倒'!$A$3:$A$115,0), MATCH(E$127,'転倒'!$M$2:$AC$2,0))</f>
        <v>19-20</v>
      </c>
      <c r="F153" s="308">
        <f t="array" ref="F153">INDEX('転倒'!$M$3:$P$115, MATCH($A$1,'転倒'!$A$3:$A$115,0), MATCH(F$127,'転倒'!$M$2:$AC$2,0))</f>
        <v>5</v>
      </c>
      <c r="G153" s="113">
        <f t="shared" ref="G153:G154" si="5">F153*1.2</f>
        <v>6</v>
      </c>
      <c r="H153" s="228"/>
      <c r="I153" s="228"/>
      <c r="J153" s="228"/>
      <c r="K153" s="118"/>
      <c r="L153" s="118"/>
      <c r="M153" s="118"/>
      <c r="N153" s="102"/>
      <c r="O153" s="102"/>
      <c r="P153" s="102"/>
      <c r="Q153" s="102"/>
      <c r="R153" s="118"/>
      <c r="S153" s="118"/>
      <c r="T153" s="118"/>
      <c r="U153" s="118"/>
      <c r="V153" s="118"/>
    </row>
    <row r="154" outlineLevel="1">
      <c r="A154" s="156"/>
      <c r="B154" s="311" t="s">
        <v>250</v>
      </c>
      <c r="C154" s="156"/>
      <c r="D154" s="156"/>
      <c r="E154" s="307" t="str">
        <f t="array" ref="E154">INDEX('転倒'!$Q$3:$R$115, MATCH($A$1,'転倒'!$A$3:$A$115,0), MATCH(E$127,'転倒'!$Q$2:$AC$2,0))</f>
        <v>31-32</v>
      </c>
      <c r="F154" s="308">
        <f t="array" ref="F154">INDEX('転倒'!$Q$3:$R$115, MATCH($A$1,'転倒'!$A$3:$A$115,0), MATCH(F$127,'転倒'!$Q$2:$AC$2,0))</f>
        <v>5</v>
      </c>
      <c r="G154" s="113">
        <f t="shared" si="5"/>
        <v>6</v>
      </c>
      <c r="H154" s="228"/>
      <c r="I154" s="228"/>
      <c r="J154" s="228"/>
      <c r="K154" s="118"/>
      <c r="L154" s="118"/>
      <c r="M154" s="118"/>
      <c r="N154" s="102"/>
      <c r="O154" s="102"/>
      <c r="P154" s="102"/>
      <c r="Q154" s="102"/>
      <c r="R154" s="118"/>
      <c r="S154" s="118"/>
      <c r="T154" s="118"/>
      <c r="U154" s="118"/>
      <c r="V154" s="118"/>
    </row>
    <row r="155" outlineLevel="1">
      <c r="A155" s="319"/>
      <c r="B155" s="320"/>
      <c r="C155" s="321"/>
      <c r="D155" s="321"/>
      <c r="E155" s="322"/>
      <c r="F155" s="322"/>
      <c r="G155" s="114"/>
      <c r="H155" s="228"/>
      <c r="I155" s="228"/>
      <c r="J155" s="228"/>
      <c r="K155" s="118"/>
      <c r="L155" s="118"/>
      <c r="M155" s="118"/>
      <c r="N155" s="102"/>
      <c r="O155" s="102"/>
      <c r="P155" s="102"/>
      <c r="Q155" s="102"/>
      <c r="R155" s="118"/>
      <c r="S155" s="118"/>
      <c r="T155" s="118"/>
      <c r="U155" s="118"/>
      <c r="V155" s="118"/>
    </row>
    <row r="156" outlineLevel="1">
      <c r="A156" s="323" t="s">
        <v>255</v>
      </c>
      <c r="B156" s="109"/>
      <c r="C156" s="321"/>
      <c r="D156" s="321"/>
      <c r="E156" s="322"/>
      <c r="F156" s="322"/>
      <c r="G156" s="114"/>
      <c r="H156" s="228"/>
      <c r="I156" s="228"/>
      <c r="J156" s="228"/>
      <c r="K156" s="118"/>
      <c r="L156" s="118"/>
      <c r="M156" s="118"/>
      <c r="N156" s="102"/>
      <c r="O156" s="102"/>
      <c r="P156" s="102"/>
      <c r="Q156" s="102"/>
      <c r="R156" s="118"/>
      <c r="S156" s="118"/>
      <c r="T156" s="118"/>
      <c r="U156" s="118"/>
      <c r="V156" s="118"/>
    </row>
    <row r="157" outlineLevel="1">
      <c r="A157" s="324" t="s">
        <v>256</v>
      </c>
      <c r="B157" s="109"/>
      <c r="C157" s="325" t="s">
        <v>257</v>
      </c>
      <c r="D157" s="325" t="s">
        <v>49</v>
      </c>
      <c r="E157" s="322"/>
      <c r="F157" s="322"/>
      <c r="G157" s="114"/>
      <c r="H157" s="228"/>
      <c r="I157" s="228"/>
      <c r="J157" s="228"/>
      <c r="K157" s="118"/>
      <c r="L157" s="118"/>
      <c r="M157" s="118"/>
      <c r="N157" s="102"/>
      <c r="O157" s="102"/>
      <c r="P157" s="102"/>
      <c r="Q157" s="102"/>
      <c r="R157" s="118"/>
      <c r="S157" s="118"/>
      <c r="T157" s="118"/>
      <c r="U157" s="118"/>
      <c r="V157" s="118"/>
    </row>
    <row r="158" outlineLevel="1">
      <c r="A158" s="326" t="s">
        <v>258</v>
      </c>
      <c r="B158" s="327" t="s">
        <v>216</v>
      </c>
      <c r="C158" s="328" t="str">
        <f t="array" ref="C158">INDEX('アイテム'!$C$3:$D$114, MATCH($A$1,'アイテム'!$A$3:$A$114,0), MATCH(C157,'アイテム'!$C$2:$AQ$2,0))</f>
        <v>2</v>
      </c>
      <c r="D158" s="328">
        <f t="array" ref="D158">INDEX('アイテム'!$C$3:$D$114, MATCH($A$1,'アイテム'!$A$3:$A$114,0), MATCH(D157,'アイテム'!$C$2:$AQ$2,0))</f>
        <v>7</v>
      </c>
      <c r="E158" s="322"/>
      <c r="F158" s="322"/>
      <c r="G158" s="114"/>
      <c r="H158" s="228"/>
      <c r="I158" s="228"/>
      <c r="J158" s="228"/>
      <c r="K158" s="118"/>
      <c r="L158" s="118"/>
      <c r="M158" s="118"/>
      <c r="N158" s="102"/>
      <c r="O158" s="102"/>
      <c r="P158" s="102"/>
      <c r="Q158" s="102"/>
      <c r="R158" s="118"/>
      <c r="S158" s="118"/>
      <c r="T158" s="118"/>
      <c r="U158" s="118"/>
      <c r="V158" s="118"/>
    </row>
    <row r="159" outlineLevel="1">
      <c r="A159" s="156"/>
      <c r="B159" s="327" t="s">
        <v>219</v>
      </c>
      <c r="C159" s="328" t="str">
        <f t="array" ref="C159">INDEX('アイテム'!$E$3:$F$114, MATCH($A$1,'アイテム'!$A$3:$A$114,0), MATCH(C157,'アイテム'!$C$2:$AQ$2,0))</f>
        <v>2</v>
      </c>
      <c r="D159" s="328">
        <f t="array" ref="D159">INDEX('アイテム'!$E$3:$F$114, MATCH($A$1,'アイテム'!$A$3:$A$114,0), MATCH(D157,'アイテム'!$C$2:$AQ$2,0))</f>
        <v>19</v>
      </c>
      <c r="E159" s="322"/>
      <c r="F159" s="322"/>
      <c r="G159" s="114"/>
      <c r="H159" s="228"/>
      <c r="I159" s="228"/>
      <c r="J159" s="228"/>
      <c r="K159" s="118"/>
      <c r="L159" s="118"/>
      <c r="M159" s="118"/>
      <c r="N159" s="102"/>
      <c r="O159" s="102"/>
      <c r="P159" s="102"/>
      <c r="Q159" s="102"/>
      <c r="R159" s="118"/>
      <c r="S159" s="118"/>
      <c r="T159" s="118"/>
      <c r="U159" s="118"/>
      <c r="V159" s="118"/>
    </row>
    <row r="160" outlineLevel="1">
      <c r="A160" s="329" t="s">
        <v>259</v>
      </c>
      <c r="B160" s="327" t="s">
        <v>216</v>
      </c>
      <c r="C160" s="328">
        <f t="array" ref="C160">INDEX('アイテム'!$AA$3:$AB$114, MATCH($A$1,'アイテム'!$A$3:$A$114,0), MATCH(C157,'アイテム'!$C$2:$AQ$2,0))</f>
        <v>3</v>
      </c>
      <c r="D160" s="328" t="str">
        <f t="array" ref="D160">INDEX('アイテム'!$AA$3:$AB$114, MATCH($A$1,'アイテム'!$A$3:$A$114,0), MATCH(D157,'アイテム'!$C$2:$AQ$2,0))</f>
        <v>12</v>
      </c>
      <c r="E160" s="322"/>
      <c r="F160" s="322"/>
      <c r="G160" s="114"/>
      <c r="H160" s="228"/>
      <c r="I160" s="228"/>
      <c r="J160" s="228"/>
      <c r="K160" s="118"/>
      <c r="L160" s="118"/>
      <c r="M160" s="118"/>
      <c r="N160" s="102"/>
      <c r="O160" s="102"/>
      <c r="P160" s="102"/>
      <c r="Q160" s="102"/>
      <c r="R160" s="118"/>
      <c r="S160" s="118"/>
      <c r="T160" s="118"/>
      <c r="U160" s="118"/>
      <c r="V160" s="118"/>
    </row>
    <row r="161" outlineLevel="1">
      <c r="A161" s="324" t="s">
        <v>260</v>
      </c>
      <c r="B161" s="109"/>
      <c r="C161" s="325" t="s">
        <v>261</v>
      </c>
      <c r="D161" s="325" t="s">
        <v>49</v>
      </c>
      <c r="E161" s="322"/>
      <c r="F161" s="322"/>
      <c r="G161" s="114"/>
      <c r="H161" s="228"/>
      <c r="I161" s="228"/>
      <c r="J161" s="228"/>
      <c r="K161" s="118"/>
      <c r="L161" s="118"/>
      <c r="M161" s="118"/>
      <c r="N161" s="102"/>
      <c r="O161" s="102"/>
      <c r="P161" s="102"/>
      <c r="Q161" s="102"/>
      <c r="R161" s="118"/>
      <c r="S161" s="118"/>
      <c r="T161" s="118"/>
      <c r="U161" s="118"/>
      <c r="V161" s="118"/>
    </row>
    <row r="162" outlineLevel="1">
      <c r="A162" s="326" t="s">
        <v>262</v>
      </c>
      <c r="B162" s="327" t="s">
        <v>226</v>
      </c>
      <c r="C162" s="328" t="str">
        <f t="array" ref="C162">INDEX('アイテム'!$G$3:$H$114, MATCH($A$1,'アイテム'!$A$3:$A$114,0), MATCH(C157,'アイテム'!$C$2:$AQ$2,0))</f>
        <v>8</v>
      </c>
      <c r="D162" s="328">
        <f t="array" ref="D162">INDEX('アイテム'!$G$3:$H$114, MATCH($A$1,'アイテム'!$A$3:$A$114,0), MATCH(D157,'アイテム'!$C$2:$AQ$2,0))</f>
        <v>24</v>
      </c>
      <c r="E162" s="322"/>
      <c r="F162" s="322"/>
      <c r="G162" s="114"/>
      <c r="H162" s="228"/>
      <c r="I162" s="228"/>
      <c r="J162" s="228"/>
      <c r="K162" s="118"/>
      <c r="L162" s="118"/>
      <c r="M162" s="118"/>
      <c r="N162" s="102"/>
      <c r="O162" s="102"/>
      <c r="P162" s="102"/>
      <c r="Q162" s="102"/>
      <c r="R162" s="118"/>
      <c r="S162" s="118"/>
      <c r="T162" s="118"/>
      <c r="U162" s="118"/>
      <c r="V162" s="118"/>
    </row>
    <row r="163" outlineLevel="1">
      <c r="A163" s="146"/>
      <c r="B163" s="327" t="s">
        <v>229</v>
      </c>
      <c r="C163" s="328" t="str">
        <f t="array" ref="C163">INDEX('アイテム'!$I$3:$J$114, MATCH($A$1,'アイテム'!$A$3:$A$114,0), MATCH(C157,'アイテム'!$C$2:$AQ$2,0))</f>
        <v>11</v>
      </c>
      <c r="D163" s="328">
        <f t="array" ref="D163">INDEX('アイテム'!$I$3:$J$114, MATCH($A$1,'アイテム'!$A$3:$A$114,0), MATCH(D157,'アイテム'!$C$2:$AQ$2,0))</f>
        <v>24</v>
      </c>
      <c r="E163" s="322"/>
      <c r="F163" s="322"/>
      <c r="G163" s="114"/>
      <c r="H163" s="228"/>
      <c r="I163" s="228"/>
      <c r="J163" s="228"/>
      <c r="K163" s="118"/>
      <c r="L163" s="118"/>
      <c r="M163" s="118"/>
      <c r="N163" s="102"/>
      <c r="O163" s="102"/>
      <c r="P163" s="102"/>
      <c r="Q163" s="102"/>
      <c r="R163" s="118"/>
      <c r="S163" s="118"/>
      <c r="T163" s="118"/>
      <c r="U163" s="118"/>
      <c r="V163" s="118"/>
    </row>
    <row r="164" outlineLevel="1">
      <c r="A164" s="146"/>
      <c r="B164" s="327" t="s">
        <v>233</v>
      </c>
      <c r="C164" s="328" t="str">
        <f t="array" ref="C164">INDEX('アイテム'!$K$3:$L$114, MATCH($A$1,'アイテム'!$A$3:$A$114,0), MATCH(C157,'アイテム'!$C$2:$AQ$2,0))</f>
        <v>12</v>
      </c>
      <c r="D164" s="328">
        <f t="array" ref="D164">INDEX('アイテム'!$K$3:$L$114, MATCH($A$1,'アイテム'!$A$3:$A$114,0), MATCH(D157,'アイテム'!$C$2:$AQ$2,0))</f>
        <v>23</v>
      </c>
      <c r="E164" s="322"/>
      <c r="F164" s="322"/>
      <c r="G164" s="114"/>
      <c r="H164" s="228"/>
      <c r="I164" s="228"/>
      <c r="J164" s="228"/>
      <c r="K164" s="118"/>
      <c r="L164" s="118"/>
      <c r="M164" s="118"/>
      <c r="N164" s="102"/>
      <c r="O164" s="102"/>
      <c r="P164" s="102"/>
      <c r="Q164" s="102"/>
      <c r="R164" s="118"/>
      <c r="S164" s="118"/>
      <c r="T164" s="118"/>
      <c r="U164" s="118"/>
      <c r="V164" s="118"/>
    </row>
    <row r="165" outlineLevel="1">
      <c r="A165" s="146"/>
      <c r="B165" s="327" t="s">
        <v>234</v>
      </c>
      <c r="C165" s="328" t="str">
        <f t="array" ref="C165">INDEX('アイテム'!$M$3:$N$114, MATCH($A$1,'アイテム'!$A$3:$A$114,0), MATCH(C157,'アイテム'!$C$2:$AQ$2,0))</f>
        <v>7</v>
      </c>
      <c r="D165" s="328">
        <f t="array" ref="D165">INDEX('アイテム'!$M$3:$N$114, MATCH($A$1,'アイテム'!$A$3:$A$114,0), MATCH(D157,'アイテム'!$C$2:$AQ$2,0))</f>
        <v>19</v>
      </c>
      <c r="E165" s="322"/>
      <c r="F165" s="322"/>
      <c r="G165" s="114"/>
      <c r="H165" s="228"/>
      <c r="I165" s="228"/>
      <c r="J165" s="228"/>
      <c r="K165" s="118"/>
      <c r="L165" s="118"/>
      <c r="M165" s="118"/>
      <c r="N165" s="102"/>
      <c r="O165" s="102"/>
      <c r="P165" s="102"/>
      <c r="Q165" s="102"/>
      <c r="R165" s="118"/>
      <c r="S165" s="118"/>
      <c r="T165" s="118"/>
      <c r="U165" s="118"/>
      <c r="V165" s="118"/>
    </row>
    <row r="166" outlineLevel="1">
      <c r="A166" s="146"/>
      <c r="B166" s="327" t="s">
        <v>219</v>
      </c>
      <c r="C166" s="328" t="str">
        <f t="array" ref="C166">INDEX('アイテム'!$O$3:$P$114, MATCH($A$1,'アイテム'!$A$3:$A$114,0), MATCH(C157,'アイテム'!$C$2:$AQ$2,0))</f>
        <v>5</v>
      </c>
      <c r="D166" s="328">
        <f t="array" ref="D166">INDEX('アイテム'!$O$3:$P$114, MATCH($A$1,'アイテム'!$A$3:$A$114,0), MATCH(D157,'アイテム'!$C$2:$AQ$2,0))</f>
        <v>29</v>
      </c>
      <c r="E166" s="322"/>
      <c r="F166" s="322"/>
      <c r="G166" s="114"/>
      <c r="H166" s="228"/>
      <c r="I166" s="228"/>
      <c r="J166" s="228"/>
      <c r="K166" s="118"/>
      <c r="L166" s="118"/>
      <c r="M166" s="118"/>
      <c r="N166" s="102"/>
      <c r="O166" s="102"/>
      <c r="P166" s="102"/>
      <c r="Q166" s="102"/>
      <c r="R166" s="118"/>
      <c r="S166" s="118"/>
      <c r="T166" s="118"/>
      <c r="U166" s="118"/>
      <c r="V166" s="118"/>
    </row>
    <row r="167" outlineLevel="1">
      <c r="A167" s="156"/>
      <c r="B167" s="327" t="s">
        <v>263</v>
      </c>
      <c r="C167" s="328" t="str">
        <f t="array" ref="C167">INDEX('アイテム'!$Q$3:$R$114, MATCH($A$1,'アイテム'!$A$3:$A$114,0), MATCH(C157,'アイテム'!$C$2:$AQ$2,0))</f>
        <v>6</v>
      </c>
      <c r="D167" s="328">
        <f t="array" ref="D167">INDEX('アイテム'!$Q$3:$R$114, MATCH($A$1,'アイテム'!$A$3:$A$114,0), MATCH(D157,'アイテム'!$C$2:$AQ$2,0))</f>
        <v>23</v>
      </c>
      <c r="E167" s="322"/>
      <c r="F167" s="322"/>
      <c r="G167" s="114"/>
      <c r="H167" s="228"/>
      <c r="I167" s="228"/>
      <c r="J167" s="228"/>
      <c r="K167" s="118"/>
      <c r="L167" s="118"/>
      <c r="M167" s="118"/>
      <c r="N167" s="102"/>
      <c r="O167" s="102"/>
      <c r="P167" s="102"/>
      <c r="Q167" s="102"/>
      <c r="R167" s="118"/>
      <c r="S167" s="118"/>
      <c r="T167" s="118"/>
      <c r="U167" s="118"/>
      <c r="V167" s="118"/>
    </row>
    <row r="168" outlineLevel="1">
      <c r="A168" s="326" t="s">
        <v>264</v>
      </c>
      <c r="B168" s="327" t="s">
        <v>226</v>
      </c>
      <c r="C168" s="328" t="str">
        <f t="array" ref="C168">INDEX('アイテム'!$S$3:$T$114, MATCH($A$1,'アイテム'!$A$3:$A$114,0), MATCH(C157,'アイテム'!$C$2:$AQ$2,0))</f>
        <v>8</v>
      </c>
      <c r="D168" s="328">
        <f t="array" ref="D168">INDEX('アイテム'!$S$3:$T$114, MATCH($A$1,'アイテム'!$A$3:$A$114,0), MATCH(D157,'アイテム'!$C$2:$AQ$2,0))</f>
        <v>24</v>
      </c>
      <c r="E168" s="322"/>
      <c r="F168" s="322"/>
      <c r="G168" s="114"/>
      <c r="H168" s="228"/>
      <c r="I168" s="228"/>
      <c r="J168" s="228"/>
      <c r="K168" s="118"/>
      <c r="L168" s="118"/>
      <c r="M168" s="118"/>
      <c r="N168" s="102"/>
      <c r="O168" s="102"/>
      <c r="P168" s="102"/>
      <c r="Q168" s="102"/>
      <c r="R168" s="118"/>
      <c r="S168" s="118"/>
      <c r="T168" s="118"/>
      <c r="U168" s="118"/>
      <c r="V168" s="118"/>
    </row>
    <row r="169" outlineLevel="1">
      <c r="A169" s="146"/>
      <c r="B169" s="327" t="s">
        <v>229</v>
      </c>
      <c r="C169" s="328" t="str">
        <f t="array" ref="C169">INDEX('アイテム'!$U$3:$V$114, MATCH($A$1,'アイテム'!$A$3:$A$114,0), MATCH(C157,'アイテム'!$C$2:$AQ$2,0))</f>
        <v>11</v>
      </c>
      <c r="D169" s="328">
        <f t="array" ref="D169">INDEX('アイテム'!$U$3:$V$114, MATCH($A$1,'アイテム'!$A$3:$A$114,0), MATCH(D157,'アイテム'!$C$2:$AQ$2,0))</f>
        <v>24</v>
      </c>
      <c r="E169" s="322"/>
      <c r="F169" s="322"/>
      <c r="G169" s="114"/>
      <c r="H169" s="228"/>
      <c r="I169" s="228"/>
      <c r="J169" s="228"/>
      <c r="K169" s="118"/>
      <c r="L169" s="118"/>
      <c r="M169" s="118"/>
      <c r="N169" s="102"/>
      <c r="O169" s="102"/>
      <c r="P169" s="102"/>
      <c r="Q169" s="102"/>
      <c r="R169" s="118"/>
      <c r="S169" s="118"/>
      <c r="T169" s="118"/>
      <c r="U169" s="118"/>
      <c r="V169" s="118"/>
    </row>
    <row r="170" outlineLevel="1">
      <c r="A170" s="146"/>
      <c r="B170" s="327" t="s">
        <v>233</v>
      </c>
      <c r="C170" s="328" t="str">
        <f t="array" ref="C170">INDEX('アイテム'!$W$3:$X$114, MATCH($A$1,'アイテム'!$A$3:$A$114,0), MATCH(C157,'アイテム'!$C$2:$AQ$2,0))</f>
        <v>12</v>
      </c>
      <c r="D170" s="328">
        <f t="array" ref="D170">INDEX('アイテム'!$W$3:$X$114, MATCH($A$1,'アイテム'!$A$3:$A$114,0), MATCH(D157,'アイテム'!$C$2:$AQ$2,0))</f>
        <v>23</v>
      </c>
      <c r="E170" s="322"/>
      <c r="F170" s="322"/>
      <c r="G170" s="114"/>
      <c r="H170" s="228"/>
      <c r="I170" s="228"/>
      <c r="J170" s="228"/>
      <c r="K170" s="118"/>
      <c r="L170" s="118"/>
      <c r="M170" s="118"/>
      <c r="N170" s="102"/>
      <c r="O170" s="102"/>
      <c r="P170" s="102"/>
      <c r="Q170" s="102"/>
      <c r="R170" s="118"/>
      <c r="S170" s="118"/>
      <c r="T170" s="118"/>
      <c r="U170" s="118"/>
      <c r="V170" s="118"/>
    </row>
    <row r="171" outlineLevel="1">
      <c r="A171" s="156"/>
      <c r="B171" s="327" t="s">
        <v>234</v>
      </c>
      <c r="C171" s="328" t="str">
        <f t="array" ref="C171">INDEX('アイテム'!$Y$3:$Z$114, MATCH($A$1,'アイテム'!$A$3:$A$114,0), MATCH(C157,'アイテム'!$C$2:$AQ$2,0))</f>
        <v>7</v>
      </c>
      <c r="D171" s="328">
        <f t="array" ref="D171">INDEX('アイテム'!$Y$3:$Z$114, MATCH($A$1,'アイテム'!$A$3:$A$114,0), MATCH(D157,'アイテム'!$C$2:$AQ$2,0))</f>
        <v>19</v>
      </c>
      <c r="E171" s="322"/>
      <c r="F171" s="322"/>
      <c r="G171" s="114"/>
      <c r="H171" s="228"/>
      <c r="I171" s="228"/>
      <c r="J171" s="228"/>
      <c r="K171" s="118"/>
      <c r="L171" s="118"/>
      <c r="M171" s="118"/>
      <c r="N171" s="102"/>
      <c r="O171" s="102"/>
      <c r="P171" s="102"/>
      <c r="Q171" s="102"/>
      <c r="R171" s="118"/>
      <c r="S171" s="118"/>
      <c r="T171" s="118"/>
      <c r="U171" s="118"/>
      <c r="V171" s="118"/>
    </row>
    <row r="172" outlineLevel="1">
      <c r="A172" s="326" t="s">
        <v>265</v>
      </c>
      <c r="B172" s="327" t="s">
        <v>226</v>
      </c>
      <c r="C172" s="328">
        <f t="array" ref="C172">INDEX('アイテム'!$AC$3:$AD$114, MATCH($A$1,'アイテム'!$A$3:$A$114,0), MATCH(C157,'アイテム'!$C$2:$AQ$2,0))</f>
        <v>14</v>
      </c>
      <c r="D172" s="328" t="str">
        <f t="array" ref="D172">INDEX('アイテム'!$AC$3:$AD$114, MATCH($A$1,'アイテム'!$A$3:$A$114,0), MATCH(D157,'アイテム'!$C$2:$AQ$2,0))</f>
        <v>30</v>
      </c>
      <c r="E172" s="322"/>
      <c r="F172" s="322"/>
      <c r="G172" s="114"/>
      <c r="H172" s="228"/>
      <c r="I172" s="228"/>
      <c r="J172" s="228"/>
      <c r="K172" s="118"/>
      <c r="L172" s="118"/>
      <c r="M172" s="118"/>
      <c r="N172" s="102"/>
      <c r="O172" s="102"/>
      <c r="P172" s="102"/>
      <c r="Q172" s="102"/>
      <c r="R172" s="118"/>
      <c r="S172" s="118"/>
      <c r="T172" s="118"/>
      <c r="U172" s="118"/>
      <c r="V172" s="118"/>
    </row>
    <row r="173" outlineLevel="1">
      <c r="A173" s="146"/>
      <c r="B173" s="327" t="s">
        <v>229</v>
      </c>
      <c r="C173" s="328">
        <f t="array" ref="C173">INDEX('アイテム'!$AE$3:$AF$114, MATCH($A$1,'アイテム'!$A$3:$A$114,0), MATCH(C157,'アイテム'!$C$2:$AQ$2,0))</f>
        <v>15</v>
      </c>
      <c r="D173" s="328" t="str">
        <f t="array" ref="D173">INDEX('アイテム'!$AE$3:$AF$114, MATCH($A$1,'アイテム'!$A$3:$A$114,0), MATCH(D157,'アイテム'!$C$2:$AQ$2,0))</f>
        <v>30</v>
      </c>
      <c r="E173" s="322"/>
      <c r="F173" s="322"/>
      <c r="G173" s="114"/>
      <c r="H173" s="228"/>
      <c r="I173" s="228"/>
      <c r="J173" s="228"/>
      <c r="K173" s="118"/>
      <c r="L173" s="118"/>
      <c r="M173" s="118"/>
      <c r="N173" s="102"/>
      <c r="O173" s="102"/>
      <c r="P173" s="102"/>
      <c r="Q173" s="102"/>
      <c r="R173" s="118"/>
      <c r="S173" s="118"/>
      <c r="T173" s="118"/>
      <c r="U173" s="118"/>
      <c r="V173" s="118"/>
    </row>
    <row r="174" outlineLevel="1">
      <c r="A174" s="146"/>
      <c r="B174" s="327" t="s">
        <v>233</v>
      </c>
      <c r="C174" s="328">
        <f t="array" ref="C174">INDEX('アイテム'!$AG$3:$AH$114, MATCH($A$1,'アイテム'!$A$3:$A$114,0), MATCH(C157,'アイテム'!$C$2:$AQ$2,0))</f>
        <v>11</v>
      </c>
      <c r="D174" s="328" t="str">
        <f t="array" ref="D174">INDEX('アイテム'!$AG$3:$AH$114, MATCH($A$1,'アイテム'!$A$3:$A$114,0), MATCH(D157,'アイテム'!$C$2:$AQ$2,0))</f>
        <v>22</v>
      </c>
      <c r="E174" s="322"/>
      <c r="F174" s="322"/>
      <c r="G174" s="114"/>
      <c r="H174" s="228"/>
      <c r="I174" s="228"/>
      <c r="J174" s="228"/>
      <c r="K174" s="118"/>
      <c r="L174" s="118"/>
      <c r="M174" s="118"/>
      <c r="N174" s="102"/>
      <c r="O174" s="102"/>
      <c r="P174" s="102"/>
      <c r="Q174" s="102"/>
      <c r="R174" s="118"/>
      <c r="S174" s="118"/>
      <c r="T174" s="118"/>
      <c r="U174" s="118"/>
      <c r="V174" s="118"/>
    </row>
    <row r="175" outlineLevel="1">
      <c r="A175" s="156"/>
      <c r="B175" s="327" t="s">
        <v>234</v>
      </c>
      <c r="C175" s="328">
        <f t="array" ref="C175">INDEX('アイテム'!$AI$3:$AJ$114, MATCH($A$1,'アイテム'!$A$3:$A$114,0), MATCH(C157,'アイテム'!$C$2:$AQ$2,0))</f>
        <v>9</v>
      </c>
      <c r="D175" s="328" t="str">
        <f t="array" ref="D175">INDEX('アイテム'!$AI$3:$AJ$114, MATCH($A$1,'アイテム'!$A$3:$A$114,0), MATCH(D157,'アイテム'!$C$2:$AQ$2,0))</f>
        <v>22</v>
      </c>
      <c r="E175" s="322"/>
      <c r="F175" s="322"/>
      <c r="G175" s="114"/>
      <c r="H175" s="228"/>
      <c r="I175" s="228"/>
      <c r="J175" s="228"/>
      <c r="K175" s="118"/>
      <c r="L175" s="118"/>
      <c r="M175" s="118"/>
      <c r="N175" s="102"/>
      <c r="O175" s="102"/>
      <c r="P175" s="102"/>
      <c r="Q175" s="102"/>
      <c r="R175" s="118"/>
      <c r="S175" s="118"/>
      <c r="T175" s="118"/>
      <c r="U175" s="118"/>
      <c r="V175" s="118"/>
    </row>
  </sheetData>
  <mergeCells count="135">
    <mergeCell ref="H40:J41"/>
    <mergeCell ref="I45:I46"/>
    <mergeCell ref="J45:J46"/>
    <mergeCell ref="U57:U75"/>
    <mergeCell ref="V57:V75"/>
    <mergeCell ref="U77:U92"/>
    <mergeCell ref="V77:V92"/>
    <mergeCell ref="U94:U98"/>
    <mergeCell ref="V94:V98"/>
    <mergeCell ref="H33:J33"/>
    <mergeCell ref="H34:J34"/>
    <mergeCell ref="H35:J35"/>
    <mergeCell ref="H36:J36"/>
    <mergeCell ref="H37:J39"/>
    <mergeCell ref="U37:U39"/>
    <mergeCell ref="U40:U41"/>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29"/>
    <mergeCell ref="H30:J30"/>
    <mergeCell ref="H31:J31"/>
    <mergeCell ref="H32:J32"/>
    <mergeCell ref="R44:V44"/>
    <mergeCell ref="R45:V46"/>
    <mergeCell ref="R47:V47"/>
    <mergeCell ref="R48:V49"/>
    <mergeCell ref="R50:V50"/>
    <mergeCell ref="R51:V53"/>
    <mergeCell ref="A48:A49"/>
    <mergeCell ref="D48:D49"/>
    <mergeCell ref="I48:I49"/>
    <mergeCell ref="J48:J49"/>
    <mergeCell ref="A51:A53"/>
    <mergeCell ref="D51:D53"/>
    <mergeCell ref="I51:I53"/>
    <mergeCell ref="J51:J53"/>
    <mergeCell ref="H56:J56"/>
    <mergeCell ref="A55:B55"/>
    <mergeCell ref="A56:B56"/>
    <mergeCell ref="A58:A61"/>
    <mergeCell ref="A62:A67"/>
    <mergeCell ref="A68:A75"/>
    <mergeCell ref="A76:B76"/>
    <mergeCell ref="A77:A84"/>
    <mergeCell ref="A85:A91"/>
    <mergeCell ref="A93:B93"/>
    <mergeCell ref="A94:A98"/>
    <mergeCell ref="A99:B99"/>
    <mergeCell ref="A102:B103"/>
    <mergeCell ref="A105:A107"/>
    <mergeCell ref="A108:B108"/>
    <mergeCell ref="A113:A114"/>
    <mergeCell ref="A115:A116"/>
    <mergeCell ref="A118:B119"/>
    <mergeCell ref="A120:A122"/>
    <mergeCell ref="A123:A124"/>
    <mergeCell ref="A126:B127"/>
    <mergeCell ref="A128:A132"/>
    <mergeCell ref="C146:C147"/>
    <mergeCell ref="C153:C154"/>
    <mergeCell ref="A148:A154"/>
    <mergeCell ref="A156:B156"/>
    <mergeCell ref="A157:B157"/>
    <mergeCell ref="A158:A159"/>
    <mergeCell ref="A161:B161"/>
    <mergeCell ref="A162:A167"/>
    <mergeCell ref="A168:A171"/>
    <mergeCell ref="A172:A175"/>
    <mergeCell ref="A133:A135"/>
    <mergeCell ref="A136:A141"/>
    <mergeCell ref="C140:C141"/>
    <mergeCell ref="D140:D141"/>
    <mergeCell ref="A142:A147"/>
    <mergeCell ref="D146:D147"/>
    <mergeCell ref="D153:D154"/>
    <mergeCell ref="K128:K129"/>
    <mergeCell ref="K131:K136"/>
    <mergeCell ref="K137:K140"/>
    <mergeCell ref="K141:L141"/>
    <mergeCell ref="K143:K146"/>
    <mergeCell ref="K147:L147"/>
    <mergeCell ref="G108:J108"/>
    <mergeCell ref="G109:J110"/>
    <mergeCell ref="G111:J112"/>
    <mergeCell ref="G113:J114"/>
    <mergeCell ref="G115:J116"/>
    <mergeCell ref="K127:L127"/>
    <mergeCell ref="K130:L130"/>
    <mergeCell ref="D40:D41"/>
    <mergeCell ref="D45:D46"/>
    <mergeCell ref="A24:B25"/>
    <mergeCell ref="A26:A31"/>
    <mergeCell ref="A37:A39"/>
    <mergeCell ref="D37:D39"/>
    <mergeCell ref="A40:A41"/>
    <mergeCell ref="A43:B44"/>
    <mergeCell ref="A45:A46"/>
    <mergeCell ref="D62:D67"/>
    <mergeCell ref="D68:D75"/>
    <mergeCell ref="H57:J75"/>
    <mergeCell ref="H76:J76"/>
    <mergeCell ref="H77:J92"/>
    <mergeCell ref="H93:J93"/>
    <mergeCell ref="H94:J98"/>
    <mergeCell ref="H99:J99"/>
    <mergeCell ref="H100:J100"/>
    <mergeCell ref="A109:A110"/>
    <mergeCell ref="A111:A112"/>
    <mergeCell ref="D113:D114"/>
    <mergeCell ref="D115:D116"/>
    <mergeCell ref="D58:D61"/>
    <mergeCell ref="D77:D84"/>
    <mergeCell ref="D85:D91"/>
    <mergeCell ref="D94:D95"/>
    <mergeCell ref="D96:D98"/>
    <mergeCell ref="D109:D110"/>
    <mergeCell ref="D111:D112"/>
  </mergeCells>
  <conditionalFormatting sqref="K1:K151 L108:L116">
    <cfRule type="containsText" dxfId="0" priority="1" operator="containsText" text="361">
      <formula>NOT(ISERROR(SEARCH(("361"),(K1))))</formula>
    </cfRule>
  </conditionalFormatting>
  <conditionalFormatting sqref="O109:Q116">
    <cfRule type="cellIs" dxfId="2" priority="2" operator="equal">
      <formula>"敵のみ"</formula>
    </cfRule>
  </conditionalFormatting>
  <conditionalFormatting sqref="C109:D116">
    <cfRule type="cellIs" dxfId="3" priority="3" operator="equal">
      <formula>"-"</formula>
    </cfRule>
  </conditionalFormatting>
  <conditionalFormatting sqref="O1:O175 N108:N116 P108:P116 Q116 L150:L151">
    <cfRule type="cellIs" dxfId="4" priority="4" operator="greaterThan">
      <formula>0</formula>
    </cfRule>
  </conditionalFormatting>
  <conditionalFormatting sqref="P1:Q175 O108:O116 M150:M151">
    <cfRule type="cellIs" dxfId="5" priority="5" operator="lessThan">
      <formula>1</formula>
    </cfRule>
  </conditionalFormatting>
  <conditionalFormatting sqref="P1:Q175 O108:O116 M150:M151">
    <cfRule type="cellIs" dxfId="4" priority="6" operator="greaterThan">
      <formula>1</formula>
    </cfRule>
  </conditionalFormatting>
  <conditionalFormatting sqref="N25:N127 M108:M116 O108:O116">
    <cfRule type="cellIs" dxfId="6" priority="7" operator="greaterThan">
      <formula>0</formula>
    </cfRule>
  </conditionalFormatting>
  <conditionalFormatting sqref="K1:K175 L108:L116">
    <cfRule type="containsText" dxfId="6" priority="8" operator="containsText" text="363">
      <formula>NOT(ISERROR(SEARCH(("363"),(K1))))</formula>
    </cfRule>
  </conditionalFormatting>
  <conditionalFormatting sqref="K1:K175 L108:L116">
    <cfRule type="containsText" dxfId="6" priority="9" operator="containsText" text="365">
      <formula>NOT(ISERROR(SEARCH(("365"),(K1))))</formula>
    </cfRule>
  </conditionalFormatting>
  <conditionalFormatting sqref="K1:K175 L108:L116">
    <cfRule type="containsText" dxfId="6" priority="10" operator="containsText" text="366">
      <formula>NOT(ISERROR(SEARCH(("366"),(K1))))</formula>
    </cfRule>
  </conditionalFormatting>
  <conditionalFormatting sqref="K1:K175 L108:L116">
    <cfRule type="containsText" dxfId="6" priority="11" operator="containsText" text="367">
      <formula>NOT(ISERROR(SEARCH(("367"),(K1))))</formula>
    </cfRule>
  </conditionalFormatting>
  <conditionalFormatting sqref="N1:N15 N17:N175 M108:M116 O108:O116 K150:K151">
    <cfRule type="containsText" dxfId="6" priority="12" operator="containsText" text="/">
      <formula>NOT(ISERROR(SEARCH(("/"),(N1))))</formula>
    </cfRule>
  </conditionalFormatting>
  <drawing r:id="rId2"/>
  <legacyDrawing r:id="rId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F9C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503">
        <v>80.0</v>
      </c>
      <c r="B1" s="3504"/>
      <c r="C1" s="3505" t="str">
        <f>IMAGE(VLOOKUP($A$1,Fighters!A2:AI114,12,FALSE),1)</f>
        <v>#REF!</v>
      </c>
      <c r="D1" s="3506"/>
      <c r="E1" s="3506"/>
      <c r="F1" s="3506"/>
      <c r="G1" s="3507"/>
      <c r="H1" s="3508"/>
      <c r="I1" s="3506"/>
      <c r="J1" s="3507"/>
      <c r="K1" s="3509"/>
      <c r="L1" s="3506"/>
      <c r="M1" s="3507"/>
      <c r="N1" s="3510"/>
      <c r="O1" s="3510"/>
      <c r="P1" s="3510"/>
      <c r="Q1" s="3510"/>
      <c r="R1" s="3511"/>
      <c r="S1" s="3511"/>
      <c r="T1" s="3511"/>
      <c r="U1" s="3511"/>
      <c r="V1" s="3511"/>
    </row>
    <row r="2">
      <c r="A2" s="3512" t="str">
        <f>VLOOKUP($A$1,Fighters!$A$2:$AI$101,6,FALSE)</f>
        <v>#e6f9c8</v>
      </c>
      <c r="B2" s="3504"/>
      <c r="C2" s="3513"/>
      <c r="G2" s="3514"/>
      <c r="H2" s="3515"/>
      <c r="I2" s="3516"/>
      <c r="J2" s="3517"/>
      <c r="K2" s="3515"/>
      <c r="L2" s="3516"/>
      <c r="M2" s="3517"/>
      <c r="N2" s="3510"/>
      <c r="O2" s="3510"/>
      <c r="P2" s="3510"/>
      <c r="Q2" s="3510"/>
      <c r="R2" s="3511"/>
      <c r="S2" s="3511"/>
      <c r="T2" s="3511"/>
      <c r="U2" s="3511"/>
      <c r="V2" s="3511"/>
    </row>
    <row r="3">
      <c r="A3" s="3512" t="str">
        <f>VLOOKUP($A$1,Fighters!$A$2:$AI$101,14,FALSE)</f>
        <v>80. ヒカリ</v>
      </c>
      <c r="B3" s="3504"/>
      <c r="C3" s="3513"/>
      <c r="G3" s="3514"/>
      <c r="H3" s="3518"/>
      <c r="I3" s="3518"/>
      <c r="J3" s="3518"/>
      <c r="K3" s="3519"/>
      <c r="L3" s="3519"/>
      <c r="M3" s="3519"/>
      <c r="N3" s="3510"/>
      <c r="O3" s="3510"/>
      <c r="P3" s="3510"/>
      <c r="Q3" s="3510"/>
      <c r="R3" s="3520"/>
      <c r="S3" s="3511"/>
      <c r="T3" s="3511"/>
      <c r="U3" s="3511"/>
      <c r="V3" s="3511"/>
    </row>
    <row r="4">
      <c r="A4" s="3512" t="str">
        <f>VLOOKUP($A$1,Fighters!$A$2:$AI$101,13,FALSE)</f>
        <v>1</v>
      </c>
      <c r="B4" s="3504"/>
      <c r="C4" s="3513"/>
      <c r="G4" s="3514"/>
      <c r="H4" s="3521"/>
      <c r="I4" s="3521"/>
      <c r="J4" s="3518"/>
      <c r="K4" s="3519"/>
      <c r="L4" s="3519"/>
      <c r="M4" s="3519"/>
      <c r="N4" s="3510"/>
      <c r="O4" s="3510"/>
      <c r="P4" s="3510"/>
      <c r="Q4" s="3510"/>
      <c r="R4" s="3520"/>
      <c r="S4" s="3511"/>
      <c r="T4" s="3511"/>
      <c r="U4" s="3511"/>
      <c r="V4" s="3511"/>
    </row>
    <row r="5" ht="16.5" customHeight="1">
      <c r="A5" s="3522"/>
      <c r="B5" s="3504"/>
      <c r="C5" s="3513"/>
      <c r="G5" s="3514"/>
      <c r="H5" s="3523"/>
      <c r="I5" s="3523"/>
      <c r="J5" s="3524"/>
      <c r="K5" s="3525"/>
      <c r="L5" s="3526"/>
      <c r="M5" s="3526"/>
      <c r="N5" s="3510"/>
      <c r="O5" s="3510"/>
      <c r="P5" s="3510"/>
      <c r="Q5" s="3510"/>
      <c r="R5" s="3520"/>
      <c r="S5" s="3511"/>
      <c r="T5" s="3511"/>
      <c r="U5" s="3511"/>
      <c r="V5" s="3511"/>
    </row>
    <row r="6">
      <c r="A6" s="3504"/>
      <c r="B6" s="3504"/>
      <c r="C6" s="3513"/>
      <c r="G6" s="3514"/>
      <c r="H6" s="3521"/>
      <c r="I6" s="3527" t="s">
        <v>39</v>
      </c>
      <c r="J6" s="3525"/>
      <c r="K6" s="3528"/>
      <c r="L6" s="3526"/>
      <c r="M6" s="3526"/>
      <c r="N6" s="3510"/>
      <c r="O6" s="3510"/>
      <c r="P6" s="3510"/>
      <c r="Q6" s="3510"/>
      <c r="R6" s="3520"/>
      <c r="S6" s="3511"/>
      <c r="T6" s="3511"/>
      <c r="U6" s="3511"/>
      <c r="V6" s="3511"/>
    </row>
    <row r="7">
      <c r="A7" s="3504"/>
      <c r="B7" s="3504"/>
      <c r="C7" s="3513"/>
      <c r="G7" s="3514"/>
      <c r="H7" s="3523"/>
      <c r="I7" s="3523"/>
      <c r="J7" s="3525"/>
      <c r="K7" s="3528"/>
      <c r="L7" s="3526"/>
      <c r="M7" s="3526"/>
      <c r="N7" s="3510"/>
      <c r="O7" s="3510"/>
      <c r="P7" s="3510"/>
      <c r="Q7" s="3510"/>
      <c r="R7" s="3520"/>
      <c r="S7" s="3511"/>
      <c r="T7" s="3511"/>
      <c r="U7" s="3511"/>
      <c r="V7" s="3511"/>
    </row>
    <row r="8">
      <c r="A8" s="3504"/>
      <c r="B8" s="3504"/>
      <c r="C8" s="3513"/>
      <c r="G8" s="3514"/>
      <c r="H8" s="3529">
        <v>44380.418572905095</v>
      </c>
      <c r="I8" s="3506"/>
      <c r="J8" s="3507"/>
      <c r="K8" s="3525"/>
      <c r="L8" s="3526"/>
      <c r="M8" s="3526"/>
      <c r="N8" s="3510"/>
      <c r="O8" s="3510"/>
      <c r="P8" s="3510"/>
      <c r="Q8" s="3510"/>
      <c r="R8" s="3520"/>
      <c r="S8" s="3511"/>
      <c r="T8" s="3511"/>
      <c r="U8" s="3511"/>
      <c r="V8" s="3511"/>
    </row>
    <row r="9">
      <c r="A9" s="3504"/>
      <c r="B9" s="3504"/>
      <c r="C9" s="3513"/>
      <c r="G9" s="3514"/>
      <c r="H9" s="3515"/>
      <c r="I9" s="3516"/>
      <c r="J9" s="3517"/>
      <c r="K9" s="3511"/>
      <c r="L9" s="3510"/>
      <c r="M9" s="3510"/>
      <c r="N9" s="3510"/>
      <c r="O9" s="3510"/>
      <c r="P9" s="3510"/>
      <c r="Q9" s="3510"/>
      <c r="R9" s="3520"/>
      <c r="S9" s="3511"/>
      <c r="T9" s="3511"/>
      <c r="U9" s="3511"/>
      <c r="V9" s="3511"/>
    </row>
    <row r="10">
      <c r="A10" s="3530"/>
      <c r="B10" s="3504"/>
      <c r="C10" s="3513"/>
      <c r="G10" s="3514"/>
      <c r="H10" s="3531"/>
      <c r="I10" s="3531"/>
      <c r="J10" s="3511"/>
      <c r="K10" s="3511"/>
      <c r="L10" s="3510"/>
      <c r="M10" s="3510"/>
      <c r="N10" s="3510"/>
      <c r="O10" s="3510"/>
      <c r="P10" s="3510"/>
      <c r="Q10" s="3510"/>
      <c r="R10" s="3520"/>
      <c r="S10" s="3511"/>
      <c r="T10" s="3511"/>
      <c r="U10" s="3511"/>
      <c r="V10" s="3511"/>
    </row>
    <row r="11">
      <c r="A11" s="3532"/>
      <c r="B11" s="3504"/>
      <c r="C11" s="3513"/>
      <c r="G11" s="3514"/>
      <c r="H11" s="3523"/>
      <c r="I11" s="3523"/>
      <c r="J11" s="3511"/>
      <c r="K11" s="3511"/>
      <c r="L11" s="3510"/>
      <c r="M11" s="3510"/>
      <c r="N11" s="3510"/>
      <c r="O11" s="3510"/>
      <c r="P11" s="3510"/>
      <c r="Q11" s="3510"/>
      <c r="R11" s="3520"/>
      <c r="S11" s="3511"/>
      <c r="T11" s="3511"/>
      <c r="U11" s="3511"/>
      <c r="V11" s="3511"/>
    </row>
    <row r="12">
      <c r="A12" s="3523"/>
      <c r="B12" s="3504"/>
      <c r="C12" s="3515"/>
      <c r="D12" s="3516"/>
      <c r="E12" s="3516"/>
      <c r="F12" s="3516"/>
      <c r="G12" s="3517"/>
      <c r="H12" s="3533"/>
      <c r="I12" s="3533"/>
      <c r="J12" s="3504"/>
      <c r="K12" s="3504"/>
      <c r="L12" s="3510"/>
      <c r="M12" s="3510"/>
      <c r="N12" s="3510"/>
      <c r="O12" s="3510"/>
      <c r="P12" s="3510"/>
      <c r="Q12" s="3510"/>
      <c r="R12" s="3520"/>
      <c r="S12" s="3511"/>
      <c r="T12" s="3511"/>
      <c r="U12" s="3511"/>
      <c r="V12" s="3511"/>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INDEX('行動フレーム・能力値'!$C$2:$AD$101, MATCH($A$1,'行動フレーム・能力値'!$A$2:$A$101,0),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92 [53rd]</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30F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2.45 [1st]</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INDEX('行動フレーム・能力値'!$C$2:$AD$101, MATCH($A$1,'行動フレーム・能力値'!$A$2:$A$101,0),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1.42 [8th]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41F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0.14 [54th]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30.8 [62nd]</v>
      </c>
      <c r="O18" s="99"/>
      <c r="P18" s="99"/>
      <c r="Q18" s="99"/>
      <c r="R18" s="99"/>
      <c r="S18" s="111"/>
      <c r="T18" s="111"/>
      <c r="U18" s="111"/>
      <c r="V18" s="111"/>
    </row>
    <row r="19" outlineLevel="1">
      <c r="A19" s="112" t="s">
        <v>5288</v>
      </c>
      <c r="B19" s="113" t="b">
        <f t="array" ref="B19">INDEX('行動フレーム・能力値'!$C$2:$AD$101, MATCH($A$1,'行動フレーム・能力値'!$A$2:$A$101,0),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2.41 [5th]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21F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0.121 [17th]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15.6 [51st]</v>
      </c>
      <c r="O19" s="99"/>
      <c r="P19" s="99"/>
      <c r="Q19" s="99"/>
      <c r="R19" s="99"/>
      <c r="S19" s="111"/>
      <c r="T19" s="111"/>
      <c r="U19" s="111"/>
      <c r="V19" s="111"/>
    </row>
    <row r="20" outlineLevel="1">
      <c r="A20" s="112" t="s">
        <v>5292</v>
      </c>
      <c r="B20" s="113" t="b">
        <f t="array" ref="B20">INDEX('行動フレーム・能力値'!$C$2:$AD$101,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1.22 [11th]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29F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0.07 [49th]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33 [45th]</v>
      </c>
      <c r="O20" s="99"/>
      <c r="P20" s="99"/>
      <c r="Q20" s="99"/>
      <c r="R20" s="99"/>
      <c r="S20" s="100"/>
      <c r="T20" s="100"/>
      <c r="U20" s="100"/>
      <c r="V20" s="100"/>
    </row>
    <row r="21" outlineLevel="1">
      <c r="A21" s="112" t="s">
        <v>587</v>
      </c>
      <c r="B21" s="113" t="b">
        <f t="array" ref="B21">INDEX('行動フレーム・能力値'!$C$2:$AD$101, MATCH($A$1,'行動フレーム・能力値'!$A$2:$A$101,0),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1.87 [7th]</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0.012 [33rd]</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2.992 [7th]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0.137 [7th]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t="s">
        <v>2296</v>
      </c>
      <c r="D26" s="701" t="s">
        <v>6233</v>
      </c>
      <c r="E26" s="526" t="s">
        <v>176</v>
      </c>
      <c r="F26" s="138">
        <v>2.4</v>
      </c>
      <c r="G26" s="139" t="s">
        <v>60</v>
      </c>
      <c r="H26" s="151" t="s">
        <v>2689</v>
      </c>
      <c r="I26" s="110"/>
      <c r="J26" s="109"/>
      <c r="K26" s="282"/>
      <c r="L26" s="282"/>
      <c r="M26" s="363"/>
      <c r="N26" s="363"/>
      <c r="O26" s="145">
        <v>0.0</v>
      </c>
      <c r="P26" s="145">
        <v>1.0</v>
      </c>
      <c r="Q26" s="145">
        <v>1.0</v>
      </c>
      <c r="R26" s="100"/>
      <c r="S26" s="100"/>
      <c r="T26" s="100"/>
      <c r="U26" s="1584"/>
      <c r="V26" s="100"/>
    </row>
    <row r="27" outlineLevel="1">
      <c r="A27" s="146"/>
      <c r="B27" s="147" t="s">
        <v>63</v>
      </c>
      <c r="C27" s="467" t="s">
        <v>717</v>
      </c>
      <c r="D27" s="467" t="s">
        <v>164</v>
      </c>
      <c r="E27" s="158" t="s">
        <v>176</v>
      </c>
      <c r="F27" s="138">
        <v>2.4</v>
      </c>
      <c r="G27" s="216" t="s">
        <v>60</v>
      </c>
      <c r="H27" s="151" t="s">
        <v>3459</v>
      </c>
      <c r="I27" s="110"/>
      <c r="J27" s="109"/>
      <c r="K27" s="282"/>
      <c r="L27" s="282"/>
      <c r="M27" s="363"/>
      <c r="N27" s="363"/>
      <c r="O27" s="145">
        <v>0.0</v>
      </c>
      <c r="P27" s="145">
        <v>1.0</v>
      </c>
      <c r="Q27" s="145">
        <v>1.0</v>
      </c>
      <c r="R27" s="100"/>
      <c r="S27" s="100"/>
      <c r="T27" s="100"/>
      <c r="U27" s="1584"/>
      <c r="V27" s="100"/>
    </row>
    <row r="28" outlineLevel="1">
      <c r="A28" s="146"/>
      <c r="B28" s="147" t="s">
        <v>70</v>
      </c>
      <c r="C28" s="467" t="s">
        <v>270</v>
      </c>
      <c r="D28" s="467" t="s">
        <v>99</v>
      </c>
      <c r="E28" s="158" t="s">
        <v>73</v>
      </c>
      <c r="F28" s="138">
        <v>4.8</v>
      </c>
      <c r="G28" s="216" t="s">
        <v>75</v>
      </c>
      <c r="H28" s="151"/>
      <c r="I28" s="110"/>
      <c r="J28" s="109"/>
      <c r="K28" s="282"/>
      <c r="L28" s="282"/>
      <c r="M28" s="363"/>
      <c r="N28" s="363"/>
      <c r="O28" s="145">
        <v>0.0</v>
      </c>
      <c r="P28" s="145">
        <v>1.0</v>
      </c>
      <c r="Q28" s="145">
        <v>1.0</v>
      </c>
      <c r="R28" s="100"/>
      <c r="S28" s="100"/>
      <c r="T28" s="100"/>
      <c r="U28" s="1584"/>
      <c r="V28" s="100"/>
    </row>
    <row r="29" outlineLevel="1">
      <c r="A29" s="146"/>
      <c r="B29" s="147" t="s">
        <v>703</v>
      </c>
      <c r="C29" s="659"/>
      <c r="D29" s="467" t="s">
        <v>86</v>
      </c>
      <c r="E29" s="3534"/>
      <c r="F29" s="658"/>
      <c r="G29" s="659"/>
      <c r="H29" s="151" t="s">
        <v>411</v>
      </c>
      <c r="I29" s="110"/>
      <c r="J29" s="109"/>
      <c r="K29" s="261"/>
      <c r="L29" s="261"/>
      <c r="M29" s="261"/>
      <c r="N29" s="261"/>
      <c r="O29" s="261"/>
      <c r="P29" s="261"/>
      <c r="Q29" s="261"/>
      <c r="R29" s="100"/>
      <c r="S29" s="100"/>
      <c r="T29" s="100"/>
      <c r="U29" s="1584"/>
      <c r="V29" s="100"/>
    </row>
    <row r="30" outlineLevel="1">
      <c r="A30" s="146"/>
      <c r="B30" s="147" t="s">
        <v>704</v>
      </c>
      <c r="C30" s="467" t="s">
        <v>6162</v>
      </c>
      <c r="D30" s="467" t="s">
        <v>386</v>
      </c>
      <c r="E30" s="515" t="s">
        <v>3647</v>
      </c>
      <c r="F30" s="138">
        <v>0.48</v>
      </c>
      <c r="G30" s="450" t="s">
        <v>147</v>
      </c>
      <c r="H30" s="151" t="s">
        <v>4575</v>
      </c>
      <c r="I30" s="110"/>
      <c r="J30" s="109"/>
      <c r="K30" s="282"/>
      <c r="L30" s="282"/>
      <c r="M30" s="363"/>
      <c r="N30" s="363"/>
      <c r="O30" s="145">
        <v>0.0</v>
      </c>
      <c r="P30" s="145">
        <v>1.0</v>
      </c>
      <c r="Q30" s="145">
        <v>1.0</v>
      </c>
      <c r="R30" s="100"/>
      <c r="S30" s="100"/>
      <c r="T30" s="100"/>
      <c r="U30" s="1584"/>
      <c r="V30" s="100"/>
    </row>
    <row r="31" outlineLevel="1">
      <c r="A31" s="156"/>
      <c r="B31" s="147" t="s">
        <v>708</v>
      </c>
      <c r="C31" s="467" t="s">
        <v>217</v>
      </c>
      <c r="D31" s="467" t="s">
        <v>79</v>
      </c>
      <c r="E31" s="515" t="s">
        <v>204</v>
      </c>
      <c r="F31" s="138">
        <v>3.5999999999999996</v>
      </c>
      <c r="G31" s="467" t="s">
        <v>147</v>
      </c>
      <c r="H31" s="151"/>
      <c r="I31" s="110"/>
      <c r="J31" s="109"/>
      <c r="K31" s="282"/>
      <c r="L31" s="282"/>
      <c r="M31" s="363"/>
      <c r="N31" s="363"/>
      <c r="O31" s="145">
        <v>0.0</v>
      </c>
      <c r="P31" s="145">
        <v>1.0</v>
      </c>
      <c r="Q31" s="145">
        <v>1.0</v>
      </c>
      <c r="R31" s="100"/>
      <c r="S31" s="100"/>
      <c r="T31" s="100"/>
      <c r="U31" s="1584"/>
      <c r="V31" s="100"/>
    </row>
    <row r="32" outlineLevel="1">
      <c r="A32" s="170" t="s">
        <v>77</v>
      </c>
      <c r="B32" s="160"/>
      <c r="C32" s="467" t="s">
        <v>220</v>
      </c>
      <c r="D32" s="467" t="s">
        <v>118</v>
      </c>
      <c r="E32" s="514" t="s">
        <v>6234</v>
      </c>
      <c r="F32" s="138" t="s">
        <v>6235</v>
      </c>
      <c r="G32" s="467" t="s">
        <v>642</v>
      </c>
      <c r="H32" s="151"/>
      <c r="I32" s="110"/>
      <c r="J32" s="109"/>
      <c r="K32" s="282"/>
      <c r="L32" s="282"/>
      <c r="M32" s="363"/>
      <c r="N32" s="363"/>
      <c r="O32" s="145">
        <v>0.0</v>
      </c>
      <c r="P32" s="145">
        <v>1.0</v>
      </c>
      <c r="Q32" s="145">
        <v>1.0</v>
      </c>
      <c r="R32" s="100"/>
      <c r="S32" s="100"/>
      <c r="T32" s="100"/>
      <c r="U32" s="1584"/>
      <c r="V32" s="100"/>
    </row>
    <row r="33" outlineLevel="1">
      <c r="A33" s="170" t="s">
        <v>89</v>
      </c>
      <c r="B33" s="147"/>
      <c r="C33" s="467" t="s">
        <v>518</v>
      </c>
      <c r="D33" s="467" t="s">
        <v>92</v>
      </c>
      <c r="E33" s="515" t="s">
        <v>100</v>
      </c>
      <c r="F33" s="138">
        <v>6.6</v>
      </c>
      <c r="G33" s="467" t="s">
        <v>102</v>
      </c>
      <c r="H33" s="151"/>
      <c r="I33" s="110"/>
      <c r="J33" s="109"/>
      <c r="K33" s="282"/>
      <c r="L33" s="282"/>
      <c r="M33" s="363"/>
      <c r="N33" s="363"/>
      <c r="O33" s="145">
        <v>0.0</v>
      </c>
      <c r="P33" s="145">
        <v>1.0</v>
      </c>
      <c r="Q33" s="145">
        <v>1.0</v>
      </c>
      <c r="R33" s="100"/>
      <c r="S33" s="100"/>
      <c r="T33" s="100"/>
      <c r="U33" s="1584"/>
      <c r="V33" s="100"/>
    </row>
    <row r="34" outlineLevel="1">
      <c r="A34" s="170" t="s">
        <v>97</v>
      </c>
      <c r="B34" s="160"/>
      <c r="C34" s="467" t="s">
        <v>4589</v>
      </c>
      <c r="D34" s="467" t="s">
        <v>876</v>
      </c>
      <c r="E34" s="515" t="s">
        <v>73</v>
      </c>
      <c r="F34" s="138">
        <v>4.8</v>
      </c>
      <c r="G34" s="467" t="s">
        <v>75</v>
      </c>
      <c r="H34" s="151"/>
      <c r="I34" s="110"/>
      <c r="J34" s="109"/>
      <c r="K34" s="282"/>
      <c r="L34" s="282"/>
      <c r="M34" s="363"/>
      <c r="N34" s="363"/>
      <c r="O34" s="145">
        <v>0.0</v>
      </c>
      <c r="P34" s="145">
        <v>1.0</v>
      </c>
      <c r="Q34" s="145">
        <v>1.0</v>
      </c>
      <c r="R34" s="100"/>
      <c r="S34" s="100"/>
      <c r="T34" s="100"/>
      <c r="U34" s="1584"/>
      <c r="V34" s="100"/>
    </row>
    <row r="35" outlineLevel="1">
      <c r="A35" s="170" t="s">
        <v>103</v>
      </c>
      <c r="B35" s="160"/>
      <c r="C35" s="467" t="s">
        <v>91</v>
      </c>
      <c r="D35" s="467" t="s">
        <v>718</v>
      </c>
      <c r="E35" s="514" t="s">
        <v>6236</v>
      </c>
      <c r="F35" s="138" t="s">
        <v>6237</v>
      </c>
      <c r="G35" s="467" t="s">
        <v>6238</v>
      </c>
      <c r="H35" s="151"/>
      <c r="I35" s="110"/>
      <c r="J35" s="109"/>
      <c r="K35" s="145"/>
      <c r="L35" s="363"/>
      <c r="M35" s="363"/>
      <c r="N35" s="363"/>
      <c r="O35" s="145">
        <v>0.0</v>
      </c>
      <c r="P35" s="145">
        <v>1.0</v>
      </c>
      <c r="Q35" s="145">
        <v>1.0</v>
      </c>
      <c r="R35" s="100"/>
      <c r="S35" s="100"/>
      <c r="T35" s="100"/>
      <c r="U35" s="1584"/>
      <c r="V35" s="100"/>
    </row>
    <row r="36" outlineLevel="1">
      <c r="A36" s="170" t="s">
        <v>109</v>
      </c>
      <c r="B36" s="147"/>
      <c r="C36" s="467" t="s">
        <v>1111</v>
      </c>
      <c r="D36" s="467" t="s">
        <v>185</v>
      </c>
      <c r="E36" s="515" t="s">
        <v>1217</v>
      </c>
      <c r="F36" s="138">
        <v>16.2</v>
      </c>
      <c r="G36" s="467" t="s">
        <v>275</v>
      </c>
      <c r="H36" s="151" t="s">
        <v>553</v>
      </c>
      <c r="I36" s="110"/>
      <c r="J36" s="109"/>
      <c r="K36" s="282"/>
      <c r="L36" s="282"/>
      <c r="M36" s="363"/>
      <c r="N36" s="363"/>
      <c r="O36" s="145">
        <v>0.0</v>
      </c>
      <c r="P36" s="145">
        <v>1.0</v>
      </c>
      <c r="Q36" s="145">
        <v>1.0</v>
      </c>
      <c r="R36" s="100"/>
      <c r="S36" s="100"/>
      <c r="T36" s="100"/>
      <c r="U36" s="1584"/>
      <c r="V36" s="100"/>
    </row>
    <row r="37" outlineLevel="1">
      <c r="A37" s="133" t="s">
        <v>116</v>
      </c>
      <c r="B37" s="147" t="s">
        <v>152</v>
      </c>
      <c r="C37" s="467" t="s">
        <v>220</v>
      </c>
      <c r="D37" s="455" t="s">
        <v>634</v>
      </c>
      <c r="E37" s="467" t="s">
        <v>176</v>
      </c>
      <c r="F37" s="138">
        <v>2.4</v>
      </c>
      <c r="G37" s="467" t="s">
        <v>60</v>
      </c>
      <c r="H37" s="163" t="s">
        <v>442</v>
      </c>
      <c r="I37" s="164"/>
      <c r="J37" s="104"/>
      <c r="K37" s="363"/>
      <c r="L37" s="363"/>
      <c r="M37" s="363"/>
      <c r="N37" s="363"/>
      <c r="O37" s="145">
        <v>0.0</v>
      </c>
      <c r="P37" s="145">
        <v>1.0</v>
      </c>
      <c r="Q37" s="145">
        <v>1.0</v>
      </c>
      <c r="R37" s="100"/>
      <c r="S37" s="100"/>
      <c r="T37" s="100"/>
      <c r="U37" s="3301"/>
      <c r="V37" s="100"/>
    </row>
    <row r="38" outlineLevel="1">
      <c r="A38" s="146"/>
      <c r="B38" s="147" t="s">
        <v>199</v>
      </c>
      <c r="C38" s="216" t="s">
        <v>6239</v>
      </c>
      <c r="D38" s="210"/>
      <c r="E38" s="467" t="s">
        <v>1024</v>
      </c>
      <c r="F38" s="138">
        <v>1.7999999999999998</v>
      </c>
      <c r="G38" s="467" t="s">
        <v>170</v>
      </c>
      <c r="H38" s="212"/>
      <c r="J38" s="210"/>
      <c r="K38" s="363"/>
      <c r="L38" s="363"/>
      <c r="M38" s="363"/>
      <c r="N38" s="363"/>
      <c r="O38" s="145"/>
      <c r="P38" s="145"/>
      <c r="Q38" s="145"/>
      <c r="R38" s="100"/>
      <c r="S38" s="100"/>
      <c r="T38" s="100"/>
      <c r="U38" s="146"/>
      <c r="V38" s="100"/>
    </row>
    <row r="39" outlineLevel="1">
      <c r="A39" s="156"/>
      <c r="B39" s="147" t="s">
        <v>202</v>
      </c>
      <c r="C39" s="216" t="s">
        <v>522</v>
      </c>
      <c r="D39" s="107"/>
      <c r="E39" s="467" t="s">
        <v>86</v>
      </c>
      <c r="F39" s="138">
        <v>7.199999999999999</v>
      </c>
      <c r="G39" s="467" t="s">
        <v>75</v>
      </c>
      <c r="H39" s="106"/>
      <c r="I39" s="168"/>
      <c r="J39" s="107"/>
      <c r="K39" s="363"/>
      <c r="L39" s="363"/>
      <c r="M39" s="363"/>
      <c r="N39" s="363"/>
      <c r="O39" s="145">
        <v>0.0</v>
      </c>
      <c r="P39" s="145">
        <v>1.0</v>
      </c>
      <c r="Q39" s="145">
        <v>1.0</v>
      </c>
      <c r="R39" s="100"/>
      <c r="S39" s="100"/>
      <c r="T39" s="100"/>
      <c r="U39" s="156"/>
      <c r="V39" s="100"/>
    </row>
    <row r="40" outlineLevel="1">
      <c r="A40" s="133" t="s">
        <v>124</v>
      </c>
      <c r="B40" s="147" t="s">
        <v>125</v>
      </c>
      <c r="C40" s="216" t="s">
        <v>161</v>
      </c>
      <c r="D40" s="455" t="s">
        <v>393</v>
      </c>
      <c r="E40" s="467" t="s">
        <v>6240</v>
      </c>
      <c r="F40" s="138" t="s">
        <v>6241</v>
      </c>
      <c r="G40" s="467" t="s">
        <v>6242</v>
      </c>
      <c r="H40" s="163" t="s">
        <v>130</v>
      </c>
      <c r="I40" s="164"/>
      <c r="J40" s="104"/>
      <c r="K40" s="282"/>
      <c r="L40" s="282"/>
      <c r="M40" s="363"/>
      <c r="N40" s="363"/>
      <c r="O40" s="145">
        <v>0.0</v>
      </c>
      <c r="P40" s="145">
        <v>1.0</v>
      </c>
      <c r="Q40" s="145">
        <v>1.0</v>
      </c>
      <c r="R40" s="100"/>
      <c r="S40" s="100"/>
      <c r="T40" s="100"/>
      <c r="U40" s="3301"/>
      <c r="V40" s="100"/>
    </row>
    <row r="41" outlineLevel="1">
      <c r="A41" s="156"/>
      <c r="B41" s="147" t="s">
        <v>131</v>
      </c>
      <c r="C41" s="216" t="s">
        <v>325</v>
      </c>
      <c r="D41" s="107"/>
      <c r="E41" s="467" t="s">
        <v>6240</v>
      </c>
      <c r="F41" s="138" t="s">
        <v>6241</v>
      </c>
      <c r="G41" s="467" t="s">
        <v>6242</v>
      </c>
      <c r="H41" s="106"/>
      <c r="I41" s="168"/>
      <c r="J41" s="107"/>
      <c r="K41" s="282"/>
      <c r="L41" s="282"/>
      <c r="M41" s="363"/>
      <c r="N41" s="363"/>
      <c r="O41" s="145">
        <v>0.0</v>
      </c>
      <c r="P41" s="145">
        <v>1.0</v>
      </c>
      <c r="Q41" s="145">
        <v>1.0</v>
      </c>
      <c r="R41" s="100"/>
      <c r="S41" s="100"/>
      <c r="T41" s="100"/>
      <c r="U41" s="156"/>
      <c r="V41" s="100"/>
    </row>
    <row r="42">
      <c r="A42" s="118"/>
      <c r="B42" s="176"/>
      <c r="C42" s="118"/>
      <c r="D42" s="118"/>
      <c r="E42" s="118"/>
      <c r="F42" s="177"/>
      <c r="G42" s="177"/>
      <c r="H42" s="118"/>
      <c r="I42" s="118"/>
      <c r="J42" s="118"/>
      <c r="K42" s="118"/>
      <c r="L42" s="118"/>
      <c r="M42" s="118"/>
      <c r="N42" s="118"/>
      <c r="O42" s="118"/>
      <c r="P42" s="118"/>
      <c r="Q42" s="118"/>
      <c r="R42" s="118"/>
      <c r="S42" s="118"/>
      <c r="T42" s="118"/>
      <c r="U42" s="118"/>
      <c r="V42" s="118"/>
    </row>
    <row r="43">
      <c r="A43" s="178" t="s">
        <v>133</v>
      </c>
      <c r="B43" s="104"/>
      <c r="C43" s="179"/>
      <c r="D43" s="179"/>
      <c r="E43" s="179"/>
      <c r="F43" s="180"/>
      <c r="G43" s="179"/>
      <c r="H43" s="180"/>
      <c r="I43" s="180"/>
      <c r="J43" s="181"/>
      <c r="K43" s="180"/>
      <c r="L43" s="180"/>
      <c r="M43" s="180"/>
      <c r="N43" s="180"/>
      <c r="O43" s="180"/>
      <c r="P43" s="180"/>
      <c r="Q43" s="180"/>
      <c r="R43" s="180"/>
      <c r="S43" s="180"/>
      <c r="T43" s="180"/>
      <c r="U43" s="180"/>
      <c r="V43" s="180"/>
    </row>
    <row r="44" outlineLevel="1">
      <c r="A44" s="106"/>
      <c r="B44" s="107"/>
      <c r="C44" s="182" t="s">
        <v>48</v>
      </c>
      <c r="D44" s="183" t="s">
        <v>49</v>
      </c>
      <c r="E44" s="182" t="s">
        <v>50</v>
      </c>
      <c r="F44" s="184" t="s">
        <v>51</v>
      </c>
      <c r="G44" s="184" t="s">
        <v>134</v>
      </c>
      <c r="H44" s="185" t="s">
        <v>52</v>
      </c>
      <c r="I44" s="184" t="s">
        <v>135</v>
      </c>
      <c r="J44" s="186" t="s">
        <v>136</v>
      </c>
      <c r="K44" s="184" t="s">
        <v>137</v>
      </c>
      <c r="L44" s="184" t="s">
        <v>138</v>
      </c>
      <c r="M44" s="184" t="s">
        <v>139</v>
      </c>
      <c r="N44" s="184" t="s">
        <v>140</v>
      </c>
      <c r="O44" s="186" t="s">
        <v>141</v>
      </c>
      <c r="P44" s="184" t="s">
        <v>142</v>
      </c>
      <c r="Q44" s="186" t="s">
        <v>143</v>
      </c>
      <c r="R44" s="372" t="s">
        <v>53</v>
      </c>
      <c r="S44" s="110"/>
      <c r="T44" s="110"/>
      <c r="U44" s="110"/>
      <c r="V44" s="109"/>
    </row>
    <row r="45" outlineLevel="1">
      <c r="A45" s="188" t="s">
        <v>144</v>
      </c>
      <c r="B45" s="373" t="s">
        <v>199</v>
      </c>
      <c r="C45" s="239" t="s">
        <v>6243</v>
      </c>
      <c r="D45" s="455" t="s">
        <v>413</v>
      </c>
      <c r="E45" s="401" t="s">
        <v>176</v>
      </c>
      <c r="F45" s="193">
        <v>2.4</v>
      </c>
      <c r="G45" s="193">
        <v>2.04</v>
      </c>
      <c r="H45" s="138" t="s">
        <v>170</v>
      </c>
      <c r="I45" s="455" t="s">
        <v>228</v>
      </c>
      <c r="J45" s="455" t="s">
        <v>6244</v>
      </c>
      <c r="K45" s="138">
        <v>361.0</v>
      </c>
      <c r="L45" s="282"/>
      <c r="M45" s="363"/>
      <c r="N45" s="363"/>
      <c r="O45" s="145">
        <v>0.0</v>
      </c>
      <c r="P45" s="145">
        <v>1.0</v>
      </c>
      <c r="Q45" s="145">
        <v>1.0</v>
      </c>
      <c r="R45" s="163" t="s">
        <v>6245</v>
      </c>
      <c r="S45" s="164"/>
      <c r="T45" s="164"/>
      <c r="U45" s="164"/>
      <c r="V45" s="104"/>
    </row>
    <row r="46" outlineLevel="1">
      <c r="A46" s="146"/>
      <c r="B46" s="373" t="s">
        <v>2355</v>
      </c>
      <c r="C46" s="2214" t="s">
        <v>6246</v>
      </c>
      <c r="D46" s="210"/>
      <c r="E46" s="239" t="s">
        <v>6247</v>
      </c>
      <c r="F46" s="138" t="s">
        <v>6248</v>
      </c>
      <c r="G46" s="138" t="s">
        <v>6249</v>
      </c>
      <c r="H46" s="138" t="s">
        <v>6250</v>
      </c>
      <c r="I46" s="210"/>
      <c r="J46" s="210"/>
      <c r="K46" s="138">
        <v>363.0</v>
      </c>
      <c r="L46" s="282"/>
      <c r="M46" s="363"/>
      <c r="N46" s="363"/>
      <c r="O46" s="145">
        <v>0.0</v>
      </c>
      <c r="P46" s="145">
        <v>1.0</v>
      </c>
      <c r="Q46" s="145">
        <v>1.0</v>
      </c>
      <c r="R46" s="212"/>
      <c r="V46" s="210"/>
    </row>
    <row r="47" outlineLevel="1">
      <c r="A47" s="146"/>
      <c r="B47" s="373" t="s">
        <v>2356</v>
      </c>
      <c r="C47" s="2214" t="s">
        <v>6251</v>
      </c>
      <c r="D47" s="210"/>
      <c r="E47" s="239" t="s">
        <v>6252</v>
      </c>
      <c r="F47" s="193" t="s">
        <v>6253</v>
      </c>
      <c r="G47" s="138" t="s">
        <v>6254</v>
      </c>
      <c r="H47" s="138" t="s">
        <v>6125</v>
      </c>
      <c r="I47" s="210"/>
      <c r="J47" s="210"/>
      <c r="K47" s="138"/>
      <c r="L47" s="282"/>
      <c r="M47" s="363"/>
      <c r="N47" s="363"/>
      <c r="O47" s="145"/>
      <c r="P47" s="145"/>
      <c r="Q47" s="145"/>
      <c r="R47" s="212"/>
      <c r="V47" s="210"/>
    </row>
    <row r="48" outlineLevel="1">
      <c r="A48" s="156"/>
      <c r="B48" s="373" t="s">
        <v>174</v>
      </c>
      <c r="C48" s="239" t="s">
        <v>213</v>
      </c>
      <c r="D48" s="107"/>
      <c r="E48" s="239" t="s">
        <v>176</v>
      </c>
      <c r="F48" s="193">
        <v>2.4</v>
      </c>
      <c r="G48" s="138">
        <v>2.4</v>
      </c>
      <c r="H48" s="1360" t="s">
        <v>170</v>
      </c>
      <c r="I48" s="107"/>
      <c r="J48" s="107"/>
      <c r="K48" s="138"/>
      <c r="L48" s="282"/>
      <c r="M48" s="363"/>
      <c r="N48" s="363"/>
      <c r="O48" s="145"/>
      <c r="P48" s="145"/>
      <c r="Q48" s="145"/>
      <c r="R48" s="106"/>
      <c r="S48" s="168"/>
      <c r="T48" s="168"/>
      <c r="U48" s="168"/>
      <c r="V48" s="107"/>
    </row>
    <row r="49" outlineLevel="1">
      <c r="A49" s="213" t="s">
        <v>151</v>
      </c>
      <c r="B49" s="373"/>
      <c r="C49" s="239" t="s">
        <v>563</v>
      </c>
      <c r="D49" s="467" t="s">
        <v>79</v>
      </c>
      <c r="E49" s="239" t="s">
        <v>93</v>
      </c>
      <c r="F49" s="138">
        <v>8.4</v>
      </c>
      <c r="G49" s="138">
        <v>7.140000000000001</v>
      </c>
      <c r="H49" s="138" t="s">
        <v>60</v>
      </c>
      <c r="I49" s="467" t="s">
        <v>128</v>
      </c>
      <c r="J49" s="467" t="s">
        <v>973</v>
      </c>
      <c r="K49" s="138">
        <v>45.0</v>
      </c>
      <c r="L49" s="282"/>
      <c r="M49" s="363"/>
      <c r="N49" s="363"/>
      <c r="O49" s="145">
        <v>0.0</v>
      </c>
      <c r="P49" s="145">
        <v>1.0</v>
      </c>
      <c r="Q49" s="145">
        <v>1.0</v>
      </c>
      <c r="R49" s="151"/>
      <c r="S49" s="110"/>
      <c r="T49" s="110"/>
      <c r="U49" s="110"/>
      <c r="V49" s="109"/>
    </row>
    <row r="50" outlineLevel="1">
      <c r="A50" s="188" t="s">
        <v>157</v>
      </c>
      <c r="B50" s="373"/>
      <c r="C50" s="239" t="s">
        <v>223</v>
      </c>
      <c r="D50" s="455" t="s">
        <v>72</v>
      </c>
      <c r="E50" s="239" t="s">
        <v>1665</v>
      </c>
      <c r="F50" s="138">
        <v>9.0</v>
      </c>
      <c r="G50" s="138">
        <v>7.65</v>
      </c>
      <c r="H50" s="138" t="s">
        <v>60</v>
      </c>
      <c r="I50" s="455" t="s">
        <v>128</v>
      </c>
      <c r="J50" s="455" t="s">
        <v>1175</v>
      </c>
      <c r="K50" s="138">
        <v>57.0</v>
      </c>
      <c r="L50" s="282"/>
      <c r="M50" s="363"/>
      <c r="N50" s="363"/>
      <c r="O50" s="145">
        <v>0.0</v>
      </c>
      <c r="P50" s="145">
        <v>1.0</v>
      </c>
      <c r="Q50" s="145">
        <v>1.0</v>
      </c>
      <c r="R50" s="163"/>
      <c r="S50" s="164"/>
      <c r="T50" s="164"/>
      <c r="U50" s="164"/>
      <c r="V50" s="104"/>
    </row>
    <row r="51" outlineLevel="1">
      <c r="A51" s="156"/>
      <c r="B51" s="373" t="s">
        <v>84</v>
      </c>
      <c r="C51" s="239" t="s">
        <v>129</v>
      </c>
      <c r="D51" s="107"/>
      <c r="E51" s="239" t="s">
        <v>2134</v>
      </c>
      <c r="F51" s="138">
        <v>7.8</v>
      </c>
      <c r="G51" s="138">
        <v>6.63</v>
      </c>
      <c r="H51" s="138" t="s">
        <v>60</v>
      </c>
      <c r="I51" s="107"/>
      <c r="J51" s="107"/>
      <c r="K51" s="138">
        <v>241.0</v>
      </c>
      <c r="L51" s="282"/>
      <c r="M51" s="363"/>
      <c r="N51" s="363"/>
      <c r="O51" s="145">
        <v>0.0</v>
      </c>
      <c r="P51" s="145">
        <v>1.0</v>
      </c>
      <c r="Q51" s="145">
        <v>1.0</v>
      </c>
      <c r="R51" s="106"/>
      <c r="S51" s="168"/>
      <c r="T51" s="168"/>
      <c r="U51" s="168"/>
      <c r="V51" s="107"/>
    </row>
    <row r="52" outlineLevel="1">
      <c r="A52" s="213" t="s">
        <v>162</v>
      </c>
      <c r="B52" s="373"/>
      <c r="C52" s="239" t="s">
        <v>505</v>
      </c>
      <c r="D52" s="467" t="s">
        <v>164</v>
      </c>
      <c r="E52" s="239" t="s">
        <v>86</v>
      </c>
      <c r="F52" s="138">
        <v>7.199999999999999</v>
      </c>
      <c r="G52" s="138">
        <v>6.12</v>
      </c>
      <c r="H52" s="138" t="s">
        <v>60</v>
      </c>
      <c r="I52" s="467" t="s">
        <v>80</v>
      </c>
      <c r="J52" s="467" t="s">
        <v>4217</v>
      </c>
      <c r="K52" s="282"/>
      <c r="L52" s="282"/>
      <c r="M52" s="363"/>
      <c r="N52" s="363"/>
      <c r="O52" s="145">
        <v>0.0</v>
      </c>
      <c r="P52" s="145">
        <v>1.0</v>
      </c>
      <c r="Q52" s="145">
        <v>1.0</v>
      </c>
      <c r="R52" s="151"/>
      <c r="S52" s="110"/>
      <c r="T52" s="110"/>
      <c r="U52" s="110"/>
      <c r="V52" s="109"/>
    </row>
    <row r="53" outlineLevel="1">
      <c r="A53" s="188" t="s">
        <v>166</v>
      </c>
      <c r="B53" s="373"/>
      <c r="C53" s="239" t="s">
        <v>721</v>
      </c>
      <c r="D53" s="455" t="s">
        <v>628</v>
      </c>
      <c r="E53" s="239" t="s">
        <v>80</v>
      </c>
      <c r="F53" s="138">
        <v>9.6</v>
      </c>
      <c r="G53" s="138">
        <v>8.16</v>
      </c>
      <c r="H53" s="138" t="s">
        <v>147</v>
      </c>
      <c r="I53" s="455" t="s">
        <v>232</v>
      </c>
      <c r="J53" s="455" t="s">
        <v>6255</v>
      </c>
      <c r="K53" s="282"/>
      <c r="L53" s="282"/>
      <c r="M53" s="363"/>
      <c r="N53" s="363"/>
      <c r="O53" s="145">
        <v>0.0</v>
      </c>
      <c r="P53" s="145">
        <v>1.0</v>
      </c>
      <c r="Q53" s="145">
        <v>1.0</v>
      </c>
      <c r="R53" s="163"/>
      <c r="S53" s="164"/>
      <c r="T53" s="164"/>
      <c r="U53" s="164"/>
      <c r="V53" s="104"/>
    </row>
    <row r="54" outlineLevel="1">
      <c r="A54" s="156"/>
      <c r="B54" s="373" t="s">
        <v>84</v>
      </c>
      <c r="C54" s="239" t="s">
        <v>153</v>
      </c>
      <c r="D54" s="107"/>
      <c r="E54" s="239" t="s">
        <v>86</v>
      </c>
      <c r="F54" s="138">
        <v>7.199999999999999</v>
      </c>
      <c r="G54" s="138">
        <v>6.12</v>
      </c>
      <c r="H54" s="138" t="s">
        <v>60</v>
      </c>
      <c r="I54" s="107"/>
      <c r="J54" s="107"/>
      <c r="K54" s="282"/>
      <c r="L54" s="282"/>
      <c r="M54" s="363"/>
      <c r="N54" s="363"/>
      <c r="O54" s="145">
        <v>0.0</v>
      </c>
      <c r="P54" s="145">
        <v>1.0</v>
      </c>
      <c r="Q54" s="145">
        <v>1.0</v>
      </c>
      <c r="R54" s="106"/>
      <c r="S54" s="168"/>
      <c r="T54" s="168"/>
      <c r="U54" s="168"/>
      <c r="V54" s="107"/>
    </row>
    <row r="55">
      <c r="A55" s="223"/>
      <c r="B55" s="224"/>
      <c r="C55" s="225"/>
      <c r="D55" s="225"/>
      <c r="E55" s="226"/>
      <c r="F55" s="226"/>
      <c r="G55" s="226"/>
      <c r="H55" s="227"/>
      <c r="I55" s="227"/>
      <c r="J55" s="228"/>
      <c r="K55" s="228"/>
      <c r="L55" s="228"/>
      <c r="M55" s="228"/>
      <c r="N55" s="228"/>
      <c r="O55" s="228"/>
      <c r="P55" s="228"/>
      <c r="Q55" s="118"/>
      <c r="R55" s="118"/>
      <c r="S55" s="118"/>
      <c r="T55" s="118"/>
      <c r="U55" s="118"/>
      <c r="V55" s="118"/>
    </row>
    <row r="56">
      <c r="A56" s="229" t="s">
        <v>177</v>
      </c>
      <c r="B56" s="109"/>
      <c r="C56" s="225"/>
      <c r="D56" s="225"/>
      <c r="E56" s="226"/>
      <c r="F56" s="226"/>
      <c r="G56" s="226"/>
      <c r="H56" s="227"/>
      <c r="I56" s="227"/>
      <c r="J56" s="228"/>
      <c r="K56" s="228"/>
      <c r="L56" s="228"/>
      <c r="M56" s="228"/>
      <c r="N56" s="228"/>
      <c r="O56" s="228"/>
      <c r="P56" s="228"/>
      <c r="Q56" s="118"/>
      <c r="R56" s="118"/>
      <c r="S56" s="118"/>
      <c r="T56" s="118"/>
      <c r="U56" s="118"/>
      <c r="V56" s="118"/>
    </row>
    <row r="57" outlineLevel="1">
      <c r="A57" s="230" t="s">
        <v>6256</v>
      </c>
      <c r="B57" s="109"/>
      <c r="C57" s="231" t="s">
        <v>48</v>
      </c>
      <c r="D57" s="231" t="s">
        <v>49</v>
      </c>
      <c r="E57" s="232" t="s">
        <v>50</v>
      </c>
      <c r="F57" s="233" t="s">
        <v>51</v>
      </c>
      <c r="G57" s="232" t="s">
        <v>52</v>
      </c>
      <c r="H57" s="382" t="s">
        <v>53</v>
      </c>
      <c r="I57" s="110"/>
      <c r="J57" s="109"/>
      <c r="K57" s="235" t="s">
        <v>137</v>
      </c>
      <c r="L57" s="235" t="s">
        <v>138</v>
      </c>
      <c r="M57" s="235" t="s">
        <v>139</v>
      </c>
      <c r="N57" s="235" t="s">
        <v>140</v>
      </c>
      <c r="O57" s="236" t="s">
        <v>141</v>
      </c>
      <c r="P57" s="235" t="s">
        <v>142</v>
      </c>
      <c r="Q57" s="236" t="s">
        <v>143</v>
      </c>
      <c r="R57" s="235" t="s">
        <v>179</v>
      </c>
      <c r="S57" s="236" t="s">
        <v>180</v>
      </c>
      <c r="T57" s="236" t="s">
        <v>181</v>
      </c>
      <c r="U57" s="236" t="s">
        <v>182</v>
      </c>
      <c r="V57" s="3198" t="s">
        <v>183</v>
      </c>
    </row>
    <row r="58" outlineLevel="1">
      <c r="A58" s="237" t="s">
        <v>184</v>
      </c>
      <c r="B58" s="663" t="s">
        <v>6257</v>
      </c>
      <c r="C58" s="239" t="s">
        <v>6258</v>
      </c>
      <c r="D58" s="281"/>
      <c r="E58" s="239" t="s">
        <v>1098</v>
      </c>
      <c r="F58" s="138">
        <v>0.6</v>
      </c>
      <c r="G58" s="239" t="s">
        <v>170</v>
      </c>
      <c r="H58" s="163" t="s">
        <v>6259</v>
      </c>
      <c r="I58" s="164"/>
      <c r="J58" s="104"/>
      <c r="K58" s="282"/>
      <c r="L58" s="282"/>
      <c r="M58" s="363"/>
      <c r="N58" s="363"/>
      <c r="O58" s="145"/>
      <c r="P58" s="145"/>
      <c r="Q58" s="145"/>
      <c r="R58" s="145" t="b">
        <v>0</v>
      </c>
      <c r="S58" s="145" t="b">
        <v>0</v>
      </c>
      <c r="T58" s="145" t="b">
        <v>0</v>
      </c>
      <c r="U58" s="166" t="b">
        <v>1</v>
      </c>
      <c r="V58" s="166" t="b">
        <v>1</v>
      </c>
    </row>
    <row r="59" outlineLevel="1">
      <c r="A59" s="146"/>
      <c r="B59" s="663" t="s">
        <v>6260</v>
      </c>
      <c r="C59" s="239" t="s">
        <v>274</v>
      </c>
      <c r="D59" s="279" t="s">
        <v>208</v>
      </c>
      <c r="E59" s="367" t="s">
        <v>176</v>
      </c>
      <c r="F59" s="394">
        <v>2.4</v>
      </c>
      <c r="G59" s="901" t="s">
        <v>75</v>
      </c>
      <c r="H59" s="212"/>
      <c r="J59" s="210"/>
      <c r="K59" s="282"/>
      <c r="L59" s="282"/>
      <c r="M59" s="363"/>
      <c r="N59" s="363"/>
      <c r="O59" s="145">
        <v>0.0</v>
      </c>
      <c r="P59" s="145">
        <v>1.0</v>
      </c>
      <c r="Q59" s="145">
        <v>1.0</v>
      </c>
      <c r="R59" s="145" t="b">
        <v>1</v>
      </c>
      <c r="S59" s="145" t="b">
        <v>1</v>
      </c>
      <c r="T59" s="145"/>
      <c r="U59" s="146"/>
      <c r="V59" s="146"/>
    </row>
    <row r="60" outlineLevel="1">
      <c r="A60" s="146"/>
      <c r="B60" s="663" t="s">
        <v>6261</v>
      </c>
      <c r="C60" s="239" t="s">
        <v>223</v>
      </c>
      <c r="D60" s="146"/>
      <c r="E60" s="367" t="s">
        <v>176</v>
      </c>
      <c r="F60" s="394">
        <v>2.4</v>
      </c>
      <c r="G60" s="367" t="s">
        <v>60</v>
      </c>
      <c r="H60" s="212"/>
      <c r="J60" s="210"/>
      <c r="K60" s="282"/>
      <c r="L60" s="282"/>
      <c r="M60" s="363"/>
      <c r="N60" s="363"/>
      <c r="O60" s="145"/>
      <c r="P60" s="145"/>
      <c r="Q60" s="145"/>
      <c r="R60" s="145" t="b">
        <v>0</v>
      </c>
      <c r="S60" s="145" t="b">
        <v>0</v>
      </c>
      <c r="T60" s="145" t="b">
        <v>0</v>
      </c>
      <c r="U60" s="146"/>
      <c r="V60" s="146"/>
    </row>
    <row r="61" outlineLevel="1">
      <c r="A61" s="146"/>
      <c r="B61" s="243" t="s">
        <v>6262</v>
      </c>
      <c r="C61" s="239" t="s">
        <v>351</v>
      </c>
      <c r="D61" s="146"/>
      <c r="E61" s="239" t="s">
        <v>176</v>
      </c>
      <c r="F61" s="138">
        <v>2.4</v>
      </c>
      <c r="G61" s="365" t="s">
        <v>75</v>
      </c>
      <c r="H61" s="212"/>
      <c r="J61" s="210"/>
      <c r="K61" s="282"/>
      <c r="L61" s="282"/>
      <c r="M61" s="363"/>
      <c r="N61" s="363"/>
      <c r="O61" s="145"/>
      <c r="P61" s="145"/>
      <c r="Q61" s="145"/>
      <c r="R61" s="145" t="b">
        <v>0</v>
      </c>
      <c r="S61" s="145" t="b">
        <v>0</v>
      </c>
      <c r="T61" s="145" t="b">
        <v>0</v>
      </c>
      <c r="U61" s="146"/>
      <c r="V61" s="146"/>
    </row>
    <row r="62" outlineLevel="1">
      <c r="A62" s="146"/>
      <c r="B62" s="243" t="s">
        <v>6263</v>
      </c>
      <c r="C62" s="239" t="s">
        <v>574</v>
      </c>
      <c r="D62" s="146"/>
      <c r="E62" s="239" t="s">
        <v>176</v>
      </c>
      <c r="F62" s="138">
        <v>2.4</v>
      </c>
      <c r="G62" s="365" t="s">
        <v>75</v>
      </c>
      <c r="H62" s="212"/>
      <c r="J62" s="210"/>
      <c r="K62" s="282"/>
      <c r="L62" s="282"/>
      <c r="M62" s="363"/>
      <c r="N62" s="363"/>
      <c r="O62" s="145"/>
      <c r="P62" s="145"/>
      <c r="Q62" s="145"/>
      <c r="R62" s="145" t="b">
        <v>0</v>
      </c>
      <c r="S62" s="145" t="b">
        <v>0</v>
      </c>
      <c r="T62" s="145" t="b">
        <v>0</v>
      </c>
      <c r="U62" s="146"/>
      <c r="V62" s="146"/>
    </row>
    <row r="63" outlineLevel="1">
      <c r="A63" s="146"/>
      <c r="B63" s="243" t="s">
        <v>6264</v>
      </c>
      <c r="C63" s="239" t="s">
        <v>1612</v>
      </c>
      <c r="D63" s="156"/>
      <c r="E63" s="239" t="s">
        <v>86</v>
      </c>
      <c r="F63" s="138">
        <v>7.2</v>
      </c>
      <c r="G63" s="239" t="s">
        <v>102</v>
      </c>
      <c r="H63" s="212"/>
      <c r="J63" s="210"/>
      <c r="K63" s="282"/>
      <c r="L63" s="282"/>
      <c r="M63" s="363"/>
      <c r="N63" s="363"/>
      <c r="O63" s="145"/>
      <c r="P63" s="145"/>
      <c r="Q63" s="145"/>
      <c r="R63" s="145" t="b">
        <v>0</v>
      </c>
      <c r="S63" s="145" t="b">
        <v>0</v>
      </c>
      <c r="T63" s="145" t="b">
        <v>0</v>
      </c>
      <c r="U63" s="146"/>
      <c r="V63" s="146"/>
    </row>
    <row r="64" outlineLevel="1">
      <c r="A64" s="146"/>
      <c r="B64" s="663" t="s">
        <v>6265</v>
      </c>
      <c r="C64" s="239" t="s">
        <v>777</v>
      </c>
      <c r="D64" s="279" t="s">
        <v>4227</v>
      </c>
      <c r="E64" s="367" t="s">
        <v>73</v>
      </c>
      <c r="F64" s="394">
        <v>4.8</v>
      </c>
      <c r="G64" s="901" t="s">
        <v>123</v>
      </c>
      <c r="H64" s="212"/>
      <c r="J64" s="210"/>
      <c r="K64" s="282"/>
      <c r="L64" s="282"/>
      <c r="M64" s="363"/>
      <c r="N64" s="363"/>
      <c r="O64" s="145"/>
      <c r="P64" s="145"/>
      <c r="Q64" s="145"/>
      <c r="R64" s="145" t="b">
        <v>0</v>
      </c>
      <c r="S64" s="145" t="b">
        <v>0</v>
      </c>
      <c r="T64" s="145" t="b">
        <v>0</v>
      </c>
      <c r="U64" s="146"/>
      <c r="V64" s="146"/>
    </row>
    <row r="65" outlineLevel="1">
      <c r="A65" s="146"/>
      <c r="B65" s="663" t="s">
        <v>6266</v>
      </c>
      <c r="C65" s="239" t="s">
        <v>6267</v>
      </c>
      <c r="D65" s="146"/>
      <c r="E65" s="367" t="s">
        <v>73</v>
      </c>
      <c r="F65" s="394">
        <v>4.8</v>
      </c>
      <c r="G65" s="367" t="s">
        <v>75</v>
      </c>
      <c r="H65" s="212"/>
      <c r="J65" s="210"/>
      <c r="K65" s="282"/>
      <c r="L65" s="282"/>
      <c r="M65" s="363"/>
      <c r="N65" s="363"/>
      <c r="O65" s="145"/>
      <c r="P65" s="145"/>
      <c r="Q65" s="145"/>
      <c r="R65" s="145" t="b">
        <v>0</v>
      </c>
      <c r="S65" s="145" t="b">
        <v>0</v>
      </c>
      <c r="T65" s="145" t="b">
        <v>0</v>
      </c>
      <c r="U65" s="146"/>
      <c r="V65" s="146"/>
    </row>
    <row r="66" outlineLevel="1">
      <c r="A66" s="146"/>
      <c r="B66" s="663" t="s">
        <v>6268</v>
      </c>
      <c r="C66" s="239" t="s">
        <v>6269</v>
      </c>
      <c r="D66" s="146"/>
      <c r="E66" s="239" t="s">
        <v>73</v>
      </c>
      <c r="F66" s="138">
        <v>4.8</v>
      </c>
      <c r="G66" s="365" t="s">
        <v>123</v>
      </c>
      <c r="H66" s="212"/>
      <c r="J66" s="210"/>
      <c r="K66" s="282"/>
      <c r="L66" s="282"/>
      <c r="M66" s="363"/>
      <c r="N66" s="363"/>
      <c r="O66" s="145"/>
      <c r="P66" s="145"/>
      <c r="Q66" s="145"/>
      <c r="R66" s="145" t="b">
        <v>0</v>
      </c>
      <c r="S66" s="145" t="b">
        <v>0</v>
      </c>
      <c r="T66" s="145" t="b">
        <v>0</v>
      </c>
      <c r="U66" s="146"/>
      <c r="V66" s="146"/>
    </row>
    <row r="67" outlineLevel="1">
      <c r="A67" s="146"/>
      <c r="B67" s="663" t="s">
        <v>6270</v>
      </c>
      <c r="C67" s="239" t="s">
        <v>6271</v>
      </c>
      <c r="D67" s="146"/>
      <c r="E67" s="239" t="s">
        <v>73</v>
      </c>
      <c r="F67" s="138">
        <v>4.8</v>
      </c>
      <c r="G67" s="365" t="s">
        <v>123</v>
      </c>
      <c r="H67" s="212"/>
      <c r="J67" s="210"/>
      <c r="K67" s="282"/>
      <c r="L67" s="282"/>
      <c r="M67" s="363"/>
      <c r="N67" s="363"/>
      <c r="O67" s="145"/>
      <c r="P67" s="145"/>
      <c r="Q67" s="145"/>
      <c r="R67" s="145" t="b">
        <v>0</v>
      </c>
      <c r="S67" s="145" t="b">
        <v>0</v>
      </c>
      <c r="T67" s="145" t="b">
        <v>0</v>
      </c>
      <c r="U67" s="146"/>
      <c r="V67" s="146"/>
    </row>
    <row r="68" outlineLevel="1">
      <c r="A68" s="146"/>
      <c r="B68" s="663" t="s">
        <v>6272</v>
      </c>
      <c r="C68" s="239" t="s">
        <v>6273</v>
      </c>
      <c r="D68" s="146"/>
      <c r="E68" s="239" t="s">
        <v>73</v>
      </c>
      <c r="F68" s="138">
        <v>4.8</v>
      </c>
      <c r="G68" s="365" t="s">
        <v>123</v>
      </c>
      <c r="H68" s="212"/>
      <c r="J68" s="210"/>
      <c r="K68" s="282"/>
      <c r="L68" s="282"/>
      <c r="M68" s="363"/>
      <c r="N68" s="363"/>
      <c r="O68" s="145"/>
      <c r="P68" s="145"/>
      <c r="Q68" s="145"/>
      <c r="R68" s="145" t="b">
        <v>0</v>
      </c>
      <c r="S68" s="145" t="b">
        <v>0</v>
      </c>
      <c r="T68" s="145" t="b">
        <v>0</v>
      </c>
      <c r="U68" s="146"/>
      <c r="V68" s="146"/>
    </row>
    <row r="69" outlineLevel="1">
      <c r="A69" s="146"/>
      <c r="B69" s="663" t="s">
        <v>6274</v>
      </c>
      <c r="C69" s="239" t="s">
        <v>6275</v>
      </c>
      <c r="D69" s="156"/>
      <c r="E69" s="239" t="s">
        <v>394</v>
      </c>
      <c r="F69" s="138">
        <v>20.4</v>
      </c>
      <c r="G69" s="239" t="s">
        <v>1187</v>
      </c>
      <c r="H69" s="106"/>
      <c r="I69" s="168"/>
      <c r="J69" s="107"/>
      <c r="K69" s="282"/>
      <c r="L69" s="282"/>
      <c r="M69" s="363"/>
      <c r="N69" s="363"/>
      <c r="O69" s="145">
        <v>0.0</v>
      </c>
      <c r="P69" s="145">
        <v>1.0</v>
      </c>
      <c r="Q69" s="145">
        <v>1.0</v>
      </c>
      <c r="R69" s="145" t="b">
        <v>1</v>
      </c>
      <c r="S69" s="145" t="b">
        <v>1</v>
      </c>
      <c r="T69" s="145"/>
      <c r="U69" s="156"/>
      <c r="V69" s="156"/>
    </row>
    <row r="70" outlineLevel="1">
      <c r="A70" s="230" t="s">
        <v>6276</v>
      </c>
      <c r="B70" s="109"/>
      <c r="C70" s="231" t="s">
        <v>48</v>
      </c>
      <c r="D70" s="231" t="s">
        <v>49</v>
      </c>
      <c r="E70" s="232" t="s">
        <v>50</v>
      </c>
      <c r="F70" s="233" t="s">
        <v>51</v>
      </c>
      <c r="G70" s="232" t="s">
        <v>52</v>
      </c>
      <c r="H70" s="382" t="s">
        <v>53</v>
      </c>
      <c r="I70" s="110"/>
      <c r="J70" s="109"/>
      <c r="K70" s="235" t="s">
        <v>137</v>
      </c>
      <c r="L70" s="235" t="s">
        <v>138</v>
      </c>
      <c r="M70" s="235" t="s">
        <v>139</v>
      </c>
      <c r="N70" s="235" t="s">
        <v>140</v>
      </c>
      <c r="O70" s="236" t="s">
        <v>141</v>
      </c>
      <c r="P70" s="235" t="s">
        <v>142</v>
      </c>
      <c r="Q70" s="236" t="s">
        <v>143</v>
      </c>
      <c r="R70" s="235" t="s">
        <v>179</v>
      </c>
      <c r="S70" s="236" t="s">
        <v>180</v>
      </c>
      <c r="T70" s="236" t="s">
        <v>181</v>
      </c>
      <c r="U70" s="236" t="s">
        <v>182</v>
      </c>
      <c r="V70" s="3198" t="s">
        <v>183</v>
      </c>
    </row>
    <row r="71" ht="34.5" customHeight="1" outlineLevel="1">
      <c r="A71" s="237" t="s">
        <v>184</v>
      </c>
      <c r="B71" s="243" t="s">
        <v>125</v>
      </c>
      <c r="C71" s="239" t="s">
        <v>653</v>
      </c>
      <c r="D71" s="455" t="s">
        <v>3857</v>
      </c>
      <c r="E71" s="239" t="s">
        <v>176</v>
      </c>
      <c r="F71" s="138">
        <v>2.4</v>
      </c>
      <c r="G71" s="239" t="s">
        <v>60</v>
      </c>
      <c r="H71" s="163" t="s">
        <v>6277</v>
      </c>
      <c r="I71" s="164"/>
      <c r="J71" s="104"/>
      <c r="K71" s="282"/>
      <c r="L71" s="282"/>
      <c r="M71" s="363"/>
      <c r="N71" s="363"/>
      <c r="O71" s="145">
        <v>0.0</v>
      </c>
      <c r="P71" s="145">
        <v>1.0</v>
      </c>
      <c r="Q71" s="145">
        <v>1.0</v>
      </c>
      <c r="R71" s="145" t="b">
        <v>1</v>
      </c>
      <c r="S71" s="145" t="b">
        <v>1</v>
      </c>
      <c r="T71" s="145"/>
      <c r="U71" s="166" t="b">
        <v>0</v>
      </c>
      <c r="V71" s="166" t="b">
        <v>1</v>
      </c>
    </row>
    <row r="72" ht="34.5" customHeight="1" outlineLevel="1">
      <c r="A72" s="146"/>
      <c r="B72" s="243" t="s">
        <v>2425</v>
      </c>
      <c r="C72" s="239" t="s">
        <v>6278</v>
      </c>
      <c r="D72" s="210"/>
      <c r="E72" s="239" t="s">
        <v>535</v>
      </c>
      <c r="F72" s="138">
        <v>3.0</v>
      </c>
      <c r="G72" s="239" t="s">
        <v>170</v>
      </c>
      <c r="H72" s="212"/>
      <c r="J72" s="210"/>
      <c r="K72" s="138"/>
      <c r="L72" s="138"/>
      <c r="M72" s="145"/>
      <c r="N72" s="145"/>
      <c r="O72" s="145"/>
      <c r="P72" s="145"/>
      <c r="Q72" s="145"/>
      <c r="R72" s="145" t="b">
        <v>0</v>
      </c>
      <c r="S72" s="145" t="b">
        <v>0</v>
      </c>
      <c r="T72" s="145" t="b">
        <v>0</v>
      </c>
      <c r="U72" s="146"/>
      <c r="V72" s="146"/>
    </row>
    <row r="73" ht="34.5" customHeight="1" outlineLevel="1">
      <c r="A73" s="146"/>
      <c r="B73" s="243" t="s">
        <v>6279</v>
      </c>
      <c r="C73" s="239" t="s">
        <v>289</v>
      </c>
      <c r="D73" s="107"/>
      <c r="E73" s="239" t="s">
        <v>93</v>
      </c>
      <c r="F73" s="138">
        <v>8.4</v>
      </c>
      <c r="G73" s="239" t="s">
        <v>60</v>
      </c>
      <c r="H73" s="106"/>
      <c r="I73" s="168"/>
      <c r="J73" s="107"/>
      <c r="K73" s="138"/>
      <c r="L73" s="138"/>
      <c r="M73" s="145"/>
      <c r="N73" s="145"/>
      <c r="O73" s="145">
        <v>0.0</v>
      </c>
      <c r="P73" s="145">
        <v>1.0</v>
      </c>
      <c r="Q73" s="145">
        <v>1.0</v>
      </c>
      <c r="R73" s="145" t="b">
        <v>1</v>
      </c>
      <c r="S73" s="145" t="b">
        <v>1</v>
      </c>
      <c r="T73" s="145"/>
      <c r="U73" s="156"/>
      <c r="V73" s="156"/>
    </row>
    <row r="74" outlineLevel="1">
      <c r="A74" s="230" t="s">
        <v>6280</v>
      </c>
      <c r="B74" s="109"/>
      <c r="C74" s="231" t="s">
        <v>48</v>
      </c>
      <c r="D74" s="231" t="s">
        <v>49</v>
      </c>
      <c r="E74" s="232" t="s">
        <v>50</v>
      </c>
      <c r="F74" s="233" t="s">
        <v>51</v>
      </c>
      <c r="G74" s="232" t="s">
        <v>52</v>
      </c>
      <c r="H74" s="382" t="s">
        <v>53</v>
      </c>
      <c r="I74" s="110"/>
      <c r="J74" s="109"/>
      <c r="K74" s="235" t="s">
        <v>137</v>
      </c>
      <c r="L74" s="235" t="s">
        <v>138</v>
      </c>
      <c r="M74" s="235" t="s">
        <v>139</v>
      </c>
      <c r="N74" s="235" t="s">
        <v>140</v>
      </c>
      <c r="O74" s="236" t="s">
        <v>141</v>
      </c>
      <c r="P74" s="235" t="s">
        <v>142</v>
      </c>
      <c r="Q74" s="236" t="s">
        <v>143</v>
      </c>
      <c r="R74" s="235" t="s">
        <v>179</v>
      </c>
      <c r="S74" s="236" t="s">
        <v>180</v>
      </c>
      <c r="T74" s="236" t="s">
        <v>181</v>
      </c>
      <c r="U74" s="236" t="s">
        <v>182</v>
      </c>
      <c r="V74" s="3198" t="s">
        <v>183</v>
      </c>
    </row>
    <row r="75" outlineLevel="1">
      <c r="A75" s="259" t="s">
        <v>184</v>
      </c>
      <c r="B75" s="402" t="s">
        <v>152</v>
      </c>
      <c r="C75" s="239" t="s">
        <v>627</v>
      </c>
      <c r="D75" s="250"/>
      <c r="E75" s="239" t="s">
        <v>93</v>
      </c>
      <c r="F75" s="138">
        <v>8.4</v>
      </c>
      <c r="G75" s="239" t="s">
        <v>95</v>
      </c>
      <c r="H75" s="151" t="s">
        <v>6281</v>
      </c>
      <c r="I75" s="110"/>
      <c r="J75" s="109"/>
      <c r="K75" s="138"/>
      <c r="L75" s="138"/>
      <c r="M75" s="145"/>
      <c r="N75" s="145"/>
      <c r="O75" s="145">
        <v>0.0</v>
      </c>
      <c r="P75" s="145">
        <v>1.0</v>
      </c>
      <c r="Q75" s="145">
        <v>1.0</v>
      </c>
      <c r="R75" s="145" t="b">
        <v>1</v>
      </c>
      <c r="S75" s="145" t="b">
        <v>1</v>
      </c>
      <c r="T75" s="145"/>
      <c r="U75" s="166" t="b">
        <v>1</v>
      </c>
      <c r="V75" s="166" t="b">
        <v>1</v>
      </c>
    </row>
    <row r="76" ht="21.75" customHeight="1" outlineLevel="1">
      <c r="A76" s="237" t="s">
        <v>6282</v>
      </c>
      <c r="B76" s="402" t="s">
        <v>6283</v>
      </c>
      <c r="C76" s="239" t="s">
        <v>6284</v>
      </c>
      <c r="D76" s="146"/>
      <c r="E76" s="239" t="s">
        <v>176</v>
      </c>
      <c r="F76" s="138">
        <v>2.4</v>
      </c>
      <c r="G76" s="239" t="s">
        <v>170</v>
      </c>
      <c r="H76" s="163" t="s">
        <v>6285</v>
      </c>
      <c r="I76" s="164"/>
      <c r="J76" s="104"/>
      <c r="K76" s="138"/>
      <c r="L76" s="138"/>
      <c r="M76" s="145"/>
      <c r="N76" s="145"/>
      <c r="O76" s="145"/>
      <c r="P76" s="145"/>
      <c r="Q76" s="145"/>
      <c r="R76" s="145" t="b">
        <v>0</v>
      </c>
      <c r="S76" s="145" t="b">
        <v>0</v>
      </c>
      <c r="T76" s="145" t="b">
        <v>0</v>
      </c>
      <c r="U76" s="146"/>
      <c r="V76" s="146"/>
    </row>
    <row r="77" ht="21.75" customHeight="1" outlineLevel="1">
      <c r="A77" s="156"/>
      <c r="B77" s="402" t="s">
        <v>6286</v>
      </c>
      <c r="C77" s="239" t="s">
        <v>175</v>
      </c>
      <c r="D77" s="146"/>
      <c r="E77" s="239" t="s">
        <v>1035</v>
      </c>
      <c r="F77" s="138" t="s">
        <v>1036</v>
      </c>
      <c r="G77" s="239" t="s">
        <v>926</v>
      </c>
      <c r="H77" s="106"/>
      <c r="I77" s="168"/>
      <c r="J77" s="107"/>
      <c r="K77" s="138"/>
      <c r="L77" s="138"/>
      <c r="M77" s="145"/>
      <c r="N77" s="145"/>
      <c r="O77" s="145"/>
      <c r="P77" s="145"/>
      <c r="Q77" s="145"/>
      <c r="R77" s="145" t="b">
        <v>0</v>
      </c>
      <c r="S77" s="145" t="b">
        <v>0</v>
      </c>
      <c r="T77" s="145" t="b">
        <v>0</v>
      </c>
      <c r="U77" s="146"/>
      <c r="V77" s="146"/>
    </row>
    <row r="78" ht="65.25" customHeight="1" outlineLevel="1">
      <c r="A78" s="259" t="s">
        <v>6287</v>
      </c>
      <c r="B78" s="402" t="s">
        <v>6288</v>
      </c>
      <c r="C78" s="239" t="s">
        <v>6289</v>
      </c>
      <c r="D78" s="156"/>
      <c r="E78" s="239" t="s">
        <v>535</v>
      </c>
      <c r="F78" s="138">
        <v>3.0</v>
      </c>
      <c r="G78" s="239" t="s">
        <v>170</v>
      </c>
      <c r="H78" s="151" t="s">
        <v>6290</v>
      </c>
      <c r="I78" s="110"/>
      <c r="J78" s="109"/>
      <c r="K78" s="138"/>
      <c r="L78" s="138"/>
      <c r="M78" s="145"/>
      <c r="N78" s="145"/>
      <c r="O78" s="145">
        <v>0.0</v>
      </c>
      <c r="P78" s="145">
        <v>1.0</v>
      </c>
      <c r="Q78" s="145">
        <v>1.0</v>
      </c>
      <c r="R78" s="145" t="b">
        <v>1</v>
      </c>
      <c r="S78" s="145" t="b">
        <v>1</v>
      </c>
      <c r="T78" s="145"/>
      <c r="U78" s="156"/>
      <c r="V78" s="156"/>
    </row>
    <row r="79" outlineLevel="1">
      <c r="A79" s="230" t="s">
        <v>6291</v>
      </c>
      <c r="B79" s="109"/>
      <c r="C79" s="231" t="s">
        <v>48</v>
      </c>
      <c r="D79" s="231" t="s">
        <v>49</v>
      </c>
      <c r="E79" s="232" t="s">
        <v>50</v>
      </c>
      <c r="F79" s="233" t="s">
        <v>51</v>
      </c>
      <c r="G79" s="232" t="s">
        <v>52</v>
      </c>
      <c r="H79" s="382" t="s">
        <v>53</v>
      </c>
      <c r="I79" s="110"/>
      <c r="J79" s="109"/>
      <c r="K79" s="235" t="s">
        <v>137</v>
      </c>
      <c r="L79" s="235" t="s">
        <v>138</v>
      </c>
      <c r="M79" s="235" t="s">
        <v>139</v>
      </c>
      <c r="N79" s="235" t="s">
        <v>140</v>
      </c>
      <c r="O79" s="236" t="s">
        <v>141</v>
      </c>
      <c r="P79" s="235" t="s">
        <v>142</v>
      </c>
      <c r="Q79" s="236" t="s">
        <v>143</v>
      </c>
      <c r="R79" s="235" t="s">
        <v>179</v>
      </c>
      <c r="S79" s="236" t="s">
        <v>180</v>
      </c>
      <c r="T79" s="236" t="s">
        <v>181</v>
      </c>
      <c r="U79" s="236" t="s">
        <v>182</v>
      </c>
      <c r="V79" s="3198" t="s">
        <v>183</v>
      </c>
    </row>
    <row r="80" outlineLevel="1">
      <c r="A80" s="259" t="s">
        <v>184</v>
      </c>
      <c r="B80" s="626"/>
      <c r="C80" s="281"/>
      <c r="D80" s="113" t="s">
        <v>964</v>
      </c>
      <c r="E80" s="281"/>
      <c r="F80" s="476"/>
      <c r="G80" s="281"/>
      <c r="H80" s="151" t="s">
        <v>6292</v>
      </c>
      <c r="I80" s="110"/>
      <c r="J80" s="109"/>
      <c r="K80" s="138"/>
      <c r="L80" s="138"/>
      <c r="M80" s="145"/>
      <c r="N80" s="145"/>
      <c r="O80" s="145">
        <v>0.0</v>
      </c>
      <c r="P80" s="145">
        <v>1.0</v>
      </c>
      <c r="Q80" s="145">
        <v>1.0</v>
      </c>
      <c r="R80" s="145" t="b">
        <v>1</v>
      </c>
      <c r="S80" s="145" t="b">
        <v>1</v>
      </c>
      <c r="T80" s="145"/>
      <c r="U80" s="145" t="b">
        <v>0</v>
      </c>
      <c r="V80" s="145" t="b">
        <v>0</v>
      </c>
    </row>
    <row r="81">
      <c r="A81" s="224"/>
      <c r="B81" s="224"/>
      <c r="C81" s="225"/>
      <c r="D81" s="225"/>
      <c r="E81" s="226"/>
      <c r="F81" s="226"/>
      <c r="G81" s="226"/>
      <c r="H81" s="227"/>
      <c r="I81" s="227"/>
      <c r="J81" s="228"/>
      <c r="K81" s="228"/>
      <c r="L81" s="228"/>
      <c r="M81" s="228"/>
      <c r="N81" s="228"/>
      <c r="O81" s="228"/>
      <c r="P81" s="228"/>
      <c r="Q81" s="118"/>
      <c r="R81" s="118"/>
      <c r="S81" s="118"/>
      <c r="T81" s="118"/>
      <c r="U81" s="118"/>
      <c r="V81" s="118"/>
    </row>
    <row r="82">
      <c r="A82" s="264" t="s">
        <v>211</v>
      </c>
      <c r="B82" s="104"/>
      <c r="C82" s="227"/>
      <c r="D82" s="227"/>
      <c r="E82" s="228"/>
      <c r="F82" s="265"/>
      <c r="G82" s="265"/>
      <c r="H82" s="228"/>
      <c r="I82" s="228"/>
      <c r="J82" s="228"/>
      <c r="K82" s="228"/>
      <c r="L82" s="228"/>
      <c r="M82" s="228"/>
      <c r="N82" s="118"/>
      <c r="O82" s="118"/>
      <c r="P82" s="118"/>
      <c r="Q82" s="228"/>
      <c r="R82" s="228"/>
      <c r="S82" s="228"/>
      <c r="T82" s="228"/>
      <c r="U82" s="228"/>
      <c r="V82" s="228"/>
    </row>
    <row r="83" outlineLevel="1">
      <c r="A83" s="106"/>
      <c r="B83" s="107"/>
      <c r="C83" s="266" t="s">
        <v>48</v>
      </c>
      <c r="D83" s="266" t="s">
        <v>49</v>
      </c>
      <c r="E83" s="266" t="s">
        <v>50</v>
      </c>
      <c r="F83" s="267" t="s">
        <v>51</v>
      </c>
      <c r="G83" s="227"/>
      <c r="H83" s="227"/>
      <c r="I83" s="227"/>
      <c r="J83" s="228"/>
      <c r="K83" s="228"/>
      <c r="L83" s="228"/>
      <c r="M83" s="228"/>
      <c r="N83" s="228"/>
      <c r="O83" s="228"/>
      <c r="P83" s="228"/>
      <c r="Q83" s="228"/>
      <c r="R83" s="228"/>
      <c r="S83" s="228"/>
      <c r="T83" s="228"/>
      <c r="U83" s="228"/>
      <c r="V83" s="228"/>
    </row>
    <row r="84" outlineLevel="1">
      <c r="A84" s="268" t="s">
        <v>212</v>
      </c>
      <c r="B84" s="269" t="s">
        <v>212</v>
      </c>
      <c r="C84" s="113" t="s">
        <v>213</v>
      </c>
      <c r="D84" s="113" t="s">
        <v>86</v>
      </c>
      <c r="E84" s="113" t="s">
        <v>1024</v>
      </c>
      <c r="F84" s="138">
        <v>1.7999999999999998</v>
      </c>
      <c r="G84" s="227"/>
      <c r="H84" s="227"/>
      <c r="I84" s="227"/>
      <c r="J84" s="228"/>
      <c r="K84" s="228"/>
      <c r="L84" s="228"/>
      <c r="M84" s="228"/>
      <c r="N84" s="228"/>
      <c r="O84" s="228"/>
      <c r="P84" s="228"/>
      <c r="Q84" s="228"/>
      <c r="R84" s="228"/>
      <c r="S84" s="228"/>
      <c r="T84" s="228"/>
      <c r="U84" s="228"/>
      <c r="V84" s="228"/>
    </row>
    <row r="85" outlineLevel="1">
      <c r="A85" s="270" t="s">
        <v>215</v>
      </c>
      <c r="B85" s="269" t="s">
        <v>216</v>
      </c>
      <c r="C85" s="113" t="s">
        <v>217</v>
      </c>
      <c r="D85" s="113" t="s">
        <v>224</v>
      </c>
      <c r="E85" s="271"/>
      <c r="F85" s="272"/>
      <c r="G85" s="272"/>
      <c r="H85" s="227"/>
      <c r="I85" s="227"/>
      <c r="J85" s="228"/>
      <c r="K85" s="228"/>
      <c r="L85" s="228"/>
      <c r="M85" s="228"/>
      <c r="N85" s="228"/>
      <c r="O85" s="228"/>
      <c r="P85" s="228"/>
      <c r="Q85" s="228"/>
      <c r="R85" s="228"/>
      <c r="S85" s="228"/>
      <c r="T85" s="228"/>
      <c r="U85" s="228"/>
      <c r="V85" s="228"/>
    </row>
    <row r="86" outlineLevel="1">
      <c r="A86" s="212"/>
      <c r="B86" s="269" t="s">
        <v>219</v>
      </c>
      <c r="C86" s="113" t="s">
        <v>299</v>
      </c>
      <c r="D86" s="113" t="s">
        <v>127</v>
      </c>
      <c r="E86" s="271"/>
      <c r="F86" s="272"/>
      <c r="G86" s="272"/>
      <c r="H86" s="227"/>
      <c r="I86" s="227"/>
      <c r="J86" s="228"/>
      <c r="K86" s="228"/>
      <c r="L86" s="228"/>
      <c r="M86" s="228"/>
      <c r="N86" s="228"/>
      <c r="O86" s="228"/>
      <c r="P86" s="228"/>
      <c r="Q86" s="228"/>
      <c r="R86" s="228"/>
      <c r="S86" s="228"/>
      <c r="T86" s="228"/>
      <c r="U86" s="228"/>
      <c r="V86" s="228"/>
    </row>
    <row r="87" outlineLevel="1">
      <c r="A87" s="106"/>
      <c r="B87" s="269" t="s">
        <v>222</v>
      </c>
      <c r="C87" s="113" t="s">
        <v>373</v>
      </c>
      <c r="D87" s="113" t="s">
        <v>282</v>
      </c>
      <c r="E87" s="227"/>
      <c r="F87" s="272"/>
      <c r="G87" s="272"/>
      <c r="H87" s="227"/>
      <c r="I87" s="227"/>
      <c r="J87" s="228"/>
      <c r="K87" s="228"/>
      <c r="L87" s="228"/>
      <c r="M87" s="228"/>
      <c r="N87" s="228"/>
      <c r="O87" s="228"/>
      <c r="P87" s="228"/>
      <c r="Q87" s="228"/>
      <c r="R87" s="228"/>
      <c r="S87" s="228"/>
      <c r="T87" s="228"/>
      <c r="U87" s="228"/>
      <c r="V87" s="228"/>
    </row>
    <row r="88" outlineLevel="1">
      <c r="A88" s="273" t="s">
        <v>225</v>
      </c>
      <c r="B88" s="109"/>
      <c r="C88" s="266" t="s">
        <v>48</v>
      </c>
      <c r="D88" s="266" t="s">
        <v>49</v>
      </c>
      <c r="E88" s="266" t="s">
        <v>50</v>
      </c>
      <c r="F88" s="267" t="s">
        <v>51</v>
      </c>
      <c r="G88" s="1168" t="s">
        <v>53</v>
      </c>
      <c r="H88" s="110"/>
      <c r="I88" s="110"/>
      <c r="J88" s="109"/>
      <c r="K88" s="275" t="s">
        <v>137</v>
      </c>
      <c r="L88" s="275" t="s">
        <v>138</v>
      </c>
      <c r="M88" s="275" t="s">
        <v>139</v>
      </c>
      <c r="N88" s="275" t="s">
        <v>140</v>
      </c>
      <c r="O88" s="276" t="s">
        <v>141</v>
      </c>
      <c r="P88" s="275" t="s">
        <v>142</v>
      </c>
      <c r="Q88" s="276" t="s">
        <v>143</v>
      </c>
      <c r="R88" s="277"/>
      <c r="S88" s="277"/>
      <c r="T88" s="277"/>
      <c r="U88" s="277"/>
      <c r="V88" s="277"/>
    </row>
    <row r="89" outlineLevel="1">
      <c r="A89" s="278" t="s">
        <v>226</v>
      </c>
      <c r="B89" s="269" t="s">
        <v>227</v>
      </c>
      <c r="C89" s="113" t="s">
        <v>128</v>
      </c>
      <c r="D89" s="279" t="s">
        <v>105</v>
      </c>
      <c r="E89" s="239" t="s">
        <v>204</v>
      </c>
      <c r="F89" s="138">
        <f t="shared" ref="F89:F92" si="1">IFERROR(E89*1.2, "-")</f>
        <v>3.6</v>
      </c>
      <c r="G89" s="1170"/>
      <c r="H89" s="164"/>
      <c r="I89" s="164"/>
      <c r="J89" s="104"/>
      <c r="K89" s="282"/>
      <c r="L89" s="282"/>
      <c r="M89" s="363"/>
      <c r="N89" s="145"/>
      <c r="O89" s="145">
        <v>0.0</v>
      </c>
      <c r="P89" s="145">
        <v>1.0</v>
      </c>
      <c r="Q89" s="145">
        <v>1.0</v>
      </c>
      <c r="R89" s="277"/>
      <c r="S89" s="228"/>
      <c r="T89" s="228"/>
      <c r="U89" s="228"/>
      <c r="V89" s="228"/>
    </row>
    <row r="90" outlineLevel="1">
      <c r="A90" s="156"/>
      <c r="B90" s="269" t="s">
        <v>225</v>
      </c>
      <c r="C90" s="113" t="s">
        <v>232</v>
      </c>
      <c r="D90" s="156"/>
      <c r="E90" s="239" t="s">
        <v>535</v>
      </c>
      <c r="F90" s="138">
        <f t="shared" si="1"/>
        <v>3</v>
      </c>
      <c r="G90" s="106"/>
      <c r="H90" s="168"/>
      <c r="I90" s="168"/>
      <c r="J90" s="107"/>
      <c r="K90" s="282"/>
      <c r="L90" s="282"/>
      <c r="M90" s="363"/>
      <c r="N90" s="145"/>
      <c r="O90" s="261"/>
      <c r="P90" s="261"/>
      <c r="Q90" s="261"/>
      <c r="R90" s="277"/>
      <c r="S90" s="228"/>
      <c r="T90" s="228"/>
      <c r="U90" s="228"/>
      <c r="V90" s="228"/>
    </row>
    <row r="91" outlineLevel="1">
      <c r="A91" s="278" t="s">
        <v>229</v>
      </c>
      <c r="B91" s="269" t="s">
        <v>227</v>
      </c>
      <c r="C91" s="113" t="s">
        <v>561</v>
      </c>
      <c r="D91" s="279" t="s">
        <v>193</v>
      </c>
      <c r="E91" s="239" t="s">
        <v>204</v>
      </c>
      <c r="F91" s="138">
        <f t="shared" si="1"/>
        <v>3.6</v>
      </c>
      <c r="G91" s="1170"/>
      <c r="H91" s="164"/>
      <c r="I91" s="164"/>
      <c r="J91" s="104"/>
      <c r="K91" s="282"/>
      <c r="L91" s="282"/>
      <c r="M91" s="363"/>
      <c r="N91" s="363"/>
      <c r="O91" s="145">
        <v>0.0</v>
      </c>
      <c r="P91" s="145">
        <v>1.0</v>
      </c>
      <c r="Q91" s="145">
        <v>1.0</v>
      </c>
      <c r="R91" s="277"/>
      <c r="S91" s="228"/>
      <c r="T91" s="228"/>
      <c r="U91" s="228"/>
      <c r="V91" s="228"/>
    </row>
    <row r="92" outlineLevel="1">
      <c r="A92" s="156"/>
      <c r="B92" s="269" t="s">
        <v>225</v>
      </c>
      <c r="C92" s="113" t="s">
        <v>394</v>
      </c>
      <c r="D92" s="156"/>
      <c r="E92" s="239" t="s">
        <v>535</v>
      </c>
      <c r="F92" s="138">
        <f t="shared" si="1"/>
        <v>3</v>
      </c>
      <c r="G92" s="106"/>
      <c r="H92" s="168"/>
      <c r="I92" s="168"/>
      <c r="J92" s="107"/>
      <c r="K92" s="282"/>
      <c r="L92" s="282"/>
      <c r="M92" s="363"/>
      <c r="N92" s="363"/>
      <c r="O92" s="261"/>
      <c r="P92" s="261"/>
      <c r="Q92" s="261"/>
      <c r="R92" s="277"/>
      <c r="S92" s="228"/>
      <c r="T92" s="228"/>
      <c r="U92" s="228"/>
      <c r="V92" s="228"/>
    </row>
    <row r="93" outlineLevel="1">
      <c r="A93" s="278" t="s">
        <v>233</v>
      </c>
      <c r="B93" s="269" t="s">
        <v>227</v>
      </c>
      <c r="C93" s="281"/>
      <c r="D93" s="279" t="s">
        <v>99</v>
      </c>
      <c r="E93" s="281"/>
      <c r="F93" s="476"/>
      <c r="G93" s="1170"/>
      <c r="H93" s="164"/>
      <c r="I93" s="164"/>
      <c r="J93" s="104"/>
      <c r="K93" s="282"/>
      <c r="L93" s="282"/>
      <c r="M93" s="363"/>
      <c r="N93" s="363"/>
      <c r="O93" s="145">
        <v>0.0</v>
      </c>
      <c r="P93" s="145">
        <v>1.0</v>
      </c>
      <c r="Q93" s="145">
        <v>1.0</v>
      </c>
      <c r="R93" s="277"/>
      <c r="S93" s="228"/>
      <c r="T93" s="228"/>
      <c r="U93" s="228"/>
      <c r="V93" s="228"/>
    </row>
    <row r="94" outlineLevel="1">
      <c r="A94" s="156"/>
      <c r="B94" s="269" t="s">
        <v>225</v>
      </c>
      <c r="C94" s="113" t="s">
        <v>274</v>
      </c>
      <c r="D94" s="156"/>
      <c r="E94" s="239" t="s">
        <v>73</v>
      </c>
      <c r="F94" s="138">
        <f t="shared" ref="F94:F96" si="2">IFERROR(E94*1.2, "-")</f>
        <v>4.8</v>
      </c>
      <c r="G94" s="106"/>
      <c r="H94" s="168"/>
      <c r="I94" s="168"/>
      <c r="J94" s="107"/>
      <c r="K94" s="282"/>
      <c r="L94" s="282"/>
      <c r="M94" s="363"/>
      <c r="N94" s="363"/>
      <c r="O94" s="261"/>
      <c r="P94" s="261"/>
      <c r="Q94" s="261"/>
      <c r="R94" s="277"/>
      <c r="S94" s="117"/>
      <c r="T94" s="117"/>
      <c r="U94" s="117"/>
      <c r="V94" s="117"/>
    </row>
    <row r="95" outlineLevel="1">
      <c r="A95" s="278" t="s">
        <v>234</v>
      </c>
      <c r="B95" s="269" t="s">
        <v>227</v>
      </c>
      <c r="C95" s="113" t="s">
        <v>1169</v>
      </c>
      <c r="D95" s="279" t="s">
        <v>146</v>
      </c>
      <c r="E95" s="239" t="s">
        <v>73</v>
      </c>
      <c r="F95" s="138">
        <f t="shared" si="2"/>
        <v>4.8</v>
      </c>
      <c r="G95" s="283" t="s">
        <v>6293</v>
      </c>
      <c r="H95" s="164"/>
      <c r="I95" s="164"/>
      <c r="J95" s="104"/>
      <c r="K95" s="282"/>
      <c r="L95" s="282"/>
      <c r="M95" s="363"/>
      <c r="N95" s="363"/>
      <c r="O95" s="145">
        <v>0.0</v>
      </c>
      <c r="P95" s="145">
        <v>1.0</v>
      </c>
      <c r="Q95" s="145">
        <v>1.0</v>
      </c>
      <c r="R95" s="277"/>
      <c r="S95" s="117"/>
      <c r="T95" s="117"/>
      <c r="U95" s="117"/>
      <c r="V95" s="117"/>
    </row>
    <row r="96" outlineLevel="1">
      <c r="A96" s="156"/>
      <c r="B96" s="269" t="s">
        <v>225</v>
      </c>
      <c r="C96" s="113" t="s">
        <v>92</v>
      </c>
      <c r="D96" s="156"/>
      <c r="E96" s="239" t="s">
        <v>204</v>
      </c>
      <c r="F96" s="138">
        <f t="shared" si="2"/>
        <v>3.6</v>
      </c>
      <c r="G96" s="106"/>
      <c r="H96" s="168"/>
      <c r="I96" s="168"/>
      <c r="J96" s="107"/>
      <c r="K96" s="282"/>
      <c r="L96" s="282"/>
      <c r="M96" s="363"/>
      <c r="N96" s="363"/>
      <c r="O96" s="261"/>
      <c r="P96" s="261"/>
      <c r="Q96" s="261"/>
      <c r="R96" s="277"/>
      <c r="S96" s="117"/>
      <c r="T96" s="117"/>
      <c r="U96" s="117"/>
      <c r="V96" s="117"/>
    </row>
    <row r="97">
      <c r="A97" s="223"/>
      <c r="B97" s="224"/>
      <c r="C97" s="225"/>
      <c r="D97" s="225"/>
      <c r="E97" s="227"/>
      <c r="F97" s="177"/>
      <c r="G97" s="177"/>
      <c r="H97" s="227"/>
      <c r="I97" s="227"/>
      <c r="J97" s="228"/>
      <c r="K97" s="228"/>
      <c r="L97" s="111"/>
      <c r="M97" s="111"/>
      <c r="N97" s="111"/>
      <c r="O97" s="117"/>
      <c r="P97" s="117"/>
      <c r="Q97" s="111"/>
      <c r="R97" s="111"/>
      <c r="S97" s="111"/>
      <c r="T97" s="111"/>
      <c r="U97" s="111"/>
      <c r="V97" s="111"/>
    </row>
    <row r="98">
      <c r="A98" s="284" t="s">
        <v>241</v>
      </c>
      <c r="B98" s="104"/>
      <c r="C98" s="265"/>
      <c r="D98" s="111"/>
      <c r="E98" s="111"/>
      <c r="F98" s="111"/>
      <c r="G98" s="111"/>
      <c r="H98" s="111"/>
      <c r="I98" s="111"/>
      <c r="J98" s="118"/>
      <c r="K98" s="111"/>
      <c r="L98" s="111"/>
      <c r="M98" s="111"/>
      <c r="N98" s="111"/>
      <c r="O98" s="111"/>
      <c r="P98" s="111"/>
      <c r="Q98" s="118"/>
      <c r="R98" s="111"/>
      <c r="S98" s="111"/>
      <c r="T98" s="111"/>
      <c r="U98" s="111"/>
      <c r="V98" s="111"/>
    </row>
    <row r="99" outlineLevel="1">
      <c r="A99" s="106"/>
      <c r="B99" s="107"/>
      <c r="C99" s="285" t="s">
        <v>235</v>
      </c>
      <c r="D99" s="285" t="s">
        <v>236</v>
      </c>
      <c r="E99" s="285" t="s">
        <v>49</v>
      </c>
      <c r="F99" s="285" t="s">
        <v>237</v>
      </c>
      <c r="G99" s="285" t="s">
        <v>6294</v>
      </c>
      <c r="H99" s="227"/>
      <c r="I99" s="227"/>
      <c r="J99" s="228"/>
      <c r="K99" s="228"/>
      <c r="L99" s="111"/>
      <c r="M99" s="111"/>
      <c r="N99" s="111"/>
      <c r="O99" s="111"/>
      <c r="P99" s="111"/>
      <c r="Q99" s="111"/>
      <c r="R99" s="111"/>
      <c r="S99" s="111"/>
      <c r="T99" s="111"/>
      <c r="U99" s="111"/>
      <c r="V99" s="111"/>
    </row>
    <row r="100" outlineLevel="1">
      <c r="A100" s="287" t="s">
        <v>395</v>
      </c>
      <c r="B100" s="288" t="s">
        <v>216</v>
      </c>
      <c r="C100" s="113" t="str">
        <f t="array" ref="C100">INDEX('回避'!$C$3:$U$101, MATCH($A$1,'回避'!$A$3:$A$101,0), MATCH(C99,'回避'!$C$2:$F$2,0))</f>
        <v>7-21</v>
      </c>
      <c r="D100" s="113" t="str">
        <f t="array" ref="D100">INDEX('回避'!$C$3:$U$101, MATCH($A$1,'回避'!$A$3:$A$101,0), MATCH(D99,'回避'!$C$2:$F$2,0))</f>
        <v>10-21</v>
      </c>
      <c r="E100" s="113" t="str">
        <f t="array" ref="E100">INDEX('回避'!$C$3:$U$101, MATCH($A$1,'回避'!$A$3:$A$101,0), MATCH(E99,'回避'!$C$2:$F$2,0))</f>
        <v>31 (25)</v>
      </c>
      <c r="F100" s="113" t="str">
        <f t="array" ref="F100">INDEX('回避'!$C$3:$U$101, MATCH($A$1,'回避'!$A$3:$A$101,0), MATCH(F99,'回避'!$C$2:$F$2,0))</f>
        <v>40 (32)</v>
      </c>
      <c r="G100" s="239" t="s">
        <v>6228</v>
      </c>
      <c r="H100" s="227"/>
      <c r="I100" s="227"/>
      <c r="J100" s="228"/>
      <c r="K100" s="228"/>
      <c r="L100" s="228"/>
      <c r="M100" s="111"/>
      <c r="N100" s="111"/>
      <c r="O100" s="111"/>
      <c r="P100" s="111"/>
      <c r="Q100" s="111"/>
      <c r="R100" s="111"/>
      <c r="S100" s="111"/>
      <c r="T100" s="111"/>
      <c r="U100" s="111"/>
      <c r="V100" s="111"/>
    </row>
    <row r="101" outlineLevel="1">
      <c r="A101" s="212"/>
      <c r="B101" s="288" t="s">
        <v>245</v>
      </c>
      <c r="C101" s="113" t="str">
        <f t="array" ref="C101">INDEX('回避'!$G$3:$U$101, MATCH($A$1,'回避'!$A$3:$A$101,0), MATCH(C99,'回避'!$G$2:$J$2,0))</f>
        <v>7-18</v>
      </c>
      <c r="D101" s="113" t="str">
        <f t="array" ref="D101">INDEX('回避'!$G$3:$U$101, MATCH($A$1,'回避'!$A$3:$A$101,0), MATCH(D99,'回避'!$G$2:$J$2,0))</f>
        <v>11-17</v>
      </c>
      <c r="E101" s="113" t="str">
        <f t="array" ref="E101">INDEX('回避'!$G$3:$U$101, MATCH($A$1,'回避'!$A$3:$A$101,0), MATCH(E99,'回避'!$G$2:$J$2,0))</f>
        <v>35</v>
      </c>
      <c r="F101" s="113" t="str">
        <f t="array" ref="F101">INDEX('回避'!$G$3:$U$101, MATCH($A$1,'回避'!$A$3:$A$101,0), MATCH(F99,'回避'!$G$2:$J$2,0))</f>
        <v>46</v>
      </c>
      <c r="G101" s="239" t="s">
        <v>6228</v>
      </c>
      <c r="H101" s="227"/>
      <c r="I101" s="227"/>
      <c r="J101" s="228"/>
      <c r="K101" s="228"/>
      <c r="L101" s="228"/>
      <c r="M101" s="228"/>
      <c r="N101" s="228"/>
      <c r="O101" s="111"/>
      <c r="P101" s="111"/>
      <c r="Q101" s="111"/>
      <c r="R101" s="111"/>
      <c r="S101" s="111"/>
      <c r="T101" s="111"/>
      <c r="U101" s="111"/>
      <c r="V101" s="111"/>
    </row>
    <row r="102" outlineLevel="1">
      <c r="A102" s="106"/>
      <c r="B102" s="288" t="s">
        <v>246</v>
      </c>
      <c r="C102" s="113" t="str">
        <f t="array" ref="C102">INDEX('回避'!$K$3:$U$101, MATCH($A$1,'回避'!$A$3:$A$101,0), MATCH(C99,'回避'!$K$2:$N$2,0))</f>
        <v>8-19</v>
      </c>
      <c r="D102" s="113" t="str">
        <f t="array" ref="D102">INDEX('回避'!$K$3:$U$101, MATCH($A$1,'回避'!$A$3:$A$101,0), MATCH(D99,'回避'!$K$2:$N$2,0))</f>
        <v>12-17</v>
      </c>
      <c r="E102" s="113" t="str">
        <f t="array" ref="E102">INDEX('回避'!$K$3:$U$101, MATCH($A$1,'回避'!$A$3:$A$101,0), MATCH(E99,'回避'!$K$2:$N$2,0))</f>
        <v>38</v>
      </c>
      <c r="F102" s="113" t="str">
        <f t="array" ref="F102">INDEX('回避'!$K$3:$U$101, MATCH($A$1,'回避'!$A$3:$A$101,0), MATCH(F99,'回避'!$K$2:$N$2,0))</f>
        <v>57</v>
      </c>
      <c r="G102" s="239" t="s">
        <v>2212</v>
      </c>
      <c r="H102" s="290"/>
      <c r="I102" s="290"/>
      <c r="J102" s="117"/>
      <c r="K102" s="117"/>
      <c r="L102" s="117"/>
      <c r="M102" s="117"/>
      <c r="N102" s="117"/>
      <c r="O102" s="111"/>
      <c r="P102" s="111"/>
      <c r="Q102" s="111"/>
      <c r="R102" s="111"/>
      <c r="S102" s="111"/>
      <c r="T102" s="111"/>
      <c r="U102" s="111"/>
      <c r="V102" s="111"/>
    </row>
    <row r="103" outlineLevel="1">
      <c r="A103" s="287" t="s">
        <v>396</v>
      </c>
      <c r="B103" s="288" t="s">
        <v>397</v>
      </c>
      <c r="C103" s="113" t="str">
        <f t="array" ref="C103">INDEX('回避'!$O$3:$U$101, MATCH($A$1,'回避'!$A$3:$A$91,0), MATCH(C99,'回避'!$O$2:$R$2,0))</f>
        <v>6-33</v>
      </c>
      <c r="D103" s="113" t="str">
        <f t="array" ref="D103">INDEX('回避'!$O$3:$U$101, MATCH($A$1,'回避'!$A$3:$A$91,0), MATCH(D99,'回避'!$O$2:$R$2,0))</f>
        <v>9-30</v>
      </c>
      <c r="E103" s="113" t="str">
        <f t="array" ref="E103">INDEX('回避'!$O$3:$U$101, MATCH($A$1,'回避'!$A$3:$A$91,0), MATCH(E99,'回避'!$O$2:$R$2,0))</f>
        <v>44</v>
      </c>
      <c r="F103" s="3535"/>
      <c r="G103" s="239" t="s">
        <v>2297</v>
      </c>
      <c r="H103" s="118"/>
      <c r="I103" s="118"/>
      <c r="J103" s="111"/>
      <c r="K103" s="111"/>
      <c r="L103" s="111"/>
      <c r="M103" s="111"/>
      <c r="N103" s="111"/>
      <c r="O103" s="228"/>
      <c r="P103" s="228"/>
      <c r="Q103" s="228"/>
      <c r="R103" s="228"/>
      <c r="S103" s="228"/>
      <c r="T103" s="228"/>
      <c r="U103" s="228"/>
      <c r="V103" s="228"/>
    </row>
    <row r="104" outlineLevel="1">
      <c r="A104" s="106"/>
      <c r="B104" s="288" t="s">
        <v>398</v>
      </c>
      <c r="C104" s="365" t="str">
        <f t="array" ref="C104">INDEX('回避'!$S$3:$U$101, MATCH($A$1,'回避'!$A$3:$A$101,0), MATCH(C99,'回避'!$S$2:$U$2,0))</f>
        <v>6-21</v>
      </c>
      <c r="D104" s="113" t="str">
        <f t="array" ref="D104">INDEX('回避'!$S$3:$U$101, MATCH($A$1,'回避'!$A$3:$A$101,0), MATCH(D99,'回避'!$S$2:$U$2,0))</f>
        <v>9-23</v>
      </c>
      <c r="E104" s="113" t="str">
        <f t="array" ref="E104">INDEX('回避'!$S$3:$U$101, MATCH($A$1,'回避'!$A$3:$A$101,0), MATCH(E99,'回避'!$S$2:$U$2,0))</f>
        <v>真横：73
真上：95
真下：59</v>
      </c>
      <c r="F104" s="281"/>
      <c r="G104" s="239" t="s">
        <v>2297</v>
      </c>
      <c r="H104" s="118"/>
      <c r="I104" s="118"/>
      <c r="J104" s="117"/>
      <c r="K104" s="117"/>
      <c r="L104" s="117"/>
      <c r="M104" s="117"/>
      <c r="N104" s="111"/>
      <c r="O104" s="118"/>
      <c r="P104" s="118"/>
      <c r="Q104" s="118"/>
      <c r="R104" s="118"/>
      <c r="S104" s="118"/>
      <c r="T104" s="118"/>
      <c r="U104" s="118"/>
      <c r="V104" s="118"/>
    </row>
    <row r="105">
      <c r="A105" s="291"/>
      <c r="B105" s="292"/>
      <c r="C105" s="286"/>
      <c r="D105" s="286"/>
      <c r="E105" s="293"/>
      <c r="F105" s="286"/>
      <c r="G105" s="286"/>
      <c r="H105" s="286"/>
      <c r="I105" s="286"/>
      <c r="J105" s="111"/>
      <c r="K105" s="227"/>
      <c r="L105" s="227"/>
      <c r="M105" s="227"/>
      <c r="N105" s="227"/>
      <c r="O105" s="118"/>
      <c r="P105" s="118"/>
      <c r="Q105" s="118"/>
      <c r="R105" s="118"/>
      <c r="S105" s="118"/>
      <c r="T105" s="118"/>
      <c r="U105" s="118"/>
      <c r="V105" s="118"/>
    </row>
    <row r="106">
      <c r="A106" s="294" t="s">
        <v>238</v>
      </c>
      <c r="B106" s="104"/>
      <c r="C106" s="228"/>
      <c r="D106" s="117"/>
      <c r="E106" s="228"/>
      <c r="F106" s="114"/>
      <c r="G106" s="114"/>
      <c r="H106" s="117"/>
      <c r="I106" s="117"/>
      <c r="J106" s="118"/>
      <c r="K106" s="118"/>
      <c r="L106" s="118"/>
      <c r="M106" s="118"/>
      <c r="N106" s="118"/>
      <c r="O106" s="118"/>
      <c r="P106" s="118"/>
      <c r="Q106" s="118"/>
      <c r="R106" s="118"/>
      <c r="S106" s="118"/>
      <c r="T106" s="118"/>
      <c r="U106" s="118"/>
      <c r="V106" s="118"/>
    </row>
    <row r="107" outlineLevel="1">
      <c r="A107" s="106"/>
      <c r="B107" s="107"/>
      <c r="C107" s="295" t="s">
        <v>235</v>
      </c>
      <c r="D107" s="295" t="s">
        <v>49</v>
      </c>
      <c r="E107" s="295" t="s">
        <v>48</v>
      </c>
      <c r="F107" s="295" t="s">
        <v>50</v>
      </c>
      <c r="G107" s="296" t="s">
        <v>51</v>
      </c>
      <c r="H107" s="228"/>
      <c r="I107" s="228"/>
      <c r="J107" s="117"/>
      <c r="K107" s="297" t="s">
        <v>256</v>
      </c>
      <c r="L107" s="109"/>
      <c r="M107" s="298" t="s">
        <v>257</v>
      </c>
      <c r="N107" s="298" t="s">
        <v>49</v>
      </c>
      <c r="O107" s="118"/>
      <c r="P107" s="118"/>
      <c r="Q107" s="118"/>
      <c r="R107" s="118"/>
      <c r="S107" s="118"/>
      <c r="T107" s="118"/>
      <c r="U107" s="118"/>
      <c r="V107" s="118"/>
    </row>
    <row r="108" outlineLevel="1">
      <c r="A108" s="299" t="s">
        <v>239</v>
      </c>
      <c r="B108" s="300" t="s">
        <v>240</v>
      </c>
      <c r="C108" s="301"/>
      <c r="D108" s="113">
        <f t="array" ref="D108">INDEX('崖行動・受け身'!$C$3:$C$115, MATCH($A$1,'崖行動・受け身'!$A$3:$A$115,0), MATCH(D107,'崖行動・受け身'!$C$2,0))</f>
        <v>19</v>
      </c>
      <c r="E108" s="301"/>
      <c r="F108" s="301"/>
      <c r="G108" s="301"/>
      <c r="H108" s="228"/>
      <c r="I108" s="228"/>
      <c r="J108" s="111"/>
      <c r="K108" s="302" t="s">
        <v>258</v>
      </c>
      <c r="L108" s="303" t="s">
        <v>216</v>
      </c>
      <c r="M108" s="113" t="str">
        <f t="array" ref="M108">INDEX('アイテム'!$C$3:$D$115, MATCH($A$1,'アイテム'!$A$3:$A$115,0), MATCH(M$107,'アイテム'!$C$2:$AK$2,0))</f>
        <v>2</v>
      </c>
      <c r="N108" s="113">
        <f t="array" ref="N108">INDEX('アイテム'!$C$3:$D$115, MATCH($A$1,'アイテム'!$A$3:$A$115,0), MATCH(N$107,'アイテム'!$C$2:$AK$2,0))</f>
        <v>7</v>
      </c>
      <c r="O108" s="118"/>
      <c r="P108" s="118"/>
      <c r="Q108" s="118"/>
      <c r="R108" s="118"/>
      <c r="S108" s="118"/>
      <c r="T108" s="118"/>
      <c r="U108" s="118"/>
      <c r="V108" s="118"/>
    </row>
    <row r="109" outlineLevel="1">
      <c r="A109" s="146"/>
      <c r="B109" s="300" t="s">
        <v>216</v>
      </c>
      <c r="C109" s="113" t="str">
        <f t="array" ref="C109">INDEX('崖行動・受け身'!$D$3:$E$115, MATCH($A$1,'崖行動・受け身'!$A$3:$A$115,0), MATCH(C$107,'崖行動・受け身'!$D$2:$E$2,0))</f>
        <v>1-33</v>
      </c>
      <c r="D109" s="113">
        <f t="array" ref="D109">INDEX('崖行動・受け身'!$D$3:$E$115, MATCH($A$1,'崖行動・受け身'!$A$3:$A$115,0), MATCH(D$107,'崖行動・受け身'!$D$2:$E$2,0))</f>
        <v>34</v>
      </c>
      <c r="E109" s="301"/>
      <c r="F109" s="301"/>
      <c r="G109" s="301"/>
      <c r="H109" s="228"/>
      <c r="I109" s="228"/>
      <c r="J109" s="117"/>
      <c r="K109" s="156"/>
      <c r="L109" s="303" t="s">
        <v>5389</v>
      </c>
      <c r="M109" s="113" t="str">
        <f t="array" ref="M109">INDEX('アイテム'!$E$3:$F$115, MATCH($A$1,'アイテム'!$A$3:$A$115,0), MATCH(M$107,'アイテム'!$E$2:$AK$2,0))</f>
        <v>2</v>
      </c>
      <c r="N109" s="113">
        <f t="array" ref="N109">INDEX('アイテム'!$E$3:$F$115, MATCH($A$1,'アイテム'!$A$3:$A$115,0), MATCH(N$107,'アイテム'!$E$2:$AK$2,0))</f>
        <v>19</v>
      </c>
      <c r="O109" s="118"/>
      <c r="P109" s="118"/>
      <c r="Q109" s="118"/>
      <c r="R109" s="118"/>
      <c r="S109" s="118"/>
      <c r="T109" s="118"/>
      <c r="U109" s="118"/>
      <c r="V109" s="118"/>
    </row>
    <row r="110" outlineLevel="1">
      <c r="A110" s="146"/>
      <c r="B110" s="300" t="s">
        <v>241</v>
      </c>
      <c r="C110" s="113" t="str">
        <f t="array" ref="C110">INDEX('崖行動・受け身'!$F$3:$G$115, MATCH($A$1,'崖行動・受け身'!$A$3:$A$115,0), MATCH(C$107,'崖行動・受け身'!$F$2:$G$2,0))</f>
        <v>1-30</v>
      </c>
      <c r="D110" s="113">
        <f t="array" ref="D110">INDEX('崖行動・受け身'!$F$3:$G$115, MATCH($A$1,'崖行動・受け身'!$A$3:$A$115,0), MATCH(D$107,'崖行動・受け身'!$F$2:$G$2,0))</f>
        <v>45</v>
      </c>
      <c r="E110" s="301"/>
      <c r="F110" s="301"/>
      <c r="G110" s="301"/>
      <c r="H110" s="228"/>
      <c r="I110" s="228"/>
      <c r="J110" s="111"/>
      <c r="K110" s="304" t="s">
        <v>260</v>
      </c>
      <c r="L110" s="109"/>
      <c r="M110" s="298" t="s">
        <v>261</v>
      </c>
      <c r="N110" s="298" t="s">
        <v>49</v>
      </c>
      <c r="O110" s="118"/>
      <c r="P110" s="118"/>
      <c r="Q110" s="118"/>
      <c r="R110" s="118"/>
      <c r="S110" s="118"/>
      <c r="T110" s="118"/>
      <c r="U110" s="118"/>
      <c r="V110" s="118"/>
    </row>
    <row r="111" outlineLevel="1">
      <c r="A111" s="146"/>
      <c r="B111" s="300" t="s">
        <v>242</v>
      </c>
      <c r="C111" s="113" t="str">
        <f t="array" ref="C111">INDEX('崖行動・受け身'!$H$3:$I$115, MATCH($A$1,'崖行動・受け身'!$A$3:$A$115,0), MATCH(C$107,'崖行動・受け身'!$H$2:$I$2,0))</f>
        <v>1-12</v>
      </c>
      <c r="D111" s="113">
        <f t="array" ref="D111">INDEX('崖行動・受け身'!$H$3:$I$115, MATCH($A$1,'崖行動・受け身'!$A$3:$A$115,0), MATCH(D$107,'崖行動・受け身'!$H$2:$I$2,0))</f>
        <v>14</v>
      </c>
      <c r="E111" s="301"/>
      <c r="F111" s="301"/>
      <c r="G111" s="301"/>
      <c r="H111" s="228"/>
      <c r="I111" s="228"/>
      <c r="J111" s="117"/>
      <c r="K111" s="305" t="s">
        <v>262</v>
      </c>
      <c r="L111" s="303" t="s">
        <v>226</v>
      </c>
      <c r="M111" s="113" t="str">
        <f t="array" ref="M111">INDEX('アイテム'!$G$3:$H$115, MATCH($A$1,'アイテム'!$A$3:$A$115,0), MATCH(M$110,'アイテム'!$G$2:$AK$2,0))</f>
        <v>8</v>
      </c>
      <c r="N111" s="113">
        <f t="array" ref="N111">INDEX('アイテム'!$G$3:$H$115, MATCH($A$1,'アイテム'!$A$3:$A$115,0), MATCH(N$110,'アイテム'!$G$2:$AK$2,0))</f>
        <v>24</v>
      </c>
      <c r="O111" s="111"/>
      <c r="P111" s="111"/>
      <c r="Q111" s="111"/>
      <c r="R111" s="111"/>
      <c r="S111" s="111"/>
      <c r="T111" s="111"/>
      <c r="U111" s="111"/>
      <c r="V111" s="111"/>
    </row>
    <row r="112" outlineLevel="1">
      <c r="A112" s="156"/>
      <c r="B112" s="300" t="s">
        <v>243</v>
      </c>
      <c r="C112" s="113" t="str">
        <f t="array" ref="C112">INDEX('崖行動・受け身'!$J$3:$M$115, MATCH($A$1,'崖行動・受け身'!$A$3:$A$115,0), MATCH(C$107,'崖行動・受け身'!$J$2:$M$2,0))</f>
        <v>1-26</v>
      </c>
      <c r="D112" s="113">
        <f t="array" ref="D112">INDEX('崖行動・受け身'!$J$3:$M$115, MATCH($A$1,'崖行動・受け身'!$A$3:$A$115,0), MATCH(D$107,'崖行動・受け身'!$J$2:$M$2,0))</f>
        <v>55</v>
      </c>
      <c r="E112" s="113" t="str">
        <f t="array" ref="E112">INDEX('崖行動・受け身'!$J$3:$M$115, MATCH($A$1,'崖行動・受け身'!$A$3:$A$115,0), MATCH(E$107,'崖行動・受け身'!$J$2:$M$2,0))</f>
        <v>24-26</v>
      </c>
      <c r="F112" s="113">
        <f t="array" ref="F112">INDEX('崖行動・受け身'!$J$3:$M$115, MATCH($A$1,'崖行動・受け身'!$A$3:$A$115,0), MATCH(F$107,'崖行動・受け身'!$J$2:$M$2,0))</f>
        <v>9</v>
      </c>
      <c r="G112" s="113">
        <f>F112*1.2</f>
        <v>10.8</v>
      </c>
      <c r="H112" s="228"/>
      <c r="I112" s="228"/>
      <c r="J112" s="111"/>
      <c r="K112" s="146"/>
      <c r="L112" s="303" t="s">
        <v>229</v>
      </c>
      <c r="M112" s="113" t="str">
        <f t="array" ref="M112">INDEX('アイテム'!$I$3:$J$115, MATCH($A$1,'アイテム'!$A$3:$A$115,0), MATCH(M$110,'アイテム'!$I$2:$AK$2,0))</f>
        <v>11</v>
      </c>
      <c r="N112" s="113">
        <f t="array" ref="N112">INDEX('アイテム'!$I$3:$J$115, MATCH($A$1,'アイテム'!$A$3:$A$115,0), MATCH(N$110,'アイテム'!$I$2:$AK$2,0))</f>
        <v>24</v>
      </c>
      <c r="O112" s="111"/>
      <c r="P112" s="111"/>
      <c r="Q112" s="111"/>
      <c r="R112" s="111"/>
      <c r="S112" s="111"/>
      <c r="T112" s="111"/>
      <c r="U112" s="111"/>
      <c r="V112" s="111"/>
    </row>
    <row r="113" outlineLevel="1">
      <c r="A113" s="299" t="s">
        <v>244</v>
      </c>
      <c r="B113" s="300" t="s">
        <v>216</v>
      </c>
      <c r="C113" s="113" t="str">
        <f t="array" ref="C113">INDEX('崖行動・受け身'!$N$3:$O$115, MATCH($A$1,'崖行動・受け身'!$A$3:$A$115,0), MATCH(C$107,'崖行動・受け身'!$N$2:$O$2,0))</f>
        <v>1-20</v>
      </c>
      <c r="D113" s="113">
        <f t="array" ref="D113">INDEX('崖行動・受け身'!$N$3:$O$115, MATCH($A$1,'崖行動・受け身'!$A$3:$A$115,0), MATCH(D$107,'崖行動・受け身'!$N$2:$O$2,0))</f>
        <v>26</v>
      </c>
      <c r="E113" s="301"/>
      <c r="F113" s="301"/>
      <c r="G113" s="301"/>
      <c r="H113" s="228"/>
      <c r="I113" s="228"/>
      <c r="J113" s="117"/>
      <c r="K113" s="146"/>
      <c r="L113" s="303" t="s">
        <v>233</v>
      </c>
      <c r="M113" s="113" t="str">
        <f t="array" ref="M113">INDEX('アイテム'!$K$3:$L$115, MATCH($A$1,'アイテム'!$A$3:$A$115,0), MATCH(M$110,'アイテム'!$K$2:$AK$2,0))</f>
        <v>12</v>
      </c>
      <c r="N113" s="113">
        <f t="array" ref="N113">INDEX('アイテム'!$K$3:$L$115, MATCH($A$1,'アイテム'!$A$3:$A$115,0), MATCH(N$110,'アイテム'!$K$2:$AK$2,0))</f>
        <v>23</v>
      </c>
      <c r="O113" s="228"/>
      <c r="P113" s="228"/>
      <c r="Q113" s="228"/>
      <c r="R113" s="228"/>
      <c r="S113" s="228"/>
      <c r="T113" s="228"/>
      <c r="U113" s="228"/>
      <c r="V113" s="228"/>
    </row>
    <row r="114" outlineLevel="1">
      <c r="A114" s="146"/>
      <c r="B114" s="300" t="s">
        <v>245</v>
      </c>
      <c r="C114" s="113" t="str">
        <f t="array" ref="C114">INDEX('崖行動・受け身'!$P$3:$Q$115, MATCH($A$1,'崖行動・受け身'!$A$3:$A$115,0), MATCH(C$107,'崖行動・受け身'!$P$2:$Q$2,0))</f>
        <v>1-20</v>
      </c>
      <c r="D114" s="113">
        <f t="array" ref="D114">INDEX('崖行動・受け身'!$P$3:$Q$115, MATCH($A$1,'崖行動・受け身'!$A$3:$A$115,0), MATCH(D$107,'崖行動・受け身'!$P$2:$Q$2,0))</f>
        <v>40</v>
      </c>
      <c r="E114" s="301"/>
      <c r="F114" s="301"/>
      <c r="G114" s="301"/>
      <c r="H114" s="228"/>
      <c r="I114" s="228"/>
      <c r="J114" s="111"/>
      <c r="K114" s="146"/>
      <c r="L114" s="303" t="s">
        <v>234</v>
      </c>
      <c r="M114" s="113" t="str">
        <f t="array" ref="M114">INDEX('アイテム'!$M$3:$N$115, MATCH($A$1,'アイテム'!$A$3:$A$115,0), MATCH(M$110,'アイテム'!$M$2:$AK$2,0))</f>
        <v>7</v>
      </c>
      <c r="N114" s="113">
        <f t="array" ref="N114">INDEX('アイテム'!$M$3:$N$115, MATCH($A$1,'アイテム'!$A$3:$A$115,0), MATCH(N$110,'アイテム'!$M$2:$AK$2,0))</f>
        <v>19</v>
      </c>
      <c r="O114" s="118"/>
      <c r="P114" s="118"/>
      <c r="Q114" s="118"/>
      <c r="R114" s="118"/>
      <c r="S114" s="118"/>
      <c r="T114" s="118"/>
      <c r="U114" s="118"/>
      <c r="V114" s="118"/>
    </row>
    <row r="115" outlineLevel="1">
      <c r="A115" s="156"/>
      <c r="B115" s="300" t="s">
        <v>246</v>
      </c>
      <c r="C115" s="113" t="str">
        <f t="array" ref="C115">INDEX('崖行動・受け身'!$R$3:$S$115, MATCH($A$1,'崖行動・受け身'!$A$3:$A$115,0), MATCH(C$107,'崖行動・受け身'!$R$2:$S$2,0))</f>
        <v>1-20</v>
      </c>
      <c r="D115" s="113">
        <f t="array" ref="D115">INDEX('崖行動・受け身'!$R$3:$S$115, MATCH($A$1,'崖行動・受け身'!$A$3:$A$115,0), MATCH(D$107,'崖行動・受け身'!$R$2:$S$2,0))</f>
        <v>40</v>
      </c>
      <c r="E115" s="301"/>
      <c r="F115" s="301"/>
      <c r="G115" s="301"/>
      <c r="H115" s="228"/>
      <c r="I115" s="228"/>
      <c r="J115" s="117"/>
      <c r="K115" s="146"/>
      <c r="L115" s="306" t="s">
        <v>219</v>
      </c>
      <c r="M115" s="113" t="str">
        <f t="array" ref="M115">INDEX('アイテム'!$O$3:$P$115, MATCH($A$1,'アイテム'!$A$3:$A$115,0), MATCH(M$110,'アイテム'!$O$2:$AK$2,0))</f>
        <v>5</v>
      </c>
      <c r="N115" s="113">
        <f t="array" ref="N115">INDEX('アイテム'!$O$3:$P$115, MATCH($A$1,'アイテム'!$A$3:$A$115,0), MATCH(N$110,'アイテム'!$O$2:$AK$2,0))</f>
        <v>29</v>
      </c>
      <c r="O115" s="118"/>
      <c r="P115" s="118"/>
      <c r="Q115" s="118"/>
      <c r="R115" s="118"/>
      <c r="S115" s="118"/>
      <c r="T115" s="118"/>
      <c r="U115" s="118"/>
      <c r="V115" s="118"/>
    </row>
    <row r="116" outlineLevel="1">
      <c r="A116" s="299" t="s">
        <v>247</v>
      </c>
      <c r="B116" s="300" t="s">
        <v>248</v>
      </c>
      <c r="C116" s="301"/>
      <c r="D116" s="113" t="str">
        <f t="array" ref="D116">INDEX('起きあがり'!$C$3:$C$115, MATCH($A$1,'起きあがり'!$A$3:$A$115,0), MATCH(D$107,'起きあがり'!$C$2:$AD$2,0))</f>
        <v>25</v>
      </c>
      <c r="E116" s="301"/>
      <c r="F116" s="301"/>
      <c r="G116" s="301"/>
      <c r="H116" s="228"/>
      <c r="I116" s="228"/>
      <c r="J116" s="111"/>
      <c r="K116" s="156"/>
      <c r="L116" s="306" t="s">
        <v>263</v>
      </c>
      <c r="M116" s="113" t="str">
        <f t="array" ref="M116">INDEX('アイテム'!$Q$3:$R$115, MATCH($A$1,'アイテム'!$A$3:$A$115,0), MATCH(M$110,'アイテム'!$Q$2:$AK$2,0))</f>
        <v>6</v>
      </c>
      <c r="N116" s="113">
        <f t="array" ref="N116">INDEX('アイテム'!$Q$3:$R$115, MATCH($A$1,'アイテム'!$A$3:$A$115,0), MATCH(N$110,'アイテム'!$Q$2:$AK$2,0))</f>
        <v>23</v>
      </c>
      <c r="O116" s="118"/>
      <c r="P116" s="118"/>
      <c r="Q116" s="118"/>
      <c r="R116" s="118"/>
      <c r="S116" s="118"/>
      <c r="T116" s="118"/>
      <c r="U116" s="118"/>
      <c r="V116" s="118"/>
    </row>
    <row r="117" outlineLevel="1">
      <c r="A117" s="146"/>
      <c r="B117" s="300" t="s">
        <v>216</v>
      </c>
      <c r="C117" s="307" t="str">
        <f t="array" ref="C117">INDEX('起きあがり'!$D$3:$E$115, MATCH($A$1,'起きあがり'!$A$3:$A$115,0), MATCH(C$107,'起きあがり'!$D$2:$AD$2,0))</f>
        <v>1-22</v>
      </c>
      <c r="D117" s="308">
        <f t="array" ref="D117">INDEX('起きあがり'!$D$3:$E$115, MATCH($A$1,'起きあがり'!$A$3:$A$115,0), MATCH(D$107,'起きあがり'!$D$2:$AD$2,0))</f>
        <v>29</v>
      </c>
      <c r="E117" s="301"/>
      <c r="F117" s="301"/>
      <c r="G117" s="301"/>
      <c r="H117" s="228"/>
      <c r="I117" s="228"/>
      <c r="J117" s="117"/>
      <c r="K117" s="305" t="s">
        <v>264</v>
      </c>
      <c r="L117" s="303" t="s">
        <v>226</v>
      </c>
      <c r="M117" s="113" t="str">
        <f t="array" ref="M117">INDEX('アイテム'!$S$3:$T$115, MATCH($A$1,'アイテム'!$A$3:$A$115,0), MATCH(M$110,'アイテム'!$S$2:$AK$2,0))</f>
        <v>8</v>
      </c>
      <c r="N117" s="113">
        <f t="array" ref="N117">INDEX('アイテム'!$S$3:$T$115, MATCH($A$1,'アイテム'!$A$3:$A$115,0), MATCH(N$110,'アイテム'!$S$2:$AK$2,0))</f>
        <v>24</v>
      </c>
      <c r="O117" s="118"/>
      <c r="P117" s="118"/>
      <c r="Q117" s="118"/>
      <c r="R117" s="118"/>
      <c r="S117" s="118"/>
      <c r="T117" s="118"/>
      <c r="U117" s="118"/>
      <c r="V117" s="118"/>
    </row>
    <row r="118" outlineLevel="1">
      <c r="A118" s="146"/>
      <c r="B118" s="300" t="s">
        <v>245</v>
      </c>
      <c r="C118" s="307" t="str">
        <f t="array" ref="C118">INDEX('起きあがり'!$F$3:$G$115, MATCH($A$1,'起きあがり'!$A$3:$A$115,0), MATCH(C$107,'起きあがり'!$F$2:$AD$2,0))</f>
        <v>1-21</v>
      </c>
      <c r="D118" s="308">
        <f t="array" ref="D118">INDEX('起きあがり'!$F$3:$G$115, MATCH($A$1,'起きあがり'!$A$3:$A$115,0), MATCH(D$107,'起きあがり'!$F$2:$AD$2,0))</f>
        <v>35</v>
      </c>
      <c r="E118" s="301"/>
      <c r="F118" s="301"/>
      <c r="G118" s="301"/>
      <c r="H118" s="228"/>
      <c r="I118" s="228"/>
      <c r="J118" s="111"/>
      <c r="K118" s="146"/>
      <c r="L118" s="303" t="s">
        <v>229</v>
      </c>
      <c r="M118" s="113" t="str">
        <f t="array" ref="M118">INDEX('アイテム'!$U$3:$V$115, MATCH($A$1,'アイテム'!$A$3:$A$115,0), MATCH(M$110,'アイテム'!$U$2:$AK$2,0))</f>
        <v>11</v>
      </c>
      <c r="N118" s="113">
        <f t="array" ref="N118">INDEX('アイテム'!$U$3:$V$115, MATCH($A$1,'アイテム'!$A$3:$A$115,0), MATCH(N$110,'アイテム'!$U$2:$AK$2,0))</f>
        <v>24</v>
      </c>
      <c r="O118" s="118"/>
      <c r="P118" s="118"/>
      <c r="Q118" s="118"/>
      <c r="R118" s="118"/>
      <c r="S118" s="118"/>
      <c r="T118" s="118"/>
      <c r="U118" s="118"/>
      <c r="V118" s="118"/>
    </row>
    <row r="119" outlineLevel="1">
      <c r="A119" s="146"/>
      <c r="B119" s="300" t="s">
        <v>246</v>
      </c>
      <c r="C119" s="113" t="str">
        <f t="array" ref="C119">INDEX('起きあがり'!$H$3:$I$115, MATCH($A$1,'起きあがり'!$A$3:$A$115,0), MATCH(C$107,'起きあがり'!$H$2:$AD$2,0))</f>
        <v>1-22</v>
      </c>
      <c r="D119" s="113">
        <f t="array" ref="D119">INDEX('起きあがり'!$H$3:$I$115, MATCH($A$1,'起きあがり'!$A$3:$A$115,0), MATCH(D$107,'起きあがり'!$H$2:$AD$2,0))</f>
        <v>35</v>
      </c>
      <c r="E119" s="301"/>
      <c r="F119" s="301"/>
      <c r="G119" s="301"/>
      <c r="H119" s="228"/>
      <c r="I119" s="228"/>
      <c r="J119" s="117"/>
      <c r="K119" s="146"/>
      <c r="L119" s="303" t="s">
        <v>233</v>
      </c>
      <c r="M119" s="113" t="str">
        <f t="array" ref="M119">INDEX('アイテム'!$W$3:$X$115, MATCH($A$1,'アイテム'!$A$3:$A$115,0), MATCH(M$110,'アイテム'!$W$2:$AK$2,0))</f>
        <v>12</v>
      </c>
      <c r="N119" s="113">
        <f t="array" ref="N119">INDEX('アイテム'!$W$3:$X$115, MATCH($A$1,'アイテム'!$A$3:$A$115,0), MATCH(N$110,'アイテム'!$W$2:$AK$2,0))</f>
        <v>23</v>
      </c>
      <c r="O119" s="118"/>
      <c r="P119" s="118"/>
      <c r="Q119" s="118"/>
      <c r="R119" s="118"/>
      <c r="S119" s="118"/>
      <c r="T119" s="118"/>
      <c r="U119" s="118"/>
      <c r="V119" s="118"/>
    </row>
    <row r="120" outlineLevel="1">
      <c r="A120" s="146"/>
      <c r="B120" s="300" t="s">
        <v>249</v>
      </c>
      <c r="C120" s="309" t="str">
        <f t="array" ref="C120">INDEX('起きあがり'!$J$3:$M$115, MATCH($A$1,'起きあがり'!$A$3:$A$115,0), MATCH(C$107,'起きあがり'!$J$2:$AD$2,0))</f>
        <v>1-25</v>
      </c>
      <c r="D120" s="310">
        <f t="array" ref="D120">INDEX('起きあがり'!$J$3:$M$115, MATCH($A$1,'起きあがり'!$A$3:$A$115,0), MATCH(D$107,'起きあがり'!$J$2:$AD$2,0))</f>
        <v>45</v>
      </c>
      <c r="E120" s="307" t="str">
        <f t="array" ref="E120">INDEX('起きあがり'!$J$3:$M$115, MATCH($A$1,'起きあがり'!$A$3:$A$115,0), MATCH(E$107,'起きあがり'!$J$2:$AD$2,0))</f>
        <v>14-15</v>
      </c>
      <c r="F120" s="308">
        <f t="array" ref="F120">INDEX('起きあがり'!$J$3:$M$115, MATCH($A$1,'起きあがり'!$A$3:$A$115,0), MATCH(F$107,'起きあがり'!$J$2:$AD$2,0))</f>
        <v>7</v>
      </c>
      <c r="G120" s="113">
        <f t="shared" ref="G120:G121" si="3">F120*1.2</f>
        <v>8.4</v>
      </c>
      <c r="H120" s="228"/>
      <c r="I120" s="228"/>
      <c r="J120" s="111"/>
      <c r="K120" s="156"/>
      <c r="L120" s="303" t="s">
        <v>234</v>
      </c>
      <c r="M120" s="113" t="str">
        <f t="array" ref="M120">INDEX('アイテム'!$Y$3:$Z$115, MATCH($A$1,'アイテム'!$A$3:$A$115,0), MATCH(M$110,'アイテム'!$Y$2:$AK$2,0))</f>
        <v>7</v>
      </c>
      <c r="N120" s="113">
        <f t="array" ref="N120">INDEX('アイテム'!$Y$3:$Z$115, MATCH($A$1,'アイテム'!$A$3:$A$115,0), MATCH(N$110,'アイテム'!$Y$2:$AK$2,0))</f>
        <v>19</v>
      </c>
      <c r="O120" s="111"/>
      <c r="P120" s="111"/>
      <c r="Q120" s="111"/>
      <c r="R120" s="111"/>
      <c r="S120" s="111"/>
      <c r="T120" s="111"/>
      <c r="U120" s="111"/>
      <c r="V120" s="111"/>
    </row>
    <row r="121" outlineLevel="1">
      <c r="A121" s="156"/>
      <c r="B121" s="311" t="s">
        <v>250</v>
      </c>
      <c r="C121" s="156"/>
      <c r="D121" s="156"/>
      <c r="E121" s="307" t="str">
        <f t="array" ref="E121">INDEX('起きあがり'!$N$3:$O$115, MATCH($A$1,'起きあがり'!$A$3:$A$115,0), MATCH(E$107,'起きあがり'!$N$2:$AD$2,0))</f>
        <v>24-25</v>
      </c>
      <c r="F121" s="308">
        <f t="array" ref="F121">INDEX('起きあがり'!$N$3:$O$115, MATCH($A$1,'起きあがり'!$A$3:$A$115,0), MATCH(F$107,'起きあがり'!$N$2:$AD$2,0))</f>
        <v>7</v>
      </c>
      <c r="G121" s="113">
        <f t="shared" si="3"/>
        <v>8.4</v>
      </c>
      <c r="H121" s="228"/>
      <c r="I121" s="228"/>
      <c r="J121" s="111"/>
      <c r="K121" s="312" t="s">
        <v>5390</v>
      </c>
      <c r="L121" s="168"/>
      <c r="M121" s="298" t="s">
        <v>49</v>
      </c>
      <c r="N121" s="114"/>
      <c r="O121" s="111"/>
      <c r="P121" s="111"/>
      <c r="Q121" s="111"/>
      <c r="R121" s="111"/>
      <c r="S121" s="111"/>
      <c r="T121" s="111"/>
      <c r="U121" s="111"/>
      <c r="V121" s="111"/>
    </row>
    <row r="122" outlineLevel="1">
      <c r="A122" s="299" t="s">
        <v>251</v>
      </c>
      <c r="B122" s="300" t="s">
        <v>248</v>
      </c>
      <c r="C122" s="301"/>
      <c r="D122" s="307" t="str">
        <f t="array" ref="D122">INDEX('起きあがり'!$C$3:$C$115, MATCH($A$1,'起きあがり'!$A$3:$A$115,0), MATCH(D$107,'起きあがり'!$C$2:$AD$2,0))</f>
        <v>25</v>
      </c>
      <c r="E122" s="301"/>
      <c r="F122" s="301"/>
      <c r="G122" s="301"/>
      <c r="H122" s="228"/>
      <c r="I122" s="228"/>
      <c r="J122" s="117"/>
      <c r="K122" s="313" t="s">
        <v>693</v>
      </c>
      <c r="L122" s="314" t="s">
        <v>693</v>
      </c>
      <c r="M122" s="113" t="str">
        <f t="array" ref="M122">INDEX('共通動作その他'!$C$3:$C$102, MATCH($A$1,'共通動作その他'!$A$3:$A$102,0), MATCH(M$121,'共通動作その他'!$C$2:$AA$2,0))</f>
        <v>#N/A</v>
      </c>
      <c r="N122" s="315"/>
      <c r="O122" s="111"/>
      <c r="P122" s="111"/>
      <c r="Q122" s="111"/>
      <c r="R122" s="111"/>
      <c r="S122" s="111"/>
      <c r="T122" s="111"/>
      <c r="U122" s="111"/>
      <c r="V122" s="111"/>
    </row>
    <row r="123" outlineLevel="1">
      <c r="A123" s="146"/>
      <c r="B123" s="300" t="s">
        <v>216</v>
      </c>
      <c r="C123" s="307" t="str">
        <f t="array" ref="C123">INDEX('起きあがり'!$P$3:$Q$115, MATCH($A$1,'起きあがり'!$A$3:$A$115,0), MATCH(C$107,'起きあがり'!$P$2:$AD$2,0))</f>
        <v>1-22</v>
      </c>
      <c r="D123" s="308">
        <f t="array" ref="D123">INDEX('起きあがり'!$P$3:$Q$115, MATCH($A$1,'起きあがり'!$A$3:$A$115,0), MATCH(D$107,'起きあがり'!$P$2:$AD$2,0))</f>
        <v>29</v>
      </c>
      <c r="E123" s="301"/>
      <c r="F123" s="301"/>
      <c r="G123" s="301"/>
      <c r="H123" s="228"/>
      <c r="I123" s="228"/>
      <c r="J123" s="111"/>
      <c r="K123" s="305" t="s">
        <v>2602</v>
      </c>
      <c r="L123" s="314" t="s">
        <v>5391</v>
      </c>
      <c r="M123" s="113" t="str">
        <f t="array" ref="M123">INDEX('共通動作その他'!$D$3:$D$102, MATCH($A$1,'共通動作その他'!$A$3:$A$102,0), MATCH(M$121,'共通動作その他'!$D$2:$AA$2,0))</f>
        <v>#N/A</v>
      </c>
      <c r="N123" s="315"/>
      <c r="O123" s="228"/>
      <c r="P123" s="228"/>
      <c r="Q123" s="228"/>
      <c r="R123" s="228"/>
      <c r="S123" s="228"/>
      <c r="T123" s="228"/>
      <c r="U123" s="228"/>
      <c r="V123" s="228"/>
    </row>
    <row r="124" outlineLevel="1">
      <c r="A124" s="146"/>
      <c r="B124" s="300" t="s">
        <v>245</v>
      </c>
      <c r="C124" s="307" t="str">
        <f t="array" ref="C124">INDEX('起きあがり'!$R$3:$S$115, MATCH($A$1,'起きあがり'!$A$3:$A$115,0), MATCH(C$107,'起きあがり'!$R$2:$AD$2,0))</f>
        <v>1-19</v>
      </c>
      <c r="D124" s="308">
        <f t="array" ref="D124">INDEX('起きあがり'!$R$3:$S$115, MATCH($A$1,'起きあがり'!$A$3:$A$115,0), MATCH(D$107,'起きあがり'!$R$2:$AD$2,0))</f>
        <v>35</v>
      </c>
      <c r="E124" s="301"/>
      <c r="F124" s="301"/>
      <c r="G124" s="301"/>
      <c r="H124" s="228"/>
      <c r="I124" s="228"/>
      <c r="J124" s="117"/>
      <c r="K124" s="146"/>
      <c r="L124" s="314" t="s">
        <v>5392</v>
      </c>
      <c r="M124" s="113" t="str">
        <f t="array" ref="M124">INDEX('共通動作その他'!$E$3:$E$102, MATCH($A$1,'共通動作その他'!$A$3:$A$102,0), MATCH(M$121,'共通動作その他'!$E$2:$AA$2,0))</f>
        <v>#N/A</v>
      </c>
      <c r="N124" s="102"/>
      <c r="O124" s="118"/>
      <c r="P124" s="118"/>
      <c r="Q124" s="118"/>
      <c r="R124" s="118"/>
      <c r="S124" s="118"/>
      <c r="T124" s="118"/>
      <c r="U124" s="118"/>
      <c r="V124" s="118"/>
    </row>
    <row r="125" outlineLevel="1">
      <c r="A125" s="146"/>
      <c r="B125" s="300" t="s">
        <v>246</v>
      </c>
      <c r="C125" s="307" t="str">
        <f t="array" ref="C125">INDEX('起きあがり'!$T$3:$U$115, MATCH($A$1,'起きあがり'!$A$3:$A$115,0), MATCH(C$107,'起きあがり'!$T$2:$AD$2,0))</f>
        <v>1-24</v>
      </c>
      <c r="D125" s="308">
        <f t="array" ref="D125">INDEX('起きあがり'!$T$3:$U$115, MATCH($A$1,'起きあがり'!$A$3:$A$115,0), MATCH(D$107,'起きあがり'!$T$2:$AD$2,0))</f>
        <v>35</v>
      </c>
      <c r="E125" s="301"/>
      <c r="F125" s="301"/>
      <c r="G125" s="301"/>
      <c r="H125" s="228"/>
      <c r="I125" s="228"/>
      <c r="J125" s="111"/>
      <c r="K125" s="146"/>
      <c r="L125" s="314" t="s">
        <v>5393</v>
      </c>
      <c r="M125" s="113" t="str">
        <f t="array" ref="M125">INDEX('共通動作その他'!$F$3:$F$102, MATCH($A$1,'共通動作その他'!$A$3:$A$102,0), MATCH(M$121,'共通動作その他'!$F$2:$AA$2,0))</f>
        <v>#N/A</v>
      </c>
      <c r="N125" s="102"/>
      <c r="O125" s="118"/>
      <c r="P125" s="118"/>
      <c r="Q125" s="118"/>
      <c r="R125" s="118"/>
      <c r="S125" s="118"/>
      <c r="T125" s="118"/>
      <c r="U125" s="118"/>
      <c r="V125" s="118"/>
    </row>
    <row r="126" outlineLevel="1">
      <c r="A126" s="146"/>
      <c r="B126" s="300" t="s">
        <v>249</v>
      </c>
      <c r="C126" s="309" t="str">
        <f t="array" ref="C126">INDEX('起きあがり'!$V$3:$Y$115, MATCH($A$1,'起きあがり'!$A$3:$A$115,0), MATCH(C$107,'起きあがり'!$V$2:$AD$2,0))</f>
        <v>1-25</v>
      </c>
      <c r="D126" s="310">
        <f t="array" ref="D126">INDEX('起きあがり'!$V$3:$Y$115, MATCH($A$1,'起きあがり'!$A$3:$A$115,0), MATCH(D$107,'起きあがり'!$V$2:$AD$2,0))</f>
        <v>45</v>
      </c>
      <c r="E126" s="307" t="str">
        <f t="array" ref="E126">INDEX('起きあがり'!$V$3:$Y$115, MATCH($A$1,'起きあがり'!$A$3:$A$115,0), MATCH(E$107,'起きあがり'!$V$2:$AD$2,0))</f>
        <v>14-15</v>
      </c>
      <c r="F126" s="308">
        <f t="array" ref="F126">INDEX('起きあがり'!$V$3:$Y$115, MATCH($A$1,'起きあがり'!$A$3:$A$115,0), MATCH(F$107,'起きあがり'!$V$2:$AD$2,0))</f>
        <v>7</v>
      </c>
      <c r="G126" s="113">
        <f t="shared" ref="G126:G127" si="4">F126*1.2</f>
        <v>8.4</v>
      </c>
      <c r="H126" s="228"/>
      <c r="I126" s="228"/>
      <c r="J126" s="117"/>
      <c r="K126" s="146"/>
      <c r="L126" s="314" t="s">
        <v>5394</v>
      </c>
      <c r="M126" s="113" t="str">
        <f t="array" ref="M126">INDEX('共通動作その他'!$G$3:$G$102, MATCH($A$1,'共通動作その他'!$A$3:$A$102,0), MATCH(M$121,'共通動作その他'!$G$2:$AA$2,0))</f>
        <v>#N/A</v>
      </c>
      <c r="N126" s="102"/>
      <c r="O126" s="118"/>
      <c r="P126" s="118"/>
      <c r="Q126" s="118"/>
      <c r="R126" s="118"/>
      <c r="S126" s="118"/>
      <c r="T126" s="118"/>
      <c r="U126" s="118"/>
      <c r="V126" s="118"/>
    </row>
    <row r="127" outlineLevel="1">
      <c r="A127" s="156"/>
      <c r="B127" s="311" t="s">
        <v>250</v>
      </c>
      <c r="C127" s="156"/>
      <c r="D127" s="156"/>
      <c r="E127" s="307" t="str">
        <f t="array" ref="E127">INDEX('起きあがり'!$Z$3:$AA$115, MATCH($A$1,'起きあがり'!$A$3:$A$115,0), MATCH(E$107,'起きあがり'!$Z$2:$AD$2,0))</f>
        <v>24-25</v>
      </c>
      <c r="F127" s="308">
        <f t="array" ref="F127">INDEX('起きあがり'!$Z$3:$AA$115, MATCH($A$1,'起きあがり'!$A$3:$A$115,0), MATCH(F$107,'起きあがり'!$Z$2:$AD$2,0))</f>
        <v>7</v>
      </c>
      <c r="G127" s="113">
        <f t="shared" si="4"/>
        <v>8.4</v>
      </c>
      <c r="H127" s="228"/>
      <c r="I127" s="228"/>
      <c r="J127" s="117"/>
      <c r="K127" s="304" t="s">
        <v>5395</v>
      </c>
      <c r="L127" s="110"/>
      <c r="M127" s="298" t="s">
        <v>49</v>
      </c>
      <c r="N127" s="102"/>
      <c r="O127" s="118"/>
      <c r="P127" s="118"/>
      <c r="Q127" s="118"/>
      <c r="R127" s="118"/>
      <c r="S127" s="118"/>
      <c r="T127" s="118"/>
      <c r="U127" s="118"/>
      <c r="V127" s="118"/>
    </row>
    <row r="128" outlineLevel="1">
      <c r="A128" s="299" t="s">
        <v>252</v>
      </c>
      <c r="B128" s="300" t="s">
        <v>253</v>
      </c>
      <c r="C128" s="307" t="str">
        <f t="array" ref="C128">INDEX('転倒'!$C$3:$D$115, MATCH($A$1,'転倒'!$A$3:$A$115,0), MATCH(C$107,'転倒'!$C$2:$AC$2,0))</f>
        <v>1-5</v>
      </c>
      <c r="D128" s="308">
        <f t="array" ref="D128">INDEX('転倒'!$C$3:$D$115, MATCH($A$1,'転倒'!$A$3:$A$115,0), MATCH(D$107,'転倒'!$C$2:$AC$2,0))</f>
        <v>29</v>
      </c>
      <c r="E128" s="301"/>
      <c r="F128" s="301"/>
      <c r="G128" s="301"/>
      <c r="H128" s="228"/>
      <c r="I128" s="228"/>
      <c r="J128" s="111"/>
      <c r="K128" s="313" t="s">
        <v>5396</v>
      </c>
      <c r="L128" s="306" t="s">
        <v>5397</v>
      </c>
      <c r="M128" s="113" t="str">
        <f t="array" ref="M128">INDEX('共通動作その他'!$H$3:$H$102, MATCH($A$1,'共通動作その他'!$A$3:$A$102,0), MATCH(M$127,'共通動作その他'!$H$2:$AA$2,0))</f>
        <v>#N/A</v>
      </c>
      <c r="N128" s="315"/>
      <c r="O128" s="118"/>
      <c r="P128" s="118"/>
      <c r="Q128" s="118"/>
      <c r="R128" s="118"/>
      <c r="S128" s="118"/>
      <c r="T128" s="118"/>
      <c r="U128" s="118"/>
      <c r="V128" s="118"/>
    </row>
    <row r="129" outlineLevel="1">
      <c r="A129" s="146"/>
      <c r="B129" s="300" t="s">
        <v>254</v>
      </c>
      <c r="C129" s="307" t="str">
        <f t="array" ref="C129">INDEX('転倒'!$E$3:$F$115, MATCH($A$1,'転倒'!$A$3:$A$115,0), MATCH(C$107,'転倒'!$E$2:$AC$2,0))</f>
        <v>1-5</v>
      </c>
      <c r="D129" s="308">
        <f t="array" ref="D129">INDEX('転倒'!$E$3:$F$115, MATCH($A$1,'転倒'!$A$3:$A$115,0), MATCH(D$107,'転倒'!$E$2:$AC$2,0))</f>
        <v>39</v>
      </c>
      <c r="E129" s="301"/>
      <c r="F129" s="301"/>
      <c r="G129" s="301"/>
      <c r="H129" s="228"/>
      <c r="I129" s="228"/>
      <c r="J129" s="117"/>
      <c r="K129" s="313" t="s">
        <v>5398</v>
      </c>
      <c r="L129" s="306" t="s">
        <v>5397</v>
      </c>
      <c r="M129" s="113" t="str">
        <f t="array" ref="M129">INDEX('共通動作その他'!$I$3:$I$102, MATCH($A$1,'共通動作その他'!$A$3:$A$102,0), MATCH(M$127,'共通動作その他'!$I$2:$AA$2,0))</f>
        <v>#N/A</v>
      </c>
      <c r="N129" s="315"/>
      <c r="O129" s="118"/>
      <c r="P129" s="118"/>
      <c r="Q129" s="118"/>
      <c r="R129" s="118"/>
      <c r="S129" s="118"/>
      <c r="T129" s="118"/>
      <c r="U129" s="118"/>
      <c r="V129" s="118"/>
    </row>
    <row r="130" outlineLevel="1">
      <c r="A130" s="146"/>
      <c r="B130" s="300" t="s">
        <v>216</v>
      </c>
      <c r="C130" s="307" t="str">
        <f t="array" ref="C130">INDEX('転倒'!$G$3:$H$115, MATCH($A$1,'転倒'!$A$3:$A$115,0), MATCH(C$107,'転倒'!$G$2:$AC$2,0))</f>
        <v>1-16</v>
      </c>
      <c r="D130" s="308">
        <f t="array" ref="D130">INDEX('転倒'!$G$3:$H$115, MATCH($A$1,'転倒'!$A$3:$A$115,0), MATCH(D$107,'転倒'!$G$2:$AC$2,0))</f>
        <v>21</v>
      </c>
      <c r="E130" s="301"/>
      <c r="F130" s="301"/>
      <c r="G130" s="301"/>
      <c r="H130" s="228"/>
      <c r="I130" s="228"/>
      <c r="J130" s="111"/>
      <c r="K130" s="102"/>
      <c r="L130" s="118"/>
      <c r="M130" s="118"/>
      <c r="N130" s="102"/>
      <c r="O130" s="118"/>
      <c r="P130" s="118"/>
      <c r="Q130" s="118"/>
      <c r="R130" s="118"/>
      <c r="S130" s="118"/>
      <c r="T130" s="118"/>
      <c r="U130" s="118"/>
      <c r="V130" s="118"/>
    </row>
    <row r="131" outlineLevel="1">
      <c r="A131" s="146"/>
      <c r="B131" s="300" t="s">
        <v>245</v>
      </c>
      <c r="C131" s="307" t="str">
        <f t="array" ref="C131">INDEX('転倒'!$I$3:$J$115, MATCH($A$1,'転倒'!$A$3:$A$115,0), MATCH(C$107,'転倒'!$I$2:$AC$2,0))</f>
        <v>1-9</v>
      </c>
      <c r="D131" s="308">
        <f t="array" ref="D131">INDEX('転倒'!$I$3:$J$115, MATCH($A$1,'転倒'!$A$3:$A$115,0), MATCH(D$107,'転倒'!$I$2:$AC$2,0))</f>
        <v>28</v>
      </c>
      <c r="E131" s="301"/>
      <c r="F131" s="301"/>
      <c r="G131" s="301"/>
      <c r="H131" s="228"/>
      <c r="I131" s="228"/>
      <c r="J131" s="228"/>
      <c r="K131" s="102"/>
      <c r="L131" s="118"/>
      <c r="M131" s="118"/>
      <c r="N131" s="102"/>
      <c r="O131" s="118"/>
      <c r="P131" s="118"/>
      <c r="Q131" s="118"/>
      <c r="R131" s="118"/>
      <c r="S131" s="118"/>
      <c r="T131" s="118"/>
      <c r="U131" s="118"/>
      <c r="V131" s="118"/>
    </row>
    <row r="132" outlineLevel="1">
      <c r="A132" s="146"/>
      <c r="B132" s="300" t="s">
        <v>246</v>
      </c>
      <c r="C132" s="307" t="str">
        <f t="array" ref="C132">INDEX('転倒'!$K$3:$L$115, MATCH($A$1,'転倒'!$A$3:$A$115,0), MATCH(C$107,'転倒'!$K$2:$AC$2,0))</f>
        <v>1-9</v>
      </c>
      <c r="D132" s="308">
        <f t="array" ref="D132">INDEX('転倒'!$K$3:$L$115, MATCH($A$1,'転倒'!$A$3:$A$115,0), MATCH(D$107,'転倒'!$K$2:$AC$2,0))</f>
        <v>28</v>
      </c>
      <c r="E132" s="301"/>
      <c r="F132" s="301"/>
      <c r="G132" s="301"/>
      <c r="H132" s="228"/>
      <c r="I132" s="228"/>
      <c r="J132" s="228"/>
      <c r="K132" s="102"/>
      <c r="L132" s="118"/>
      <c r="M132" s="118"/>
      <c r="N132" s="102"/>
      <c r="O132" s="118"/>
      <c r="P132" s="118"/>
      <c r="Q132" s="118"/>
      <c r="R132" s="118"/>
      <c r="S132" s="118"/>
      <c r="T132" s="118"/>
      <c r="U132" s="118"/>
      <c r="V132" s="118"/>
    </row>
    <row r="133" outlineLevel="1">
      <c r="A133" s="146"/>
      <c r="B133" s="300" t="s">
        <v>249</v>
      </c>
      <c r="C133" s="309" t="str">
        <f t="array" ref="C133">INDEX('転倒'!$M$3:$P$115, MATCH($A$1,'転倒'!$A$3:$A$115,0), MATCH(C$107,'転倒'!$M$2:$AC$2,0))</f>
        <v>1-7</v>
      </c>
      <c r="D133" s="310">
        <f t="array" ref="D133">INDEX('転倒'!$M$3:$P$115, MATCH($A$1,'転倒'!$A$3:$A$115,0), MATCH(D$107,'転倒'!$M$2:$AC$2,0))</f>
        <v>49</v>
      </c>
      <c r="E133" s="307" t="str">
        <f t="array" ref="E133">INDEX('転倒'!$M$3:$P$115, MATCH($A$1,'転倒'!$A$3:$A$115,0), MATCH(E$107,'転倒'!$M$2:$AC$2,0))</f>
        <v>19-20</v>
      </c>
      <c r="F133" s="308">
        <f t="array" ref="F133">INDEX('転倒'!$M$3:$P$115, MATCH($A$1,'転倒'!$A$3:$A$115,0), MATCH(F$107,'転倒'!$M$2:$AC$2,0))</f>
        <v>5</v>
      </c>
      <c r="G133" s="113">
        <f t="shared" ref="G133:G134" si="5">F133*1.2</f>
        <v>6</v>
      </c>
      <c r="H133" s="228"/>
      <c r="I133" s="228"/>
      <c r="J133" s="228"/>
      <c r="K133" s="118"/>
      <c r="L133" s="118"/>
      <c r="M133" s="118"/>
      <c r="N133" s="102"/>
      <c r="O133" s="102"/>
      <c r="P133" s="102"/>
      <c r="Q133" s="102"/>
      <c r="R133" s="118"/>
      <c r="S133" s="118"/>
      <c r="T133" s="118"/>
      <c r="U133" s="118"/>
      <c r="V133" s="118"/>
    </row>
    <row r="134" outlineLevel="1">
      <c r="A134" s="156"/>
      <c r="B134" s="311" t="s">
        <v>250</v>
      </c>
      <c r="C134" s="156"/>
      <c r="D134" s="156"/>
      <c r="E134" s="307" t="str">
        <f t="array" ref="E134">INDEX('転倒'!$Q$3:$R$115, MATCH($A$1,'転倒'!$A$3:$A$115,0), MATCH(E$107,'転倒'!$Q$2:$AC$2,0))</f>
        <v>31-32</v>
      </c>
      <c r="F134" s="308">
        <f t="array" ref="F134">INDEX('転倒'!$Q$3:$R$115, MATCH($A$1,'転倒'!$A$3:$A$115,0), MATCH(F$107,'転倒'!$Q$2:$AC$2,0))</f>
        <v>5</v>
      </c>
      <c r="G134" s="113">
        <f t="shared" si="5"/>
        <v>6</v>
      </c>
      <c r="H134" s="228"/>
      <c r="I134" s="228"/>
      <c r="J134" s="228"/>
      <c r="K134" s="118"/>
      <c r="L134" s="118"/>
      <c r="M134" s="118"/>
      <c r="N134" s="102"/>
      <c r="O134" s="102"/>
      <c r="P134" s="102"/>
      <c r="Q134" s="102"/>
      <c r="R134" s="118"/>
      <c r="S134" s="118"/>
      <c r="T134" s="118"/>
      <c r="U134" s="118"/>
      <c r="V134" s="118"/>
    </row>
    <row r="135" outlineLevel="1">
      <c r="A135" s="319"/>
      <c r="B135" s="320"/>
      <c r="C135" s="321"/>
      <c r="D135" s="321"/>
      <c r="E135" s="322"/>
      <c r="F135" s="322"/>
      <c r="G135" s="114"/>
      <c r="H135" s="228"/>
      <c r="I135" s="228"/>
      <c r="J135" s="228"/>
      <c r="K135" s="118"/>
      <c r="L135" s="118"/>
      <c r="M135" s="118"/>
      <c r="N135" s="102"/>
      <c r="O135" s="102"/>
      <c r="P135" s="102"/>
      <c r="Q135" s="102"/>
      <c r="R135" s="118"/>
      <c r="S135" s="118"/>
      <c r="T135" s="118"/>
      <c r="U135" s="118"/>
      <c r="V135" s="118"/>
    </row>
    <row r="136" outlineLevel="1">
      <c r="A136" s="323" t="s">
        <v>255</v>
      </c>
      <c r="B136" s="109"/>
      <c r="C136" s="321"/>
      <c r="D136" s="321"/>
      <c r="E136" s="322"/>
      <c r="F136" s="322"/>
      <c r="G136" s="114"/>
      <c r="H136" s="228"/>
      <c r="I136" s="228"/>
      <c r="J136" s="228"/>
      <c r="K136" s="118"/>
      <c r="L136" s="118"/>
      <c r="M136" s="118"/>
      <c r="N136" s="102"/>
      <c r="O136" s="102"/>
      <c r="P136" s="102"/>
      <c r="Q136" s="102"/>
      <c r="R136" s="118"/>
      <c r="S136" s="118"/>
      <c r="T136" s="118"/>
      <c r="U136" s="118"/>
      <c r="V136" s="118"/>
    </row>
    <row r="137" outlineLevel="1">
      <c r="A137" s="324" t="s">
        <v>256</v>
      </c>
      <c r="B137" s="109"/>
      <c r="C137" s="325" t="s">
        <v>257</v>
      </c>
      <c r="D137" s="325" t="s">
        <v>49</v>
      </c>
      <c r="E137" s="322"/>
      <c r="F137" s="322"/>
      <c r="G137" s="114"/>
      <c r="H137" s="228"/>
      <c r="I137" s="228"/>
      <c r="J137" s="228"/>
      <c r="K137" s="118"/>
      <c r="L137" s="118"/>
      <c r="M137" s="118"/>
      <c r="N137" s="102"/>
      <c r="O137" s="102"/>
      <c r="P137" s="102"/>
      <c r="Q137" s="102"/>
      <c r="R137" s="118"/>
      <c r="S137" s="118"/>
      <c r="T137" s="118"/>
      <c r="U137" s="118"/>
      <c r="V137" s="118"/>
    </row>
    <row r="138" outlineLevel="1">
      <c r="A138" s="326" t="s">
        <v>258</v>
      </c>
      <c r="B138" s="327" t="s">
        <v>216</v>
      </c>
      <c r="C138" s="328" t="str">
        <f t="array" ref="C138">INDEX('アイテム'!$C$3:$D$114, MATCH($A$1,'アイテム'!$A$3:$A$114,0), MATCH(C137,'アイテム'!$C$2:$AQ$2,0))</f>
        <v>2</v>
      </c>
      <c r="D138" s="328">
        <f t="array" ref="D138">INDEX('アイテム'!$C$3:$D$114, MATCH($A$1,'アイテム'!$A$3:$A$114,0), MATCH(D137,'アイテム'!$C$2:$AQ$2,0))</f>
        <v>7</v>
      </c>
      <c r="E138" s="322"/>
      <c r="F138" s="322"/>
      <c r="G138" s="114"/>
      <c r="H138" s="228"/>
      <c r="I138" s="228"/>
      <c r="J138" s="228"/>
      <c r="K138" s="118"/>
      <c r="L138" s="118"/>
      <c r="M138" s="118"/>
      <c r="N138" s="102"/>
      <c r="O138" s="102"/>
      <c r="P138" s="102"/>
      <c r="Q138" s="102"/>
      <c r="R138" s="118"/>
      <c r="S138" s="118"/>
      <c r="T138" s="118"/>
      <c r="U138" s="118"/>
      <c r="V138" s="118"/>
    </row>
    <row r="139" outlineLevel="1">
      <c r="A139" s="156"/>
      <c r="B139" s="327" t="s">
        <v>219</v>
      </c>
      <c r="C139" s="328" t="str">
        <f t="array" ref="C139">INDEX('アイテム'!$E$3:$F$114, MATCH($A$1,'アイテム'!$A$3:$A$114,0), MATCH(C137,'アイテム'!$C$2:$AQ$2,0))</f>
        <v>2</v>
      </c>
      <c r="D139" s="328">
        <f t="array" ref="D139">INDEX('アイテム'!$E$3:$F$114, MATCH($A$1,'アイテム'!$A$3:$A$114,0), MATCH(D137,'アイテム'!$C$2:$AQ$2,0))</f>
        <v>19</v>
      </c>
      <c r="E139" s="322"/>
      <c r="F139" s="322"/>
      <c r="G139" s="114"/>
      <c r="H139" s="228"/>
      <c r="I139" s="228"/>
      <c r="J139" s="228"/>
      <c r="K139" s="118"/>
      <c r="L139" s="118"/>
      <c r="M139" s="118"/>
      <c r="N139" s="102"/>
      <c r="O139" s="102"/>
      <c r="P139" s="102"/>
      <c r="Q139" s="102"/>
      <c r="R139" s="118"/>
      <c r="S139" s="118"/>
      <c r="T139" s="118"/>
      <c r="U139" s="118"/>
      <c r="V139" s="118"/>
    </row>
    <row r="140" outlineLevel="1">
      <c r="A140" s="329" t="s">
        <v>259</v>
      </c>
      <c r="B140" s="327" t="s">
        <v>216</v>
      </c>
      <c r="C140" s="328">
        <f t="array" ref="C140">INDEX('アイテム'!$AA$3:$AB$114, MATCH($A$1,'アイテム'!$A$3:$A$114,0), MATCH(C137,'アイテム'!$C$2:$AQ$2,0))</f>
        <v>3</v>
      </c>
      <c r="D140" s="328" t="str">
        <f t="array" ref="D140">INDEX('アイテム'!$AA$3:$AB$114, MATCH($A$1,'アイテム'!$A$3:$A$114,0), MATCH(D137,'アイテム'!$C$2:$AQ$2,0))</f>
        <v>12</v>
      </c>
      <c r="E140" s="322"/>
      <c r="F140" s="322"/>
      <c r="G140" s="114"/>
      <c r="H140" s="228"/>
      <c r="I140" s="228"/>
      <c r="J140" s="228"/>
      <c r="K140" s="118"/>
      <c r="L140" s="118"/>
      <c r="M140" s="118"/>
      <c r="N140" s="102"/>
      <c r="O140" s="102"/>
      <c r="P140" s="102"/>
      <c r="Q140" s="102"/>
      <c r="R140" s="118"/>
      <c r="S140" s="118"/>
      <c r="T140" s="118"/>
      <c r="U140" s="118"/>
      <c r="V140" s="118"/>
    </row>
    <row r="141" outlineLevel="1">
      <c r="A141" s="324" t="s">
        <v>260</v>
      </c>
      <c r="B141" s="109"/>
      <c r="C141" s="325" t="s">
        <v>261</v>
      </c>
      <c r="D141" s="325" t="s">
        <v>49</v>
      </c>
      <c r="E141" s="322"/>
      <c r="F141" s="322"/>
      <c r="G141" s="114"/>
      <c r="H141" s="228"/>
      <c r="I141" s="228"/>
      <c r="J141" s="228"/>
      <c r="K141" s="118"/>
      <c r="L141" s="118"/>
      <c r="M141" s="118"/>
      <c r="N141" s="102"/>
      <c r="O141" s="102"/>
      <c r="P141" s="102"/>
      <c r="Q141" s="102"/>
      <c r="R141" s="118"/>
      <c r="S141" s="118"/>
      <c r="T141" s="118"/>
      <c r="U141" s="118"/>
      <c r="V141" s="118"/>
    </row>
    <row r="142" outlineLevel="1">
      <c r="A142" s="326" t="s">
        <v>262</v>
      </c>
      <c r="B142" s="327" t="s">
        <v>226</v>
      </c>
      <c r="C142" s="328" t="str">
        <f t="array" ref="C142">INDEX('アイテム'!$G$3:$H$114, MATCH($A$1,'アイテム'!$A$3:$A$114,0), MATCH(C137,'アイテム'!$C$2:$AQ$2,0))</f>
        <v>8</v>
      </c>
      <c r="D142" s="328">
        <f t="array" ref="D142">INDEX('アイテム'!$G$3:$H$114, MATCH($A$1,'アイテム'!$A$3:$A$114,0), MATCH(D137,'アイテム'!$C$2:$AQ$2,0))</f>
        <v>24</v>
      </c>
      <c r="E142" s="322"/>
      <c r="F142" s="322"/>
      <c r="G142" s="114"/>
      <c r="H142" s="228"/>
      <c r="I142" s="228"/>
      <c r="J142" s="228"/>
      <c r="K142" s="118"/>
      <c r="L142" s="118"/>
      <c r="M142" s="118"/>
      <c r="N142" s="102"/>
      <c r="O142" s="102"/>
      <c r="P142" s="102"/>
      <c r="Q142" s="102"/>
      <c r="R142" s="118"/>
      <c r="S142" s="118"/>
      <c r="T142" s="118"/>
      <c r="U142" s="118"/>
      <c r="V142" s="118"/>
    </row>
    <row r="143" outlineLevel="1">
      <c r="A143" s="146"/>
      <c r="B143" s="327" t="s">
        <v>229</v>
      </c>
      <c r="C143" s="328" t="str">
        <f t="array" ref="C143">INDEX('アイテム'!$I$3:$J$114, MATCH($A$1,'アイテム'!$A$3:$A$114,0), MATCH(C137,'アイテム'!$C$2:$AQ$2,0))</f>
        <v>11</v>
      </c>
      <c r="D143" s="328">
        <f t="array" ref="D143">INDEX('アイテム'!$I$3:$J$114, MATCH($A$1,'アイテム'!$A$3:$A$114,0), MATCH(D137,'アイテム'!$C$2:$AQ$2,0))</f>
        <v>24</v>
      </c>
      <c r="E143" s="322"/>
      <c r="F143" s="322"/>
      <c r="G143" s="114"/>
      <c r="H143" s="228"/>
      <c r="I143" s="228"/>
      <c r="J143" s="228"/>
      <c r="K143" s="118"/>
      <c r="L143" s="118"/>
      <c r="M143" s="118"/>
      <c r="N143" s="102"/>
      <c r="O143" s="102"/>
      <c r="P143" s="102"/>
      <c r="Q143" s="102"/>
      <c r="R143" s="118"/>
      <c r="S143" s="118"/>
      <c r="T143" s="118"/>
      <c r="U143" s="118"/>
      <c r="V143" s="118"/>
    </row>
    <row r="144" outlineLevel="1">
      <c r="A144" s="146"/>
      <c r="B144" s="327" t="s">
        <v>233</v>
      </c>
      <c r="C144" s="328" t="str">
        <f t="array" ref="C144">INDEX('アイテム'!$K$3:$L$114, MATCH($A$1,'アイテム'!$A$3:$A$114,0), MATCH(C137,'アイテム'!$C$2:$AQ$2,0))</f>
        <v>12</v>
      </c>
      <c r="D144" s="328">
        <f t="array" ref="D144">INDEX('アイテム'!$K$3:$L$114, MATCH($A$1,'アイテム'!$A$3:$A$114,0), MATCH(D137,'アイテム'!$C$2:$AQ$2,0))</f>
        <v>23</v>
      </c>
      <c r="E144" s="322"/>
      <c r="F144" s="322"/>
      <c r="G144" s="114"/>
      <c r="H144" s="228"/>
      <c r="I144" s="228"/>
      <c r="J144" s="228"/>
      <c r="K144" s="118"/>
      <c r="L144" s="118"/>
      <c r="M144" s="118"/>
      <c r="N144" s="102"/>
      <c r="O144" s="102"/>
      <c r="P144" s="102"/>
      <c r="Q144" s="102"/>
      <c r="R144" s="118"/>
      <c r="S144" s="118"/>
      <c r="T144" s="118"/>
      <c r="U144" s="118"/>
      <c r="V144" s="118"/>
    </row>
    <row r="145" outlineLevel="1">
      <c r="A145" s="146"/>
      <c r="B145" s="327" t="s">
        <v>234</v>
      </c>
      <c r="C145" s="328" t="str">
        <f t="array" ref="C145">INDEX('アイテム'!$M$3:$N$114, MATCH($A$1,'アイテム'!$A$3:$A$114,0), MATCH(C137,'アイテム'!$C$2:$AQ$2,0))</f>
        <v>7</v>
      </c>
      <c r="D145" s="328">
        <f t="array" ref="D145">INDEX('アイテム'!$M$3:$N$114, MATCH($A$1,'アイテム'!$A$3:$A$114,0), MATCH(D137,'アイテム'!$C$2:$AQ$2,0))</f>
        <v>19</v>
      </c>
      <c r="E145" s="322"/>
      <c r="F145" s="322"/>
      <c r="G145" s="114"/>
      <c r="H145" s="228"/>
      <c r="I145" s="228"/>
      <c r="J145" s="228"/>
      <c r="K145" s="118"/>
      <c r="L145" s="118"/>
      <c r="M145" s="118"/>
      <c r="N145" s="102"/>
      <c r="O145" s="102"/>
      <c r="P145" s="102"/>
      <c r="Q145" s="102"/>
      <c r="R145" s="118"/>
      <c r="S145" s="118"/>
      <c r="T145" s="118"/>
      <c r="U145" s="118"/>
      <c r="V145" s="118"/>
    </row>
    <row r="146" outlineLevel="1">
      <c r="A146" s="146"/>
      <c r="B146" s="327" t="s">
        <v>219</v>
      </c>
      <c r="C146" s="328" t="str">
        <f t="array" ref="C146">INDEX('アイテム'!$O$3:$P$114, MATCH($A$1,'アイテム'!$A$3:$A$114,0), MATCH(C137,'アイテム'!$C$2:$AQ$2,0))</f>
        <v>5</v>
      </c>
      <c r="D146" s="328">
        <f t="array" ref="D146">INDEX('アイテム'!$O$3:$P$114, MATCH($A$1,'アイテム'!$A$3:$A$114,0), MATCH(D137,'アイテム'!$C$2:$AQ$2,0))</f>
        <v>29</v>
      </c>
      <c r="E146" s="322"/>
      <c r="F146" s="322"/>
      <c r="G146" s="114"/>
      <c r="H146" s="228"/>
      <c r="I146" s="228"/>
      <c r="J146" s="228"/>
      <c r="K146" s="118"/>
      <c r="L146" s="118"/>
      <c r="M146" s="118"/>
      <c r="N146" s="102"/>
      <c r="O146" s="102"/>
      <c r="P146" s="102"/>
      <c r="Q146" s="102"/>
      <c r="R146" s="118"/>
      <c r="S146" s="118"/>
      <c r="T146" s="118"/>
      <c r="U146" s="118"/>
      <c r="V146" s="118"/>
    </row>
    <row r="147" outlineLevel="1">
      <c r="A147" s="156"/>
      <c r="B147" s="327" t="s">
        <v>263</v>
      </c>
      <c r="C147" s="328" t="str">
        <f t="array" ref="C147">INDEX('アイテム'!$Q$3:$R$114, MATCH($A$1,'アイテム'!$A$3:$A$114,0), MATCH(C137,'アイテム'!$C$2:$AQ$2,0))</f>
        <v>6</v>
      </c>
      <c r="D147" s="328">
        <f t="array" ref="D147">INDEX('アイテム'!$Q$3:$R$114, MATCH($A$1,'アイテム'!$A$3:$A$114,0), MATCH(D137,'アイテム'!$C$2:$AQ$2,0))</f>
        <v>23</v>
      </c>
      <c r="E147" s="322"/>
      <c r="F147" s="322"/>
      <c r="G147" s="114"/>
      <c r="H147" s="228"/>
      <c r="I147" s="228"/>
      <c r="J147" s="228"/>
      <c r="K147" s="118"/>
      <c r="L147" s="118"/>
      <c r="M147" s="118"/>
      <c r="N147" s="102"/>
      <c r="O147" s="102"/>
      <c r="P147" s="102"/>
      <c r="Q147" s="102"/>
      <c r="R147" s="118"/>
      <c r="S147" s="118"/>
      <c r="T147" s="118"/>
      <c r="U147" s="118"/>
      <c r="V147" s="118"/>
    </row>
    <row r="148" outlineLevel="1">
      <c r="A148" s="326" t="s">
        <v>264</v>
      </c>
      <c r="B148" s="327" t="s">
        <v>226</v>
      </c>
      <c r="C148" s="328" t="str">
        <f t="array" ref="C148">INDEX('アイテム'!$S$3:$T$114, MATCH($A$1,'アイテム'!$A$3:$A$114,0), MATCH(C137,'アイテム'!$C$2:$AQ$2,0))</f>
        <v>8</v>
      </c>
      <c r="D148" s="328">
        <f t="array" ref="D148">INDEX('アイテム'!$S$3:$T$114, MATCH($A$1,'アイテム'!$A$3:$A$114,0), MATCH(D137,'アイテム'!$C$2:$AQ$2,0))</f>
        <v>24</v>
      </c>
      <c r="E148" s="322"/>
      <c r="F148" s="322"/>
      <c r="G148" s="114"/>
      <c r="H148" s="228"/>
      <c r="I148" s="228"/>
      <c r="J148" s="228"/>
      <c r="K148" s="118"/>
      <c r="L148" s="118"/>
      <c r="M148" s="118"/>
      <c r="N148" s="102"/>
      <c r="O148" s="102"/>
      <c r="P148" s="102"/>
      <c r="Q148" s="102"/>
      <c r="R148" s="118"/>
      <c r="S148" s="118"/>
      <c r="T148" s="118"/>
      <c r="U148" s="118"/>
      <c r="V148" s="118"/>
    </row>
    <row r="149" outlineLevel="1">
      <c r="A149" s="146"/>
      <c r="B149" s="327" t="s">
        <v>229</v>
      </c>
      <c r="C149" s="328" t="str">
        <f t="array" ref="C149">INDEX('アイテム'!$U$3:$V$114, MATCH($A$1,'アイテム'!$A$3:$A$114,0), MATCH(C137,'アイテム'!$C$2:$AQ$2,0))</f>
        <v>11</v>
      </c>
      <c r="D149" s="328">
        <f t="array" ref="D149">INDEX('アイテム'!$U$3:$V$114, MATCH($A$1,'アイテム'!$A$3:$A$114,0), MATCH(D137,'アイテム'!$C$2:$AQ$2,0))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233</v>
      </c>
      <c r="C150" s="328" t="str">
        <f t="array" ref="C150">INDEX('アイテム'!$W$3:$X$114, MATCH($A$1,'アイテム'!$A$3:$A$114,0), MATCH(C137,'アイテム'!$C$2:$AQ$2,0))</f>
        <v>12</v>
      </c>
      <c r="D150" s="328">
        <f t="array" ref="D150">INDEX('アイテム'!$W$3:$X$114, MATCH($A$1,'アイテム'!$A$3:$A$114,0), MATCH(D137,'アイテム'!$C$2:$AQ$2,0))</f>
        <v>23</v>
      </c>
      <c r="E150" s="322"/>
      <c r="F150" s="322"/>
      <c r="G150" s="114"/>
      <c r="H150" s="228"/>
      <c r="I150" s="228"/>
      <c r="J150" s="228"/>
      <c r="K150" s="118"/>
      <c r="L150" s="118"/>
      <c r="M150" s="118"/>
      <c r="N150" s="102"/>
      <c r="O150" s="102"/>
      <c r="P150" s="102"/>
      <c r="Q150" s="102"/>
      <c r="R150" s="118"/>
      <c r="S150" s="118"/>
      <c r="T150" s="118"/>
      <c r="U150" s="118"/>
      <c r="V150" s="118"/>
    </row>
    <row r="151" outlineLevel="1">
      <c r="A151" s="156"/>
      <c r="B151" s="327" t="s">
        <v>234</v>
      </c>
      <c r="C151" s="328" t="str">
        <f t="array" ref="C151">INDEX('アイテム'!$Y$3:$Z$114, MATCH($A$1,'アイテム'!$A$3:$A$114,0), MATCH(C137,'アイテム'!$C$2:$AQ$2,0))</f>
        <v>7</v>
      </c>
      <c r="D151" s="328">
        <f t="array" ref="D151">INDEX('アイテム'!$Y$3:$Z$114, MATCH($A$1,'アイテム'!$A$3:$A$114,0), MATCH(D137,'アイテム'!$C$2:$AQ$2,0))</f>
        <v>19</v>
      </c>
      <c r="E151" s="322"/>
      <c r="F151" s="322"/>
      <c r="G151" s="114"/>
      <c r="H151" s="228"/>
      <c r="I151" s="228"/>
      <c r="J151" s="228"/>
      <c r="K151" s="118"/>
      <c r="L151" s="118"/>
      <c r="M151" s="118"/>
      <c r="N151" s="102"/>
      <c r="O151" s="102"/>
      <c r="P151" s="102"/>
      <c r="Q151" s="102"/>
      <c r="R151" s="118"/>
      <c r="S151" s="118"/>
      <c r="T151" s="118"/>
      <c r="U151" s="118"/>
      <c r="V151" s="118"/>
    </row>
    <row r="152" outlineLevel="1">
      <c r="A152" s="326" t="s">
        <v>265</v>
      </c>
      <c r="B152" s="327" t="s">
        <v>226</v>
      </c>
      <c r="C152" s="328">
        <f t="array" ref="C152">INDEX('アイテム'!$AC$3:$AD$114, MATCH($A$1,'アイテム'!$A$3:$A$114,0), MATCH(C137,'アイテム'!$C$2:$AQ$2,0))</f>
        <v>14</v>
      </c>
      <c r="D152" s="328" t="str">
        <f t="array" ref="D152">INDEX('アイテム'!$AC$3:$AD$114, MATCH($A$1,'アイテム'!$A$3:$A$114,0), MATCH(D137,'アイテム'!$C$2:$AQ$2,0))</f>
        <v>30</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229</v>
      </c>
      <c r="C153" s="328">
        <f t="array" ref="C153">INDEX('アイテム'!$AE$3:$AF$114, MATCH($A$1,'アイテム'!$A$3:$A$114,0), MATCH(C137,'アイテム'!$C$2:$AQ$2,0))</f>
        <v>15</v>
      </c>
      <c r="D153" s="328" t="str">
        <f t="array" ref="D153">INDEX('アイテム'!$AE$3:$AF$114, MATCH($A$1,'アイテム'!$A$3:$A$114,0), MATCH(D137,'アイテム'!$C$2:$AQ$2,0))</f>
        <v>30</v>
      </c>
      <c r="E153" s="322"/>
      <c r="F153" s="322"/>
      <c r="G153" s="114"/>
      <c r="H153" s="228"/>
      <c r="I153" s="228"/>
      <c r="J153" s="228"/>
      <c r="K153" s="118"/>
      <c r="L153" s="118"/>
      <c r="M153" s="118"/>
      <c r="N153" s="102"/>
      <c r="O153" s="102"/>
      <c r="P153" s="102"/>
      <c r="Q153" s="102"/>
      <c r="R153" s="118"/>
      <c r="S153" s="118"/>
      <c r="T153" s="118"/>
      <c r="U153" s="118"/>
      <c r="V153" s="118"/>
    </row>
    <row r="154" outlineLevel="1">
      <c r="A154" s="146"/>
      <c r="B154" s="327" t="s">
        <v>233</v>
      </c>
      <c r="C154" s="328">
        <f t="array" ref="C154">INDEX('アイテム'!$AG$3:$AH$114, MATCH($A$1,'アイテム'!$A$3:$A$114,0), MATCH(C137,'アイテム'!$C$2:$AQ$2,0))</f>
        <v>11</v>
      </c>
      <c r="D154" s="328" t="str">
        <f t="array" ref="D154">INDEX('アイテム'!$AG$3:$AH$114, MATCH($A$1,'アイテム'!$A$3:$A$114,0), MATCH(D137,'アイテム'!$C$2:$AQ$2,0))</f>
        <v>22</v>
      </c>
      <c r="E154" s="322"/>
      <c r="F154" s="322"/>
      <c r="G154" s="114"/>
      <c r="H154" s="228"/>
      <c r="I154" s="228"/>
      <c r="J154" s="228"/>
      <c r="K154" s="118"/>
      <c r="L154" s="118"/>
      <c r="M154" s="118"/>
      <c r="N154" s="102"/>
      <c r="O154" s="102"/>
      <c r="P154" s="102"/>
      <c r="Q154" s="102"/>
      <c r="R154" s="118"/>
      <c r="S154" s="118"/>
      <c r="T154" s="118"/>
      <c r="U154" s="118"/>
      <c r="V154" s="118"/>
    </row>
    <row r="155" outlineLevel="1">
      <c r="A155" s="156"/>
      <c r="B155" s="327" t="s">
        <v>234</v>
      </c>
      <c r="C155" s="328">
        <f t="array" ref="C155">INDEX('アイテム'!$AI$3:$AJ$114, MATCH($A$1,'アイテム'!$A$3:$A$114,0), MATCH(C137,'アイテム'!$C$2:$AQ$2,0))</f>
        <v>9</v>
      </c>
      <c r="D155" s="328" t="str">
        <f t="array" ref="D155">INDEX('アイテム'!$AI$3:$AJ$114, MATCH($A$1,'アイテム'!$A$3:$A$114,0), MATCH(D137,'アイテム'!$C$2:$AQ$2,0))</f>
        <v>22</v>
      </c>
      <c r="E155" s="322"/>
      <c r="F155" s="322"/>
      <c r="G155" s="114"/>
      <c r="H155" s="228"/>
      <c r="I155" s="228"/>
      <c r="J155" s="228"/>
      <c r="K155" s="118"/>
      <c r="L155" s="118"/>
      <c r="M155" s="118"/>
      <c r="N155" s="102"/>
      <c r="O155" s="102"/>
      <c r="P155" s="102"/>
      <c r="Q155" s="102"/>
      <c r="R155" s="118"/>
      <c r="S155" s="118"/>
      <c r="T155" s="118"/>
      <c r="U155" s="118"/>
      <c r="V155" s="118"/>
    </row>
  </sheetData>
  <mergeCells count="131">
    <mergeCell ref="H40:J41"/>
    <mergeCell ref="I45:I48"/>
    <mergeCell ref="J45:J48"/>
    <mergeCell ref="H33:J33"/>
    <mergeCell ref="H34:J34"/>
    <mergeCell ref="H35:J35"/>
    <mergeCell ref="H36:J36"/>
    <mergeCell ref="H37:J39"/>
    <mergeCell ref="U37:U39"/>
    <mergeCell ref="U40:U41"/>
    <mergeCell ref="U58:U69"/>
    <mergeCell ref="U71:U73"/>
    <mergeCell ref="V71:V73"/>
    <mergeCell ref="U75:U78"/>
    <mergeCell ref="V75:V78"/>
    <mergeCell ref="R44:V44"/>
    <mergeCell ref="R45:V48"/>
    <mergeCell ref="R49:V49"/>
    <mergeCell ref="R50:V51"/>
    <mergeCell ref="R52:V52"/>
    <mergeCell ref="R53:V54"/>
    <mergeCell ref="V58:V69"/>
    <mergeCell ref="H58:J69"/>
    <mergeCell ref="H70:J70"/>
    <mergeCell ref="H71:J73"/>
    <mergeCell ref="H74:J74"/>
    <mergeCell ref="H75:J75"/>
    <mergeCell ref="H76:J77"/>
    <mergeCell ref="H78:J78"/>
    <mergeCell ref="H79:J79"/>
    <mergeCell ref="H80:J80"/>
    <mergeCell ref="G88:J88"/>
    <mergeCell ref="G89:J90"/>
    <mergeCell ref="G91:J92"/>
    <mergeCell ref="G93:J94"/>
    <mergeCell ref="G95:J96"/>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A50:A51"/>
    <mergeCell ref="D50:D51"/>
    <mergeCell ref="I50:I51"/>
    <mergeCell ref="J50:J51"/>
    <mergeCell ref="A53:A54"/>
    <mergeCell ref="D53:D54"/>
    <mergeCell ref="I53:I54"/>
    <mergeCell ref="J53:J54"/>
    <mergeCell ref="H57:J57"/>
    <mergeCell ref="H26:J26"/>
    <mergeCell ref="H27:J27"/>
    <mergeCell ref="H28:J28"/>
    <mergeCell ref="H29:J29"/>
    <mergeCell ref="H30:J30"/>
    <mergeCell ref="H31:J31"/>
    <mergeCell ref="H32:J32"/>
    <mergeCell ref="K123:K126"/>
    <mergeCell ref="K127:L127"/>
    <mergeCell ref="K107:L107"/>
    <mergeCell ref="K108:K109"/>
    <mergeCell ref="K110:L110"/>
    <mergeCell ref="K111:K116"/>
    <mergeCell ref="A113:A115"/>
    <mergeCell ref="K117:K120"/>
    <mergeCell ref="K121:L121"/>
    <mergeCell ref="A95:A96"/>
    <mergeCell ref="A98:B99"/>
    <mergeCell ref="A100:A102"/>
    <mergeCell ref="A103:A104"/>
    <mergeCell ref="A106:B107"/>
    <mergeCell ref="A108:A112"/>
    <mergeCell ref="C120:C121"/>
    <mergeCell ref="A116:A121"/>
    <mergeCell ref="A122:A127"/>
    <mergeCell ref="A128:A134"/>
    <mergeCell ref="A136:B136"/>
    <mergeCell ref="A137:B137"/>
    <mergeCell ref="A138:A139"/>
    <mergeCell ref="A141:B141"/>
    <mergeCell ref="A24:B25"/>
    <mergeCell ref="A26:A31"/>
    <mergeCell ref="A37:A39"/>
    <mergeCell ref="D37:D39"/>
    <mergeCell ref="A40:A41"/>
    <mergeCell ref="A43:B44"/>
    <mergeCell ref="A45:A48"/>
    <mergeCell ref="A56:B56"/>
    <mergeCell ref="A57:B57"/>
    <mergeCell ref="A58:A69"/>
    <mergeCell ref="A70:B70"/>
    <mergeCell ref="A71:A73"/>
    <mergeCell ref="A74:B74"/>
    <mergeCell ref="A76:A77"/>
    <mergeCell ref="D91:D92"/>
    <mergeCell ref="D93:D94"/>
    <mergeCell ref="D95:D96"/>
    <mergeCell ref="D120:D121"/>
    <mergeCell ref="D126:D127"/>
    <mergeCell ref="D133:D134"/>
    <mergeCell ref="D40:D41"/>
    <mergeCell ref="D45:D48"/>
    <mergeCell ref="D59:D63"/>
    <mergeCell ref="D64:D69"/>
    <mergeCell ref="D71:D73"/>
    <mergeCell ref="D75:D78"/>
    <mergeCell ref="D89:D90"/>
    <mergeCell ref="A79:B79"/>
    <mergeCell ref="A82:B83"/>
    <mergeCell ref="A85:A87"/>
    <mergeCell ref="A88:B88"/>
    <mergeCell ref="A89:A90"/>
    <mergeCell ref="A91:A92"/>
    <mergeCell ref="A93:A94"/>
    <mergeCell ref="C126:C127"/>
    <mergeCell ref="C133:C134"/>
    <mergeCell ref="A142:A147"/>
    <mergeCell ref="A148:A151"/>
    <mergeCell ref="A152:A155"/>
  </mergeCells>
  <conditionalFormatting sqref="K1:K131 L88:L96">
    <cfRule type="containsText" dxfId="0" priority="1" operator="containsText" text="361">
      <formula>NOT(ISERROR(SEARCH(("361"),(K1))))</formula>
    </cfRule>
  </conditionalFormatting>
  <conditionalFormatting sqref="O89:Q96">
    <cfRule type="cellIs" dxfId="2" priority="2" operator="equal">
      <formula>"敵のみ"</formula>
    </cfRule>
  </conditionalFormatting>
  <conditionalFormatting sqref="C89:D96">
    <cfRule type="cellIs" dxfId="3" priority="3" operator="equal">
      <formula>"-"</formula>
    </cfRule>
  </conditionalFormatting>
  <conditionalFormatting sqref="O1:O155 N88:N96 P88:P96 Q96 L130:L131">
    <cfRule type="cellIs" dxfId="4" priority="4" operator="greaterThan">
      <formula>0</formula>
    </cfRule>
  </conditionalFormatting>
  <conditionalFormatting sqref="P1:Q155 O88:O96 M130:M131">
    <cfRule type="cellIs" dxfId="5" priority="5" operator="lessThan">
      <formula>1</formula>
    </cfRule>
  </conditionalFormatting>
  <conditionalFormatting sqref="P1:Q155 O88:O96 M130:M131">
    <cfRule type="cellIs" dxfId="4" priority="6" operator="greaterThan">
      <formula>1</formula>
    </cfRule>
  </conditionalFormatting>
  <conditionalFormatting sqref="N25:N107 M88:M96 O88:O96">
    <cfRule type="cellIs" dxfId="6" priority="7" operator="greaterThan">
      <formula>0</formula>
    </cfRule>
  </conditionalFormatting>
  <conditionalFormatting sqref="K1:K155 L88:L96">
    <cfRule type="containsText" dxfId="6" priority="8" operator="containsText" text="363">
      <formula>NOT(ISERROR(SEARCH(("363"),(K1))))</formula>
    </cfRule>
  </conditionalFormatting>
  <conditionalFormatting sqref="K1:K155 L88:L96">
    <cfRule type="containsText" dxfId="6" priority="9" operator="containsText" text="365">
      <formula>NOT(ISERROR(SEARCH(("365"),(K1))))</formula>
    </cfRule>
  </conditionalFormatting>
  <conditionalFormatting sqref="K1:K155 L88:L96">
    <cfRule type="containsText" dxfId="6" priority="10" operator="containsText" text="366">
      <formula>NOT(ISERROR(SEARCH(("366"),(K1))))</formula>
    </cfRule>
  </conditionalFormatting>
  <conditionalFormatting sqref="K1:K155 L88:L96">
    <cfRule type="containsText" dxfId="6" priority="11" operator="containsText" text="367">
      <formula>NOT(ISERROR(SEARCH(("367"),(K1))))</formula>
    </cfRule>
  </conditionalFormatting>
  <conditionalFormatting sqref="N1:N15 N17:N155 M88:M96 O88:O96 K130:K131">
    <cfRule type="containsText" dxfId="6" priority="12" operator="containsText" text="/">
      <formula>NOT(ISERROR(SEARCH(("/"),(N1))))</formula>
    </cfRule>
  </conditionalFormatting>
  <drawing r:id="rId2"/>
  <legacyDrawing r:id="rId3"/>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2118"/>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536">
        <v>81.0</v>
      </c>
      <c r="B1" s="3537"/>
      <c r="C1" s="3538" t="str">
        <f>IMAGE(VLOOKUP($A$1,Fighters!A2:AI114,12,FALSE),1)</f>
        <v>#REF!</v>
      </c>
      <c r="D1" s="3539"/>
      <c r="E1" s="3539"/>
      <c r="F1" s="3539"/>
      <c r="G1" s="3540"/>
      <c r="H1" s="3541"/>
      <c r="I1" s="3539"/>
      <c r="J1" s="3540"/>
      <c r="K1" s="3542"/>
      <c r="L1" s="3539"/>
      <c r="M1" s="3540"/>
      <c r="N1" s="3543"/>
      <c r="O1" s="3543"/>
      <c r="P1" s="3543"/>
      <c r="Q1" s="3543"/>
      <c r="R1" s="3544"/>
      <c r="S1" s="3544"/>
      <c r="T1" s="3544"/>
      <c r="U1" s="3544"/>
      <c r="V1" s="3544"/>
    </row>
    <row r="2">
      <c r="A2" s="3545" t="str">
        <f>VLOOKUP($A$1,Fighters!$A$2:$AI$101,6,FALSE)</f>
        <v>#992118</v>
      </c>
      <c r="B2" s="3537"/>
      <c r="C2" s="3546"/>
      <c r="G2" s="3547"/>
      <c r="H2" s="3548"/>
      <c r="I2" s="3549"/>
      <c r="J2" s="3550"/>
      <c r="K2" s="3548"/>
      <c r="L2" s="3549"/>
      <c r="M2" s="3550"/>
      <c r="N2" s="3543"/>
      <c r="O2" s="3543"/>
      <c r="P2" s="3543"/>
      <c r="Q2" s="3543"/>
      <c r="R2" s="3544"/>
      <c r="S2" s="3544"/>
      <c r="T2" s="3544"/>
      <c r="U2" s="3544"/>
      <c r="V2" s="3544"/>
    </row>
    <row r="3">
      <c r="A3" s="3545" t="str">
        <f>VLOOKUP($A$1,Fighters!$A$2:$AI$101,14,FALSE)</f>
        <v>81. カズヤ</v>
      </c>
      <c r="B3" s="3537"/>
      <c r="C3" s="3546"/>
      <c r="G3" s="3547"/>
      <c r="H3" s="3551"/>
      <c r="I3" s="3551"/>
      <c r="J3" s="3551"/>
      <c r="K3" s="3552"/>
      <c r="L3" s="3552"/>
      <c r="M3" s="3552"/>
      <c r="N3" s="3543"/>
      <c r="O3" s="3543"/>
      <c r="P3" s="3543"/>
      <c r="Q3" s="3543"/>
      <c r="R3" s="3553"/>
      <c r="S3" s="3544"/>
      <c r="T3" s="3544"/>
      <c r="U3" s="3544"/>
      <c r="V3" s="3544"/>
    </row>
    <row r="4">
      <c r="A4" s="3545" t="str">
        <f>VLOOKUP($A$1,Fighters!$A$2:$AI$101,13,FALSE)</f>
        <v>1</v>
      </c>
      <c r="B4" s="3537"/>
      <c r="C4" s="3546"/>
      <c r="G4" s="3547"/>
      <c r="H4" s="3554"/>
      <c r="I4" s="3554"/>
      <c r="J4" s="3551"/>
      <c r="K4" s="3552"/>
      <c r="L4" s="3552"/>
      <c r="M4" s="3552"/>
      <c r="N4" s="3543"/>
      <c r="O4" s="3543"/>
      <c r="P4" s="3543"/>
      <c r="Q4" s="3543"/>
      <c r="R4" s="3553"/>
      <c r="S4" s="3544"/>
      <c r="T4" s="3544"/>
      <c r="U4" s="3544"/>
      <c r="V4" s="3544"/>
    </row>
    <row r="5" ht="16.5" customHeight="1">
      <c r="A5" s="3555"/>
      <c r="B5" s="3537"/>
      <c r="C5" s="3546"/>
      <c r="G5" s="3547"/>
      <c r="H5" s="3556"/>
      <c r="I5" s="3556"/>
      <c r="J5" s="3557"/>
      <c r="K5" s="3558"/>
      <c r="L5" s="3559"/>
      <c r="M5" s="3559"/>
      <c r="N5" s="3543"/>
      <c r="O5" s="3543"/>
      <c r="P5" s="3543"/>
      <c r="Q5" s="3543"/>
      <c r="R5" s="3553"/>
      <c r="S5" s="3544"/>
      <c r="T5" s="3544"/>
      <c r="U5" s="3544"/>
      <c r="V5" s="3544"/>
    </row>
    <row r="6">
      <c r="A6" s="3537"/>
      <c r="B6" s="3537"/>
      <c r="C6" s="3546"/>
      <c r="G6" s="3547"/>
      <c r="H6" s="3554"/>
      <c r="I6" s="3560" t="s">
        <v>39</v>
      </c>
      <c r="J6" s="3558"/>
      <c r="K6" s="3561"/>
      <c r="L6" s="3559"/>
      <c r="M6" s="3559"/>
      <c r="N6" s="3543"/>
      <c r="O6" s="3543"/>
      <c r="P6" s="3543"/>
      <c r="Q6" s="3543"/>
      <c r="R6" s="3553"/>
      <c r="S6" s="3544"/>
      <c r="T6" s="3544"/>
      <c r="U6" s="3544"/>
      <c r="V6" s="3544"/>
    </row>
    <row r="7">
      <c r="A7" s="3537"/>
      <c r="B7" s="3537"/>
      <c r="C7" s="3546"/>
      <c r="G7" s="3547"/>
      <c r="H7" s="3556"/>
      <c r="I7" s="3556"/>
      <c r="J7" s="3558"/>
      <c r="K7" s="3561"/>
      <c r="L7" s="3559"/>
      <c r="M7" s="3559"/>
      <c r="N7" s="3543"/>
      <c r="O7" s="3543"/>
      <c r="P7" s="3543"/>
      <c r="Q7" s="3543"/>
      <c r="R7" s="3553"/>
      <c r="S7" s="3544"/>
      <c r="T7" s="3544"/>
      <c r="U7" s="3544"/>
      <c r="V7" s="3544"/>
    </row>
    <row r="8">
      <c r="A8" s="3537"/>
      <c r="B8" s="3537"/>
      <c r="C8" s="3546"/>
      <c r="G8" s="3547"/>
      <c r="H8" s="3562">
        <v>45559.60256049769</v>
      </c>
      <c r="I8" s="3539"/>
      <c r="J8" s="3540"/>
      <c r="K8" s="3558"/>
      <c r="L8" s="3559"/>
      <c r="M8" s="3559"/>
      <c r="N8" s="3543"/>
      <c r="O8" s="3543"/>
      <c r="P8" s="3543"/>
      <c r="Q8" s="3543"/>
      <c r="R8" s="3553"/>
      <c r="S8" s="3544"/>
      <c r="T8" s="3544"/>
      <c r="U8" s="3544"/>
      <c r="V8" s="3544"/>
    </row>
    <row r="9">
      <c r="A9" s="3537"/>
      <c r="B9" s="3537"/>
      <c r="C9" s="3546"/>
      <c r="G9" s="3547"/>
      <c r="H9" s="3548"/>
      <c r="I9" s="3549"/>
      <c r="J9" s="3550"/>
      <c r="K9" s="3544"/>
      <c r="L9" s="3543"/>
      <c r="M9" s="3543"/>
      <c r="N9" s="3543"/>
      <c r="O9" s="3543"/>
      <c r="P9" s="3543"/>
      <c r="Q9" s="3543"/>
      <c r="R9" s="3553"/>
      <c r="S9" s="3544"/>
      <c r="T9" s="3544"/>
      <c r="U9" s="3544"/>
      <c r="V9" s="3544"/>
    </row>
    <row r="10">
      <c r="A10" s="3563"/>
      <c r="B10" s="3537"/>
      <c r="C10" s="3546"/>
      <c r="G10" s="3547"/>
      <c r="H10" s="3564"/>
      <c r="I10" s="3564"/>
      <c r="J10" s="3544"/>
      <c r="K10" s="3544"/>
      <c r="L10" s="3543"/>
      <c r="M10" s="3543"/>
      <c r="N10" s="3543"/>
      <c r="O10" s="3543"/>
      <c r="P10" s="3543"/>
      <c r="Q10" s="3543"/>
      <c r="R10" s="3553"/>
      <c r="S10" s="3544"/>
      <c r="T10" s="3544"/>
      <c r="U10" s="3544"/>
      <c r="V10" s="3544"/>
    </row>
    <row r="11">
      <c r="A11" s="3565"/>
      <c r="B11" s="3537"/>
      <c r="C11" s="3546"/>
      <c r="G11" s="3547"/>
      <c r="H11" s="3556"/>
      <c r="I11" s="3556"/>
      <c r="J11" s="3544"/>
      <c r="K11" s="3544"/>
      <c r="L11" s="3543"/>
      <c r="M11" s="3543"/>
      <c r="N11" s="3543"/>
      <c r="O11" s="3543"/>
      <c r="P11" s="3543"/>
      <c r="Q11" s="3543"/>
      <c r="R11" s="3553"/>
      <c r="S11" s="3544"/>
      <c r="T11" s="3544"/>
      <c r="U11" s="3544"/>
      <c r="V11" s="3544"/>
    </row>
    <row r="12">
      <c r="A12" s="3556"/>
      <c r="B12" s="3537"/>
      <c r="C12" s="3548"/>
      <c r="D12" s="3549"/>
      <c r="E12" s="3549"/>
      <c r="F12" s="3549"/>
      <c r="G12" s="3550"/>
      <c r="H12" s="3566"/>
      <c r="I12" s="3566"/>
      <c r="J12" s="3537"/>
      <c r="K12" s="3537"/>
      <c r="L12" s="3543"/>
      <c r="M12" s="3543"/>
      <c r="N12" s="3543"/>
      <c r="O12" s="3543"/>
      <c r="P12" s="3543"/>
      <c r="Q12" s="3543"/>
      <c r="R12" s="3553"/>
      <c r="S12" s="3544"/>
      <c r="T12" s="3544"/>
      <c r="U12" s="3544"/>
      <c r="V12" s="3544"/>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INDEX('行動フレーム・能力値'!$C$2:$AD$101, MATCH($A$1,'行動フレーム・能力値'!$A$2:$A$101,0),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7F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113 [8th]</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29F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1.58 [87th]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INDEX('行動フレーム・能力値'!$C$2:$AD$101, MATCH($A$1,'行動フレーム・能力値'!$A$2:$A$101,0), MATCH(A18,'行動フレーム・能力値'!$C$1:$AD$1,0))</f>
        <v>0</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0.66 [88th]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34F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 [41st]</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18 [88th]</v>
      </c>
      <c r="O18" s="99"/>
      <c r="P18" s="99"/>
      <c r="Q18" s="99"/>
      <c r="R18" s="99"/>
      <c r="S18" s="111"/>
      <c r="T18" s="111"/>
      <c r="U18" s="111"/>
      <c r="V18" s="111"/>
    </row>
    <row r="19" outlineLevel="1">
      <c r="A19" s="112" t="s">
        <v>5288</v>
      </c>
      <c r="B19" s="113" t="b">
        <f t="array" ref="B19">INDEX('行動フレーム・能力値'!$C$2:$AD$101, MATCH($A$1,'行動フレーム・能力値'!$A$2:$A$101,0),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1.55 [68th]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21F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0.115 [29th]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12 [85th]</v>
      </c>
      <c r="O19" s="99"/>
      <c r="P19" s="99"/>
      <c r="Q19" s="99"/>
      <c r="R19" s="99"/>
      <c r="S19" s="111"/>
      <c r="T19" s="111"/>
      <c r="U19" s="111"/>
      <c r="V19" s="111"/>
    </row>
    <row r="20" outlineLevel="1">
      <c r="A20" s="112" t="s">
        <v>5292</v>
      </c>
      <c r="B20" s="113" t="b">
        <f t="array" ref="B20">INDEX('行動フレーム・能力値'!$C$2:$AD$101,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0.89 [79th]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24F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0.04 [82nd]</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49 [4th]</v>
      </c>
      <c r="O20" s="99"/>
      <c r="P20" s="99"/>
      <c r="Q20" s="99"/>
      <c r="R20" s="99"/>
      <c r="S20" s="100"/>
      <c r="T20" s="100"/>
      <c r="U20" s="100"/>
      <c r="V20" s="100"/>
    </row>
    <row r="21" outlineLevel="1">
      <c r="A21" s="112" t="s">
        <v>587</v>
      </c>
      <c r="B21" s="113" t="b">
        <f t="array" ref="B21">INDEX('行動フレーム・能力値'!$C$2:$AD$101, MATCH($A$1,'行動フレーム・能力値'!$A$2:$A$101,0),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1.7 [27th]</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 [40th]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2.72 [28th]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0.108 [27th]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3567"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6295</v>
      </c>
      <c r="B26" s="134" t="s">
        <v>55</v>
      </c>
      <c r="C26" s="701" t="s">
        <v>217</v>
      </c>
      <c r="D26" s="701" t="s">
        <v>1114</v>
      </c>
      <c r="E26" s="139" t="s">
        <v>204</v>
      </c>
      <c r="F26" s="139">
        <v>3.5999999999999996</v>
      </c>
      <c r="G26" s="162" t="s">
        <v>75</v>
      </c>
      <c r="H26" s="151" t="s">
        <v>6296</v>
      </c>
      <c r="I26" s="110"/>
      <c r="J26" s="109"/>
      <c r="K26" s="282"/>
      <c r="L26" s="282"/>
      <c r="M26" s="363"/>
      <c r="N26" s="363"/>
      <c r="O26" s="145">
        <v>0.0</v>
      </c>
      <c r="P26" s="145">
        <v>1.0</v>
      </c>
      <c r="Q26" s="145">
        <v>1.0</v>
      </c>
      <c r="R26" s="100"/>
      <c r="S26" s="100"/>
      <c r="T26" s="100"/>
      <c r="U26" s="1584"/>
      <c r="V26" s="100"/>
    </row>
    <row r="27" outlineLevel="1">
      <c r="A27" s="146"/>
      <c r="B27" s="134" t="s">
        <v>63</v>
      </c>
      <c r="C27" s="467" t="s">
        <v>319</v>
      </c>
      <c r="D27" s="467" t="s">
        <v>876</v>
      </c>
      <c r="E27" s="139" t="s">
        <v>204</v>
      </c>
      <c r="F27" s="139">
        <v>3.5999999999999996</v>
      </c>
      <c r="G27" s="139" t="s">
        <v>147</v>
      </c>
      <c r="H27" s="151" t="s">
        <v>6297</v>
      </c>
      <c r="I27" s="110"/>
      <c r="J27" s="109"/>
      <c r="K27" s="282"/>
      <c r="L27" s="282"/>
      <c r="M27" s="363"/>
      <c r="N27" s="363"/>
      <c r="O27" s="145">
        <v>0.0</v>
      </c>
      <c r="P27" s="145">
        <v>1.0</v>
      </c>
      <c r="Q27" s="145">
        <v>1.0</v>
      </c>
      <c r="R27" s="100"/>
      <c r="S27" s="100"/>
      <c r="T27" s="100"/>
      <c r="U27" s="1584"/>
      <c r="V27" s="100"/>
    </row>
    <row r="28" outlineLevel="1">
      <c r="A28" s="146"/>
      <c r="B28" s="134" t="s">
        <v>6298</v>
      </c>
      <c r="C28" s="467" t="s">
        <v>6228</v>
      </c>
      <c r="D28" s="455" t="s">
        <v>224</v>
      </c>
      <c r="E28" s="139" t="s">
        <v>209</v>
      </c>
      <c r="F28" s="139" t="s">
        <v>209</v>
      </c>
      <c r="G28" s="541"/>
      <c r="H28" s="163"/>
      <c r="I28" s="164"/>
      <c r="J28" s="104"/>
      <c r="K28" s="282"/>
      <c r="L28" s="282"/>
      <c r="M28" s="363"/>
      <c r="N28" s="363"/>
      <c r="O28" s="145"/>
      <c r="P28" s="145"/>
      <c r="Q28" s="145"/>
      <c r="R28" s="100"/>
      <c r="S28" s="100"/>
      <c r="T28" s="100"/>
      <c r="U28" s="3301"/>
      <c r="V28" s="100"/>
    </row>
    <row r="29" outlineLevel="1">
      <c r="A29" s="156"/>
      <c r="B29" s="134" t="s">
        <v>70</v>
      </c>
      <c r="C29" s="467" t="s">
        <v>975</v>
      </c>
      <c r="D29" s="107"/>
      <c r="E29" s="139" t="s">
        <v>274</v>
      </c>
      <c r="F29" s="139">
        <v>10.799999999999999</v>
      </c>
      <c r="G29" s="139" t="s">
        <v>275</v>
      </c>
      <c r="H29" s="106"/>
      <c r="I29" s="168"/>
      <c r="J29" s="107"/>
      <c r="K29" s="282"/>
      <c r="L29" s="282"/>
      <c r="M29" s="363"/>
      <c r="N29" s="363"/>
      <c r="O29" s="145">
        <v>0.0</v>
      </c>
      <c r="P29" s="145">
        <v>1.0</v>
      </c>
      <c r="Q29" s="145">
        <v>1.0</v>
      </c>
      <c r="R29" s="100"/>
      <c r="S29" s="100"/>
      <c r="T29" s="100"/>
      <c r="U29" s="156"/>
      <c r="V29" s="100"/>
    </row>
    <row r="30" outlineLevel="1">
      <c r="A30" s="133" t="s">
        <v>6299</v>
      </c>
      <c r="B30" s="134" t="s">
        <v>4672</v>
      </c>
      <c r="C30" s="467" t="s">
        <v>93</v>
      </c>
      <c r="D30" s="467" t="s">
        <v>164</v>
      </c>
      <c r="E30" s="139" t="s">
        <v>176</v>
      </c>
      <c r="F30" s="139">
        <v>2.4</v>
      </c>
      <c r="G30" s="139" t="s">
        <v>60</v>
      </c>
      <c r="H30" s="151" t="s">
        <v>6300</v>
      </c>
      <c r="I30" s="110"/>
      <c r="J30" s="109"/>
      <c r="K30" s="282"/>
      <c r="L30" s="282"/>
      <c r="M30" s="363"/>
      <c r="N30" s="363"/>
      <c r="O30" s="145"/>
      <c r="P30" s="145"/>
      <c r="Q30" s="145"/>
      <c r="R30" s="100"/>
      <c r="S30" s="100"/>
      <c r="T30" s="100"/>
      <c r="U30" s="1584"/>
      <c r="V30" s="100"/>
    </row>
    <row r="31" outlineLevel="1">
      <c r="A31" s="146"/>
      <c r="B31" s="134" t="s">
        <v>4675</v>
      </c>
      <c r="C31" s="467" t="s">
        <v>232</v>
      </c>
      <c r="D31" s="467" t="s">
        <v>628</v>
      </c>
      <c r="E31" s="139" t="s">
        <v>204</v>
      </c>
      <c r="F31" s="139">
        <v>3.5999999999999996</v>
      </c>
      <c r="G31" s="139" t="s">
        <v>147</v>
      </c>
      <c r="H31" s="151" t="s">
        <v>6301</v>
      </c>
      <c r="I31" s="110"/>
      <c r="J31" s="109"/>
      <c r="K31" s="282"/>
      <c r="L31" s="282"/>
      <c r="M31" s="363"/>
      <c r="N31" s="363"/>
      <c r="O31" s="145">
        <v>0.0</v>
      </c>
      <c r="P31" s="145">
        <v>1.0</v>
      </c>
      <c r="Q31" s="145">
        <v>1.0</v>
      </c>
      <c r="R31" s="100"/>
      <c r="S31" s="100"/>
      <c r="T31" s="100"/>
      <c r="U31" s="1584"/>
      <c r="V31" s="100"/>
    </row>
    <row r="32" outlineLevel="1">
      <c r="A32" s="146"/>
      <c r="B32" s="134" t="s">
        <v>4720</v>
      </c>
      <c r="C32" s="467" t="s">
        <v>129</v>
      </c>
      <c r="D32" s="467" t="s">
        <v>221</v>
      </c>
      <c r="E32" s="139" t="s">
        <v>204</v>
      </c>
      <c r="F32" s="139">
        <v>3.5999999999999996</v>
      </c>
      <c r="G32" s="139" t="s">
        <v>147</v>
      </c>
      <c r="H32" s="151" t="s">
        <v>6302</v>
      </c>
      <c r="I32" s="110"/>
      <c r="J32" s="109"/>
      <c r="K32" s="282"/>
      <c r="L32" s="282"/>
      <c r="M32" s="363"/>
      <c r="N32" s="363"/>
      <c r="O32" s="145"/>
      <c r="P32" s="145"/>
      <c r="Q32" s="145"/>
      <c r="R32" s="100"/>
      <c r="S32" s="100"/>
      <c r="T32" s="100"/>
      <c r="U32" s="1584"/>
      <c r="V32" s="100"/>
    </row>
    <row r="33" outlineLevel="1">
      <c r="A33" s="146"/>
      <c r="B33" s="134" t="s">
        <v>6303</v>
      </c>
      <c r="C33" s="467" t="s">
        <v>443</v>
      </c>
      <c r="D33" s="467" t="s">
        <v>289</v>
      </c>
      <c r="E33" s="139" t="s">
        <v>73</v>
      </c>
      <c r="F33" s="139">
        <v>4.8</v>
      </c>
      <c r="G33" s="139" t="s">
        <v>75</v>
      </c>
      <c r="H33" s="151" t="s">
        <v>6304</v>
      </c>
      <c r="I33" s="110"/>
      <c r="J33" s="109"/>
      <c r="K33" s="282"/>
      <c r="L33" s="282"/>
      <c r="M33" s="363"/>
      <c r="N33" s="363"/>
      <c r="O33" s="145"/>
      <c r="P33" s="145"/>
      <c r="Q33" s="145"/>
      <c r="R33" s="100"/>
      <c r="S33" s="100"/>
      <c r="T33" s="100"/>
      <c r="U33" s="1584"/>
      <c r="V33" s="100"/>
    </row>
    <row r="34" outlineLevel="1">
      <c r="A34" s="146"/>
      <c r="B34" s="134" t="s">
        <v>6305</v>
      </c>
      <c r="C34" s="467" t="s">
        <v>119</v>
      </c>
      <c r="D34" s="467" t="s">
        <v>384</v>
      </c>
      <c r="E34" s="139" t="s">
        <v>1024</v>
      </c>
      <c r="F34" s="139">
        <v>1.7999999999999998</v>
      </c>
      <c r="G34" s="139" t="s">
        <v>60</v>
      </c>
      <c r="H34" s="151" t="s">
        <v>6306</v>
      </c>
      <c r="I34" s="110"/>
      <c r="J34" s="109"/>
      <c r="K34" s="282"/>
      <c r="L34" s="282"/>
      <c r="M34" s="363"/>
      <c r="N34" s="363"/>
      <c r="O34" s="145"/>
      <c r="P34" s="145"/>
      <c r="Q34" s="145"/>
      <c r="R34" s="100"/>
      <c r="S34" s="100"/>
      <c r="T34" s="100"/>
      <c r="U34" s="1584"/>
      <c r="V34" s="100"/>
    </row>
    <row r="35" outlineLevel="1">
      <c r="A35" s="146"/>
      <c r="B35" s="134" t="s">
        <v>6307</v>
      </c>
      <c r="C35" s="467" t="s">
        <v>296</v>
      </c>
      <c r="D35" s="467" t="s">
        <v>111</v>
      </c>
      <c r="E35" s="139" t="s">
        <v>1024</v>
      </c>
      <c r="F35" s="139">
        <v>1.7999999999999998</v>
      </c>
      <c r="G35" s="139" t="s">
        <v>60</v>
      </c>
      <c r="H35" s="151" t="s">
        <v>6308</v>
      </c>
      <c r="I35" s="110"/>
      <c r="J35" s="109"/>
      <c r="K35" s="282"/>
      <c r="L35" s="282"/>
      <c r="M35" s="363"/>
      <c r="N35" s="363"/>
      <c r="O35" s="145"/>
      <c r="P35" s="145"/>
      <c r="Q35" s="145"/>
      <c r="R35" s="100"/>
      <c r="S35" s="100"/>
      <c r="T35" s="100"/>
      <c r="U35" s="1584"/>
      <c r="V35" s="100"/>
    </row>
    <row r="36" outlineLevel="1">
      <c r="A36" s="146"/>
      <c r="B36" s="134" t="s">
        <v>6309</v>
      </c>
      <c r="C36" s="467" t="s">
        <v>153</v>
      </c>
      <c r="D36" s="467" t="s">
        <v>541</v>
      </c>
      <c r="E36" s="139" t="s">
        <v>150</v>
      </c>
      <c r="F36" s="139">
        <v>6.0</v>
      </c>
      <c r="G36" s="139" t="s">
        <v>102</v>
      </c>
      <c r="H36" s="151" t="s">
        <v>6310</v>
      </c>
      <c r="I36" s="110"/>
      <c r="J36" s="109"/>
      <c r="K36" s="282"/>
      <c r="L36" s="282"/>
      <c r="M36" s="363"/>
      <c r="N36" s="363"/>
      <c r="O36" s="145"/>
      <c r="P36" s="145"/>
      <c r="Q36" s="145"/>
      <c r="R36" s="100"/>
      <c r="S36" s="100"/>
      <c r="T36" s="100"/>
      <c r="U36" s="1584"/>
      <c r="V36" s="100"/>
    </row>
    <row r="37" outlineLevel="1">
      <c r="A37" s="156"/>
      <c r="B37" s="134" t="s">
        <v>6311</v>
      </c>
      <c r="C37" s="467" t="s">
        <v>99</v>
      </c>
      <c r="D37" s="467" t="s">
        <v>1580</v>
      </c>
      <c r="E37" s="139" t="s">
        <v>129</v>
      </c>
      <c r="F37" s="139">
        <v>14.399999999999999</v>
      </c>
      <c r="G37" s="541"/>
      <c r="H37" s="151" t="s">
        <v>6312</v>
      </c>
      <c r="I37" s="110"/>
      <c r="J37" s="109"/>
      <c r="K37" s="282"/>
      <c r="L37" s="282"/>
      <c r="M37" s="363"/>
      <c r="N37" s="363"/>
      <c r="O37" s="145"/>
      <c r="P37" s="145"/>
      <c r="Q37" s="145"/>
      <c r="R37" s="100"/>
      <c r="S37" s="100"/>
      <c r="T37" s="100"/>
      <c r="U37" s="1584"/>
      <c r="V37" s="100"/>
    </row>
    <row r="38" outlineLevel="1">
      <c r="A38" s="133" t="s">
        <v>6313</v>
      </c>
      <c r="B38" s="147" t="s">
        <v>6314</v>
      </c>
      <c r="C38" s="467" t="s">
        <v>561</v>
      </c>
      <c r="D38" s="455" t="s">
        <v>111</v>
      </c>
      <c r="E38" s="139" t="s">
        <v>1994</v>
      </c>
      <c r="F38" s="139" t="s">
        <v>1995</v>
      </c>
      <c r="G38" s="139" t="s">
        <v>1996</v>
      </c>
      <c r="H38" s="163" t="s">
        <v>6315</v>
      </c>
      <c r="I38" s="164"/>
      <c r="J38" s="104"/>
      <c r="K38" s="282"/>
      <c r="L38" s="282"/>
      <c r="M38" s="363"/>
      <c r="N38" s="363"/>
      <c r="O38" s="145">
        <v>0.0</v>
      </c>
      <c r="P38" s="145">
        <v>1.0</v>
      </c>
      <c r="Q38" s="145">
        <v>1.0</v>
      </c>
      <c r="R38" s="100"/>
      <c r="S38" s="100"/>
      <c r="T38" s="100"/>
      <c r="U38" s="3301"/>
      <c r="V38" s="100"/>
    </row>
    <row r="39" outlineLevel="1">
      <c r="A39" s="156"/>
      <c r="B39" s="147"/>
      <c r="C39" s="467" t="s">
        <v>943</v>
      </c>
      <c r="D39" s="107"/>
      <c r="E39" s="139" t="s">
        <v>3191</v>
      </c>
      <c r="F39" s="139" t="s">
        <v>3192</v>
      </c>
      <c r="G39" s="139" t="s">
        <v>6316</v>
      </c>
      <c r="H39" s="106"/>
      <c r="I39" s="168"/>
      <c r="J39" s="107"/>
      <c r="K39" s="282"/>
      <c r="L39" s="282"/>
      <c r="M39" s="363"/>
      <c r="N39" s="363"/>
      <c r="O39" s="145">
        <v>0.0</v>
      </c>
      <c r="P39" s="145">
        <v>1.0</v>
      </c>
      <c r="Q39" s="145">
        <v>1.0</v>
      </c>
      <c r="R39" s="100"/>
      <c r="S39" s="100"/>
      <c r="T39" s="100"/>
      <c r="U39" s="156"/>
      <c r="V39" s="100"/>
    </row>
    <row r="40" outlineLevel="1">
      <c r="A40" s="170" t="s">
        <v>6317</v>
      </c>
      <c r="B40" s="160"/>
      <c r="C40" s="467" t="s">
        <v>6318</v>
      </c>
      <c r="D40" s="467" t="s">
        <v>628</v>
      </c>
      <c r="E40" s="139" t="s">
        <v>466</v>
      </c>
      <c r="F40" s="139">
        <v>21.599999999999998</v>
      </c>
      <c r="G40" s="162" t="s">
        <v>889</v>
      </c>
      <c r="H40" s="151" t="s">
        <v>6319</v>
      </c>
      <c r="I40" s="110"/>
      <c r="J40" s="109"/>
      <c r="K40" s="282"/>
      <c r="L40" s="282"/>
      <c r="M40" s="363"/>
      <c r="N40" s="363"/>
      <c r="O40" s="145">
        <v>0.0</v>
      </c>
      <c r="P40" s="145">
        <v>1.0</v>
      </c>
      <c r="Q40" s="145">
        <v>1.0</v>
      </c>
      <c r="R40" s="100"/>
      <c r="S40" s="100"/>
      <c r="T40" s="100"/>
      <c r="U40" s="1584"/>
      <c r="V40" s="100"/>
    </row>
    <row r="41" outlineLevel="1">
      <c r="A41" s="771" t="s">
        <v>6320</v>
      </c>
      <c r="B41" s="109"/>
      <c r="C41" s="127" t="s">
        <v>48</v>
      </c>
      <c r="D41" s="128" t="s">
        <v>49</v>
      </c>
      <c r="E41" s="128" t="s">
        <v>50</v>
      </c>
      <c r="F41" s="129" t="s">
        <v>51</v>
      </c>
      <c r="G41" s="128" t="s">
        <v>52</v>
      </c>
      <c r="H41" s="361" t="s">
        <v>53</v>
      </c>
      <c r="I41" s="110"/>
      <c r="J41" s="109"/>
      <c r="K41" s="131" t="s">
        <v>137</v>
      </c>
      <c r="L41" s="131" t="s">
        <v>138</v>
      </c>
      <c r="M41" s="131" t="s">
        <v>139</v>
      </c>
      <c r="N41" s="131" t="s">
        <v>140</v>
      </c>
      <c r="O41" s="132" t="s">
        <v>141</v>
      </c>
      <c r="P41" s="131" t="s">
        <v>142</v>
      </c>
      <c r="Q41" s="132" t="s">
        <v>143</v>
      </c>
      <c r="R41" s="100"/>
      <c r="S41" s="100"/>
      <c r="T41" s="100"/>
      <c r="U41" s="127" t="s">
        <v>54</v>
      </c>
      <c r="V41" s="100"/>
    </row>
    <row r="42" outlineLevel="1">
      <c r="A42" s="133" t="s">
        <v>6321</v>
      </c>
      <c r="B42" s="147" t="s">
        <v>1787</v>
      </c>
      <c r="C42" s="467" t="s">
        <v>220</v>
      </c>
      <c r="D42" s="139" t="s">
        <v>99</v>
      </c>
      <c r="E42" s="139" t="s">
        <v>86</v>
      </c>
      <c r="F42" s="139">
        <v>7.199999999999999</v>
      </c>
      <c r="G42" s="139" t="s">
        <v>102</v>
      </c>
      <c r="H42" s="163" t="s">
        <v>6322</v>
      </c>
      <c r="I42" s="164"/>
      <c r="J42" s="104"/>
      <c r="K42" s="282"/>
      <c r="L42" s="282"/>
      <c r="M42" s="363"/>
      <c r="N42" s="363"/>
      <c r="O42" s="145">
        <v>0.0</v>
      </c>
      <c r="P42" s="145">
        <v>1.0</v>
      </c>
      <c r="Q42" s="145">
        <v>1.0</v>
      </c>
      <c r="R42" s="100"/>
      <c r="S42" s="100"/>
      <c r="T42" s="100"/>
      <c r="U42" s="1584"/>
      <c r="V42" s="100"/>
    </row>
    <row r="43" outlineLevel="1">
      <c r="A43" s="156"/>
      <c r="B43" s="147" t="s">
        <v>4553</v>
      </c>
      <c r="C43" s="467" t="s">
        <v>325</v>
      </c>
      <c r="D43" s="139" t="s">
        <v>221</v>
      </c>
      <c r="E43" s="139" t="s">
        <v>128</v>
      </c>
      <c r="F43" s="139">
        <v>12.0</v>
      </c>
      <c r="G43" s="139" t="s">
        <v>121</v>
      </c>
      <c r="H43" s="163" t="s">
        <v>6323</v>
      </c>
      <c r="I43" s="164"/>
      <c r="J43" s="104"/>
      <c r="K43" s="282"/>
      <c r="L43" s="282"/>
      <c r="M43" s="363"/>
      <c r="N43" s="363"/>
      <c r="O43" s="145">
        <v>0.0</v>
      </c>
      <c r="P43" s="145">
        <v>1.0</v>
      </c>
      <c r="Q43" s="145">
        <v>1.0</v>
      </c>
      <c r="R43" s="100"/>
      <c r="S43" s="100"/>
      <c r="T43" s="100"/>
      <c r="U43" s="1584"/>
      <c r="V43" s="100"/>
    </row>
    <row r="44" outlineLevel="1">
      <c r="A44" s="133" t="s">
        <v>6324</v>
      </c>
      <c r="B44" s="147" t="s">
        <v>1787</v>
      </c>
      <c r="C44" s="467" t="s">
        <v>325</v>
      </c>
      <c r="D44" s="139" t="s">
        <v>221</v>
      </c>
      <c r="E44" s="139" t="s">
        <v>86</v>
      </c>
      <c r="F44" s="139">
        <v>7.199999999999999</v>
      </c>
      <c r="G44" s="139" t="s">
        <v>102</v>
      </c>
      <c r="H44" s="163" t="s">
        <v>6325</v>
      </c>
      <c r="I44" s="164"/>
      <c r="J44" s="104"/>
      <c r="K44" s="282"/>
      <c r="L44" s="282"/>
      <c r="M44" s="363"/>
      <c r="N44" s="363"/>
      <c r="O44" s="145">
        <v>0.0</v>
      </c>
      <c r="P44" s="145">
        <v>1.0</v>
      </c>
      <c r="Q44" s="145">
        <v>1.0</v>
      </c>
      <c r="R44" s="100"/>
      <c r="S44" s="100"/>
      <c r="T44" s="100"/>
      <c r="U44" s="1584"/>
      <c r="V44" s="100"/>
    </row>
    <row r="45" outlineLevel="1">
      <c r="A45" s="146"/>
      <c r="B45" s="147" t="s">
        <v>4553</v>
      </c>
      <c r="C45" s="467" t="s">
        <v>299</v>
      </c>
      <c r="D45" s="139" t="s">
        <v>146</v>
      </c>
      <c r="E45" s="139" t="s">
        <v>204</v>
      </c>
      <c r="F45" s="139">
        <v>3.5999999999999996</v>
      </c>
      <c r="G45" s="162" t="s">
        <v>102</v>
      </c>
      <c r="H45" s="163" t="s">
        <v>6326</v>
      </c>
      <c r="I45" s="164"/>
      <c r="J45" s="104"/>
      <c r="K45" s="282"/>
      <c r="L45" s="282"/>
      <c r="M45" s="363"/>
      <c r="N45" s="363"/>
      <c r="O45" s="145"/>
      <c r="P45" s="145"/>
      <c r="Q45" s="145"/>
      <c r="R45" s="100"/>
      <c r="S45" s="100"/>
      <c r="T45" s="100"/>
      <c r="U45" s="1584"/>
      <c r="V45" s="100"/>
    </row>
    <row r="46" outlineLevel="1">
      <c r="A46" s="146"/>
      <c r="B46" s="147" t="s">
        <v>4672</v>
      </c>
      <c r="C46" s="467" t="s">
        <v>454</v>
      </c>
      <c r="D46" s="139" t="s">
        <v>111</v>
      </c>
      <c r="E46" s="139" t="s">
        <v>204</v>
      </c>
      <c r="F46" s="139">
        <v>3.5999999999999996</v>
      </c>
      <c r="G46" s="162" t="s">
        <v>102</v>
      </c>
      <c r="H46" s="163" t="s">
        <v>6327</v>
      </c>
      <c r="I46" s="164"/>
      <c r="J46" s="104"/>
      <c r="K46" s="282"/>
      <c r="L46" s="282"/>
      <c r="M46" s="363"/>
      <c r="N46" s="363"/>
      <c r="O46" s="145"/>
      <c r="P46" s="145"/>
      <c r="Q46" s="145"/>
      <c r="R46" s="100"/>
      <c r="S46" s="100"/>
      <c r="T46" s="100"/>
      <c r="U46" s="1584"/>
      <c r="V46" s="100"/>
    </row>
    <row r="47" outlineLevel="1">
      <c r="A47" s="156"/>
      <c r="B47" s="147" t="s">
        <v>4675</v>
      </c>
      <c r="C47" s="467" t="s">
        <v>325</v>
      </c>
      <c r="D47" s="139" t="s">
        <v>111</v>
      </c>
      <c r="E47" s="139" t="s">
        <v>159</v>
      </c>
      <c r="F47" s="139">
        <v>12.6</v>
      </c>
      <c r="G47" s="139" t="s">
        <v>121</v>
      </c>
      <c r="H47" s="163"/>
      <c r="I47" s="164"/>
      <c r="J47" s="104"/>
      <c r="K47" s="282"/>
      <c r="L47" s="282"/>
      <c r="M47" s="363"/>
      <c r="N47" s="363"/>
      <c r="O47" s="145"/>
      <c r="P47" s="145"/>
      <c r="Q47" s="145"/>
      <c r="R47" s="100"/>
      <c r="S47" s="100"/>
      <c r="T47" s="100"/>
      <c r="U47" s="1584"/>
      <c r="V47" s="100"/>
    </row>
    <row r="48" outlineLevel="1">
      <c r="A48" s="170" t="s">
        <v>6328</v>
      </c>
      <c r="B48" s="147"/>
      <c r="C48" s="467" t="s">
        <v>1670</v>
      </c>
      <c r="D48" s="467" t="s">
        <v>628</v>
      </c>
      <c r="E48" s="139" t="s">
        <v>2454</v>
      </c>
      <c r="F48" s="139">
        <v>17.4</v>
      </c>
      <c r="G48" s="162" t="s">
        <v>88</v>
      </c>
      <c r="H48" s="151" t="s">
        <v>6329</v>
      </c>
      <c r="I48" s="110"/>
      <c r="J48" s="109"/>
      <c r="K48" s="282"/>
      <c r="L48" s="282"/>
      <c r="M48" s="363"/>
      <c r="N48" s="363"/>
      <c r="O48" s="145">
        <v>0.0</v>
      </c>
      <c r="P48" s="145">
        <v>1.0</v>
      </c>
      <c r="Q48" s="145">
        <v>1.0</v>
      </c>
      <c r="R48" s="100"/>
      <c r="S48" s="100"/>
      <c r="T48" s="100"/>
      <c r="U48" s="1584"/>
      <c r="V48" s="100"/>
    </row>
    <row r="49" outlineLevel="1">
      <c r="A49" s="133" t="s">
        <v>6330</v>
      </c>
      <c r="B49" s="147" t="s">
        <v>1787</v>
      </c>
      <c r="C49" s="467" t="s">
        <v>223</v>
      </c>
      <c r="D49" s="139" t="s">
        <v>224</v>
      </c>
      <c r="E49" s="139" t="s">
        <v>93</v>
      </c>
      <c r="F49" s="139">
        <v>8.4</v>
      </c>
      <c r="G49" s="139" t="s">
        <v>95</v>
      </c>
      <c r="H49" s="163" t="s">
        <v>6331</v>
      </c>
      <c r="I49" s="164"/>
      <c r="J49" s="104"/>
      <c r="K49" s="282"/>
      <c r="L49" s="282"/>
      <c r="M49" s="363"/>
      <c r="N49" s="363"/>
      <c r="O49" s="145">
        <v>0.0</v>
      </c>
      <c r="P49" s="145">
        <v>1.0</v>
      </c>
      <c r="Q49" s="145">
        <v>1.0</v>
      </c>
      <c r="R49" s="100"/>
      <c r="S49" s="100"/>
      <c r="T49" s="100"/>
      <c r="U49" s="1584"/>
      <c r="V49" s="100"/>
    </row>
    <row r="50" outlineLevel="1">
      <c r="A50" s="156"/>
      <c r="B50" s="147" t="s">
        <v>4553</v>
      </c>
      <c r="C50" s="467" t="s">
        <v>325</v>
      </c>
      <c r="D50" s="139" t="s">
        <v>127</v>
      </c>
      <c r="E50" s="139" t="s">
        <v>159</v>
      </c>
      <c r="F50" s="139">
        <v>12.6</v>
      </c>
      <c r="G50" s="162" t="s">
        <v>82</v>
      </c>
      <c r="H50" s="163" t="s">
        <v>6332</v>
      </c>
      <c r="I50" s="164"/>
      <c r="J50" s="104"/>
      <c r="K50" s="282"/>
      <c r="L50" s="282"/>
      <c r="M50" s="363"/>
      <c r="N50" s="363"/>
      <c r="O50" s="145">
        <v>0.0</v>
      </c>
      <c r="P50" s="145">
        <v>1.0</v>
      </c>
      <c r="Q50" s="145">
        <v>1.0</v>
      </c>
      <c r="R50" s="100"/>
      <c r="S50" s="100"/>
      <c r="T50" s="100"/>
      <c r="U50" s="1584"/>
      <c r="V50" s="100"/>
    </row>
    <row r="51" outlineLevel="1">
      <c r="A51" s="170" t="s">
        <v>6333</v>
      </c>
      <c r="B51" s="147"/>
      <c r="C51" s="467" t="s">
        <v>1137</v>
      </c>
      <c r="D51" s="467" t="s">
        <v>6334</v>
      </c>
      <c r="E51" s="139" t="s">
        <v>386</v>
      </c>
      <c r="F51" s="139">
        <v>18.0</v>
      </c>
      <c r="G51" s="139" t="s">
        <v>82</v>
      </c>
      <c r="H51" s="151" t="s">
        <v>6335</v>
      </c>
      <c r="I51" s="110"/>
      <c r="J51" s="109"/>
      <c r="K51" s="282"/>
      <c r="L51" s="282"/>
      <c r="M51" s="363"/>
      <c r="N51" s="363"/>
      <c r="O51" s="145">
        <v>0.0</v>
      </c>
      <c r="P51" s="145">
        <v>1.0</v>
      </c>
      <c r="Q51" s="145">
        <v>1.0</v>
      </c>
      <c r="R51" s="100"/>
      <c r="S51" s="100"/>
      <c r="T51" s="100"/>
      <c r="U51" s="1584"/>
      <c r="V51" s="100"/>
    </row>
    <row r="52" outlineLevel="1">
      <c r="A52" s="170" t="s">
        <v>6336</v>
      </c>
      <c r="B52" s="147"/>
      <c r="C52" s="467" t="s">
        <v>721</v>
      </c>
      <c r="D52" s="467" t="s">
        <v>118</v>
      </c>
      <c r="E52" s="139" t="s">
        <v>274</v>
      </c>
      <c r="F52" s="139">
        <v>10.799999999999999</v>
      </c>
      <c r="G52" s="162" t="s">
        <v>82</v>
      </c>
      <c r="H52" s="151" t="s">
        <v>6337</v>
      </c>
      <c r="I52" s="110"/>
      <c r="J52" s="109"/>
      <c r="K52" s="282"/>
      <c r="L52" s="282"/>
      <c r="M52" s="363"/>
      <c r="N52" s="363"/>
      <c r="O52" s="145">
        <v>0.0</v>
      </c>
      <c r="P52" s="145">
        <v>1.0</v>
      </c>
      <c r="Q52" s="145">
        <v>1.0</v>
      </c>
      <c r="R52" s="100"/>
      <c r="S52" s="100"/>
      <c r="T52" s="100"/>
      <c r="U52" s="1584"/>
      <c r="V52" s="100"/>
    </row>
    <row r="53" outlineLevel="1">
      <c r="A53" s="170" t="s">
        <v>6338</v>
      </c>
      <c r="B53" s="147"/>
      <c r="C53" s="467" t="s">
        <v>382</v>
      </c>
      <c r="D53" s="467" t="s">
        <v>218</v>
      </c>
      <c r="E53" s="139" t="s">
        <v>386</v>
      </c>
      <c r="F53" s="139">
        <v>18.0</v>
      </c>
      <c r="G53" s="139" t="s">
        <v>82</v>
      </c>
      <c r="H53" s="151" t="s">
        <v>6339</v>
      </c>
      <c r="I53" s="110"/>
      <c r="J53" s="109"/>
      <c r="K53" s="282"/>
      <c r="L53" s="282"/>
      <c r="M53" s="363"/>
      <c r="N53" s="363"/>
      <c r="O53" s="145">
        <v>0.0</v>
      </c>
      <c r="P53" s="145">
        <v>1.0</v>
      </c>
      <c r="Q53" s="145">
        <v>1.0</v>
      </c>
      <c r="R53" s="100"/>
      <c r="S53" s="100"/>
      <c r="T53" s="100"/>
      <c r="U53" s="1584"/>
      <c r="V53" s="100"/>
    </row>
    <row r="54" outlineLevel="1">
      <c r="A54" s="170" t="s">
        <v>6340</v>
      </c>
      <c r="B54" s="147"/>
      <c r="C54" s="467" t="s">
        <v>1111</v>
      </c>
      <c r="D54" s="467" t="s">
        <v>118</v>
      </c>
      <c r="E54" s="139" t="s">
        <v>1217</v>
      </c>
      <c r="F54" s="139">
        <v>16.2</v>
      </c>
      <c r="G54" s="139" t="s">
        <v>407</v>
      </c>
      <c r="H54" s="151" t="s">
        <v>6341</v>
      </c>
      <c r="I54" s="110"/>
      <c r="J54" s="109"/>
      <c r="K54" s="282"/>
      <c r="L54" s="282"/>
      <c r="M54" s="363"/>
      <c r="N54" s="363"/>
      <c r="O54" s="145">
        <v>0.0</v>
      </c>
      <c r="P54" s="145">
        <v>1.0</v>
      </c>
      <c r="Q54" s="145">
        <v>1.0</v>
      </c>
      <c r="R54" s="100"/>
      <c r="S54" s="100"/>
      <c r="T54" s="100"/>
      <c r="U54" s="1584"/>
      <c r="V54" s="100"/>
    </row>
    <row r="55" outlineLevel="1">
      <c r="A55" s="771" t="s">
        <v>6342</v>
      </c>
      <c r="B55" s="109"/>
      <c r="C55" s="127" t="s">
        <v>48</v>
      </c>
      <c r="D55" s="128" t="s">
        <v>49</v>
      </c>
      <c r="E55" s="128" t="s">
        <v>50</v>
      </c>
      <c r="F55" s="129" t="s">
        <v>51</v>
      </c>
      <c r="G55" s="128" t="s">
        <v>52</v>
      </c>
      <c r="H55" s="361" t="s">
        <v>53</v>
      </c>
      <c r="I55" s="110"/>
      <c r="J55" s="109"/>
      <c r="K55" s="131" t="s">
        <v>137</v>
      </c>
      <c r="L55" s="131" t="s">
        <v>138</v>
      </c>
      <c r="M55" s="131" t="s">
        <v>139</v>
      </c>
      <c r="N55" s="131" t="s">
        <v>140</v>
      </c>
      <c r="O55" s="132" t="s">
        <v>141</v>
      </c>
      <c r="P55" s="131" t="s">
        <v>142</v>
      </c>
      <c r="Q55" s="132" t="s">
        <v>143</v>
      </c>
      <c r="R55" s="100"/>
      <c r="S55" s="100"/>
      <c r="T55" s="100"/>
      <c r="U55" s="127" t="s">
        <v>54</v>
      </c>
      <c r="V55" s="100"/>
    </row>
    <row r="56" outlineLevel="1">
      <c r="A56" s="170" t="s">
        <v>6343</v>
      </c>
      <c r="B56" s="147"/>
      <c r="C56" s="467" t="s">
        <v>325</v>
      </c>
      <c r="D56" s="467" t="s">
        <v>413</v>
      </c>
      <c r="E56" s="139" t="s">
        <v>5941</v>
      </c>
      <c r="F56" s="139">
        <v>19.8</v>
      </c>
      <c r="G56" s="162" t="s">
        <v>294</v>
      </c>
      <c r="H56" s="151" t="s">
        <v>6344</v>
      </c>
      <c r="I56" s="110"/>
      <c r="J56" s="109"/>
      <c r="K56" s="282"/>
      <c r="L56" s="282"/>
      <c r="M56" s="363"/>
      <c r="N56" s="363"/>
      <c r="O56" s="145">
        <v>0.0</v>
      </c>
      <c r="P56" s="145">
        <v>1.0</v>
      </c>
      <c r="Q56" s="145">
        <v>1.0</v>
      </c>
      <c r="R56" s="100"/>
      <c r="S56" s="100"/>
      <c r="T56" s="100"/>
      <c r="U56" s="1584"/>
      <c r="V56" s="100"/>
    </row>
    <row r="57" outlineLevel="1">
      <c r="A57" s="170" t="s">
        <v>6345</v>
      </c>
      <c r="B57" s="147"/>
      <c r="C57" s="467" t="s">
        <v>319</v>
      </c>
      <c r="D57" s="467" t="s">
        <v>6346</v>
      </c>
      <c r="E57" s="139" t="s">
        <v>150</v>
      </c>
      <c r="F57" s="139">
        <v>6.0</v>
      </c>
      <c r="G57" s="139" t="s">
        <v>102</v>
      </c>
      <c r="H57" s="151" t="s">
        <v>6347</v>
      </c>
      <c r="I57" s="110"/>
      <c r="J57" s="109"/>
      <c r="K57" s="282"/>
      <c r="L57" s="282"/>
      <c r="M57" s="363"/>
      <c r="N57" s="363"/>
      <c r="O57" s="145">
        <v>0.0</v>
      </c>
      <c r="P57" s="145">
        <v>1.0</v>
      </c>
      <c r="Q57" s="145">
        <v>1.0</v>
      </c>
      <c r="R57" s="100"/>
      <c r="S57" s="100"/>
      <c r="T57" s="100"/>
      <c r="U57" s="1584"/>
      <c r="V57" s="100"/>
    </row>
    <row r="58" outlineLevel="1">
      <c r="A58" s="170" t="s">
        <v>6348</v>
      </c>
      <c r="B58" s="147"/>
      <c r="C58" s="467" t="s">
        <v>1292</v>
      </c>
      <c r="D58" s="467" t="s">
        <v>193</v>
      </c>
      <c r="E58" s="139" t="s">
        <v>232</v>
      </c>
      <c r="F58" s="139">
        <v>13.2</v>
      </c>
      <c r="G58" s="162" t="s">
        <v>1187</v>
      </c>
      <c r="H58" s="151" t="s">
        <v>6349</v>
      </c>
      <c r="I58" s="110"/>
      <c r="J58" s="109"/>
      <c r="K58" s="282"/>
      <c r="L58" s="282"/>
      <c r="M58" s="363"/>
      <c r="N58" s="363"/>
      <c r="O58" s="145">
        <v>0.0</v>
      </c>
      <c r="P58" s="145">
        <v>1.0</v>
      </c>
      <c r="Q58" s="145">
        <v>1.0</v>
      </c>
      <c r="R58" s="100"/>
      <c r="S58" s="100"/>
      <c r="T58" s="100"/>
      <c r="U58" s="1584"/>
      <c r="V58" s="100"/>
    </row>
    <row r="59" outlineLevel="1">
      <c r="A59" s="170" t="s">
        <v>6350</v>
      </c>
      <c r="B59" s="147"/>
      <c r="C59" s="467" t="s">
        <v>305</v>
      </c>
      <c r="D59" s="467" t="s">
        <v>628</v>
      </c>
      <c r="E59" s="139" t="s">
        <v>129</v>
      </c>
      <c r="F59" s="139">
        <v>14.399999999999999</v>
      </c>
      <c r="G59" s="139" t="s">
        <v>88</v>
      </c>
      <c r="H59" s="151" t="s">
        <v>6351</v>
      </c>
      <c r="I59" s="110"/>
      <c r="J59" s="109"/>
      <c r="K59" s="282"/>
      <c r="L59" s="282"/>
      <c r="M59" s="363"/>
      <c r="N59" s="363"/>
      <c r="O59" s="145">
        <v>0.0</v>
      </c>
      <c r="P59" s="145">
        <v>1.0</v>
      </c>
      <c r="Q59" s="145">
        <v>1.0</v>
      </c>
      <c r="R59" s="100"/>
      <c r="S59" s="100"/>
      <c r="T59" s="100"/>
      <c r="U59" s="1584"/>
      <c r="V59" s="100"/>
    </row>
    <row r="60" outlineLevel="1">
      <c r="A60" s="771" t="s">
        <v>6352</v>
      </c>
      <c r="B60" s="109"/>
      <c r="C60" s="127" t="s">
        <v>48</v>
      </c>
      <c r="D60" s="128" t="s">
        <v>49</v>
      </c>
      <c r="E60" s="128" t="s">
        <v>50</v>
      </c>
      <c r="F60" s="129" t="s">
        <v>51</v>
      </c>
      <c r="G60" s="128" t="s">
        <v>52</v>
      </c>
      <c r="H60" s="361" t="s">
        <v>53</v>
      </c>
      <c r="I60" s="110"/>
      <c r="J60" s="109"/>
      <c r="K60" s="131" t="s">
        <v>137</v>
      </c>
      <c r="L60" s="131" t="s">
        <v>138</v>
      </c>
      <c r="M60" s="131" t="s">
        <v>139</v>
      </c>
      <c r="N60" s="131" t="s">
        <v>140</v>
      </c>
      <c r="O60" s="132" t="s">
        <v>141</v>
      </c>
      <c r="P60" s="131" t="s">
        <v>142</v>
      </c>
      <c r="Q60" s="132" t="s">
        <v>143</v>
      </c>
      <c r="R60" s="100"/>
      <c r="S60" s="100"/>
      <c r="T60" s="100"/>
      <c r="U60" s="127" t="s">
        <v>54</v>
      </c>
      <c r="V60" s="100"/>
    </row>
    <row r="61" outlineLevel="1">
      <c r="A61" s="170" t="s">
        <v>6353</v>
      </c>
      <c r="B61" s="147"/>
      <c r="C61" s="467" t="s">
        <v>610</v>
      </c>
      <c r="D61" s="467" t="s">
        <v>1577</v>
      </c>
      <c r="E61" s="139" t="s">
        <v>6354</v>
      </c>
      <c r="F61" s="139" t="s">
        <v>6355</v>
      </c>
      <c r="G61" s="162" t="s">
        <v>6356</v>
      </c>
      <c r="H61" s="151" t="s">
        <v>6357</v>
      </c>
      <c r="I61" s="110"/>
      <c r="J61" s="109"/>
      <c r="K61" s="282"/>
      <c r="L61" s="282"/>
      <c r="M61" s="363"/>
      <c r="N61" s="363"/>
      <c r="O61" s="145">
        <v>0.0</v>
      </c>
      <c r="P61" s="145">
        <v>1.0</v>
      </c>
      <c r="Q61" s="145">
        <v>1.0</v>
      </c>
      <c r="R61" s="100"/>
      <c r="S61" s="100"/>
      <c r="T61" s="100"/>
      <c r="U61" s="1584"/>
      <c r="V61" s="100"/>
    </row>
    <row r="62" ht="28.5" customHeight="1" outlineLevel="1">
      <c r="A62" s="133" t="s">
        <v>6358</v>
      </c>
      <c r="B62" s="160"/>
      <c r="C62" s="467" t="s">
        <v>383</v>
      </c>
      <c r="D62" s="455" t="s">
        <v>111</v>
      </c>
      <c r="E62" s="139" t="s">
        <v>296</v>
      </c>
      <c r="F62" s="139" t="s">
        <v>6359</v>
      </c>
      <c r="G62" s="139" t="s">
        <v>297</v>
      </c>
      <c r="H62" s="163" t="s">
        <v>6360</v>
      </c>
      <c r="I62" s="164"/>
      <c r="J62" s="104"/>
      <c r="K62" s="363"/>
      <c r="L62" s="363"/>
      <c r="M62" s="363"/>
      <c r="N62" s="363"/>
      <c r="O62" s="145">
        <v>0.0</v>
      </c>
      <c r="P62" s="145">
        <v>1.0</v>
      </c>
      <c r="Q62" s="145">
        <v>1.0</v>
      </c>
      <c r="R62" s="100"/>
      <c r="S62" s="100"/>
      <c r="T62" s="100"/>
      <c r="U62" s="3301"/>
      <c r="V62" s="100"/>
    </row>
    <row r="63" ht="28.5" customHeight="1" outlineLevel="1">
      <c r="A63" s="156"/>
      <c r="B63" s="147" t="s">
        <v>84</v>
      </c>
      <c r="C63" s="216" t="s">
        <v>460</v>
      </c>
      <c r="D63" s="107"/>
      <c r="E63" s="139" t="s">
        <v>386</v>
      </c>
      <c r="F63" s="139" t="s">
        <v>466</v>
      </c>
      <c r="G63" s="139" t="s">
        <v>121</v>
      </c>
      <c r="H63" s="106"/>
      <c r="I63" s="168"/>
      <c r="J63" s="107"/>
      <c r="K63" s="363"/>
      <c r="L63" s="363"/>
      <c r="M63" s="363"/>
      <c r="N63" s="363"/>
      <c r="O63" s="145">
        <v>0.0</v>
      </c>
      <c r="P63" s="145">
        <v>1.0</v>
      </c>
      <c r="Q63" s="145">
        <v>1.0</v>
      </c>
      <c r="R63" s="100"/>
      <c r="S63" s="100"/>
      <c r="T63" s="100"/>
      <c r="U63" s="156"/>
      <c r="V63" s="100"/>
    </row>
    <row r="64" ht="21.75" customHeight="1" outlineLevel="1">
      <c r="A64" s="133" t="s">
        <v>6361</v>
      </c>
      <c r="B64" s="147" t="s">
        <v>350</v>
      </c>
      <c r="C64" s="216" t="s">
        <v>894</v>
      </c>
      <c r="D64" s="455" t="s">
        <v>374</v>
      </c>
      <c r="E64" s="139" t="s">
        <v>6362</v>
      </c>
      <c r="F64" s="139" t="s">
        <v>6363</v>
      </c>
      <c r="G64" s="162" t="s">
        <v>3514</v>
      </c>
      <c r="H64" s="163" t="s">
        <v>6364</v>
      </c>
      <c r="I64" s="164"/>
      <c r="J64" s="104"/>
      <c r="K64" s="282"/>
      <c r="L64" s="282"/>
      <c r="M64" s="363"/>
      <c r="N64" s="363"/>
      <c r="O64" s="145">
        <v>0.0</v>
      </c>
      <c r="P64" s="145">
        <v>1.0</v>
      </c>
      <c r="Q64" s="145">
        <v>1.0</v>
      </c>
      <c r="R64" s="100"/>
      <c r="S64" s="100"/>
      <c r="T64" s="100"/>
      <c r="U64" s="3301"/>
      <c r="V64" s="100"/>
    </row>
    <row r="65" ht="21.75" customHeight="1" outlineLevel="1">
      <c r="A65" s="146"/>
      <c r="B65" s="147" t="s">
        <v>356</v>
      </c>
      <c r="C65" s="216" t="s">
        <v>203</v>
      </c>
      <c r="D65" s="210"/>
      <c r="E65" s="139" t="s">
        <v>6362</v>
      </c>
      <c r="F65" s="139" t="s">
        <v>6363</v>
      </c>
      <c r="G65" s="541"/>
      <c r="H65" s="212"/>
      <c r="J65" s="210"/>
      <c r="K65" s="282"/>
      <c r="L65" s="282"/>
      <c r="M65" s="363"/>
      <c r="N65" s="363"/>
      <c r="O65" s="145"/>
      <c r="P65" s="145"/>
      <c r="Q65" s="145"/>
      <c r="R65" s="100"/>
      <c r="S65" s="100"/>
      <c r="T65" s="100"/>
      <c r="U65" s="146"/>
      <c r="V65" s="100"/>
    </row>
    <row r="66" ht="21.75" customHeight="1" outlineLevel="1">
      <c r="A66" s="156"/>
      <c r="B66" s="147" t="s">
        <v>2769</v>
      </c>
      <c r="C66" s="216" t="s">
        <v>296</v>
      </c>
      <c r="D66" s="107"/>
      <c r="E66" s="139" t="s">
        <v>2371</v>
      </c>
      <c r="F66" s="139" t="s">
        <v>2372</v>
      </c>
      <c r="G66" s="541"/>
      <c r="H66" s="106"/>
      <c r="I66" s="168"/>
      <c r="J66" s="107"/>
      <c r="K66" s="282"/>
      <c r="L66" s="282"/>
      <c r="M66" s="363"/>
      <c r="N66" s="363"/>
      <c r="O66" s="145">
        <v>0.0</v>
      </c>
      <c r="P66" s="145">
        <v>1.0</v>
      </c>
      <c r="Q66" s="145">
        <v>1.0</v>
      </c>
      <c r="R66" s="100"/>
      <c r="S66" s="100"/>
      <c r="T66" s="100"/>
      <c r="U66" s="156"/>
      <c r="V66" s="100"/>
    </row>
    <row r="67" outlineLevel="1">
      <c r="A67" s="771" t="s">
        <v>6365</v>
      </c>
      <c r="B67" s="109"/>
      <c r="C67" s="127" t="s">
        <v>48</v>
      </c>
      <c r="D67" s="128" t="s">
        <v>49</v>
      </c>
      <c r="E67" s="128" t="s">
        <v>50</v>
      </c>
      <c r="F67" s="129" t="s">
        <v>51</v>
      </c>
      <c r="G67" s="128" t="s">
        <v>52</v>
      </c>
      <c r="H67" s="361" t="s">
        <v>53</v>
      </c>
      <c r="I67" s="110"/>
      <c r="J67" s="109"/>
      <c r="K67" s="131" t="s">
        <v>137</v>
      </c>
      <c r="L67" s="131" t="s">
        <v>138</v>
      </c>
      <c r="M67" s="131" t="s">
        <v>139</v>
      </c>
      <c r="N67" s="131" t="s">
        <v>140</v>
      </c>
      <c r="O67" s="132" t="s">
        <v>141</v>
      </c>
      <c r="P67" s="131" t="s">
        <v>142</v>
      </c>
      <c r="Q67" s="132" t="s">
        <v>143</v>
      </c>
      <c r="R67" s="100"/>
      <c r="S67" s="100"/>
      <c r="T67" s="100"/>
      <c r="U67" s="127" t="s">
        <v>54</v>
      </c>
      <c r="V67" s="100"/>
    </row>
    <row r="68" outlineLevel="1">
      <c r="A68" s="170" t="s">
        <v>6366</v>
      </c>
      <c r="B68" s="147"/>
      <c r="C68" s="659"/>
      <c r="D68" s="467" t="s">
        <v>296</v>
      </c>
      <c r="E68" s="659"/>
      <c r="F68" s="659"/>
      <c r="G68" s="659"/>
      <c r="H68" s="151" t="s">
        <v>6367</v>
      </c>
      <c r="I68" s="110"/>
      <c r="J68" s="109"/>
      <c r="K68" s="282"/>
      <c r="L68" s="282"/>
      <c r="M68" s="363"/>
      <c r="N68" s="363"/>
      <c r="O68" s="145"/>
      <c r="P68" s="145"/>
      <c r="Q68" s="145"/>
      <c r="R68" s="100"/>
      <c r="S68" s="100"/>
      <c r="T68" s="100"/>
      <c r="U68" s="1584"/>
      <c r="V68" s="100"/>
    </row>
    <row r="69" ht="33.0" customHeight="1" outlineLevel="1">
      <c r="A69" s="133" t="s">
        <v>6368</v>
      </c>
      <c r="B69" s="147" t="s">
        <v>350</v>
      </c>
      <c r="C69" s="195" t="s">
        <v>563</v>
      </c>
      <c r="D69" s="455" t="s">
        <v>193</v>
      </c>
      <c r="E69" s="139" t="s">
        <v>1217</v>
      </c>
      <c r="F69" s="139" t="s">
        <v>5969</v>
      </c>
      <c r="G69" s="162" t="s">
        <v>82</v>
      </c>
      <c r="H69" s="163" t="s">
        <v>6369</v>
      </c>
      <c r="I69" s="164"/>
      <c r="J69" s="104"/>
      <c r="K69" s="282"/>
      <c r="L69" s="282"/>
      <c r="M69" s="363"/>
      <c r="N69" s="363"/>
      <c r="O69" s="145"/>
      <c r="P69" s="145"/>
      <c r="Q69" s="145"/>
      <c r="R69" s="100"/>
      <c r="S69" s="100"/>
      <c r="T69" s="100"/>
      <c r="U69" s="3301"/>
      <c r="V69" s="100"/>
    </row>
    <row r="70" ht="33.0" customHeight="1" outlineLevel="1">
      <c r="A70" s="156"/>
      <c r="B70" s="147" t="s">
        <v>356</v>
      </c>
      <c r="C70" s="107"/>
      <c r="D70" s="107"/>
      <c r="E70" s="139" t="s">
        <v>228</v>
      </c>
      <c r="F70" s="139" t="s">
        <v>5977</v>
      </c>
      <c r="G70" s="659"/>
      <c r="H70" s="106"/>
      <c r="I70" s="168"/>
      <c r="J70" s="107"/>
      <c r="K70" s="282"/>
      <c r="L70" s="282"/>
      <c r="M70" s="363"/>
      <c r="N70" s="363"/>
      <c r="O70" s="145"/>
      <c r="P70" s="145"/>
      <c r="Q70" s="145"/>
      <c r="R70" s="100"/>
      <c r="S70" s="100"/>
      <c r="T70" s="100"/>
      <c r="U70" s="156"/>
      <c r="V70" s="100"/>
    </row>
    <row r="71" ht="81.0" customHeight="1" outlineLevel="1">
      <c r="A71" s="133" t="s">
        <v>6370</v>
      </c>
      <c r="B71" s="147" t="s">
        <v>350</v>
      </c>
      <c r="C71" s="195" t="s">
        <v>563</v>
      </c>
      <c r="D71" s="455" t="s">
        <v>271</v>
      </c>
      <c r="E71" s="139" t="s">
        <v>2454</v>
      </c>
      <c r="F71" s="139" t="s">
        <v>6371</v>
      </c>
      <c r="G71" s="162" t="s">
        <v>6372</v>
      </c>
      <c r="H71" s="163" t="s">
        <v>6373</v>
      </c>
      <c r="I71" s="164"/>
      <c r="J71" s="104"/>
      <c r="K71" s="282"/>
      <c r="L71" s="282"/>
      <c r="M71" s="363"/>
      <c r="N71" s="363"/>
      <c r="O71" s="145"/>
      <c r="P71" s="145"/>
      <c r="Q71" s="145"/>
      <c r="R71" s="100"/>
      <c r="S71" s="100"/>
      <c r="T71" s="100"/>
      <c r="U71" s="3301"/>
      <c r="V71" s="100"/>
    </row>
    <row r="72" ht="81.0" customHeight="1" outlineLevel="1">
      <c r="A72" s="156"/>
      <c r="B72" s="147" t="s">
        <v>356</v>
      </c>
      <c r="C72" s="107"/>
      <c r="D72" s="107"/>
      <c r="E72" s="139" t="s">
        <v>119</v>
      </c>
      <c r="F72" s="139" t="s">
        <v>120</v>
      </c>
      <c r="G72" s="541"/>
      <c r="H72" s="106"/>
      <c r="I72" s="168"/>
      <c r="J72" s="107"/>
      <c r="K72" s="282"/>
      <c r="L72" s="282"/>
      <c r="M72" s="363"/>
      <c r="N72" s="363"/>
      <c r="O72" s="145"/>
      <c r="P72" s="145"/>
      <c r="Q72" s="145"/>
      <c r="R72" s="100"/>
      <c r="S72" s="100"/>
      <c r="T72" s="100"/>
      <c r="U72" s="156"/>
      <c r="V72" s="100"/>
    </row>
    <row r="73" ht="31.5" customHeight="1" outlineLevel="1">
      <c r="A73" s="133" t="s">
        <v>6374</v>
      </c>
      <c r="B73" s="147"/>
      <c r="C73" s="216" t="s">
        <v>718</v>
      </c>
      <c r="D73" s="455" t="s">
        <v>634</v>
      </c>
      <c r="E73" s="139" t="s">
        <v>1114</v>
      </c>
      <c r="F73" s="139">
        <v>26.4</v>
      </c>
      <c r="G73" s="162" t="s">
        <v>121</v>
      </c>
      <c r="H73" s="163" t="s">
        <v>6375</v>
      </c>
      <c r="I73" s="164"/>
      <c r="J73" s="104"/>
      <c r="K73" s="282"/>
      <c r="L73" s="282"/>
      <c r="M73" s="363"/>
      <c r="N73" s="363"/>
      <c r="O73" s="145"/>
      <c r="P73" s="145"/>
      <c r="Q73" s="145"/>
      <c r="R73" s="100"/>
      <c r="S73" s="100"/>
      <c r="T73" s="100"/>
      <c r="U73" s="3301"/>
      <c r="V73" s="100"/>
    </row>
    <row r="74" ht="31.5" customHeight="1" outlineLevel="1">
      <c r="A74" s="146"/>
      <c r="B74" s="147" t="s">
        <v>187</v>
      </c>
      <c r="C74" s="216" t="s">
        <v>65</v>
      </c>
      <c r="D74" s="210"/>
      <c r="E74" s="139" t="s">
        <v>466</v>
      </c>
      <c r="F74" s="139">
        <v>21.599999999999998</v>
      </c>
      <c r="G74" s="162" t="s">
        <v>275</v>
      </c>
      <c r="H74" s="212"/>
      <c r="J74" s="210"/>
      <c r="K74" s="282"/>
      <c r="L74" s="282"/>
      <c r="M74" s="363"/>
      <c r="N74" s="363"/>
      <c r="O74" s="145"/>
      <c r="P74" s="145"/>
      <c r="Q74" s="145"/>
      <c r="R74" s="100"/>
      <c r="S74" s="100"/>
      <c r="T74" s="100"/>
      <c r="U74" s="146"/>
      <c r="V74" s="100"/>
    </row>
    <row r="75" ht="31.5" customHeight="1" outlineLevel="1">
      <c r="A75" s="146"/>
      <c r="B75" s="147" t="s">
        <v>189</v>
      </c>
      <c r="C75" s="216" t="s">
        <v>1114</v>
      </c>
      <c r="D75" s="210"/>
      <c r="E75" s="139" t="s">
        <v>153</v>
      </c>
      <c r="F75" s="139">
        <v>19.2</v>
      </c>
      <c r="G75" s="162" t="s">
        <v>123</v>
      </c>
      <c r="H75" s="212"/>
      <c r="J75" s="210"/>
      <c r="K75" s="282"/>
      <c r="L75" s="282"/>
      <c r="M75" s="363"/>
      <c r="N75" s="363"/>
      <c r="O75" s="145"/>
      <c r="P75" s="145"/>
      <c r="Q75" s="145"/>
      <c r="R75" s="100"/>
      <c r="S75" s="100"/>
      <c r="T75" s="100"/>
      <c r="U75" s="146"/>
      <c r="V75" s="100"/>
    </row>
    <row r="76" ht="31.5" customHeight="1" outlineLevel="1">
      <c r="A76" s="156"/>
      <c r="B76" s="147" t="s">
        <v>513</v>
      </c>
      <c r="C76" s="216" t="s">
        <v>1053</v>
      </c>
      <c r="D76" s="107"/>
      <c r="E76" s="139" t="s">
        <v>119</v>
      </c>
      <c r="F76" s="139">
        <v>16.8</v>
      </c>
      <c r="G76" s="162" t="s">
        <v>95</v>
      </c>
      <c r="H76" s="106"/>
      <c r="I76" s="168"/>
      <c r="J76" s="107"/>
      <c r="K76" s="282"/>
      <c r="L76" s="282"/>
      <c r="M76" s="363"/>
      <c r="N76" s="363"/>
      <c r="O76" s="145"/>
      <c r="P76" s="145"/>
      <c r="Q76" s="145"/>
      <c r="R76" s="100"/>
      <c r="S76" s="100"/>
      <c r="T76" s="100"/>
      <c r="U76" s="156"/>
      <c r="V76" s="100"/>
    </row>
    <row r="77" ht="32.25" customHeight="1" outlineLevel="1">
      <c r="A77" s="133" t="s">
        <v>6376</v>
      </c>
      <c r="B77" s="147" t="s">
        <v>125</v>
      </c>
      <c r="C77" s="216" t="s">
        <v>627</v>
      </c>
      <c r="D77" s="455" t="s">
        <v>1577</v>
      </c>
      <c r="E77" s="139" t="s">
        <v>93</v>
      </c>
      <c r="F77" s="139">
        <v>8.4</v>
      </c>
      <c r="G77" s="139" t="s">
        <v>95</v>
      </c>
      <c r="H77" s="163" t="s">
        <v>6377</v>
      </c>
      <c r="I77" s="164"/>
      <c r="J77" s="104"/>
      <c r="K77" s="282"/>
      <c r="L77" s="282"/>
      <c r="M77" s="363"/>
      <c r="N77" s="363"/>
      <c r="O77" s="145"/>
      <c r="P77" s="145"/>
      <c r="Q77" s="145"/>
      <c r="R77" s="100"/>
      <c r="S77" s="100"/>
      <c r="T77" s="100"/>
      <c r="U77" s="3301"/>
      <c r="V77" s="100"/>
    </row>
    <row r="78" ht="32.25" customHeight="1" outlineLevel="1">
      <c r="A78" s="156"/>
      <c r="B78" s="147" t="s">
        <v>131</v>
      </c>
      <c r="C78" s="216" t="s">
        <v>1990</v>
      </c>
      <c r="D78" s="107"/>
      <c r="E78" s="139" t="s">
        <v>2454</v>
      </c>
      <c r="F78" s="139">
        <v>17.4</v>
      </c>
      <c r="G78" s="139" t="s">
        <v>297</v>
      </c>
      <c r="H78" s="106"/>
      <c r="I78" s="168"/>
      <c r="J78" s="107"/>
      <c r="K78" s="282"/>
      <c r="L78" s="282"/>
      <c r="M78" s="363"/>
      <c r="N78" s="363"/>
      <c r="O78" s="145"/>
      <c r="P78" s="145"/>
      <c r="Q78" s="145"/>
      <c r="R78" s="100"/>
      <c r="S78" s="100"/>
      <c r="T78" s="100"/>
      <c r="U78" s="156"/>
      <c r="V78" s="100"/>
    </row>
    <row r="79" outlineLevel="1">
      <c r="A79" s="133" t="s">
        <v>6378</v>
      </c>
      <c r="B79" s="147" t="s">
        <v>125</v>
      </c>
      <c r="C79" s="216" t="s">
        <v>466</v>
      </c>
      <c r="D79" s="455" t="s">
        <v>1573</v>
      </c>
      <c r="E79" s="139" t="s">
        <v>86</v>
      </c>
      <c r="F79" s="139">
        <v>7.199999999999999</v>
      </c>
      <c r="G79" s="139" t="s">
        <v>102</v>
      </c>
      <c r="H79" s="163"/>
      <c r="I79" s="164"/>
      <c r="J79" s="104"/>
      <c r="K79" s="282"/>
      <c r="L79" s="282"/>
      <c r="M79" s="363"/>
      <c r="N79" s="363"/>
      <c r="O79" s="145">
        <v>0.0</v>
      </c>
      <c r="P79" s="145">
        <v>1.0</v>
      </c>
      <c r="Q79" s="145">
        <v>1.0</v>
      </c>
      <c r="R79" s="100"/>
      <c r="S79" s="100"/>
      <c r="T79" s="100"/>
      <c r="U79" s="3301"/>
      <c r="V79" s="100"/>
    </row>
    <row r="80" outlineLevel="1">
      <c r="A80" s="146"/>
      <c r="B80" s="147" t="s">
        <v>131</v>
      </c>
      <c r="C80" s="216" t="s">
        <v>271</v>
      </c>
      <c r="D80" s="210"/>
      <c r="E80" s="139" t="s">
        <v>204</v>
      </c>
      <c r="F80" s="139">
        <v>3.5999999999999996</v>
      </c>
      <c r="G80" s="139" t="s">
        <v>147</v>
      </c>
      <c r="H80" s="212"/>
      <c r="J80" s="210"/>
      <c r="K80" s="282"/>
      <c r="L80" s="282"/>
      <c r="M80" s="363"/>
      <c r="N80" s="363"/>
      <c r="O80" s="145"/>
      <c r="P80" s="145"/>
      <c r="Q80" s="145"/>
      <c r="R80" s="100"/>
      <c r="S80" s="100"/>
      <c r="T80" s="100"/>
      <c r="U80" s="146"/>
      <c r="V80" s="100"/>
    </row>
    <row r="81" outlineLevel="1">
      <c r="A81" s="146"/>
      <c r="B81" s="147" t="s">
        <v>434</v>
      </c>
      <c r="C81" s="216" t="s">
        <v>111</v>
      </c>
      <c r="D81" s="210"/>
      <c r="E81" s="139" t="s">
        <v>204</v>
      </c>
      <c r="F81" s="139">
        <v>3.5999999999999996</v>
      </c>
      <c r="G81" s="139" t="s">
        <v>147</v>
      </c>
      <c r="H81" s="212"/>
      <c r="J81" s="210"/>
      <c r="K81" s="282"/>
      <c r="L81" s="282"/>
      <c r="M81" s="363"/>
      <c r="N81" s="363"/>
      <c r="O81" s="145"/>
      <c r="P81" s="145"/>
      <c r="Q81" s="145"/>
      <c r="R81" s="100"/>
      <c r="S81" s="100"/>
      <c r="T81" s="100"/>
      <c r="U81" s="146"/>
      <c r="V81" s="100"/>
    </row>
    <row r="82" outlineLevel="1">
      <c r="A82" s="156"/>
      <c r="B82" s="147" t="s">
        <v>520</v>
      </c>
      <c r="C82" s="216" t="s">
        <v>335</v>
      </c>
      <c r="D82" s="107"/>
      <c r="E82" s="139" t="s">
        <v>86</v>
      </c>
      <c r="F82" s="139">
        <v>7.199999999999999</v>
      </c>
      <c r="G82" s="139" t="s">
        <v>102</v>
      </c>
      <c r="H82" s="106"/>
      <c r="I82" s="168"/>
      <c r="J82" s="107"/>
      <c r="K82" s="282"/>
      <c r="L82" s="282"/>
      <c r="M82" s="363"/>
      <c r="N82" s="363"/>
      <c r="O82" s="145">
        <v>0.0</v>
      </c>
      <c r="P82" s="145">
        <v>1.0</v>
      </c>
      <c r="Q82" s="145">
        <v>1.0</v>
      </c>
      <c r="R82" s="100"/>
      <c r="S82" s="100"/>
      <c r="T82" s="100"/>
      <c r="U82" s="156"/>
      <c r="V82" s="100"/>
    </row>
    <row r="83">
      <c r="A83" s="118"/>
      <c r="B83" s="176"/>
      <c r="C83" s="118"/>
      <c r="D83" s="118"/>
      <c r="E83" s="118"/>
      <c r="F83" s="177"/>
      <c r="G83" s="177"/>
      <c r="H83" s="118"/>
      <c r="I83" s="118"/>
      <c r="J83" s="118"/>
      <c r="K83" s="118"/>
      <c r="L83" s="118"/>
      <c r="M83" s="118"/>
      <c r="N83" s="118"/>
      <c r="O83" s="118"/>
      <c r="P83" s="118"/>
      <c r="Q83" s="118"/>
      <c r="R83" s="118"/>
      <c r="S83" s="118"/>
      <c r="T83" s="118"/>
      <c r="U83" s="118"/>
      <c r="V83" s="118"/>
    </row>
    <row r="84">
      <c r="A84" s="178" t="s">
        <v>133</v>
      </c>
      <c r="B84" s="104"/>
      <c r="C84" s="179"/>
      <c r="D84" s="179"/>
      <c r="E84" s="179"/>
      <c r="F84" s="180"/>
      <c r="G84" s="179"/>
      <c r="H84" s="180"/>
      <c r="I84" s="180"/>
      <c r="J84" s="181"/>
      <c r="K84" s="180"/>
      <c r="L84" s="180"/>
      <c r="M84" s="180"/>
      <c r="N84" s="180"/>
      <c r="O84" s="180"/>
      <c r="P84" s="180"/>
      <c r="Q84" s="180"/>
      <c r="R84" s="180"/>
      <c r="S84" s="180"/>
      <c r="T84" s="180"/>
      <c r="U84" s="180"/>
      <c r="V84" s="180"/>
    </row>
    <row r="85" outlineLevel="1">
      <c r="A85" s="106"/>
      <c r="B85" s="107"/>
      <c r="C85" s="182" t="s">
        <v>48</v>
      </c>
      <c r="D85" s="183" t="s">
        <v>49</v>
      </c>
      <c r="E85" s="182" t="s">
        <v>50</v>
      </c>
      <c r="F85" s="184" t="s">
        <v>51</v>
      </c>
      <c r="G85" s="184" t="s">
        <v>134</v>
      </c>
      <c r="H85" s="185" t="s">
        <v>52</v>
      </c>
      <c r="I85" s="184" t="s">
        <v>135</v>
      </c>
      <c r="J85" s="186" t="s">
        <v>136</v>
      </c>
      <c r="K85" s="184" t="s">
        <v>137</v>
      </c>
      <c r="L85" s="184" t="s">
        <v>138</v>
      </c>
      <c r="M85" s="184" t="s">
        <v>139</v>
      </c>
      <c r="N85" s="184" t="s">
        <v>140</v>
      </c>
      <c r="O85" s="186" t="s">
        <v>141</v>
      </c>
      <c r="P85" s="184" t="s">
        <v>142</v>
      </c>
      <c r="Q85" s="186" t="s">
        <v>143</v>
      </c>
      <c r="R85" s="372" t="s">
        <v>53</v>
      </c>
      <c r="S85" s="110"/>
      <c r="T85" s="110"/>
      <c r="U85" s="110"/>
      <c r="V85" s="109"/>
    </row>
    <row r="86" outlineLevel="1">
      <c r="A86" s="188" t="s">
        <v>6379</v>
      </c>
      <c r="B86" s="373"/>
      <c r="C86" s="239" t="s">
        <v>518</v>
      </c>
      <c r="D86" s="455" t="s">
        <v>593</v>
      </c>
      <c r="E86" s="239" t="s">
        <v>6380</v>
      </c>
      <c r="F86" s="239" t="s">
        <v>6381</v>
      </c>
      <c r="G86" s="239" t="s">
        <v>6382</v>
      </c>
      <c r="H86" s="239" t="s">
        <v>451</v>
      </c>
      <c r="I86" s="455" t="s">
        <v>93</v>
      </c>
      <c r="J86" s="455" t="s">
        <v>6383</v>
      </c>
      <c r="K86" s="138">
        <v>361.0</v>
      </c>
      <c r="L86" s="282"/>
      <c r="M86" s="363"/>
      <c r="N86" s="363"/>
      <c r="O86" s="145">
        <v>0.0</v>
      </c>
      <c r="P86" s="145">
        <v>1.0</v>
      </c>
      <c r="Q86" s="145">
        <v>1.0</v>
      </c>
      <c r="R86" s="163"/>
      <c r="S86" s="164"/>
      <c r="T86" s="164"/>
      <c r="U86" s="164"/>
      <c r="V86" s="104"/>
    </row>
    <row r="87" outlineLevel="1">
      <c r="A87" s="156"/>
      <c r="B87" s="373" t="s">
        <v>84</v>
      </c>
      <c r="C87" s="239" t="s">
        <v>1106</v>
      </c>
      <c r="D87" s="107"/>
      <c r="E87" s="239" t="s">
        <v>86</v>
      </c>
      <c r="F87" s="239" t="s">
        <v>87</v>
      </c>
      <c r="G87" s="239" t="s">
        <v>6384</v>
      </c>
      <c r="H87" s="239" t="s">
        <v>60</v>
      </c>
      <c r="I87" s="107"/>
      <c r="J87" s="107"/>
      <c r="K87" s="138">
        <v>363.0</v>
      </c>
      <c r="L87" s="282"/>
      <c r="M87" s="363"/>
      <c r="N87" s="363"/>
      <c r="O87" s="145">
        <v>0.0</v>
      </c>
      <c r="P87" s="145">
        <v>1.0</v>
      </c>
      <c r="Q87" s="145">
        <v>1.0</v>
      </c>
      <c r="R87" s="106"/>
      <c r="S87" s="168"/>
      <c r="T87" s="168"/>
      <c r="U87" s="168"/>
      <c r="V87" s="107"/>
    </row>
    <row r="88" outlineLevel="1">
      <c r="A88" s="188" t="s">
        <v>6385</v>
      </c>
      <c r="B88" s="373"/>
      <c r="C88" s="239" t="s">
        <v>518</v>
      </c>
      <c r="D88" s="455" t="s">
        <v>164</v>
      </c>
      <c r="E88" s="239" t="s">
        <v>228</v>
      </c>
      <c r="F88" s="239" t="s">
        <v>5977</v>
      </c>
      <c r="G88" s="239" t="s">
        <v>6386</v>
      </c>
      <c r="H88" s="239" t="s">
        <v>75</v>
      </c>
      <c r="I88" s="455" t="s">
        <v>128</v>
      </c>
      <c r="J88" s="455" t="s">
        <v>6383</v>
      </c>
      <c r="K88" s="138">
        <v>45.0</v>
      </c>
      <c r="L88" s="282"/>
      <c r="M88" s="363"/>
      <c r="N88" s="363"/>
      <c r="O88" s="145">
        <v>0.0</v>
      </c>
      <c r="P88" s="145">
        <v>1.0</v>
      </c>
      <c r="Q88" s="145">
        <v>1.0</v>
      </c>
      <c r="R88" s="163"/>
      <c r="S88" s="164"/>
      <c r="T88" s="164"/>
      <c r="U88" s="164"/>
      <c r="V88" s="104"/>
    </row>
    <row r="89" outlineLevel="1">
      <c r="A89" s="156"/>
      <c r="B89" s="373" t="s">
        <v>84</v>
      </c>
      <c r="C89" s="239" t="s">
        <v>1290</v>
      </c>
      <c r="D89" s="107"/>
      <c r="E89" s="239" t="s">
        <v>128</v>
      </c>
      <c r="F89" s="239" t="s">
        <v>129</v>
      </c>
      <c r="G89" s="239" t="s">
        <v>564</v>
      </c>
      <c r="H89" s="239" t="s">
        <v>147</v>
      </c>
      <c r="I89" s="107"/>
      <c r="J89" s="107"/>
      <c r="K89" s="138">
        <v>365.0</v>
      </c>
      <c r="L89" s="282"/>
      <c r="M89" s="363"/>
      <c r="N89" s="363"/>
      <c r="O89" s="145">
        <v>0.0</v>
      </c>
      <c r="P89" s="145">
        <v>1.0</v>
      </c>
      <c r="Q89" s="145">
        <v>1.0</v>
      </c>
      <c r="R89" s="106"/>
      <c r="S89" s="168"/>
      <c r="T89" s="168"/>
      <c r="U89" s="168"/>
      <c r="V89" s="107"/>
    </row>
    <row r="90" outlineLevel="1">
      <c r="A90" s="188" t="s">
        <v>6387</v>
      </c>
      <c r="B90" s="373"/>
      <c r="C90" s="239" t="s">
        <v>382</v>
      </c>
      <c r="D90" s="455" t="s">
        <v>146</v>
      </c>
      <c r="E90" s="239" t="s">
        <v>4151</v>
      </c>
      <c r="F90" s="239" t="s">
        <v>4152</v>
      </c>
      <c r="G90" s="239" t="s">
        <v>6388</v>
      </c>
      <c r="H90" s="239" t="s">
        <v>329</v>
      </c>
      <c r="I90" s="455" t="s">
        <v>128</v>
      </c>
      <c r="J90" s="455" t="s">
        <v>2282</v>
      </c>
      <c r="K90" s="138">
        <v>57.0</v>
      </c>
      <c r="L90" s="282"/>
      <c r="M90" s="363"/>
      <c r="N90" s="363"/>
      <c r="O90" s="145">
        <v>0.0</v>
      </c>
      <c r="P90" s="145">
        <v>1.0</v>
      </c>
      <c r="Q90" s="145">
        <v>1.0</v>
      </c>
      <c r="R90" s="163"/>
      <c r="S90" s="164"/>
      <c r="T90" s="164"/>
      <c r="U90" s="164"/>
      <c r="V90" s="104"/>
    </row>
    <row r="91" outlineLevel="1">
      <c r="A91" s="156"/>
      <c r="B91" s="373" t="s">
        <v>84</v>
      </c>
      <c r="C91" s="239" t="s">
        <v>544</v>
      </c>
      <c r="D91" s="107"/>
      <c r="E91" s="239" t="s">
        <v>128</v>
      </c>
      <c r="F91" s="239" t="s">
        <v>129</v>
      </c>
      <c r="G91" s="239" t="s">
        <v>564</v>
      </c>
      <c r="H91" s="239" t="s">
        <v>147</v>
      </c>
      <c r="I91" s="107"/>
      <c r="J91" s="107"/>
      <c r="K91" s="138">
        <v>241.0</v>
      </c>
      <c r="L91" s="282"/>
      <c r="M91" s="363"/>
      <c r="N91" s="363"/>
      <c r="O91" s="145">
        <v>0.0</v>
      </c>
      <c r="P91" s="145">
        <v>1.0</v>
      </c>
      <c r="Q91" s="145">
        <v>1.0</v>
      </c>
      <c r="R91" s="106"/>
      <c r="S91" s="168"/>
      <c r="T91" s="168"/>
      <c r="U91" s="168"/>
      <c r="V91" s="107"/>
    </row>
    <row r="92" outlineLevel="1">
      <c r="A92" s="188" t="s">
        <v>6389</v>
      </c>
      <c r="B92" s="373"/>
      <c r="C92" s="239" t="s">
        <v>270</v>
      </c>
      <c r="D92" s="455" t="s">
        <v>72</v>
      </c>
      <c r="E92" s="239" t="s">
        <v>129</v>
      </c>
      <c r="F92" s="239" t="s">
        <v>132</v>
      </c>
      <c r="G92" s="239" t="s">
        <v>6390</v>
      </c>
      <c r="H92" s="239" t="s">
        <v>75</v>
      </c>
      <c r="I92" s="455" t="s">
        <v>80</v>
      </c>
      <c r="J92" s="455" t="s">
        <v>5445</v>
      </c>
      <c r="K92" s="282"/>
      <c r="L92" s="282"/>
      <c r="M92" s="363"/>
      <c r="N92" s="363"/>
      <c r="O92" s="145">
        <v>0.0</v>
      </c>
      <c r="P92" s="145">
        <v>1.0</v>
      </c>
      <c r="Q92" s="145">
        <v>1.0</v>
      </c>
      <c r="R92" s="163" t="s">
        <v>6391</v>
      </c>
      <c r="S92" s="164"/>
      <c r="T92" s="164"/>
      <c r="U92" s="164"/>
      <c r="V92" s="104"/>
    </row>
    <row r="93" outlineLevel="1">
      <c r="A93" s="156"/>
      <c r="B93" s="373" t="s">
        <v>84</v>
      </c>
      <c r="C93" s="239" t="s">
        <v>277</v>
      </c>
      <c r="D93" s="107"/>
      <c r="E93" s="239" t="s">
        <v>274</v>
      </c>
      <c r="F93" s="239" t="s">
        <v>2987</v>
      </c>
      <c r="G93" s="239" t="s">
        <v>566</v>
      </c>
      <c r="H93" s="239" t="s">
        <v>147</v>
      </c>
      <c r="I93" s="107"/>
      <c r="J93" s="107"/>
      <c r="K93" s="282"/>
      <c r="L93" s="282"/>
      <c r="M93" s="363"/>
      <c r="N93" s="363"/>
      <c r="O93" s="145">
        <v>0.0</v>
      </c>
      <c r="P93" s="145">
        <v>1.0</v>
      </c>
      <c r="Q93" s="145">
        <v>1.0</v>
      </c>
      <c r="R93" s="106"/>
      <c r="S93" s="168"/>
      <c r="T93" s="168"/>
      <c r="U93" s="168"/>
      <c r="V93" s="107"/>
    </row>
    <row r="94" outlineLevel="1">
      <c r="A94" s="188" t="s">
        <v>6392</v>
      </c>
      <c r="B94" s="373"/>
      <c r="C94" s="239" t="s">
        <v>203</v>
      </c>
      <c r="D94" s="455" t="s">
        <v>600</v>
      </c>
      <c r="E94" s="239" t="s">
        <v>86</v>
      </c>
      <c r="F94" s="239" t="s">
        <v>87</v>
      </c>
      <c r="G94" s="239" t="s">
        <v>6384</v>
      </c>
      <c r="H94" s="239" t="s">
        <v>60</v>
      </c>
      <c r="I94" s="455" t="s">
        <v>193</v>
      </c>
      <c r="J94" s="455" t="s">
        <v>6393</v>
      </c>
      <c r="K94" s="282"/>
      <c r="L94" s="282"/>
      <c r="M94" s="363"/>
      <c r="N94" s="363"/>
      <c r="O94" s="145">
        <v>0.0</v>
      </c>
      <c r="P94" s="145">
        <v>1.0</v>
      </c>
      <c r="Q94" s="145">
        <v>1.0</v>
      </c>
      <c r="R94" s="163" t="s">
        <v>3746</v>
      </c>
      <c r="S94" s="164"/>
      <c r="T94" s="164"/>
      <c r="U94" s="164"/>
      <c r="V94" s="104"/>
    </row>
    <row r="95" outlineLevel="1">
      <c r="A95" s="146"/>
      <c r="B95" s="373"/>
      <c r="C95" s="239" t="s">
        <v>3312</v>
      </c>
      <c r="D95" s="210"/>
      <c r="E95" s="239" t="s">
        <v>386</v>
      </c>
      <c r="F95" s="239" t="s">
        <v>466</v>
      </c>
      <c r="G95" s="239" t="s">
        <v>6394</v>
      </c>
      <c r="H95" s="239" t="s">
        <v>75</v>
      </c>
      <c r="I95" s="210"/>
      <c r="J95" s="210"/>
      <c r="K95" s="282"/>
      <c r="L95" s="282"/>
      <c r="M95" s="363"/>
      <c r="N95" s="363"/>
      <c r="O95" s="145">
        <v>0.0</v>
      </c>
      <c r="P95" s="145">
        <v>1.0</v>
      </c>
      <c r="Q95" s="145">
        <v>1.0</v>
      </c>
      <c r="R95" s="212"/>
      <c r="V95" s="210"/>
    </row>
    <row r="96" outlineLevel="1">
      <c r="A96" s="156"/>
      <c r="B96" s="373" t="s">
        <v>664</v>
      </c>
      <c r="C96" s="239" t="s">
        <v>175</v>
      </c>
      <c r="D96" s="107"/>
      <c r="E96" s="239" t="s">
        <v>128</v>
      </c>
      <c r="F96" s="239" t="s">
        <v>129</v>
      </c>
      <c r="G96" s="239" t="s">
        <v>129</v>
      </c>
      <c r="H96" s="239" t="s">
        <v>121</v>
      </c>
      <c r="I96" s="107"/>
      <c r="J96" s="107"/>
      <c r="K96" s="282"/>
      <c r="L96" s="282"/>
      <c r="M96" s="363"/>
      <c r="N96" s="363"/>
      <c r="O96" s="145">
        <v>0.0</v>
      </c>
      <c r="P96" s="145">
        <v>1.0</v>
      </c>
      <c r="Q96" s="145">
        <v>1.0</v>
      </c>
      <c r="R96" s="106"/>
      <c r="S96" s="168"/>
      <c r="T96" s="168"/>
      <c r="U96" s="168"/>
      <c r="V96" s="107"/>
    </row>
    <row r="97">
      <c r="A97" s="223"/>
      <c r="B97" s="224"/>
      <c r="C97" s="225"/>
      <c r="D97" s="225"/>
      <c r="E97" s="226"/>
      <c r="F97" s="226"/>
      <c r="G97" s="226"/>
      <c r="H97" s="227"/>
      <c r="I97" s="227"/>
      <c r="J97" s="228"/>
      <c r="K97" s="228"/>
      <c r="L97" s="228"/>
      <c r="M97" s="228"/>
      <c r="N97" s="228"/>
      <c r="O97" s="228"/>
      <c r="P97" s="228"/>
      <c r="Q97" s="118"/>
      <c r="R97" s="118"/>
      <c r="S97" s="118"/>
      <c r="T97" s="118"/>
      <c r="U97" s="118"/>
      <c r="V97" s="118"/>
    </row>
    <row r="98">
      <c r="A98" s="229" t="s">
        <v>177</v>
      </c>
      <c r="B98" s="109"/>
      <c r="C98" s="225"/>
      <c r="D98" s="225"/>
      <c r="E98" s="226"/>
      <c r="F98" s="226"/>
      <c r="G98" s="226"/>
      <c r="H98" s="227"/>
      <c r="I98" s="227"/>
      <c r="J98" s="228"/>
      <c r="K98" s="228"/>
      <c r="L98" s="228"/>
      <c r="M98" s="228"/>
      <c r="N98" s="228"/>
      <c r="O98" s="228"/>
      <c r="P98" s="228"/>
      <c r="Q98" s="118"/>
      <c r="R98" s="118"/>
      <c r="S98" s="118"/>
      <c r="T98" s="118"/>
      <c r="U98" s="118"/>
      <c r="V98" s="118"/>
    </row>
    <row r="99" outlineLevel="1">
      <c r="A99" s="230" t="s">
        <v>6395</v>
      </c>
      <c r="B99" s="109"/>
      <c r="C99" s="231" t="s">
        <v>48</v>
      </c>
      <c r="D99" s="231" t="s">
        <v>49</v>
      </c>
      <c r="E99" s="232" t="s">
        <v>50</v>
      </c>
      <c r="F99" s="233" t="s">
        <v>51</v>
      </c>
      <c r="G99" s="232" t="s">
        <v>52</v>
      </c>
      <c r="H99" s="382" t="s">
        <v>53</v>
      </c>
      <c r="I99" s="110"/>
      <c r="J99" s="109"/>
      <c r="K99" s="235" t="s">
        <v>137</v>
      </c>
      <c r="L99" s="235" t="s">
        <v>138</v>
      </c>
      <c r="M99" s="235" t="s">
        <v>139</v>
      </c>
      <c r="N99" s="235" t="s">
        <v>140</v>
      </c>
      <c r="O99" s="236" t="s">
        <v>141</v>
      </c>
      <c r="P99" s="235" t="s">
        <v>142</v>
      </c>
      <c r="Q99" s="236" t="s">
        <v>143</v>
      </c>
      <c r="R99" s="235" t="s">
        <v>179</v>
      </c>
      <c r="S99" s="236" t="s">
        <v>180</v>
      </c>
      <c r="T99" s="236" t="s">
        <v>181</v>
      </c>
      <c r="U99" s="236" t="s">
        <v>182</v>
      </c>
      <c r="V99" s="236" t="s">
        <v>183</v>
      </c>
    </row>
    <row r="100" outlineLevel="1">
      <c r="A100" s="237" t="s">
        <v>332</v>
      </c>
      <c r="B100" s="243" t="s">
        <v>276</v>
      </c>
      <c r="C100" s="367" t="s">
        <v>6396</v>
      </c>
      <c r="D100" s="455" t="s">
        <v>4110</v>
      </c>
      <c r="E100" s="239" t="s">
        <v>129</v>
      </c>
      <c r="F100" s="138">
        <v>14.399999999999999</v>
      </c>
      <c r="G100" s="162" t="s">
        <v>6397</v>
      </c>
      <c r="H100" s="163" t="s">
        <v>6398</v>
      </c>
      <c r="I100" s="164"/>
      <c r="J100" s="104"/>
      <c r="K100" s="282"/>
      <c r="L100" s="282"/>
      <c r="M100" s="363"/>
      <c r="N100" s="363"/>
      <c r="O100" s="145">
        <v>0.0</v>
      </c>
      <c r="P100" s="145">
        <v>1.0</v>
      </c>
      <c r="Q100" s="145">
        <v>1.0</v>
      </c>
      <c r="R100" s="145" t="b">
        <v>1</v>
      </c>
      <c r="S100" s="145" t="b">
        <v>1</v>
      </c>
      <c r="T100" s="145"/>
      <c r="U100" s="166" t="s">
        <v>186</v>
      </c>
      <c r="V100" s="166" t="b">
        <v>1</v>
      </c>
    </row>
    <row r="101" outlineLevel="1">
      <c r="A101" s="146"/>
      <c r="B101" s="663" t="s">
        <v>279</v>
      </c>
      <c r="C101" s="146"/>
      <c r="D101" s="210"/>
      <c r="E101" s="239" t="s">
        <v>232</v>
      </c>
      <c r="F101" s="138">
        <v>13.2</v>
      </c>
      <c r="G101" s="162" t="s">
        <v>6399</v>
      </c>
      <c r="H101" s="212"/>
      <c r="J101" s="210"/>
      <c r="K101" s="282"/>
      <c r="L101" s="282"/>
      <c r="M101" s="363"/>
      <c r="N101" s="363"/>
      <c r="O101" s="145"/>
      <c r="P101" s="145"/>
      <c r="Q101" s="145"/>
      <c r="R101" s="145" t="b">
        <v>0</v>
      </c>
      <c r="S101" s="145" t="b">
        <v>0</v>
      </c>
      <c r="T101" s="145" t="b">
        <v>0</v>
      </c>
      <c r="U101" s="146"/>
      <c r="V101" s="146"/>
    </row>
    <row r="102" outlineLevel="1">
      <c r="A102" s="146"/>
      <c r="B102" s="663" t="s">
        <v>280</v>
      </c>
      <c r="C102" s="146"/>
      <c r="D102" s="107"/>
      <c r="E102" s="239" t="s">
        <v>128</v>
      </c>
      <c r="F102" s="138">
        <v>12.0</v>
      </c>
      <c r="G102" s="162" t="s">
        <v>6400</v>
      </c>
      <c r="H102" s="212"/>
      <c r="J102" s="210"/>
      <c r="K102" s="282"/>
      <c r="L102" s="282"/>
      <c r="M102" s="363"/>
      <c r="N102" s="363"/>
      <c r="O102" s="145">
        <v>0.0</v>
      </c>
      <c r="P102" s="145">
        <v>1.0</v>
      </c>
      <c r="Q102" s="145">
        <v>1.0</v>
      </c>
      <c r="R102" s="145" t="b">
        <v>1</v>
      </c>
      <c r="S102" s="145" t="b">
        <v>1</v>
      </c>
      <c r="T102" s="145"/>
      <c r="U102" s="146"/>
      <c r="V102" s="146"/>
    </row>
    <row r="103" outlineLevel="1">
      <c r="A103" s="237" t="s">
        <v>344</v>
      </c>
      <c r="B103" s="243" t="s">
        <v>276</v>
      </c>
      <c r="C103" s="146"/>
      <c r="D103" s="455" t="s">
        <v>208</v>
      </c>
      <c r="E103" s="139" t="s">
        <v>232</v>
      </c>
      <c r="F103" s="138">
        <v>13.2</v>
      </c>
      <c r="G103" s="162" t="s">
        <v>6399</v>
      </c>
      <c r="H103" s="212"/>
      <c r="J103" s="210"/>
      <c r="K103" s="282"/>
      <c r="L103" s="282"/>
      <c r="M103" s="363"/>
      <c r="N103" s="363"/>
      <c r="O103" s="145"/>
      <c r="P103" s="145"/>
      <c r="Q103" s="145"/>
      <c r="R103" s="145" t="b">
        <v>0</v>
      </c>
      <c r="S103" s="145" t="b">
        <v>0</v>
      </c>
      <c r="T103" s="145" t="b">
        <v>0</v>
      </c>
      <c r="U103" s="146"/>
      <c r="V103" s="146"/>
    </row>
    <row r="104" outlineLevel="1">
      <c r="A104" s="146"/>
      <c r="B104" s="663" t="s">
        <v>279</v>
      </c>
      <c r="C104" s="146"/>
      <c r="D104" s="210"/>
      <c r="E104" s="139" t="s">
        <v>128</v>
      </c>
      <c r="F104" s="138">
        <v>12.0</v>
      </c>
      <c r="G104" s="162" t="s">
        <v>6400</v>
      </c>
      <c r="H104" s="212"/>
      <c r="J104" s="210"/>
      <c r="K104" s="282"/>
      <c r="L104" s="282"/>
      <c r="M104" s="363"/>
      <c r="N104" s="363"/>
      <c r="O104" s="145"/>
      <c r="P104" s="145"/>
      <c r="Q104" s="145"/>
      <c r="R104" s="145" t="b">
        <v>0</v>
      </c>
      <c r="S104" s="145" t="b">
        <v>0</v>
      </c>
      <c r="T104" s="145" t="b">
        <v>0</v>
      </c>
      <c r="U104" s="146"/>
      <c r="V104" s="146"/>
    </row>
    <row r="105" outlineLevel="1">
      <c r="A105" s="146"/>
      <c r="B105" s="663" t="s">
        <v>280</v>
      </c>
      <c r="C105" s="156"/>
      <c r="D105" s="107"/>
      <c r="E105" s="139" t="s">
        <v>274</v>
      </c>
      <c r="F105" s="138">
        <v>10.799999999999999</v>
      </c>
      <c r="G105" s="162" t="s">
        <v>6401</v>
      </c>
      <c r="H105" s="106"/>
      <c r="I105" s="168"/>
      <c r="J105" s="107"/>
      <c r="K105" s="282"/>
      <c r="L105" s="282"/>
      <c r="M105" s="363"/>
      <c r="N105" s="363"/>
      <c r="O105" s="145"/>
      <c r="P105" s="145"/>
      <c r="Q105" s="145"/>
      <c r="R105" s="145" t="b">
        <v>0</v>
      </c>
      <c r="S105" s="145" t="b">
        <v>0</v>
      </c>
      <c r="T105" s="145" t="b">
        <v>0</v>
      </c>
      <c r="U105" s="156"/>
      <c r="V105" s="156"/>
    </row>
    <row r="106" outlineLevel="1">
      <c r="A106" s="230" t="s">
        <v>6402</v>
      </c>
      <c r="B106" s="109"/>
      <c r="C106" s="231" t="s">
        <v>48</v>
      </c>
      <c r="D106" s="231" t="s">
        <v>49</v>
      </c>
      <c r="E106" s="232" t="s">
        <v>50</v>
      </c>
      <c r="F106" s="233" t="s">
        <v>51</v>
      </c>
      <c r="G106" s="232" t="s">
        <v>52</v>
      </c>
      <c r="H106" s="382" t="s">
        <v>53</v>
      </c>
      <c r="I106" s="110"/>
      <c r="J106" s="109"/>
      <c r="K106" s="235" t="s">
        <v>137</v>
      </c>
      <c r="L106" s="235" t="s">
        <v>138</v>
      </c>
      <c r="M106" s="235" t="s">
        <v>139</v>
      </c>
      <c r="N106" s="235" t="s">
        <v>140</v>
      </c>
      <c r="O106" s="236" t="s">
        <v>141</v>
      </c>
      <c r="P106" s="235" t="s">
        <v>142</v>
      </c>
      <c r="Q106" s="236" t="s">
        <v>143</v>
      </c>
      <c r="R106" s="235" t="s">
        <v>179</v>
      </c>
      <c r="S106" s="236" t="s">
        <v>180</v>
      </c>
      <c r="T106" s="236" t="s">
        <v>181</v>
      </c>
      <c r="U106" s="236" t="s">
        <v>182</v>
      </c>
      <c r="V106" s="3198" t="s">
        <v>183</v>
      </c>
    </row>
    <row r="107" ht="27.0" customHeight="1" outlineLevel="1">
      <c r="A107" s="237" t="s">
        <v>1786</v>
      </c>
      <c r="B107" s="243" t="s">
        <v>2160</v>
      </c>
      <c r="C107" s="239" t="s">
        <v>153</v>
      </c>
      <c r="D107" s="455" t="s">
        <v>6403</v>
      </c>
      <c r="E107" s="239" t="s">
        <v>232</v>
      </c>
      <c r="F107" s="138">
        <v>13.2</v>
      </c>
      <c r="G107" s="239" t="s">
        <v>121</v>
      </c>
      <c r="H107" s="163" t="s">
        <v>6404</v>
      </c>
      <c r="I107" s="164"/>
      <c r="J107" s="104"/>
      <c r="K107" s="282"/>
      <c r="L107" s="282"/>
      <c r="M107" s="363"/>
      <c r="N107" s="363"/>
      <c r="O107" s="145">
        <v>0.0</v>
      </c>
      <c r="P107" s="145">
        <v>1.0</v>
      </c>
      <c r="Q107" s="145">
        <v>1.0</v>
      </c>
      <c r="R107" s="145" t="b">
        <v>1</v>
      </c>
      <c r="S107" s="145" t="b">
        <v>1</v>
      </c>
      <c r="T107" s="145"/>
      <c r="U107" s="166" t="s">
        <v>186</v>
      </c>
      <c r="V107" s="166" t="b">
        <v>1</v>
      </c>
    </row>
    <row r="108" ht="27.0" customHeight="1" outlineLevel="1">
      <c r="A108" s="146"/>
      <c r="B108" s="243" t="s">
        <v>84</v>
      </c>
      <c r="C108" s="239" t="s">
        <v>1694</v>
      </c>
      <c r="D108" s="107"/>
      <c r="E108" s="239" t="s">
        <v>86</v>
      </c>
      <c r="F108" s="138">
        <v>7.2</v>
      </c>
      <c r="G108" s="239" t="s">
        <v>102</v>
      </c>
      <c r="H108" s="106"/>
      <c r="I108" s="168"/>
      <c r="J108" s="107"/>
      <c r="K108" s="138"/>
      <c r="L108" s="138"/>
      <c r="M108" s="145"/>
      <c r="N108" s="145"/>
      <c r="O108" s="145">
        <v>0.0</v>
      </c>
      <c r="P108" s="145">
        <v>1.0</v>
      </c>
      <c r="Q108" s="145">
        <v>1.0</v>
      </c>
      <c r="R108" s="145" t="b">
        <v>1</v>
      </c>
      <c r="S108" s="145" t="b">
        <v>1</v>
      </c>
      <c r="T108" s="145"/>
      <c r="U108" s="156"/>
      <c r="V108" s="156"/>
    </row>
    <row r="109" outlineLevel="1">
      <c r="A109" s="230" t="s">
        <v>6405</v>
      </c>
      <c r="B109" s="109"/>
      <c r="C109" s="231" t="s">
        <v>48</v>
      </c>
      <c r="D109" s="231" t="s">
        <v>49</v>
      </c>
      <c r="E109" s="232" t="s">
        <v>50</v>
      </c>
      <c r="F109" s="233" t="s">
        <v>51</v>
      </c>
      <c r="G109" s="232" t="s">
        <v>52</v>
      </c>
      <c r="H109" s="382" t="s">
        <v>53</v>
      </c>
      <c r="I109" s="110"/>
      <c r="J109" s="109"/>
      <c r="K109" s="235" t="s">
        <v>137</v>
      </c>
      <c r="L109" s="235" t="s">
        <v>138</v>
      </c>
      <c r="M109" s="235" t="s">
        <v>139</v>
      </c>
      <c r="N109" s="235" t="s">
        <v>140</v>
      </c>
      <c r="O109" s="236" t="s">
        <v>141</v>
      </c>
      <c r="P109" s="235" t="s">
        <v>142</v>
      </c>
      <c r="Q109" s="236" t="s">
        <v>143</v>
      </c>
      <c r="R109" s="235" t="s">
        <v>179</v>
      </c>
      <c r="S109" s="236" t="s">
        <v>180</v>
      </c>
      <c r="T109" s="236" t="s">
        <v>181</v>
      </c>
      <c r="U109" s="236" t="s">
        <v>182</v>
      </c>
      <c r="V109" s="3198" t="s">
        <v>183</v>
      </c>
    </row>
    <row r="110" outlineLevel="1">
      <c r="A110" s="546" t="s">
        <v>184</v>
      </c>
      <c r="B110" s="402" t="s">
        <v>6406</v>
      </c>
      <c r="C110" s="239" t="s">
        <v>129</v>
      </c>
      <c r="D110" s="455" t="s">
        <v>1577</v>
      </c>
      <c r="E110" s="239" t="s">
        <v>466</v>
      </c>
      <c r="F110" s="138">
        <v>21.599999999999998</v>
      </c>
      <c r="G110" s="239" t="s">
        <v>294</v>
      </c>
      <c r="H110" s="163" t="s">
        <v>6407</v>
      </c>
      <c r="I110" s="164"/>
      <c r="J110" s="104"/>
      <c r="K110" s="138"/>
      <c r="L110" s="138"/>
      <c r="M110" s="145"/>
      <c r="N110" s="145"/>
      <c r="O110" s="145">
        <v>0.0</v>
      </c>
      <c r="P110" s="145">
        <v>1.0</v>
      </c>
      <c r="Q110" s="145">
        <v>1.0</v>
      </c>
      <c r="R110" s="145" t="b">
        <v>1</v>
      </c>
      <c r="S110" s="145" t="b">
        <v>1</v>
      </c>
      <c r="T110" s="145"/>
      <c r="U110" s="166" t="s">
        <v>3287</v>
      </c>
      <c r="V110" s="166" t="b">
        <v>0</v>
      </c>
    </row>
    <row r="111" outlineLevel="1">
      <c r="A111" s="146"/>
      <c r="B111" s="402" t="s">
        <v>6408</v>
      </c>
      <c r="C111" s="239" t="s">
        <v>383</v>
      </c>
      <c r="D111" s="210"/>
      <c r="E111" s="239" t="s">
        <v>153</v>
      </c>
      <c r="F111" s="138">
        <v>19.2</v>
      </c>
      <c r="G111" s="239" t="s">
        <v>82</v>
      </c>
      <c r="H111" s="212"/>
      <c r="J111" s="210"/>
      <c r="K111" s="138"/>
      <c r="L111" s="138"/>
      <c r="M111" s="145"/>
      <c r="N111" s="145"/>
      <c r="O111" s="145"/>
      <c r="P111" s="145"/>
      <c r="Q111" s="145"/>
      <c r="R111" s="145" t="b">
        <v>0</v>
      </c>
      <c r="S111" s="145" t="b">
        <v>0</v>
      </c>
      <c r="T111" s="145" t="b">
        <v>0</v>
      </c>
      <c r="U111" s="146"/>
      <c r="V111" s="146"/>
    </row>
    <row r="112" outlineLevel="1">
      <c r="A112" s="146"/>
      <c r="B112" s="402" t="s">
        <v>187</v>
      </c>
      <c r="C112" s="239" t="s">
        <v>460</v>
      </c>
      <c r="D112" s="210"/>
      <c r="E112" s="239" t="s">
        <v>228</v>
      </c>
      <c r="F112" s="138">
        <v>15.6</v>
      </c>
      <c r="G112" s="239" t="s">
        <v>407</v>
      </c>
      <c r="H112" s="212"/>
      <c r="J112" s="210"/>
      <c r="K112" s="138"/>
      <c r="L112" s="138"/>
      <c r="M112" s="145"/>
      <c r="N112" s="145"/>
      <c r="O112" s="145"/>
      <c r="P112" s="145"/>
      <c r="Q112" s="145"/>
      <c r="R112" s="145" t="b">
        <v>0</v>
      </c>
      <c r="S112" s="145" t="b">
        <v>0</v>
      </c>
      <c r="T112" s="145" t="b">
        <v>0</v>
      </c>
      <c r="U112" s="146"/>
      <c r="V112" s="146"/>
    </row>
    <row r="113" outlineLevel="1">
      <c r="A113" s="146"/>
      <c r="B113" s="402" t="s">
        <v>189</v>
      </c>
      <c r="C113" s="239" t="s">
        <v>312</v>
      </c>
      <c r="D113" s="210"/>
      <c r="E113" s="239" t="s">
        <v>128</v>
      </c>
      <c r="F113" s="138">
        <v>12.0</v>
      </c>
      <c r="G113" s="239" t="s">
        <v>121</v>
      </c>
      <c r="H113" s="212"/>
      <c r="J113" s="210"/>
      <c r="K113" s="138"/>
      <c r="L113" s="138"/>
      <c r="M113" s="145"/>
      <c r="N113" s="145"/>
      <c r="O113" s="145"/>
      <c r="P113" s="145"/>
      <c r="Q113" s="145"/>
      <c r="R113" s="145" t="b">
        <v>0</v>
      </c>
      <c r="S113" s="145" t="b">
        <v>0</v>
      </c>
      <c r="T113" s="145" t="b">
        <v>0</v>
      </c>
      <c r="U113" s="146"/>
      <c r="V113" s="146"/>
    </row>
    <row r="114" outlineLevel="1">
      <c r="A114" s="156"/>
      <c r="B114" s="402" t="s">
        <v>513</v>
      </c>
      <c r="C114" s="239" t="s">
        <v>2165</v>
      </c>
      <c r="D114" s="107"/>
      <c r="E114" s="239" t="s">
        <v>93</v>
      </c>
      <c r="F114" s="138">
        <v>8.4</v>
      </c>
      <c r="G114" s="239" t="s">
        <v>95</v>
      </c>
      <c r="H114" s="106"/>
      <c r="I114" s="168"/>
      <c r="J114" s="107"/>
      <c r="K114" s="138"/>
      <c r="L114" s="138"/>
      <c r="M114" s="145"/>
      <c r="N114" s="145"/>
      <c r="O114" s="145">
        <v>0.0</v>
      </c>
      <c r="P114" s="145">
        <v>1.0</v>
      </c>
      <c r="Q114" s="145">
        <v>1.0</v>
      </c>
      <c r="R114" s="145" t="b">
        <v>1</v>
      </c>
      <c r="S114" s="145" t="b">
        <v>1</v>
      </c>
      <c r="T114" s="145"/>
      <c r="U114" s="156"/>
      <c r="V114" s="156"/>
    </row>
    <row r="115" outlineLevel="1">
      <c r="A115" s="230" t="s">
        <v>6409</v>
      </c>
      <c r="B115" s="109"/>
      <c r="C115" s="231" t="s">
        <v>48</v>
      </c>
      <c r="D115" s="231" t="s">
        <v>49</v>
      </c>
      <c r="E115" s="232" t="s">
        <v>50</v>
      </c>
      <c r="F115" s="233" t="s">
        <v>51</v>
      </c>
      <c r="G115" s="232" t="s">
        <v>52</v>
      </c>
      <c r="H115" s="382" t="s">
        <v>53</v>
      </c>
      <c r="I115" s="110"/>
      <c r="J115" s="109"/>
      <c r="K115" s="235" t="s">
        <v>137</v>
      </c>
      <c r="L115" s="235" t="s">
        <v>138</v>
      </c>
      <c r="M115" s="235" t="s">
        <v>139</v>
      </c>
      <c r="N115" s="235" t="s">
        <v>140</v>
      </c>
      <c r="O115" s="236" t="s">
        <v>141</v>
      </c>
      <c r="P115" s="235" t="s">
        <v>142</v>
      </c>
      <c r="Q115" s="236" t="s">
        <v>143</v>
      </c>
      <c r="R115" s="235" t="s">
        <v>179</v>
      </c>
      <c r="S115" s="236" t="s">
        <v>180</v>
      </c>
      <c r="T115" s="236" t="s">
        <v>181</v>
      </c>
      <c r="U115" s="236" t="s">
        <v>182</v>
      </c>
      <c r="V115" s="3198" t="s">
        <v>183</v>
      </c>
    </row>
    <row r="116" outlineLevel="1">
      <c r="A116" s="546" t="s">
        <v>1786</v>
      </c>
      <c r="B116" s="402" t="s">
        <v>1152</v>
      </c>
      <c r="C116" s="239" t="s">
        <v>295</v>
      </c>
      <c r="D116" s="455" t="s">
        <v>6410</v>
      </c>
      <c r="E116" s="281"/>
      <c r="F116" s="476"/>
      <c r="G116" s="281"/>
      <c r="H116" s="163" t="s">
        <v>6411</v>
      </c>
      <c r="I116" s="164"/>
      <c r="J116" s="104"/>
      <c r="K116" s="138"/>
      <c r="L116" s="138"/>
      <c r="M116" s="145"/>
      <c r="N116" s="145"/>
      <c r="O116" s="145">
        <v>0.0</v>
      </c>
      <c r="P116" s="145">
        <v>1.0</v>
      </c>
      <c r="Q116" s="145">
        <v>1.0</v>
      </c>
      <c r="R116" s="145" t="b">
        <v>1</v>
      </c>
      <c r="S116" s="145" t="b">
        <v>1</v>
      </c>
      <c r="T116" s="145"/>
      <c r="U116" s="166" t="s">
        <v>186</v>
      </c>
      <c r="V116" s="166" t="b">
        <v>1</v>
      </c>
    </row>
    <row r="117" outlineLevel="1">
      <c r="A117" s="146"/>
      <c r="B117" s="402" t="s">
        <v>6412</v>
      </c>
      <c r="C117" s="239" t="s">
        <v>409</v>
      </c>
      <c r="D117" s="210"/>
      <c r="E117" s="139" t="s">
        <v>128</v>
      </c>
      <c r="F117" s="463">
        <v>12.0</v>
      </c>
      <c r="G117" s="139" t="s">
        <v>121</v>
      </c>
      <c r="H117" s="212"/>
      <c r="J117" s="210"/>
      <c r="K117" s="138"/>
      <c r="L117" s="138"/>
      <c r="M117" s="145"/>
      <c r="N117" s="145"/>
      <c r="O117" s="145"/>
      <c r="P117" s="145"/>
      <c r="Q117" s="145"/>
      <c r="R117" s="145" t="b">
        <v>0</v>
      </c>
      <c r="S117" s="145" t="b">
        <v>0</v>
      </c>
      <c r="T117" s="145" t="b">
        <v>0</v>
      </c>
      <c r="U117" s="146"/>
      <c r="V117" s="146"/>
    </row>
    <row r="118" outlineLevel="1">
      <c r="A118" s="146"/>
      <c r="B118" s="402" t="s">
        <v>4523</v>
      </c>
      <c r="C118" s="239" t="s">
        <v>454</v>
      </c>
      <c r="D118" s="210"/>
      <c r="E118" s="139" t="s">
        <v>128</v>
      </c>
      <c r="F118" s="463">
        <v>12.0</v>
      </c>
      <c r="G118" s="139" t="s">
        <v>121</v>
      </c>
      <c r="H118" s="212"/>
      <c r="J118" s="210"/>
      <c r="K118" s="138"/>
      <c r="L118" s="138"/>
      <c r="M118" s="145"/>
      <c r="N118" s="145"/>
      <c r="O118" s="145"/>
      <c r="P118" s="145"/>
      <c r="Q118" s="145"/>
      <c r="R118" s="145" t="b">
        <v>0</v>
      </c>
      <c r="S118" s="145" t="b">
        <v>0</v>
      </c>
      <c r="T118" s="145" t="b">
        <v>0</v>
      </c>
      <c r="U118" s="146"/>
      <c r="V118" s="146"/>
    </row>
    <row r="119" outlineLevel="1">
      <c r="A119" s="146"/>
      <c r="B119" s="402" t="s">
        <v>6413</v>
      </c>
      <c r="C119" s="239" t="s">
        <v>153</v>
      </c>
      <c r="D119" s="107"/>
      <c r="E119" s="139" t="s">
        <v>80</v>
      </c>
      <c r="F119" s="463">
        <v>9.6</v>
      </c>
      <c r="G119" s="281"/>
      <c r="H119" s="106"/>
      <c r="I119" s="168"/>
      <c r="J119" s="107"/>
      <c r="K119" s="138"/>
      <c r="L119" s="138"/>
      <c r="M119" s="145"/>
      <c r="N119" s="145"/>
      <c r="O119" s="145"/>
      <c r="P119" s="145"/>
      <c r="Q119" s="145"/>
      <c r="R119" s="145" t="b">
        <v>0</v>
      </c>
      <c r="S119" s="145" t="b">
        <v>0</v>
      </c>
      <c r="T119" s="145" t="b">
        <v>0</v>
      </c>
      <c r="U119" s="146"/>
      <c r="V119" s="146"/>
    </row>
    <row r="120" outlineLevel="1">
      <c r="A120" s="146"/>
      <c r="B120" s="624" t="s">
        <v>2912</v>
      </c>
      <c r="C120" s="239" t="s">
        <v>2152</v>
      </c>
      <c r="D120" s="476"/>
      <c r="E120" s="139" t="s">
        <v>128</v>
      </c>
      <c r="F120" s="463">
        <v>12.0</v>
      </c>
      <c r="G120" s="139" t="s">
        <v>121</v>
      </c>
      <c r="H120" s="163" t="s">
        <v>6414</v>
      </c>
      <c r="I120" s="164"/>
      <c r="J120" s="104"/>
      <c r="K120" s="138"/>
      <c r="L120" s="282"/>
      <c r="M120" s="363"/>
      <c r="N120" s="363"/>
      <c r="O120" s="145"/>
      <c r="P120" s="145"/>
      <c r="Q120" s="145"/>
      <c r="R120" s="145" t="b">
        <v>0</v>
      </c>
      <c r="S120" s="145" t="b">
        <v>0</v>
      </c>
      <c r="T120" s="145" t="b">
        <v>0</v>
      </c>
      <c r="U120" s="146"/>
      <c r="V120" s="146"/>
    </row>
    <row r="121" outlineLevel="1">
      <c r="A121" s="146"/>
      <c r="B121" s="624" t="s">
        <v>6415</v>
      </c>
      <c r="C121" s="239" t="s">
        <v>176</v>
      </c>
      <c r="D121" s="455" t="s">
        <v>221</v>
      </c>
      <c r="E121" s="139" t="s">
        <v>128</v>
      </c>
      <c r="F121" s="463">
        <v>12.0</v>
      </c>
      <c r="G121" s="139" t="s">
        <v>121</v>
      </c>
      <c r="H121" s="212"/>
      <c r="J121" s="210"/>
      <c r="K121" s="138"/>
      <c r="L121" s="282"/>
      <c r="M121" s="363"/>
      <c r="N121" s="363"/>
      <c r="O121" s="145"/>
      <c r="P121" s="145"/>
      <c r="Q121" s="145"/>
      <c r="R121" s="145" t="b">
        <v>0</v>
      </c>
      <c r="S121" s="145" t="b">
        <v>0</v>
      </c>
      <c r="T121" s="145" t="b">
        <v>0</v>
      </c>
      <c r="U121" s="146"/>
      <c r="V121" s="146"/>
    </row>
    <row r="122" outlineLevel="1">
      <c r="A122" s="156"/>
      <c r="B122" s="624" t="s">
        <v>6416</v>
      </c>
      <c r="C122" s="239" t="s">
        <v>73</v>
      </c>
      <c r="D122" s="107"/>
      <c r="E122" s="139" t="s">
        <v>394</v>
      </c>
      <c r="F122" s="463">
        <v>20.4</v>
      </c>
      <c r="G122" s="541"/>
      <c r="H122" s="106"/>
      <c r="I122" s="168"/>
      <c r="J122" s="107"/>
      <c r="K122" s="138"/>
      <c r="L122" s="282"/>
      <c r="M122" s="363"/>
      <c r="N122" s="363"/>
      <c r="O122" s="145"/>
      <c r="P122" s="145"/>
      <c r="Q122" s="145"/>
      <c r="R122" s="145" t="b">
        <v>0</v>
      </c>
      <c r="S122" s="145" t="b">
        <v>0</v>
      </c>
      <c r="T122" s="145" t="b">
        <v>0</v>
      </c>
      <c r="U122" s="156"/>
      <c r="V122" s="156"/>
    </row>
    <row r="123" outlineLevel="1">
      <c r="A123" s="230" t="s">
        <v>6417</v>
      </c>
      <c r="B123" s="109"/>
      <c r="C123" s="231" t="s">
        <v>48</v>
      </c>
      <c r="D123" s="231" t="s">
        <v>49</v>
      </c>
      <c r="E123" s="232" t="s">
        <v>50</v>
      </c>
      <c r="F123" s="233" t="s">
        <v>51</v>
      </c>
      <c r="G123" s="232" t="s">
        <v>52</v>
      </c>
      <c r="H123" s="382" t="s">
        <v>53</v>
      </c>
      <c r="I123" s="110"/>
      <c r="J123" s="109"/>
      <c r="K123" s="235" t="s">
        <v>137</v>
      </c>
      <c r="L123" s="235" t="s">
        <v>138</v>
      </c>
      <c r="M123" s="235" t="s">
        <v>139</v>
      </c>
      <c r="N123" s="235" t="s">
        <v>140</v>
      </c>
      <c r="O123" s="236" t="s">
        <v>141</v>
      </c>
      <c r="P123" s="235" t="s">
        <v>142</v>
      </c>
      <c r="Q123" s="236" t="s">
        <v>143</v>
      </c>
      <c r="R123" s="235" t="s">
        <v>179</v>
      </c>
      <c r="S123" s="236" t="s">
        <v>180</v>
      </c>
      <c r="T123" s="236" t="s">
        <v>181</v>
      </c>
      <c r="U123" s="236" t="s">
        <v>182</v>
      </c>
      <c r="V123" s="3198" t="s">
        <v>183</v>
      </c>
    </row>
    <row r="124" outlineLevel="1">
      <c r="A124" s="237" t="s">
        <v>6418</v>
      </c>
      <c r="B124" s="624" t="s">
        <v>1152</v>
      </c>
      <c r="C124" s="239" t="s">
        <v>295</v>
      </c>
      <c r="D124" s="113" t="s">
        <v>600</v>
      </c>
      <c r="E124" s="281"/>
      <c r="F124" s="476"/>
      <c r="G124" s="281"/>
      <c r="H124" s="151" t="s">
        <v>6419</v>
      </c>
      <c r="I124" s="110"/>
      <c r="J124" s="109"/>
      <c r="K124" s="138"/>
      <c r="L124" s="138"/>
      <c r="M124" s="145"/>
      <c r="N124" s="145"/>
      <c r="O124" s="145">
        <v>0.0</v>
      </c>
      <c r="P124" s="145">
        <v>1.0</v>
      </c>
      <c r="Q124" s="145">
        <v>1.0</v>
      </c>
      <c r="R124" s="145" t="b">
        <v>1</v>
      </c>
      <c r="S124" s="145" t="b">
        <v>1</v>
      </c>
      <c r="T124" s="145"/>
      <c r="U124" s="166" t="s">
        <v>186</v>
      </c>
      <c r="V124" s="166" t="b">
        <v>1</v>
      </c>
    </row>
    <row r="125" ht="22.5" customHeight="1" outlineLevel="1">
      <c r="A125" s="146"/>
      <c r="B125" s="624" t="s">
        <v>2912</v>
      </c>
      <c r="C125" s="239" t="s">
        <v>6420</v>
      </c>
      <c r="D125" s="281"/>
      <c r="E125" s="239" t="s">
        <v>6421</v>
      </c>
      <c r="F125" s="138">
        <v>19.8</v>
      </c>
      <c r="G125" s="239" t="s">
        <v>1187</v>
      </c>
      <c r="H125" s="163" t="s">
        <v>6422</v>
      </c>
      <c r="I125" s="164"/>
      <c r="J125" s="104"/>
      <c r="K125" s="138"/>
      <c r="L125" s="138"/>
      <c r="M125" s="145"/>
      <c r="N125" s="145"/>
      <c r="O125" s="145"/>
      <c r="P125" s="145"/>
      <c r="Q125" s="145"/>
      <c r="R125" s="145" t="b">
        <v>0</v>
      </c>
      <c r="S125" s="145" t="b">
        <v>0</v>
      </c>
      <c r="T125" s="145" t="b">
        <v>0</v>
      </c>
      <c r="U125" s="146"/>
      <c r="V125" s="146"/>
    </row>
    <row r="126" ht="22.5" customHeight="1" outlineLevel="1">
      <c r="A126" s="146"/>
      <c r="B126" s="624" t="s">
        <v>6415</v>
      </c>
      <c r="C126" s="239" t="s">
        <v>176</v>
      </c>
      <c r="D126" s="279" t="s">
        <v>221</v>
      </c>
      <c r="E126" s="239" t="s">
        <v>6423</v>
      </c>
      <c r="F126" s="138">
        <v>15.18</v>
      </c>
      <c r="G126" s="239" t="s">
        <v>407</v>
      </c>
      <c r="H126" s="212"/>
      <c r="J126" s="210"/>
      <c r="K126" s="138"/>
      <c r="L126" s="138"/>
      <c r="M126" s="145"/>
      <c r="N126" s="145"/>
      <c r="O126" s="145"/>
      <c r="P126" s="145"/>
      <c r="Q126" s="145"/>
      <c r="R126" s="145" t="b">
        <v>0</v>
      </c>
      <c r="S126" s="145" t="b">
        <v>0</v>
      </c>
      <c r="T126" s="145" t="b">
        <v>0</v>
      </c>
      <c r="U126" s="146"/>
      <c r="V126" s="146"/>
    </row>
    <row r="127" ht="22.5" customHeight="1" outlineLevel="1">
      <c r="A127" s="156"/>
      <c r="B127" s="624" t="s">
        <v>6416</v>
      </c>
      <c r="C127" s="239" t="s">
        <v>73</v>
      </c>
      <c r="D127" s="156"/>
      <c r="E127" s="239" t="s">
        <v>6424</v>
      </c>
      <c r="F127" s="138">
        <v>17.16</v>
      </c>
      <c r="G127" s="281"/>
      <c r="H127" s="106"/>
      <c r="I127" s="168"/>
      <c r="J127" s="107"/>
      <c r="K127" s="138"/>
      <c r="L127" s="138"/>
      <c r="M127" s="145"/>
      <c r="N127" s="145"/>
      <c r="O127" s="145"/>
      <c r="P127" s="145"/>
      <c r="Q127" s="145"/>
      <c r="R127" s="145" t="b">
        <v>0</v>
      </c>
      <c r="S127" s="145" t="b">
        <v>0</v>
      </c>
      <c r="T127" s="145" t="b">
        <v>0</v>
      </c>
      <c r="U127" s="146"/>
      <c r="V127" s="146"/>
    </row>
    <row r="128" outlineLevel="1">
      <c r="A128" s="237" t="s">
        <v>6425</v>
      </c>
      <c r="B128" s="624" t="s">
        <v>1152</v>
      </c>
      <c r="C128" s="239" t="s">
        <v>6426</v>
      </c>
      <c r="D128" s="113" t="s">
        <v>6427</v>
      </c>
      <c r="E128" s="281"/>
      <c r="F128" s="476"/>
      <c r="G128" s="281"/>
      <c r="H128" s="151" t="s">
        <v>6428</v>
      </c>
      <c r="I128" s="110"/>
      <c r="J128" s="109"/>
      <c r="K128" s="138"/>
      <c r="L128" s="138"/>
      <c r="M128" s="145"/>
      <c r="N128" s="145"/>
      <c r="O128" s="145"/>
      <c r="P128" s="145"/>
      <c r="Q128" s="145"/>
      <c r="R128" s="145" t="b">
        <v>0</v>
      </c>
      <c r="S128" s="145" t="b">
        <v>0</v>
      </c>
      <c r="T128" s="145" t="b">
        <v>0</v>
      </c>
      <c r="U128" s="166" t="s">
        <v>186</v>
      </c>
      <c r="V128" s="166" t="b">
        <v>1</v>
      </c>
    </row>
    <row r="129" ht="23.25" customHeight="1" outlineLevel="1">
      <c r="A129" s="146"/>
      <c r="B129" s="624" t="s">
        <v>2912</v>
      </c>
      <c r="C129" s="239" t="s">
        <v>6420</v>
      </c>
      <c r="D129" s="281"/>
      <c r="E129" s="239" t="s">
        <v>6429</v>
      </c>
      <c r="F129" s="138">
        <v>23.76</v>
      </c>
      <c r="G129" s="239" t="s">
        <v>889</v>
      </c>
      <c r="H129" s="163" t="s">
        <v>6422</v>
      </c>
      <c r="I129" s="164"/>
      <c r="J129" s="104"/>
      <c r="K129" s="138"/>
      <c r="L129" s="138"/>
      <c r="M129" s="145"/>
      <c r="N129" s="145"/>
      <c r="O129" s="145"/>
      <c r="P129" s="145"/>
      <c r="Q129" s="145"/>
      <c r="R129" s="145" t="b">
        <v>0</v>
      </c>
      <c r="S129" s="145" t="b">
        <v>0</v>
      </c>
      <c r="T129" s="145" t="b">
        <v>0</v>
      </c>
      <c r="U129" s="146"/>
      <c r="V129" s="146"/>
    </row>
    <row r="130" ht="23.25" customHeight="1" outlineLevel="1">
      <c r="A130" s="146"/>
      <c r="B130" s="624" t="s">
        <v>6415</v>
      </c>
      <c r="C130" s="239" t="s">
        <v>176</v>
      </c>
      <c r="D130" s="279" t="s">
        <v>221</v>
      </c>
      <c r="E130" s="239" t="s">
        <v>6424</v>
      </c>
      <c r="F130" s="138">
        <v>17.16</v>
      </c>
      <c r="G130" s="239" t="s">
        <v>297</v>
      </c>
      <c r="H130" s="212"/>
      <c r="J130" s="210"/>
      <c r="K130" s="138"/>
      <c r="L130" s="138"/>
      <c r="M130" s="145"/>
      <c r="N130" s="145"/>
      <c r="O130" s="145"/>
      <c r="P130" s="145"/>
      <c r="Q130" s="145"/>
      <c r="R130" s="145" t="b">
        <v>0</v>
      </c>
      <c r="S130" s="145" t="b">
        <v>0</v>
      </c>
      <c r="T130" s="145" t="b">
        <v>0</v>
      </c>
      <c r="U130" s="146"/>
      <c r="V130" s="146"/>
    </row>
    <row r="131" ht="23.25" customHeight="1" outlineLevel="1">
      <c r="A131" s="156"/>
      <c r="B131" s="624" t="s">
        <v>6416</v>
      </c>
      <c r="C131" s="239" t="s">
        <v>73</v>
      </c>
      <c r="D131" s="156"/>
      <c r="E131" s="239" t="s">
        <v>6430</v>
      </c>
      <c r="F131" s="138">
        <v>21.12</v>
      </c>
      <c r="G131" s="281"/>
      <c r="H131" s="106"/>
      <c r="I131" s="168"/>
      <c r="J131" s="107"/>
      <c r="K131" s="138"/>
      <c r="L131" s="138"/>
      <c r="M131" s="145"/>
      <c r="N131" s="145"/>
      <c r="O131" s="145">
        <v>0.0</v>
      </c>
      <c r="P131" s="145">
        <v>1.0</v>
      </c>
      <c r="Q131" s="145">
        <v>1.0</v>
      </c>
      <c r="R131" s="145" t="b">
        <v>1</v>
      </c>
      <c r="S131" s="145" t="b">
        <v>1</v>
      </c>
      <c r="T131" s="145"/>
      <c r="U131" s="156"/>
      <c r="V131" s="156"/>
    </row>
    <row r="132">
      <c r="A132" s="223"/>
      <c r="B132" s="224"/>
      <c r="C132" s="225"/>
      <c r="D132" s="225"/>
      <c r="E132" s="226"/>
      <c r="F132" s="226"/>
      <c r="G132" s="226"/>
      <c r="H132" s="227"/>
      <c r="I132" s="227"/>
      <c r="J132" s="228"/>
      <c r="K132" s="228"/>
      <c r="L132" s="228"/>
      <c r="M132" s="228"/>
      <c r="N132" s="228"/>
      <c r="O132" s="228"/>
      <c r="P132" s="228"/>
      <c r="Q132" s="118"/>
      <c r="R132" s="118"/>
      <c r="S132" s="118"/>
      <c r="T132" s="118"/>
      <c r="U132" s="118"/>
      <c r="V132" s="118"/>
    </row>
    <row r="133">
      <c r="A133" s="264" t="s">
        <v>211</v>
      </c>
      <c r="B133" s="104"/>
      <c r="C133" s="227"/>
      <c r="D133" s="227"/>
      <c r="E133" s="228"/>
      <c r="F133" s="265"/>
      <c r="G133" s="265"/>
      <c r="H133" s="228"/>
      <c r="I133" s="228"/>
      <c r="J133" s="228"/>
      <c r="K133" s="228"/>
      <c r="L133" s="228"/>
      <c r="M133" s="228"/>
      <c r="N133" s="118"/>
      <c r="O133" s="118"/>
      <c r="P133" s="118"/>
      <c r="Q133" s="228"/>
      <c r="R133" s="228"/>
      <c r="S133" s="228"/>
      <c r="T133" s="228"/>
      <c r="U133" s="228"/>
      <c r="V133" s="228"/>
    </row>
    <row r="134" outlineLevel="1">
      <c r="A134" s="106"/>
      <c r="B134" s="107"/>
      <c r="C134" s="266" t="s">
        <v>48</v>
      </c>
      <c r="D134" s="266" t="s">
        <v>49</v>
      </c>
      <c r="E134" s="266" t="s">
        <v>50</v>
      </c>
      <c r="F134" s="267" t="s">
        <v>51</v>
      </c>
      <c r="G134" s="227"/>
      <c r="H134" s="227"/>
      <c r="I134" s="227"/>
      <c r="J134" s="228"/>
      <c r="K134" s="228"/>
      <c r="L134" s="228"/>
      <c r="M134" s="228"/>
      <c r="N134" s="228"/>
      <c r="O134" s="228"/>
      <c r="P134" s="228"/>
      <c r="Q134" s="228"/>
      <c r="R134" s="228"/>
      <c r="S134" s="228"/>
      <c r="T134" s="228"/>
      <c r="U134" s="228"/>
      <c r="V134" s="228"/>
    </row>
    <row r="135" outlineLevel="1">
      <c r="A135" s="268" t="s">
        <v>6431</v>
      </c>
      <c r="B135" s="269" t="s">
        <v>212</v>
      </c>
      <c r="C135" s="113" t="s">
        <v>150</v>
      </c>
      <c r="D135" s="113" t="s">
        <v>394</v>
      </c>
      <c r="E135" s="113" t="s">
        <v>5211</v>
      </c>
      <c r="F135" s="138">
        <v>4.08</v>
      </c>
      <c r="G135" s="227"/>
      <c r="H135" s="227"/>
      <c r="I135" s="227"/>
      <c r="J135" s="228"/>
      <c r="K135" s="228"/>
      <c r="L135" s="228"/>
      <c r="M135" s="228"/>
      <c r="N135" s="228"/>
      <c r="O135" s="228"/>
      <c r="P135" s="228"/>
      <c r="Q135" s="228"/>
      <c r="R135" s="228"/>
      <c r="S135" s="228"/>
      <c r="T135" s="228"/>
      <c r="U135" s="228"/>
      <c r="V135" s="228"/>
    </row>
    <row r="136" outlineLevel="1">
      <c r="A136" s="270" t="s">
        <v>215</v>
      </c>
      <c r="B136" s="269" t="s">
        <v>216</v>
      </c>
      <c r="C136" s="113" t="s">
        <v>319</v>
      </c>
      <c r="D136" s="113" t="s">
        <v>118</v>
      </c>
      <c r="E136" s="271"/>
      <c r="F136" s="272"/>
      <c r="G136" s="272"/>
      <c r="H136" s="227"/>
      <c r="I136" s="227"/>
      <c r="J136" s="228"/>
      <c r="K136" s="228"/>
      <c r="L136" s="228"/>
      <c r="M136" s="228"/>
      <c r="N136" s="228"/>
      <c r="O136" s="228"/>
      <c r="P136" s="228"/>
      <c r="Q136" s="228"/>
      <c r="R136" s="228"/>
      <c r="S136" s="228"/>
      <c r="T136" s="228"/>
      <c r="U136" s="228"/>
      <c r="V136" s="228"/>
    </row>
    <row r="137" outlineLevel="1">
      <c r="A137" s="212"/>
      <c r="B137" s="269" t="s">
        <v>219</v>
      </c>
      <c r="C137" s="113" t="s">
        <v>220</v>
      </c>
      <c r="D137" s="113" t="s">
        <v>127</v>
      </c>
      <c r="E137" s="271"/>
      <c r="F137" s="272"/>
      <c r="G137" s="272"/>
      <c r="H137" s="227"/>
      <c r="I137" s="227"/>
      <c r="J137" s="228"/>
      <c r="K137" s="228"/>
      <c r="L137" s="228"/>
      <c r="M137" s="228"/>
      <c r="N137" s="228"/>
      <c r="O137" s="228"/>
      <c r="P137" s="228"/>
      <c r="Q137" s="228"/>
      <c r="R137" s="228"/>
      <c r="S137" s="228"/>
      <c r="T137" s="228"/>
      <c r="U137" s="228"/>
      <c r="V137" s="228"/>
    </row>
    <row r="138" outlineLevel="1">
      <c r="A138" s="106"/>
      <c r="B138" s="269" t="s">
        <v>222</v>
      </c>
      <c r="C138" s="113" t="s">
        <v>223</v>
      </c>
      <c r="D138" s="113" t="s">
        <v>127</v>
      </c>
      <c r="E138" s="227"/>
      <c r="F138" s="272"/>
      <c r="G138" s="272"/>
      <c r="H138" s="227"/>
      <c r="I138" s="227"/>
      <c r="J138" s="228"/>
      <c r="K138" s="228"/>
      <c r="L138" s="228"/>
      <c r="M138" s="228"/>
      <c r="N138" s="228"/>
      <c r="O138" s="228"/>
      <c r="P138" s="228"/>
      <c r="Q138" s="228"/>
      <c r="R138" s="228"/>
      <c r="S138" s="228"/>
      <c r="T138" s="228"/>
      <c r="U138" s="228"/>
      <c r="V138" s="228"/>
    </row>
    <row r="139" outlineLevel="1">
      <c r="A139" s="273" t="s">
        <v>225</v>
      </c>
      <c r="B139" s="109"/>
      <c r="C139" s="266" t="s">
        <v>48</v>
      </c>
      <c r="D139" s="266" t="s">
        <v>49</v>
      </c>
      <c r="E139" s="266" t="s">
        <v>50</v>
      </c>
      <c r="F139" s="267" t="s">
        <v>51</v>
      </c>
      <c r="G139" s="1168" t="s">
        <v>53</v>
      </c>
      <c r="H139" s="110"/>
      <c r="I139" s="110"/>
      <c r="J139" s="109"/>
      <c r="K139" s="275" t="s">
        <v>137</v>
      </c>
      <c r="L139" s="275" t="s">
        <v>138</v>
      </c>
      <c r="M139" s="275" t="s">
        <v>139</v>
      </c>
      <c r="N139" s="275" t="s">
        <v>140</v>
      </c>
      <c r="O139" s="276" t="s">
        <v>141</v>
      </c>
      <c r="P139" s="275" t="s">
        <v>142</v>
      </c>
      <c r="Q139" s="276" t="s">
        <v>143</v>
      </c>
      <c r="R139" s="277"/>
      <c r="S139" s="277"/>
      <c r="T139" s="277"/>
      <c r="U139" s="277"/>
      <c r="V139" s="277"/>
    </row>
    <row r="140" outlineLevel="1">
      <c r="A140" s="278" t="s">
        <v>6432</v>
      </c>
      <c r="B140" s="269" t="s">
        <v>5798</v>
      </c>
      <c r="C140" s="113" t="s">
        <v>299</v>
      </c>
      <c r="D140" s="279" t="s">
        <v>2269</v>
      </c>
      <c r="E140" s="239" t="s">
        <v>150</v>
      </c>
      <c r="F140" s="138">
        <v>6.0</v>
      </c>
      <c r="G140" s="1170"/>
      <c r="H140" s="164"/>
      <c r="I140" s="164"/>
      <c r="J140" s="104"/>
      <c r="K140" s="282"/>
      <c r="L140" s="282"/>
      <c r="M140" s="363"/>
      <c r="N140" s="145"/>
      <c r="O140" s="145">
        <v>0.0</v>
      </c>
      <c r="P140" s="145">
        <v>1.0</v>
      </c>
      <c r="Q140" s="145">
        <v>1.0</v>
      </c>
      <c r="R140" s="277"/>
      <c r="S140" s="228"/>
      <c r="T140" s="228"/>
      <c r="U140" s="228"/>
      <c r="V140" s="228"/>
    </row>
    <row r="141" outlineLevel="1">
      <c r="A141" s="146"/>
      <c r="B141" s="269" t="s">
        <v>4569</v>
      </c>
      <c r="C141" s="113" t="s">
        <v>2758</v>
      </c>
      <c r="D141" s="146"/>
      <c r="E141" s="239" t="s">
        <v>150</v>
      </c>
      <c r="F141" s="138">
        <v>6.0</v>
      </c>
      <c r="G141" s="212"/>
      <c r="J141" s="210"/>
      <c r="K141" s="282"/>
      <c r="L141" s="282"/>
      <c r="M141" s="363"/>
      <c r="N141" s="145"/>
      <c r="O141" s="261"/>
      <c r="P141" s="261"/>
      <c r="Q141" s="261"/>
      <c r="R141" s="277"/>
      <c r="S141" s="228"/>
      <c r="T141" s="228"/>
      <c r="U141" s="228"/>
      <c r="V141" s="228"/>
    </row>
    <row r="142" outlineLevel="1">
      <c r="A142" s="156"/>
      <c r="B142" s="269" t="s">
        <v>225</v>
      </c>
      <c r="C142" s="113" t="s">
        <v>221</v>
      </c>
      <c r="D142" s="156"/>
      <c r="E142" s="239" t="s">
        <v>176</v>
      </c>
      <c r="F142" s="138">
        <v>2.4</v>
      </c>
      <c r="G142" s="106"/>
      <c r="H142" s="168"/>
      <c r="I142" s="168"/>
      <c r="J142" s="107"/>
      <c r="K142" s="282"/>
      <c r="L142" s="282"/>
      <c r="M142" s="363"/>
      <c r="N142" s="145"/>
      <c r="O142" s="261"/>
      <c r="P142" s="261"/>
      <c r="Q142" s="261"/>
      <c r="R142" s="277"/>
      <c r="S142" s="228"/>
      <c r="T142" s="228"/>
      <c r="U142" s="228"/>
      <c r="V142" s="228"/>
    </row>
    <row r="143" outlineLevel="1">
      <c r="A143" s="278" t="s">
        <v>6433</v>
      </c>
      <c r="B143" s="269" t="s">
        <v>227</v>
      </c>
      <c r="C143" s="239" t="s">
        <v>374</v>
      </c>
      <c r="D143" s="279" t="s">
        <v>1202</v>
      </c>
      <c r="E143" s="239" t="s">
        <v>119</v>
      </c>
      <c r="F143" s="138">
        <v>16.8</v>
      </c>
      <c r="G143" s="283"/>
      <c r="H143" s="164"/>
      <c r="I143" s="164"/>
      <c r="J143" s="104"/>
      <c r="K143" s="282"/>
      <c r="L143" s="282"/>
      <c r="M143" s="363"/>
      <c r="N143" s="363"/>
      <c r="O143" s="145">
        <v>0.0</v>
      </c>
      <c r="P143" s="145">
        <v>1.0</v>
      </c>
      <c r="Q143" s="145">
        <v>1.0</v>
      </c>
      <c r="R143" s="277"/>
      <c r="S143" s="228"/>
      <c r="T143" s="228"/>
      <c r="U143" s="228"/>
      <c r="V143" s="228"/>
    </row>
    <row r="144" outlineLevel="1">
      <c r="A144" s="156"/>
      <c r="B144" s="269" t="s">
        <v>225</v>
      </c>
      <c r="C144" s="113" t="s">
        <v>111</v>
      </c>
      <c r="D144" s="156"/>
      <c r="E144" s="239" t="s">
        <v>209</v>
      </c>
      <c r="F144" s="138">
        <v>0.0</v>
      </c>
      <c r="G144" s="106"/>
      <c r="H144" s="168"/>
      <c r="I144" s="168"/>
      <c r="J144" s="107"/>
      <c r="K144" s="282"/>
      <c r="L144" s="282"/>
      <c r="M144" s="363"/>
      <c r="N144" s="363"/>
      <c r="O144" s="261"/>
      <c r="P144" s="261"/>
      <c r="Q144" s="261"/>
      <c r="R144" s="277"/>
      <c r="S144" s="228"/>
      <c r="T144" s="228"/>
      <c r="U144" s="228"/>
      <c r="V144" s="228"/>
    </row>
    <row r="145" ht="20.25" customHeight="1" outlineLevel="1">
      <c r="A145" s="278" t="s">
        <v>6434</v>
      </c>
      <c r="B145" s="269" t="s">
        <v>866</v>
      </c>
      <c r="C145" s="113" t="s">
        <v>6435</v>
      </c>
      <c r="D145" s="279" t="s">
        <v>2269</v>
      </c>
      <c r="E145" s="239" t="s">
        <v>128</v>
      </c>
      <c r="F145" s="138">
        <v>12.0</v>
      </c>
      <c r="G145" s="283" t="s">
        <v>6436</v>
      </c>
      <c r="H145" s="164"/>
      <c r="I145" s="164"/>
      <c r="J145" s="104"/>
      <c r="K145" s="282"/>
      <c r="L145" s="282"/>
      <c r="M145" s="363"/>
      <c r="N145" s="363"/>
      <c r="O145" s="145">
        <v>0.0</v>
      </c>
      <c r="P145" s="145">
        <v>1.0</v>
      </c>
      <c r="Q145" s="145">
        <v>1.0</v>
      </c>
      <c r="R145" s="277"/>
      <c r="S145" s="228"/>
      <c r="T145" s="228"/>
      <c r="U145" s="228"/>
      <c r="V145" s="228"/>
    </row>
    <row r="146" ht="20.25" customHeight="1" outlineLevel="1">
      <c r="A146" s="156"/>
      <c r="B146" s="269" t="s">
        <v>225</v>
      </c>
      <c r="C146" s="113" t="s">
        <v>119</v>
      </c>
      <c r="D146" s="156"/>
      <c r="E146" s="239" t="s">
        <v>176</v>
      </c>
      <c r="F146" s="138">
        <v>2.4</v>
      </c>
      <c r="G146" s="106"/>
      <c r="H146" s="168"/>
      <c r="I146" s="168"/>
      <c r="J146" s="107"/>
      <c r="K146" s="282"/>
      <c r="L146" s="282"/>
      <c r="M146" s="363"/>
      <c r="N146" s="363"/>
      <c r="O146" s="261"/>
      <c r="P146" s="261"/>
      <c r="Q146" s="261"/>
      <c r="R146" s="277"/>
      <c r="S146" s="117"/>
      <c r="T146" s="117"/>
      <c r="U146" s="117"/>
      <c r="V146" s="117"/>
    </row>
    <row r="147" outlineLevel="1">
      <c r="A147" s="278" t="s">
        <v>6437</v>
      </c>
      <c r="B147" s="269" t="s">
        <v>227</v>
      </c>
      <c r="C147" s="113" t="s">
        <v>218</v>
      </c>
      <c r="D147" s="279" t="s">
        <v>289</v>
      </c>
      <c r="E147" s="239" t="s">
        <v>93</v>
      </c>
      <c r="F147" s="138">
        <v>8.4</v>
      </c>
      <c r="G147" s="1170"/>
      <c r="H147" s="164"/>
      <c r="I147" s="164"/>
      <c r="J147" s="104"/>
      <c r="K147" s="282"/>
      <c r="L147" s="282"/>
      <c r="M147" s="363"/>
      <c r="N147" s="363"/>
      <c r="O147" s="145">
        <v>0.0</v>
      </c>
      <c r="P147" s="145">
        <v>1.0</v>
      </c>
      <c r="Q147" s="145">
        <v>1.0</v>
      </c>
      <c r="R147" s="277"/>
      <c r="S147" s="117"/>
      <c r="T147" s="117"/>
      <c r="U147" s="117"/>
      <c r="V147" s="117"/>
    </row>
    <row r="148" outlineLevel="1">
      <c r="A148" s="156"/>
      <c r="B148" s="269" t="s">
        <v>225</v>
      </c>
      <c r="C148" s="113" t="s">
        <v>193</v>
      </c>
      <c r="D148" s="156"/>
      <c r="E148" s="239" t="s">
        <v>213</v>
      </c>
      <c r="F148" s="138">
        <v>1.2</v>
      </c>
      <c r="G148" s="106"/>
      <c r="H148" s="168"/>
      <c r="I148" s="168"/>
      <c r="J148" s="107"/>
      <c r="K148" s="282"/>
      <c r="L148" s="282"/>
      <c r="M148" s="363"/>
      <c r="N148" s="363"/>
      <c r="O148" s="261"/>
      <c r="P148" s="261"/>
      <c r="Q148" s="261"/>
      <c r="R148" s="277"/>
      <c r="S148" s="117"/>
      <c r="T148" s="117"/>
      <c r="U148" s="117"/>
      <c r="V148" s="117"/>
    </row>
    <row r="149" outlineLevel="1">
      <c r="A149" s="278" t="s">
        <v>6438</v>
      </c>
      <c r="B149" s="269" t="s">
        <v>215</v>
      </c>
      <c r="C149" s="113" t="s">
        <v>93</v>
      </c>
      <c r="D149" s="113" t="s">
        <v>224</v>
      </c>
      <c r="E149" s="281"/>
      <c r="F149" s="476"/>
      <c r="G149" s="283" t="s">
        <v>6439</v>
      </c>
      <c r="H149" s="164"/>
      <c r="I149" s="164"/>
      <c r="J149" s="104"/>
      <c r="K149" s="282"/>
      <c r="L149" s="282"/>
      <c r="M149" s="363"/>
      <c r="N149" s="363"/>
      <c r="O149" s="145"/>
      <c r="P149" s="145"/>
      <c r="Q149" s="145"/>
      <c r="R149" s="277"/>
      <c r="S149" s="117"/>
      <c r="T149" s="117"/>
      <c r="U149" s="117"/>
      <c r="V149" s="117"/>
    </row>
    <row r="150" outlineLevel="1">
      <c r="A150" s="146"/>
      <c r="B150" s="269" t="s">
        <v>5798</v>
      </c>
      <c r="C150" s="113" t="s">
        <v>2357</v>
      </c>
      <c r="D150" s="279" t="s">
        <v>358</v>
      </c>
      <c r="E150" s="239" t="s">
        <v>128</v>
      </c>
      <c r="F150" s="138">
        <v>12.0</v>
      </c>
      <c r="G150" s="212"/>
      <c r="J150" s="210"/>
      <c r="K150" s="282"/>
      <c r="L150" s="282"/>
      <c r="M150" s="363"/>
      <c r="N150" s="363"/>
      <c r="O150" s="145">
        <v>0.0</v>
      </c>
      <c r="P150" s="145">
        <v>1.0</v>
      </c>
      <c r="Q150" s="145">
        <v>1.0</v>
      </c>
      <c r="R150" s="277"/>
      <c r="S150" s="117"/>
      <c r="T150" s="117"/>
      <c r="U150" s="117"/>
      <c r="V150" s="117"/>
    </row>
    <row r="151" outlineLevel="1">
      <c r="A151" s="146"/>
      <c r="B151" s="269" t="s">
        <v>4569</v>
      </c>
      <c r="C151" s="113" t="s">
        <v>2600</v>
      </c>
      <c r="D151" s="146"/>
      <c r="E151" s="239" t="s">
        <v>228</v>
      </c>
      <c r="F151" s="138">
        <v>15.6</v>
      </c>
      <c r="G151" s="212"/>
      <c r="J151" s="210"/>
      <c r="K151" s="282"/>
      <c r="L151" s="282"/>
      <c r="M151" s="363"/>
      <c r="N151" s="363"/>
      <c r="O151" s="261"/>
      <c r="P151" s="261"/>
      <c r="Q151" s="261"/>
      <c r="R151" s="277"/>
      <c r="S151" s="117"/>
      <c r="T151" s="117"/>
      <c r="U151" s="117"/>
      <c r="V151" s="117"/>
    </row>
    <row r="152" outlineLevel="1">
      <c r="A152" s="156"/>
      <c r="B152" s="269" t="s">
        <v>225</v>
      </c>
      <c r="C152" s="113" t="s">
        <v>1348</v>
      </c>
      <c r="D152" s="156"/>
      <c r="E152" s="239" t="s">
        <v>213</v>
      </c>
      <c r="F152" s="138">
        <v>1.2</v>
      </c>
      <c r="G152" s="106"/>
      <c r="H152" s="168"/>
      <c r="I152" s="168"/>
      <c r="J152" s="107"/>
      <c r="K152" s="282"/>
      <c r="L152" s="282"/>
      <c r="M152" s="363"/>
      <c r="N152" s="363"/>
      <c r="O152" s="261"/>
      <c r="P152" s="261"/>
      <c r="Q152" s="261"/>
      <c r="R152" s="277"/>
      <c r="S152" s="117"/>
      <c r="T152" s="117"/>
      <c r="U152" s="117"/>
      <c r="V152" s="117"/>
    </row>
    <row r="153">
      <c r="A153" s="223"/>
      <c r="B153" s="224"/>
      <c r="C153" s="225"/>
      <c r="D153" s="225"/>
      <c r="E153" s="227"/>
      <c r="F153" s="177"/>
      <c r="G153" s="177"/>
      <c r="H153" s="227"/>
      <c r="I153" s="227"/>
      <c r="J153" s="228"/>
      <c r="K153" s="228"/>
      <c r="L153" s="111"/>
      <c r="M153" s="111"/>
      <c r="N153" s="111"/>
      <c r="O153" s="117"/>
      <c r="P153" s="117"/>
      <c r="Q153" s="111"/>
      <c r="R153" s="111"/>
      <c r="S153" s="111"/>
      <c r="T153" s="111"/>
      <c r="U153" s="111"/>
      <c r="V153" s="111"/>
    </row>
    <row r="154">
      <c r="A154" s="284" t="s">
        <v>241</v>
      </c>
      <c r="B154" s="104"/>
      <c r="C154" s="265"/>
      <c r="D154" s="111"/>
      <c r="E154" s="111"/>
      <c r="F154" s="111"/>
      <c r="G154" s="111"/>
      <c r="H154" s="111"/>
      <c r="I154" s="111"/>
      <c r="J154" s="118"/>
      <c r="K154" s="111"/>
      <c r="L154" s="111"/>
      <c r="M154" s="111"/>
      <c r="N154" s="111"/>
      <c r="O154" s="111"/>
      <c r="P154" s="111"/>
      <c r="Q154" s="118"/>
      <c r="R154" s="111"/>
      <c r="S154" s="111"/>
      <c r="T154" s="111"/>
      <c r="U154" s="111"/>
      <c r="V154" s="111"/>
    </row>
    <row r="155" outlineLevel="1">
      <c r="A155" s="106"/>
      <c r="B155" s="107"/>
      <c r="C155" s="285" t="s">
        <v>235</v>
      </c>
      <c r="D155" s="285" t="s">
        <v>236</v>
      </c>
      <c r="E155" s="285" t="s">
        <v>49</v>
      </c>
      <c r="F155" s="285" t="s">
        <v>237</v>
      </c>
      <c r="G155" s="286"/>
      <c r="H155" s="227"/>
      <c r="I155" s="227"/>
      <c r="J155" s="228"/>
      <c r="K155" s="228"/>
      <c r="L155" s="111"/>
      <c r="M155" s="111"/>
      <c r="N155" s="111"/>
      <c r="O155" s="111"/>
      <c r="P155" s="111"/>
      <c r="Q155" s="111"/>
      <c r="R155" s="111"/>
      <c r="S155" s="111"/>
      <c r="T155" s="111"/>
      <c r="U155" s="111"/>
      <c r="V155" s="111"/>
    </row>
    <row r="156" outlineLevel="1">
      <c r="A156" s="287" t="s">
        <v>395</v>
      </c>
      <c r="B156" s="288" t="s">
        <v>216</v>
      </c>
      <c r="C156" s="113" t="str">
        <f t="array" ref="C156">INDEX('回避'!$C$3:$U$101, MATCH($A$1,'回避'!$A$3:$A$101,0), MATCH(C155,'回避'!$C$2:$F$2,0))</f>
        <v>3-17</v>
      </c>
      <c r="D156" s="113" t="str">
        <f t="array" ref="D156">INDEX('回避'!$C$3:$U$101, MATCH($A$1,'回避'!$A$3:$A$101,0), MATCH(D155,'回避'!$C$2:$F$2,0))</f>
        <v>6-17</v>
      </c>
      <c r="E156" s="113" t="str">
        <f t="array" ref="E156">INDEX('回避'!$C$3:$U$101, MATCH($A$1,'回避'!$A$3:$A$101,0), MATCH(E155,'回避'!$C$2:$F$2,0))</f>
        <v>25 (20)</v>
      </c>
      <c r="F156" s="113" t="str">
        <f t="array" ref="F156">INDEX('回避'!$C$3:$U$101, MATCH($A$1,'回避'!$A$3:$A$101,0), MATCH(F155,'回避'!$C$2:$F$2,0))</f>
        <v>33 (27)</v>
      </c>
      <c r="G156" s="272"/>
      <c r="H156" s="227"/>
      <c r="I156" s="227"/>
      <c r="J156" s="228"/>
      <c r="K156" s="228"/>
      <c r="L156" s="228"/>
      <c r="M156" s="111"/>
      <c r="N156" s="111"/>
      <c r="O156" s="111"/>
      <c r="P156" s="111"/>
      <c r="Q156" s="111"/>
      <c r="R156" s="111"/>
      <c r="S156" s="111"/>
      <c r="T156" s="111"/>
      <c r="U156" s="111"/>
      <c r="V156" s="111"/>
    </row>
    <row r="157" outlineLevel="1">
      <c r="A157" s="212"/>
      <c r="B157" s="288" t="s">
        <v>245</v>
      </c>
      <c r="C157" s="113" t="str">
        <f t="array" ref="C157">INDEX('回避'!$G$3:$U$101, MATCH($A$1,'回避'!$A$3:$A$101,0), MATCH(C155,'回避'!$C$2:$F$2,0))</f>
        <v>4-15</v>
      </c>
      <c r="D157" s="113" t="str">
        <f t="array" ref="D157">INDEX('回避'!$G$3:$U$101, MATCH($A$1,'回避'!$A$3:$A$101,0), MATCH(D155,'回避'!$C$2:$F$2,0))</f>
        <v>8-14</v>
      </c>
      <c r="E157" s="113" t="str">
        <f t="array" ref="E157">INDEX('回避'!$G$3:$U$101, MATCH($A$1,'回避'!$A$3:$A$101,0), MATCH(E155,'回避'!$C$2:$F$2,0))</f>
        <v>29</v>
      </c>
      <c r="F157" s="113" t="str">
        <f t="array" ref="F157">INDEX('回避'!$G$3:$U$101, MATCH($A$1,'回避'!$A$3:$A$101,0), MATCH(F155,'回避'!$C$2:$F$2,0))</f>
        <v>38</v>
      </c>
      <c r="G157" s="289"/>
      <c r="H157" s="227"/>
      <c r="I157" s="227"/>
      <c r="J157" s="228"/>
      <c r="K157" s="228"/>
      <c r="L157" s="228"/>
      <c r="M157" s="228"/>
      <c r="N157" s="228"/>
      <c r="O157" s="111"/>
      <c r="P157" s="111"/>
      <c r="Q157" s="111"/>
      <c r="R157" s="111"/>
      <c r="S157" s="111"/>
      <c r="T157" s="111"/>
      <c r="U157" s="111"/>
      <c r="V157" s="111"/>
    </row>
    <row r="158" outlineLevel="1">
      <c r="A158" s="106"/>
      <c r="B158" s="288" t="s">
        <v>246</v>
      </c>
      <c r="C158" s="113" t="str">
        <f t="array" ref="C158">INDEX('回避'!$K$3:$U$101, MATCH($A$1,'回避'!$A$3:$A$101,0), MATCH(C155,'回避'!$C$2:$F$2,0))</f>
        <v>5-16</v>
      </c>
      <c r="D158" s="113" t="str">
        <f t="array" ref="D158">INDEX('回避'!$K$3:$U$101, MATCH($A$1,'回避'!$A$3:$A$101,0), MATCH(D155,'回避'!$C$2:$F$2,0))</f>
        <v>9-14</v>
      </c>
      <c r="E158" s="113" t="str">
        <f t="array" ref="E158">INDEX('回避'!$K$3:$U$101, MATCH($A$1,'回避'!$A$3:$A$101,0), MATCH(E155,'回避'!$C$2:$F$2,0))</f>
        <v>34</v>
      </c>
      <c r="F158" s="113" t="str">
        <f t="array" ref="F158">INDEX('回避'!$K$3:$U$101, MATCH($A$1,'回避'!$A$3:$A$101,0), MATCH(F155,'回避'!$C$2:$F$2,0))</f>
        <v>51</v>
      </c>
      <c r="G158" s="289"/>
      <c r="H158" s="290"/>
      <c r="I158" s="290"/>
      <c r="J158" s="117"/>
      <c r="K158" s="117"/>
      <c r="L158" s="117"/>
      <c r="M158" s="117"/>
      <c r="N158" s="117"/>
      <c r="O158" s="111"/>
      <c r="P158" s="111"/>
      <c r="Q158" s="111"/>
      <c r="R158" s="111"/>
      <c r="S158" s="111"/>
      <c r="T158" s="111"/>
      <c r="U158" s="111"/>
      <c r="V158" s="111"/>
    </row>
    <row r="159" outlineLevel="1">
      <c r="A159" s="287" t="s">
        <v>396</v>
      </c>
      <c r="B159" s="288" t="s">
        <v>397</v>
      </c>
      <c r="C159" s="113" t="str">
        <f t="array" ref="C159">INDEX('回避'!$O$3:$U$101, MATCH($A$1,'回避'!$A$3:$A$101,0), MATCH(C155,'回避'!$C$2:$F$2,0))</f>
        <v>3-30</v>
      </c>
      <c r="D159" s="113" t="str">
        <f t="array" ref="D159">INDEX('回避'!$O$3:$U$101, MATCH($A$1,'回避'!$A$3:$A$101,0), MATCH(D155,'回避'!$C$2:$F$2,0))</f>
        <v>6-27</v>
      </c>
      <c r="E159" s="113" t="str">
        <f t="array" ref="E159">INDEX('回避'!$O$3:$U$101, MATCH($A$1,'回避'!$A$3:$A$101,0), MATCH(E155,'回避'!$C$2:$F$2,0))</f>
        <v>47</v>
      </c>
      <c r="F159" s="177"/>
      <c r="G159" s="177"/>
      <c r="H159" s="118"/>
      <c r="I159" s="118"/>
      <c r="J159" s="111"/>
      <c r="K159" s="111"/>
      <c r="L159" s="111"/>
      <c r="M159" s="111"/>
      <c r="N159" s="111"/>
      <c r="O159" s="228"/>
      <c r="P159" s="228"/>
      <c r="Q159" s="228"/>
      <c r="R159" s="228"/>
      <c r="S159" s="228"/>
      <c r="T159" s="228"/>
      <c r="U159" s="228"/>
      <c r="V159" s="228"/>
    </row>
    <row r="160" outlineLevel="1">
      <c r="A160" s="106"/>
      <c r="B160" s="288" t="s">
        <v>398</v>
      </c>
      <c r="C160" s="113" t="str">
        <f t="array" ref="C160">INDEX('回避'!$S$3:$U$101, MATCH($A$1,'回避'!$A$3:$A$101,0), MATCH(C155,'回避'!$C$2:$F$2,0))</f>
        <v>3-21</v>
      </c>
      <c r="D160" s="113" t="str">
        <f t="array" ref="D160">INDEX('回避'!$S$3:$U$101, MATCH($A$1,'回避'!$A$3:$A$101,0), MATCH(D155,'回避'!$C$2:$F$2,0))</f>
        <v>6-20</v>
      </c>
      <c r="E160" s="113" t="str">
        <f t="array" ref="E160">INDEX('回避'!$S$3:$U$101, MATCH($A$1,'回避'!$A$3:$A$101,0), MATCH(E155,'回避'!$C$2:$F$2,0))</f>
        <v>真横：78
真上：100
真下：64</v>
      </c>
      <c r="F160" s="289"/>
      <c r="G160" s="289"/>
      <c r="H160" s="118"/>
      <c r="I160" s="118"/>
      <c r="J160" s="117"/>
      <c r="K160" s="117"/>
      <c r="L160" s="117"/>
      <c r="M160" s="117"/>
      <c r="N160" s="111"/>
      <c r="O160" s="118"/>
      <c r="P160" s="118"/>
      <c r="Q160" s="118"/>
      <c r="R160" s="118"/>
      <c r="S160" s="118"/>
      <c r="T160" s="118"/>
      <c r="U160" s="118"/>
      <c r="V160" s="118"/>
    </row>
    <row r="161">
      <c r="A161" s="291"/>
      <c r="B161" s="292"/>
      <c r="C161" s="286"/>
      <c r="D161" s="286"/>
      <c r="E161" s="293"/>
      <c r="F161" s="286"/>
      <c r="G161" s="286"/>
      <c r="H161" s="286"/>
      <c r="I161" s="286"/>
      <c r="J161" s="111"/>
      <c r="K161" s="227"/>
      <c r="L161" s="227"/>
      <c r="M161" s="227"/>
      <c r="N161" s="227"/>
      <c r="O161" s="118"/>
      <c r="P161" s="118"/>
      <c r="Q161" s="118"/>
      <c r="R161" s="118"/>
      <c r="S161" s="118"/>
      <c r="T161" s="118"/>
      <c r="U161" s="118"/>
      <c r="V161" s="118"/>
    </row>
    <row r="162">
      <c r="A162" s="294" t="s">
        <v>238</v>
      </c>
      <c r="B162" s="104"/>
      <c r="C162" s="228"/>
      <c r="D162" s="117"/>
      <c r="E162" s="228"/>
      <c r="F162" s="114"/>
      <c r="G162" s="114"/>
      <c r="H162" s="117"/>
      <c r="I162" s="117"/>
      <c r="J162" s="118"/>
      <c r="K162" s="118"/>
      <c r="L162" s="118"/>
      <c r="M162" s="118"/>
      <c r="N162" s="118"/>
      <c r="O162" s="118"/>
      <c r="P162" s="118"/>
      <c r="Q162" s="118"/>
      <c r="R162" s="118"/>
      <c r="S162" s="118"/>
      <c r="T162" s="118"/>
      <c r="U162" s="118"/>
      <c r="V162" s="118"/>
    </row>
    <row r="163" outlineLevel="1">
      <c r="A163" s="106"/>
      <c r="B163" s="107"/>
      <c r="C163" s="295" t="s">
        <v>235</v>
      </c>
      <c r="D163" s="295" t="s">
        <v>49</v>
      </c>
      <c r="E163" s="295" t="s">
        <v>48</v>
      </c>
      <c r="F163" s="295" t="s">
        <v>50</v>
      </c>
      <c r="G163" s="296" t="s">
        <v>51</v>
      </c>
      <c r="H163" s="228"/>
      <c r="I163" s="228"/>
      <c r="J163" s="117"/>
      <c r="K163" s="297" t="s">
        <v>256</v>
      </c>
      <c r="L163" s="109"/>
      <c r="M163" s="298" t="s">
        <v>257</v>
      </c>
      <c r="N163" s="298" t="s">
        <v>49</v>
      </c>
      <c r="O163" s="118"/>
      <c r="P163" s="118"/>
      <c r="Q163" s="118"/>
      <c r="R163" s="118"/>
      <c r="S163" s="118"/>
      <c r="T163" s="118"/>
      <c r="U163" s="118"/>
      <c r="V163" s="118"/>
    </row>
    <row r="164" outlineLevel="1">
      <c r="A164" s="299" t="s">
        <v>239</v>
      </c>
      <c r="B164" s="300" t="s">
        <v>240</v>
      </c>
      <c r="C164" s="301"/>
      <c r="D164" s="113">
        <f t="array" ref="D164">INDEX('崖行動・受け身'!$C$3:$C$115, MATCH($A$1,'崖行動・受け身'!$A$3:$A$115,0), MATCH(D163,'崖行動・受け身'!$C$2,0))</f>
        <v>19</v>
      </c>
      <c r="E164" s="301"/>
      <c r="F164" s="301"/>
      <c r="G164" s="301"/>
      <c r="H164" s="228"/>
      <c r="I164" s="228"/>
      <c r="J164" s="111"/>
      <c r="K164" s="302" t="s">
        <v>258</v>
      </c>
      <c r="L164" s="303" t="s">
        <v>216</v>
      </c>
      <c r="M164" s="113" t="str">
        <f t="array" ref="M164">INDEX('アイテム'!$C$3:$D$115, MATCH($A$1,'アイテム'!$A$3:$A$115,0), MATCH(M$163,'アイテム'!$C$2:$AK$2,0))</f>
        <v>2</v>
      </c>
      <c r="N164" s="113">
        <f t="array" ref="N164">INDEX('アイテム'!$C$3:$D$115, MATCH($A$1,'アイテム'!$A$3:$A$115,0), MATCH(N$163,'アイテム'!$C$2:$AK$2,0))</f>
        <v>7</v>
      </c>
      <c r="O164" s="118"/>
      <c r="P164" s="118"/>
      <c r="Q164" s="118"/>
      <c r="R164" s="118"/>
      <c r="S164" s="118"/>
      <c r="T164" s="118"/>
      <c r="U164" s="118"/>
      <c r="V164" s="118"/>
    </row>
    <row r="165" outlineLevel="1">
      <c r="A165" s="146"/>
      <c r="B165" s="300" t="s">
        <v>216</v>
      </c>
      <c r="C165" s="113" t="str">
        <f t="array" ref="C165">INDEX('崖行動・受け身'!$D$3:$E$115, MATCH($A$1,'崖行動・受け身'!$A$3:$A$115,0), MATCH(C$163,'崖行動・受け身'!$D$2:$E$2,0))</f>
        <v>1-33</v>
      </c>
      <c r="D165" s="113">
        <f t="array" ref="D165">INDEX('崖行動・受け身'!$D$3:$E$115, MATCH($A$1,'崖行動・受け身'!$A$3:$A$115,0), MATCH(D$163,'崖行動・受け身'!$D$2:$E$2,0))</f>
        <v>34</v>
      </c>
      <c r="E165" s="301"/>
      <c r="F165" s="301"/>
      <c r="G165" s="301"/>
      <c r="H165" s="228"/>
      <c r="I165" s="228"/>
      <c r="J165" s="117"/>
      <c r="K165" s="156"/>
      <c r="L165" s="303" t="s">
        <v>5389</v>
      </c>
      <c r="M165" s="113" t="str">
        <f t="array" ref="M165">INDEX('アイテム'!$E$3:$F$115, MATCH($A$1,'アイテム'!$A$3:$A$115,0), MATCH(M$163,'アイテム'!$E$2:$AK$2,0))</f>
        <v>2</v>
      </c>
      <c r="N165" s="113">
        <f t="array" ref="N165">INDEX('アイテム'!$E$3:$F$115, MATCH($A$1,'アイテム'!$A$3:$A$115,0), MATCH(N$163,'アイテム'!$E$2:$AK$2,0))</f>
        <v>19</v>
      </c>
      <c r="O165" s="118"/>
      <c r="P165" s="118"/>
      <c r="Q165" s="118"/>
      <c r="R165" s="118"/>
      <c r="S165" s="118"/>
      <c r="T165" s="118"/>
      <c r="U165" s="118"/>
      <c r="V165" s="118"/>
    </row>
    <row r="166" outlineLevel="1">
      <c r="A166" s="146"/>
      <c r="B166" s="300" t="s">
        <v>241</v>
      </c>
      <c r="C166" s="113" t="str">
        <f t="array" ref="C166">INDEX('崖行動・受け身'!$F$3:$G$115, MATCH($A$1,'崖行動・受け身'!$A$3:$A$115,0), MATCH(C$163,'崖行動・受け身'!$F$2:$G$2,0))</f>
        <v>1-30</v>
      </c>
      <c r="D166" s="113">
        <f t="array" ref="D166">INDEX('崖行動・受け身'!$F$3:$G$115, MATCH($A$1,'崖行動・受け身'!$A$3:$A$115,0), MATCH(D$163,'崖行動・受け身'!$F$2:$G$2,0))</f>
        <v>45</v>
      </c>
      <c r="E166" s="301"/>
      <c r="F166" s="301"/>
      <c r="G166" s="301"/>
      <c r="H166" s="228"/>
      <c r="I166" s="228"/>
      <c r="J166" s="111"/>
      <c r="K166" s="304" t="s">
        <v>260</v>
      </c>
      <c r="L166" s="109"/>
      <c r="M166" s="298" t="s">
        <v>261</v>
      </c>
      <c r="N166" s="298" t="s">
        <v>49</v>
      </c>
      <c r="O166" s="118"/>
      <c r="P166" s="118"/>
      <c r="Q166" s="118"/>
      <c r="R166" s="118"/>
      <c r="S166" s="118"/>
      <c r="T166" s="118"/>
      <c r="U166" s="118"/>
      <c r="V166" s="118"/>
    </row>
    <row r="167" outlineLevel="1">
      <c r="A167" s="146"/>
      <c r="B167" s="300" t="s">
        <v>242</v>
      </c>
      <c r="C167" s="113" t="str">
        <f t="array" ref="C167">INDEX('崖行動・受け身'!$H$3:$I$115, MATCH($A$1,'崖行動・受け身'!$A$3:$A$115,0), MATCH(C$163,'崖行動・受け身'!$H$2:$I$2,0))</f>
        <v>1-12</v>
      </c>
      <c r="D167" s="113">
        <f t="array" ref="D167">INDEX('崖行動・受け身'!$H$3:$I$115, MATCH($A$1,'崖行動・受け身'!$A$3:$A$115,0), MATCH(D$163,'崖行動・受け身'!$H$2:$I$2,0))</f>
        <v>14</v>
      </c>
      <c r="E167" s="301"/>
      <c r="F167" s="301"/>
      <c r="G167" s="301"/>
      <c r="H167" s="228"/>
      <c r="I167" s="228"/>
      <c r="J167" s="117"/>
      <c r="K167" s="305" t="s">
        <v>262</v>
      </c>
      <c r="L167" s="303" t="s">
        <v>226</v>
      </c>
      <c r="M167" s="113" t="str">
        <f t="array" ref="M167">INDEX('アイテム'!$G$3:$H$115, MATCH($A$1,'アイテム'!$A$3:$A$115,0), MATCH(M$166,'アイテム'!$G$2:$AK$2,0))</f>
        <v>8</v>
      </c>
      <c r="N167" s="113">
        <f t="array" ref="N167">INDEX('アイテム'!$G$3:$H$115, MATCH($A$1,'アイテム'!$A$3:$A$115,0), MATCH(N$166,'アイテム'!$G$2:$AK$2,0))</f>
        <v>24</v>
      </c>
      <c r="O167" s="111"/>
      <c r="P167" s="111"/>
      <c r="Q167" s="111"/>
      <c r="R167" s="111"/>
      <c r="S167" s="111"/>
      <c r="T167" s="111"/>
      <c r="U167" s="111"/>
      <c r="V167" s="111"/>
    </row>
    <row r="168" outlineLevel="1">
      <c r="A168" s="156"/>
      <c r="B168" s="300" t="s">
        <v>243</v>
      </c>
      <c r="C168" s="113" t="str">
        <f t="array" ref="C168">INDEX('崖行動・受け身'!$J$3:$M$115, MATCH($A$1,'崖行動・受け身'!$A$3:$A$115,0), MATCH(C$163,'崖行動・受け身'!$J$2:$M$2,0))</f>
        <v>1-26</v>
      </c>
      <c r="D168" s="113">
        <f t="array" ref="D168">INDEX('崖行動・受け身'!$J$3:$M$115, MATCH($A$1,'崖行動・受け身'!$A$3:$A$115,0), MATCH(D$163,'崖行動・受け身'!$J$2:$M$2,0))</f>
        <v>55</v>
      </c>
      <c r="E168" s="113" t="str">
        <f t="array" ref="E168">INDEX('崖行動・受け身'!$J$3:$M$115, MATCH($A$1,'崖行動・受け身'!$A$3:$A$115,0), MATCH(E$163,'崖行動・受け身'!$J$2:$M$2,0))</f>
        <v>24-26</v>
      </c>
      <c r="F168" s="113">
        <f t="array" ref="F168">INDEX('崖行動・受け身'!$J$3:$M$115, MATCH($A$1,'崖行動・受け身'!$A$3:$A$115,0), MATCH(F$163,'崖行動・受け身'!$J$2:$M$2,0))</f>
        <v>10</v>
      </c>
      <c r="G168" s="113">
        <f>F168*1.2</f>
        <v>12</v>
      </c>
      <c r="H168" s="228"/>
      <c r="I168" s="228"/>
      <c r="J168" s="111"/>
      <c r="K168" s="146"/>
      <c r="L168" s="303" t="s">
        <v>229</v>
      </c>
      <c r="M168" s="113" t="str">
        <f t="array" ref="M168">INDEX('アイテム'!$I$3:$J$115, MATCH($A$1,'アイテム'!$A$3:$A$115,0), MATCH(M$166,'アイテム'!$I$2:$AK$2,0))</f>
        <v>11</v>
      </c>
      <c r="N168" s="113">
        <f t="array" ref="N168">INDEX('アイテム'!$I$3:$J$115, MATCH($A$1,'アイテム'!$A$3:$A$115,0), MATCH(N$166,'アイテム'!$I$2:$AK$2,0))</f>
        <v>24</v>
      </c>
      <c r="O168" s="111"/>
      <c r="P168" s="111"/>
      <c r="Q168" s="111"/>
      <c r="R168" s="111"/>
      <c r="S168" s="111"/>
      <c r="T168" s="111"/>
      <c r="U168" s="111"/>
      <c r="V168" s="111"/>
    </row>
    <row r="169" outlineLevel="1">
      <c r="A169" s="299" t="s">
        <v>244</v>
      </c>
      <c r="B169" s="300" t="s">
        <v>216</v>
      </c>
      <c r="C169" s="113" t="str">
        <f t="array" ref="C169">INDEX('崖行動・受け身'!$N$3:$O$115, MATCH($A$1,'崖行動・受け身'!$A$3:$A$115,0), MATCH(C$163,'崖行動・受け身'!$N$2:$O$2,0))</f>
        <v>1-20</v>
      </c>
      <c r="D169" s="113">
        <f t="array" ref="D169">INDEX('崖行動・受け身'!$N$3:$O$115, MATCH($A$1,'崖行動・受け身'!$A$3:$A$115,0), MATCH(D$163,'崖行動・受け身'!$N$2:$O$2,0))</f>
        <v>26</v>
      </c>
      <c r="E169" s="301"/>
      <c r="F169" s="301"/>
      <c r="G169" s="301"/>
      <c r="H169" s="228"/>
      <c r="I169" s="228"/>
      <c r="J169" s="117"/>
      <c r="K169" s="146"/>
      <c r="L169" s="303" t="s">
        <v>233</v>
      </c>
      <c r="M169" s="113" t="str">
        <f t="array" ref="M169">INDEX('アイテム'!$K$3:$L$115, MATCH($A$1,'アイテム'!$A$3:$A$115,0), MATCH(M$166,'アイテム'!$K$2:$AK$2,0))</f>
        <v>12</v>
      </c>
      <c r="N169" s="113">
        <f t="array" ref="N169">INDEX('アイテム'!$K$3:$L$115, MATCH($A$1,'アイテム'!$A$3:$A$115,0), MATCH(N$166,'アイテム'!$K$2:$AK$2,0))</f>
        <v>23</v>
      </c>
      <c r="O169" s="228"/>
      <c r="P169" s="228"/>
      <c r="Q169" s="228"/>
      <c r="R169" s="228"/>
      <c r="S169" s="228"/>
      <c r="T169" s="228"/>
      <c r="U169" s="228"/>
      <c r="V169" s="228"/>
    </row>
    <row r="170" outlineLevel="1">
      <c r="A170" s="146"/>
      <c r="B170" s="300" t="s">
        <v>245</v>
      </c>
      <c r="C170" s="113" t="str">
        <f t="array" ref="C170">INDEX('崖行動・受け身'!$P$3:$Q$115, MATCH($A$1,'崖行動・受け身'!$A$3:$A$115,0), MATCH(C$163,'崖行動・受け身'!$P$2:$Q$2,0))</f>
        <v>1-20</v>
      </c>
      <c r="D170" s="113">
        <f t="array" ref="D170">INDEX('崖行動・受け身'!$P$3:$Q$115, MATCH($A$1,'崖行動・受け身'!$A$3:$A$115,0), MATCH(D$163,'崖行動・受け身'!$P$2:$Q$2,0))</f>
        <v>40</v>
      </c>
      <c r="E170" s="301"/>
      <c r="F170" s="301"/>
      <c r="G170" s="301"/>
      <c r="H170" s="228"/>
      <c r="I170" s="228"/>
      <c r="J170" s="111"/>
      <c r="K170" s="146"/>
      <c r="L170" s="303" t="s">
        <v>234</v>
      </c>
      <c r="M170" s="113" t="str">
        <f t="array" ref="M170">INDEX('アイテム'!$M$3:$N$115, MATCH($A$1,'アイテム'!$A$3:$A$115,0), MATCH(M$166,'アイテム'!$M$2:$AK$2,0))</f>
        <v>7</v>
      </c>
      <c r="N170" s="113">
        <f t="array" ref="N170">INDEX('アイテム'!$M$3:$N$115, MATCH($A$1,'アイテム'!$A$3:$A$115,0), MATCH(N$166,'アイテム'!$M$2:$AK$2,0))</f>
        <v>19</v>
      </c>
      <c r="O170" s="118"/>
      <c r="P170" s="118"/>
      <c r="Q170" s="118"/>
      <c r="R170" s="118"/>
      <c r="S170" s="118"/>
      <c r="T170" s="118"/>
      <c r="U170" s="118"/>
      <c r="V170" s="118"/>
    </row>
    <row r="171" outlineLevel="1">
      <c r="A171" s="156"/>
      <c r="B171" s="300" t="s">
        <v>246</v>
      </c>
      <c r="C171" s="113" t="str">
        <f t="array" ref="C171">INDEX('崖行動・受け身'!$R$3:$S$115, MATCH($A$1,'崖行動・受け身'!$A$3:$A$115,0), MATCH(C$163,'崖行動・受け身'!$R$2:$S$2,0))</f>
        <v>1-20</v>
      </c>
      <c r="D171" s="113">
        <f t="array" ref="D171">INDEX('崖行動・受け身'!$R$3:$S$115, MATCH($A$1,'崖行動・受け身'!$A$3:$A$115,0), MATCH(D$163,'崖行動・受け身'!$R$2:$S$2,0))</f>
        <v>40</v>
      </c>
      <c r="E171" s="301"/>
      <c r="F171" s="301"/>
      <c r="G171" s="301"/>
      <c r="H171" s="228"/>
      <c r="I171" s="228"/>
      <c r="J171" s="117"/>
      <c r="K171" s="146"/>
      <c r="L171" s="306" t="s">
        <v>219</v>
      </c>
      <c r="M171" s="113" t="str">
        <f t="array" ref="M171">INDEX('アイテム'!$O$3:$P$115, MATCH($A$1,'アイテム'!$A$3:$A$115,0), MATCH(M$166,'アイテム'!$O$2:$AK$2,0))</f>
        <v>5</v>
      </c>
      <c r="N171" s="113">
        <f t="array" ref="N171">INDEX('アイテム'!$O$3:$P$115, MATCH($A$1,'アイテム'!$A$3:$A$115,0), MATCH(N$166,'アイテム'!$O$2:$AK$2,0))</f>
        <v>29</v>
      </c>
      <c r="O171" s="118"/>
      <c r="P171" s="118"/>
      <c r="Q171" s="118"/>
      <c r="R171" s="118"/>
      <c r="S171" s="118"/>
      <c r="T171" s="118"/>
      <c r="U171" s="118"/>
      <c r="V171" s="118"/>
    </row>
    <row r="172" outlineLevel="1">
      <c r="A172" s="299" t="s">
        <v>247</v>
      </c>
      <c r="B172" s="300" t="s">
        <v>248</v>
      </c>
      <c r="C172" s="301"/>
      <c r="D172" s="113" t="str">
        <f t="array" ref="D172">INDEX('起きあがり'!$C$3:$C$115, MATCH($A$1,'起きあがり'!$A$3:$A$115,0), MATCH(D$163,'起きあがり'!$C$2:$AD$2,0))</f>
        <v>25</v>
      </c>
      <c r="E172" s="301"/>
      <c r="F172" s="301"/>
      <c r="G172" s="301"/>
      <c r="H172" s="228"/>
      <c r="I172" s="228"/>
      <c r="J172" s="111"/>
      <c r="K172" s="156"/>
      <c r="L172" s="306" t="s">
        <v>263</v>
      </c>
      <c r="M172" s="113" t="str">
        <f t="array" ref="M172">INDEX('アイテム'!$Q$3:$R$115, MATCH($A$1,'アイテム'!$A$3:$A$115,0), MATCH(M$166,'アイテム'!$Q$2:$AK$2,0))</f>
        <v>6</v>
      </c>
      <c r="N172" s="113">
        <f t="array" ref="N172">INDEX('アイテム'!$Q$3:$R$115, MATCH($A$1,'アイテム'!$A$3:$A$115,0), MATCH(N$166,'アイテム'!$Q$2:$AK$2,0))</f>
        <v>23</v>
      </c>
      <c r="O172" s="118"/>
      <c r="P172" s="118"/>
      <c r="Q172" s="118"/>
      <c r="R172" s="118"/>
      <c r="S172" s="118"/>
      <c r="T172" s="118"/>
      <c r="U172" s="118"/>
      <c r="V172" s="118"/>
    </row>
    <row r="173" outlineLevel="1">
      <c r="A173" s="146"/>
      <c r="B173" s="300" t="s">
        <v>216</v>
      </c>
      <c r="C173" s="307" t="str">
        <f t="array" ref="C173">INDEX('起きあがり'!$D$3:$E$115, MATCH($A$1,'起きあがり'!$A$3:$A$115,0), MATCH(C$163,'起きあがり'!$D$2:$AD$2,0))</f>
        <v>1-22</v>
      </c>
      <c r="D173" s="308">
        <f t="array" ref="D173">INDEX('起きあがり'!$D$3:$E$115, MATCH($A$1,'起きあがり'!$A$3:$A$115,0), MATCH(D$163,'起きあがり'!$D$2:$AD$2,0))</f>
        <v>29</v>
      </c>
      <c r="E173" s="301"/>
      <c r="F173" s="301"/>
      <c r="G173" s="301"/>
      <c r="H173" s="228"/>
      <c r="I173" s="228"/>
      <c r="J173" s="117"/>
      <c r="K173" s="305" t="s">
        <v>264</v>
      </c>
      <c r="L173" s="303" t="s">
        <v>226</v>
      </c>
      <c r="M173" s="113" t="str">
        <f t="array" ref="M173">INDEX('アイテム'!$S$3:$T$115, MATCH($A$1,'アイテム'!$A$3:$A$115,0), MATCH(M$166,'アイテム'!$S$2:$AK$2,0))</f>
        <v>8</v>
      </c>
      <c r="N173" s="113">
        <f t="array" ref="N173">INDEX('アイテム'!$S$3:$T$115, MATCH($A$1,'アイテム'!$A$3:$A$115,0), MATCH(N$166,'アイテム'!$S$2:$AK$2,0))</f>
        <v>24</v>
      </c>
      <c r="O173" s="118"/>
      <c r="P173" s="118"/>
      <c r="Q173" s="118"/>
      <c r="R173" s="118"/>
      <c r="S173" s="118"/>
      <c r="T173" s="118"/>
      <c r="U173" s="118"/>
      <c r="V173" s="118"/>
    </row>
    <row r="174" outlineLevel="1">
      <c r="A174" s="146"/>
      <c r="B174" s="300" t="s">
        <v>245</v>
      </c>
      <c r="C174" s="307" t="str">
        <f t="array" ref="C174">INDEX('起きあがり'!$F$3:$G$115, MATCH($A$1,'起きあがり'!$A$3:$A$115,0), MATCH(C$163,'起きあがり'!$F$2:$AD$2,0))</f>
        <v>1-21</v>
      </c>
      <c r="D174" s="308">
        <f t="array" ref="D174">INDEX('起きあがり'!$F$3:$G$115, MATCH($A$1,'起きあがり'!$A$3:$A$115,0), MATCH(D$163,'起きあがり'!$F$2:$AD$2,0))</f>
        <v>35</v>
      </c>
      <c r="E174" s="301"/>
      <c r="F174" s="301"/>
      <c r="G174" s="301"/>
      <c r="H174" s="228"/>
      <c r="I174" s="228"/>
      <c r="J174" s="111"/>
      <c r="K174" s="146"/>
      <c r="L174" s="303" t="s">
        <v>229</v>
      </c>
      <c r="M174" s="113" t="str">
        <f t="array" ref="M174">INDEX('アイテム'!$U$3:$V$115, MATCH($A$1,'アイテム'!$A$3:$A$115,0), MATCH(M$166,'アイテム'!$U$2:$AK$2,0))</f>
        <v>11</v>
      </c>
      <c r="N174" s="113">
        <f t="array" ref="N174">INDEX('アイテム'!$U$3:$V$115, MATCH($A$1,'アイテム'!$A$3:$A$115,0), MATCH(N$166,'アイテム'!$U$2:$AK$2,0))</f>
        <v>24</v>
      </c>
      <c r="O174" s="118"/>
      <c r="P174" s="118"/>
      <c r="Q174" s="118"/>
      <c r="R174" s="118"/>
      <c r="S174" s="118"/>
      <c r="T174" s="118"/>
      <c r="U174" s="118"/>
      <c r="V174" s="118"/>
    </row>
    <row r="175" outlineLevel="1">
      <c r="A175" s="146"/>
      <c r="B175" s="300" t="s">
        <v>246</v>
      </c>
      <c r="C175" s="113" t="str">
        <f t="array" ref="C175">INDEX('起きあがり'!$H$3:$I$115, MATCH($A$1,'起きあがり'!$A$3:$A$115,0), MATCH(C$163,'起きあがり'!$H$2:$AD$2,0))</f>
        <v>1-22</v>
      </c>
      <c r="D175" s="113">
        <f t="array" ref="D175">INDEX('起きあがり'!$H$3:$I$115, MATCH($A$1,'起きあがり'!$A$3:$A$115,0), MATCH(D$163,'起きあがり'!$H$2:$AD$2,0))</f>
        <v>35</v>
      </c>
      <c r="E175" s="301"/>
      <c r="F175" s="301"/>
      <c r="G175" s="301"/>
      <c r="H175" s="228"/>
      <c r="I175" s="228"/>
      <c r="J175" s="117"/>
      <c r="K175" s="146"/>
      <c r="L175" s="303" t="s">
        <v>233</v>
      </c>
      <c r="M175" s="113" t="str">
        <f t="array" ref="M175">INDEX('アイテム'!$W$3:$X$115, MATCH($A$1,'アイテム'!$A$3:$A$115,0), MATCH(M$166,'アイテム'!$W$2:$AK$2,0))</f>
        <v>12</v>
      </c>
      <c r="N175" s="113">
        <f t="array" ref="N175">INDEX('アイテム'!$W$3:$X$115, MATCH($A$1,'アイテム'!$A$3:$A$115,0), MATCH(N$166,'アイテム'!$W$2:$AK$2,0))</f>
        <v>23</v>
      </c>
      <c r="O175" s="118"/>
      <c r="P175" s="118"/>
      <c r="Q175" s="118"/>
      <c r="R175" s="118"/>
      <c r="S175" s="118"/>
      <c r="T175" s="118"/>
      <c r="U175" s="118"/>
      <c r="V175" s="118"/>
    </row>
    <row r="176" outlineLevel="1">
      <c r="A176" s="146"/>
      <c r="B176" s="300" t="s">
        <v>249</v>
      </c>
      <c r="C176" s="309" t="str">
        <f t="array" ref="C176">INDEX('起きあがり'!$J$3:$M$115, MATCH($A$1,'起きあがり'!$A$3:$A$115,0), MATCH(C$163,'起きあがり'!$J$2:$AD$2,0))</f>
        <v>1-25</v>
      </c>
      <c r="D176" s="310">
        <f t="array" ref="D176">INDEX('起きあがり'!$J$3:$M$115, MATCH($A$1,'起きあがり'!$A$3:$A$115,0), MATCH(D$163,'起きあがり'!$J$2:$AD$2,0))</f>
        <v>45</v>
      </c>
      <c r="E176" s="307" t="str">
        <f t="array" ref="E176">INDEX('起きあがり'!$J$3:$M$115, MATCH($A$1,'起きあがり'!$A$3:$A$115,0), MATCH(E$163,'起きあがり'!$J$2:$AD$2,0))</f>
        <v>19-20</v>
      </c>
      <c r="F176" s="308">
        <f t="array" ref="F176">INDEX('起きあがり'!$J$3:$M$115, MATCH($A$1,'起きあがり'!$A$3:$A$115,0), MATCH(F$163,'起きあがり'!$J$2:$AD$2,0))</f>
        <v>7</v>
      </c>
      <c r="G176" s="113">
        <f t="shared" ref="G176:G177" si="1">F176*1.2</f>
        <v>8.4</v>
      </c>
      <c r="H176" s="228"/>
      <c r="I176" s="228"/>
      <c r="J176" s="111"/>
      <c r="K176" s="156"/>
      <c r="L176" s="303" t="s">
        <v>234</v>
      </c>
      <c r="M176" s="113" t="str">
        <f t="array" ref="M176">INDEX('アイテム'!$Y$3:$Z$115, MATCH($A$1,'アイテム'!$A$3:$A$115,0), MATCH(M$166,'アイテム'!$Y$2:$AK$2,0))</f>
        <v>7</v>
      </c>
      <c r="N176" s="113">
        <f t="array" ref="N176">INDEX('アイテム'!$Y$3:$Z$115, MATCH($A$1,'アイテム'!$A$3:$A$115,0), MATCH(N$166,'アイテム'!$Y$2:$AK$2,0))</f>
        <v>19</v>
      </c>
      <c r="O176" s="111"/>
      <c r="P176" s="111"/>
      <c r="Q176" s="111"/>
      <c r="R176" s="111"/>
      <c r="S176" s="111"/>
      <c r="T176" s="111"/>
      <c r="U176" s="111"/>
      <c r="V176" s="111"/>
    </row>
    <row r="177" outlineLevel="1">
      <c r="A177" s="156"/>
      <c r="B177" s="311" t="s">
        <v>250</v>
      </c>
      <c r="C177" s="156"/>
      <c r="D177" s="156"/>
      <c r="E177" s="307" t="str">
        <f t="array" ref="E177">INDEX('起きあがり'!$N$3:$O$115, MATCH($A$1,'起きあがり'!$A$3:$A$115,0), MATCH(E$163,'起きあがり'!$N$2:$AD$2,0))</f>
        <v>24-25</v>
      </c>
      <c r="F177" s="308">
        <f t="array" ref="F177">INDEX('起きあがり'!$N$3:$O$115, MATCH($A$1,'起きあがり'!$A$3:$A$115,0), MATCH(F$163,'起きあがり'!$N$2:$AD$2,0))</f>
        <v>7</v>
      </c>
      <c r="G177" s="113">
        <f t="shared" si="1"/>
        <v>8.4</v>
      </c>
      <c r="H177" s="228"/>
      <c r="I177" s="228"/>
      <c r="J177" s="111"/>
      <c r="K177" s="312" t="s">
        <v>5390</v>
      </c>
      <c r="L177" s="168"/>
      <c r="M177" s="298" t="s">
        <v>49</v>
      </c>
      <c r="N177" s="114"/>
      <c r="O177" s="111"/>
      <c r="P177" s="111"/>
      <c r="Q177" s="111"/>
      <c r="R177" s="111"/>
      <c r="S177" s="111"/>
      <c r="T177" s="111"/>
      <c r="U177" s="111"/>
      <c r="V177" s="111"/>
    </row>
    <row r="178" outlineLevel="1">
      <c r="A178" s="299" t="s">
        <v>251</v>
      </c>
      <c r="B178" s="300" t="s">
        <v>248</v>
      </c>
      <c r="C178" s="301"/>
      <c r="D178" s="307" t="str">
        <f t="array" ref="D178">INDEX('起きあがり'!$C$3:$C$115, MATCH($A$1,'起きあがり'!$A$3:$A$115,0), MATCH(D$163,'起きあがり'!$C$2:$AD$2,0))</f>
        <v>25</v>
      </c>
      <c r="E178" s="301"/>
      <c r="F178" s="301"/>
      <c r="G178" s="301"/>
      <c r="H178" s="228"/>
      <c r="I178" s="228"/>
      <c r="J178" s="117"/>
      <c r="K178" s="313" t="s">
        <v>693</v>
      </c>
      <c r="L178" s="314" t="s">
        <v>693</v>
      </c>
      <c r="M178" s="113" t="str">
        <f t="array" ref="M178">INDEX('共通動作その他'!$C$3:$C$102, MATCH($A$1,'共通動作その他'!$A$3:$A$102,0), MATCH(M$177,'共通動作その他'!$C$2:$AA$2,0))</f>
        <v>#N/A</v>
      </c>
      <c r="N178" s="315"/>
      <c r="O178" s="111"/>
      <c r="P178" s="111"/>
      <c r="Q178" s="111"/>
      <c r="R178" s="111"/>
      <c r="S178" s="111"/>
      <c r="T178" s="111"/>
      <c r="U178" s="111"/>
      <c r="V178" s="111"/>
    </row>
    <row r="179" outlineLevel="1">
      <c r="A179" s="146"/>
      <c r="B179" s="300" t="s">
        <v>216</v>
      </c>
      <c r="C179" s="307" t="str">
        <f t="array" ref="C179">INDEX('起きあがり'!$P$3:$Q$115, MATCH($A$1,'起きあがり'!$A$3:$A$115,0), MATCH(C$163,'起きあがり'!$P$2:$AD$2,0))</f>
        <v>1-22</v>
      </c>
      <c r="D179" s="308">
        <f t="array" ref="D179">INDEX('起きあがり'!$P$3:$Q$115, MATCH($A$1,'起きあがり'!$A$3:$A$115,0), MATCH(D$163,'起きあがり'!$P$2:$AD$2,0))</f>
        <v>29</v>
      </c>
      <c r="E179" s="301"/>
      <c r="F179" s="301"/>
      <c r="G179" s="301"/>
      <c r="H179" s="228"/>
      <c r="I179" s="228"/>
      <c r="J179" s="111"/>
      <c r="K179" s="305" t="s">
        <v>2602</v>
      </c>
      <c r="L179" s="314" t="s">
        <v>5391</v>
      </c>
      <c r="M179" s="113" t="str">
        <f t="array" ref="M179">INDEX('共通動作その他'!$D$3:$D$102, MATCH($A$1,'共通動作その他'!$A$3:$A$102,0), MATCH(M$177,'共通動作その他'!$D$2:$AA$2,0))</f>
        <v>#N/A</v>
      </c>
      <c r="N179" s="315"/>
      <c r="O179" s="228"/>
      <c r="P179" s="228"/>
      <c r="Q179" s="228"/>
      <c r="R179" s="228"/>
      <c r="S179" s="228"/>
      <c r="T179" s="228"/>
      <c r="U179" s="228"/>
      <c r="V179" s="228"/>
    </row>
    <row r="180" outlineLevel="1">
      <c r="A180" s="146"/>
      <c r="B180" s="300" t="s">
        <v>245</v>
      </c>
      <c r="C180" s="307" t="str">
        <f t="array" ref="C180">INDEX('起きあがり'!$R$3:$S$115, MATCH($A$1,'起きあがり'!$A$3:$A$115,0), MATCH(C$163,'起きあがり'!$R$2:$AD$2,0))</f>
        <v>1-19</v>
      </c>
      <c r="D180" s="308">
        <f t="array" ref="D180">INDEX('起きあがり'!$R$3:$S$115, MATCH($A$1,'起きあがり'!$A$3:$A$115,0), MATCH(D$163,'起きあがり'!$R$2:$AD$2,0))</f>
        <v>35</v>
      </c>
      <c r="E180" s="301"/>
      <c r="F180" s="301"/>
      <c r="G180" s="301"/>
      <c r="H180" s="228"/>
      <c r="I180" s="228"/>
      <c r="J180" s="117"/>
      <c r="K180" s="146"/>
      <c r="L180" s="314" t="s">
        <v>5392</v>
      </c>
      <c r="M180" s="113" t="str">
        <f t="array" ref="M180">INDEX('共通動作その他'!$E$3:$E$102, MATCH($A$1,'共通動作その他'!$A$3:$A$102,0), MATCH(M$177,'共通動作その他'!$E$2:$AA$2,0))</f>
        <v>#N/A</v>
      </c>
      <c r="N180" s="102"/>
      <c r="O180" s="118"/>
      <c r="P180" s="118"/>
      <c r="Q180" s="118"/>
      <c r="R180" s="118"/>
      <c r="S180" s="118"/>
      <c r="T180" s="118"/>
      <c r="U180" s="118"/>
      <c r="V180" s="118"/>
    </row>
    <row r="181" outlineLevel="1">
      <c r="A181" s="146"/>
      <c r="B181" s="300" t="s">
        <v>246</v>
      </c>
      <c r="C181" s="307" t="str">
        <f t="array" ref="C181">INDEX('起きあがり'!$T$3:$U$115, MATCH($A$1,'起きあがり'!$A$3:$A$115,0), MATCH(C$163,'起きあがり'!$T$2:$AD$2,0))</f>
        <v>1-24</v>
      </c>
      <c r="D181" s="308">
        <f t="array" ref="D181">INDEX('起きあがり'!$T$3:$U$115, MATCH($A$1,'起きあがり'!$A$3:$A$115,0), MATCH(D$163,'起きあがり'!$T$2:$AD$2,0))</f>
        <v>35</v>
      </c>
      <c r="E181" s="301"/>
      <c r="F181" s="301"/>
      <c r="G181" s="301"/>
      <c r="H181" s="228"/>
      <c r="I181" s="228"/>
      <c r="J181" s="111"/>
      <c r="K181" s="146"/>
      <c r="L181" s="314" t="s">
        <v>5393</v>
      </c>
      <c r="M181" s="113" t="str">
        <f t="array" ref="M181">INDEX('共通動作その他'!$F$3:$F$102, MATCH($A$1,'共通動作その他'!$A$3:$A$102,0), MATCH(M$177,'共通動作その他'!$F$2:$AA$2,0))</f>
        <v>#N/A</v>
      </c>
      <c r="N181" s="102"/>
      <c r="O181" s="118"/>
      <c r="P181" s="118"/>
      <c r="Q181" s="118"/>
      <c r="R181" s="118"/>
      <c r="S181" s="118"/>
      <c r="T181" s="118"/>
      <c r="U181" s="118"/>
      <c r="V181" s="118"/>
    </row>
    <row r="182" outlineLevel="1">
      <c r="A182" s="146"/>
      <c r="B182" s="300" t="s">
        <v>249</v>
      </c>
      <c r="C182" s="309" t="str">
        <f t="array" ref="C182">INDEX('起きあがり'!$V$3:$Y$115, MATCH($A$1,'起きあがり'!$A$3:$A$115,0), MATCH(C$163,'起きあがり'!$V$2:$AD$2,0))</f>
        <v>1-25</v>
      </c>
      <c r="D182" s="310">
        <f t="array" ref="D182">INDEX('起きあがり'!$V$3:$Y$115, MATCH($A$1,'起きあがり'!$A$3:$A$115,0), MATCH(D$163,'起きあがり'!$V$2:$AD$2,0))</f>
        <v>45</v>
      </c>
      <c r="E182" s="307" t="str">
        <f t="array" ref="E182">INDEX('起きあがり'!$V$3:$Y$115, MATCH($A$1,'起きあがり'!$A$3:$A$115,0), MATCH(E$163,'起きあがり'!$V$2:$AD$2,0))</f>
        <v>19-20</v>
      </c>
      <c r="F182" s="308">
        <f t="array" ref="F182">INDEX('起きあがり'!$V$3:$Y$115, MATCH($A$1,'起きあがり'!$A$3:$A$115,0), MATCH(F$163,'起きあがり'!$V$2:$AD$2,0))</f>
        <v>7</v>
      </c>
      <c r="G182" s="113">
        <f t="shared" ref="G182:G183" si="2">F182*1.2</f>
        <v>8.4</v>
      </c>
      <c r="H182" s="228"/>
      <c r="I182" s="228"/>
      <c r="J182" s="117"/>
      <c r="K182" s="146"/>
      <c r="L182" s="314" t="s">
        <v>5394</v>
      </c>
      <c r="M182" s="113" t="str">
        <f t="array" ref="M182">INDEX('共通動作その他'!$G$3:$G$102, MATCH($A$1,'共通動作その他'!$A$3:$A$102,0), MATCH(M$177,'共通動作その他'!$G$2:$AA$2,0))</f>
        <v>#N/A</v>
      </c>
      <c r="N182" s="102"/>
      <c r="O182" s="118"/>
      <c r="P182" s="118"/>
      <c r="Q182" s="118"/>
      <c r="R182" s="118"/>
      <c r="S182" s="118"/>
      <c r="T182" s="118"/>
      <c r="U182" s="118"/>
      <c r="V182" s="118"/>
    </row>
    <row r="183" outlineLevel="1">
      <c r="A183" s="156"/>
      <c r="B183" s="311" t="s">
        <v>250</v>
      </c>
      <c r="C183" s="156"/>
      <c r="D183" s="156"/>
      <c r="E183" s="307" t="str">
        <f t="array" ref="E183">INDEX('起きあがり'!$Z$3:$AA$115, MATCH($A$1,'起きあがり'!$A$3:$A$115,0), MATCH(E$163,'起きあがり'!$Z$2:$AD$2,0))</f>
        <v>24-25</v>
      </c>
      <c r="F183" s="308">
        <f t="array" ref="F183">INDEX('起きあがり'!$Z$3:$AA$115, MATCH($A$1,'起きあがり'!$A$3:$A$115,0), MATCH(F$163,'起きあがり'!$Z$2:$AD$2,0))</f>
        <v>7</v>
      </c>
      <c r="G183" s="113">
        <f t="shared" si="2"/>
        <v>8.4</v>
      </c>
      <c r="H183" s="228"/>
      <c r="I183" s="228"/>
      <c r="J183" s="117"/>
      <c r="K183" s="304" t="s">
        <v>5395</v>
      </c>
      <c r="L183" s="110"/>
      <c r="M183" s="298" t="s">
        <v>49</v>
      </c>
      <c r="N183" s="102"/>
      <c r="O183" s="118"/>
      <c r="P183" s="118"/>
      <c r="Q183" s="118"/>
      <c r="R183" s="118"/>
      <c r="S183" s="118"/>
      <c r="T183" s="118"/>
      <c r="U183" s="118"/>
      <c r="V183" s="118"/>
    </row>
    <row r="184" outlineLevel="1">
      <c r="A184" s="299" t="s">
        <v>252</v>
      </c>
      <c r="B184" s="300" t="s">
        <v>253</v>
      </c>
      <c r="C184" s="307" t="str">
        <f t="array" ref="C184">INDEX('転倒'!$C$3:$D$115, MATCH($A$1,'転倒'!$A$3:$A$115,0), MATCH(C$163,'転倒'!$C$2:$AC$2,0))</f>
        <v>1-5</v>
      </c>
      <c r="D184" s="308">
        <f t="array" ref="D184">INDEX('転倒'!$C$3:$D$115, MATCH($A$1,'転倒'!$A$3:$A$115,0), MATCH(D$163,'転倒'!$C$2:$AC$2,0))</f>
        <v>29</v>
      </c>
      <c r="E184" s="301"/>
      <c r="F184" s="301"/>
      <c r="G184" s="301"/>
      <c r="H184" s="228"/>
      <c r="I184" s="228"/>
      <c r="J184" s="111"/>
      <c r="K184" s="313" t="s">
        <v>5396</v>
      </c>
      <c r="L184" s="306" t="s">
        <v>5397</v>
      </c>
      <c r="M184" s="113" t="str">
        <f t="array" ref="M184">INDEX('共通動作その他'!$H$3:$H$102, MATCH($A$1,'共通動作その他'!$A$3:$A$102,0), MATCH(M$183,'共通動作その他'!$H$2:$AA$2,0))</f>
        <v>#N/A</v>
      </c>
      <c r="N184" s="315"/>
      <c r="O184" s="118"/>
      <c r="P184" s="118"/>
      <c r="Q184" s="118"/>
      <c r="R184" s="118"/>
      <c r="S184" s="118"/>
      <c r="T184" s="118"/>
      <c r="U184" s="118"/>
      <c r="V184" s="118"/>
    </row>
    <row r="185" outlineLevel="1">
      <c r="A185" s="146"/>
      <c r="B185" s="300" t="s">
        <v>254</v>
      </c>
      <c r="C185" s="307" t="str">
        <f t="array" ref="C185">INDEX('転倒'!$E$3:$F$115, MATCH($A$1,'転倒'!$A$3:$A$115,0), MATCH(C$163,'転倒'!$E$2:$AC$2,0))</f>
        <v>1-5</v>
      </c>
      <c r="D185" s="308">
        <f t="array" ref="D185">INDEX('転倒'!$E$3:$F$115, MATCH($A$1,'転倒'!$A$3:$A$115,0), MATCH(D$163,'転倒'!$E$2:$AC$2,0))</f>
        <v>39</v>
      </c>
      <c r="E185" s="301"/>
      <c r="F185" s="301"/>
      <c r="G185" s="301"/>
      <c r="H185" s="228"/>
      <c r="I185" s="228"/>
      <c r="J185" s="117"/>
      <c r="K185" s="313" t="s">
        <v>5398</v>
      </c>
      <c r="L185" s="306" t="s">
        <v>5397</v>
      </c>
      <c r="M185" s="113" t="str">
        <f t="array" ref="M185">INDEX('共通動作その他'!$I$3:$I$102, MATCH($A$1,'共通動作その他'!$A$3:$A$102,0), MATCH(M$183,'共通動作その他'!$I$2:$AA$2,0))</f>
        <v>#N/A</v>
      </c>
      <c r="N185" s="315"/>
      <c r="O185" s="118"/>
      <c r="P185" s="118"/>
      <c r="Q185" s="118"/>
      <c r="R185" s="118"/>
      <c r="S185" s="118"/>
      <c r="T185" s="118"/>
      <c r="U185" s="118"/>
      <c r="V185" s="118"/>
    </row>
    <row r="186" outlineLevel="1">
      <c r="A186" s="146"/>
      <c r="B186" s="300" t="s">
        <v>216</v>
      </c>
      <c r="C186" s="307" t="str">
        <f t="array" ref="C186">INDEX('転倒'!$G$3:$H$115, MATCH($A$1,'転倒'!$A$3:$A$115,0), MATCH(C$163,'転倒'!$G$2:$AC$2,0))</f>
        <v>1-16</v>
      </c>
      <c r="D186" s="308">
        <f t="array" ref="D186">INDEX('転倒'!$G$3:$H$115, MATCH($A$1,'転倒'!$A$3:$A$115,0), MATCH(D$163,'転倒'!$G$2:$AC$2,0))</f>
        <v>21</v>
      </c>
      <c r="E186" s="301"/>
      <c r="F186" s="301"/>
      <c r="G186" s="301"/>
      <c r="H186" s="228"/>
      <c r="I186" s="228"/>
      <c r="J186" s="111"/>
      <c r="K186" s="102"/>
      <c r="L186" s="118"/>
      <c r="M186" s="118"/>
      <c r="N186" s="102"/>
      <c r="O186" s="118"/>
      <c r="P186" s="118"/>
      <c r="Q186" s="118"/>
      <c r="R186" s="118"/>
      <c r="S186" s="118"/>
      <c r="T186" s="118"/>
      <c r="U186" s="118"/>
      <c r="V186" s="118"/>
    </row>
    <row r="187" outlineLevel="1">
      <c r="A187" s="146"/>
      <c r="B187" s="300" t="s">
        <v>245</v>
      </c>
      <c r="C187" s="307" t="str">
        <f t="array" ref="C187">INDEX('転倒'!$I$3:$J$115, MATCH($A$1,'転倒'!$A$3:$A$115,0), MATCH(C$163,'転倒'!$I$2:$AC$2,0))</f>
        <v>1-9</v>
      </c>
      <c r="D187" s="308">
        <f t="array" ref="D187">INDEX('転倒'!$I$3:$J$115, MATCH($A$1,'転倒'!$A$3:$A$115,0), MATCH(D$163,'転倒'!$I$2:$AC$2,0))</f>
        <v>28</v>
      </c>
      <c r="E187" s="301"/>
      <c r="F187" s="301"/>
      <c r="G187" s="301"/>
      <c r="H187" s="228"/>
      <c r="I187" s="228"/>
      <c r="J187" s="228"/>
      <c r="K187" s="102"/>
      <c r="L187" s="118"/>
      <c r="M187" s="118"/>
      <c r="N187" s="102"/>
      <c r="O187" s="118"/>
      <c r="P187" s="118"/>
      <c r="Q187" s="118"/>
      <c r="R187" s="118"/>
      <c r="S187" s="118"/>
      <c r="T187" s="118"/>
      <c r="U187" s="118"/>
      <c r="V187" s="118"/>
    </row>
    <row r="188" outlineLevel="1">
      <c r="A188" s="146"/>
      <c r="B188" s="300" t="s">
        <v>246</v>
      </c>
      <c r="C188" s="307" t="str">
        <f t="array" ref="C188">INDEX('転倒'!$K$3:$L$115, MATCH($A$1,'転倒'!$A$3:$A$115,0), MATCH(C$163,'転倒'!$K$2:$AC$2,0))</f>
        <v>1-9</v>
      </c>
      <c r="D188" s="308">
        <f t="array" ref="D188">INDEX('転倒'!$K$3:$L$115, MATCH($A$1,'転倒'!$A$3:$A$115,0), MATCH(D$163,'転倒'!$K$2:$AC$2,0))</f>
        <v>28</v>
      </c>
      <c r="E188" s="301"/>
      <c r="F188" s="301"/>
      <c r="G188" s="301"/>
      <c r="H188" s="228"/>
      <c r="I188" s="228"/>
      <c r="J188" s="228"/>
      <c r="K188" s="102"/>
      <c r="L188" s="118"/>
      <c r="M188" s="118"/>
      <c r="N188" s="102"/>
      <c r="O188" s="118"/>
      <c r="P188" s="118"/>
      <c r="Q188" s="118"/>
      <c r="R188" s="118"/>
      <c r="S188" s="118"/>
      <c r="T188" s="118"/>
      <c r="U188" s="118"/>
      <c r="V188" s="118"/>
    </row>
    <row r="189" outlineLevel="1">
      <c r="A189" s="146"/>
      <c r="B189" s="300" t="s">
        <v>249</v>
      </c>
      <c r="C189" s="309" t="str">
        <f t="array" ref="C189">INDEX('転倒'!$M$3:$P$115, MATCH($A$1,'転倒'!$A$3:$A$115,0), MATCH(C$163,'転倒'!$M$2:$AC$2,0))</f>
        <v>1-7</v>
      </c>
      <c r="D189" s="310">
        <f t="array" ref="D189">INDEX('転倒'!$M$3:$P$115, MATCH($A$1,'転倒'!$A$3:$A$115,0), MATCH(D$163,'転倒'!$M$2:$AC$2,0))</f>
        <v>49</v>
      </c>
      <c r="E189" s="307" t="str">
        <f t="array" ref="E189">INDEX('転倒'!$M$3:$P$115, MATCH($A$1,'転倒'!$A$3:$A$115,0), MATCH(E$163,'転倒'!$M$2:$AC$2,0))</f>
        <v>19-20</v>
      </c>
      <c r="F189" s="308">
        <f t="array" ref="F189">INDEX('転倒'!$M$3:$P$115, MATCH($A$1,'転倒'!$A$3:$A$115,0), MATCH(F$163,'転倒'!$M$2:$AC$2,0))</f>
        <v>5</v>
      </c>
      <c r="G189" s="113">
        <f t="shared" ref="G189:G190" si="3">F189*1.2</f>
        <v>6</v>
      </c>
      <c r="H189" s="228"/>
      <c r="I189" s="228"/>
      <c r="J189" s="228"/>
      <c r="K189" s="118"/>
      <c r="L189" s="118"/>
      <c r="M189" s="118"/>
      <c r="N189" s="102"/>
      <c r="O189" s="102"/>
      <c r="P189" s="102"/>
      <c r="Q189" s="102"/>
      <c r="R189" s="118"/>
      <c r="S189" s="118"/>
      <c r="T189" s="118"/>
      <c r="U189" s="118"/>
      <c r="V189" s="118"/>
    </row>
    <row r="190" outlineLevel="1">
      <c r="A190" s="156"/>
      <c r="B190" s="311" t="s">
        <v>250</v>
      </c>
      <c r="C190" s="156"/>
      <c r="D190" s="156"/>
      <c r="E190" s="307" t="str">
        <f t="array" ref="E190">INDEX('転倒'!$Q$3:$R$115, MATCH($A$1,'転倒'!$A$3:$A$115,0), MATCH(E$163,'転倒'!$Q$2:$AC$2,0))</f>
        <v>24-25</v>
      </c>
      <c r="F190" s="308">
        <f t="array" ref="F190">INDEX('転倒'!$Q$3:$R$115, MATCH($A$1,'転倒'!$A$3:$A$115,0), MATCH(F$163,'転倒'!$Q$2:$AC$2,0))</f>
        <v>5</v>
      </c>
      <c r="G190" s="113">
        <f t="shared" si="3"/>
        <v>6</v>
      </c>
      <c r="H190" s="228"/>
      <c r="I190" s="228"/>
      <c r="J190" s="228"/>
      <c r="K190" s="118"/>
      <c r="L190" s="118"/>
      <c r="M190" s="118"/>
      <c r="N190" s="102"/>
      <c r="O190" s="102"/>
      <c r="P190" s="102"/>
      <c r="Q190" s="102"/>
      <c r="R190" s="118"/>
      <c r="S190" s="118"/>
      <c r="T190" s="118"/>
      <c r="U190" s="118"/>
      <c r="V190" s="118"/>
    </row>
    <row r="191" outlineLevel="1">
      <c r="A191" s="319"/>
      <c r="B191" s="320"/>
      <c r="C191" s="321"/>
      <c r="D191" s="321"/>
      <c r="E191" s="322"/>
      <c r="F191" s="322"/>
      <c r="G191" s="114"/>
      <c r="H191" s="228"/>
      <c r="I191" s="228"/>
      <c r="J191" s="228"/>
      <c r="K191" s="118"/>
      <c r="L191" s="118"/>
      <c r="M191" s="118"/>
      <c r="N191" s="102"/>
      <c r="O191" s="102"/>
      <c r="P191" s="102"/>
      <c r="Q191" s="102"/>
      <c r="R191" s="118"/>
      <c r="S191" s="118"/>
      <c r="T191" s="118"/>
      <c r="U191" s="118"/>
      <c r="V191" s="118"/>
    </row>
    <row r="192" outlineLevel="1">
      <c r="A192" s="323" t="s">
        <v>255</v>
      </c>
      <c r="B192" s="109"/>
      <c r="C192" s="321"/>
      <c r="D192" s="321"/>
      <c r="E192" s="322"/>
      <c r="F192" s="322"/>
      <c r="G192" s="114"/>
      <c r="H192" s="228"/>
      <c r="I192" s="228"/>
      <c r="J192" s="228"/>
      <c r="K192" s="118"/>
      <c r="L192" s="118"/>
      <c r="M192" s="118"/>
      <c r="N192" s="102"/>
      <c r="O192" s="102"/>
      <c r="P192" s="102"/>
      <c r="Q192" s="102"/>
      <c r="R192" s="118"/>
      <c r="S192" s="118"/>
      <c r="T192" s="118"/>
      <c r="U192" s="118"/>
      <c r="V192" s="118"/>
    </row>
    <row r="193" outlineLevel="1">
      <c r="A193" s="324" t="s">
        <v>256</v>
      </c>
      <c r="B193" s="109"/>
      <c r="C193" s="325" t="s">
        <v>257</v>
      </c>
      <c r="D193" s="325" t="s">
        <v>49</v>
      </c>
      <c r="E193" s="322"/>
      <c r="F193" s="322"/>
      <c r="G193" s="114"/>
      <c r="H193" s="228"/>
      <c r="I193" s="228"/>
      <c r="J193" s="228"/>
      <c r="K193" s="118"/>
      <c r="L193" s="118"/>
      <c r="M193" s="118"/>
      <c r="N193" s="102"/>
      <c r="O193" s="102"/>
      <c r="P193" s="102"/>
      <c r="Q193" s="102"/>
      <c r="R193" s="118"/>
      <c r="S193" s="118"/>
      <c r="T193" s="118"/>
      <c r="U193" s="118"/>
      <c r="V193" s="118"/>
    </row>
    <row r="194" outlineLevel="1">
      <c r="A194" s="326" t="s">
        <v>258</v>
      </c>
      <c r="B194" s="327" t="s">
        <v>216</v>
      </c>
      <c r="C194" s="328" t="str">
        <f t="array" ref="C194">INDEX('アイテム'!$C$3:$D$114, MATCH($A$1,'アイテム'!$A$3:$A$114,0), MATCH(C193,'アイテム'!$C$2:$AQ$2,0))</f>
        <v>2</v>
      </c>
      <c r="D194" s="328">
        <f t="array" ref="D194">INDEX('アイテム'!$C$3:$D$114, MATCH($A$1,'アイテム'!$A$3:$A$114,0), MATCH(D193,'アイテム'!$C$2:$AQ$2,0))</f>
        <v>7</v>
      </c>
      <c r="E194" s="322"/>
      <c r="F194" s="322"/>
      <c r="G194" s="114"/>
      <c r="H194" s="228"/>
      <c r="I194" s="228"/>
      <c r="J194" s="228"/>
      <c r="K194" s="118"/>
      <c r="L194" s="118"/>
      <c r="M194" s="118"/>
      <c r="N194" s="102"/>
      <c r="O194" s="102"/>
      <c r="P194" s="102"/>
      <c r="Q194" s="102"/>
      <c r="R194" s="118"/>
      <c r="S194" s="118"/>
      <c r="T194" s="118"/>
      <c r="U194" s="118"/>
      <c r="V194" s="118"/>
    </row>
    <row r="195" outlineLevel="1">
      <c r="A195" s="156"/>
      <c r="B195" s="327" t="s">
        <v>219</v>
      </c>
      <c r="C195" s="328" t="str">
        <f t="array" ref="C195">INDEX('アイテム'!$E$3:$F$114, MATCH($A$1,'アイテム'!$A$3:$A$114,0), MATCH(C193,'アイテム'!$C$2:$AQ$2,0))</f>
        <v>2</v>
      </c>
      <c r="D195" s="328">
        <f t="array" ref="D195">INDEX('アイテム'!$E$3:$F$114, MATCH($A$1,'アイテム'!$A$3:$A$114,0), MATCH(D193,'アイテム'!$C$2:$AQ$2,0))</f>
        <v>19</v>
      </c>
      <c r="E195" s="322"/>
      <c r="F195" s="322"/>
      <c r="G195" s="114"/>
      <c r="H195" s="228"/>
      <c r="I195" s="228"/>
      <c r="J195" s="228"/>
      <c r="K195" s="118"/>
      <c r="L195" s="118"/>
      <c r="M195" s="118"/>
      <c r="N195" s="102"/>
      <c r="O195" s="102"/>
      <c r="P195" s="102"/>
      <c r="Q195" s="102"/>
      <c r="R195" s="118"/>
      <c r="S195" s="118"/>
      <c r="T195" s="118"/>
      <c r="U195" s="118"/>
      <c r="V195" s="118"/>
    </row>
    <row r="196" outlineLevel="1">
      <c r="A196" s="329" t="s">
        <v>259</v>
      </c>
      <c r="B196" s="327" t="s">
        <v>216</v>
      </c>
      <c r="C196" s="328">
        <f t="array" ref="C196">INDEX('アイテム'!$AA$3:$AB$114, MATCH($A$1,'アイテム'!$A$3:$A$114,0), MATCH(C193,'アイテム'!$C$2:$AQ$2,0))</f>
        <v>3</v>
      </c>
      <c r="D196" s="328">
        <f t="array" ref="D196">INDEX('アイテム'!$AA$3:$AB$114, MATCH($A$1,'アイテム'!$A$3:$A$114,0), MATCH(D193,'アイテム'!$C$2:$AQ$2,0))</f>
        <v>12</v>
      </c>
      <c r="E196" s="322"/>
      <c r="F196" s="322"/>
      <c r="G196" s="114"/>
      <c r="H196" s="228"/>
      <c r="I196" s="228"/>
      <c r="J196" s="228"/>
      <c r="K196" s="118"/>
      <c r="L196" s="118"/>
      <c r="M196" s="118"/>
      <c r="N196" s="102"/>
      <c r="O196" s="102"/>
      <c r="P196" s="102"/>
      <c r="Q196" s="102"/>
      <c r="R196" s="118"/>
      <c r="S196" s="118"/>
      <c r="T196" s="118"/>
      <c r="U196" s="118"/>
      <c r="V196" s="118"/>
    </row>
    <row r="197" outlineLevel="1">
      <c r="A197" s="324" t="s">
        <v>260</v>
      </c>
      <c r="B197" s="109"/>
      <c r="C197" s="325" t="s">
        <v>261</v>
      </c>
      <c r="D197" s="325" t="s">
        <v>49</v>
      </c>
      <c r="E197" s="322"/>
      <c r="F197" s="322"/>
      <c r="G197" s="114"/>
      <c r="H197" s="228"/>
      <c r="I197" s="228"/>
      <c r="J197" s="228"/>
      <c r="K197" s="118"/>
      <c r="L197" s="118"/>
      <c r="M197" s="118"/>
      <c r="N197" s="102"/>
      <c r="O197" s="102"/>
      <c r="P197" s="102"/>
      <c r="Q197" s="102"/>
      <c r="R197" s="118"/>
      <c r="S197" s="118"/>
      <c r="T197" s="118"/>
      <c r="U197" s="118"/>
      <c r="V197" s="118"/>
    </row>
    <row r="198" outlineLevel="1">
      <c r="A198" s="326" t="s">
        <v>262</v>
      </c>
      <c r="B198" s="327" t="s">
        <v>226</v>
      </c>
      <c r="C198" s="328" t="str">
        <f t="array" ref="C198">INDEX('アイテム'!$G$3:$H$114, MATCH($A$1,'アイテム'!$A$3:$A$114,0), MATCH(C193,'アイテム'!$C$2:$AQ$2,0))</f>
        <v>8</v>
      </c>
      <c r="D198" s="328">
        <f t="array" ref="D198">INDEX('アイテム'!$G$3:$H$114, MATCH($A$1,'アイテム'!$A$3:$A$114,0), MATCH(D193,'アイテム'!$C$2:$AQ$2,0))</f>
        <v>24</v>
      </c>
      <c r="E198" s="322"/>
      <c r="F198" s="322"/>
      <c r="G198" s="114"/>
      <c r="H198" s="228"/>
      <c r="I198" s="228"/>
      <c r="J198" s="228"/>
      <c r="K198" s="118"/>
      <c r="L198" s="118"/>
      <c r="M198" s="118"/>
      <c r="N198" s="102"/>
      <c r="O198" s="102"/>
      <c r="P198" s="102"/>
      <c r="Q198" s="102"/>
      <c r="R198" s="118"/>
      <c r="S198" s="118"/>
      <c r="T198" s="118"/>
      <c r="U198" s="118"/>
      <c r="V198" s="118"/>
    </row>
    <row r="199" outlineLevel="1">
      <c r="A199" s="146"/>
      <c r="B199" s="327" t="s">
        <v>229</v>
      </c>
      <c r="C199" s="328" t="str">
        <f t="array" ref="C199">INDEX('アイテム'!$I$3:$J$114, MATCH($A$1,'アイテム'!$A$3:$A$114,0), MATCH(C193,'アイテム'!$C$2:$AQ$2,0))</f>
        <v>11</v>
      </c>
      <c r="D199" s="328">
        <f t="array" ref="D199">INDEX('アイテム'!$I$3:$J$114, MATCH($A$1,'アイテム'!$A$3:$A$114,0), MATCH(D193,'アイテム'!$C$2:$AQ$2,0))</f>
        <v>24</v>
      </c>
      <c r="E199" s="322"/>
      <c r="F199" s="322"/>
      <c r="G199" s="114"/>
      <c r="H199" s="228"/>
      <c r="I199" s="228"/>
      <c r="J199" s="228"/>
      <c r="K199" s="118"/>
      <c r="L199" s="118"/>
      <c r="M199" s="118"/>
      <c r="N199" s="102"/>
      <c r="O199" s="102"/>
      <c r="P199" s="102"/>
      <c r="Q199" s="102"/>
      <c r="R199" s="118"/>
      <c r="S199" s="118"/>
      <c r="T199" s="118"/>
      <c r="U199" s="118"/>
      <c r="V199" s="118"/>
    </row>
    <row r="200" outlineLevel="1">
      <c r="A200" s="146"/>
      <c r="B200" s="327" t="s">
        <v>233</v>
      </c>
      <c r="C200" s="328" t="str">
        <f t="array" ref="C200">INDEX('アイテム'!$K$3:$L$114, MATCH($A$1,'アイテム'!$A$3:$A$114,0), MATCH(C193,'アイテム'!$C$2:$AQ$2,0))</f>
        <v>12</v>
      </c>
      <c r="D200" s="328">
        <f t="array" ref="D200">INDEX('アイテム'!$K$3:$L$114, MATCH($A$1,'アイテム'!$A$3:$A$114,0), MATCH(D193,'アイテム'!$C$2:$AQ$2,0))</f>
        <v>23</v>
      </c>
      <c r="E200" s="322"/>
      <c r="F200" s="322"/>
      <c r="G200" s="114"/>
      <c r="H200" s="228"/>
      <c r="I200" s="228"/>
      <c r="J200" s="228"/>
      <c r="K200" s="118"/>
      <c r="L200" s="118"/>
      <c r="M200" s="118"/>
      <c r="N200" s="102"/>
      <c r="O200" s="102"/>
      <c r="P200" s="102"/>
      <c r="Q200" s="102"/>
      <c r="R200" s="118"/>
      <c r="S200" s="118"/>
      <c r="T200" s="118"/>
      <c r="U200" s="118"/>
      <c r="V200" s="118"/>
    </row>
    <row r="201" outlineLevel="1">
      <c r="A201" s="146"/>
      <c r="B201" s="327" t="s">
        <v>234</v>
      </c>
      <c r="C201" s="328" t="str">
        <f t="array" ref="C201">INDEX('アイテム'!$M$3:$N$114, MATCH($A$1,'アイテム'!$A$3:$A$114,0), MATCH(C193,'アイテム'!$C$2:$AQ$2,0))</f>
        <v>7</v>
      </c>
      <c r="D201" s="328">
        <f t="array" ref="D201">INDEX('アイテム'!$M$3:$N$114, MATCH($A$1,'アイテム'!$A$3:$A$114,0), MATCH(D193,'アイテム'!$C$2:$AQ$2,0))</f>
        <v>19</v>
      </c>
      <c r="E201" s="322"/>
      <c r="F201" s="322"/>
      <c r="G201" s="114"/>
      <c r="H201" s="228"/>
      <c r="I201" s="228"/>
      <c r="J201" s="228"/>
      <c r="K201" s="118"/>
      <c r="L201" s="118"/>
      <c r="M201" s="118"/>
      <c r="N201" s="102"/>
      <c r="O201" s="102"/>
      <c r="P201" s="102"/>
      <c r="Q201" s="102"/>
      <c r="R201" s="118"/>
      <c r="S201" s="118"/>
      <c r="T201" s="118"/>
      <c r="U201" s="118"/>
      <c r="V201" s="118"/>
    </row>
    <row r="202" outlineLevel="1">
      <c r="A202" s="146"/>
      <c r="B202" s="327" t="s">
        <v>219</v>
      </c>
      <c r="C202" s="328" t="str">
        <f t="array" ref="C202">INDEX('アイテム'!$O$3:$P$114, MATCH($A$1,'アイテム'!$A$3:$A$114,0), MATCH(C193,'アイテム'!$C$2:$AQ$2,0))</f>
        <v>5</v>
      </c>
      <c r="D202" s="328">
        <f t="array" ref="D202">INDEX('アイテム'!$O$3:$P$114, MATCH($A$1,'アイテム'!$A$3:$A$114,0), MATCH(D193,'アイテム'!$C$2:$AQ$2,0))</f>
        <v>29</v>
      </c>
      <c r="E202" s="322"/>
      <c r="F202" s="322"/>
      <c r="G202" s="114"/>
      <c r="H202" s="228"/>
      <c r="I202" s="228"/>
      <c r="J202" s="228"/>
      <c r="K202" s="118"/>
      <c r="L202" s="118"/>
      <c r="M202" s="118"/>
      <c r="N202" s="102"/>
      <c r="O202" s="102"/>
      <c r="P202" s="102"/>
      <c r="Q202" s="102"/>
      <c r="R202" s="118"/>
      <c r="S202" s="118"/>
      <c r="T202" s="118"/>
      <c r="U202" s="118"/>
      <c r="V202" s="118"/>
    </row>
    <row r="203" outlineLevel="1">
      <c r="A203" s="156"/>
      <c r="B203" s="327" t="s">
        <v>263</v>
      </c>
      <c r="C203" s="328" t="str">
        <f t="array" ref="C203">INDEX('アイテム'!$Q$3:$R$114, MATCH($A$1,'アイテム'!$A$3:$A$114,0), MATCH(C193,'アイテム'!$C$2:$AQ$2,0))</f>
        <v>6</v>
      </c>
      <c r="D203" s="328">
        <f t="array" ref="D203">INDEX('アイテム'!$Q$3:$R$114, MATCH($A$1,'アイテム'!$A$3:$A$114,0), MATCH(D193,'アイテム'!$C$2:$AQ$2,0))</f>
        <v>23</v>
      </c>
      <c r="E203" s="322"/>
      <c r="F203" s="322"/>
      <c r="G203" s="114"/>
      <c r="H203" s="228"/>
      <c r="I203" s="228"/>
      <c r="J203" s="228"/>
      <c r="K203" s="118"/>
      <c r="L203" s="118"/>
      <c r="M203" s="118"/>
      <c r="N203" s="102"/>
      <c r="O203" s="102"/>
      <c r="P203" s="102"/>
      <c r="Q203" s="102"/>
      <c r="R203" s="118"/>
      <c r="S203" s="118"/>
      <c r="T203" s="118"/>
      <c r="U203" s="118"/>
      <c r="V203" s="118"/>
    </row>
    <row r="204" outlineLevel="1">
      <c r="A204" s="326" t="s">
        <v>264</v>
      </c>
      <c r="B204" s="327" t="s">
        <v>226</v>
      </c>
      <c r="C204" s="328" t="str">
        <f t="array" ref="C204">INDEX('アイテム'!$S$3:$T$114, MATCH($A$1,'アイテム'!$A$3:$A$114,0), MATCH(C193,'アイテム'!$C$2:$AQ$2,0))</f>
        <v>8</v>
      </c>
      <c r="D204" s="328">
        <f t="array" ref="D204">INDEX('アイテム'!$S$3:$T$114, MATCH($A$1,'アイテム'!$A$3:$A$114,0), MATCH(D193,'アイテム'!$C$2:$AQ$2,0))</f>
        <v>24</v>
      </c>
      <c r="E204" s="322"/>
      <c r="F204" s="322"/>
      <c r="G204" s="114"/>
      <c r="H204" s="228"/>
      <c r="I204" s="228"/>
      <c r="J204" s="228"/>
      <c r="K204" s="118"/>
      <c r="L204" s="118"/>
      <c r="M204" s="118"/>
      <c r="N204" s="102"/>
      <c r="O204" s="102"/>
      <c r="P204" s="102"/>
      <c r="Q204" s="102"/>
      <c r="R204" s="118"/>
      <c r="S204" s="118"/>
      <c r="T204" s="118"/>
      <c r="U204" s="118"/>
      <c r="V204" s="118"/>
    </row>
    <row r="205" outlineLevel="1">
      <c r="A205" s="146"/>
      <c r="B205" s="327" t="s">
        <v>229</v>
      </c>
      <c r="C205" s="328" t="str">
        <f t="array" ref="C205">INDEX('アイテム'!$U$3:$V$114, MATCH($A$1,'アイテム'!$A$3:$A$114,0), MATCH(C193,'アイテム'!$C$2:$AQ$2,0))</f>
        <v>11</v>
      </c>
      <c r="D205" s="328">
        <f t="array" ref="D205">INDEX('アイテム'!$U$3:$V$114, MATCH($A$1,'アイテム'!$A$3:$A$114,0), MATCH(D193,'アイテム'!$C$2:$AQ$2,0))</f>
        <v>24</v>
      </c>
      <c r="E205" s="322"/>
      <c r="F205" s="322"/>
      <c r="G205" s="114"/>
      <c r="H205" s="228"/>
      <c r="I205" s="228"/>
      <c r="J205" s="228"/>
      <c r="K205" s="118"/>
      <c r="L205" s="118"/>
      <c r="M205" s="118"/>
      <c r="N205" s="102"/>
      <c r="O205" s="102"/>
      <c r="P205" s="102"/>
      <c r="Q205" s="102"/>
      <c r="R205" s="118"/>
      <c r="S205" s="118"/>
      <c r="T205" s="118"/>
      <c r="U205" s="118"/>
      <c r="V205" s="118"/>
    </row>
    <row r="206" outlineLevel="1">
      <c r="A206" s="146"/>
      <c r="B206" s="327" t="s">
        <v>233</v>
      </c>
      <c r="C206" s="328" t="str">
        <f t="array" ref="C206">INDEX('アイテム'!$W$3:$X$114, MATCH($A$1,'アイテム'!$A$3:$A$114,0), MATCH(C193,'アイテム'!$C$2:$AQ$2,0))</f>
        <v>12</v>
      </c>
      <c r="D206" s="328">
        <f t="array" ref="D206">INDEX('アイテム'!$W$3:$X$114, MATCH($A$1,'アイテム'!$A$3:$A$114,0), MATCH(D193,'アイテム'!$C$2:$AQ$2,0))</f>
        <v>23</v>
      </c>
      <c r="E206" s="322"/>
      <c r="F206" s="322"/>
      <c r="G206" s="114"/>
      <c r="H206" s="228"/>
      <c r="I206" s="228"/>
      <c r="J206" s="228"/>
      <c r="K206" s="118"/>
      <c r="L206" s="118"/>
      <c r="M206" s="118"/>
      <c r="N206" s="102"/>
      <c r="O206" s="102"/>
      <c r="P206" s="102"/>
      <c r="Q206" s="102"/>
      <c r="R206" s="118"/>
      <c r="S206" s="118"/>
      <c r="T206" s="118"/>
      <c r="U206" s="118"/>
      <c r="V206" s="118"/>
    </row>
    <row r="207" outlineLevel="1">
      <c r="A207" s="156"/>
      <c r="B207" s="327" t="s">
        <v>234</v>
      </c>
      <c r="C207" s="328" t="str">
        <f t="array" ref="C207">INDEX('アイテム'!$Y$3:$Z$114, MATCH($A$1,'アイテム'!$A$3:$A$114,0), MATCH(C193,'アイテム'!$C$2:$AQ$2,0))</f>
        <v>7</v>
      </c>
      <c r="D207" s="328">
        <f t="array" ref="D207">INDEX('アイテム'!$Y$3:$Z$114, MATCH($A$1,'アイテム'!$A$3:$A$114,0), MATCH(D193,'アイテム'!$C$2:$AQ$2,0))</f>
        <v>19</v>
      </c>
      <c r="E207" s="322"/>
      <c r="F207" s="322"/>
      <c r="G207" s="114"/>
      <c r="H207" s="228"/>
      <c r="I207" s="228"/>
      <c r="J207" s="228"/>
      <c r="K207" s="118"/>
      <c r="L207" s="118"/>
      <c r="M207" s="118"/>
      <c r="N207" s="102"/>
      <c r="O207" s="102"/>
      <c r="P207" s="102"/>
      <c r="Q207" s="102"/>
      <c r="R207" s="118"/>
      <c r="S207" s="118"/>
      <c r="T207" s="118"/>
      <c r="U207" s="118"/>
      <c r="V207" s="118"/>
    </row>
    <row r="208" outlineLevel="1">
      <c r="A208" s="326" t="s">
        <v>265</v>
      </c>
      <c r="B208" s="327" t="s">
        <v>226</v>
      </c>
      <c r="C208" s="328">
        <f t="array" ref="C208">INDEX('アイテム'!$AC$3:$AD$114, MATCH($A$1,'アイテム'!$A$3:$A$114,0), MATCH(C193,'アイテム'!$C$2:$AQ$2,0))</f>
        <v>14</v>
      </c>
      <c r="D208" s="328">
        <f t="array" ref="D208">INDEX('アイテム'!$AC$3:$AD$114, MATCH($A$1,'アイテム'!$A$3:$A$114,0), MATCH(D193,'アイテム'!$C$2:$AQ$2,0))</f>
        <v>30</v>
      </c>
      <c r="E208" s="322"/>
      <c r="F208" s="322"/>
      <c r="G208" s="114"/>
      <c r="H208" s="228"/>
      <c r="I208" s="228"/>
      <c r="J208" s="228"/>
      <c r="K208" s="118"/>
      <c r="L208" s="118"/>
      <c r="M208" s="118"/>
      <c r="N208" s="102"/>
      <c r="O208" s="102"/>
      <c r="P208" s="102"/>
      <c r="Q208" s="102"/>
      <c r="R208" s="118"/>
      <c r="S208" s="118"/>
      <c r="T208" s="118"/>
      <c r="U208" s="118"/>
      <c r="V208" s="118"/>
    </row>
    <row r="209" outlineLevel="1">
      <c r="A209" s="146"/>
      <c r="B209" s="327" t="s">
        <v>229</v>
      </c>
      <c r="C209" s="328">
        <f t="array" ref="C209">INDEX('アイテム'!$AE$3:$AF$114, MATCH($A$1,'アイテム'!$A$3:$A$114,0), MATCH(C193,'アイテム'!$C$2:$AQ$2,0))</f>
        <v>15</v>
      </c>
      <c r="D209" s="328">
        <f t="array" ref="D209">INDEX('アイテム'!$AE$3:$AF$114, MATCH($A$1,'アイテム'!$A$3:$A$114,0), MATCH(D193,'アイテム'!$C$2:$AQ$2,0))</f>
        <v>30</v>
      </c>
      <c r="E209" s="322"/>
      <c r="F209" s="322"/>
      <c r="G209" s="114"/>
      <c r="H209" s="228"/>
      <c r="I209" s="228"/>
      <c r="J209" s="228"/>
      <c r="K209" s="118"/>
      <c r="L209" s="118"/>
      <c r="M209" s="118"/>
      <c r="N209" s="102"/>
      <c r="O209" s="102"/>
      <c r="P209" s="102"/>
      <c r="Q209" s="102"/>
      <c r="R209" s="118"/>
      <c r="S209" s="118"/>
      <c r="T209" s="118"/>
      <c r="U209" s="118"/>
      <c r="V209" s="118"/>
    </row>
    <row r="210" outlineLevel="1">
      <c r="A210" s="146"/>
      <c r="B210" s="327" t="s">
        <v>233</v>
      </c>
      <c r="C210" s="328">
        <f t="array" ref="C210">INDEX('アイテム'!$AG$3:$AH$114, MATCH($A$1,'アイテム'!$A$3:$A$114,0), MATCH(C193,'アイテム'!$C$2:$AQ$2,0))</f>
        <v>11</v>
      </c>
      <c r="D210" s="328">
        <f t="array" ref="D210">INDEX('アイテム'!$AG$3:$AH$114, MATCH($A$1,'アイテム'!$A$3:$A$114,0), MATCH(D193,'アイテム'!$C$2:$AQ$2,0))</f>
        <v>22</v>
      </c>
      <c r="E210" s="322"/>
      <c r="F210" s="322"/>
      <c r="G210" s="114"/>
      <c r="H210" s="228"/>
      <c r="I210" s="228"/>
      <c r="J210" s="228"/>
      <c r="K210" s="118"/>
      <c r="L210" s="118"/>
      <c r="M210" s="118"/>
      <c r="N210" s="102"/>
      <c r="O210" s="102"/>
      <c r="P210" s="102"/>
      <c r="Q210" s="102"/>
      <c r="R210" s="118"/>
      <c r="S210" s="118"/>
      <c r="T210" s="118"/>
      <c r="U210" s="118"/>
      <c r="V210" s="118"/>
    </row>
    <row r="211" outlineLevel="1">
      <c r="A211" s="156"/>
      <c r="B211" s="327" t="s">
        <v>234</v>
      </c>
      <c r="C211" s="328">
        <f t="array" ref="C211">INDEX('アイテム'!$AI$3:$AJ$114, MATCH($A$1,'アイテム'!$A$3:$A$114,0), MATCH(C193,'アイテム'!$C$2:$AQ$2,0))</f>
        <v>9</v>
      </c>
      <c r="D211" s="328">
        <f t="array" ref="D211">INDEX('アイテム'!$AI$3:$AJ$114, MATCH($A$1,'アイテム'!$A$3:$A$114,0), MATCH(D193,'アイテム'!$C$2:$AQ$2,0))</f>
        <v>22</v>
      </c>
      <c r="E211" s="322"/>
      <c r="F211" s="322"/>
      <c r="G211" s="114"/>
      <c r="H211" s="228"/>
      <c r="I211" s="228"/>
      <c r="J211" s="228"/>
      <c r="K211" s="118"/>
      <c r="L211" s="118"/>
      <c r="M211" s="118"/>
      <c r="N211" s="102"/>
      <c r="O211" s="102"/>
      <c r="P211" s="102"/>
      <c r="Q211" s="102"/>
      <c r="R211" s="118"/>
      <c r="S211" s="118"/>
      <c r="T211" s="118"/>
      <c r="U211" s="118"/>
      <c r="V211" s="118"/>
    </row>
  </sheetData>
  <mergeCells count="222">
    <mergeCell ref="H40:J40"/>
    <mergeCell ref="H41:J41"/>
    <mergeCell ref="H42:J42"/>
    <mergeCell ref="H43:J43"/>
    <mergeCell ref="H44:J44"/>
    <mergeCell ref="H45:J45"/>
    <mergeCell ref="H46:J46"/>
    <mergeCell ref="H57:J57"/>
    <mergeCell ref="H58:J58"/>
    <mergeCell ref="H59:J59"/>
    <mergeCell ref="H61:J61"/>
    <mergeCell ref="H47:J47"/>
    <mergeCell ref="H48:J48"/>
    <mergeCell ref="H51:J51"/>
    <mergeCell ref="H52:J52"/>
    <mergeCell ref="H53:J53"/>
    <mergeCell ref="H54:J54"/>
    <mergeCell ref="H56:J56"/>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9"/>
    <mergeCell ref="U28:U29"/>
    <mergeCell ref="H30:J30"/>
    <mergeCell ref="H31:J31"/>
    <mergeCell ref="H32:J32"/>
    <mergeCell ref="H33:J33"/>
    <mergeCell ref="H34:J34"/>
    <mergeCell ref="H35:J35"/>
    <mergeCell ref="H36:J36"/>
    <mergeCell ref="H37:J37"/>
    <mergeCell ref="H38:J39"/>
    <mergeCell ref="U38:U39"/>
    <mergeCell ref="A24:B25"/>
    <mergeCell ref="A26:A29"/>
    <mergeCell ref="D28:D29"/>
    <mergeCell ref="A30:A37"/>
    <mergeCell ref="A38:A39"/>
    <mergeCell ref="D38:D39"/>
    <mergeCell ref="A41:B41"/>
    <mergeCell ref="A42:A43"/>
    <mergeCell ref="A44:A47"/>
    <mergeCell ref="A49:A50"/>
    <mergeCell ref="H49:J49"/>
    <mergeCell ref="H50:J50"/>
    <mergeCell ref="A55:B55"/>
    <mergeCell ref="H55:J55"/>
    <mergeCell ref="H77:J78"/>
    <mergeCell ref="H79:J82"/>
    <mergeCell ref="I86:I87"/>
    <mergeCell ref="J86:J87"/>
    <mergeCell ref="I88:I89"/>
    <mergeCell ref="J88:J89"/>
    <mergeCell ref="J90:J91"/>
    <mergeCell ref="I90:I91"/>
    <mergeCell ref="I92:I93"/>
    <mergeCell ref="J92:J93"/>
    <mergeCell ref="I94:I96"/>
    <mergeCell ref="J94:J96"/>
    <mergeCell ref="H99:J99"/>
    <mergeCell ref="H100:J105"/>
    <mergeCell ref="H109:J109"/>
    <mergeCell ref="H110:J114"/>
    <mergeCell ref="H115:J115"/>
    <mergeCell ref="H116:J119"/>
    <mergeCell ref="H123:J123"/>
    <mergeCell ref="H124:J124"/>
    <mergeCell ref="H128:J128"/>
    <mergeCell ref="K163:L163"/>
    <mergeCell ref="K164:K165"/>
    <mergeCell ref="K166:L166"/>
    <mergeCell ref="K167:K172"/>
    <mergeCell ref="K173:K176"/>
    <mergeCell ref="K177:L177"/>
    <mergeCell ref="K179:K182"/>
    <mergeCell ref="K183:L183"/>
    <mergeCell ref="H129:J131"/>
    <mergeCell ref="G139:J139"/>
    <mergeCell ref="G140:J142"/>
    <mergeCell ref="G143:J144"/>
    <mergeCell ref="G145:J146"/>
    <mergeCell ref="G147:J148"/>
    <mergeCell ref="G149:J152"/>
    <mergeCell ref="U128:U131"/>
    <mergeCell ref="V128:V131"/>
    <mergeCell ref="U107:U108"/>
    <mergeCell ref="U110:U114"/>
    <mergeCell ref="V110:V114"/>
    <mergeCell ref="U116:U122"/>
    <mergeCell ref="V116:V122"/>
    <mergeCell ref="U124:U127"/>
    <mergeCell ref="V124:V127"/>
    <mergeCell ref="A60:B60"/>
    <mergeCell ref="H60:J60"/>
    <mergeCell ref="A62:A63"/>
    <mergeCell ref="D62:D63"/>
    <mergeCell ref="U62:U63"/>
    <mergeCell ref="D64:D66"/>
    <mergeCell ref="U64:U66"/>
    <mergeCell ref="D73:D76"/>
    <mergeCell ref="D77:D78"/>
    <mergeCell ref="D79:D82"/>
    <mergeCell ref="D86:D87"/>
    <mergeCell ref="D88:D89"/>
    <mergeCell ref="D90:D91"/>
    <mergeCell ref="D92:D93"/>
    <mergeCell ref="A64:A66"/>
    <mergeCell ref="A67:B67"/>
    <mergeCell ref="A69:A70"/>
    <mergeCell ref="C69:C70"/>
    <mergeCell ref="D69:D70"/>
    <mergeCell ref="C71:C72"/>
    <mergeCell ref="D71:D72"/>
    <mergeCell ref="H62:J63"/>
    <mergeCell ref="H64:J66"/>
    <mergeCell ref="H67:J67"/>
    <mergeCell ref="H68:J68"/>
    <mergeCell ref="H69:J70"/>
    <mergeCell ref="H71:J72"/>
    <mergeCell ref="H73:J76"/>
    <mergeCell ref="U69:U70"/>
    <mergeCell ref="U71:U72"/>
    <mergeCell ref="U73:U76"/>
    <mergeCell ref="U77:U78"/>
    <mergeCell ref="U79:U82"/>
    <mergeCell ref="R85:V85"/>
    <mergeCell ref="R86:V87"/>
    <mergeCell ref="H106:J106"/>
    <mergeCell ref="H107:J108"/>
    <mergeCell ref="H120:J122"/>
    <mergeCell ref="H125:J127"/>
    <mergeCell ref="R88:V89"/>
    <mergeCell ref="R90:V91"/>
    <mergeCell ref="R92:V93"/>
    <mergeCell ref="R94:V96"/>
    <mergeCell ref="U100:U105"/>
    <mergeCell ref="V100:V105"/>
    <mergeCell ref="V107:V108"/>
    <mergeCell ref="A147:A148"/>
    <mergeCell ref="A149:A152"/>
    <mergeCell ref="A154:B155"/>
    <mergeCell ref="A156:A158"/>
    <mergeCell ref="A159:A160"/>
    <mergeCell ref="A162:B163"/>
    <mergeCell ref="A164:A168"/>
    <mergeCell ref="C182:C183"/>
    <mergeCell ref="C189:C190"/>
    <mergeCell ref="A184:A190"/>
    <mergeCell ref="A192:B192"/>
    <mergeCell ref="A193:B193"/>
    <mergeCell ref="A194:A195"/>
    <mergeCell ref="A197:B197"/>
    <mergeCell ref="A198:A203"/>
    <mergeCell ref="A204:A207"/>
    <mergeCell ref="A208:A211"/>
    <mergeCell ref="A169:A171"/>
    <mergeCell ref="A172:A177"/>
    <mergeCell ref="C176:C177"/>
    <mergeCell ref="D176:D177"/>
    <mergeCell ref="A178:A183"/>
    <mergeCell ref="D182:D183"/>
    <mergeCell ref="D189:D190"/>
    <mergeCell ref="A71:A72"/>
    <mergeCell ref="A73:A76"/>
    <mergeCell ref="A77:A78"/>
    <mergeCell ref="A79:A82"/>
    <mergeCell ref="A84:B85"/>
    <mergeCell ref="A86:A87"/>
    <mergeCell ref="A88:A89"/>
    <mergeCell ref="A90:A91"/>
    <mergeCell ref="A92:A93"/>
    <mergeCell ref="A94:A96"/>
    <mergeCell ref="D94:D96"/>
    <mergeCell ref="A98:B98"/>
    <mergeCell ref="A99:B99"/>
    <mergeCell ref="A100:A102"/>
    <mergeCell ref="D126:D127"/>
    <mergeCell ref="D130:D131"/>
    <mergeCell ref="D140:D142"/>
    <mergeCell ref="D143:D144"/>
    <mergeCell ref="D145:D146"/>
    <mergeCell ref="D147:D148"/>
    <mergeCell ref="D150:D152"/>
    <mergeCell ref="C100:C105"/>
    <mergeCell ref="D100:D102"/>
    <mergeCell ref="D103:D105"/>
    <mergeCell ref="D107:D108"/>
    <mergeCell ref="D110:D114"/>
    <mergeCell ref="D116:D119"/>
    <mergeCell ref="D121:D122"/>
    <mergeCell ref="A133:B134"/>
    <mergeCell ref="A139:B139"/>
    <mergeCell ref="A103:A105"/>
    <mergeCell ref="A106:B106"/>
    <mergeCell ref="A107:A108"/>
    <mergeCell ref="A109:B109"/>
    <mergeCell ref="A110:A114"/>
    <mergeCell ref="A115:B115"/>
    <mergeCell ref="A123:B123"/>
    <mergeCell ref="A116:A122"/>
    <mergeCell ref="A124:A127"/>
    <mergeCell ref="A128:A131"/>
    <mergeCell ref="A136:A138"/>
    <mergeCell ref="A140:A142"/>
    <mergeCell ref="A143:A144"/>
    <mergeCell ref="A145:A146"/>
  </mergeCells>
  <conditionalFormatting sqref="K1:K187 L139:L152">
    <cfRule type="containsText" dxfId="0" priority="1" operator="containsText" text="361">
      <formula>NOT(ISERROR(SEARCH(("361"),(K1))))</formula>
    </cfRule>
  </conditionalFormatting>
  <conditionalFormatting sqref="O140:Q152">
    <cfRule type="cellIs" dxfId="2" priority="2" operator="equal">
      <formula>"敵のみ"</formula>
    </cfRule>
  </conditionalFormatting>
  <conditionalFormatting sqref="C140:D152">
    <cfRule type="cellIs" dxfId="3" priority="3" operator="equal">
      <formula>"-"</formula>
    </cfRule>
  </conditionalFormatting>
  <conditionalFormatting sqref="O1:O211 N139:N152 P139:P152 Q148 Q151:Q152 L186:L187">
    <cfRule type="cellIs" dxfId="4" priority="4" operator="greaterThan">
      <formula>0</formula>
    </cfRule>
  </conditionalFormatting>
  <conditionalFormatting sqref="P1:Q211 O139:O152 M186:M187">
    <cfRule type="cellIs" dxfId="5" priority="5" operator="lessThan">
      <formula>1</formula>
    </cfRule>
  </conditionalFormatting>
  <conditionalFormatting sqref="P1:Q211 O139:O152 M186:M187">
    <cfRule type="cellIs" dxfId="4" priority="6" operator="greaterThan">
      <formula>1</formula>
    </cfRule>
  </conditionalFormatting>
  <conditionalFormatting sqref="N25:N163 M139:M152 O139:O152">
    <cfRule type="cellIs" dxfId="6" priority="7" operator="greaterThan">
      <formula>0</formula>
    </cfRule>
  </conditionalFormatting>
  <conditionalFormatting sqref="K1:K211 L139:L152">
    <cfRule type="containsText" dxfId="6" priority="8" operator="containsText" text="363">
      <formula>NOT(ISERROR(SEARCH(("363"),(K1))))</formula>
    </cfRule>
  </conditionalFormatting>
  <conditionalFormatting sqref="K1:K211 L139:L152">
    <cfRule type="containsText" dxfId="6" priority="9" operator="containsText" text="365">
      <formula>NOT(ISERROR(SEARCH(("365"),(K1))))</formula>
    </cfRule>
  </conditionalFormatting>
  <conditionalFormatting sqref="K1:K211 L139:L152">
    <cfRule type="containsText" dxfId="6" priority="10" operator="containsText" text="366">
      <formula>NOT(ISERROR(SEARCH(("366"),(K1))))</formula>
    </cfRule>
  </conditionalFormatting>
  <conditionalFormatting sqref="K1:K211 L139:L152">
    <cfRule type="containsText" dxfId="6" priority="11" operator="containsText" text="367">
      <formula>NOT(ISERROR(SEARCH(("367"),(K1))))</formula>
    </cfRule>
  </conditionalFormatting>
  <conditionalFormatting sqref="N1:N15 N17:N211 M139:M152 O139:O152 K186:K187">
    <cfRule type="containsText" dxfId="6" priority="12" operator="containsText" text="/">
      <formula>NOT(ISERROR(SEARCH(("/"),(N1))))</formula>
    </cfRule>
  </conditionalFormatting>
  <drawing r:id="rId2"/>
  <legacyDrawing r:id="rId3"/>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8CFE3"/>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3568">
        <v>82.0</v>
      </c>
      <c r="B1" s="3569"/>
      <c r="C1" s="3570" t="str">
        <f>IMAGE(VLOOKUP($A$1,Fighters!A2:AI114,12,FALSE),1)</f>
        <v>#REF!</v>
      </c>
      <c r="D1" s="3571"/>
      <c r="E1" s="3571"/>
      <c r="F1" s="3571"/>
      <c r="G1" s="3572"/>
      <c r="H1" s="3573"/>
      <c r="I1" s="3571"/>
      <c r="J1" s="3572"/>
      <c r="K1" s="3574"/>
      <c r="L1" s="3571"/>
      <c r="M1" s="3572"/>
      <c r="N1" s="3575"/>
      <c r="O1" s="3575"/>
      <c r="P1" s="3575"/>
      <c r="Q1" s="3575"/>
      <c r="R1" s="3576"/>
      <c r="S1" s="3576"/>
      <c r="T1" s="3576"/>
      <c r="U1" s="3576"/>
      <c r="V1" s="3576"/>
    </row>
    <row r="2">
      <c r="A2" s="3577" t="str">
        <f>VLOOKUP($A$1,Fighters!$A$2:$AI$101,6,FALSE)</f>
        <v>#c8c8e3</v>
      </c>
      <c r="B2" s="3569"/>
      <c r="C2" s="3578"/>
      <c r="G2" s="3579"/>
      <c r="H2" s="3580"/>
      <c r="I2" s="3581"/>
      <c r="J2" s="3582"/>
      <c r="K2" s="3580"/>
      <c r="L2" s="3581"/>
      <c r="M2" s="3582"/>
      <c r="N2" s="3575"/>
      <c r="O2" s="3575"/>
      <c r="P2" s="3575"/>
      <c r="Q2" s="3575"/>
      <c r="R2" s="3576"/>
      <c r="S2" s="3576"/>
      <c r="T2" s="3576"/>
      <c r="U2" s="3576"/>
      <c r="V2" s="3576"/>
    </row>
    <row r="3">
      <c r="A3" s="3577" t="str">
        <f>VLOOKUP($A$1,Fighters!$A$2:$AI$101,14,FALSE)</f>
        <v>82. ソラ</v>
      </c>
      <c r="B3" s="3569"/>
      <c r="C3" s="3578"/>
      <c r="G3" s="3579"/>
      <c r="H3" s="3583"/>
      <c r="I3" s="3583"/>
      <c r="J3" s="3583"/>
      <c r="K3" s="3584"/>
      <c r="L3" s="3584"/>
      <c r="M3" s="3584"/>
      <c r="N3" s="3575"/>
      <c r="O3" s="3575"/>
      <c r="P3" s="3575"/>
      <c r="Q3" s="3575"/>
      <c r="R3" s="3585"/>
      <c r="S3" s="3576"/>
      <c r="T3" s="3576"/>
      <c r="U3" s="3576"/>
      <c r="V3" s="3576"/>
    </row>
    <row r="4">
      <c r="A4" s="3577" t="str">
        <f>VLOOKUP($A$1,Fighters!$A$2:$AI$101,13,FALSE)</f>
        <v>0</v>
      </c>
      <c r="B4" s="3569"/>
      <c r="C4" s="3578"/>
      <c r="G4" s="3579"/>
      <c r="H4" s="3586"/>
      <c r="I4" s="3586"/>
      <c r="J4" s="3583"/>
      <c r="K4" s="3584"/>
      <c r="L4" s="3584"/>
      <c r="M4" s="3584"/>
      <c r="N4" s="3575"/>
      <c r="O4" s="3575"/>
      <c r="P4" s="3575"/>
      <c r="Q4" s="3575"/>
      <c r="R4" s="3585"/>
      <c r="S4" s="3576"/>
      <c r="T4" s="3576"/>
      <c r="U4" s="3576"/>
      <c r="V4" s="3576"/>
    </row>
    <row r="5" ht="16.5" customHeight="1">
      <c r="A5" s="3569"/>
      <c r="B5" s="3569"/>
      <c r="C5" s="3578"/>
      <c r="G5" s="3579"/>
      <c r="H5" s="3587"/>
      <c r="I5" s="3587"/>
      <c r="J5" s="3588"/>
      <c r="K5" s="3589"/>
      <c r="L5" s="3590"/>
      <c r="M5" s="3590"/>
      <c r="N5" s="3575"/>
      <c r="O5" s="3575"/>
      <c r="P5" s="3575"/>
      <c r="Q5" s="3575"/>
      <c r="R5" s="3585"/>
      <c r="S5" s="3576"/>
      <c r="T5" s="3576"/>
      <c r="U5" s="3576"/>
      <c r="V5" s="3576"/>
    </row>
    <row r="6">
      <c r="A6" s="3569"/>
      <c r="B6" s="3569"/>
      <c r="C6" s="3578"/>
      <c r="G6" s="3579"/>
      <c r="H6" s="3586"/>
      <c r="I6" s="3591" t="s">
        <v>39</v>
      </c>
      <c r="J6" s="3589"/>
      <c r="K6" s="3592"/>
      <c r="L6" s="3590"/>
      <c r="M6" s="3590"/>
      <c r="N6" s="3575"/>
      <c r="O6" s="3575"/>
      <c r="P6" s="3575"/>
      <c r="Q6" s="3575"/>
      <c r="R6" s="3585"/>
      <c r="S6" s="3576"/>
      <c r="T6" s="3576"/>
      <c r="U6" s="3576"/>
      <c r="V6" s="3576"/>
    </row>
    <row r="7">
      <c r="A7" s="3569"/>
      <c r="B7" s="3569"/>
      <c r="C7" s="3578"/>
      <c r="G7" s="3579"/>
      <c r="H7" s="3587"/>
      <c r="I7" s="3587"/>
      <c r="J7" s="3589"/>
      <c r="K7" s="3592"/>
      <c r="L7" s="3590"/>
      <c r="M7" s="3590"/>
      <c r="N7" s="3575"/>
      <c r="O7" s="3575"/>
      <c r="P7" s="3575"/>
      <c r="Q7" s="3575"/>
      <c r="R7" s="3585"/>
      <c r="S7" s="3576"/>
      <c r="T7" s="3576"/>
      <c r="U7" s="3576"/>
      <c r="V7" s="3576"/>
    </row>
    <row r="8">
      <c r="A8" s="3569"/>
      <c r="B8" s="3569"/>
      <c r="C8" s="3578"/>
      <c r="G8" s="3579"/>
      <c r="H8" s="3593">
        <v>44562.842088958336</v>
      </c>
      <c r="I8" s="3571"/>
      <c r="J8" s="3572"/>
      <c r="K8" s="3589"/>
      <c r="L8" s="3590"/>
      <c r="M8" s="3590"/>
      <c r="N8" s="3575"/>
      <c r="O8" s="3575"/>
      <c r="P8" s="3575"/>
      <c r="Q8" s="3575"/>
      <c r="R8" s="3585"/>
      <c r="S8" s="3576"/>
      <c r="T8" s="3576"/>
      <c r="U8" s="3576"/>
      <c r="V8" s="3576"/>
    </row>
    <row r="9">
      <c r="A9" s="3569"/>
      <c r="B9" s="3569"/>
      <c r="C9" s="3578"/>
      <c r="G9" s="3579"/>
      <c r="H9" s="3580"/>
      <c r="I9" s="3581"/>
      <c r="J9" s="3582"/>
      <c r="K9" s="3576"/>
      <c r="L9" s="3575"/>
      <c r="M9" s="3575"/>
      <c r="N9" s="3575"/>
      <c r="O9" s="3575"/>
      <c r="P9" s="3575"/>
      <c r="Q9" s="3575"/>
      <c r="R9" s="3585"/>
      <c r="S9" s="3576"/>
      <c r="T9" s="3576"/>
      <c r="U9" s="3576"/>
      <c r="V9" s="3576"/>
    </row>
    <row r="10">
      <c r="A10" s="3594"/>
      <c r="B10" s="3569"/>
      <c r="C10" s="3578"/>
      <c r="G10" s="3579"/>
      <c r="H10" s="3595"/>
      <c r="I10" s="3595"/>
      <c r="J10" s="3576"/>
      <c r="K10" s="3576"/>
      <c r="L10" s="3575"/>
      <c r="M10" s="3575"/>
      <c r="N10" s="3575"/>
      <c r="O10" s="3575"/>
      <c r="P10" s="3575"/>
      <c r="Q10" s="3575"/>
      <c r="R10" s="3585"/>
      <c r="S10" s="3576"/>
      <c r="T10" s="3576"/>
      <c r="U10" s="3576"/>
      <c r="V10" s="3576"/>
    </row>
    <row r="11">
      <c r="A11" s="3596"/>
      <c r="B11" s="3569"/>
      <c r="C11" s="3578"/>
      <c r="G11" s="3579"/>
      <c r="H11" s="3587"/>
      <c r="I11" s="3587"/>
      <c r="J11" s="3576"/>
      <c r="K11" s="3576"/>
      <c r="L11" s="3575"/>
      <c r="M11" s="3575"/>
      <c r="N11" s="3575"/>
      <c r="O11" s="3575"/>
      <c r="P11" s="3575"/>
      <c r="Q11" s="3575"/>
      <c r="R11" s="3585"/>
      <c r="S11" s="3576"/>
      <c r="T11" s="3576"/>
      <c r="U11" s="3576"/>
      <c r="V11" s="3576"/>
    </row>
    <row r="12">
      <c r="A12" s="3587"/>
      <c r="B12" s="3569"/>
      <c r="C12" s="3580"/>
      <c r="D12" s="3581"/>
      <c r="E12" s="3581"/>
      <c r="F12" s="3581"/>
      <c r="G12" s="3582"/>
      <c r="H12" s="3597"/>
      <c r="I12" s="3597"/>
      <c r="J12" s="3598"/>
      <c r="K12" s="3598"/>
      <c r="L12" s="3575"/>
      <c r="M12" s="3575"/>
      <c r="N12" s="3575"/>
      <c r="O12" s="3575"/>
      <c r="P12" s="3575"/>
      <c r="Q12" s="3575"/>
      <c r="R12" s="3585"/>
      <c r="S12" s="3576"/>
      <c r="T12" s="3576"/>
      <c r="U12" s="3576"/>
      <c r="V12" s="3576"/>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INDEX('行動フレーム・能力値'!$C$2:$AD$101,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85 [72nd]</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46F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1.78 [71st]</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INDEX('行動フレーム・能力値'!$C$2:$AD$101, MATCH($A$1,'行動フレーム・能力値'!$A$2:$A$95,0), MATCH(A18,'行動フレーム・能力値'!$C$1:$AD$1,0))</f>
        <v>1</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0.82 [80th]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56F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 [86th]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30 [68th]</v>
      </c>
      <c r="O18" s="99"/>
      <c r="P18" s="99"/>
      <c r="Q18" s="99"/>
      <c r="R18" s="99"/>
      <c r="S18" s="111"/>
      <c r="T18" s="111"/>
      <c r="U18" s="111"/>
      <c r="V18" s="111"/>
    </row>
    <row r="19" outlineLevel="1">
      <c r="A19" s="112" t="s">
        <v>5288</v>
      </c>
      <c r="B19" s="113" t="b">
        <f t="array" ref="B19">INDEX('行動フレーム・能力値'!$C$2:$AD$101, MATCH($A$1,'行動フレーム・能力値'!$A$2:$A$95,0), MATCH(A19,'行動フレーム・能力値'!$C$1:$AD$1,0))</f>
        <v>0</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1.58 [65th]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31F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0.086 [77th]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17.2 [24th]</v>
      </c>
      <c r="O19" s="99"/>
      <c r="P19" s="99"/>
      <c r="Q19" s="99"/>
      <c r="R19" s="99"/>
      <c r="S19" s="111"/>
      <c r="T19" s="111"/>
      <c r="U19" s="111"/>
      <c r="V19" s="111"/>
    </row>
    <row r="20" outlineLevel="1">
      <c r="A20" s="112" t="s">
        <v>5292</v>
      </c>
      <c r="B20" s="113" t="b">
        <f t="array" ref="B20">INDEX('行動フレーム・能力値'!$C$2:$AD$101,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0.96 [65th]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38F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0.096 [15th]</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40 [12th]</v>
      </c>
      <c r="O20" s="99"/>
      <c r="P20" s="99"/>
      <c r="Q20" s="99"/>
      <c r="R20" s="99"/>
      <c r="S20" s="100"/>
      <c r="T20" s="100"/>
      <c r="U20" s="100"/>
      <c r="V20" s="100"/>
    </row>
    <row r="21" outlineLevel="1">
      <c r="A21" s="112" t="s">
        <v>587</v>
      </c>
      <c r="B21" s="113" t="b">
        <f t="array" ref="B21">INDEX('行動フレーム・能力値'!$C$2:$AD$101,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1.44 [66th]</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0.012 [33rd]</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2.304 [64th]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0.064 [86th]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3599" t="s">
        <v>266</v>
      </c>
      <c r="B26" s="3600" t="s">
        <v>55</v>
      </c>
      <c r="C26" s="3601" t="s">
        <v>1055</v>
      </c>
      <c r="D26" s="3601" t="s">
        <v>224</v>
      </c>
      <c r="E26" s="3602" t="s">
        <v>663</v>
      </c>
      <c r="F26" s="2880">
        <v>3.36</v>
      </c>
      <c r="G26" s="3603" t="s">
        <v>123</v>
      </c>
      <c r="H26" s="2110" t="s">
        <v>6440</v>
      </c>
      <c r="I26" s="110"/>
      <c r="J26" s="109"/>
      <c r="K26" s="3604"/>
      <c r="L26" s="3604"/>
      <c r="M26" s="3605"/>
      <c r="N26" s="3605"/>
      <c r="O26" s="3606">
        <v>0.0</v>
      </c>
      <c r="P26" s="3606">
        <v>1.0</v>
      </c>
      <c r="Q26" s="3606">
        <v>1.0</v>
      </c>
      <c r="R26" s="3607"/>
      <c r="S26" s="3607"/>
      <c r="T26" s="3608"/>
      <c r="U26" s="3608"/>
      <c r="V26" s="100"/>
    </row>
    <row r="27" outlineLevel="1">
      <c r="A27" s="210"/>
      <c r="B27" s="3600" t="s">
        <v>63</v>
      </c>
      <c r="C27" s="3601" t="s">
        <v>975</v>
      </c>
      <c r="D27" s="3601" t="s">
        <v>79</v>
      </c>
      <c r="E27" s="3602" t="s">
        <v>4039</v>
      </c>
      <c r="F27" s="2880">
        <v>3.12</v>
      </c>
      <c r="G27" s="3603" t="s">
        <v>123</v>
      </c>
      <c r="H27" s="2110" t="s">
        <v>6441</v>
      </c>
      <c r="I27" s="110"/>
      <c r="J27" s="109"/>
      <c r="K27" s="3604"/>
      <c r="L27" s="3604"/>
      <c r="M27" s="3605"/>
      <c r="N27" s="3605"/>
      <c r="O27" s="3606">
        <v>0.0</v>
      </c>
      <c r="P27" s="3606">
        <v>1.0</v>
      </c>
      <c r="Q27" s="3606">
        <v>1.0</v>
      </c>
      <c r="R27" s="3607"/>
      <c r="S27" s="3607"/>
      <c r="T27" s="3608"/>
      <c r="U27" s="3608"/>
      <c r="V27" s="100"/>
    </row>
    <row r="28" outlineLevel="1">
      <c r="A28" s="210"/>
      <c r="B28" s="3600" t="s">
        <v>70</v>
      </c>
      <c r="C28" s="3601" t="s">
        <v>3533</v>
      </c>
      <c r="D28" s="3601" t="s">
        <v>146</v>
      </c>
      <c r="E28" s="3602" t="s">
        <v>4090</v>
      </c>
      <c r="F28" s="2880">
        <v>5.04</v>
      </c>
      <c r="G28" s="3603" t="s">
        <v>407</v>
      </c>
      <c r="H28" s="151" t="s">
        <v>6442</v>
      </c>
      <c r="I28" s="110"/>
      <c r="J28" s="109"/>
      <c r="K28" s="3604"/>
      <c r="L28" s="3604"/>
      <c r="M28" s="3605"/>
      <c r="N28" s="3605"/>
      <c r="O28" s="3606">
        <v>0.0</v>
      </c>
      <c r="P28" s="3606">
        <v>1.0</v>
      </c>
      <c r="Q28" s="3606">
        <v>1.0</v>
      </c>
      <c r="R28" s="3607"/>
      <c r="S28" s="3607"/>
      <c r="T28" s="3608"/>
      <c r="U28" s="3608"/>
      <c r="V28" s="100"/>
    </row>
    <row r="29" outlineLevel="1">
      <c r="A29" s="3609" t="s">
        <v>77</v>
      </c>
      <c r="B29" s="3610"/>
      <c r="C29" s="3601" t="s">
        <v>4589</v>
      </c>
      <c r="D29" s="3611" t="s">
        <v>111</v>
      </c>
      <c r="E29" s="3601" t="s">
        <v>81</v>
      </c>
      <c r="F29" s="2880">
        <v>11.52</v>
      </c>
      <c r="G29" s="3603" t="s">
        <v>1008</v>
      </c>
      <c r="H29" s="163" t="s">
        <v>6443</v>
      </c>
      <c r="I29" s="164"/>
      <c r="J29" s="104"/>
      <c r="K29" s="3604"/>
      <c r="L29" s="3604"/>
      <c r="M29" s="3605"/>
      <c r="N29" s="3605"/>
      <c r="O29" s="3612">
        <v>0.0</v>
      </c>
      <c r="P29" s="3612">
        <v>1.0</v>
      </c>
      <c r="Q29" s="3612">
        <v>1.0</v>
      </c>
      <c r="R29" s="3607"/>
      <c r="S29" s="3607"/>
      <c r="T29" s="3608"/>
      <c r="U29" s="3613"/>
      <c r="V29" s="100"/>
    </row>
    <row r="30" outlineLevel="1">
      <c r="A30" s="146"/>
      <c r="B30" s="3614" t="s">
        <v>187</v>
      </c>
      <c r="C30" s="3601" t="s">
        <v>1691</v>
      </c>
      <c r="D30" s="146"/>
      <c r="E30" s="3601" t="s">
        <v>1853</v>
      </c>
      <c r="F30" s="2880">
        <v>9.12</v>
      </c>
      <c r="G30" s="3603" t="s">
        <v>1187</v>
      </c>
      <c r="H30" s="212"/>
      <c r="J30" s="210"/>
      <c r="K30" s="3604"/>
      <c r="L30" s="3604"/>
      <c r="M30" s="3605"/>
      <c r="N30" s="3605"/>
      <c r="O30" s="3606"/>
      <c r="P30" s="3606"/>
      <c r="Q30" s="3606"/>
      <c r="R30" s="3607"/>
      <c r="S30" s="3607"/>
      <c r="T30" s="3608"/>
      <c r="U30" s="146"/>
      <c r="V30" s="100"/>
    </row>
    <row r="31" outlineLevel="1">
      <c r="A31" s="156"/>
      <c r="B31" s="3614" t="s">
        <v>189</v>
      </c>
      <c r="C31" s="3601" t="s">
        <v>1164</v>
      </c>
      <c r="D31" s="156"/>
      <c r="E31" s="3601" t="s">
        <v>87</v>
      </c>
      <c r="F31" s="2880">
        <v>8.64</v>
      </c>
      <c r="G31" s="3603" t="s">
        <v>82</v>
      </c>
      <c r="H31" s="106"/>
      <c r="I31" s="168"/>
      <c r="J31" s="107"/>
      <c r="K31" s="3604"/>
      <c r="L31" s="3604"/>
      <c r="M31" s="3605"/>
      <c r="N31" s="3605"/>
      <c r="O31" s="3606">
        <v>0.0</v>
      </c>
      <c r="P31" s="3606">
        <v>1.0</v>
      </c>
      <c r="Q31" s="3606">
        <v>1.0</v>
      </c>
      <c r="R31" s="3607"/>
      <c r="S31" s="3607"/>
      <c r="T31" s="3608"/>
      <c r="U31" s="156"/>
      <c r="V31" s="100"/>
    </row>
    <row r="32" ht="28.5" customHeight="1" outlineLevel="1">
      <c r="A32" s="3609" t="s">
        <v>89</v>
      </c>
      <c r="B32" s="3614" t="s">
        <v>6444</v>
      </c>
      <c r="C32" s="3601" t="s">
        <v>1691</v>
      </c>
      <c r="D32" s="3611" t="s">
        <v>384</v>
      </c>
      <c r="E32" s="3601" t="s">
        <v>87</v>
      </c>
      <c r="F32" s="2880">
        <v>8.64</v>
      </c>
      <c r="G32" s="3603" t="s">
        <v>1187</v>
      </c>
      <c r="H32" s="163" t="s">
        <v>6445</v>
      </c>
      <c r="I32" s="164"/>
      <c r="J32" s="104"/>
      <c r="K32" s="3604"/>
      <c r="L32" s="3604"/>
      <c r="M32" s="3605"/>
      <c r="N32" s="3605"/>
      <c r="O32" s="3606">
        <v>0.0</v>
      </c>
      <c r="P32" s="3606">
        <v>1.0</v>
      </c>
      <c r="Q32" s="3606">
        <v>1.0</v>
      </c>
      <c r="R32" s="3607"/>
      <c r="S32" s="3607"/>
      <c r="T32" s="3608"/>
      <c r="U32" s="3613"/>
      <c r="V32" s="100"/>
    </row>
    <row r="33" ht="28.5" customHeight="1" outlineLevel="1">
      <c r="A33" s="146"/>
      <c r="B33" s="3614" t="s">
        <v>6446</v>
      </c>
      <c r="C33" s="3601" t="s">
        <v>1734</v>
      </c>
      <c r="D33" s="156"/>
      <c r="E33" s="3601" t="s">
        <v>3014</v>
      </c>
      <c r="F33" s="2880">
        <v>6.24</v>
      </c>
      <c r="G33" s="3603" t="s">
        <v>82</v>
      </c>
      <c r="H33" s="106"/>
      <c r="I33" s="168"/>
      <c r="J33" s="107"/>
      <c r="K33" s="3604"/>
      <c r="L33" s="3604"/>
      <c r="M33" s="3605"/>
      <c r="N33" s="3605"/>
      <c r="O33" s="3606"/>
      <c r="P33" s="3606"/>
      <c r="Q33" s="3606"/>
      <c r="R33" s="3607"/>
      <c r="S33" s="3607"/>
      <c r="T33" s="3608"/>
      <c r="U33" s="146"/>
      <c r="V33" s="100"/>
    </row>
    <row r="34" outlineLevel="1">
      <c r="A34" s="146"/>
      <c r="B34" s="3600" t="s">
        <v>2226</v>
      </c>
      <c r="C34" s="3601" t="s">
        <v>975</v>
      </c>
      <c r="D34" s="3601" t="s">
        <v>193</v>
      </c>
      <c r="E34" s="3601" t="s">
        <v>910</v>
      </c>
      <c r="F34" s="2880">
        <v>4.32</v>
      </c>
      <c r="G34" s="3603" t="s">
        <v>121</v>
      </c>
      <c r="H34" s="151" t="s">
        <v>6447</v>
      </c>
      <c r="I34" s="110"/>
      <c r="J34" s="109"/>
      <c r="K34" s="3604"/>
      <c r="L34" s="3604"/>
      <c r="M34" s="3605"/>
      <c r="N34" s="3605"/>
      <c r="O34" s="3606">
        <v>0.0</v>
      </c>
      <c r="P34" s="3606">
        <v>1.0</v>
      </c>
      <c r="Q34" s="3606">
        <v>1.0</v>
      </c>
      <c r="R34" s="3607"/>
      <c r="S34" s="3607"/>
      <c r="T34" s="3608"/>
      <c r="U34" s="146"/>
      <c r="V34" s="100"/>
    </row>
    <row r="35" outlineLevel="1">
      <c r="A35" s="156"/>
      <c r="B35" s="3600" t="s">
        <v>2228</v>
      </c>
      <c r="C35" s="3601" t="s">
        <v>1290</v>
      </c>
      <c r="D35" s="3601" t="s">
        <v>111</v>
      </c>
      <c r="E35" s="3601" t="s">
        <v>4540</v>
      </c>
      <c r="F35" s="2880">
        <v>7.68</v>
      </c>
      <c r="G35" s="3603" t="s">
        <v>82</v>
      </c>
      <c r="H35" s="151" t="s">
        <v>6448</v>
      </c>
      <c r="I35" s="110"/>
      <c r="J35" s="109"/>
      <c r="K35" s="3604"/>
      <c r="L35" s="3604"/>
      <c r="M35" s="3605"/>
      <c r="N35" s="3605"/>
      <c r="O35" s="3606">
        <v>0.0</v>
      </c>
      <c r="P35" s="3606">
        <v>1.0</v>
      </c>
      <c r="Q35" s="3606">
        <v>1.0</v>
      </c>
      <c r="R35" s="3607"/>
      <c r="S35" s="3607"/>
      <c r="T35" s="3608"/>
      <c r="U35" s="156"/>
      <c r="V35" s="100"/>
    </row>
    <row r="36" outlineLevel="1">
      <c r="A36" s="3609" t="s">
        <v>97</v>
      </c>
      <c r="B36" s="3614" t="s">
        <v>125</v>
      </c>
      <c r="C36" s="3601" t="s">
        <v>518</v>
      </c>
      <c r="D36" s="3611" t="s">
        <v>892</v>
      </c>
      <c r="E36" s="3601" t="s">
        <v>1375</v>
      </c>
      <c r="F36" s="2880">
        <v>0.96</v>
      </c>
      <c r="G36" s="3601" t="s">
        <v>170</v>
      </c>
      <c r="H36" s="163"/>
      <c r="I36" s="164"/>
      <c r="J36" s="104"/>
      <c r="K36" s="3604"/>
      <c r="L36" s="3604"/>
      <c r="M36" s="3605"/>
      <c r="N36" s="3605"/>
      <c r="O36" s="3606">
        <v>0.0</v>
      </c>
      <c r="P36" s="3606">
        <v>1.0</v>
      </c>
      <c r="Q36" s="3606">
        <v>1.0</v>
      </c>
      <c r="R36" s="3607"/>
      <c r="S36" s="3607"/>
      <c r="T36" s="3608"/>
      <c r="U36" s="3613"/>
      <c r="V36" s="100"/>
    </row>
    <row r="37" outlineLevel="1">
      <c r="A37" s="146"/>
      <c r="B37" s="3614" t="s">
        <v>2425</v>
      </c>
      <c r="C37" s="3601" t="s">
        <v>6449</v>
      </c>
      <c r="D37" s="146"/>
      <c r="E37" s="3601" t="s">
        <v>1375</v>
      </c>
      <c r="F37" s="2880">
        <v>0.96</v>
      </c>
      <c r="G37" s="3601" t="s">
        <v>170</v>
      </c>
      <c r="H37" s="212"/>
      <c r="J37" s="210"/>
      <c r="K37" s="3612"/>
      <c r="L37" s="3605"/>
      <c r="M37" s="3605"/>
      <c r="N37" s="3605"/>
      <c r="O37" s="3606"/>
      <c r="P37" s="3606"/>
      <c r="Q37" s="3606"/>
      <c r="R37" s="3607"/>
      <c r="S37" s="3607"/>
      <c r="T37" s="3608"/>
      <c r="U37" s="146"/>
      <c r="V37" s="100"/>
    </row>
    <row r="38" outlineLevel="1">
      <c r="A38" s="146"/>
      <c r="B38" s="3614" t="s">
        <v>172</v>
      </c>
      <c r="C38" s="3601" t="s">
        <v>784</v>
      </c>
      <c r="D38" s="146"/>
      <c r="E38" s="3601" t="s">
        <v>1614</v>
      </c>
      <c r="F38" s="2880">
        <v>1.44</v>
      </c>
      <c r="G38" s="3601" t="s">
        <v>170</v>
      </c>
      <c r="H38" s="212"/>
      <c r="J38" s="210"/>
      <c r="K38" s="3612"/>
      <c r="L38" s="3605"/>
      <c r="M38" s="3605"/>
      <c r="N38" s="3605"/>
      <c r="O38" s="3606"/>
      <c r="P38" s="3606"/>
      <c r="Q38" s="3606"/>
      <c r="R38" s="3607"/>
      <c r="S38" s="3607"/>
      <c r="T38" s="3608"/>
      <c r="U38" s="146"/>
      <c r="V38" s="100"/>
    </row>
    <row r="39" outlineLevel="1">
      <c r="A39" s="156"/>
      <c r="B39" s="3614" t="s">
        <v>365</v>
      </c>
      <c r="C39" s="3601" t="s">
        <v>6450</v>
      </c>
      <c r="D39" s="156"/>
      <c r="E39" s="3601" t="s">
        <v>3245</v>
      </c>
      <c r="F39" s="2880">
        <v>5.52</v>
      </c>
      <c r="G39" s="3601" t="s">
        <v>75</v>
      </c>
      <c r="H39" s="106"/>
      <c r="I39" s="168"/>
      <c r="J39" s="107"/>
      <c r="K39" s="3612"/>
      <c r="L39" s="3605"/>
      <c r="M39" s="3605"/>
      <c r="N39" s="3605"/>
      <c r="O39" s="3606">
        <v>0.0</v>
      </c>
      <c r="P39" s="3606">
        <v>1.0</v>
      </c>
      <c r="Q39" s="3606">
        <v>1.0</v>
      </c>
      <c r="R39" s="3607"/>
      <c r="S39" s="3607"/>
      <c r="T39" s="3608"/>
      <c r="U39" s="156"/>
      <c r="V39" s="100"/>
    </row>
    <row r="40" outlineLevel="1">
      <c r="A40" s="3615" t="s">
        <v>103</v>
      </c>
      <c r="B40" s="3610"/>
      <c r="C40" s="3601" t="s">
        <v>220</v>
      </c>
      <c r="D40" s="3601" t="s">
        <v>271</v>
      </c>
      <c r="E40" s="3601" t="s">
        <v>3014</v>
      </c>
      <c r="F40" s="2880">
        <v>6.24</v>
      </c>
      <c r="G40" s="3601" t="s">
        <v>102</v>
      </c>
      <c r="H40" s="151"/>
      <c r="I40" s="110"/>
      <c r="J40" s="109"/>
      <c r="K40" s="3612"/>
      <c r="L40" s="3605"/>
      <c r="M40" s="3605"/>
      <c r="N40" s="3605"/>
      <c r="O40" s="3606">
        <v>0.0</v>
      </c>
      <c r="P40" s="3606">
        <v>1.0</v>
      </c>
      <c r="Q40" s="3606">
        <v>1.0</v>
      </c>
      <c r="R40" s="3607"/>
      <c r="S40" s="3607"/>
      <c r="T40" s="3608"/>
      <c r="U40" s="3608"/>
      <c r="V40" s="100"/>
    </row>
    <row r="41" ht="27.75" customHeight="1" outlineLevel="1">
      <c r="A41" s="3609" t="s">
        <v>109</v>
      </c>
      <c r="B41" s="3600"/>
      <c r="C41" s="3601" t="s">
        <v>454</v>
      </c>
      <c r="D41" s="3611" t="s">
        <v>634</v>
      </c>
      <c r="E41" s="3601" t="s">
        <v>1570</v>
      </c>
      <c r="F41" s="2880">
        <v>18.48</v>
      </c>
      <c r="G41" s="3603" t="s">
        <v>811</v>
      </c>
      <c r="H41" s="2357" t="s">
        <v>6451</v>
      </c>
      <c r="I41" s="164"/>
      <c r="J41" s="104"/>
      <c r="K41" s="3604"/>
      <c r="L41" s="3604"/>
      <c r="M41" s="3605"/>
      <c r="N41" s="3605"/>
      <c r="O41" s="3606">
        <v>0.0</v>
      </c>
      <c r="P41" s="3606">
        <v>1.0</v>
      </c>
      <c r="Q41" s="3606">
        <v>1.0</v>
      </c>
      <c r="R41" s="3607"/>
      <c r="S41" s="3607"/>
      <c r="T41" s="3608"/>
      <c r="U41" s="3613"/>
      <c r="V41" s="100"/>
    </row>
    <row r="42" ht="27.75" customHeight="1" outlineLevel="1">
      <c r="A42" s="156"/>
      <c r="B42" s="3600" t="s">
        <v>84</v>
      </c>
      <c r="C42" s="3601" t="s">
        <v>312</v>
      </c>
      <c r="D42" s="156"/>
      <c r="E42" s="3601" t="s">
        <v>5973</v>
      </c>
      <c r="F42" s="2880">
        <v>16.56</v>
      </c>
      <c r="G42" s="3603" t="s">
        <v>6057</v>
      </c>
      <c r="H42" s="106"/>
      <c r="I42" s="168"/>
      <c r="J42" s="107"/>
      <c r="K42" s="3604"/>
      <c r="L42" s="3604"/>
      <c r="M42" s="3605"/>
      <c r="N42" s="3605"/>
      <c r="O42" s="3606">
        <v>0.0</v>
      </c>
      <c r="P42" s="3606">
        <v>1.0</v>
      </c>
      <c r="Q42" s="3606">
        <v>1.0</v>
      </c>
      <c r="R42" s="3607"/>
      <c r="S42" s="3607"/>
      <c r="T42" s="3608"/>
      <c r="U42" s="156"/>
      <c r="V42" s="100"/>
    </row>
    <row r="43" outlineLevel="1">
      <c r="A43" s="3609" t="s">
        <v>116</v>
      </c>
      <c r="B43" s="3616" t="s">
        <v>125</v>
      </c>
      <c r="C43" s="3601" t="s">
        <v>299</v>
      </c>
      <c r="D43" s="3611" t="s">
        <v>634</v>
      </c>
      <c r="E43" s="3601" t="s">
        <v>201</v>
      </c>
      <c r="F43" s="2880">
        <v>0.72</v>
      </c>
      <c r="G43" s="3601" t="s">
        <v>170</v>
      </c>
      <c r="H43" s="2357" t="s">
        <v>560</v>
      </c>
      <c r="I43" s="164"/>
      <c r="J43" s="104"/>
      <c r="K43" s="3605"/>
      <c r="L43" s="3605"/>
      <c r="M43" s="3605"/>
      <c r="N43" s="3605"/>
      <c r="O43" s="3606">
        <v>0.0</v>
      </c>
      <c r="P43" s="3606">
        <v>1.0</v>
      </c>
      <c r="Q43" s="3606">
        <v>1.0</v>
      </c>
      <c r="R43" s="3607"/>
      <c r="S43" s="3607"/>
      <c r="T43" s="3608"/>
      <c r="U43" s="3613"/>
      <c r="V43" s="100"/>
    </row>
    <row r="44" outlineLevel="1">
      <c r="A44" s="156"/>
      <c r="B44" s="3617" t="s">
        <v>131</v>
      </c>
      <c r="C44" s="3602" t="s">
        <v>409</v>
      </c>
      <c r="D44" s="156"/>
      <c r="E44" s="3601" t="s">
        <v>6452</v>
      </c>
      <c r="F44" s="2880">
        <v>17.52</v>
      </c>
      <c r="G44" s="3601" t="s">
        <v>121</v>
      </c>
      <c r="H44" s="106"/>
      <c r="I44" s="168"/>
      <c r="J44" s="107"/>
      <c r="K44" s="3608"/>
      <c r="L44" s="3605"/>
      <c r="M44" s="3605"/>
      <c r="N44" s="3605"/>
      <c r="O44" s="3606"/>
      <c r="P44" s="3606"/>
      <c r="Q44" s="3606"/>
      <c r="R44" s="3607"/>
      <c r="S44" s="3607"/>
      <c r="T44" s="3608"/>
      <c r="U44" s="156"/>
      <c r="V44" s="100"/>
    </row>
    <row r="45" ht="31.5" customHeight="1" outlineLevel="1">
      <c r="A45" s="3609" t="s">
        <v>124</v>
      </c>
      <c r="B45" s="3610"/>
      <c r="C45" s="3602" t="s">
        <v>401</v>
      </c>
      <c r="D45" s="3611" t="s">
        <v>300</v>
      </c>
      <c r="E45" s="3601" t="s">
        <v>6453</v>
      </c>
      <c r="F45" s="2880">
        <v>18.24</v>
      </c>
      <c r="G45" s="3601" t="s">
        <v>121</v>
      </c>
      <c r="H45" s="2357" t="s">
        <v>6454</v>
      </c>
      <c r="I45" s="164"/>
      <c r="J45" s="104"/>
      <c r="K45" s="3618"/>
      <c r="L45" s="3604"/>
      <c r="M45" s="3605"/>
      <c r="N45" s="3605"/>
      <c r="O45" s="3606">
        <v>0.0</v>
      </c>
      <c r="P45" s="3606">
        <v>1.0</v>
      </c>
      <c r="Q45" s="3606">
        <v>1.0</v>
      </c>
      <c r="R45" s="3607"/>
      <c r="S45" s="3607"/>
      <c r="T45" s="3608"/>
      <c r="U45" s="3613"/>
      <c r="V45" s="100"/>
    </row>
    <row r="46" ht="31.5" customHeight="1" outlineLevel="1">
      <c r="A46" s="156"/>
      <c r="B46" s="3614" t="s">
        <v>2528</v>
      </c>
      <c r="C46" s="3602" t="s">
        <v>2159</v>
      </c>
      <c r="D46" s="156"/>
      <c r="E46" s="3601" t="s">
        <v>6455</v>
      </c>
      <c r="F46" s="2880">
        <v>17.04</v>
      </c>
      <c r="G46" s="3601" t="s">
        <v>121</v>
      </c>
      <c r="H46" s="106"/>
      <c r="I46" s="168"/>
      <c r="J46" s="107"/>
      <c r="K46" s="3604"/>
      <c r="L46" s="3604"/>
      <c r="M46" s="3605"/>
      <c r="N46" s="3605"/>
      <c r="O46" s="3606">
        <v>0.0</v>
      </c>
      <c r="P46" s="3606">
        <v>1.0</v>
      </c>
      <c r="Q46" s="3606">
        <v>1.0</v>
      </c>
      <c r="R46" s="3607"/>
      <c r="S46" s="3607"/>
      <c r="T46" s="3608"/>
      <c r="U46" s="156"/>
      <c r="V46" s="100"/>
    </row>
    <row r="47">
      <c r="A47" s="118"/>
      <c r="B47" s="176"/>
      <c r="C47" s="118"/>
      <c r="D47" s="118"/>
      <c r="E47" s="118"/>
      <c r="F47" s="177"/>
      <c r="G47" s="177"/>
      <c r="H47" s="118"/>
      <c r="I47" s="118"/>
      <c r="J47" s="118"/>
      <c r="K47" s="118"/>
      <c r="L47" s="118"/>
      <c r="M47" s="118"/>
      <c r="N47" s="118"/>
      <c r="O47" s="118"/>
      <c r="P47" s="118"/>
      <c r="Q47" s="118"/>
      <c r="R47" s="118"/>
      <c r="S47" s="118"/>
      <c r="T47" s="118"/>
      <c r="U47" s="118"/>
      <c r="V47" s="118"/>
    </row>
    <row r="48">
      <c r="A48" s="178" t="s">
        <v>133</v>
      </c>
      <c r="B48" s="104"/>
      <c r="C48" s="179"/>
      <c r="D48" s="179"/>
      <c r="E48" s="179"/>
      <c r="F48" s="180"/>
      <c r="G48" s="179"/>
      <c r="H48" s="180"/>
      <c r="I48" s="180"/>
      <c r="J48" s="181"/>
      <c r="K48" s="180"/>
      <c r="L48" s="180"/>
      <c r="M48" s="180"/>
      <c r="N48" s="180"/>
      <c r="O48" s="180"/>
      <c r="P48" s="180"/>
      <c r="Q48" s="180"/>
      <c r="R48" s="180"/>
      <c r="S48" s="180"/>
      <c r="T48" s="180"/>
      <c r="U48" s="180"/>
      <c r="V48" s="180"/>
    </row>
    <row r="49" outlineLevel="1">
      <c r="A49" s="106"/>
      <c r="B49" s="107"/>
      <c r="C49" s="182" t="s">
        <v>48</v>
      </c>
      <c r="D49" s="183" t="s">
        <v>49</v>
      </c>
      <c r="E49" s="182" t="s">
        <v>50</v>
      </c>
      <c r="F49" s="184" t="s">
        <v>51</v>
      </c>
      <c r="G49" s="184" t="s">
        <v>134</v>
      </c>
      <c r="H49" s="185" t="s">
        <v>52</v>
      </c>
      <c r="I49" s="184" t="s">
        <v>135</v>
      </c>
      <c r="J49" s="186" t="s">
        <v>136</v>
      </c>
      <c r="K49" s="184" t="s">
        <v>137</v>
      </c>
      <c r="L49" s="184" t="s">
        <v>138</v>
      </c>
      <c r="M49" s="184" t="s">
        <v>139</v>
      </c>
      <c r="N49" s="184" t="s">
        <v>140</v>
      </c>
      <c r="O49" s="186" t="s">
        <v>141</v>
      </c>
      <c r="P49" s="184" t="s">
        <v>142</v>
      </c>
      <c r="Q49" s="186" t="s">
        <v>143</v>
      </c>
      <c r="R49" s="372" t="s">
        <v>53</v>
      </c>
      <c r="S49" s="110"/>
      <c r="T49" s="110"/>
      <c r="U49" s="110"/>
      <c r="V49" s="109"/>
    </row>
    <row r="50" outlineLevel="1">
      <c r="A50" s="3619" t="s">
        <v>144</v>
      </c>
      <c r="B50" s="3620" t="s">
        <v>6456</v>
      </c>
      <c r="C50" s="3602" t="s">
        <v>1168</v>
      </c>
      <c r="D50" s="3601" t="s">
        <v>384</v>
      </c>
      <c r="E50" s="3602" t="s">
        <v>2143</v>
      </c>
      <c r="F50" s="2880">
        <v>4.56</v>
      </c>
      <c r="G50" s="2880">
        <v>3.876</v>
      </c>
      <c r="H50" s="3621" t="s">
        <v>60</v>
      </c>
      <c r="I50" s="3602" t="s">
        <v>274</v>
      </c>
      <c r="J50" s="3602" t="s">
        <v>5445</v>
      </c>
      <c r="K50" s="3622">
        <v>361.0</v>
      </c>
      <c r="L50" s="3604"/>
      <c r="M50" s="3605"/>
      <c r="N50" s="3605"/>
      <c r="O50" s="3606">
        <v>0.0</v>
      </c>
      <c r="P50" s="3606">
        <v>1.0</v>
      </c>
      <c r="Q50" s="3606">
        <v>1.0</v>
      </c>
      <c r="R50" s="2465" t="s">
        <v>6457</v>
      </c>
      <c r="S50" s="110"/>
      <c r="T50" s="110"/>
      <c r="U50" s="110"/>
      <c r="V50" s="109"/>
    </row>
    <row r="51" outlineLevel="1">
      <c r="A51" s="210"/>
      <c r="B51" s="3620" t="s">
        <v>6458</v>
      </c>
      <c r="C51" s="3602" t="s">
        <v>322</v>
      </c>
      <c r="D51" s="3601" t="s">
        <v>72</v>
      </c>
      <c r="E51" s="3602" t="s">
        <v>651</v>
      </c>
      <c r="F51" s="2880">
        <v>4.2</v>
      </c>
      <c r="G51" s="2880">
        <v>3.5700000000000003</v>
      </c>
      <c r="H51" s="3621" t="s">
        <v>170</v>
      </c>
      <c r="I51" s="3602" t="s">
        <v>128</v>
      </c>
      <c r="J51" s="3602" t="s">
        <v>2279</v>
      </c>
      <c r="K51" s="3618"/>
      <c r="L51" s="3604"/>
      <c r="M51" s="3605"/>
      <c r="N51" s="3605"/>
      <c r="O51" s="3606"/>
      <c r="P51" s="3606"/>
      <c r="Q51" s="3606"/>
      <c r="R51" s="2465" t="s">
        <v>6459</v>
      </c>
      <c r="S51" s="110"/>
      <c r="T51" s="110"/>
      <c r="U51" s="110"/>
      <c r="V51" s="109"/>
    </row>
    <row r="52" outlineLevel="1">
      <c r="A52" s="210"/>
      <c r="B52" s="3620" t="s">
        <v>6460</v>
      </c>
      <c r="C52" s="3602" t="s">
        <v>505</v>
      </c>
      <c r="D52" s="3601" t="s">
        <v>384</v>
      </c>
      <c r="E52" s="3602" t="s">
        <v>4310</v>
      </c>
      <c r="F52" s="3623">
        <v>8.16</v>
      </c>
      <c r="G52" s="3623">
        <v>6.936</v>
      </c>
      <c r="H52" s="3621" t="s">
        <v>60</v>
      </c>
      <c r="I52" s="3602" t="s">
        <v>232</v>
      </c>
      <c r="J52" s="3602" t="s">
        <v>1757</v>
      </c>
      <c r="K52" s="3624">
        <v>363.0</v>
      </c>
      <c r="L52" s="3604"/>
      <c r="M52" s="3605"/>
      <c r="N52" s="3605"/>
      <c r="O52" s="3606">
        <v>0.0</v>
      </c>
      <c r="P52" s="3606">
        <v>1.0</v>
      </c>
      <c r="Q52" s="3606">
        <v>1.0</v>
      </c>
      <c r="R52" s="3625"/>
      <c r="S52" s="3625"/>
      <c r="T52" s="3625"/>
      <c r="U52" s="3626"/>
      <c r="V52" s="109"/>
    </row>
    <row r="53" outlineLevel="1">
      <c r="A53" s="3627" t="s">
        <v>151</v>
      </c>
      <c r="B53" s="3620" t="s">
        <v>4678</v>
      </c>
      <c r="C53" s="3602" t="s">
        <v>1208</v>
      </c>
      <c r="D53" s="3601" t="s">
        <v>127</v>
      </c>
      <c r="E53" s="3602" t="s">
        <v>74</v>
      </c>
      <c r="F53" s="3623">
        <v>5.76</v>
      </c>
      <c r="G53" s="3623">
        <v>4.896</v>
      </c>
      <c r="H53" s="3621" t="s">
        <v>60</v>
      </c>
      <c r="I53" s="3602" t="s">
        <v>129</v>
      </c>
      <c r="J53" s="3602" t="s">
        <v>643</v>
      </c>
      <c r="K53" s="3618">
        <v>45.0</v>
      </c>
      <c r="L53" s="3604"/>
      <c r="M53" s="3605"/>
      <c r="N53" s="3605"/>
      <c r="O53" s="3606">
        <v>0.0</v>
      </c>
      <c r="P53" s="3606">
        <v>1.0</v>
      </c>
      <c r="Q53" s="3606">
        <v>1.0</v>
      </c>
      <c r="R53" s="2465" t="s">
        <v>6461</v>
      </c>
      <c r="S53" s="110"/>
      <c r="T53" s="110"/>
      <c r="U53" s="110"/>
      <c r="V53" s="109"/>
    </row>
    <row r="54" outlineLevel="1">
      <c r="A54" s="146"/>
      <c r="B54" s="3620" t="s">
        <v>4681</v>
      </c>
      <c r="C54" s="3602" t="s">
        <v>322</v>
      </c>
      <c r="D54" s="3601" t="s">
        <v>72</v>
      </c>
      <c r="E54" s="3602" t="s">
        <v>73</v>
      </c>
      <c r="F54" s="3623">
        <v>4.8</v>
      </c>
      <c r="G54" s="3623">
        <v>4.08</v>
      </c>
      <c r="H54" s="3621" t="s">
        <v>60</v>
      </c>
      <c r="I54" s="3602" t="s">
        <v>228</v>
      </c>
      <c r="J54" s="3602" t="s">
        <v>2279</v>
      </c>
      <c r="K54" s="3618"/>
      <c r="L54" s="3604"/>
      <c r="M54" s="3605"/>
      <c r="N54" s="3605"/>
      <c r="O54" s="3606"/>
      <c r="P54" s="3606"/>
      <c r="Q54" s="3606"/>
      <c r="R54" s="2465" t="s">
        <v>6462</v>
      </c>
      <c r="S54" s="110"/>
      <c r="T54" s="110"/>
      <c r="U54" s="110"/>
      <c r="V54" s="109"/>
    </row>
    <row r="55" outlineLevel="1">
      <c r="A55" s="156"/>
      <c r="B55" s="3620" t="s">
        <v>4684</v>
      </c>
      <c r="C55" s="3602" t="s">
        <v>505</v>
      </c>
      <c r="D55" s="3601" t="s">
        <v>384</v>
      </c>
      <c r="E55" s="3602" t="s">
        <v>4310</v>
      </c>
      <c r="F55" s="3623">
        <v>8.16</v>
      </c>
      <c r="G55" s="3623">
        <v>6.936</v>
      </c>
      <c r="H55" s="3621" t="s">
        <v>60</v>
      </c>
      <c r="I55" s="3602" t="s">
        <v>119</v>
      </c>
      <c r="J55" s="3602" t="s">
        <v>1757</v>
      </c>
      <c r="K55" s="3624">
        <v>365.0</v>
      </c>
      <c r="L55" s="3604"/>
      <c r="M55" s="3605"/>
      <c r="N55" s="3605"/>
      <c r="O55" s="3606">
        <v>0.0</v>
      </c>
      <c r="P55" s="3606">
        <v>1.0</v>
      </c>
      <c r="Q55" s="3606">
        <v>1.0</v>
      </c>
      <c r="R55" s="3625"/>
      <c r="S55" s="3625"/>
      <c r="T55" s="3625"/>
      <c r="U55" s="3626"/>
      <c r="V55" s="109"/>
    </row>
    <row r="56" outlineLevel="1">
      <c r="A56" s="3628" t="s">
        <v>157</v>
      </c>
      <c r="B56" s="3620"/>
      <c r="C56" s="3602" t="s">
        <v>721</v>
      </c>
      <c r="D56" s="3601" t="s">
        <v>79</v>
      </c>
      <c r="E56" s="3602" t="s">
        <v>1830</v>
      </c>
      <c r="F56" s="3623">
        <v>15.839999999999998</v>
      </c>
      <c r="G56" s="3623">
        <v>13.463999999999999</v>
      </c>
      <c r="H56" s="3621" t="s">
        <v>75</v>
      </c>
      <c r="I56" s="3601" t="s">
        <v>232</v>
      </c>
      <c r="J56" s="3601" t="s">
        <v>905</v>
      </c>
      <c r="K56" s="3604">
        <v>57.0</v>
      </c>
      <c r="L56" s="3604"/>
      <c r="M56" s="3605"/>
      <c r="N56" s="3605"/>
      <c r="O56" s="3606">
        <v>0.0</v>
      </c>
      <c r="P56" s="3606">
        <v>1.0</v>
      </c>
      <c r="Q56" s="3606">
        <v>1.0</v>
      </c>
      <c r="R56" s="151"/>
      <c r="S56" s="110"/>
      <c r="T56" s="110"/>
      <c r="U56" s="110"/>
      <c r="V56" s="109"/>
    </row>
    <row r="57" outlineLevel="1">
      <c r="A57" s="3628" t="s">
        <v>162</v>
      </c>
      <c r="B57" s="3620"/>
      <c r="C57" s="3602" t="s">
        <v>6463</v>
      </c>
      <c r="D57" s="3601" t="s">
        <v>384</v>
      </c>
      <c r="E57" s="3602" t="s">
        <v>6464</v>
      </c>
      <c r="F57" s="3623">
        <v>14.639999999999999</v>
      </c>
      <c r="G57" s="3623">
        <v>12.443999999999999</v>
      </c>
      <c r="H57" s="3621" t="s">
        <v>75</v>
      </c>
      <c r="I57" s="3601" t="s">
        <v>128</v>
      </c>
      <c r="J57" s="3601" t="s">
        <v>1634</v>
      </c>
      <c r="K57" s="3604"/>
      <c r="L57" s="3604"/>
      <c r="M57" s="3605"/>
      <c r="N57" s="3605"/>
      <c r="O57" s="3606">
        <v>0.0</v>
      </c>
      <c r="P57" s="3606">
        <v>1.0</v>
      </c>
      <c r="Q57" s="3606">
        <v>1.0</v>
      </c>
      <c r="R57" s="151"/>
      <c r="S57" s="110"/>
      <c r="T57" s="110"/>
      <c r="U57" s="110"/>
      <c r="V57" s="109"/>
    </row>
    <row r="58" ht="22.5" customHeight="1" outlineLevel="1">
      <c r="A58" s="3627" t="s">
        <v>166</v>
      </c>
      <c r="B58" s="3620"/>
      <c r="C58" s="3602" t="s">
        <v>6465</v>
      </c>
      <c r="D58" s="3611" t="s">
        <v>600</v>
      </c>
      <c r="E58" s="3602" t="s">
        <v>6466</v>
      </c>
      <c r="F58" s="3623">
        <v>11.76</v>
      </c>
      <c r="G58" s="3623">
        <v>9.996</v>
      </c>
      <c r="H58" s="3629" t="s">
        <v>88</v>
      </c>
      <c r="I58" s="3611" t="s">
        <v>593</v>
      </c>
      <c r="J58" s="3611" t="s">
        <v>4533</v>
      </c>
      <c r="K58" s="3604"/>
      <c r="L58" s="3604"/>
      <c r="M58" s="3605"/>
      <c r="N58" s="3605"/>
      <c r="O58" s="3606">
        <v>0.0</v>
      </c>
      <c r="P58" s="3606">
        <v>1.0</v>
      </c>
      <c r="Q58" s="3606">
        <v>1.0</v>
      </c>
      <c r="R58" s="163" t="s">
        <v>6467</v>
      </c>
      <c r="S58" s="164"/>
      <c r="T58" s="164"/>
      <c r="U58" s="164"/>
      <c r="V58" s="104"/>
    </row>
    <row r="59" ht="22.5" customHeight="1" outlineLevel="1">
      <c r="A59" s="156"/>
      <c r="B59" s="3630" t="s">
        <v>664</v>
      </c>
      <c r="C59" s="3602" t="s">
        <v>681</v>
      </c>
      <c r="D59" s="156"/>
      <c r="E59" s="3602" t="s">
        <v>100</v>
      </c>
      <c r="F59" s="3623">
        <v>6.6</v>
      </c>
      <c r="G59" s="3623">
        <v>6.6</v>
      </c>
      <c r="H59" s="3621" t="s">
        <v>102</v>
      </c>
      <c r="I59" s="156"/>
      <c r="J59" s="156"/>
      <c r="K59" s="3604"/>
      <c r="L59" s="3604"/>
      <c r="M59" s="3605"/>
      <c r="N59" s="3605"/>
      <c r="O59" s="3606">
        <v>0.0</v>
      </c>
      <c r="P59" s="3606">
        <v>1.0</v>
      </c>
      <c r="Q59" s="3606">
        <v>1.0</v>
      </c>
      <c r="R59" s="106"/>
      <c r="S59" s="168"/>
      <c r="T59" s="168"/>
      <c r="U59" s="168"/>
      <c r="V59" s="107"/>
    </row>
    <row r="60">
      <c r="A60" s="223"/>
      <c r="B60" s="224"/>
      <c r="C60" s="225"/>
      <c r="D60" s="225"/>
      <c r="E60" s="226"/>
      <c r="F60" s="226"/>
      <c r="G60" s="226"/>
      <c r="H60" s="227"/>
      <c r="I60" s="227"/>
      <c r="J60" s="228"/>
      <c r="K60" s="228"/>
      <c r="L60" s="228"/>
      <c r="M60" s="228"/>
      <c r="N60" s="228"/>
      <c r="O60" s="228"/>
      <c r="P60" s="228"/>
      <c r="Q60" s="118"/>
      <c r="R60" s="118"/>
      <c r="S60" s="118"/>
      <c r="T60" s="118"/>
      <c r="U60" s="118"/>
      <c r="V60" s="118"/>
    </row>
    <row r="61">
      <c r="A61" s="229" t="s">
        <v>177</v>
      </c>
      <c r="B61" s="109"/>
      <c r="C61" s="225"/>
      <c r="D61" s="225"/>
      <c r="E61" s="226"/>
      <c r="F61" s="226"/>
      <c r="G61" s="226"/>
      <c r="H61" s="227"/>
      <c r="I61" s="227"/>
      <c r="J61" s="228"/>
      <c r="K61" s="228"/>
      <c r="L61" s="228"/>
      <c r="M61" s="228"/>
      <c r="N61" s="228"/>
      <c r="O61" s="228"/>
      <c r="P61" s="228"/>
      <c r="Q61" s="118"/>
      <c r="R61" s="118"/>
      <c r="S61" s="118"/>
      <c r="T61" s="118"/>
      <c r="U61" s="118"/>
      <c r="V61" s="118"/>
    </row>
    <row r="62" outlineLevel="1">
      <c r="A62" s="3631" t="s">
        <v>6468</v>
      </c>
      <c r="C62" s="3632" t="s">
        <v>48</v>
      </c>
      <c r="D62" s="3632" t="s">
        <v>49</v>
      </c>
      <c r="E62" s="3632" t="s">
        <v>50</v>
      </c>
      <c r="F62" s="3633" t="s">
        <v>51</v>
      </c>
      <c r="G62" s="3632" t="s">
        <v>52</v>
      </c>
      <c r="H62" s="3634" t="s">
        <v>53</v>
      </c>
      <c r="I62" s="110"/>
      <c r="J62" s="109"/>
      <c r="K62" s="3633" t="s">
        <v>137</v>
      </c>
      <c r="L62" s="3633" t="s">
        <v>138</v>
      </c>
      <c r="M62" s="3633" t="s">
        <v>139</v>
      </c>
      <c r="N62" s="3633" t="s">
        <v>140</v>
      </c>
      <c r="O62" s="3635" t="s">
        <v>141</v>
      </c>
      <c r="P62" s="3633" t="s">
        <v>142</v>
      </c>
      <c r="Q62" s="3635" t="s">
        <v>143</v>
      </c>
      <c r="R62" s="3633" t="s">
        <v>179</v>
      </c>
      <c r="S62" s="3635" t="s">
        <v>180</v>
      </c>
      <c r="T62" s="3635" t="s">
        <v>181</v>
      </c>
      <c r="U62" s="3635" t="s">
        <v>182</v>
      </c>
      <c r="V62" s="3635" t="s">
        <v>183</v>
      </c>
    </row>
    <row r="63" outlineLevel="1">
      <c r="A63" s="3636" t="s">
        <v>6469</v>
      </c>
      <c r="B63" s="3637" t="s">
        <v>1933</v>
      </c>
      <c r="C63" s="3602"/>
      <c r="D63" s="3611" t="s">
        <v>384</v>
      </c>
      <c r="E63" s="3602" t="s">
        <v>209</v>
      </c>
      <c r="F63" s="3638">
        <v>0.0</v>
      </c>
      <c r="G63" s="3639"/>
      <c r="H63" s="163" t="s">
        <v>6470</v>
      </c>
      <c r="I63" s="164"/>
      <c r="J63" s="104"/>
      <c r="K63" s="3604"/>
      <c r="L63" s="3604"/>
      <c r="M63" s="3605"/>
      <c r="N63" s="3605"/>
      <c r="O63" s="3606">
        <v>0.0</v>
      </c>
      <c r="P63" s="3606">
        <v>1.0</v>
      </c>
      <c r="Q63" s="3606">
        <v>1.0</v>
      </c>
      <c r="R63" s="3606" t="b">
        <v>1</v>
      </c>
      <c r="S63" s="3606" t="b">
        <v>1</v>
      </c>
      <c r="T63" s="3606"/>
      <c r="U63" s="3640" t="s">
        <v>186</v>
      </c>
      <c r="V63" s="3640" t="b">
        <v>1</v>
      </c>
    </row>
    <row r="64" outlineLevel="1">
      <c r="A64" s="146"/>
      <c r="B64" s="3641"/>
      <c r="C64" s="3602" t="s">
        <v>6071</v>
      </c>
      <c r="D64" s="146"/>
      <c r="E64" s="3602" t="s">
        <v>3031</v>
      </c>
      <c r="F64" s="2880">
        <v>6.72</v>
      </c>
      <c r="G64" s="3603" t="s">
        <v>102</v>
      </c>
      <c r="H64" s="212"/>
      <c r="J64" s="210"/>
      <c r="K64" s="3604"/>
      <c r="L64" s="3604"/>
      <c r="M64" s="3605"/>
      <c r="N64" s="3605"/>
      <c r="O64" s="3606"/>
      <c r="P64" s="3606"/>
      <c r="Q64" s="3606"/>
      <c r="R64" s="3606" t="b">
        <v>0</v>
      </c>
      <c r="S64" s="3606" t="b">
        <v>0</v>
      </c>
      <c r="T64" s="3606" t="b">
        <v>0</v>
      </c>
      <c r="U64" s="146"/>
      <c r="V64" s="146"/>
    </row>
    <row r="65" outlineLevel="1">
      <c r="A65" s="146"/>
      <c r="B65" s="3641" t="s">
        <v>187</v>
      </c>
      <c r="C65" s="3602" t="s">
        <v>3370</v>
      </c>
      <c r="D65" s="146"/>
      <c r="E65" s="3602" t="s">
        <v>3014</v>
      </c>
      <c r="F65" s="2880">
        <v>6.24</v>
      </c>
      <c r="G65" s="3603" t="s">
        <v>102</v>
      </c>
      <c r="H65" s="212"/>
      <c r="J65" s="210"/>
      <c r="K65" s="3604"/>
      <c r="L65" s="3604"/>
      <c r="M65" s="3605"/>
      <c r="N65" s="3605"/>
      <c r="O65" s="3606"/>
      <c r="P65" s="3606"/>
      <c r="Q65" s="3606"/>
      <c r="R65" s="3606" t="b">
        <v>0</v>
      </c>
      <c r="S65" s="3606" t="b">
        <v>0</v>
      </c>
      <c r="T65" s="3606" t="b">
        <v>0</v>
      </c>
      <c r="U65" s="146"/>
      <c r="V65" s="146"/>
    </row>
    <row r="66" outlineLevel="1">
      <c r="A66" s="156"/>
      <c r="B66" s="3641" t="s">
        <v>189</v>
      </c>
      <c r="C66" s="3602" t="s">
        <v>6471</v>
      </c>
      <c r="D66" s="156"/>
      <c r="E66" s="3602" t="s">
        <v>74</v>
      </c>
      <c r="F66" s="2880">
        <v>5.76</v>
      </c>
      <c r="G66" s="3603" t="s">
        <v>102</v>
      </c>
      <c r="H66" s="106"/>
      <c r="I66" s="168"/>
      <c r="J66" s="107"/>
      <c r="K66" s="3604"/>
      <c r="L66" s="3604"/>
      <c r="M66" s="3605"/>
      <c r="N66" s="3605"/>
      <c r="O66" s="3606"/>
      <c r="P66" s="3606"/>
      <c r="Q66" s="3606"/>
      <c r="R66" s="3606" t="b">
        <v>0</v>
      </c>
      <c r="S66" s="3606" t="b">
        <v>0</v>
      </c>
      <c r="T66" s="3606" t="b">
        <v>0</v>
      </c>
      <c r="U66" s="156"/>
      <c r="V66" s="156"/>
    </row>
    <row r="67" outlineLevel="1">
      <c r="A67" s="3636" t="s">
        <v>6472</v>
      </c>
      <c r="B67" s="3641" t="s">
        <v>1933</v>
      </c>
      <c r="C67" s="3602"/>
      <c r="D67" s="3611" t="s">
        <v>777</v>
      </c>
      <c r="E67" s="3602" t="s">
        <v>209</v>
      </c>
      <c r="F67" s="3638">
        <v>0.0</v>
      </c>
      <c r="G67" s="3639"/>
      <c r="H67" s="163" t="s">
        <v>6473</v>
      </c>
      <c r="I67" s="164"/>
      <c r="J67" s="104"/>
      <c r="K67" s="3618"/>
      <c r="L67" s="3618"/>
      <c r="M67" s="3608"/>
      <c r="N67" s="3608"/>
      <c r="O67" s="3606"/>
      <c r="P67" s="3606"/>
      <c r="Q67" s="3606"/>
      <c r="R67" s="3606" t="b">
        <v>0</v>
      </c>
      <c r="S67" s="3606" t="b">
        <v>0</v>
      </c>
      <c r="T67" s="3606" t="b">
        <v>0</v>
      </c>
      <c r="U67" s="3640" t="s">
        <v>186</v>
      </c>
      <c r="V67" s="3640" t="b">
        <v>1</v>
      </c>
    </row>
    <row r="68" outlineLevel="1">
      <c r="A68" s="156"/>
      <c r="B68" s="3642"/>
      <c r="C68" s="3602" t="s">
        <v>6474</v>
      </c>
      <c r="D68" s="156"/>
      <c r="E68" s="3602" t="s">
        <v>3014</v>
      </c>
      <c r="F68" s="2880">
        <v>6.24</v>
      </c>
      <c r="G68" s="3602" t="s">
        <v>60</v>
      </c>
      <c r="H68" s="106"/>
      <c r="I68" s="168"/>
      <c r="J68" s="107"/>
      <c r="K68" s="3618"/>
      <c r="L68" s="3618"/>
      <c r="M68" s="3608"/>
      <c r="N68" s="3608"/>
      <c r="O68" s="3606"/>
      <c r="P68" s="3606"/>
      <c r="Q68" s="3606"/>
      <c r="R68" s="3606"/>
      <c r="S68" s="3606"/>
      <c r="T68" s="3606"/>
      <c r="U68" s="156"/>
      <c r="V68" s="156"/>
    </row>
    <row r="69" outlineLevel="1">
      <c r="A69" s="3636" t="s">
        <v>6475</v>
      </c>
      <c r="B69" s="3643" t="s">
        <v>6476</v>
      </c>
      <c r="C69" s="3602" t="s">
        <v>6477</v>
      </c>
      <c r="D69" s="3611" t="s">
        <v>300</v>
      </c>
      <c r="E69" s="3602" t="s">
        <v>1823</v>
      </c>
      <c r="F69" s="2880">
        <v>2.88</v>
      </c>
      <c r="G69" s="3602" t="s">
        <v>170</v>
      </c>
      <c r="H69" s="3644"/>
      <c r="I69" s="164"/>
      <c r="J69" s="104"/>
      <c r="K69" s="3618"/>
      <c r="L69" s="3618"/>
      <c r="M69" s="3608"/>
      <c r="N69" s="3608"/>
      <c r="O69" s="3606"/>
      <c r="P69" s="3606"/>
      <c r="Q69" s="3606"/>
      <c r="R69" s="3606" t="b">
        <v>0</v>
      </c>
      <c r="S69" s="3606" t="b">
        <v>0</v>
      </c>
      <c r="T69" s="3606" t="b">
        <v>0</v>
      </c>
      <c r="U69" s="3640" t="s">
        <v>186</v>
      </c>
      <c r="V69" s="3640" t="b">
        <v>1</v>
      </c>
    </row>
    <row r="70" outlineLevel="1">
      <c r="A70" s="146"/>
      <c r="B70" s="3645" t="s">
        <v>6478</v>
      </c>
      <c r="C70" s="3602" t="s">
        <v>6479</v>
      </c>
      <c r="D70" s="146"/>
      <c r="E70" s="3602" t="s">
        <v>910</v>
      </c>
      <c r="F70" s="2880">
        <v>4.32</v>
      </c>
      <c r="G70" s="3602" t="s">
        <v>170</v>
      </c>
      <c r="H70" s="212"/>
      <c r="J70" s="210"/>
      <c r="K70" s="3618"/>
      <c r="L70" s="3618"/>
      <c r="M70" s="3608"/>
      <c r="N70" s="3608"/>
      <c r="O70" s="3606"/>
      <c r="P70" s="3606"/>
      <c r="Q70" s="3606"/>
      <c r="R70" s="3606" t="b">
        <v>0</v>
      </c>
      <c r="S70" s="3606" t="b">
        <v>0</v>
      </c>
      <c r="T70" s="3606" t="b">
        <v>0</v>
      </c>
      <c r="U70" s="146"/>
      <c r="V70" s="146"/>
    </row>
    <row r="71" outlineLevel="1">
      <c r="A71" s="156"/>
      <c r="B71" s="3646" t="s">
        <v>202</v>
      </c>
      <c r="C71" s="3602" t="s">
        <v>1547</v>
      </c>
      <c r="D71" s="156"/>
      <c r="E71" s="3602" t="s">
        <v>700</v>
      </c>
      <c r="F71" s="2880">
        <v>2.16</v>
      </c>
      <c r="G71" s="3602" t="s">
        <v>60</v>
      </c>
      <c r="H71" s="106"/>
      <c r="I71" s="168"/>
      <c r="J71" s="107"/>
      <c r="K71" s="3618"/>
      <c r="L71" s="3618"/>
      <c r="M71" s="3608"/>
      <c r="N71" s="3608"/>
      <c r="O71" s="3606">
        <v>0.0</v>
      </c>
      <c r="P71" s="3606">
        <v>1.0</v>
      </c>
      <c r="Q71" s="3606">
        <v>1.0</v>
      </c>
      <c r="R71" s="3606" t="b">
        <v>1</v>
      </c>
      <c r="S71" s="3606" t="b">
        <v>1</v>
      </c>
      <c r="T71" s="3606"/>
      <c r="U71" s="156"/>
      <c r="V71" s="156"/>
    </row>
    <row r="72" outlineLevel="1">
      <c r="A72" s="3647" t="s">
        <v>6480</v>
      </c>
      <c r="B72" s="109"/>
      <c r="C72" s="3648" t="s">
        <v>48</v>
      </c>
      <c r="D72" s="3648" t="s">
        <v>49</v>
      </c>
      <c r="E72" s="3648" t="s">
        <v>50</v>
      </c>
      <c r="F72" s="3649" t="s">
        <v>51</v>
      </c>
      <c r="G72" s="3648" t="s">
        <v>52</v>
      </c>
      <c r="H72" s="3650" t="s">
        <v>53</v>
      </c>
      <c r="I72" s="110"/>
      <c r="J72" s="109"/>
      <c r="K72" s="3633" t="s">
        <v>137</v>
      </c>
      <c r="L72" s="3633" t="s">
        <v>138</v>
      </c>
      <c r="M72" s="3633" t="s">
        <v>139</v>
      </c>
      <c r="N72" s="3633" t="s">
        <v>140</v>
      </c>
      <c r="O72" s="3635" t="s">
        <v>141</v>
      </c>
      <c r="P72" s="3633" t="s">
        <v>142</v>
      </c>
      <c r="Q72" s="3635" t="s">
        <v>143</v>
      </c>
      <c r="R72" s="3633" t="s">
        <v>179</v>
      </c>
      <c r="S72" s="3635" t="s">
        <v>180</v>
      </c>
      <c r="T72" s="3635" t="s">
        <v>181</v>
      </c>
      <c r="U72" s="3635" t="s">
        <v>182</v>
      </c>
      <c r="V72" s="3635" t="s">
        <v>183</v>
      </c>
    </row>
    <row r="73" ht="43.5" customHeight="1" outlineLevel="1">
      <c r="A73" s="3636" t="s">
        <v>184</v>
      </c>
      <c r="B73" s="3651" t="s">
        <v>125</v>
      </c>
      <c r="C73" s="3602" t="s">
        <v>2876</v>
      </c>
      <c r="D73" s="3601" t="s">
        <v>6481</v>
      </c>
      <c r="E73" s="3602" t="s">
        <v>3014</v>
      </c>
      <c r="F73" s="2880">
        <v>6.24</v>
      </c>
      <c r="G73" s="3602" t="s">
        <v>102</v>
      </c>
      <c r="H73" s="2357" t="s">
        <v>6482</v>
      </c>
      <c r="I73" s="164"/>
      <c r="J73" s="104"/>
      <c r="K73" s="3618"/>
      <c r="L73" s="3618"/>
      <c r="M73" s="3608"/>
      <c r="N73" s="3608"/>
      <c r="O73" s="3606">
        <v>0.0</v>
      </c>
      <c r="P73" s="3606">
        <v>1.0</v>
      </c>
      <c r="Q73" s="3606">
        <v>1.0</v>
      </c>
      <c r="R73" s="3606" t="b">
        <v>1</v>
      </c>
      <c r="S73" s="3606" t="b">
        <v>1</v>
      </c>
      <c r="T73" s="3606"/>
      <c r="U73" s="3640" t="s">
        <v>186</v>
      </c>
      <c r="V73" s="3640" t="b">
        <v>1</v>
      </c>
    </row>
    <row r="74" ht="43.5" customHeight="1" outlineLevel="1">
      <c r="A74" s="146"/>
      <c r="B74" s="3651" t="s">
        <v>131</v>
      </c>
      <c r="C74" s="3602" t="s">
        <v>6483</v>
      </c>
      <c r="D74" s="3601" t="s">
        <v>6484</v>
      </c>
      <c r="E74" s="3602" t="s">
        <v>6485</v>
      </c>
      <c r="F74" s="3638" t="s">
        <v>6486</v>
      </c>
      <c r="G74" s="3602" t="s">
        <v>6487</v>
      </c>
      <c r="H74" s="212"/>
      <c r="J74" s="210"/>
      <c r="K74" s="3618"/>
      <c r="L74" s="3618"/>
      <c r="M74" s="3606"/>
      <c r="N74" s="3606"/>
      <c r="O74" s="3606">
        <v>0.0</v>
      </c>
      <c r="P74" s="3606">
        <v>1.0</v>
      </c>
      <c r="Q74" s="3606">
        <v>1.0</v>
      </c>
      <c r="R74" s="3606" t="b">
        <v>1</v>
      </c>
      <c r="S74" s="3606" t="b">
        <v>1</v>
      </c>
      <c r="T74" s="3606"/>
      <c r="U74" s="146"/>
      <c r="V74" s="146"/>
    </row>
    <row r="75" ht="43.5" customHeight="1" outlineLevel="1">
      <c r="A75" s="156"/>
      <c r="B75" s="3651" t="s">
        <v>434</v>
      </c>
      <c r="C75" s="3602" t="s">
        <v>6488</v>
      </c>
      <c r="D75" s="3601" t="s">
        <v>6489</v>
      </c>
      <c r="E75" s="3602" t="s">
        <v>6485</v>
      </c>
      <c r="F75" s="3638" t="s">
        <v>6486</v>
      </c>
      <c r="G75" s="3602" t="s">
        <v>6487</v>
      </c>
      <c r="H75" s="106"/>
      <c r="I75" s="168"/>
      <c r="J75" s="107"/>
      <c r="K75" s="3618"/>
      <c r="L75" s="3618"/>
      <c r="M75" s="3606"/>
      <c r="N75" s="3606"/>
      <c r="O75" s="3606">
        <v>0.0</v>
      </c>
      <c r="P75" s="3606">
        <v>1.0</v>
      </c>
      <c r="Q75" s="3606">
        <v>1.0</v>
      </c>
      <c r="R75" s="3606" t="b">
        <v>1</v>
      </c>
      <c r="S75" s="3606" t="b">
        <v>1</v>
      </c>
      <c r="T75" s="3606"/>
      <c r="U75" s="156"/>
      <c r="V75" s="156"/>
    </row>
    <row r="76" outlineLevel="1">
      <c r="A76" s="3647" t="s">
        <v>6490</v>
      </c>
      <c r="B76" s="109"/>
      <c r="C76" s="3648" t="s">
        <v>48</v>
      </c>
      <c r="D76" s="3648" t="s">
        <v>49</v>
      </c>
      <c r="E76" s="3648" t="s">
        <v>50</v>
      </c>
      <c r="F76" s="3649" t="s">
        <v>51</v>
      </c>
      <c r="G76" s="3648" t="s">
        <v>52</v>
      </c>
      <c r="H76" s="3634" t="s">
        <v>53</v>
      </c>
      <c r="I76" s="110"/>
      <c r="J76" s="109"/>
      <c r="K76" s="3633" t="s">
        <v>137</v>
      </c>
      <c r="L76" s="3633" t="s">
        <v>138</v>
      </c>
      <c r="M76" s="3633" t="s">
        <v>139</v>
      </c>
      <c r="N76" s="3633" t="s">
        <v>140</v>
      </c>
      <c r="O76" s="3635" t="s">
        <v>141</v>
      </c>
      <c r="P76" s="3633" t="s">
        <v>142</v>
      </c>
      <c r="Q76" s="3635" t="s">
        <v>143</v>
      </c>
      <c r="R76" s="3633" t="s">
        <v>179</v>
      </c>
      <c r="S76" s="3635" t="s">
        <v>180</v>
      </c>
      <c r="T76" s="3635" t="s">
        <v>181</v>
      </c>
      <c r="U76" s="3635" t="s">
        <v>182</v>
      </c>
      <c r="V76" s="3635" t="s">
        <v>183</v>
      </c>
    </row>
    <row r="77" outlineLevel="1">
      <c r="A77" s="3636" t="s">
        <v>184</v>
      </c>
      <c r="B77" s="3651" t="s">
        <v>125</v>
      </c>
      <c r="C77" s="3602" t="s">
        <v>835</v>
      </c>
      <c r="D77" s="3652"/>
      <c r="E77" s="3602" t="s">
        <v>2143</v>
      </c>
      <c r="F77" s="2880">
        <v>4.56</v>
      </c>
      <c r="G77" s="3602" t="s">
        <v>75</v>
      </c>
      <c r="H77" s="2357" t="s">
        <v>6491</v>
      </c>
      <c r="I77" s="164"/>
      <c r="J77" s="104"/>
      <c r="K77" s="3618"/>
      <c r="L77" s="3618"/>
      <c r="M77" s="3606"/>
      <c r="N77" s="3606"/>
      <c r="O77" s="3606">
        <v>0.0</v>
      </c>
      <c r="P77" s="3606">
        <v>1.0</v>
      </c>
      <c r="Q77" s="3606">
        <v>1.0</v>
      </c>
      <c r="R77" s="3606" t="b">
        <v>1</v>
      </c>
      <c r="S77" s="3606" t="b">
        <v>1</v>
      </c>
      <c r="T77" s="3606"/>
      <c r="U77" s="3640" t="s">
        <v>186</v>
      </c>
      <c r="V77" s="3640" t="b">
        <v>1</v>
      </c>
    </row>
    <row r="78" outlineLevel="1">
      <c r="A78" s="146"/>
      <c r="B78" s="3651" t="s">
        <v>131</v>
      </c>
      <c r="C78" s="3602" t="s">
        <v>894</v>
      </c>
      <c r="D78" s="146"/>
      <c r="E78" s="3602" t="s">
        <v>5410</v>
      </c>
      <c r="F78" s="2880">
        <v>2.52</v>
      </c>
      <c r="G78" s="3602" t="s">
        <v>60</v>
      </c>
      <c r="H78" s="212"/>
      <c r="J78" s="210"/>
      <c r="K78" s="3618"/>
      <c r="L78" s="3618"/>
      <c r="M78" s="3606"/>
      <c r="N78" s="3606"/>
      <c r="O78" s="3606"/>
      <c r="P78" s="3606"/>
      <c r="Q78" s="3606"/>
      <c r="R78" s="3606"/>
      <c r="S78" s="3606"/>
      <c r="T78" s="3606"/>
      <c r="U78" s="146"/>
      <c r="V78" s="146"/>
    </row>
    <row r="79" outlineLevel="1">
      <c r="A79" s="146"/>
      <c r="B79" s="3651" t="s">
        <v>434</v>
      </c>
      <c r="C79" s="3602" t="s">
        <v>2159</v>
      </c>
      <c r="D79" s="146"/>
      <c r="E79" s="3602" t="s">
        <v>5410</v>
      </c>
      <c r="F79" s="2880">
        <v>2.52</v>
      </c>
      <c r="G79" s="3602" t="s">
        <v>60</v>
      </c>
      <c r="H79" s="212"/>
      <c r="J79" s="210"/>
      <c r="K79" s="3618"/>
      <c r="L79" s="3618"/>
      <c r="M79" s="3606"/>
      <c r="N79" s="3606"/>
      <c r="O79" s="3606"/>
      <c r="P79" s="3606"/>
      <c r="Q79" s="3606"/>
      <c r="R79" s="3606"/>
      <c r="S79" s="3606"/>
      <c r="T79" s="3606"/>
      <c r="U79" s="146"/>
      <c r="V79" s="146"/>
    </row>
    <row r="80" outlineLevel="1">
      <c r="A80" s="146"/>
      <c r="B80" s="3651" t="s">
        <v>520</v>
      </c>
      <c r="C80" s="3602" t="s">
        <v>4135</v>
      </c>
      <c r="D80" s="146"/>
      <c r="E80" s="3602" t="s">
        <v>5410</v>
      </c>
      <c r="F80" s="2880">
        <v>2.52</v>
      </c>
      <c r="G80" s="3602" t="s">
        <v>60</v>
      </c>
      <c r="H80" s="212"/>
      <c r="J80" s="210"/>
      <c r="K80" s="3618"/>
      <c r="L80" s="3618"/>
      <c r="M80" s="3606"/>
      <c r="N80" s="3606"/>
      <c r="O80" s="3606"/>
      <c r="P80" s="3606"/>
      <c r="Q80" s="3606"/>
      <c r="R80" s="3606"/>
      <c r="S80" s="3606"/>
      <c r="T80" s="3606"/>
      <c r="U80" s="146"/>
      <c r="V80" s="146"/>
    </row>
    <row r="81" outlineLevel="1">
      <c r="A81" s="146"/>
      <c r="B81" s="3651" t="s">
        <v>521</v>
      </c>
      <c r="C81" s="3602" t="s">
        <v>1912</v>
      </c>
      <c r="D81" s="146"/>
      <c r="E81" s="3602" t="s">
        <v>5410</v>
      </c>
      <c r="F81" s="2880">
        <v>2.52</v>
      </c>
      <c r="G81" s="3602" t="s">
        <v>60</v>
      </c>
      <c r="H81" s="212"/>
      <c r="J81" s="210"/>
      <c r="K81" s="3618"/>
      <c r="L81" s="3618"/>
      <c r="M81" s="3606"/>
      <c r="N81" s="3606"/>
      <c r="O81" s="3606">
        <v>0.0</v>
      </c>
      <c r="P81" s="3606">
        <v>1.0</v>
      </c>
      <c r="Q81" s="3606">
        <v>1.0</v>
      </c>
      <c r="R81" s="3606" t="b">
        <v>1</v>
      </c>
      <c r="S81" s="3606" t="b">
        <v>1</v>
      </c>
      <c r="T81" s="3606"/>
      <c r="U81" s="146"/>
      <c r="V81" s="146"/>
    </row>
    <row r="82" outlineLevel="1">
      <c r="A82" s="146"/>
      <c r="B82" s="3651" t="s">
        <v>172</v>
      </c>
      <c r="C82" s="3602" t="s">
        <v>1619</v>
      </c>
      <c r="D82" s="146"/>
      <c r="E82" s="3602" t="s">
        <v>5410</v>
      </c>
      <c r="F82" s="2880">
        <v>2.52</v>
      </c>
      <c r="G82" s="3602" t="s">
        <v>60</v>
      </c>
      <c r="H82" s="212"/>
      <c r="J82" s="210"/>
      <c r="K82" s="3618"/>
      <c r="L82" s="3618"/>
      <c r="M82" s="3606"/>
      <c r="N82" s="3606"/>
      <c r="O82" s="3606">
        <v>0.0</v>
      </c>
      <c r="P82" s="3606">
        <v>1.0</v>
      </c>
      <c r="Q82" s="3606">
        <v>1.0</v>
      </c>
      <c r="R82" s="3606" t="b">
        <v>1</v>
      </c>
      <c r="S82" s="3606" t="b">
        <v>1</v>
      </c>
      <c r="T82" s="3606"/>
      <c r="U82" s="146"/>
      <c r="V82" s="146"/>
    </row>
    <row r="83" outlineLevel="1">
      <c r="A83" s="156"/>
      <c r="B83" s="3651" t="s">
        <v>365</v>
      </c>
      <c r="C83" s="3602" t="s">
        <v>2455</v>
      </c>
      <c r="D83" s="156"/>
      <c r="E83" s="3602" t="s">
        <v>3245</v>
      </c>
      <c r="F83" s="2880">
        <v>5.52</v>
      </c>
      <c r="G83" s="3602" t="s">
        <v>75</v>
      </c>
      <c r="H83" s="106"/>
      <c r="I83" s="168"/>
      <c r="J83" s="107"/>
      <c r="K83" s="3618"/>
      <c r="L83" s="3618"/>
      <c r="M83" s="3606"/>
      <c r="N83" s="3606"/>
      <c r="O83" s="3606">
        <v>0.0</v>
      </c>
      <c r="P83" s="3606">
        <v>1.0</v>
      </c>
      <c r="Q83" s="3606">
        <v>1.0</v>
      </c>
      <c r="R83" s="3606" t="b">
        <v>1</v>
      </c>
      <c r="S83" s="3606" t="b">
        <v>1</v>
      </c>
      <c r="T83" s="3606"/>
      <c r="U83" s="156"/>
      <c r="V83" s="156"/>
    </row>
    <row r="84" outlineLevel="1">
      <c r="A84" s="3647" t="s">
        <v>1836</v>
      </c>
      <c r="B84" s="109"/>
      <c r="C84" s="3648" t="s">
        <v>48</v>
      </c>
      <c r="D84" s="3648" t="s">
        <v>49</v>
      </c>
      <c r="E84" s="3648" t="s">
        <v>50</v>
      </c>
      <c r="F84" s="3649" t="s">
        <v>51</v>
      </c>
      <c r="G84" s="3648" t="s">
        <v>52</v>
      </c>
      <c r="H84" s="3650" t="s">
        <v>53</v>
      </c>
      <c r="I84" s="110"/>
      <c r="J84" s="109"/>
      <c r="K84" s="3633" t="s">
        <v>137</v>
      </c>
      <c r="L84" s="3633" t="s">
        <v>138</v>
      </c>
      <c r="M84" s="3633" t="s">
        <v>139</v>
      </c>
      <c r="N84" s="3633" t="s">
        <v>140</v>
      </c>
      <c r="O84" s="3635" t="s">
        <v>141</v>
      </c>
      <c r="P84" s="3633" t="s">
        <v>142</v>
      </c>
      <c r="Q84" s="3635" t="s">
        <v>143</v>
      </c>
      <c r="R84" s="3633" t="s">
        <v>179</v>
      </c>
      <c r="S84" s="3635" t="s">
        <v>180</v>
      </c>
      <c r="T84" s="3635" t="s">
        <v>181</v>
      </c>
      <c r="U84" s="3635" t="s">
        <v>182</v>
      </c>
      <c r="V84" s="3635" t="s">
        <v>183</v>
      </c>
    </row>
    <row r="85" outlineLevel="1">
      <c r="A85" s="3636" t="s">
        <v>184</v>
      </c>
      <c r="B85" s="3651" t="s">
        <v>1837</v>
      </c>
      <c r="C85" s="3407" t="s">
        <v>6492</v>
      </c>
      <c r="D85" s="3407" t="s">
        <v>455</v>
      </c>
      <c r="E85" s="3653"/>
      <c r="F85" s="3653"/>
      <c r="G85" s="3653"/>
      <c r="H85" s="3654" t="s">
        <v>6493</v>
      </c>
      <c r="I85" s="168"/>
      <c r="J85" s="107"/>
      <c r="K85" s="3655"/>
      <c r="L85" s="3655"/>
      <c r="M85" s="3655"/>
      <c r="N85" s="3655"/>
      <c r="O85" s="3655"/>
      <c r="P85" s="3655"/>
      <c r="Q85" s="3655"/>
      <c r="R85" s="3655"/>
      <c r="S85" s="3655"/>
      <c r="T85" s="3655"/>
      <c r="U85" s="3640" t="s">
        <v>3287</v>
      </c>
      <c r="V85" s="3414" t="b">
        <v>0</v>
      </c>
    </row>
    <row r="86" outlineLevel="1">
      <c r="A86" s="146"/>
      <c r="B86" s="3651" t="s">
        <v>1242</v>
      </c>
      <c r="C86" s="3407" t="s">
        <v>847</v>
      </c>
      <c r="D86" s="3407" t="s">
        <v>185</v>
      </c>
      <c r="E86" s="3407" t="s">
        <v>6494</v>
      </c>
      <c r="F86" s="3638" t="s">
        <v>6495</v>
      </c>
      <c r="G86" s="3407" t="s">
        <v>6496</v>
      </c>
      <c r="H86" s="3654" t="s">
        <v>6497</v>
      </c>
      <c r="I86" s="168"/>
      <c r="J86" s="107"/>
      <c r="K86" s="3618"/>
      <c r="L86" s="3604"/>
      <c r="M86" s="3612"/>
      <c r="N86" s="3612"/>
      <c r="O86" s="3618"/>
      <c r="P86" s="3618"/>
      <c r="Q86" s="3618"/>
      <c r="R86" s="3606" t="b">
        <v>0</v>
      </c>
      <c r="S86" s="3606" t="b">
        <v>0</v>
      </c>
      <c r="T86" s="3606" t="b">
        <v>0</v>
      </c>
      <c r="U86" s="146"/>
      <c r="V86" s="146"/>
    </row>
    <row r="87" outlineLevel="1">
      <c r="A87" s="156"/>
      <c r="B87" s="3656" t="s">
        <v>6498</v>
      </c>
      <c r="C87" s="3407" t="s">
        <v>733</v>
      </c>
      <c r="D87" s="3407" t="s">
        <v>271</v>
      </c>
      <c r="E87" s="3407" t="s">
        <v>6494</v>
      </c>
      <c r="F87" s="3638" t="s">
        <v>6495</v>
      </c>
      <c r="G87" s="3407" t="s">
        <v>6496</v>
      </c>
      <c r="H87" s="3654" t="s">
        <v>6499</v>
      </c>
      <c r="I87" s="168"/>
      <c r="J87" s="107"/>
      <c r="K87" s="3618"/>
      <c r="L87" s="3604"/>
      <c r="M87" s="3612"/>
      <c r="N87" s="3612"/>
      <c r="O87" s="3618">
        <v>0.0</v>
      </c>
      <c r="P87" s="3618">
        <v>1.0</v>
      </c>
      <c r="Q87" s="3618">
        <v>1.0</v>
      </c>
      <c r="R87" s="3606" t="b">
        <v>0</v>
      </c>
      <c r="S87" s="3606" t="b">
        <v>0</v>
      </c>
      <c r="T87" s="3606"/>
      <c r="U87" s="156"/>
      <c r="V87" s="156"/>
    </row>
    <row r="88">
      <c r="A88" s="223"/>
      <c r="B88" s="224"/>
      <c r="C88" s="225"/>
      <c r="D88" s="225"/>
      <c r="E88" s="226"/>
      <c r="F88" s="226"/>
      <c r="G88" s="226"/>
      <c r="H88" s="227"/>
      <c r="I88" s="227"/>
      <c r="J88" s="228"/>
      <c r="K88" s="228"/>
      <c r="L88" s="228"/>
      <c r="M88" s="228"/>
      <c r="N88" s="228"/>
      <c r="O88" s="228"/>
      <c r="P88" s="228"/>
      <c r="Q88" s="118"/>
      <c r="R88" s="118"/>
      <c r="S88" s="118"/>
      <c r="T88" s="118"/>
      <c r="U88" s="118"/>
      <c r="V88" s="118"/>
    </row>
    <row r="89">
      <c r="A89" s="264" t="s">
        <v>211</v>
      </c>
      <c r="B89" s="104"/>
      <c r="C89" s="227"/>
      <c r="D89" s="227"/>
      <c r="E89" s="228"/>
      <c r="F89" s="265"/>
      <c r="G89" s="265"/>
      <c r="H89" s="228"/>
      <c r="I89" s="228"/>
      <c r="J89" s="228"/>
      <c r="K89" s="228"/>
      <c r="L89" s="228"/>
      <c r="M89" s="228"/>
      <c r="N89" s="118"/>
      <c r="O89" s="118"/>
      <c r="P89" s="118"/>
      <c r="Q89" s="228"/>
      <c r="R89" s="228"/>
      <c r="S89" s="228"/>
      <c r="T89" s="228"/>
      <c r="U89" s="228"/>
      <c r="V89" s="228"/>
    </row>
    <row r="90" outlineLevel="1">
      <c r="A90" s="106"/>
      <c r="B90" s="107"/>
      <c r="C90" s="266" t="s">
        <v>48</v>
      </c>
      <c r="D90" s="266" t="s">
        <v>49</v>
      </c>
      <c r="E90" s="266" t="s">
        <v>50</v>
      </c>
      <c r="F90" s="267" t="s">
        <v>51</v>
      </c>
      <c r="G90" s="227"/>
      <c r="H90" s="227"/>
      <c r="I90" s="227"/>
      <c r="J90" s="228"/>
      <c r="K90" s="228"/>
      <c r="L90" s="228"/>
      <c r="M90" s="228"/>
      <c r="N90" s="228"/>
      <c r="O90" s="228"/>
      <c r="P90" s="228"/>
      <c r="Q90" s="228"/>
      <c r="R90" s="228"/>
      <c r="S90" s="228"/>
      <c r="T90" s="228"/>
      <c r="U90" s="228"/>
      <c r="V90" s="228"/>
    </row>
    <row r="91" outlineLevel="1">
      <c r="A91" s="268" t="s">
        <v>212</v>
      </c>
      <c r="B91" s="269" t="s">
        <v>212</v>
      </c>
      <c r="C91" s="113" t="s">
        <v>213</v>
      </c>
      <c r="D91" s="113" t="s">
        <v>86</v>
      </c>
      <c r="E91" s="113" t="s">
        <v>214</v>
      </c>
      <c r="F91" s="138">
        <v>1.56</v>
      </c>
      <c r="G91" s="227"/>
      <c r="H91" s="227"/>
      <c r="I91" s="227"/>
      <c r="J91" s="228"/>
      <c r="K91" s="228"/>
      <c r="L91" s="228"/>
      <c r="M91" s="228"/>
      <c r="N91" s="228"/>
      <c r="O91" s="228"/>
      <c r="P91" s="228"/>
      <c r="Q91" s="228"/>
      <c r="R91" s="228"/>
      <c r="S91" s="228"/>
      <c r="T91" s="228"/>
      <c r="U91" s="228"/>
      <c r="V91" s="228"/>
    </row>
    <row r="92" outlineLevel="1">
      <c r="A92" s="270" t="s">
        <v>215</v>
      </c>
      <c r="B92" s="269" t="s">
        <v>216</v>
      </c>
      <c r="C92" s="113" t="s">
        <v>319</v>
      </c>
      <c r="D92" s="113" t="s">
        <v>193</v>
      </c>
      <c r="E92" s="271"/>
      <c r="F92" s="272"/>
      <c r="G92" s="272"/>
      <c r="H92" s="227"/>
      <c r="I92" s="227"/>
      <c r="J92" s="228"/>
      <c r="K92" s="228"/>
      <c r="L92" s="228"/>
      <c r="M92" s="228"/>
      <c r="N92" s="228"/>
      <c r="O92" s="228"/>
      <c r="P92" s="228"/>
      <c r="Q92" s="228"/>
      <c r="R92" s="228"/>
      <c r="S92" s="228"/>
      <c r="T92" s="228"/>
      <c r="U92" s="228"/>
      <c r="V92" s="228"/>
    </row>
    <row r="93" outlineLevel="1">
      <c r="A93" s="212"/>
      <c r="B93" s="269" t="s">
        <v>219</v>
      </c>
      <c r="C93" s="113" t="s">
        <v>223</v>
      </c>
      <c r="D93" s="113" t="s">
        <v>221</v>
      </c>
      <c r="E93" s="271"/>
      <c r="F93" s="272"/>
      <c r="G93" s="272"/>
      <c r="H93" s="227"/>
      <c r="I93" s="227"/>
      <c r="J93" s="228"/>
      <c r="K93" s="228"/>
      <c r="L93" s="228"/>
      <c r="M93" s="228"/>
      <c r="N93" s="228"/>
      <c r="O93" s="228"/>
      <c r="P93" s="228"/>
      <c r="Q93" s="228"/>
      <c r="R93" s="228"/>
      <c r="S93" s="228"/>
      <c r="T93" s="228"/>
      <c r="U93" s="228"/>
      <c r="V93" s="228"/>
    </row>
    <row r="94" outlineLevel="1">
      <c r="A94" s="106"/>
      <c r="B94" s="269" t="s">
        <v>222</v>
      </c>
      <c r="C94" s="113" t="s">
        <v>299</v>
      </c>
      <c r="D94" s="113" t="s">
        <v>79</v>
      </c>
      <c r="E94" s="227"/>
      <c r="F94" s="272"/>
      <c r="G94" s="272"/>
      <c r="H94" s="227"/>
      <c r="I94" s="227"/>
      <c r="J94" s="228"/>
      <c r="K94" s="228"/>
      <c r="L94" s="228"/>
      <c r="M94" s="228"/>
      <c r="N94" s="228"/>
      <c r="O94" s="228"/>
      <c r="P94" s="228"/>
      <c r="Q94" s="228"/>
      <c r="R94" s="228"/>
      <c r="S94" s="228"/>
      <c r="T94" s="228"/>
      <c r="U94" s="228"/>
      <c r="V94" s="228"/>
    </row>
    <row r="95" outlineLevel="1">
      <c r="A95" s="273" t="s">
        <v>225</v>
      </c>
      <c r="B95" s="109"/>
      <c r="C95" s="266" t="s">
        <v>48</v>
      </c>
      <c r="D95" s="266" t="s">
        <v>49</v>
      </c>
      <c r="E95" s="266" t="s">
        <v>50</v>
      </c>
      <c r="F95" s="267" t="s">
        <v>51</v>
      </c>
      <c r="G95" s="1168" t="s">
        <v>53</v>
      </c>
      <c r="H95" s="110"/>
      <c r="I95" s="110"/>
      <c r="J95" s="109"/>
      <c r="K95" s="275" t="s">
        <v>137</v>
      </c>
      <c r="L95" s="275" t="s">
        <v>138</v>
      </c>
      <c r="M95" s="275" t="s">
        <v>139</v>
      </c>
      <c r="N95" s="275" t="s">
        <v>140</v>
      </c>
      <c r="O95" s="276" t="s">
        <v>141</v>
      </c>
      <c r="P95" s="275" t="s">
        <v>142</v>
      </c>
      <c r="Q95" s="276" t="s">
        <v>143</v>
      </c>
      <c r="R95" s="277"/>
      <c r="S95" s="277"/>
      <c r="T95" s="277"/>
      <c r="U95" s="277"/>
      <c r="V95" s="277"/>
    </row>
    <row r="96" outlineLevel="1">
      <c r="A96" s="278" t="s">
        <v>226</v>
      </c>
      <c r="B96" s="269" t="s">
        <v>227</v>
      </c>
      <c r="C96" s="3657" t="s">
        <v>153</v>
      </c>
      <c r="D96" s="3611" t="s">
        <v>384</v>
      </c>
      <c r="E96" s="3602" t="s">
        <v>150</v>
      </c>
      <c r="F96" s="2880">
        <v>6.0</v>
      </c>
      <c r="G96" s="1170"/>
      <c r="H96" s="164"/>
      <c r="I96" s="164"/>
      <c r="J96" s="104"/>
      <c r="K96" s="282"/>
      <c r="L96" s="282"/>
      <c r="M96" s="363"/>
      <c r="N96" s="145"/>
      <c r="O96" s="145">
        <v>0.0</v>
      </c>
      <c r="P96" s="145">
        <v>1.0</v>
      </c>
      <c r="Q96" s="145">
        <v>1.0</v>
      </c>
      <c r="R96" s="277"/>
      <c r="S96" s="228"/>
      <c r="T96" s="228"/>
      <c r="U96" s="228"/>
      <c r="V96" s="228"/>
    </row>
    <row r="97" outlineLevel="1">
      <c r="A97" s="156"/>
      <c r="B97" s="269" t="s">
        <v>225</v>
      </c>
      <c r="C97" s="3601" t="s">
        <v>394</v>
      </c>
      <c r="D97" s="156"/>
      <c r="E97" s="3602" t="s">
        <v>204</v>
      </c>
      <c r="F97" s="2880">
        <v>3.5999999999999996</v>
      </c>
      <c r="G97" s="106"/>
      <c r="H97" s="168"/>
      <c r="I97" s="168"/>
      <c r="J97" s="107"/>
      <c r="K97" s="282"/>
      <c r="L97" s="282"/>
      <c r="M97" s="363"/>
      <c r="N97" s="145"/>
      <c r="O97" s="261"/>
      <c r="P97" s="261"/>
      <c r="Q97" s="261"/>
      <c r="R97" s="277"/>
      <c r="S97" s="228"/>
      <c r="T97" s="228"/>
      <c r="U97" s="228"/>
      <c r="V97" s="228"/>
    </row>
    <row r="98" outlineLevel="1">
      <c r="A98" s="278" t="s">
        <v>229</v>
      </c>
      <c r="B98" s="269" t="s">
        <v>227</v>
      </c>
      <c r="C98" s="3601" t="s">
        <v>6500</v>
      </c>
      <c r="D98" s="3611" t="s">
        <v>600</v>
      </c>
      <c r="E98" s="3602" t="s">
        <v>1853</v>
      </c>
      <c r="F98" s="2880">
        <v>9.12</v>
      </c>
      <c r="G98" s="3658" t="s">
        <v>231</v>
      </c>
      <c r="H98" s="164"/>
      <c r="I98" s="164"/>
      <c r="J98" s="104"/>
      <c r="K98" s="282"/>
      <c r="L98" s="282"/>
      <c r="M98" s="363"/>
      <c r="N98" s="363"/>
      <c r="O98" s="145">
        <v>0.0</v>
      </c>
      <c r="P98" s="145">
        <v>1.0</v>
      </c>
      <c r="Q98" s="145">
        <v>1.0</v>
      </c>
      <c r="R98" s="277"/>
      <c r="S98" s="228"/>
      <c r="T98" s="228"/>
      <c r="U98" s="228"/>
      <c r="V98" s="228"/>
    </row>
    <row r="99" outlineLevel="1">
      <c r="A99" s="156"/>
      <c r="B99" s="269" t="s">
        <v>225</v>
      </c>
      <c r="C99" s="3601" t="s">
        <v>218</v>
      </c>
      <c r="D99" s="156"/>
      <c r="E99" s="3602" t="s">
        <v>1564</v>
      </c>
      <c r="F99" s="2880">
        <v>14.16</v>
      </c>
      <c r="G99" s="106"/>
      <c r="H99" s="168"/>
      <c r="I99" s="168"/>
      <c r="J99" s="107"/>
      <c r="K99" s="282"/>
      <c r="L99" s="282"/>
      <c r="M99" s="363"/>
      <c r="N99" s="363"/>
      <c r="O99" s="261"/>
      <c r="P99" s="261"/>
      <c r="Q99" s="261"/>
      <c r="R99" s="277"/>
      <c r="S99" s="228"/>
      <c r="T99" s="228"/>
      <c r="U99" s="228"/>
      <c r="V99" s="228"/>
    </row>
    <row r="100" outlineLevel="1">
      <c r="A100" s="278" t="s">
        <v>233</v>
      </c>
      <c r="B100" s="269" t="s">
        <v>227</v>
      </c>
      <c r="C100" s="3653"/>
      <c r="D100" s="3611" t="s">
        <v>79</v>
      </c>
      <c r="E100" s="3653"/>
      <c r="F100" s="3659"/>
      <c r="G100" s="1170"/>
      <c r="H100" s="164"/>
      <c r="I100" s="164"/>
      <c r="J100" s="104"/>
      <c r="K100" s="282"/>
      <c r="L100" s="282"/>
      <c r="M100" s="363"/>
      <c r="N100" s="363"/>
      <c r="O100" s="145">
        <v>0.0</v>
      </c>
      <c r="P100" s="145">
        <v>1.0</v>
      </c>
      <c r="Q100" s="145">
        <v>1.0</v>
      </c>
      <c r="R100" s="277"/>
      <c r="S100" s="228"/>
      <c r="T100" s="228"/>
      <c r="U100" s="228"/>
      <c r="V100" s="228"/>
    </row>
    <row r="101" outlineLevel="1">
      <c r="A101" s="156"/>
      <c r="B101" s="269" t="s">
        <v>225</v>
      </c>
      <c r="C101" s="3601" t="s">
        <v>228</v>
      </c>
      <c r="D101" s="156"/>
      <c r="E101" s="3601" t="s">
        <v>4310</v>
      </c>
      <c r="F101" s="2880">
        <v>8.16</v>
      </c>
      <c r="G101" s="106"/>
      <c r="H101" s="168"/>
      <c r="I101" s="168"/>
      <c r="J101" s="107"/>
      <c r="K101" s="282"/>
      <c r="L101" s="282"/>
      <c r="M101" s="363"/>
      <c r="N101" s="363"/>
      <c r="O101" s="261"/>
      <c r="P101" s="261"/>
      <c r="Q101" s="261"/>
      <c r="R101" s="277"/>
      <c r="S101" s="117"/>
      <c r="T101" s="117"/>
      <c r="U101" s="117"/>
      <c r="V101" s="117"/>
    </row>
    <row r="102" outlineLevel="1">
      <c r="A102" s="278" t="s">
        <v>234</v>
      </c>
      <c r="B102" s="269" t="s">
        <v>227</v>
      </c>
      <c r="C102" s="3653"/>
      <c r="D102" s="3611" t="s">
        <v>118</v>
      </c>
      <c r="E102" s="3653"/>
      <c r="F102" s="3659"/>
      <c r="G102" s="283" t="s">
        <v>6501</v>
      </c>
      <c r="H102" s="164"/>
      <c r="I102" s="164"/>
      <c r="J102" s="104"/>
      <c r="K102" s="282"/>
      <c r="L102" s="282"/>
      <c r="M102" s="363"/>
      <c r="N102" s="363"/>
      <c r="O102" s="145">
        <v>0.0</v>
      </c>
      <c r="P102" s="145">
        <v>1.0</v>
      </c>
      <c r="Q102" s="145">
        <v>1.0</v>
      </c>
      <c r="R102" s="277"/>
      <c r="S102" s="117"/>
      <c r="T102" s="117"/>
      <c r="U102" s="117"/>
      <c r="V102" s="117"/>
    </row>
    <row r="103" outlineLevel="1">
      <c r="A103" s="156"/>
      <c r="B103" s="269" t="s">
        <v>225</v>
      </c>
      <c r="C103" s="3601" t="s">
        <v>296</v>
      </c>
      <c r="D103" s="156"/>
      <c r="E103" s="3601" t="s">
        <v>3245</v>
      </c>
      <c r="F103" s="2880">
        <v>5.52</v>
      </c>
      <c r="G103" s="106"/>
      <c r="H103" s="168"/>
      <c r="I103" s="168"/>
      <c r="J103" s="107"/>
      <c r="K103" s="282"/>
      <c r="L103" s="282"/>
      <c r="M103" s="363"/>
      <c r="N103" s="363"/>
      <c r="O103" s="261"/>
      <c r="P103" s="261"/>
      <c r="Q103" s="261"/>
      <c r="R103" s="277"/>
      <c r="S103" s="117"/>
      <c r="T103" s="117"/>
      <c r="U103" s="117"/>
      <c r="V103" s="117"/>
    </row>
    <row r="104">
      <c r="A104" s="223"/>
      <c r="B104" s="224"/>
      <c r="C104" s="225"/>
      <c r="D104" s="225"/>
      <c r="E104" s="227"/>
      <c r="F104" s="177"/>
      <c r="G104" s="177"/>
      <c r="H104" s="227"/>
      <c r="I104" s="227"/>
      <c r="J104" s="228"/>
      <c r="K104" s="228"/>
      <c r="L104" s="111"/>
      <c r="M104" s="111"/>
      <c r="N104" s="111"/>
      <c r="O104" s="117"/>
      <c r="P104" s="117"/>
      <c r="Q104" s="111"/>
      <c r="R104" s="111"/>
      <c r="S104" s="111"/>
      <c r="T104" s="111"/>
      <c r="U104" s="111"/>
      <c r="V104" s="111"/>
    </row>
    <row r="105">
      <c r="A105" s="284" t="s">
        <v>241</v>
      </c>
      <c r="B105" s="104"/>
      <c r="C105" s="265"/>
      <c r="D105" s="111"/>
      <c r="E105" s="111"/>
      <c r="F105" s="111"/>
      <c r="G105" s="111"/>
      <c r="H105" s="111"/>
      <c r="I105" s="111"/>
      <c r="J105" s="118"/>
      <c r="K105" s="111"/>
      <c r="L105" s="111"/>
      <c r="M105" s="111"/>
      <c r="N105" s="111"/>
      <c r="O105" s="111"/>
      <c r="P105" s="111"/>
      <c r="Q105" s="118"/>
      <c r="R105" s="111"/>
      <c r="S105" s="111"/>
      <c r="T105" s="111"/>
      <c r="U105" s="111"/>
      <c r="V105" s="111"/>
    </row>
    <row r="106" outlineLevel="1">
      <c r="A106" s="106"/>
      <c r="B106" s="107"/>
      <c r="C106" s="285" t="s">
        <v>235</v>
      </c>
      <c r="D106" s="285" t="s">
        <v>236</v>
      </c>
      <c r="E106" s="285" t="s">
        <v>49</v>
      </c>
      <c r="F106" s="285" t="s">
        <v>237</v>
      </c>
      <c r="G106" s="286"/>
      <c r="H106" s="227"/>
      <c r="I106" s="227"/>
      <c r="J106" s="228"/>
      <c r="K106" s="228"/>
      <c r="L106" s="111"/>
      <c r="M106" s="111"/>
      <c r="N106" s="111"/>
      <c r="O106" s="111"/>
      <c r="P106" s="111"/>
      <c r="Q106" s="111"/>
      <c r="R106" s="111"/>
      <c r="S106" s="111"/>
      <c r="T106" s="111"/>
      <c r="U106" s="111"/>
      <c r="V106" s="111"/>
    </row>
    <row r="107" outlineLevel="1">
      <c r="A107" s="3660" t="s">
        <v>395</v>
      </c>
      <c r="B107" s="3661" t="s">
        <v>216</v>
      </c>
      <c r="C107" s="3662" t="str">
        <f t="array" ref="C107">INDEX('回避'!$C$3:$U$101, MATCH($A$1,'回避'!$A$3:$A$101,0), MATCH(C106,'回避'!$C$2:$F$2,0))</f>
        <v>3-17</v>
      </c>
      <c r="D107" s="3663" t="str">
        <f t="array" ref="D107">INDEX('回避'!$C$3:$U$101, MATCH($A$1,'回避'!$A$3:$A$101,0), MATCH(D106,'回避'!$C$2:$F$2,0))</f>
        <v>6-17</v>
      </c>
      <c r="E107" s="3663" t="str">
        <f t="array" ref="E107">INDEX('回避'!$C$3:$U$101, MATCH($A$1,'回避'!$A$3:$A$101,0), MATCH(E106,'回避'!$C$2:$F$2,0))</f>
        <v>25 (20)</v>
      </c>
      <c r="F107" s="3663" t="str">
        <f t="array" ref="F107">INDEX('回避'!$C$3:$U$101, MATCH($A$1,'回避'!$A$3:$A$101,0), MATCH(F106,'回避'!$C$2:$F$2,0))</f>
        <v>33 (27)</v>
      </c>
      <c r="G107" s="272"/>
      <c r="H107" s="227"/>
      <c r="I107" s="227"/>
      <c r="J107" s="228"/>
      <c r="K107" s="228"/>
      <c r="L107" s="228"/>
      <c r="M107" s="111"/>
      <c r="N107" s="111"/>
      <c r="O107" s="111"/>
      <c r="P107" s="111"/>
      <c r="Q107" s="111"/>
      <c r="R107" s="111"/>
      <c r="S107" s="111"/>
      <c r="T107" s="111"/>
      <c r="U107" s="111"/>
      <c r="V107" s="111"/>
    </row>
    <row r="108" outlineLevel="1">
      <c r="A108" s="146"/>
      <c r="B108" s="3661" t="s">
        <v>245</v>
      </c>
      <c r="C108" s="3663" t="str">
        <f t="array" ref="C108">INDEX('回避'!$G$3:$U$101, MATCH($A$1,'回避'!$A$3:$A$101,0), MATCH(C106,'回避'!$G$2:$J$2,0))</f>
        <v>4-15</v>
      </c>
      <c r="D108" s="3663" t="str">
        <f t="array" ref="D108">INDEX('回避'!$G$3:$U$101, MATCH($A$1,'回避'!$A$3:$A$101,0), MATCH(D106,'回避'!$G$2:$J$2,0))</f>
        <v>8-14</v>
      </c>
      <c r="E108" s="3663" t="str">
        <f t="array" ref="E108">INDEX('回避'!$G$3:$U$101, MATCH($A$1,'回避'!$A$3:$A$101,0), MATCH(E106,'回避'!$G$2:$J$2,0))</f>
        <v>29</v>
      </c>
      <c r="F108" s="3663" t="str">
        <f t="array" ref="F108">INDEX('回避'!$G$3:$U$101, MATCH($A$1,'回避'!$A$3:$A$101,0), MATCH(F106,'回避'!$G$2:$J$2,0))</f>
        <v>38</v>
      </c>
      <c r="G108" s="289"/>
      <c r="H108" s="227"/>
      <c r="I108" s="227"/>
      <c r="J108" s="228"/>
      <c r="K108" s="228"/>
      <c r="L108" s="228"/>
      <c r="M108" s="228"/>
      <c r="N108" s="228"/>
      <c r="O108" s="111"/>
      <c r="P108" s="111"/>
      <c r="Q108" s="111"/>
      <c r="R108" s="111"/>
      <c r="S108" s="111"/>
      <c r="T108" s="111"/>
      <c r="U108" s="111"/>
      <c r="V108" s="111"/>
    </row>
    <row r="109" outlineLevel="1">
      <c r="A109" s="156"/>
      <c r="B109" s="3661" t="s">
        <v>246</v>
      </c>
      <c r="C109" s="3663" t="str">
        <f t="array" ref="C109">INDEX('回避'!$K$3:$U$101, MATCH($A$1,'回避'!$A$3:$A$101,0), MATCH(C106,'回避'!$K$2:$N$2,0))</f>
        <v>5-16</v>
      </c>
      <c r="D109" s="3663" t="str">
        <f t="array" ref="D109">INDEX('回避'!$K$3:$U$101, MATCH($A$1,'回避'!$A$3:$A$101,0), MATCH(D106,'回避'!$K$2:$N$2,0))</f>
        <v>9-14</v>
      </c>
      <c r="E109" s="3663" t="str">
        <f t="array" ref="E109">INDEX('回避'!$K$3:$U$101, MATCH($A$1,'回避'!$A$3:$A$101,0), MATCH(E106,'回避'!$K$2:$N$2,0))</f>
        <v>34</v>
      </c>
      <c r="F109" s="3663" t="str">
        <f t="array" ref="F109">INDEX('回避'!$K$3:$U$101, MATCH($A$1,'回避'!$A$3:$A$101,0), MATCH(F106,'回避'!$K$2:$N$2,0))</f>
        <v>51</v>
      </c>
      <c r="G109" s="289"/>
      <c r="H109" s="290"/>
      <c r="I109" s="290"/>
      <c r="J109" s="117"/>
      <c r="K109" s="117"/>
      <c r="L109" s="117"/>
      <c r="M109" s="117"/>
      <c r="N109" s="117"/>
      <c r="O109" s="111"/>
      <c r="P109" s="111"/>
      <c r="Q109" s="111"/>
      <c r="R109" s="111"/>
      <c r="S109" s="111"/>
      <c r="T109" s="111"/>
      <c r="U109" s="111"/>
      <c r="V109" s="111"/>
    </row>
    <row r="110" outlineLevel="1">
      <c r="A110" s="3660" t="s">
        <v>396</v>
      </c>
      <c r="B110" s="3661" t="s">
        <v>397</v>
      </c>
      <c r="C110" s="3663" t="str">
        <f t="array" ref="C110">INDEX('回避'!$O$3:$U$101, MATCH($A$1,'回避'!$A$3:$A$101,0), MATCH(C106,'回避'!$O$2:$R$2,0))</f>
        <v>3-30</v>
      </c>
      <c r="D110" s="3663" t="str">
        <f t="array" ref="D110">INDEX('回避'!$O$3:$U$101, MATCH($A$1,'回避'!$A$3:$A$101,0), MATCH(D106,'回避'!$O$2:$R$2,0))</f>
        <v>6-27</v>
      </c>
      <c r="E110" s="3663" t="str">
        <f t="array" ref="E110">INDEX('回避'!$O$3:$U$101, MATCH($A$1,'回避'!$A$3:$A$101,0), MATCH(E106,'回避'!$O$2:$R$2,0))</f>
        <v>54</v>
      </c>
      <c r="F110" s="3664"/>
      <c r="G110" s="177"/>
      <c r="H110" s="118"/>
      <c r="I110" s="118"/>
      <c r="J110" s="111"/>
      <c r="K110" s="111"/>
      <c r="L110" s="111"/>
      <c r="M110" s="111"/>
      <c r="N110" s="111"/>
      <c r="O110" s="228"/>
      <c r="P110" s="228"/>
      <c r="Q110" s="228"/>
      <c r="R110" s="228"/>
      <c r="S110" s="228"/>
      <c r="T110" s="228"/>
      <c r="U110" s="228"/>
      <c r="V110" s="228"/>
    </row>
    <row r="111" outlineLevel="1">
      <c r="A111" s="156"/>
      <c r="B111" s="3661" t="s">
        <v>398</v>
      </c>
      <c r="C111" s="3663" t="str">
        <f t="array" ref="C111">INDEX('回避'!$S$3:$U$101, MATCH($A$1,'回避'!$A$3:$A$101,0), MATCH(C106,'回避'!$S$2:$U$2,0))</f>
        <v>3-21</v>
      </c>
      <c r="D111" s="3663" t="str">
        <f t="array" ref="D111">INDEX('回避'!$S$3:$U$101, MATCH($A$1,'回避'!$A$3:$A$101,0), MATCH(D106,'回避'!$S$2:$U$2,0))</f>
        <v>6-20</v>
      </c>
      <c r="E111" s="3663" t="str">
        <f t="array" ref="E111">INDEX('回避'!$S$3:$U$101, MATCH($A$1,'回避'!$A$3:$A$101,0), MATCH(E106,'回避'!$S$2:$U$2,0))</f>
        <v>真横：92
真上：129
真下：74</v>
      </c>
      <c r="F111" s="3664"/>
      <c r="G111" s="289"/>
      <c r="H111" s="118"/>
      <c r="I111" s="118"/>
      <c r="J111" s="117"/>
      <c r="K111" s="117"/>
      <c r="L111" s="117"/>
      <c r="M111" s="117"/>
      <c r="N111" s="111"/>
      <c r="O111" s="118"/>
      <c r="P111" s="118"/>
      <c r="Q111" s="118"/>
      <c r="R111" s="118"/>
      <c r="S111" s="118"/>
      <c r="T111" s="118"/>
      <c r="U111" s="118"/>
      <c r="V111" s="118"/>
    </row>
    <row r="112">
      <c r="A112" s="291"/>
      <c r="B112" s="292"/>
      <c r="C112" s="286"/>
      <c r="D112" s="286"/>
      <c r="E112" s="293"/>
      <c r="F112" s="286"/>
      <c r="G112" s="286"/>
      <c r="H112" s="286"/>
      <c r="I112" s="286"/>
      <c r="J112" s="111"/>
      <c r="K112" s="227"/>
      <c r="L112" s="227"/>
      <c r="M112" s="227"/>
      <c r="N112" s="227"/>
      <c r="O112" s="118"/>
      <c r="P112" s="118"/>
      <c r="Q112" s="118"/>
      <c r="R112" s="118"/>
      <c r="S112" s="118"/>
      <c r="T112" s="118"/>
      <c r="U112" s="118"/>
      <c r="V112" s="118"/>
    </row>
    <row r="113">
      <c r="A113" s="294" t="s">
        <v>238</v>
      </c>
      <c r="B113" s="104"/>
      <c r="C113" s="228"/>
      <c r="D113" s="117"/>
      <c r="E113" s="228"/>
      <c r="F113" s="114"/>
      <c r="G113" s="114"/>
      <c r="H113" s="117"/>
      <c r="I113" s="117"/>
      <c r="J113" s="118"/>
      <c r="K113" s="118"/>
      <c r="L113" s="118"/>
      <c r="M113" s="118"/>
      <c r="N113" s="118"/>
      <c r="O113" s="118"/>
      <c r="P113" s="118"/>
      <c r="Q113" s="118"/>
      <c r="R113" s="118"/>
      <c r="S113" s="118"/>
      <c r="T113" s="118"/>
      <c r="U113" s="118"/>
      <c r="V113" s="118"/>
    </row>
    <row r="114" outlineLevel="1">
      <c r="A114" s="106"/>
      <c r="B114" s="107"/>
      <c r="C114" s="295" t="s">
        <v>235</v>
      </c>
      <c r="D114" s="295" t="s">
        <v>49</v>
      </c>
      <c r="E114" s="295" t="s">
        <v>48</v>
      </c>
      <c r="F114" s="295" t="s">
        <v>50</v>
      </c>
      <c r="G114" s="296" t="s">
        <v>51</v>
      </c>
      <c r="H114" s="228"/>
      <c r="I114" s="228"/>
      <c r="J114" s="117"/>
      <c r="K114" s="297" t="s">
        <v>256</v>
      </c>
      <c r="L114" s="109"/>
      <c r="M114" s="298" t="s">
        <v>257</v>
      </c>
      <c r="N114" s="298" t="s">
        <v>49</v>
      </c>
      <c r="O114" s="118"/>
      <c r="P114" s="118"/>
      <c r="Q114" s="118"/>
      <c r="R114" s="118"/>
      <c r="S114" s="118"/>
      <c r="T114" s="118"/>
      <c r="U114" s="118"/>
      <c r="V114" s="118"/>
    </row>
    <row r="115" outlineLevel="1">
      <c r="A115" s="299" t="s">
        <v>239</v>
      </c>
      <c r="B115" s="300" t="s">
        <v>240</v>
      </c>
      <c r="C115" s="301"/>
      <c r="D115" s="113">
        <f t="array" ref="D115">INDEX('崖行動・受け身'!$C$3:$C$115, MATCH($A$1,'崖行動・受け身'!$A$3:$A$115,0), MATCH(D114,'崖行動・受け身'!$C$2,0))</f>
        <v>19</v>
      </c>
      <c r="E115" s="301"/>
      <c r="F115" s="301"/>
      <c r="G115" s="301"/>
      <c r="H115" s="228"/>
      <c r="I115" s="228"/>
      <c r="J115" s="111"/>
      <c r="K115" s="302" t="s">
        <v>258</v>
      </c>
      <c r="L115" s="303" t="s">
        <v>216</v>
      </c>
      <c r="M115" s="113" t="str">
        <f t="array" ref="M115">INDEX('アイテム'!$C$3:$D$115, MATCH($A$1,'アイテム'!$A$3:$A$115,0), MATCH(M$114,'アイテム'!$C$2:$AK$2,0))</f>
        <v>3</v>
      </c>
      <c r="N115" s="113">
        <f t="array" ref="N115">INDEX('アイテム'!$C$3:$D$115, MATCH($A$1,'アイテム'!$A$3:$A$115,0), MATCH(N$114,'アイテム'!$C$2:$AK$2,0))</f>
        <v>7</v>
      </c>
      <c r="O115" s="118"/>
      <c r="P115" s="118"/>
      <c r="Q115" s="118"/>
      <c r="R115" s="118"/>
      <c r="S115" s="118"/>
      <c r="T115" s="118"/>
      <c r="U115" s="118"/>
      <c r="V115" s="118"/>
    </row>
    <row r="116" outlineLevel="1">
      <c r="A116" s="146"/>
      <c r="B116" s="300" t="s">
        <v>216</v>
      </c>
      <c r="C116" s="113" t="str">
        <f t="array" ref="C116">INDEX('崖行動・受け身'!$D$3:$E$115, MATCH($A$1,'崖行動・受け身'!$A$3:$A$115,0), MATCH(C$114,'崖行動・受け身'!$D$2:$E$2,0))</f>
        <v>1-33</v>
      </c>
      <c r="D116" s="113">
        <f t="array" ref="D116">INDEX('崖行動・受け身'!$D$3:$E$115, MATCH($A$1,'崖行動・受け身'!$A$3:$A$115,0), MATCH(D$114,'崖行動・受け身'!$D$2:$E$2,0))</f>
        <v>34</v>
      </c>
      <c r="E116" s="301"/>
      <c r="F116" s="301"/>
      <c r="G116" s="301"/>
      <c r="H116" s="228"/>
      <c r="I116" s="228"/>
      <c r="J116" s="117"/>
      <c r="K116" s="156"/>
      <c r="L116" s="303" t="s">
        <v>5389</v>
      </c>
      <c r="M116" s="113" t="str">
        <f t="array" ref="M116">INDEX('アイテム'!$E$3:$F$115, MATCH($A$1,'アイテム'!$A$3:$A$115,0), MATCH(M$114,'アイテム'!$E$2:$AK$2,0))</f>
        <v>3</v>
      </c>
      <c r="N116" s="113">
        <f t="array" ref="N116">INDEX('アイテム'!$E$3:$F$115, MATCH($A$1,'アイテム'!$A$3:$A$115,0), MATCH(N$114,'アイテム'!$E$2:$AK$2,0))</f>
        <v>19</v>
      </c>
      <c r="O116" s="118"/>
      <c r="P116" s="118"/>
      <c r="Q116" s="118"/>
      <c r="R116" s="118"/>
      <c r="S116" s="118"/>
      <c r="T116" s="118"/>
      <c r="U116" s="118"/>
      <c r="V116" s="118"/>
    </row>
    <row r="117" outlineLevel="1">
      <c r="A117" s="146"/>
      <c r="B117" s="300" t="s">
        <v>241</v>
      </c>
      <c r="C117" s="113" t="str">
        <f t="array" ref="C117">INDEX('崖行動・受け身'!$F$3:$G$115, MATCH($A$1,'崖行動・受け身'!$A$3:$A$115,0), MATCH(C$114,'崖行動・受け身'!$F$2:$G$2,0))</f>
        <v>1-30</v>
      </c>
      <c r="D117" s="113">
        <f t="array" ref="D117">INDEX('崖行動・受け身'!$F$3:$G$115, MATCH($A$1,'崖行動・受け身'!$A$3:$A$115,0), MATCH(D$114,'崖行動・受け身'!$F$2:$G$2,0))</f>
        <v>45</v>
      </c>
      <c r="E117" s="301"/>
      <c r="F117" s="301"/>
      <c r="G117" s="301"/>
      <c r="H117" s="228"/>
      <c r="I117" s="228"/>
      <c r="J117" s="111"/>
      <c r="K117" s="304" t="s">
        <v>260</v>
      </c>
      <c r="L117" s="109"/>
      <c r="M117" s="298" t="s">
        <v>261</v>
      </c>
      <c r="N117" s="298" t="s">
        <v>49</v>
      </c>
      <c r="O117" s="118"/>
      <c r="P117" s="118"/>
      <c r="Q117" s="118"/>
      <c r="R117" s="118"/>
      <c r="S117" s="118"/>
      <c r="T117" s="118"/>
      <c r="U117" s="118"/>
      <c r="V117" s="118"/>
    </row>
    <row r="118" outlineLevel="1">
      <c r="A118" s="146"/>
      <c r="B118" s="300" t="s">
        <v>242</v>
      </c>
      <c r="C118" s="113" t="str">
        <f t="array" ref="C118">INDEX('崖行動・受け身'!$H$3:$I$115, MATCH($A$1,'崖行動・受け身'!$A$3:$A$115,0), MATCH(C$114,'崖行動・受け身'!$H$2:$I$2,0))</f>
        <v>1-12</v>
      </c>
      <c r="D118" s="113">
        <f t="array" ref="D118">INDEX('崖行動・受け身'!$H$3:$I$115, MATCH($A$1,'崖行動・受け身'!$A$3:$A$115,0), MATCH(D$114,'崖行動・受け身'!$H$2:$I$2,0))</f>
        <v>14</v>
      </c>
      <c r="E118" s="301"/>
      <c r="F118" s="301"/>
      <c r="G118" s="301"/>
      <c r="H118" s="228"/>
      <c r="I118" s="228"/>
      <c r="J118" s="117"/>
      <c r="K118" s="305" t="s">
        <v>262</v>
      </c>
      <c r="L118" s="303" t="s">
        <v>226</v>
      </c>
      <c r="M118" s="113" t="str">
        <f t="array" ref="M118">INDEX('アイテム'!$G$3:$H$115, MATCH($A$1,'アイテム'!$A$3:$A$115,0), MATCH(M$117,'アイテム'!$G$2:$AK$2,0))</f>
        <v>8</v>
      </c>
      <c r="N118" s="113">
        <f t="array" ref="N118">INDEX('アイテム'!$G$3:$H$115, MATCH($A$1,'アイテム'!$A$3:$A$115,0), MATCH(N$117,'アイテム'!$G$2:$AK$2,0))</f>
        <v>24</v>
      </c>
      <c r="O118" s="111"/>
      <c r="P118" s="111"/>
      <c r="Q118" s="111"/>
      <c r="R118" s="111"/>
      <c r="S118" s="111"/>
      <c r="T118" s="111"/>
      <c r="U118" s="111"/>
      <c r="V118" s="111"/>
    </row>
    <row r="119" outlineLevel="1">
      <c r="A119" s="156"/>
      <c r="B119" s="300" t="s">
        <v>243</v>
      </c>
      <c r="C119" s="113" t="str">
        <f t="array" ref="C119">INDEX('崖行動・受け身'!$J$3:$M$115, MATCH($A$1,'崖行動・受け身'!$A$3:$A$115,0), MATCH(C$114,'崖行動・受け身'!$J$2:$M$2,0))</f>
        <v>1-22</v>
      </c>
      <c r="D119" s="113">
        <f t="array" ref="D119">INDEX('崖行動・受け身'!$J$3:$M$115, MATCH($A$1,'崖行動・受け身'!$A$3:$A$115,0), MATCH(D$114,'崖行動・受け身'!$J$2:$M$2,0))</f>
        <v>55</v>
      </c>
      <c r="E119" s="113" t="str">
        <f t="array" ref="E119">INDEX('崖行動・受け身'!$J$3:$M$115, MATCH($A$1,'崖行動・受け身'!$A$3:$A$115,0), MATCH(E$114,'崖行動・受け身'!$J$2:$M$2,0))</f>
        <v>20-22</v>
      </c>
      <c r="F119" s="113">
        <f t="array" ref="F119">INDEX('崖行動・受け身'!$J$3:$M$115, MATCH($A$1,'崖行動・受け身'!$A$3:$A$115,0), MATCH(F$114,'崖行動・受け身'!$J$2:$M$2,0))</f>
        <v>9</v>
      </c>
      <c r="G119" s="113">
        <f>F119*1.2</f>
        <v>10.8</v>
      </c>
      <c r="H119" s="228"/>
      <c r="I119" s="228"/>
      <c r="J119" s="111"/>
      <c r="K119" s="146"/>
      <c r="L119" s="303" t="s">
        <v>229</v>
      </c>
      <c r="M119" s="113" t="str">
        <f t="array" ref="M119">INDEX('アイテム'!$I$3:$J$115, MATCH($A$1,'アイテム'!$A$3:$A$115,0), MATCH(M$117,'アイテム'!$I$2:$AK$2,0))</f>
        <v>11</v>
      </c>
      <c r="N119" s="113">
        <f t="array" ref="N119">INDEX('アイテム'!$I$3:$J$115, MATCH($A$1,'アイテム'!$A$3:$A$115,0), MATCH(N$117,'アイテム'!$I$2:$AK$2,0))</f>
        <v>24</v>
      </c>
      <c r="O119" s="111"/>
      <c r="P119" s="111"/>
      <c r="Q119" s="111"/>
      <c r="R119" s="111"/>
      <c r="S119" s="111"/>
      <c r="T119" s="111"/>
      <c r="U119" s="111"/>
      <c r="V119" s="111"/>
    </row>
    <row r="120" outlineLevel="1">
      <c r="A120" s="299" t="s">
        <v>244</v>
      </c>
      <c r="B120" s="300" t="s">
        <v>216</v>
      </c>
      <c r="C120" s="113" t="str">
        <f t="array" ref="C120">INDEX('崖行動・受け身'!$N$3:$O$115, MATCH($A$1,'崖行動・受け身'!$A$3:$A$115,0), MATCH(C$114,'崖行動・受け身'!$N$2:$O$2,0))</f>
        <v>1-20</v>
      </c>
      <c r="D120" s="113">
        <f t="array" ref="D120">INDEX('崖行動・受け身'!$N$3:$O$115, MATCH($A$1,'崖行動・受け身'!$A$3:$A$115,0), MATCH(D$114,'崖行動・受け身'!$N$2:$O$2,0))</f>
        <v>26</v>
      </c>
      <c r="E120" s="301"/>
      <c r="F120" s="301"/>
      <c r="G120" s="301"/>
      <c r="H120" s="228"/>
      <c r="I120" s="228"/>
      <c r="J120" s="117"/>
      <c r="K120" s="146"/>
      <c r="L120" s="303" t="s">
        <v>233</v>
      </c>
      <c r="M120" s="113" t="str">
        <f t="array" ref="M120">INDEX('アイテム'!$K$3:$L$115, MATCH($A$1,'アイテム'!$A$3:$A$115,0), MATCH(M$117,'アイテム'!$K$2:$AK$2,0))</f>
        <v>12</v>
      </c>
      <c r="N120" s="113">
        <f t="array" ref="N120">INDEX('アイテム'!$K$3:$L$115, MATCH($A$1,'アイテム'!$A$3:$A$115,0), MATCH(N$117,'アイテム'!$K$2:$AK$2,0))</f>
        <v>23</v>
      </c>
      <c r="O120" s="228"/>
      <c r="P120" s="228"/>
      <c r="Q120" s="228"/>
      <c r="R120" s="228"/>
      <c r="S120" s="228"/>
      <c r="T120" s="228"/>
      <c r="U120" s="228"/>
      <c r="V120" s="228"/>
    </row>
    <row r="121" outlineLevel="1">
      <c r="A121" s="146"/>
      <c r="B121" s="300" t="s">
        <v>245</v>
      </c>
      <c r="C121" s="113" t="str">
        <f t="array" ref="C121">INDEX('崖行動・受け身'!$P$3:$Q$115, MATCH($A$1,'崖行動・受け身'!$A$3:$A$115,0), MATCH(C$114,'崖行動・受け身'!$P$2:$Q$2,0))</f>
        <v>1-20</v>
      </c>
      <c r="D121" s="113">
        <f t="array" ref="D121">INDEX('崖行動・受け身'!$P$3:$Q$115, MATCH($A$1,'崖行動・受け身'!$A$3:$A$115,0), MATCH(D$114,'崖行動・受け身'!$P$2:$Q$2,0))</f>
        <v>40</v>
      </c>
      <c r="E121" s="301"/>
      <c r="F121" s="301"/>
      <c r="G121" s="301"/>
      <c r="H121" s="228"/>
      <c r="I121" s="228"/>
      <c r="J121" s="111"/>
      <c r="K121" s="146"/>
      <c r="L121" s="303" t="s">
        <v>234</v>
      </c>
      <c r="M121" s="113" t="str">
        <f t="array" ref="M121">INDEX('アイテム'!$M$3:$N$115, MATCH($A$1,'アイテム'!$A$3:$A$115,0), MATCH(M$117,'アイテム'!$M$2:$AK$2,0))</f>
        <v>7</v>
      </c>
      <c r="N121" s="113">
        <f t="array" ref="N121">INDEX('アイテム'!$M$3:$N$115, MATCH($A$1,'アイテム'!$A$3:$A$115,0), MATCH(N$117,'アイテム'!$M$2:$AK$2,0))</f>
        <v>19</v>
      </c>
      <c r="O121" s="118"/>
      <c r="P121" s="118"/>
      <c r="Q121" s="118"/>
      <c r="R121" s="118"/>
      <c r="S121" s="118"/>
      <c r="T121" s="118"/>
      <c r="U121" s="118"/>
      <c r="V121" s="118"/>
    </row>
    <row r="122" outlineLevel="1">
      <c r="A122" s="156"/>
      <c r="B122" s="300" t="s">
        <v>246</v>
      </c>
      <c r="C122" s="113" t="str">
        <f t="array" ref="C122">INDEX('崖行動・受け身'!$R$3:$S$115, MATCH($A$1,'崖行動・受け身'!$A$3:$A$115,0), MATCH(C$114,'崖行動・受け身'!$R$2:$S$2,0))</f>
        <v>1-20</v>
      </c>
      <c r="D122" s="113">
        <f t="array" ref="D122">INDEX('崖行動・受け身'!$R$3:$S$115, MATCH($A$1,'崖行動・受け身'!$A$3:$A$115,0), MATCH(D$114,'崖行動・受け身'!$R$2:$S$2,0))</f>
        <v>40</v>
      </c>
      <c r="E122" s="301"/>
      <c r="F122" s="301"/>
      <c r="G122" s="301"/>
      <c r="H122" s="228"/>
      <c r="I122" s="228"/>
      <c r="J122" s="117"/>
      <c r="K122" s="146"/>
      <c r="L122" s="306" t="s">
        <v>219</v>
      </c>
      <c r="M122" s="113" t="str">
        <f t="array" ref="M122">INDEX('アイテム'!$O$3:$P$115, MATCH($A$1,'アイテム'!$A$3:$A$115,0), MATCH(M$117,'アイテム'!$O$2:$AK$2,0))</f>
        <v>5</v>
      </c>
      <c r="N122" s="113">
        <f t="array" ref="N122">INDEX('アイテム'!$O$3:$P$115, MATCH($A$1,'アイテム'!$A$3:$A$115,0), MATCH(N$117,'アイテム'!$O$2:$AK$2,0))</f>
        <v>29</v>
      </c>
      <c r="O122" s="118"/>
      <c r="P122" s="118"/>
      <c r="Q122" s="118"/>
      <c r="R122" s="118"/>
      <c r="S122" s="118"/>
      <c r="T122" s="118"/>
      <c r="U122" s="118"/>
      <c r="V122" s="118"/>
    </row>
    <row r="123" outlineLevel="1">
      <c r="A123" s="299" t="s">
        <v>247</v>
      </c>
      <c r="B123" s="300" t="s">
        <v>248</v>
      </c>
      <c r="C123" s="301"/>
      <c r="D123" s="113" t="str">
        <f t="array" ref="D123">INDEX('起きあがり'!$C$3:$C$115, MATCH($A$1,'起きあがり'!$A$3:$A$115,0), MATCH(D$114,'起きあがり'!$C$2:$AD$2,0))</f>
        <v>25</v>
      </c>
      <c r="E123" s="301"/>
      <c r="F123" s="301"/>
      <c r="G123" s="301"/>
      <c r="H123" s="228"/>
      <c r="I123" s="228"/>
      <c r="J123" s="111"/>
      <c r="K123" s="156"/>
      <c r="L123" s="306" t="s">
        <v>263</v>
      </c>
      <c r="M123" s="113" t="str">
        <f t="array" ref="M123">INDEX('アイテム'!$Q$3:$R$115, MATCH($A$1,'アイテム'!$A$3:$A$115,0), MATCH(M$117,'アイテム'!$Q$2:$AK$2,0))</f>
        <v>6</v>
      </c>
      <c r="N123" s="113">
        <f t="array" ref="N123">INDEX('アイテム'!$Q$3:$R$115, MATCH($A$1,'アイテム'!$A$3:$A$115,0), MATCH(N$117,'アイテム'!$Q$2:$AK$2,0))</f>
        <v>23</v>
      </c>
      <c r="O123" s="118"/>
      <c r="P123" s="118"/>
      <c r="Q123" s="118"/>
      <c r="R123" s="118"/>
      <c r="S123" s="118"/>
      <c r="T123" s="118"/>
      <c r="U123" s="118"/>
      <c r="V123" s="118"/>
    </row>
    <row r="124" outlineLevel="1">
      <c r="A124" s="146"/>
      <c r="B124" s="300" t="s">
        <v>216</v>
      </c>
      <c r="C124" s="3665" t="str">
        <f t="array" ref="C124">INDEX('起きあがり'!$D$3:$E$115, MATCH($A$1,'起きあがり'!$A$3:$A$115,0), MATCH(C$114,'起きあがり'!$D$2:$AD$2,0))</f>
        <v>1-22</v>
      </c>
      <c r="D124" s="2883">
        <f t="array" ref="D124">INDEX('起きあがり'!$D$3:$E$115, MATCH($A$1,'起きあがり'!$A$3:$A$115,0), MATCH(D$114,'起きあがり'!$D$2:$AD$2,0))</f>
        <v>29</v>
      </c>
      <c r="E124" s="301"/>
      <c r="F124" s="301"/>
      <c r="G124" s="301"/>
      <c r="H124" s="228"/>
      <c r="I124" s="228"/>
      <c r="J124" s="117"/>
      <c r="K124" s="305" t="s">
        <v>264</v>
      </c>
      <c r="L124" s="303" t="s">
        <v>226</v>
      </c>
      <c r="M124" s="113" t="str">
        <f t="array" ref="M124">INDEX('アイテム'!$S$3:$T$115, MATCH($A$1,'アイテム'!$A$3:$A$115,0), MATCH(M$117,'アイテム'!$S$2:$AK$2,0))</f>
        <v>8</v>
      </c>
      <c r="N124" s="113">
        <f t="array" ref="N124">INDEX('アイテム'!$S$3:$T$115, MATCH($A$1,'アイテム'!$A$3:$A$115,0), MATCH(N$117,'アイテム'!$S$2:$AK$2,0))</f>
        <v>24</v>
      </c>
      <c r="O124" s="118"/>
      <c r="P124" s="118"/>
      <c r="Q124" s="118"/>
      <c r="R124" s="118"/>
      <c r="S124" s="118"/>
      <c r="T124" s="118"/>
      <c r="U124" s="118"/>
      <c r="V124" s="118"/>
    </row>
    <row r="125" outlineLevel="1">
      <c r="A125" s="146"/>
      <c r="B125" s="300" t="s">
        <v>245</v>
      </c>
      <c r="C125" s="3665" t="str">
        <f t="array" ref="C125">INDEX('起きあがり'!$F$3:$G$115, MATCH($A$1,'起きあがり'!$A$3:$A$115,0), MATCH(C$114,'起きあがり'!$F$2:$AD$2,0))</f>
        <v>1-21</v>
      </c>
      <c r="D125" s="2883">
        <f t="array" ref="D125">INDEX('起きあがり'!$F$3:$G$115, MATCH($A$1,'起きあがり'!$A$3:$A$115,0), MATCH(D$114,'起きあがり'!$F$2:$AD$2,0))</f>
        <v>35</v>
      </c>
      <c r="E125" s="301"/>
      <c r="F125" s="301"/>
      <c r="G125" s="301"/>
      <c r="H125" s="228"/>
      <c r="I125" s="228"/>
      <c r="J125" s="111"/>
      <c r="K125" s="146"/>
      <c r="L125" s="303" t="s">
        <v>229</v>
      </c>
      <c r="M125" s="113" t="str">
        <f t="array" ref="M125">INDEX('アイテム'!$U$3:$V$115, MATCH($A$1,'アイテム'!$A$3:$A$115,0), MATCH(M$117,'アイテム'!$U$2:$AK$2,0))</f>
        <v>11</v>
      </c>
      <c r="N125" s="113">
        <f t="array" ref="N125">INDEX('アイテム'!$U$3:$V$115, MATCH($A$1,'アイテム'!$A$3:$A$115,0), MATCH(N$117,'アイテム'!$U$2:$AK$2,0))</f>
        <v>24</v>
      </c>
      <c r="O125" s="118"/>
      <c r="P125" s="118"/>
      <c r="Q125" s="118"/>
      <c r="R125" s="118"/>
      <c r="S125" s="118"/>
      <c r="T125" s="118"/>
      <c r="U125" s="118"/>
      <c r="V125" s="118"/>
    </row>
    <row r="126" outlineLevel="1">
      <c r="A126" s="146"/>
      <c r="B126" s="300" t="s">
        <v>246</v>
      </c>
      <c r="C126" s="113" t="str">
        <f t="array" ref="C126">INDEX('起きあがり'!$H$3:$I$115, MATCH($A$1,'起きあがり'!$A$3:$A$115,0), MATCH(C$114,'起きあがり'!$H$2:$AD$2,0))</f>
        <v>1-22</v>
      </c>
      <c r="D126" s="113">
        <f t="array" ref="D126">INDEX('起きあがり'!$H$3:$I$115, MATCH($A$1,'起きあがり'!$A$3:$A$115,0), MATCH(D$114,'起きあがり'!$H$2:$AD$2,0))</f>
        <v>35</v>
      </c>
      <c r="E126" s="301"/>
      <c r="F126" s="301"/>
      <c r="G126" s="301"/>
      <c r="H126" s="228"/>
      <c r="I126" s="228"/>
      <c r="J126" s="117"/>
      <c r="K126" s="146"/>
      <c r="L126" s="303" t="s">
        <v>233</v>
      </c>
      <c r="M126" s="113" t="str">
        <f t="array" ref="M126">INDEX('アイテム'!$W$3:$X$115, MATCH($A$1,'アイテム'!$A$3:$A$115,0), MATCH(M$117,'アイテム'!$W$2:$AK$2,0))</f>
        <v>12</v>
      </c>
      <c r="N126" s="113">
        <f t="array" ref="N126">INDEX('アイテム'!$W$3:$X$115, MATCH($A$1,'アイテム'!$A$3:$A$115,0), MATCH(N$117,'アイテム'!$W$2:$AK$2,0))</f>
        <v>23</v>
      </c>
      <c r="O126" s="118"/>
      <c r="P126" s="118"/>
      <c r="Q126" s="118"/>
      <c r="R126" s="118"/>
      <c r="S126" s="118"/>
      <c r="T126" s="118"/>
      <c r="U126" s="118"/>
      <c r="V126" s="118"/>
    </row>
    <row r="127" outlineLevel="1">
      <c r="A127" s="146"/>
      <c r="B127" s="300" t="s">
        <v>249</v>
      </c>
      <c r="C127" s="309" t="str">
        <f t="array" ref="C127">INDEX('起きあがり'!$J$3:$M$115, MATCH($A$1,'起きあがり'!$A$3:$A$115,0), MATCH(C$114,'起きあがり'!$J$2:$AD$2,0))</f>
        <v>1-25</v>
      </c>
      <c r="D127" s="310">
        <f t="array" ref="D127">INDEX('起きあがり'!$J$3:$M$115, MATCH($A$1,'起きあがり'!$A$3:$A$115,0), MATCH(D$114,'起きあがり'!$J$2:$AD$2,0))</f>
        <v>45</v>
      </c>
      <c r="E127" s="3665" t="str">
        <f t="array" ref="E127">INDEX('起きあがり'!$J$3:$M$115, MATCH($A$1,'起きあがり'!$A$3:$A$115,0), MATCH(E$114,'起きあがり'!$J$2:$AD$2,0))</f>
        <v>20-21</v>
      </c>
      <c r="F127" s="2883">
        <f t="array" ref="F127">INDEX('起きあがり'!$J$3:$M$115, MATCH($A$1,'起きあがり'!$A$3:$A$115,0), MATCH(F$114,'起きあがり'!$J$2:$AD$2,0))</f>
        <v>7</v>
      </c>
      <c r="G127" s="113">
        <f t="shared" ref="G127:G128" si="1">F127*1.2</f>
        <v>8.4</v>
      </c>
      <c r="H127" s="228"/>
      <c r="I127" s="228"/>
      <c r="J127" s="111"/>
      <c r="K127" s="156"/>
      <c r="L127" s="303" t="s">
        <v>234</v>
      </c>
      <c r="M127" s="113" t="str">
        <f t="array" ref="M127">INDEX('アイテム'!$Y$3:$Z$115, MATCH($A$1,'アイテム'!$A$3:$A$115,0), MATCH(M$117,'アイテム'!$Y$2:$AK$2,0))</f>
        <v>7</v>
      </c>
      <c r="N127" s="113">
        <f t="array" ref="N127">INDEX('アイテム'!$Y$3:$Z$115, MATCH($A$1,'アイテム'!$A$3:$A$115,0), MATCH(N$117,'アイテム'!$Y$2:$AK$2,0))</f>
        <v>19</v>
      </c>
      <c r="O127" s="111"/>
      <c r="P127" s="111"/>
      <c r="Q127" s="111"/>
      <c r="R127" s="111"/>
      <c r="S127" s="111"/>
      <c r="T127" s="111"/>
      <c r="U127" s="111"/>
      <c r="V127" s="111"/>
    </row>
    <row r="128" outlineLevel="1">
      <c r="A128" s="156"/>
      <c r="B128" s="311" t="s">
        <v>250</v>
      </c>
      <c r="C128" s="156"/>
      <c r="D128" s="156"/>
      <c r="E128" s="3665" t="str">
        <f t="array" ref="E128">INDEX('起きあがり'!$N$3:$O$115, MATCH($A$1,'起きあがり'!$A$3:$A$115,0), MATCH(E$114,'起きあがり'!$N$2:$AD$2,0))</f>
        <v>24-25</v>
      </c>
      <c r="F128" s="2883">
        <f t="array" ref="F128">INDEX('起きあがり'!$N$3:$O$115, MATCH($A$1,'起きあがり'!$A$3:$A$115,0), MATCH(F$114,'起きあがり'!$N$2:$AD$2,0))</f>
        <v>7</v>
      </c>
      <c r="G128" s="113">
        <f t="shared" si="1"/>
        <v>8.4</v>
      </c>
      <c r="H128" s="228"/>
      <c r="I128" s="228"/>
      <c r="J128" s="111"/>
      <c r="K128" s="312" t="s">
        <v>5390</v>
      </c>
      <c r="L128" s="168"/>
      <c r="M128" s="298" t="s">
        <v>49</v>
      </c>
      <c r="N128" s="114"/>
      <c r="O128" s="111"/>
      <c r="P128" s="111"/>
      <c r="Q128" s="111"/>
      <c r="R128" s="111"/>
      <c r="S128" s="111"/>
      <c r="T128" s="111"/>
      <c r="U128" s="111"/>
      <c r="V128" s="111"/>
    </row>
    <row r="129" outlineLevel="1">
      <c r="A129" s="299" t="s">
        <v>251</v>
      </c>
      <c r="B129" s="300" t="s">
        <v>248</v>
      </c>
      <c r="C129" s="301"/>
      <c r="D129" s="3665" t="str">
        <f t="array" ref="D129">INDEX('起きあがり'!$C$3:$C$115, MATCH($A$1,'起きあがり'!$A$3:$A$115,0), MATCH(D$114,'起きあがり'!$C$2:$AD$2,0))</f>
        <v>25</v>
      </c>
      <c r="E129" s="301"/>
      <c r="F129" s="301"/>
      <c r="G129" s="301"/>
      <c r="H129" s="228"/>
      <c r="I129" s="228"/>
      <c r="J129" s="117"/>
      <c r="K129" s="313" t="s">
        <v>693</v>
      </c>
      <c r="L129" s="314" t="s">
        <v>693</v>
      </c>
      <c r="M129" s="113" t="str">
        <f t="array" ref="M129">INDEX('共通動作その他'!$C$3:$C$102, MATCH($A$1,'共通動作その他'!$A$3:$A$102,0), MATCH(M$128,'共通動作その他'!$C$2:$AA$2,0))</f>
        <v>#N/A</v>
      </c>
      <c r="N129" s="315"/>
      <c r="O129" s="111"/>
      <c r="P129" s="111"/>
      <c r="Q129" s="111"/>
      <c r="R129" s="111"/>
      <c r="S129" s="111"/>
      <c r="T129" s="111"/>
      <c r="U129" s="111"/>
      <c r="V129" s="111"/>
    </row>
    <row r="130" outlineLevel="1">
      <c r="A130" s="146"/>
      <c r="B130" s="300" t="s">
        <v>216</v>
      </c>
      <c r="C130" s="3665" t="str">
        <f t="array" ref="C130">INDEX('起きあがり'!$P$3:$Q$115, MATCH($A$1,'起きあがり'!$A$3:$A$115,0), MATCH(C$114,'起きあがり'!$P$2:$AD$2,0))</f>
        <v>1-22</v>
      </c>
      <c r="D130" s="2883">
        <f t="array" ref="D130">INDEX('起きあがり'!$P$3:$Q$115, MATCH($A$1,'起きあがり'!$A$3:$A$115,0), MATCH(D$114,'起きあがり'!$P$2:$AD$2,0))</f>
        <v>29</v>
      </c>
      <c r="E130" s="301"/>
      <c r="F130" s="301"/>
      <c r="G130" s="301"/>
      <c r="H130" s="228"/>
      <c r="I130" s="228"/>
      <c r="J130" s="111"/>
      <c r="K130" s="305" t="s">
        <v>2602</v>
      </c>
      <c r="L130" s="314" t="s">
        <v>5391</v>
      </c>
      <c r="M130" s="113" t="str">
        <f t="array" ref="M130">INDEX('共通動作その他'!$D$3:$D$102, MATCH($A$1,'共通動作その他'!$A$3:$A$102,0), MATCH(M$128,'共通動作その他'!$D$2:$AA$2,0))</f>
        <v>#N/A</v>
      </c>
      <c r="N130" s="315"/>
      <c r="O130" s="228"/>
      <c r="P130" s="228"/>
      <c r="Q130" s="228"/>
      <c r="R130" s="228"/>
      <c r="S130" s="228"/>
      <c r="T130" s="228"/>
      <c r="U130" s="228"/>
      <c r="V130" s="228"/>
    </row>
    <row r="131" outlineLevel="1">
      <c r="A131" s="146"/>
      <c r="B131" s="300" t="s">
        <v>245</v>
      </c>
      <c r="C131" s="3665" t="str">
        <f t="array" ref="C131">INDEX('起きあがり'!$R$3:$S$115, MATCH($A$1,'起きあがり'!$A$3:$A$115,0), MATCH(C$114,'起きあがり'!$R$2:$AD$2,0))</f>
        <v>1-19</v>
      </c>
      <c r="D131" s="2883">
        <f t="array" ref="D131">INDEX('起きあがり'!$R$3:$S$115, MATCH($A$1,'起きあがり'!$A$3:$A$115,0), MATCH(D$114,'起きあがり'!$R$2:$AD$2,0))</f>
        <v>35</v>
      </c>
      <c r="E131" s="301"/>
      <c r="F131" s="301"/>
      <c r="G131" s="301"/>
      <c r="H131" s="228"/>
      <c r="I131" s="228"/>
      <c r="J131" s="117"/>
      <c r="K131" s="146"/>
      <c r="L131" s="314" t="s">
        <v>5392</v>
      </c>
      <c r="M131" s="113" t="str">
        <f t="array" ref="M131">INDEX('共通動作その他'!$E$3:$E$102, MATCH($A$1,'共通動作その他'!$A$3:$A$102,0), MATCH(M$128,'共通動作その他'!$E$2:$AA$2,0))</f>
        <v>#N/A</v>
      </c>
      <c r="N131" s="102"/>
      <c r="O131" s="118"/>
      <c r="P131" s="118"/>
      <c r="Q131" s="118"/>
      <c r="R131" s="118"/>
      <c r="S131" s="118"/>
      <c r="T131" s="118"/>
      <c r="U131" s="118"/>
      <c r="V131" s="118"/>
    </row>
    <row r="132" outlineLevel="1">
      <c r="A132" s="146"/>
      <c r="B132" s="300" t="s">
        <v>246</v>
      </c>
      <c r="C132" s="3665" t="str">
        <f t="array" ref="C132">INDEX('起きあがり'!$T$3:$U$115, MATCH($A$1,'起きあがり'!$A$3:$A$115,0), MATCH(C$114,'起きあがり'!$T$2:$AD$2,0))</f>
        <v>1-24</v>
      </c>
      <c r="D132" s="2883">
        <f t="array" ref="D132">INDEX('起きあがり'!$T$3:$U$115, MATCH($A$1,'起きあがり'!$A$3:$A$115,0), MATCH(D$114,'起きあがり'!$T$2:$AD$2,0))</f>
        <v>35</v>
      </c>
      <c r="E132" s="301"/>
      <c r="F132" s="301"/>
      <c r="G132" s="301"/>
      <c r="H132" s="228"/>
      <c r="I132" s="228"/>
      <c r="J132" s="111"/>
      <c r="K132" s="146"/>
      <c r="L132" s="314" t="s">
        <v>5393</v>
      </c>
      <c r="M132" s="113" t="str">
        <f t="array" ref="M132">INDEX('共通動作その他'!$F$3:$F$102, MATCH($A$1,'共通動作その他'!$A$3:$A$102,0), MATCH(M$128,'共通動作その他'!$F$2:$AA$2,0))</f>
        <v>#N/A</v>
      </c>
      <c r="N132" s="102"/>
      <c r="O132" s="118"/>
      <c r="P132" s="118"/>
      <c r="Q132" s="118"/>
      <c r="R132" s="118"/>
      <c r="S132" s="118"/>
      <c r="T132" s="118"/>
      <c r="U132" s="118"/>
      <c r="V132" s="118"/>
    </row>
    <row r="133" outlineLevel="1">
      <c r="A133" s="146"/>
      <c r="B133" s="300" t="s">
        <v>249</v>
      </c>
      <c r="C133" s="309" t="str">
        <f t="array" ref="C133">INDEX('起きあがり'!$V$3:$Y$115, MATCH($A$1,'起きあがり'!$A$3:$A$115,0), MATCH(C$114,'起きあがり'!$V$2:$AD$2,0))</f>
        <v>1-25</v>
      </c>
      <c r="D133" s="310">
        <f t="array" ref="D133">INDEX('起きあがり'!$V$3:$Y$115, MATCH($A$1,'起きあがり'!$A$3:$A$115,0), MATCH(D$114,'起きあがり'!$V$2:$AD$2,0))</f>
        <v>45</v>
      </c>
      <c r="E133" s="3665" t="str">
        <f t="array" ref="E133">INDEX('起きあがり'!$V$3:$Y$115, MATCH($A$1,'起きあがり'!$A$3:$A$115,0), MATCH(E$114,'起きあがり'!$V$2:$AD$2,0))</f>
        <v>20-21</v>
      </c>
      <c r="F133" s="2883">
        <f t="array" ref="F133">INDEX('起きあがり'!$V$3:$Y$115, MATCH($A$1,'起きあがり'!$A$3:$A$115,0), MATCH(F$114,'起きあがり'!$V$2:$AD$2,0))</f>
        <v>7</v>
      </c>
      <c r="G133" s="113">
        <f t="shared" ref="G133:G134" si="2">F133*1.2</f>
        <v>8.4</v>
      </c>
      <c r="H133" s="228"/>
      <c r="I133" s="228"/>
      <c r="J133" s="117"/>
      <c r="K133" s="146"/>
      <c r="L133" s="314" t="s">
        <v>5394</v>
      </c>
      <c r="M133" s="113" t="str">
        <f t="array" ref="M133">INDEX('共通動作その他'!$G$3:$G$102, MATCH($A$1,'共通動作その他'!$A$3:$A$102,0), MATCH(M$128,'共通動作その他'!$G$2:$AA$2,0))</f>
        <v>#N/A</v>
      </c>
      <c r="N133" s="102"/>
      <c r="O133" s="118"/>
      <c r="P133" s="118"/>
      <c r="Q133" s="118"/>
      <c r="R133" s="118"/>
      <c r="S133" s="118"/>
      <c r="T133" s="118"/>
      <c r="U133" s="118"/>
      <c r="V133" s="118"/>
    </row>
    <row r="134" outlineLevel="1">
      <c r="A134" s="156"/>
      <c r="B134" s="311" t="s">
        <v>250</v>
      </c>
      <c r="C134" s="156"/>
      <c r="D134" s="156"/>
      <c r="E134" s="3665" t="str">
        <f t="array" ref="E134">INDEX('起きあがり'!$Z$3:$AA$115, MATCH($A$1,'起きあがり'!$A$3:$A$115,0), MATCH(E$114,'起きあがり'!$Z$2:$AD$2,0))</f>
        <v>24-25</v>
      </c>
      <c r="F134" s="2883">
        <f t="array" ref="F134">INDEX('起きあがり'!$Z$3:$AA$115, MATCH($A$1,'起きあがり'!$A$3:$A$115,0), MATCH(F$114,'起きあがり'!$Z$2:$AD$2,0))</f>
        <v>7</v>
      </c>
      <c r="G134" s="113">
        <f t="shared" si="2"/>
        <v>8.4</v>
      </c>
      <c r="H134" s="228"/>
      <c r="I134" s="228"/>
      <c r="J134" s="117"/>
      <c r="K134" s="304" t="s">
        <v>5395</v>
      </c>
      <c r="L134" s="110"/>
      <c r="M134" s="298" t="s">
        <v>49</v>
      </c>
      <c r="N134" s="102"/>
      <c r="O134" s="118"/>
      <c r="P134" s="118"/>
      <c r="Q134" s="118"/>
      <c r="R134" s="118"/>
      <c r="S134" s="118"/>
      <c r="T134" s="118"/>
      <c r="U134" s="118"/>
      <c r="V134" s="118"/>
    </row>
    <row r="135" outlineLevel="1">
      <c r="A135" s="299" t="s">
        <v>252</v>
      </c>
      <c r="B135" s="300" t="s">
        <v>253</v>
      </c>
      <c r="C135" s="3665" t="str">
        <f t="array" ref="C135">INDEX('転倒'!$C$3:$D$115, MATCH($A$1,'転倒'!$A$3:$A$115,0), MATCH(C$114,'転倒'!$C$2:$AC$2,0))</f>
        <v>1-5</v>
      </c>
      <c r="D135" s="2883">
        <f t="array" ref="D135">INDEX('転倒'!$C$3:$D$115, MATCH($A$1,'転倒'!$A$3:$A$115,0), MATCH(D$114,'転倒'!$C$2:$AC$2,0))</f>
        <v>29</v>
      </c>
      <c r="E135" s="301"/>
      <c r="F135" s="301"/>
      <c r="G135" s="301"/>
      <c r="H135" s="228"/>
      <c r="I135" s="228"/>
      <c r="J135" s="111"/>
      <c r="K135" s="313" t="s">
        <v>5396</v>
      </c>
      <c r="L135" s="306" t="s">
        <v>5397</v>
      </c>
      <c r="M135" s="113" t="str">
        <f t="array" ref="M135">INDEX('共通動作その他'!$H$3:$H$102, MATCH($A$1,'共通動作その他'!$A$3:$A$102,0), MATCH(M$134,'共通動作その他'!$H$2:$AA$2,0))</f>
        <v>#N/A</v>
      </c>
      <c r="N135" s="315"/>
      <c r="O135" s="118"/>
      <c r="P135" s="118"/>
      <c r="Q135" s="118"/>
      <c r="R135" s="118"/>
      <c r="S135" s="118"/>
      <c r="T135" s="118"/>
      <c r="U135" s="118"/>
      <c r="V135" s="118"/>
    </row>
    <row r="136" outlineLevel="1">
      <c r="A136" s="146"/>
      <c r="B136" s="300" t="s">
        <v>254</v>
      </c>
      <c r="C136" s="3665" t="str">
        <f t="array" ref="C136">INDEX('転倒'!$E$3:$F$115, MATCH($A$1,'転倒'!$A$3:$A$115,0), MATCH(C$114,'転倒'!$E$2:$AC$2,0))</f>
        <v>1-5</v>
      </c>
      <c r="D136" s="2883">
        <f t="array" ref="D136">INDEX('転倒'!$E$3:$F$115, MATCH($A$1,'転倒'!$A$3:$A$115,0), MATCH(D$114,'転倒'!$E$2:$AC$2,0))</f>
        <v>39</v>
      </c>
      <c r="E136" s="301"/>
      <c r="F136" s="301"/>
      <c r="G136" s="301"/>
      <c r="H136" s="228"/>
      <c r="I136" s="228"/>
      <c r="J136" s="117"/>
      <c r="K136" s="313" t="s">
        <v>5398</v>
      </c>
      <c r="L136" s="306" t="s">
        <v>5397</v>
      </c>
      <c r="M136" s="113" t="str">
        <f t="array" ref="M136">INDEX('共通動作その他'!$I$3:$I$102, MATCH($A$1,'共通動作その他'!$A$3:$A$102,0), MATCH(M$134,'共通動作その他'!$I$2:$AA$2,0))</f>
        <v>#N/A</v>
      </c>
      <c r="N136" s="315"/>
      <c r="O136" s="118"/>
      <c r="P136" s="118"/>
      <c r="Q136" s="118"/>
      <c r="R136" s="118"/>
      <c r="S136" s="118"/>
      <c r="T136" s="118"/>
      <c r="U136" s="118"/>
      <c r="V136" s="118"/>
    </row>
    <row r="137" outlineLevel="1">
      <c r="A137" s="146"/>
      <c r="B137" s="300" t="s">
        <v>216</v>
      </c>
      <c r="C137" s="3665" t="str">
        <f t="array" ref="C137">INDEX('転倒'!$G$3:$H$115, MATCH($A$1,'転倒'!$A$3:$A$115,0), MATCH(C$114,'転倒'!$G$2:$AC$2,0))</f>
        <v>1-16</v>
      </c>
      <c r="D137" s="2883">
        <f t="array" ref="D137">INDEX('転倒'!$G$3:$H$115, MATCH($A$1,'転倒'!$A$3:$A$115,0), MATCH(D$114,'転倒'!$G$2:$AC$2,0))</f>
        <v>21</v>
      </c>
      <c r="E137" s="301"/>
      <c r="F137" s="301"/>
      <c r="G137" s="301"/>
      <c r="H137" s="228"/>
      <c r="I137" s="228"/>
      <c r="J137" s="111"/>
      <c r="K137" s="102"/>
      <c r="L137" s="118"/>
      <c r="M137" s="118"/>
      <c r="N137" s="102"/>
      <c r="O137" s="118"/>
      <c r="P137" s="118"/>
      <c r="Q137" s="118"/>
      <c r="R137" s="118"/>
      <c r="S137" s="118"/>
      <c r="T137" s="118"/>
      <c r="U137" s="118"/>
      <c r="V137" s="118"/>
    </row>
    <row r="138" outlineLevel="1">
      <c r="A138" s="146"/>
      <c r="B138" s="300" t="s">
        <v>245</v>
      </c>
      <c r="C138" s="3665" t="str">
        <f t="array" ref="C138">INDEX('転倒'!$I$3:$J$115, MATCH($A$1,'転倒'!$A$3:$A$115,0), MATCH(C$114,'転倒'!$I$2:$AC$2,0))</f>
        <v>1-9</v>
      </c>
      <c r="D138" s="2883">
        <f t="array" ref="D138">INDEX('転倒'!$I$3:$J$115, MATCH($A$1,'転倒'!$A$3:$A$115,0), MATCH(D$114,'転倒'!$I$2:$AC$2,0))</f>
        <v>28</v>
      </c>
      <c r="E138" s="301"/>
      <c r="F138" s="301"/>
      <c r="G138" s="301"/>
      <c r="H138" s="228"/>
      <c r="I138" s="228"/>
      <c r="J138" s="228"/>
      <c r="K138" s="102"/>
      <c r="L138" s="118"/>
      <c r="M138" s="118"/>
      <c r="N138" s="102"/>
      <c r="O138" s="118"/>
      <c r="P138" s="118"/>
      <c r="Q138" s="118"/>
      <c r="R138" s="118"/>
      <c r="S138" s="118"/>
      <c r="T138" s="118"/>
      <c r="U138" s="118"/>
      <c r="V138" s="118"/>
    </row>
    <row r="139" outlineLevel="1">
      <c r="A139" s="146"/>
      <c r="B139" s="300" t="s">
        <v>246</v>
      </c>
      <c r="C139" s="3665" t="str">
        <f t="array" ref="C139">INDEX('転倒'!$K$3:$L$115, MATCH($A$1,'転倒'!$A$3:$A$115,0), MATCH(C$114,'転倒'!$K$2:$AC$2,0))</f>
        <v>1-9</v>
      </c>
      <c r="D139" s="2883">
        <f t="array" ref="D139">INDEX('転倒'!$K$3:$L$115, MATCH($A$1,'転倒'!$A$3:$A$115,0), MATCH(D$114,'転倒'!$K$2:$AC$2,0))</f>
        <v>28</v>
      </c>
      <c r="E139" s="301"/>
      <c r="F139" s="301"/>
      <c r="G139" s="301"/>
      <c r="H139" s="228"/>
      <c r="I139" s="228"/>
      <c r="J139" s="228"/>
      <c r="K139" s="102"/>
      <c r="L139" s="118"/>
      <c r="M139" s="118"/>
      <c r="N139" s="102"/>
      <c r="O139" s="118"/>
      <c r="P139" s="118"/>
      <c r="Q139" s="118"/>
      <c r="R139" s="118"/>
      <c r="S139" s="118"/>
      <c r="T139" s="118"/>
      <c r="U139" s="118"/>
      <c r="V139" s="118"/>
    </row>
    <row r="140" outlineLevel="1">
      <c r="A140" s="146"/>
      <c r="B140" s="300" t="s">
        <v>249</v>
      </c>
      <c r="C140" s="309" t="str">
        <f t="array" ref="C140">INDEX('転倒'!$M$3:$P$115, MATCH($A$1,'転倒'!$A$3:$A$115,0), MATCH(C$114,'転倒'!$M$2:$AC$2,0))</f>
        <v>1-7</v>
      </c>
      <c r="D140" s="310">
        <f t="array" ref="D140">INDEX('転倒'!$M$3:$P$115, MATCH($A$1,'転倒'!$A$3:$A$115,0), MATCH(D$114,'転倒'!$M$2:$AC$2,0))</f>
        <v>49</v>
      </c>
      <c r="E140" s="3665" t="str">
        <f t="array" ref="E140">INDEX('転倒'!$M$3:$P$115, MATCH($A$1,'転倒'!$A$3:$A$115,0), MATCH(E$114,'転倒'!$M$2:$AC$2,0))</f>
        <v>20-21</v>
      </c>
      <c r="F140" s="2883">
        <f t="array" ref="F140">INDEX('転倒'!$M$3:$P$115, MATCH($A$1,'転倒'!$A$3:$A$115,0), MATCH(F$114,'転倒'!$M$2:$AC$2,0))</f>
        <v>5</v>
      </c>
      <c r="G140" s="113">
        <f t="shared" ref="G140:G141" si="3">F140*1.2</f>
        <v>6</v>
      </c>
      <c r="H140" s="228"/>
      <c r="I140" s="228"/>
      <c r="J140" s="228"/>
      <c r="K140" s="118"/>
      <c r="L140" s="118"/>
      <c r="M140" s="118"/>
      <c r="N140" s="102"/>
      <c r="O140" s="102"/>
      <c r="P140" s="102"/>
      <c r="Q140" s="102"/>
      <c r="R140" s="118"/>
      <c r="S140" s="118"/>
      <c r="T140" s="118"/>
      <c r="U140" s="118"/>
      <c r="V140" s="118"/>
    </row>
    <row r="141" outlineLevel="1">
      <c r="A141" s="156"/>
      <c r="B141" s="311" t="s">
        <v>250</v>
      </c>
      <c r="C141" s="156"/>
      <c r="D141" s="156"/>
      <c r="E141" s="3665" t="str">
        <f t="array" ref="E141">INDEX('転倒'!$Q$3:$R$115, MATCH($A$1,'転倒'!$A$3:$A$115,0), MATCH(E$114,'転倒'!$Q$2:$AC$2,0))</f>
        <v>24-25</v>
      </c>
      <c r="F141" s="2883">
        <f t="array" ref="F141">INDEX('転倒'!$Q$3:$R$115, MATCH($A$1,'転倒'!$A$3:$A$115,0), MATCH(F$114,'転倒'!$Q$2:$AC$2,0))</f>
        <v>5</v>
      </c>
      <c r="G141" s="113">
        <f t="shared" si="3"/>
        <v>6</v>
      </c>
      <c r="H141" s="228"/>
      <c r="I141" s="228"/>
      <c r="J141" s="228"/>
      <c r="K141" s="118"/>
      <c r="L141" s="118"/>
      <c r="M141" s="118"/>
      <c r="N141" s="102"/>
      <c r="O141" s="102"/>
      <c r="P141" s="102"/>
      <c r="Q141" s="102"/>
      <c r="R141" s="118"/>
      <c r="S141" s="118"/>
      <c r="T141" s="118"/>
      <c r="U141" s="118"/>
      <c r="V141" s="118"/>
    </row>
    <row r="142" outlineLevel="1">
      <c r="A142" s="319"/>
      <c r="B142" s="320"/>
      <c r="C142" s="321"/>
      <c r="D142" s="321"/>
      <c r="E142" s="322"/>
      <c r="F142" s="322"/>
      <c r="G142" s="114"/>
      <c r="H142" s="228"/>
      <c r="I142" s="228"/>
      <c r="J142" s="228"/>
      <c r="K142" s="118"/>
      <c r="L142" s="118"/>
      <c r="M142" s="118"/>
      <c r="N142" s="102"/>
      <c r="O142" s="102"/>
      <c r="P142" s="102"/>
      <c r="Q142" s="102"/>
      <c r="R142" s="118"/>
      <c r="S142" s="118"/>
      <c r="T142" s="118"/>
      <c r="U142" s="118"/>
      <c r="V142" s="118"/>
    </row>
    <row r="143" outlineLevel="1">
      <c r="A143" s="323" t="s">
        <v>255</v>
      </c>
      <c r="B143" s="109"/>
      <c r="C143" s="321"/>
      <c r="D143" s="321"/>
      <c r="E143" s="322"/>
      <c r="F143" s="322"/>
      <c r="G143" s="114"/>
      <c r="H143" s="228"/>
      <c r="I143" s="228"/>
      <c r="J143" s="228"/>
      <c r="K143" s="118"/>
      <c r="L143" s="118"/>
      <c r="M143" s="118"/>
      <c r="N143" s="102"/>
      <c r="O143" s="102"/>
      <c r="P143" s="102"/>
      <c r="Q143" s="102"/>
      <c r="R143" s="118"/>
      <c r="S143" s="118"/>
      <c r="T143" s="118"/>
      <c r="U143" s="118"/>
      <c r="V143" s="118"/>
    </row>
    <row r="144" outlineLevel="1">
      <c r="A144" s="324" t="s">
        <v>256</v>
      </c>
      <c r="B144" s="109"/>
      <c r="C144" s="325" t="s">
        <v>257</v>
      </c>
      <c r="D144" s="325" t="s">
        <v>49</v>
      </c>
      <c r="E144" s="322"/>
      <c r="F144" s="322"/>
      <c r="G144" s="114"/>
      <c r="H144" s="228"/>
      <c r="I144" s="228"/>
      <c r="J144" s="228"/>
      <c r="K144" s="118"/>
      <c r="L144" s="118"/>
      <c r="M144" s="118"/>
      <c r="N144" s="102"/>
      <c r="O144" s="102"/>
      <c r="P144" s="102"/>
      <c r="Q144" s="102"/>
      <c r="R144" s="118"/>
      <c r="S144" s="118"/>
      <c r="T144" s="118"/>
      <c r="U144" s="118"/>
      <c r="V144" s="118"/>
    </row>
    <row r="145" outlineLevel="1">
      <c r="A145" s="326" t="s">
        <v>258</v>
      </c>
      <c r="B145" s="327" t="s">
        <v>216</v>
      </c>
      <c r="C145" s="328" t="str">
        <f t="array" ref="C145">INDEX('アイテム'!$C$3:$D$114, MATCH($A$1,'アイテム'!$A$3:$A$114,0), MATCH(C144,'アイテム'!$C$2:$AQ$2,0))</f>
        <v>3</v>
      </c>
      <c r="D145" s="328">
        <f t="array" ref="D145">INDEX('アイテム'!$C$3:$D$114, MATCH($A$1,'アイテム'!$A$3:$A$114,0), MATCH(D144,'アイテム'!$C$2:$AQ$2,0))</f>
        <v>7</v>
      </c>
      <c r="E145" s="322"/>
      <c r="F145" s="322"/>
      <c r="G145" s="114"/>
      <c r="H145" s="228"/>
      <c r="I145" s="228"/>
      <c r="J145" s="228"/>
      <c r="K145" s="118"/>
      <c r="L145" s="118"/>
      <c r="M145" s="118"/>
      <c r="N145" s="102"/>
      <c r="O145" s="102"/>
      <c r="P145" s="102"/>
      <c r="Q145" s="102"/>
      <c r="R145" s="118"/>
      <c r="S145" s="118"/>
      <c r="T145" s="118"/>
      <c r="U145" s="118"/>
      <c r="V145" s="118"/>
    </row>
    <row r="146" outlineLevel="1">
      <c r="A146" s="156"/>
      <c r="B146" s="327" t="s">
        <v>219</v>
      </c>
      <c r="C146" s="328" t="str">
        <f t="array" ref="C146">INDEX('アイテム'!$E$3:$F$114, MATCH($A$1,'アイテム'!$A$3:$A$114,0), MATCH(C144,'アイテム'!$C$2:$AQ$2,0))</f>
        <v>3</v>
      </c>
      <c r="D146" s="328">
        <f t="array" ref="D146">INDEX('アイテム'!$E$3:$F$114, MATCH($A$1,'アイテム'!$A$3:$A$114,0), MATCH(D144,'アイテム'!$C$2:$AQ$2,0))</f>
        <v>19</v>
      </c>
      <c r="E146" s="322"/>
      <c r="F146" s="322"/>
      <c r="G146" s="114"/>
      <c r="H146" s="228"/>
      <c r="I146" s="228"/>
      <c r="J146" s="228"/>
      <c r="K146" s="118"/>
      <c r="L146" s="118"/>
      <c r="M146" s="118"/>
      <c r="N146" s="102"/>
      <c r="O146" s="102"/>
      <c r="P146" s="102"/>
      <c r="Q146" s="102"/>
      <c r="R146" s="118"/>
      <c r="S146" s="118"/>
      <c r="T146" s="118"/>
      <c r="U146" s="118"/>
      <c r="V146" s="118"/>
    </row>
    <row r="147" outlineLevel="1">
      <c r="A147" s="329" t="s">
        <v>259</v>
      </c>
      <c r="B147" s="327" t="s">
        <v>216</v>
      </c>
      <c r="C147" s="328">
        <f t="array" ref="C147">INDEX('アイテム'!$AA$3:$AB$114, MATCH($A$1,'アイテム'!$A$3:$A$114,0), MATCH(C144,'アイテム'!$C$2:$AQ$2,0))</f>
        <v>3</v>
      </c>
      <c r="D147" s="328">
        <f t="array" ref="D147">INDEX('アイテム'!$AA$3:$AB$114, MATCH($A$1,'アイテム'!$A$3:$A$114,0), MATCH(D144,'アイテム'!$C$2:$AQ$2,0))</f>
        <v>12</v>
      </c>
      <c r="E147" s="322"/>
      <c r="F147" s="322"/>
      <c r="G147" s="114"/>
      <c r="H147" s="228"/>
      <c r="I147" s="228"/>
      <c r="J147" s="228"/>
      <c r="K147" s="118"/>
      <c r="L147" s="118"/>
      <c r="M147" s="118"/>
      <c r="N147" s="102"/>
      <c r="O147" s="102"/>
      <c r="P147" s="102"/>
      <c r="Q147" s="102"/>
      <c r="R147" s="118"/>
      <c r="S147" s="118"/>
      <c r="T147" s="118"/>
      <c r="U147" s="118"/>
      <c r="V147" s="118"/>
    </row>
    <row r="148" outlineLevel="1">
      <c r="A148" s="324" t="s">
        <v>260</v>
      </c>
      <c r="B148" s="109"/>
      <c r="C148" s="325" t="s">
        <v>261</v>
      </c>
      <c r="D148" s="325" t="s">
        <v>49</v>
      </c>
      <c r="E148" s="322"/>
      <c r="F148" s="322"/>
      <c r="G148" s="114"/>
      <c r="H148" s="228"/>
      <c r="I148" s="228"/>
      <c r="J148" s="228"/>
      <c r="K148" s="118"/>
      <c r="L148" s="118"/>
      <c r="M148" s="118"/>
      <c r="N148" s="102"/>
      <c r="O148" s="102"/>
      <c r="P148" s="102"/>
      <c r="Q148" s="102"/>
      <c r="R148" s="118"/>
      <c r="S148" s="118"/>
      <c r="T148" s="118"/>
      <c r="U148" s="118"/>
      <c r="V148" s="118"/>
    </row>
    <row r="149" outlineLevel="1">
      <c r="A149" s="326" t="s">
        <v>262</v>
      </c>
      <c r="B149" s="327" t="s">
        <v>226</v>
      </c>
      <c r="C149" s="328" t="str">
        <f t="array" ref="C149">INDEX('アイテム'!$G$3:$H$114, MATCH($A$1,'アイテム'!$A$3:$A$114,0), MATCH(C144,'アイテム'!$C$2:$AQ$2,0))</f>
        <v>8</v>
      </c>
      <c r="D149" s="328">
        <f t="array" ref="D149">INDEX('アイテム'!$G$3:$H$114, MATCH($A$1,'アイテム'!$A$3:$A$114,0), MATCH(D144,'アイテム'!$C$2:$AQ$2,0))</f>
        <v>24</v>
      </c>
      <c r="E149" s="322"/>
      <c r="F149" s="322"/>
      <c r="G149" s="114"/>
      <c r="H149" s="228"/>
      <c r="I149" s="228"/>
      <c r="J149" s="228"/>
      <c r="K149" s="118"/>
      <c r="L149" s="118"/>
      <c r="M149" s="118"/>
      <c r="N149" s="102"/>
      <c r="O149" s="102"/>
      <c r="P149" s="102"/>
      <c r="Q149" s="102"/>
      <c r="R149" s="118"/>
      <c r="S149" s="118"/>
      <c r="T149" s="118"/>
      <c r="U149" s="118"/>
      <c r="V149" s="118"/>
    </row>
    <row r="150" outlineLevel="1">
      <c r="A150" s="146"/>
      <c r="B150" s="327" t="s">
        <v>229</v>
      </c>
      <c r="C150" s="328" t="str">
        <f t="array" ref="C150">INDEX('アイテム'!$I$3:$J$114, MATCH($A$1,'アイテム'!$A$3:$A$114,0), MATCH(C144,'アイテム'!$C$2:$AQ$2,0))</f>
        <v>11</v>
      </c>
      <c r="D150" s="328">
        <f t="array" ref="D150">INDEX('アイテム'!$I$3:$J$114, MATCH($A$1,'アイテム'!$A$3:$A$114,0), MATCH(D144,'アイテム'!$C$2:$AQ$2,0))</f>
        <v>24</v>
      </c>
      <c r="E150" s="322"/>
      <c r="F150" s="322"/>
      <c r="G150" s="114"/>
      <c r="H150" s="228"/>
      <c r="I150" s="228"/>
      <c r="J150" s="228"/>
      <c r="K150" s="118"/>
      <c r="L150" s="118"/>
      <c r="M150" s="118"/>
      <c r="N150" s="102"/>
      <c r="O150" s="102"/>
      <c r="P150" s="102"/>
      <c r="Q150" s="102"/>
      <c r="R150" s="118"/>
      <c r="S150" s="118"/>
      <c r="T150" s="118"/>
      <c r="U150" s="118"/>
      <c r="V150" s="118"/>
    </row>
    <row r="151" outlineLevel="1">
      <c r="A151" s="146"/>
      <c r="B151" s="327" t="s">
        <v>233</v>
      </c>
      <c r="C151" s="328" t="str">
        <f t="array" ref="C151">INDEX('アイテム'!$K$3:$L$114, MATCH($A$1,'アイテム'!$A$3:$A$114,0), MATCH(C144,'アイテム'!$C$2:$AQ$2,0))</f>
        <v>12</v>
      </c>
      <c r="D151" s="328">
        <f t="array" ref="D151">INDEX('アイテム'!$K$3:$L$114, MATCH($A$1,'アイテム'!$A$3:$A$114,0), MATCH(D144,'アイテム'!$C$2:$AQ$2,0))</f>
        <v>23</v>
      </c>
      <c r="E151" s="322"/>
      <c r="F151" s="322"/>
      <c r="G151" s="114"/>
      <c r="H151" s="228"/>
      <c r="I151" s="228"/>
      <c r="J151" s="228"/>
      <c r="K151" s="118"/>
      <c r="L151" s="118"/>
      <c r="M151" s="118"/>
      <c r="N151" s="102"/>
      <c r="O151" s="102"/>
      <c r="P151" s="102"/>
      <c r="Q151" s="102"/>
      <c r="R151" s="118"/>
      <c r="S151" s="118"/>
      <c r="T151" s="118"/>
      <c r="U151" s="118"/>
      <c r="V151" s="118"/>
    </row>
    <row r="152" outlineLevel="1">
      <c r="A152" s="146"/>
      <c r="B152" s="327" t="s">
        <v>234</v>
      </c>
      <c r="C152" s="328" t="str">
        <f t="array" ref="C152">INDEX('アイテム'!$M$3:$N$114, MATCH($A$1,'アイテム'!$A$3:$A$114,0), MATCH(C144,'アイテム'!$C$2:$AQ$2,0))</f>
        <v>7</v>
      </c>
      <c r="D152" s="328">
        <f t="array" ref="D152">INDEX('アイテム'!$M$3:$N$114, MATCH($A$1,'アイテム'!$A$3:$A$114,0), MATCH(D144,'アイテム'!$C$2:$AQ$2,0))</f>
        <v>19</v>
      </c>
      <c r="E152" s="322"/>
      <c r="F152" s="322"/>
      <c r="G152" s="114"/>
      <c r="H152" s="228"/>
      <c r="I152" s="228"/>
      <c r="J152" s="228"/>
      <c r="K152" s="118"/>
      <c r="L152" s="118"/>
      <c r="M152" s="118"/>
      <c r="N152" s="102"/>
      <c r="O152" s="102"/>
      <c r="P152" s="102"/>
      <c r="Q152" s="102"/>
      <c r="R152" s="118"/>
      <c r="S152" s="118"/>
      <c r="T152" s="118"/>
      <c r="U152" s="118"/>
      <c r="V152" s="118"/>
    </row>
    <row r="153" outlineLevel="1">
      <c r="A153" s="146"/>
      <c r="B153" s="327" t="s">
        <v>219</v>
      </c>
      <c r="C153" s="328" t="str">
        <f t="array" ref="C153">INDEX('アイテム'!$O$3:$P$114, MATCH($A$1,'アイテム'!$A$3:$A$114,0), MATCH(C144,'アイテム'!$C$2:$AQ$2,0))</f>
        <v>5</v>
      </c>
      <c r="D153" s="328">
        <f t="array" ref="D153">INDEX('アイテム'!$O$3:$P$114, MATCH($A$1,'アイテム'!$A$3:$A$114,0), MATCH(D144,'アイテム'!$C$2:$AQ$2,0))</f>
        <v>29</v>
      </c>
      <c r="E153" s="322"/>
      <c r="F153" s="322"/>
      <c r="G153" s="114"/>
      <c r="H153" s="228"/>
      <c r="I153" s="228"/>
      <c r="J153" s="228"/>
      <c r="K153" s="118"/>
      <c r="L153" s="118"/>
      <c r="M153" s="118"/>
      <c r="N153" s="102"/>
      <c r="O153" s="102"/>
      <c r="P153" s="102"/>
      <c r="Q153" s="102"/>
      <c r="R153" s="118"/>
      <c r="S153" s="118"/>
      <c r="T153" s="118"/>
      <c r="U153" s="118"/>
      <c r="V153" s="118"/>
    </row>
    <row r="154" outlineLevel="1">
      <c r="A154" s="156"/>
      <c r="B154" s="327" t="s">
        <v>263</v>
      </c>
      <c r="C154" s="328" t="str">
        <f t="array" ref="C154">INDEX('アイテム'!$Q$3:$R$114, MATCH($A$1,'アイテム'!$A$3:$A$114,0), MATCH(C144,'アイテム'!$C$2:$AQ$2,0))</f>
        <v>6</v>
      </c>
      <c r="D154" s="328">
        <f t="array" ref="D154">INDEX('アイテム'!$Q$3:$R$114, MATCH($A$1,'アイテム'!$A$3:$A$114,0), MATCH(D144,'アイテム'!$C$2:$AQ$2,0))</f>
        <v>23</v>
      </c>
      <c r="E154" s="322"/>
      <c r="F154" s="322"/>
      <c r="G154" s="114"/>
      <c r="H154" s="228"/>
      <c r="I154" s="228"/>
      <c r="J154" s="228"/>
      <c r="K154" s="118"/>
      <c r="L154" s="118"/>
      <c r="M154" s="118"/>
      <c r="N154" s="102"/>
      <c r="O154" s="102"/>
      <c r="P154" s="102"/>
      <c r="Q154" s="102"/>
      <c r="R154" s="118"/>
      <c r="S154" s="118"/>
      <c r="T154" s="118"/>
      <c r="U154" s="118"/>
      <c r="V154" s="118"/>
    </row>
    <row r="155" outlineLevel="1">
      <c r="A155" s="326" t="s">
        <v>264</v>
      </c>
      <c r="B155" s="327" t="s">
        <v>226</v>
      </c>
      <c r="C155" s="328" t="str">
        <f t="array" ref="C155">INDEX('アイテム'!$S$3:$T$114, MATCH($A$1,'アイテム'!$A$3:$A$114,0), MATCH(C144,'アイテム'!$C$2:$AQ$2,0))</f>
        <v>8</v>
      </c>
      <c r="D155" s="328">
        <f t="array" ref="D155">INDEX('アイテム'!$S$3:$T$114, MATCH($A$1,'アイテム'!$A$3:$A$114,0), MATCH(D144,'アイテム'!$C$2:$AQ$2,0))</f>
        <v>24</v>
      </c>
      <c r="E155" s="322"/>
      <c r="F155" s="322"/>
      <c r="G155" s="114"/>
      <c r="H155" s="228"/>
      <c r="I155" s="228"/>
      <c r="J155" s="228"/>
      <c r="K155" s="118"/>
      <c r="L155" s="118"/>
      <c r="M155" s="118"/>
      <c r="N155" s="102"/>
      <c r="O155" s="102"/>
      <c r="P155" s="102"/>
      <c r="Q155" s="102"/>
      <c r="R155" s="118"/>
      <c r="S155" s="118"/>
      <c r="T155" s="118"/>
      <c r="U155" s="118"/>
      <c r="V155" s="118"/>
    </row>
    <row r="156" outlineLevel="1">
      <c r="A156" s="146"/>
      <c r="B156" s="327" t="s">
        <v>229</v>
      </c>
      <c r="C156" s="328" t="str">
        <f t="array" ref="C156">INDEX('アイテム'!$U$3:$V$114, MATCH($A$1,'アイテム'!$A$3:$A$114,0), MATCH(C144,'アイテム'!$C$2:$AQ$2,0))</f>
        <v>11</v>
      </c>
      <c r="D156" s="328">
        <f t="array" ref="D156">INDEX('アイテム'!$U$3:$V$114, MATCH($A$1,'アイテム'!$A$3:$A$114,0), MATCH(D144,'アイテム'!$C$2:$AQ$2,0))</f>
        <v>24</v>
      </c>
      <c r="E156" s="322"/>
      <c r="F156" s="322"/>
      <c r="G156" s="114"/>
      <c r="H156" s="228"/>
      <c r="I156" s="228"/>
      <c r="J156" s="228"/>
      <c r="K156" s="118"/>
      <c r="L156" s="118"/>
      <c r="M156" s="118"/>
      <c r="N156" s="102"/>
      <c r="O156" s="102"/>
      <c r="P156" s="102"/>
      <c r="Q156" s="102"/>
      <c r="R156" s="118"/>
      <c r="S156" s="118"/>
      <c r="T156" s="118"/>
      <c r="U156" s="118"/>
      <c r="V156" s="118"/>
    </row>
    <row r="157" outlineLevel="1">
      <c r="A157" s="146"/>
      <c r="B157" s="327" t="s">
        <v>233</v>
      </c>
      <c r="C157" s="328" t="str">
        <f t="array" ref="C157">INDEX('アイテム'!$W$3:$X$114, MATCH($A$1,'アイテム'!$A$3:$A$114,0), MATCH(C144,'アイテム'!$C$2:$AQ$2,0))</f>
        <v>12</v>
      </c>
      <c r="D157" s="328">
        <f t="array" ref="D157">INDEX('アイテム'!$W$3:$X$114, MATCH($A$1,'アイテム'!$A$3:$A$114,0), MATCH(D144,'アイテム'!$C$2:$AQ$2,0))</f>
        <v>23</v>
      </c>
      <c r="E157" s="322"/>
      <c r="F157" s="322"/>
      <c r="G157" s="114"/>
      <c r="H157" s="228"/>
      <c r="I157" s="228"/>
      <c r="J157" s="228"/>
      <c r="K157" s="118"/>
      <c r="L157" s="118"/>
      <c r="M157" s="118"/>
      <c r="N157" s="102"/>
      <c r="O157" s="102"/>
      <c r="P157" s="102"/>
      <c r="Q157" s="102"/>
      <c r="R157" s="118"/>
      <c r="S157" s="118"/>
      <c r="T157" s="118"/>
      <c r="U157" s="118"/>
      <c r="V157" s="118"/>
    </row>
    <row r="158" outlineLevel="1">
      <c r="A158" s="156"/>
      <c r="B158" s="327" t="s">
        <v>234</v>
      </c>
      <c r="C158" s="328" t="str">
        <f t="array" ref="C158">INDEX('アイテム'!$Y$3:$Z$114, MATCH($A$1,'アイテム'!$A$3:$A$114,0), MATCH(C144,'アイテム'!$C$2:$AQ$2,0))</f>
        <v>7</v>
      </c>
      <c r="D158" s="328">
        <f t="array" ref="D158">INDEX('アイテム'!$Y$3:$Z$114, MATCH($A$1,'アイテム'!$A$3:$A$114,0), MATCH(D144,'アイテム'!$C$2:$AQ$2,0))</f>
        <v>19</v>
      </c>
      <c r="E158" s="322"/>
      <c r="F158" s="322"/>
      <c r="G158" s="114"/>
      <c r="H158" s="228"/>
      <c r="I158" s="228"/>
      <c r="J158" s="228"/>
      <c r="K158" s="118"/>
      <c r="L158" s="118"/>
      <c r="M158" s="118"/>
      <c r="N158" s="102"/>
      <c r="O158" s="102"/>
      <c r="P158" s="102"/>
      <c r="Q158" s="102"/>
      <c r="R158" s="118"/>
      <c r="S158" s="118"/>
      <c r="T158" s="118"/>
      <c r="U158" s="118"/>
      <c r="V158" s="118"/>
    </row>
    <row r="159" outlineLevel="1">
      <c r="A159" s="326" t="s">
        <v>265</v>
      </c>
      <c r="B159" s="327" t="s">
        <v>226</v>
      </c>
      <c r="C159" s="328">
        <f t="array" ref="C159">INDEX('アイテム'!$AC$3:$AD$114, MATCH($A$1,'アイテム'!$A$3:$A$114,0), MATCH(C144,'アイテム'!$C$2:$AQ$2,0))</f>
        <v>14</v>
      </c>
      <c r="D159" s="328">
        <f t="array" ref="D159">INDEX('アイテム'!$AC$3:$AD$114, MATCH($A$1,'アイテム'!$A$3:$A$114,0), MATCH(D144,'アイテム'!$C$2:$AQ$2,0))</f>
        <v>30</v>
      </c>
      <c r="E159" s="322"/>
      <c r="F159" s="322"/>
      <c r="G159" s="114"/>
      <c r="H159" s="228"/>
      <c r="I159" s="228"/>
      <c r="J159" s="228"/>
      <c r="K159" s="118"/>
      <c r="L159" s="118"/>
      <c r="M159" s="118"/>
      <c r="N159" s="102"/>
      <c r="O159" s="102"/>
      <c r="P159" s="102"/>
      <c r="Q159" s="102"/>
      <c r="R159" s="118"/>
      <c r="S159" s="118"/>
      <c r="T159" s="118"/>
      <c r="U159" s="118"/>
      <c r="V159" s="118"/>
    </row>
    <row r="160" outlineLevel="1">
      <c r="A160" s="146"/>
      <c r="B160" s="327" t="s">
        <v>229</v>
      </c>
      <c r="C160" s="328">
        <f t="array" ref="C160">INDEX('アイテム'!$AE$3:$AF$114, MATCH($A$1,'アイテム'!$A$3:$A$114,0), MATCH(C144,'アイテム'!$C$2:$AQ$2,0))</f>
        <v>15</v>
      </c>
      <c r="D160" s="328">
        <f t="array" ref="D160">INDEX('アイテム'!$AE$3:$AF$114, MATCH($A$1,'アイテム'!$A$3:$A$114,0), MATCH(D144,'アイテム'!$C$2:$AQ$2,0))</f>
        <v>30</v>
      </c>
      <c r="E160" s="322"/>
      <c r="F160" s="322"/>
      <c r="G160" s="114"/>
      <c r="H160" s="228"/>
      <c r="I160" s="228"/>
      <c r="J160" s="228"/>
      <c r="K160" s="118"/>
      <c r="L160" s="118"/>
      <c r="M160" s="118"/>
      <c r="N160" s="102"/>
      <c r="O160" s="102"/>
      <c r="P160" s="102"/>
      <c r="Q160" s="102"/>
      <c r="R160" s="118"/>
      <c r="S160" s="118"/>
      <c r="T160" s="118"/>
      <c r="U160" s="118"/>
      <c r="V160" s="118"/>
    </row>
    <row r="161" outlineLevel="1">
      <c r="A161" s="146"/>
      <c r="B161" s="327" t="s">
        <v>233</v>
      </c>
      <c r="C161" s="328">
        <f t="array" ref="C161">INDEX('アイテム'!$AG$3:$AH$114, MATCH($A$1,'アイテム'!$A$3:$A$114,0), MATCH(C144,'アイテム'!$C$2:$AQ$2,0))</f>
        <v>11</v>
      </c>
      <c r="D161" s="328">
        <f t="array" ref="D161">INDEX('アイテム'!$AG$3:$AH$114, MATCH($A$1,'アイテム'!$A$3:$A$114,0), MATCH(D144,'アイテム'!$C$2:$AQ$2,0))</f>
        <v>22</v>
      </c>
      <c r="E161" s="322"/>
      <c r="F161" s="322"/>
      <c r="G161" s="114"/>
      <c r="H161" s="228"/>
      <c r="I161" s="228"/>
      <c r="J161" s="228"/>
      <c r="K161" s="118"/>
      <c r="L161" s="118"/>
      <c r="M161" s="118"/>
      <c r="N161" s="102"/>
      <c r="O161" s="102"/>
      <c r="P161" s="102"/>
      <c r="Q161" s="102"/>
      <c r="R161" s="118"/>
      <c r="S161" s="118"/>
      <c r="T161" s="118"/>
      <c r="U161" s="118"/>
      <c r="V161" s="118"/>
    </row>
    <row r="162" outlineLevel="1">
      <c r="A162" s="156"/>
      <c r="B162" s="327" t="s">
        <v>234</v>
      </c>
      <c r="C162" s="328">
        <f t="array" ref="C162">INDEX('アイテム'!$AI$3:$AJ$114, MATCH($A$1,'アイテム'!$A$3:$A$114,0), MATCH(C144,'アイテム'!$C$2:$AQ$2,0))</f>
        <v>9</v>
      </c>
      <c r="D162" s="328">
        <f t="array" ref="D162">INDEX('アイテム'!$AI$3:$AJ$114, MATCH($A$1,'アイテム'!$A$3:$A$114,0), MATCH(D144,'アイテム'!$C$2:$AQ$2,0))</f>
        <v>22</v>
      </c>
      <c r="E162" s="322"/>
      <c r="F162" s="322"/>
      <c r="G162" s="114"/>
      <c r="H162" s="228"/>
      <c r="I162" s="228"/>
      <c r="J162" s="228"/>
      <c r="K162" s="118"/>
      <c r="L162" s="118"/>
      <c r="M162" s="118"/>
      <c r="N162" s="102"/>
      <c r="O162" s="102"/>
      <c r="P162" s="102"/>
      <c r="Q162" s="102"/>
      <c r="R162" s="118"/>
      <c r="S162" s="118"/>
      <c r="T162" s="118"/>
      <c r="U162" s="118"/>
      <c r="V162" s="118"/>
    </row>
  </sheetData>
  <mergeCells count="151">
    <mergeCell ref="H34:J34"/>
    <mergeCell ref="H35:J35"/>
    <mergeCell ref="H36:J39"/>
    <mergeCell ref="H40:J40"/>
    <mergeCell ref="H41:J42"/>
    <mergeCell ref="H43:J44"/>
    <mergeCell ref="H45:J46"/>
    <mergeCell ref="I58:I59"/>
    <mergeCell ref="J58:J59"/>
    <mergeCell ref="H62:J62"/>
    <mergeCell ref="H63:J66"/>
    <mergeCell ref="H67:J68"/>
    <mergeCell ref="H69:J71"/>
    <mergeCell ref="H72:J72"/>
    <mergeCell ref="H73:J75"/>
    <mergeCell ref="H76:J76"/>
    <mergeCell ref="H77:J83"/>
    <mergeCell ref="H84:J84"/>
    <mergeCell ref="H85:J85"/>
    <mergeCell ref="H86:J86"/>
    <mergeCell ref="H87:J87"/>
    <mergeCell ref="K115:K116"/>
    <mergeCell ref="K118:K123"/>
    <mergeCell ref="K124:K127"/>
    <mergeCell ref="K128:L128"/>
    <mergeCell ref="K130:K133"/>
    <mergeCell ref="K134:L134"/>
    <mergeCell ref="G95:J95"/>
    <mergeCell ref="G96:J97"/>
    <mergeCell ref="G98:J99"/>
    <mergeCell ref="G100:J101"/>
    <mergeCell ref="G102:J103"/>
    <mergeCell ref="K114:L114"/>
    <mergeCell ref="K117:L117"/>
    <mergeCell ref="U73:U75"/>
    <mergeCell ref="U77:U83"/>
    <mergeCell ref="V77:V83"/>
    <mergeCell ref="U85:U87"/>
    <mergeCell ref="V85:V87"/>
    <mergeCell ref="U63:U66"/>
    <mergeCell ref="V63:V66"/>
    <mergeCell ref="U67:U68"/>
    <mergeCell ref="V67:V68"/>
    <mergeCell ref="U69:U71"/>
    <mergeCell ref="V69:V71"/>
    <mergeCell ref="V73:V75"/>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31"/>
    <mergeCell ref="U29:U31"/>
    <mergeCell ref="H32:J33"/>
    <mergeCell ref="U32:U35"/>
    <mergeCell ref="D41:D42"/>
    <mergeCell ref="D43:D44"/>
    <mergeCell ref="U36:U39"/>
    <mergeCell ref="U41:U42"/>
    <mergeCell ref="U43:U44"/>
    <mergeCell ref="U45:U46"/>
    <mergeCell ref="R49:V49"/>
    <mergeCell ref="R50:V50"/>
    <mergeCell ref="R51:V51"/>
    <mergeCell ref="U52:V52"/>
    <mergeCell ref="R53:V53"/>
    <mergeCell ref="R54:V54"/>
    <mergeCell ref="U55:V55"/>
    <mergeCell ref="R56:V56"/>
    <mergeCell ref="R57:V57"/>
    <mergeCell ref="R58:V59"/>
    <mergeCell ref="A77:A83"/>
    <mergeCell ref="A85:A87"/>
    <mergeCell ref="A89:B90"/>
    <mergeCell ref="A92:A94"/>
    <mergeCell ref="A95:B95"/>
    <mergeCell ref="A96:A97"/>
    <mergeCell ref="A98:A99"/>
    <mergeCell ref="A100:A101"/>
    <mergeCell ref="A102:A103"/>
    <mergeCell ref="A105:B106"/>
    <mergeCell ref="A107:A109"/>
    <mergeCell ref="A110:A111"/>
    <mergeCell ref="A113:B114"/>
    <mergeCell ref="A115:A119"/>
    <mergeCell ref="A135:A141"/>
    <mergeCell ref="A143:B143"/>
    <mergeCell ref="A144:B144"/>
    <mergeCell ref="A145:A146"/>
    <mergeCell ref="A148:B148"/>
    <mergeCell ref="A149:A154"/>
    <mergeCell ref="A155:A158"/>
    <mergeCell ref="A159:A162"/>
    <mergeCell ref="A120:A122"/>
    <mergeCell ref="A123:A128"/>
    <mergeCell ref="C127:C128"/>
    <mergeCell ref="D127:D128"/>
    <mergeCell ref="A129:A134"/>
    <mergeCell ref="D133:D134"/>
    <mergeCell ref="D140:D141"/>
    <mergeCell ref="A24:B25"/>
    <mergeCell ref="A26:A28"/>
    <mergeCell ref="A29:A31"/>
    <mergeCell ref="D29:D31"/>
    <mergeCell ref="A32:A35"/>
    <mergeCell ref="D32:D33"/>
    <mergeCell ref="D36:D39"/>
    <mergeCell ref="A36:A39"/>
    <mergeCell ref="A41:A42"/>
    <mergeCell ref="A43:A44"/>
    <mergeCell ref="A45:A46"/>
    <mergeCell ref="A50:A52"/>
    <mergeCell ref="A53:A55"/>
    <mergeCell ref="A58:A59"/>
    <mergeCell ref="D69:D71"/>
    <mergeCell ref="A72:B72"/>
    <mergeCell ref="D45:D46"/>
    <mergeCell ref="A48:B49"/>
    <mergeCell ref="D58:D59"/>
    <mergeCell ref="A61:B61"/>
    <mergeCell ref="A62:B62"/>
    <mergeCell ref="D63:D66"/>
    <mergeCell ref="D67:D68"/>
    <mergeCell ref="A63:A66"/>
    <mergeCell ref="A67:A68"/>
    <mergeCell ref="A69:A71"/>
    <mergeCell ref="A73:A75"/>
    <mergeCell ref="A76:B76"/>
    <mergeCell ref="D77:D83"/>
    <mergeCell ref="A84:B84"/>
    <mergeCell ref="D96:D97"/>
    <mergeCell ref="D98:D99"/>
    <mergeCell ref="D100:D101"/>
    <mergeCell ref="D102:D103"/>
    <mergeCell ref="C133:C134"/>
    <mergeCell ref="C140:C141"/>
  </mergeCells>
  <conditionalFormatting sqref="K1:K138 L95:L103">
    <cfRule type="containsText" dxfId="0" priority="1" operator="containsText" text="361">
      <formula>NOT(ISERROR(SEARCH(("361"),(K1))))</formula>
    </cfRule>
  </conditionalFormatting>
  <conditionalFormatting sqref="O96:Q103">
    <cfRule type="cellIs" dxfId="2" priority="2" operator="equal">
      <formula>"敵のみ"</formula>
    </cfRule>
  </conditionalFormatting>
  <conditionalFormatting sqref="C96:D103 E101 E103">
    <cfRule type="cellIs" dxfId="3" priority="3" operator="equal">
      <formula>"-"</formula>
    </cfRule>
  </conditionalFormatting>
  <conditionalFormatting sqref="O1:O162 N95:N103 P95:P103 Q103 L137:L138">
    <cfRule type="cellIs" dxfId="4" priority="4" operator="greaterThan">
      <formula>0</formula>
    </cfRule>
  </conditionalFormatting>
  <conditionalFormatting sqref="P1:Q162 O95:O103 M137:M138">
    <cfRule type="cellIs" dxfId="5" priority="5" operator="lessThan">
      <formula>1</formula>
    </cfRule>
  </conditionalFormatting>
  <conditionalFormatting sqref="P1:Q162 O95:O103 M137:M138">
    <cfRule type="cellIs" dxfId="4" priority="6" operator="greaterThan">
      <formula>1</formula>
    </cfRule>
  </conditionalFormatting>
  <conditionalFormatting sqref="N25:N114 M95:M103 O95:O103">
    <cfRule type="cellIs" dxfId="6" priority="7" operator="greaterThan">
      <formula>0</formula>
    </cfRule>
  </conditionalFormatting>
  <conditionalFormatting sqref="K1:K162 L95:L103">
    <cfRule type="containsText" dxfId="6" priority="8" operator="containsText" text="363">
      <formula>NOT(ISERROR(SEARCH(("363"),(K1))))</formula>
    </cfRule>
  </conditionalFormatting>
  <conditionalFormatting sqref="K1:K162 L95:L103">
    <cfRule type="containsText" dxfId="6" priority="9" operator="containsText" text="365">
      <formula>NOT(ISERROR(SEARCH(("365"),(K1))))</formula>
    </cfRule>
  </conditionalFormatting>
  <conditionalFormatting sqref="K1:K162 L95:L103">
    <cfRule type="containsText" dxfId="6" priority="10" operator="containsText" text="366">
      <formula>NOT(ISERROR(SEARCH(("366"),(K1))))</formula>
    </cfRule>
  </conditionalFormatting>
  <conditionalFormatting sqref="K1:K162 L95:L103">
    <cfRule type="containsText" dxfId="6" priority="11" operator="containsText" text="367">
      <formula>NOT(ISERROR(SEARCH(("367"),(K1))))</formula>
    </cfRule>
  </conditionalFormatting>
  <conditionalFormatting sqref="N1:N15 N17:N162 M95:M103 O95:O103 K137:K138">
    <cfRule type="containsText" dxfId="6" priority="12" operator="containsText" text="/">
      <formula>NOT(ISERROR(SEARCH(("/"),(N1))))</formula>
    </cfRule>
  </conditionalFormatting>
  <drawing r:id="rId2"/>
  <legacyDrawing r:id="rId3"/>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2" width="18.88"/>
    <col customWidth="1" hidden="1" min="3" max="3" width="17.0"/>
    <col customWidth="1" hidden="1" min="4" max="4" width="16.63"/>
    <col customWidth="1" min="5" max="5" width="10.88"/>
    <col customWidth="1" min="6" max="6" width="9.88"/>
    <col customWidth="1" hidden="1" min="7" max="11" width="9.88"/>
    <col customWidth="1" min="12" max="13" width="8.88"/>
    <col customWidth="1" min="14" max="14" width="21.5"/>
    <col customWidth="1" hidden="1" min="15" max="18" width="11.25"/>
    <col customWidth="1" min="19" max="20" width="9.25"/>
    <col customWidth="1" hidden="1" min="21" max="21" width="9.25"/>
    <col customWidth="1" min="22" max="22" width="9.25"/>
  </cols>
  <sheetData>
    <row r="1">
      <c r="A1" s="3666" t="s">
        <v>6502</v>
      </c>
      <c r="B1" s="3667" t="s">
        <v>6503</v>
      </c>
      <c r="C1" s="3668" t="s">
        <v>6504</v>
      </c>
      <c r="D1" s="3667" t="s">
        <v>6505</v>
      </c>
      <c r="E1" s="3667" t="s">
        <v>6506</v>
      </c>
      <c r="F1" s="3667" t="s">
        <v>6507</v>
      </c>
      <c r="G1" s="3667"/>
      <c r="H1" s="3667"/>
      <c r="I1" s="3667"/>
      <c r="J1" s="3667"/>
      <c r="K1" s="3667"/>
      <c r="L1" s="3669" t="s">
        <v>6508</v>
      </c>
      <c r="M1" s="3667" t="s">
        <v>6509</v>
      </c>
      <c r="N1" s="3667" t="s">
        <v>6510</v>
      </c>
      <c r="O1" s="3667" t="s">
        <v>6511</v>
      </c>
      <c r="P1" s="3667" t="s">
        <v>6512</v>
      </c>
      <c r="Q1" s="3667" t="s">
        <v>6513</v>
      </c>
      <c r="R1" s="3667" t="s">
        <v>6514</v>
      </c>
      <c r="S1" s="3670" t="s">
        <v>6515</v>
      </c>
      <c r="T1" s="3670" t="s">
        <v>6516</v>
      </c>
      <c r="U1" s="3670" t="s">
        <v>6517</v>
      </c>
      <c r="V1" s="3671" t="s">
        <v>6518</v>
      </c>
    </row>
    <row r="2">
      <c r="A2" s="3672">
        <v>1.0</v>
      </c>
      <c r="B2" s="3673" t="s">
        <v>6519</v>
      </c>
      <c r="C2" s="3674" t="s">
        <v>6520</v>
      </c>
      <c r="D2" s="3674" t="s">
        <v>6521</v>
      </c>
      <c r="E2" s="3674" t="s">
        <v>6521</v>
      </c>
      <c r="F2" s="3674" t="s">
        <v>6522</v>
      </c>
      <c r="G2" s="3674"/>
      <c r="H2" s="3674"/>
      <c r="I2" s="3674"/>
      <c r="J2" s="3674"/>
      <c r="K2" s="3674"/>
      <c r="L2" s="3675" t="s">
        <v>6523</v>
      </c>
      <c r="M2" s="3674" t="s">
        <v>209</v>
      </c>
      <c r="N2" s="3674" t="str">
        <f t="shared" ref="N2:N90" si="1">A2&amp;". "&amp;B2</f>
        <v>1. マリオ</v>
      </c>
      <c r="O2" s="3674" t="s">
        <v>6524</v>
      </c>
      <c r="P2" s="3674" t="s">
        <v>6525</v>
      </c>
      <c r="Q2" s="3674" t="s">
        <v>6526</v>
      </c>
      <c r="R2" s="3674" t="s">
        <v>6527</v>
      </c>
      <c r="S2" s="3676">
        <v>1.0</v>
      </c>
      <c r="T2" s="3677">
        <v>0.0</v>
      </c>
      <c r="U2" s="3676">
        <v>1.0</v>
      </c>
      <c r="V2" s="3678" t="s">
        <v>6521</v>
      </c>
    </row>
    <row r="3">
      <c r="A3" s="3672">
        <v>2.0</v>
      </c>
      <c r="B3" s="3673" t="s">
        <v>6528</v>
      </c>
      <c r="C3" s="3674" t="s">
        <v>6529</v>
      </c>
      <c r="D3" s="3674" t="s">
        <v>6530</v>
      </c>
      <c r="E3" s="3674" t="s">
        <v>6531</v>
      </c>
      <c r="F3" s="3674" t="s">
        <v>6532</v>
      </c>
      <c r="G3" s="3674"/>
      <c r="H3" s="3674"/>
      <c r="I3" s="3674"/>
      <c r="J3" s="3674"/>
      <c r="K3" s="3674"/>
      <c r="L3" s="3675" t="s">
        <v>6533</v>
      </c>
      <c r="M3" s="3674" t="s">
        <v>213</v>
      </c>
      <c r="N3" s="3674" t="str">
        <f t="shared" si="1"/>
        <v>2. ドンキーコング</v>
      </c>
      <c r="O3" s="3674" t="s">
        <v>6534</v>
      </c>
      <c r="P3" s="3674" t="s">
        <v>6535</v>
      </c>
      <c r="Q3" s="3674" t="s">
        <v>6536</v>
      </c>
      <c r="R3" s="3674" t="s">
        <v>6537</v>
      </c>
      <c r="S3" s="3676">
        <v>2.0</v>
      </c>
      <c r="T3" s="3677">
        <v>1.0</v>
      </c>
      <c r="U3" s="3676">
        <v>9.0</v>
      </c>
      <c r="V3" s="3678" t="s">
        <v>6538</v>
      </c>
    </row>
    <row r="4">
      <c r="A4" s="3672">
        <v>3.0</v>
      </c>
      <c r="B4" s="3673" t="s">
        <v>6539</v>
      </c>
      <c r="C4" s="3674" t="s">
        <v>6540</v>
      </c>
      <c r="D4" s="3674" t="s">
        <v>6541</v>
      </c>
      <c r="E4" s="3674" t="s">
        <v>6542</v>
      </c>
      <c r="F4" s="3674" t="s">
        <v>6543</v>
      </c>
      <c r="G4" s="3674"/>
      <c r="H4" s="3674"/>
      <c r="I4" s="3674"/>
      <c r="J4" s="3674"/>
      <c r="K4" s="3674"/>
      <c r="L4" s="3675" t="s">
        <v>6544</v>
      </c>
      <c r="M4" s="3674" t="s">
        <v>213</v>
      </c>
      <c r="N4" s="3674" t="str">
        <f t="shared" si="1"/>
        <v>3. リンク</v>
      </c>
      <c r="O4" s="3679" t="s">
        <v>6545</v>
      </c>
      <c r="P4" s="3679" t="s">
        <v>6546</v>
      </c>
      <c r="Q4" s="3674" t="s">
        <v>6547</v>
      </c>
      <c r="R4" s="3679" t="s">
        <v>6548</v>
      </c>
      <c r="S4" s="3676">
        <v>3.0</v>
      </c>
      <c r="T4" s="3677">
        <v>2.0</v>
      </c>
      <c r="U4" s="3676">
        <v>13.0</v>
      </c>
      <c r="V4" s="3678" t="s">
        <v>6541</v>
      </c>
    </row>
    <row r="5">
      <c r="A5" s="3672">
        <v>4.0</v>
      </c>
      <c r="B5" s="3673" t="s">
        <v>6549</v>
      </c>
      <c r="C5" s="3674" t="s">
        <v>6550</v>
      </c>
      <c r="D5" s="3674" t="s">
        <v>6551</v>
      </c>
      <c r="E5" s="3674" t="s">
        <v>6552</v>
      </c>
      <c r="F5" s="3674" t="s">
        <v>6553</v>
      </c>
      <c r="G5" s="3674"/>
      <c r="H5" s="3674"/>
      <c r="I5" s="3674"/>
      <c r="J5" s="3674"/>
      <c r="K5" s="3674"/>
      <c r="L5" s="3675" t="s">
        <v>6554</v>
      </c>
      <c r="M5" s="3674" t="s">
        <v>213</v>
      </c>
      <c r="N5" s="3674" t="str">
        <f t="shared" si="1"/>
        <v>4. サムス</v>
      </c>
      <c r="O5" s="3674" t="s">
        <v>6555</v>
      </c>
      <c r="P5" s="3674" t="s">
        <v>6556</v>
      </c>
      <c r="Q5" s="3674" t="s">
        <v>6557</v>
      </c>
      <c r="R5" s="3674" t="s">
        <v>3876</v>
      </c>
      <c r="S5" s="3676">
        <v>4.0</v>
      </c>
      <c r="T5" s="3677">
        <v>3.0</v>
      </c>
      <c r="U5" s="3676">
        <v>18.0</v>
      </c>
      <c r="V5" s="3678" t="s">
        <v>6551</v>
      </c>
    </row>
    <row r="6">
      <c r="A6" s="3672" t="s">
        <v>624</v>
      </c>
      <c r="B6" s="3673" t="s">
        <v>6558</v>
      </c>
      <c r="C6" s="3674" t="s">
        <v>6559</v>
      </c>
      <c r="D6" s="3674" t="s">
        <v>6560</v>
      </c>
      <c r="E6" s="3674" t="s">
        <v>6552</v>
      </c>
      <c r="F6" s="3674" t="s">
        <v>6561</v>
      </c>
      <c r="G6" s="3674"/>
      <c r="H6" s="3674"/>
      <c r="I6" s="3674"/>
      <c r="J6" s="3674"/>
      <c r="K6" s="3674"/>
      <c r="L6" s="3675" t="s">
        <v>6562</v>
      </c>
      <c r="M6" s="3674" t="s">
        <v>213</v>
      </c>
      <c r="N6" s="3674" t="str">
        <f t="shared" si="1"/>
        <v>4'. ダークサムス</v>
      </c>
      <c r="O6" s="3674" t="s">
        <v>6555</v>
      </c>
      <c r="P6" s="3674" t="s">
        <v>6556</v>
      </c>
      <c r="Q6" s="3674" t="s">
        <v>6557</v>
      </c>
      <c r="R6" s="3674" t="s">
        <v>3876</v>
      </c>
      <c r="S6" s="3676">
        <v>5.0</v>
      </c>
      <c r="T6" s="3677">
        <v>72.0</v>
      </c>
      <c r="U6" s="3676" t="s">
        <v>76</v>
      </c>
      <c r="V6" s="3678" t="s">
        <v>6563</v>
      </c>
    </row>
    <row r="7">
      <c r="A7" s="3672">
        <v>5.0</v>
      </c>
      <c r="B7" s="3673" t="s">
        <v>6564</v>
      </c>
      <c r="C7" s="3674" t="s">
        <v>6565</v>
      </c>
      <c r="D7" s="3674" t="s">
        <v>6566</v>
      </c>
      <c r="E7" s="3674" t="s">
        <v>6566</v>
      </c>
      <c r="F7" s="3674" t="s">
        <v>6567</v>
      </c>
      <c r="G7" s="3674"/>
      <c r="H7" s="3674"/>
      <c r="I7" s="3674"/>
      <c r="J7" s="3674"/>
      <c r="K7" s="3674"/>
      <c r="L7" s="3675" t="s">
        <v>6568</v>
      </c>
      <c r="M7" s="3674" t="s">
        <v>209</v>
      </c>
      <c r="N7" s="3674" t="str">
        <f t="shared" si="1"/>
        <v>5. ヨッシー</v>
      </c>
      <c r="O7" s="3674" t="s">
        <v>6569</v>
      </c>
      <c r="P7" s="3674" t="s">
        <v>6570</v>
      </c>
      <c r="Q7" s="3674" t="s">
        <v>6571</v>
      </c>
      <c r="R7" s="3674" t="s">
        <v>6572</v>
      </c>
      <c r="S7" s="3676">
        <v>6.0</v>
      </c>
      <c r="T7" s="3677">
        <v>4.0</v>
      </c>
      <c r="U7" s="3676">
        <v>5.0</v>
      </c>
      <c r="V7" s="3678" t="s">
        <v>6573</v>
      </c>
    </row>
    <row r="8">
      <c r="A8" s="3672">
        <v>6.0</v>
      </c>
      <c r="B8" s="3673" t="s">
        <v>6574</v>
      </c>
      <c r="C8" s="3674" t="s">
        <v>6575</v>
      </c>
      <c r="D8" s="3674" t="s">
        <v>6576</v>
      </c>
      <c r="E8" s="3674" t="s">
        <v>6576</v>
      </c>
      <c r="F8" s="3674" t="s">
        <v>6577</v>
      </c>
      <c r="G8" s="3674"/>
      <c r="H8" s="3674"/>
      <c r="I8" s="3674"/>
      <c r="J8" s="3674"/>
      <c r="K8" s="3674"/>
      <c r="L8" s="3675" t="s">
        <v>6578</v>
      </c>
      <c r="M8" s="3674" t="s">
        <v>209</v>
      </c>
      <c r="N8" s="3674" t="str">
        <f t="shared" si="1"/>
        <v>6. カービィ</v>
      </c>
      <c r="O8" s="3674" t="s">
        <v>750</v>
      </c>
      <c r="P8" s="3674" t="s">
        <v>1377</v>
      </c>
      <c r="Q8" s="3674" t="s">
        <v>6579</v>
      </c>
      <c r="R8" s="3674" t="s">
        <v>6580</v>
      </c>
      <c r="S8" s="3676">
        <v>7.0</v>
      </c>
      <c r="T8" s="3677">
        <v>5.0</v>
      </c>
      <c r="U8" s="3676">
        <v>25.0</v>
      </c>
      <c r="V8" s="3678" t="s">
        <v>6576</v>
      </c>
    </row>
    <row r="9">
      <c r="A9" s="3672">
        <v>7.0</v>
      </c>
      <c r="B9" s="3673" t="s">
        <v>6581</v>
      </c>
      <c r="C9" s="3674" t="s">
        <v>6582</v>
      </c>
      <c r="D9" s="3674" t="s">
        <v>6583</v>
      </c>
      <c r="E9" s="3674" t="s">
        <v>6584</v>
      </c>
      <c r="F9" s="3674" t="s">
        <v>6585</v>
      </c>
      <c r="G9" s="3674"/>
      <c r="H9" s="3674"/>
      <c r="I9" s="3674"/>
      <c r="J9" s="3674"/>
      <c r="K9" s="3674"/>
      <c r="L9" s="3675" t="s">
        <v>6586</v>
      </c>
      <c r="M9" s="3674" t="s">
        <v>213</v>
      </c>
      <c r="N9" s="3674" t="str">
        <f t="shared" si="1"/>
        <v>7. フォックス</v>
      </c>
      <c r="O9" s="3674" t="s">
        <v>866</v>
      </c>
      <c r="P9" s="3674" t="s">
        <v>6587</v>
      </c>
      <c r="Q9" s="3674" t="s">
        <v>6588</v>
      </c>
      <c r="R9" s="3674" t="s">
        <v>6589</v>
      </c>
      <c r="S9" s="3676">
        <v>8.0</v>
      </c>
      <c r="T9" s="3677">
        <v>6.0</v>
      </c>
      <c r="U9" s="3676">
        <v>28.0</v>
      </c>
      <c r="V9" s="3678" t="s">
        <v>6583</v>
      </c>
    </row>
    <row r="10">
      <c r="A10" s="3672">
        <v>8.0</v>
      </c>
      <c r="B10" s="3673" t="s">
        <v>6590</v>
      </c>
      <c r="C10" s="3674" t="s">
        <v>6591</v>
      </c>
      <c r="D10" s="3674" t="s">
        <v>6592</v>
      </c>
      <c r="E10" s="3674" t="s">
        <v>6593</v>
      </c>
      <c r="F10" s="3674" t="s">
        <v>6594</v>
      </c>
      <c r="G10" s="3674"/>
      <c r="H10" s="3674"/>
      <c r="I10" s="3674"/>
      <c r="J10" s="3674"/>
      <c r="K10" s="3674"/>
      <c r="L10" s="3675" t="s">
        <v>6595</v>
      </c>
      <c r="M10" s="3674" t="s">
        <v>209</v>
      </c>
      <c r="N10" s="3674" t="str">
        <f t="shared" si="1"/>
        <v>8. ピカチュウ</v>
      </c>
      <c r="O10" s="3674" t="s">
        <v>6596</v>
      </c>
      <c r="P10" s="3674" t="s">
        <v>6597</v>
      </c>
      <c r="Q10" s="3674" t="s">
        <v>6598</v>
      </c>
      <c r="R10" s="3674" t="s">
        <v>6599</v>
      </c>
      <c r="S10" s="3676">
        <v>9.0</v>
      </c>
      <c r="T10" s="3677">
        <v>7.0</v>
      </c>
      <c r="U10" s="3676">
        <v>30.0</v>
      </c>
      <c r="V10" s="3678" t="s">
        <v>6592</v>
      </c>
    </row>
    <row r="11">
      <c r="A11" s="3672">
        <v>9.0</v>
      </c>
      <c r="B11" s="3673" t="s">
        <v>6600</v>
      </c>
      <c r="C11" s="3674" t="s">
        <v>6601</v>
      </c>
      <c r="D11" s="3674" t="s">
        <v>6602</v>
      </c>
      <c r="E11" s="3674" t="s">
        <v>6521</v>
      </c>
      <c r="F11" s="3674" t="s">
        <v>6603</v>
      </c>
      <c r="G11" s="3674"/>
      <c r="H11" s="3674"/>
      <c r="I11" s="3674"/>
      <c r="J11" s="3674"/>
      <c r="K11" s="3674"/>
      <c r="L11" s="3675" t="s">
        <v>6604</v>
      </c>
      <c r="M11" s="3674" t="s">
        <v>209</v>
      </c>
      <c r="N11" s="3674" t="str">
        <f t="shared" si="1"/>
        <v>9. ルイージ</v>
      </c>
      <c r="O11" s="3674" t="s">
        <v>6524</v>
      </c>
      <c r="P11" s="3674" t="s">
        <v>6605</v>
      </c>
      <c r="Q11" s="3674" t="s">
        <v>6526</v>
      </c>
      <c r="R11" s="3674" t="s">
        <v>6606</v>
      </c>
      <c r="S11" s="3676">
        <v>10.0</v>
      </c>
      <c r="T11" s="3677">
        <v>8.0</v>
      </c>
      <c r="U11" s="3676">
        <v>2.0</v>
      </c>
      <c r="V11" s="3678" t="s">
        <v>6602</v>
      </c>
    </row>
    <row r="12">
      <c r="A12" s="3672">
        <v>10.0</v>
      </c>
      <c r="B12" s="3673" t="s">
        <v>6607</v>
      </c>
      <c r="C12" s="3674" t="s">
        <v>6608</v>
      </c>
      <c r="D12" s="3674" t="s">
        <v>6609</v>
      </c>
      <c r="E12" s="3674" t="s">
        <v>6610</v>
      </c>
      <c r="F12" s="3674" t="s">
        <v>6611</v>
      </c>
      <c r="G12" s="3674"/>
      <c r="H12" s="3674"/>
      <c r="I12" s="3674"/>
      <c r="J12" s="3674"/>
      <c r="K12" s="3674"/>
      <c r="L12" s="3675" t="s">
        <v>6612</v>
      </c>
      <c r="M12" s="3674" t="s">
        <v>209</v>
      </c>
      <c r="N12" s="3674" t="str">
        <f t="shared" si="1"/>
        <v>10. ネス</v>
      </c>
      <c r="O12" s="3674" t="s">
        <v>6613</v>
      </c>
      <c r="P12" s="3674" t="s">
        <v>6614</v>
      </c>
      <c r="Q12" s="3674" t="s">
        <v>6615</v>
      </c>
      <c r="R12" s="3674" t="s">
        <v>6616</v>
      </c>
      <c r="S12" s="3676">
        <v>11.0</v>
      </c>
      <c r="T12" s="3677">
        <v>9.0</v>
      </c>
      <c r="U12" s="3676">
        <v>37.0</v>
      </c>
      <c r="V12" s="3678" t="s">
        <v>6609</v>
      </c>
    </row>
    <row r="13">
      <c r="A13" s="3672">
        <v>11.0</v>
      </c>
      <c r="B13" s="3673" t="s">
        <v>6617</v>
      </c>
      <c r="C13" s="3674" t="s">
        <v>6618</v>
      </c>
      <c r="D13" s="3674" t="s">
        <v>6619</v>
      </c>
      <c r="E13" s="3674" t="s">
        <v>6620</v>
      </c>
      <c r="F13" s="3674" t="s">
        <v>6621</v>
      </c>
      <c r="G13" s="3674"/>
      <c r="H13" s="3674"/>
      <c r="I13" s="3674"/>
      <c r="J13" s="3674"/>
      <c r="K13" s="3674"/>
      <c r="L13" s="3675" t="s">
        <v>6622</v>
      </c>
      <c r="M13" s="3674" t="s">
        <v>213</v>
      </c>
      <c r="N13" s="3674" t="str">
        <f t="shared" si="1"/>
        <v>11. キャプテン・ファルコン</v>
      </c>
      <c r="O13" s="3674" t="s">
        <v>6623</v>
      </c>
      <c r="P13" s="3674" t="s">
        <v>6624</v>
      </c>
      <c r="Q13" s="3674" t="s">
        <v>6625</v>
      </c>
      <c r="R13" s="3674" t="s">
        <v>6626</v>
      </c>
      <c r="S13" s="3676">
        <v>12.0</v>
      </c>
      <c r="T13" s="3677">
        <v>10.0</v>
      </c>
      <c r="U13" s="3676">
        <v>38.0</v>
      </c>
      <c r="V13" s="3678" t="s">
        <v>6627</v>
      </c>
    </row>
    <row r="14">
      <c r="A14" s="3672">
        <v>12.0</v>
      </c>
      <c r="B14" s="3673" t="s">
        <v>6628</v>
      </c>
      <c r="C14" s="3674" t="s">
        <v>6629</v>
      </c>
      <c r="D14" s="3674" t="s">
        <v>6630</v>
      </c>
      <c r="E14" s="3674" t="s">
        <v>6593</v>
      </c>
      <c r="F14" s="3674" t="s">
        <v>6631</v>
      </c>
      <c r="G14" s="3674"/>
      <c r="H14" s="3674"/>
      <c r="I14" s="3674"/>
      <c r="J14" s="3674"/>
      <c r="K14" s="3674"/>
      <c r="L14" s="3675" t="s">
        <v>6632</v>
      </c>
      <c r="M14" s="3674" t="s">
        <v>209</v>
      </c>
      <c r="N14" s="3674" t="str">
        <f t="shared" si="1"/>
        <v>12. プリン</v>
      </c>
      <c r="O14" s="3674" t="s">
        <v>6633</v>
      </c>
      <c r="P14" s="3674" t="s">
        <v>6634</v>
      </c>
      <c r="Q14" s="3674" t="s">
        <v>6635</v>
      </c>
      <c r="R14" s="3674" t="s">
        <v>6636</v>
      </c>
      <c r="S14" s="3676">
        <v>13.0</v>
      </c>
      <c r="T14" s="3677">
        <v>11.0</v>
      </c>
      <c r="U14" s="3676">
        <v>33.0</v>
      </c>
      <c r="V14" s="3678" t="s">
        <v>6630</v>
      </c>
    </row>
    <row r="15">
      <c r="A15" s="3672">
        <v>13.0</v>
      </c>
      <c r="B15" s="3673" t="s">
        <v>6637</v>
      </c>
      <c r="C15" s="3674" t="s">
        <v>6638</v>
      </c>
      <c r="D15" s="3674" t="s">
        <v>6639</v>
      </c>
      <c r="E15" s="3674" t="s">
        <v>6521</v>
      </c>
      <c r="F15" s="3674" t="s">
        <v>6640</v>
      </c>
      <c r="G15" s="3674"/>
      <c r="H15" s="3674"/>
      <c r="I15" s="3674"/>
      <c r="J15" s="3674"/>
      <c r="K15" s="3674"/>
      <c r="L15" s="3675" t="s">
        <v>6641</v>
      </c>
      <c r="M15" s="3674" t="s">
        <v>209</v>
      </c>
      <c r="N15" s="3674" t="str">
        <f t="shared" si="1"/>
        <v>13. ピーチ</v>
      </c>
      <c r="O15" s="3674" t="s">
        <v>6642</v>
      </c>
      <c r="P15" s="3674" t="s">
        <v>6643</v>
      </c>
      <c r="Q15" s="3674" t="s">
        <v>6644</v>
      </c>
      <c r="R15" s="3674" t="s">
        <v>6645</v>
      </c>
      <c r="S15" s="3676">
        <v>14.0</v>
      </c>
      <c r="T15" s="3677">
        <v>12.0</v>
      </c>
      <c r="U15" s="3676">
        <v>3.0</v>
      </c>
      <c r="V15" s="3678" t="s">
        <v>6639</v>
      </c>
    </row>
    <row r="16">
      <c r="A16" s="3672" t="s">
        <v>1282</v>
      </c>
      <c r="B16" s="3673" t="s">
        <v>6646</v>
      </c>
      <c r="C16" s="3674" t="s">
        <v>6647</v>
      </c>
      <c r="D16" s="3674" t="s">
        <v>6648</v>
      </c>
      <c r="E16" s="3674" t="s">
        <v>6521</v>
      </c>
      <c r="F16" s="3674" t="s">
        <v>6649</v>
      </c>
      <c r="G16" s="3674"/>
      <c r="H16" s="3674"/>
      <c r="I16" s="3674"/>
      <c r="J16" s="3674"/>
      <c r="K16" s="3674"/>
      <c r="L16" s="3675" t="s">
        <v>6650</v>
      </c>
      <c r="M16" s="3674" t="s">
        <v>209</v>
      </c>
      <c r="N16" s="3674" t="str">
        <f t="shared" si="1"/>
        <v>13'. デイジー</v>
      </c>
      <c r="O16" s="3674" t="s">
        <v>6642</v>
      </c>
      <c r="P16" s="3680" t="s">
        <v>6651</v>
      </c>
      <c r="Q16" s="3680" t="s">
        <v>6652</v>
      </c>
      <c r="R16" s="3674" t="s">
        <v>6645</v>
      </c>
      <c r="S16" s="3676">
        <v>15.0</v>
      </c>
      <c r="T16" s="3677">
        <v>73.0</v>
      </c>
      <c r="U16" s="3676" t="s">
        <v>76</v>
      </c>
      <c r="V16" s="3678" t="s">
        <v>6648</v>
      </c>
    </row>
    <row r="17">
      <c r="A17" s="3672">
        <v>14.0</v>
      </c>
      <c r="B17" s="3673" t="s">
        <v>6653</v>
      </c>
      <c r="C17" s="3674" t="s">
        <v>6654</v>
      </c>
      <c r="D17" s="3674" t="s">
        <v>6655</v>
      </c>
      <c r="E17" s="3674" t="s">
        <v>6521</v>
      </c>
      <c r="F17" s="3674" t="s">
        <v>6656</v>
      </c>
      <c r="G17" s="3674"/>
      <c r="H17" s="3674"/>
      <c r="I17" s="3674"/>
      <c r="J17" s="3674"/>
      <c r="K17" s="3674"/>
      <c r="L17" s="3675" t="s">
        <v>6657</v>
      </c>
      <c r="M17" s="3674" t="s">
        <v>213</v>
      </c>
      <c r="N17" s="3674" t="str">
        <f t="shared" si="1"/>
        <v>14. クッパ</v>
      </c>
      <c r="O17" s="3674" t="s">
        <v>6658</v>
      </c>
      <c r="P17" s="3680" t="s">
        <v>6659</v>
      </c>
      <c r="Q17" s="3674" t="s">
        <v>6660</v>
      </c>
      <c r="R17" s="3674" t="s">
        <v>6661</v>
      </c>
      <c r="S17" s="3676">
        <v>16.0</v>
      </c>
      <c r="T17" s="3677">
        <v>13.0</v>
      </c>
      <c r="U17" s="3676">
        <v>4.0</v>
      </c>
      <c r="V17" s="3678" t="s">
        <v>6655</v>
      </c>
    </row>
    <row r="18">
      <c r="A18" s="3672">
        <v>15.0</v>
      </c>
      <c r="B18" s="3673" t="s">
        <v>6662</v>
      </c>
      <c r="C18" s="3674" t="s">
        <v>6663</v>
      </c>
      <c r="D18" s="3674" t="s">
        <v>6664</v>
      </c>
      <c r="E18" s="3674" t="s">
        <v>6665</v>
      </c>
      <c r="F18" s="3674" t="s">
        <v>6666</v>
      </c>
      <c r="G18" s="3674"/>
      <c r="H18" s="3674"/>
      <c r="I18" s="3674"/>
      <c r="J18" s="3674"/>
      <c r="K18" s="3674"/>
      <c r="L18" s="3675" t="s">
        <v>6667</v>
      </c>
      <c r="M18" s="3674" t="s">
        <v>209</v>
      </c>
      <c r="N18" s="3674" t="str">
        <f t="shared" si="1"/>
        <v>15. アイスクライマー</v>
      </c>
      <c r="O18" s="3680" t="s">
        <v>6668</v>
      </c>
      <c r="P18" s="3680" t="s">
        <v>6669</v>
      </c>
      <c r="Q18" s="3680" t="s">
        <v>6670</v>
      </c>
      <c r="R18" s="3680" t="s">
        <v>6671</v>
      </c>
      <c r="S18" s="3676">
        <v>17.0</v>
      </c>
      <c r="T18" s="3677">
        <v>14.0</v>
      </c>
      <c r="U18" s="3676" t="s">
        <v>76</v>
      </c>
      <c r="V18" s="3678" t="s">
        <v>6672</v>
      </c>
    </row>
    <row r="19">
      <c r="A19" s="3672">
        <v>16.0</v>
      </c>
      <c r="B19" s="3673" t="s">
        <v>6673</v>
      </c>
      <c r="C19" s="3674" t="s">
        <v>6674</v>
      </c>
      <c r="D19" s="3674" t="s">
        <v>6675</v>
      </c>
      <c r="E19" s="3674" t="s">
        <v>6542</v>
      </c>
      <c r="F19" s="3674" t="s">
        <v>6676</v>
      </c>
      <c r="G19" s="3674"/>
      <c r="H19" s="3674"/>
      <c r="I19" s="3674"/>
      <c r="J19" s="3674"/>
      <c r="K19" s="3674"/>
      <c r="L19" s="3675" t="s">
        <v>6677</v>
      </c>
      <c r="M19" s="3674" t="s">
        <v>213</v>
      </c>
      <c r="N19" s="3674" t="str">
        <f t="shared" si="1"/>
        <v>16. シーク</v>
      </c>
      <c r="O19" s="3674" t="s">
        <v>6678</v>
      </c>
      <c r="P19" s="3674" t="s">
        <v>6679</v>
      </c>
      <c r="Q19" s="3674" t="s">
        <v>6680</v>
      </c>
      <c r="R19" s="3674" t="s">
        <v>6681</v>
      </c>
      <c r="S19" s="3676">
        <v>18.0</v>
      </c>
      <c r="T19" s="3677">
        <v>16.0</v>
      </c>
      <c r="U19" s="3676">
        <v>15.0</v>
      </c>
      <c r="V19" s="3678" t="s">
        <v>6675</v>
      </c>
    </row>
    <row r="20">
      <c r="A20" s="3672">
        <v>17.0</v>
      </c>
      <c r="B20" s="3673" t="s">
        <v>6682</v>
      </c>
      <c r="C20" s="3674" t="s">
        <v>6683</v>
      </c>
      <c r="D20" s="3674" t="s">
        <v>6542</v>
      </c>
      <c r="E20" s="3674" t="s">
        <v>6542</v>
      </c>
      <c r="F20" s="3674" t="s">
        <v>6684</v>
      </c>
      <c r="G20" s="3674"/>
      <c r="H20" s="3674"/>
      <c r="I20" s="3674"/>
      <c r="J20" s="3674"/>
      <c r="K20" s="3674"/>
      <c r="L20" s="3675" t="s">
        <v>6685</v>
      </c>
      <c r="M20" s="3674" t="s">
        <v>209</v>
      </c>
      <c r="N20" s="3674" t="str">
        <f t="shared" si="1"/>
        <v>17. ゼルダ</v>
      </c>
      <c r="O20" s="3674" t="s">
        <v>6686</v>
      </c>
      <c r="P20" s="3674" t="s">
        <v>6687</v>
      </c>
      <c r="Q20" s="3674" t="s">
        <v>6688</v>
      </c>
      <c r="R20" s="3674" t="s">
        <v>6689</v>
      </c>
      <c r="S20" s="3676">
        <v>19.0</v>
      </c>
      <c r="T20" s="3677">
        <v>17.0</v>
      </c>
      <c r="U20" s="3676">
        <v>14.0</v>
      </c>
      <c r="V20" s="3678" t="s">
        <v>6542</v>
      </c>
    </row>
    <row r="21">
      <c r="A21" s="3672">
        <v>18.0</v>
      </c>
      <c r="B21" s="3673" t="s">
        <v>6690</v>
      </c>
      <c r="C21" s="3674" t="s">
        <v>6691</v>
      </c>
      <c r="D21" s="3674" t="s">
        <v>6692</v>
      </c>
      <c r="E21" s="3674" t="s">
        <v>6521</v>
      </c>
      <c r="F21" s="3674" t="s">
        <v>6693</v>
      </c>
      <c r="G21" s="3674"/>
      <c r="H21" s="3674"/>
      <c r="I21" s="3674"/>
      <c r="J21" s="3674"/>
      <c r="K21" s="3674"/>
      <c r="L21" s="3675" t="s">
        <v>6694</v>
      </c>
      <c r="M21" s="3674" t="s">
        <v>209</v>
      </c>
      <c r="N21" s="3674" t="str">
        <f t="shared" si="1"/>
        <v>18. ドクターマリオ</v>
      </c>
      <c r="O21" s="3674" t="s">
        <v>6695</v>
      </c>
      <c r="P21" s="3674" t="s">
        <v>6696</v>
      </c>
      <c r="Q21" s="3674" t="s">
        <v>6526</v>
      </c>
      <c r="R21" s="3674" t="s">
        <v>6697</v>
      </c>
      <c r="S21" s="3676">
        <v>20.0</v>
      </c>
      <c r="T21" s="3677">
        <v>18.0</v>
      </c>
      <c r="U21" s="3676">
        <v>43.0</v>
      </c>
      <c r="V21" s="3678" t="s">
        <v>6698</v>
      </c>
    </row>
    <row r="22">
      <c r="A22" s="3672">
        <v>19.0</v>
      </c>
      <c r="B22" s="3673" t="s">
        <v>6699</v>
      </c>
      <c r="C22" s="3674" t="s">
        <v>6700</v>
      </c>
      <c r="D22" s="3674" t="s">
        <v>6701</v>
      </c>
      <c r="E22" s="3674" t="s">
        <v>6593</v>
      </c>
      <c r="F22" s="3674" t="s">
        <v>6702</v>
      </c>
      <c r="G22" s="3674"/>
      <c r="H22" s="3674"/>
      <c r="I22" s="3674"/>
      <c r="J22" s="3674"/>
      <c r="K22" s="3674"/>
      <c r="L22" s="3675" t="s">
        <v>6703</v>
      </c>
      <c r="M22" s="3674" t="s">
        <v>209</v>
      </c>
      <c r="N22" s="3674" t="str">
        <f t="shared" si="1"/>
        <v>19. ピチュー</v>
      </c>
      <c r="O22" s="3674" t="s">
        <v>6596</v>
      </c>
      <c r="P22" s="3674" t="s">
        <v>6597</v>
      </c>
      <c r="Q22" s="3680" t="s">
        <v>6704</v>
      </c>
      <c r="R22" s="3674" t="s">
        <v>6599</v>
      </c>
      <c r="S22" s="3676">
        <v>21.0</v>
      </c>
      <c r="T22" s="3677">
        <v>19.0</v>
      </c>
      <c r="U22" s="3676" t="s">
        <v>76</v>
      </c>
      <c r="V22" s="3678" t="s">
        <v>6701</v>
      </c>
    </row>
    <row r="23">
      <c r="A23" s="3672">
        <v>20.0</v>
      </c>
      <c r="B23" s="3673" t="s">
        <v>6705</v>
      </c>
      <c r="C23" s="3674" t="s">
        <v>6706</v>
      </c>
      <c r="D23" s="3674" t="s">
        <v>6707</v>
      </c>
      <c r="E23" s="3674" t="s">
        <v>6584</v>
      </c>
      <c r="F23" s="3674" t="s">
        <v>6708</v>
      </c>
      <c r="G23" s="3674"/>
      <c r="H23" s="3674"/>
      <c r="I23" s="3674"/>
      <c r="J23" s="3674"/>
      <c r="K23" s="3674"/>
      <c r="L23" s="3675" t="s">
        <v>6709</v>
      </c>
      <c r="M23" s="3674" t="s">
        <v>213</v>
      </c>
      <c r="N23" s="3674" t="str">
        <f t="shared" si="1"/>
        <v>20. ファルコ</v>
      </c>
      <c r="O23" s="3674" t="s">
        <v>866</v>
      </c>
      <c r="P23" s="3674" t="s">
        <v>6710</v>
      </c>
      <c r="Q23" s="3674" t="s">
        <v>6711</v>
      </c>
      <c r="R23" s="3674" t="s">
        <v>6712</v>
      </c>
      <c r="S23" s="3676">
        <v>22.0</v>
      </c>
      <c r="T23" s="3677">
        <v>20.0</v>
      </c>
      <c r="U23" s="3676">
        <v>29.0</v>
      </c>
      <c r="V23" s="3678" t="s">
        <v>6707</v>
      </c>
    </row>
    <row r="24">
      <c r="A24" s="3672">
        <v>21.0</v>
      </c>
      <c r="B24" s="3673" t="s">
        <v>6713</v>
      </c>
      <c r="C24" s="3674" t="s">
        <v>6714</v>
      </c>
      <c r="D24" s="3674" t="s">
        <v>6715</v>
      </c>
      <c r="E24" s="3674" t="s">
        <v>6716</v>
      </c>
      <c r="F24" s="3674" t="s">
        <v>6717</v>
      </c>
      <c r="G24" s="3674"/>
      <c r="H24" s="3674"/>
      <c r="I24" s="3674"/>
      <c r="J24" s="3674"/>
      <c r="K24" s="3674"/>
      <c r="L24" s="3675" t="s">
        <v>6718</v>
      </c>
      <c r="M24" s="3674" t="s">
        <v>213</v>
      </c>
      <c r="N24" s="3674" t="str">
        <f t="shared" si="1"/>
        <v>21. マルス</v>
      </c>
      <c r="O24" s="3674" t="s">
        <v>6719</v>
      </c>
      <c r="P24" s="3674" t="s">
        <v>6720</v>
      </c>
      <c r="Q24" s="3674" t="s">
        <v>6721</v>
      </c>
      <c r="R24" s="3674" t="s">
        <v>1242</v>
      </c>
      <c r="S24" s="3676">
        <v>23.0</v>
      </c>
      <c r="T24" s="3677">
        <v>21.0</v>
      </c>
      <c r="U24" s="3676">
        <v>22.0</v>
      </c>
      <c r="V24" s="3678" t="s">
        <v>6715</v>
      </c>
    </row>
    <row r="25">
      <c r="A25" s="3672" t="s">
        <v>1848</v>
      </c>
      <c r="B25" s="3673" t="s">
        <v>6722</v>
      </c>
      <c r="C25" s="3674" t="s">
        <v>6723</v>
      </c>
      <c r="D25" s="3674" t="s">
        <v>6724</v>
      </c>
      <c r="E25" s="3674" t="s">
        <v>6716</v>
      </c>
      <c r="F25" s="3674" t="s">
        <v>6725</v>
      </c>
      <c r="G25" s="3674"/>
      <c r="H25" s="3674"/>
      <c r="I25" s="3674"/>
      <c r="J25" s="3674"/>
      <c r="K25" s="3674"/>
      <c r="L25" s="3675" t="s">
        <v>6726</v>
      </c>
      <c r="M25" s="3674" t="s">
        <v>213</v>
      </c>
      <c r="N25" s="3674" t="str">
        <f t="shared" si="1"/>
        <v>21'. ルキナ</v>
      </c>
      <c r="O25" s="3674" t="s">
        <v>6719</v>
      </c>
      <c r="P25" s="3674" t="s">
        <v>6720</v>
      </c>
      <c r="Q25" s="3674" t="s">
        <v>6721</v>
      </c>
      <c r="R25" s="3674" t="s">
        <v>1242</v>
      </c>
      <c r="S25" s="3676">
        <v>24.0</v>
      </c>
      <c r="T25" s="3677">
        <v>74.0</v>
      </c>
      <c r="U25" s="3676">
        <v>45.0</v>
      </c>
      <c r="V25" s="3678" t="s">
        <v>6724</v>
      </c>
    </row>
    <row r="26">
      <c r="A26" s="3672">
        <v>22.0</v>
      </c>
      <c r="B26" s="3673" t="s">
        <v>6727</v>
      </c>
      <c r="C26" s="3674" t="s">
        <v>6728</v>
      </c>
      <c r="D26" s="3674" t="s">
        <v>6729</v>
      </c>
      <c r="E26" s="3674" t="s">
        <v>6542</v>
      </c>
      <c r="F26" s="3674" t="s">
        <v>6730</v>
      </c>
      <c r="G26" s="3674"/>
      <c r="H26" s="3674"/>
      <c r="I26" s="3674"/>
      <c r="J26" s="3674"/>
      <c r="K26" s="3674"/>
      <c r="L26" s="3675" t="s">
        <v>6731</v>
      </c>
      <c r="M26" s="3674" t="s">
        <v>209</v>
      </c>
      <c r="N26" s="3674" t="str">
        <f t="shared" si="1"/>
        <v>22. こどもリンク</v>
      </c>
      <c r="O26" s="3680" t="s">
        <v>6732</v>
      </c>
      <c r="P26" s="3680" t="s">
        <v>6546</v>
      </c>
      <c r="Q26" s="3674" t="s">
        <v>6547</v>
      </c>
      <c r="R26" s="3680" t="s">
        <v>6733</v>
      </c>
      <c r="S26" s="3676">
        <v>25.0</v>
      </c>
      <c r="T26" s="3677">
        <v>22.0</v>
      </c>
      <c r="U26" s="3676" t="s">
        <v>76</v>
      </c>
      <c r="V26" s="3678" t="s">
        <v>6566</v>
      </c>
    </row>
    <row r="27">
      <c r="A27" s="3672">
        <v>23.0</v>
      </c>
      <c r="B27" s="3673" t="s">
        <v>6734</v>
      </c>
      <c r="C27" s="3674" t="s">
        <v>6735</v>
      </c>
      <c r="D27" s="3674" t="s">
        <v>6736</v>
      </c>
      <c r="E27" s="3674" t="s">
        <v>6542</v>
      </c>
      <c r="F27" s="3674" t="s">
        <v>6737</v>
      </c>
      <c r="G27" s="3674"/>
      <c r="H27" s="3674"/>
      <c r="I27" s="3674"/>
      <c r="J27" s="3674"/>
      <c r="K27" s="3674"/>
      <c r="L27" s="3675" t="s">
        <v>6738</v>
      </c>
      <c r="M27" s="3674" t="s">
        <v>213</v>
      </c>
      <c r="N27" s="3674" t="str">
        <f t="shared" si="1"/>
        <v>23. ガノンドロフ</v>
      </c>
      <c r="O27" s="3674" t="s">
        <v>6739</v>
      </c>
      <c r="P27" s="3674" t="s">
        <v>6740</v>
      </c>
      <c r="Q27" s="3674" t="s">
        <v>6741</v>
      </c>
      <c r="R27" s="3674" t="s">
        <v>6742</v>
      </c>
      <c r="S27" s="3676">
        <v>26.0</v>
      </c>
      <c r="T27" s="3677">
        <v>23.0</v>
      </c>
      <c r="U27" s="3676">
        <v>16.0</v>
      </c>
      <c r="V27" s="3678" t="s">
        <v>6743</v>
      </c>
    </row>
    <row r="28">
      <c r="A28" s="3672">
        <v>24.0</v>
      </c>
      <c r="B28" s="3673" t="s">
        <v>6744</v>
      </c>
      <c r="C28" s="3674" t="s">
        <v>6745</v>
      </c>
      <c r="D28" s="3674" t="s">
        <v>6746</v>
      </c>
      <c r="E28" s="3674" t="s">
        <v>6593</v>
      </c>
      <c r="F28" s="3674" t="s">
        <v>6747</v>
      </c>
      <c r="G28" s="3674"/>
      <c r="H28" s="3674"/>
      <c r="I28" s="3674"/>
      <c r="J28" s="3674"/>
      <c r="K28" s="3674"/>
      <c r="L28" s="3675" t="s">
        <v>6748</v>
      </c>
      <c r="M28" s="3674" t="s">
        <v>213</v>
      </c>
      <c r="N28" s="3674" t="str">
        <f t="shared" si="1"/>
        <v>24. ミュウツー</v>
      </c>
      <c r="O28" s="3674" t="s">
        <v>6749</v>
      </c>
      <c r="P28" s="3674" t="s">
        <v>6750</v>
      </c>
      <c r="Q28" s="3674" t="s">
        <v>6751</v>
      </c>
      <c r="R28" s="3674" t="s">
        <v>6752</v>
      </c>
      <c r="S28" s="3676">
        <v>27.0</v>
      </c>
      <c r="T28" s="3677">
        <v>24.0</v>
      </c>
      <c r="U28" s="3676">
        <v>49.0</v>
      </c>
      <c r="V28" s="3678" t="s">
        <v>6746</v>
      </c>
    </row>
    <row r="29">
      <c r="A29" s="3672">
        <v>25.0</v>
      </c>
      <c r="B29" s="3673" t="s">
        <v>6753</v>
      </c>
      <c r="C29" s="3674" t="s">
        <v>6754</v>
      </c>
      <c r="D29" s="3674" t="s">
        <v>6755</v>
      </c>
      <c r="E29" s="3674" t="s">
        <v>6716</v>
      </c>
      <c r="F29" s="3674" t="s">
        <v>6756</v>
      </c>
      <c r="G29" s="3674"/>
      <c r="H29" s="3674"/>
      <c r="I29" s="3674"/>
      <c r="J29" s="3674"/>
      <c r="K29" s="3674"/>
      <c r="L29" s="3675" t="s">
        <v>6757</v>
      </c>
      <c r="M29" s="3674" t="s">
        <v>213</v>
      </c>
      <c r="N29" s="3674" t="str">
        <f t="shared" si="1"/>
        <v>25. ロイ</v>
      </c>
      <c r="O29" s="3674" t="s">
        <v>6758</v>
      </c>
      <c r="P29" s="3674" t="s">
        <v>6720</v>
      </c>
      <c r="Q29" s="3674" t="s">
        <v>6759</v>
      </c>
      <c r="R29" s="3674" t="s">
        <v>1242</v>
      </c>
      <c r="S29" s="3676">
        <v>28.0</v>
      </c>
      <c r="T29" s="3677">
        <v>25.0</v>
      </c>
      <c r="U29" s="3676">
        <v>51.0</v>
      </c>
      <c r="V29" s="3678" t="s">
        <v>6755</v>
      </c>
    </row>
    <row r="30">
      <c r="A30" s="3672" t="s">
        <v>2133</v>
      </c>
      <c r="B30" s="3673" t="s">
        <v>6760</v>
      </c>
      <c r="C30" s="3674" t="s">
        <v>6761</v>
      </c>
      <c r="D30" s="3674" t="s">
        <v>6762</v>
      </c>
      <c r="E30" s="3674" t="s">
        <v>6716</v>
      </c>
      <c r="F30" s="3680" t="s">
        <v>6763</v>
      </c>
      <c r="G30" s="3674"/>
      <c r="H30" s="3674"/>
      <c r="I30" s="3674"/>
      <c r="J30" s="3674"/>
      <c r="K30" s="3674"/>
      <c r="L30" s="3675" t="s">
        <v>6764</v>
      </c>
      <c r="M30" s="3674" t="s">
        <v>213</v>
      </c>
      <c r="N30" s="3674" t="str">
        <f t="shared" si="1"/>
        <v>25'. クロム</v>
      </c>
      <c r="O30" s="3674" t="s">
        <v>6758</v>
      </c>
      <c r="P30" s="3674" t="s">
        <v>6720</v>
      </c>
      <c r="Q30" s="3680" t="s">
        <v>6765</v>
      </c>
      <c r="R30" s="3674" t="s">
        <v>1242</v>
      </c>
      <c r="S30" s="3676">
        <v>29.0</v>
      </c>
      <c r="T30" s="3677">
        <v>75.0</v>
      </c>
      <c r="U30" s="3676" t="s">
        <v>76</v>
      </c>
      <c r="V30" s="3678" t="s">
        <v>6762</v>
      </c>
    </row>
    <row r="31">
      <c r="A31" s="3672">
        <v>26.0</v>
      </c>
      <c r="B31" s="3681" t="s">
        <v>6766</v>
      </c>
      <c r="C31" s="3674" t="s">
        <v>6767</v>
      </c>
      <c r="D31" s="3674" t="s">
        <v>6768</v>
      </c>
      <c r="E31" s="3674" t="s">
        <v>6769</v>
      </c>
      <c r="F31" s="3674" t="s">
        <v>6770</v>
      </c>
      <c r="G31" s="3674"/>
      <c r="H31" s="3674"/>
      <c r="I31" s="3674"/>
      <c r="J31" s="3674"/>
      <c r="K31" s="3674"/>
      <c r="L31" s="3675" t="s">
        <v>6771</v>
      </c>
      <c r="M31" s="3674" t="s">
        <v>209</v>
      </c>
      <c r="N31" s="3674" t="str">
        <f t="shared" si="1"/>
        <v>26. Mr. ゲーム&amp;ウォッチ</v>
      </c>
      <c r="O31" s="3674" t="s">
        <v>6772</v>
      </c>
      <c r="P31" s="3674" t="s">
        <v>6773</v>
      </c>
      <c r="Q31" s="3674" t="s">
        <v>6774</v>
      </c>
      <c r="R31" s="3674" t="s">
        <v>6775</v>
      </c>
      <c r="S31" s="3676">
        <v>30.0</v>
      </c>
      <c r="T31" s="3677">
        <v>26.0</v>
      </c>
      <c r="U31" s="3676">
        <v>11.0</v>
      </c>
      <c r="V31" s="3678" t="s">
        <v>6769</v>
      </c>
    </row>
    <row r="32">
      <c r="A32" s="3672">
        <v>27.0</v>
      </c>
      <c r="B32" s="3673" t="s">
        <v>6776</v>
      </c>
      <c r="C32" s="3674" t="s">
        <v>6777</v>
      </c>
      <c r="D32" s="3674" t="s">
        <v>6778</v>
      </c>
      <c r="E32" s="3674" t="s">
        <v>6576</v>
      </c>
      <c r="F32" s="3674" t="s">
        <v>6779</v>
      </c>
      <c r="G32" s="3674"/>
      <c r="H32" s="3674"/>
      <c r="I32" s="3674"/>
      <c r="J32" s="3674"/>
      <c r="K32" s="3674"/>
      <c r="L32" s="3675" t="s">
        <v>6780</v>
      </c>
      <c r="M32" s="3674" t="s">
        <v>213</v>
      </c>
      <c r="N32" s="3674" t="str">
        <f t="shared" si="1"/>
        <v>27. メタナイト</v>
      </c>
      <c r="O32" s="3674" t="s">
        <v>6781</v>
      </c>
      <c r="P32" s="3674" t="s">
        <v>6782</v>
      </c>
      <c r="Q32" s="3674" t="s">
        <v>6783</v>
      </c>
      <c r="R32" s="3674" t="s">
        <v>6784</v>
      </c>
      <c r="S32" s="3676">
        <v>31.0</v>
      </c>
      <c r="T32" s="3677">
        <v>27.0</v>
      </c>
      <c r="U32" s="3676">
        <v>27.0</v>
      </c>
      <c r="V32" s="3678" t="s">
        <v>6785</v>
      </c>
    </row>
    <row r="33">
      <c r="A33" s="3672">
        <v>28.0</v>
      </c>
      <c r="B33" s="3673" t="s">
        <v>6786</v>
      </c>
      <c r="C33" s="3674" t="s">
        <v>6787</v>
      </c>
      <c r="D33" s="3674" t="s">
        <v>6788</v>
      </c>
      <c r="E33" s="3674" t="s">
        <v>6789</v>
      </c>
      <c r="F33" s="3674" t="s">
        <v>6790</v>
      </c>
      <c r="G33" s="3674"/>
      <c r="H33" s="3674"/>
      <c r="I33" s="3674"/>
      <c r="J33" s="3674"/>
      <c r="K33" s="3674"/>
      <c r="L33" s="3675" t="s">
        <v>6791</v>
      </c>
      <c r="M33" s="3674" t="s">
        <v>209</v>
      </c>
      <c r="N33" s="3674" t="str">
        <f t="shared" si="1"/>
        <v>28. ピット</v>
      </c>
      <c r="O33" s="3674" t="s">
        <v>6792</v>
      </c>
      <c r="P33" s="3674" t="s">
        <v>6793</v>
      </c>
      <c r="Q33" s="3674" t="s">
        <v>6794</v>
      </c>
      <c r="R33" s="3674" t="s">
        <v>6795</v>
      </c>
      <c r="S33" s="3676">
        <v>32.0</v>
      </c>
      <c r="T33" s="3677">
        <v>28.0</v>
      </c>
      <c r="U33" s="3676">
        <v>20.0</v>
      </c>
      <c r="V33" s="3678" t="s">
        <v>6788</v>
      </c>
    </row>
    <row r="34">
      <c r="A34" s="3672" t="s">
        <v>2305</v>
      </c>
      <c r="B34" s="3673" t="s">
        <v>6796</v>
      </c>
      <c r="C34" s="3674" t="s">
        <v>6797</v>
      </c>
      <c r="D34" s="3674" t="s">
        <v>6798</v>
      </c>
      <c r="E34" s="3674" t="s">
        <v>6789</v>
      </c>
      <c r="F34" s="3674" t="s">
        <v>6799</v>
      </c>
      <c r="G34" s="3674"/>
      <c r="H34" s="3674"/>
      <c r="I34" s="3674"/>
      <c r="J34" s="3674"/>
      <c r="K34" s="3674"/>
      <c r="L34" s="3675" t="s">
        <v>6800</v>
      </c>
      <c r="M34" s="3674" t="s">
        <v>213</v>
      </c>
      <c r="N34" s="3674" t="str">
        <f t="shared" si="1"/>
        <v>28'. ブラックピット</v>
      </c>
      <c r="O34" s="3674" t="s">
        <v>6801</v>
      </c>
      <c r="P34" s="3674" t="s">
        <v>6802</v>
      </c>
      <c r="Q34" s="3674" t="s">
        <v>6794</v>
      </c>
      <c r="R34" s="3674" t="s">
        <v>6795</v>
      </c>
      <c r="S34" s="3676">
        <v>33.0</v>
      </c>
      <c r="T34" s="3677">
        <v>76.0</v>
      </c>
      <c r="U34" s="3676">
        <v>44.0</v>
      </c>
      <c r="V34" s="3678" t="s">
        <v>6803</v>
      </c>
    </row>
    <row r="35">
      <c r="A35" s="3672">
        <v>29.0</v>
      </c>
      <c r="B35" s="3673" t="s">
        <v>6804</v>
      </c>
      <c r="C35" s="3674" t="s">
        <v>6805</v>
      </c>
      <c r="D35" s="3674" t="s">
        <v>6806</v>
      </c>
      <c r="E35" s="3674" t="s">
        <v>6552</v>
      </c>
      <c r="F35" s="3674" t="s">
        <v>6807</v>
      </c>
      <c r="G35" s="3674"/>
      <c r="H35" s="3674"/>
      <c r="I35" s="3674"/>
      <c r="J35" s="3674"/>
      <c r="K35" s="3674"/>
      <c r="L35" s="3675" t="s">
        <v>6808</v>
      </c>
      <c r="M35" s="3674" t="s">
        <v>213</v>
      </c>
      <c r="N35" s="3674" t="str">
        <f t="shared" si="1"/>
        <v>29. ゼロスーツサムス</v>
      </c>
      <c r="O35" s="3674" t="s">
        <v>6809</v>
      </c>
      <c r="P35" s="3674" t="s">
        <v>6810</v>
      </c>
      <c r="Q35" s="3674" t="s">
        <v>6811</v>
      </c>
      <c r="R35" s="3674" t="s">
        <v>6812</v>
      </c>
      <c r="S35" s="3676">
        <v>34.0</v>
      </c>
      <c r="T35" s="3677">
        <v>29.0</v>
      </c>
      <c r="U35" s="3676">
        <v>19.0</v>
      </c>
      <c r="V35" s="3678" t="s">
        <v>6813</v>
      </c>
    </row>
    <row r="36">
      <c r="A36" s="3672">
        <v>30.0</v>
      </c>
      <c r="B36" s="3673" t="s">
        <v>6814</v>
      </c>
      <c r="C36" s="3674" t="s">
        <v>6815</v>
      </c>
      <c r="D36" s="3674" t="s">
        <v>6816</v>
      </c>
      <c r="E36" s="3674" t="s">
        <v>6816</v>
      </c>
      <c r="F36" s="3674" t="s">
        <v>6817</v>
      </c>
      <c r="G36" s="3674"/>
      <c r="H36" s="3674"/>
      <c r="I36" s="3674"/>
      <c r="J36" s="3674"/>
      <c r="K36" s="3674"/>
      <c r="L36" s="3675" t="s">
        <v>6818</v>
      </c>
      <c r="M36" s="3674" t="s">
        <v>209</v>
      </c>
      <c r="N36" s="3674" t="str">
        <f t="shared" si="1"/>
        <v>30. ワリオ</v>
      </c>
      <c r="O36" s="3674" t="s">
        <v>6819</v>
      </c>
      <c r="P36" s="3674" t="s">
        <v>6820</v>
      </c>
      <c r="Q36" s="3674" t="s">
        <v>6821</v>
      </c>
      <c r="R36" s="3674" t="s">
        <v>6822</v>
      </c>
      <c r="S36" s="3676">
        <v>35.0</v>
      </c>
      <c r="T36" s="3677">
        <v>30.0</v>
      </c>
      <c r="U36" s="3676">
        <v>8.0</v>
      </c>
      <c r="V36" s="3678" t="s">
        <v>6816</v>
      </c>
    </row>
    <row r="37">
      <c r="A37" s="3672">
        <v>31.0</v>
      </c>
      <c r="B37" s="3673" t="s">
        <v>6823</v>
      </c>
      <c r="C37" s="3674" t="s">
        <v>6824</v>
      </c>
      <c r="D37" s="3674" t="s">
        <v>6825</v>
      </c>
      <c r="E37" s="3674" t="s">
        <v>6826</v>
      </c>
      <c r="F37" s="3674" t="s">
        <v>6827</v>
      </c>
      <c r="G37" s="3674"/>
      <c r="H37" s="3674"/>
      <c r="I37" s="3674"/>
      <c r="J37" s="3674"/>
      <c r="K37" s="3674"/>
      <c r="L37" s="3675" t="s">
        <v>6828</v>
      </c>
      <c r="M37" s="3674" t="s">
        <v>213</v>
      </c>
      <c r="N37" s="3674" t="str">
        <f t="shared" si="1"/>
        <v>31. スネーク</v>
      </c>
      <c r="O37" s="3680" t="s">
        <v>6829</v>
      </c>
      <c r="P37" s="3680" t="s">
        <v>6830</v>
      </c>
      <c r="Q37" s="3680" t="s">
        <v>2500</v>
      </c>
      <c r="R37" s="3680" t="s">
        <v>6831</v>
      </c>
      <c r="S37" s="3676">
        <v>36.0</v>
      </c>
      <c r="T37" s="3677">
        <v>31.0</v>
      </c>
      <c r="U37" s="3676" t="s">
        <v>76</v>
      </c>
      <c r="V37" s="3678" t="s">
        <v>6825</v>
      </c>
    </row>
    <row r="38">
      <c r="A38" s="3672">
        <v>32.0</v>
      </c>
      <c r="B38" s="3673" t="s">
        <v>6832</v>
      </c>
      <c r="C38" s="3674" t="s">
        <v>6833</v>
      </c>
      <c r="D38" s="3674" t="s">
        <v>6834</v>
      </c>
      <c r="E38" s="3674" t="s">
        <v>6716</v>
      </c>
      <c r="F38" s="3674" t="s">
        <v>6835</v>
      </c>
      <c r="G38" s="3674"/>
      <c r="H38" s="3674"/>
      <c r="I38" s="3674"/>
      <c r="J38" s="3674"/>
      <c r="K38" s="3674"/>
      <c r="L38" s="3675" t="s">
        <v>6836</v>
      </c>
      <c r="M38" s="3674" t="s">
        <v>213</v>
      </c>
      <c r="N38" s="3674" t="str">
        <f t="shared" si="1"/>
        <v>32. アイク</v>
      </c>
      <c r="O38" s="3674" t="s">
        <v>6837</v>
      </c>
      <c r="P38" s="3674" t="s">
        <v>6838</v>
      </c>
      <c r="Q38" s="3674" t="s">
        <v>6839</v>
      </c>
      <c r="R38" s="3674" t="s">
        <v>1242</v>
      </c>
      <c r="S38" s="3676">
        <v>37.0</v>
      </c>
      <c r="T38" s="3677">
        <v>32.0</v>
      </c>
      <c r="U38" s="3676">
        <v>23.0</v>
      </c>
      <c r="V38" s="3678" t="s">
        <v>6834</v>
      </c>
    </row>
    <row r="39">
      <c r="A39" s="3672">
        <v>33.0</v>
      </c>
      <c r="B39" s="3673" t="s">
        <v>6840</v>
      </c>
      <c r="C39" s="3674" t="s">
        <v>6841</v>
      </c>
      <c r="D39" s="3674"/>
      <c r="E39" s="3674" t="s">
        <v>6593</v>
      </c>
      <c r="F39" s="3674" t="s">
        <v>6842</v>
      </c>
      <c r="G39" s="3674"/>
      <c r="H39" s="3674"/>
      <c r="I39" s="3674"/>
      <c r="J39" s="3674"/>
      <c r="K39" s="3674"/>
      <c r="L39" s="3675" t="s">
        <v>6843</v>
      </c>
      <c r="M39" s="3674" t="s">
        <v>209</v>
      </c>
      <c r="N39" s="3674" t="str">
        <f t="shared" si="1"/>
        <v>33. ゼニガメ</v>
      </c>
      <c r="O39" s="3680" t="s">
        <v>6844</v>
      </c>
      <c r="P39" s="3680" t="s">
        <v>6845</v>
      </c>
      <c r="Q39" s="3680" t="s">
        <v>6846</v>
      </c>
      <c r="R39" s="3680" t="s">
        <v>6847</v>
      </c>
      <c r="S39" s="3676">
        <v>38.0</v>
      </c>
      <c r="T39" s="3677">
        <v>33.0</v>
      </c>
      <c r="U39" s="3676" t="s">
        <v>76</v>
      </c>
      <c r="V39" s="3678" t="s">
        <v>6848</v>
      </c>
    </row>
    <row r="40">
      <c r="A40" s="3672">
        <v>34.0</v>
      </c>
      <c r="B40" s="3673" t="s">
        <v>6849</v>
      </c>
      <c r="C40" s="3674" t="s">
        <v>6850</v>
      </c>
      <c r="D40" s="3674"/>
      <c r="E40" s="3674" t="s">
        <v>6593</v>
      </c>
      <c r="F40" s="3674" t="s">
        <v>6851</v>
      </c>
      <c r="G40" s="3674"/>
      <c r="H40" s="3674"/>
      <c r="I40" s="3674"/>
      <c r="J40" s="3674"/>
      <c r="K40" s="3674"/>
      <c r="L40" s="3675" t="s">
        <v>6852</v>
      </c>
      <c r="M40" s="3674" t="s">
        <v>209</v>
      </c>
      <c r="N40" s="3674" t="str">
        <f t="shared" si="1"/>
        <v>34. フシギソウ</v>
      </c>
      <c r="O40" s="3680" t="s">
        <v>6853</v>
      </c>
      <c r="P40" s="3680" t="s">
        <v>6854</v>
      </c>
      <c r="Q40" s="3680" t="s">
        <v>6855</v>
      </c>
      <c r="R40" s="3680" t="s">
        <v>6847</v>
      </c>
      <c r="S40" s="3676">
        <v>39.0</v>
      </c>
      <c r="T40" s="3677">
        <v>34.0</v>
      </c>
      <c r="U40" s="3676" t="s">
        <v>76</v>
      </c>
      <c r="V40" s="3678" t="s">
        <v>6856</v>
      </c>
    </row>
    <row r="41">
      <c r="A41" s="3672">
        <v>35.0</v>
      </c>
      <c r="B41" s="3673" t="s">
        <v>6857</v>
      </c>
      <c r="C41" s="3674" t="s">
        <v>6858</v>
      </c>
      <c r="D41" s="3674"/>
      <c r="E41" s="3674" t="s">
        <v>6593</v>
      </c>
      <c r="F41" s="3674" t="s">
        <v>6859</v>
      </c>
      <c r="G41" s="3674"/>
      <c r="H41" s="3674"/>
      <c r="I41" s="3674"/>
      <c r="J41" s="3674"/>
      <c r="K41" s="3674"/>
      <c r="L41" s="3675" t="s">
        <v>6860</v>
      </c>
      <c r="M41" s="3674" t="s">
        <v>213</v>
      </c>
      <c r="N41" s="3674" t="str">
        <f t="shared" si="1"/>
        <v>35. リザードン</v>
      </c>
      <c r="O41" s="3674" t="s">
        <v>6861</v>
      </c>
      <c r="P41" s="3674" t="s">
        <v>6862</v>
      </c>
      <c r="Q41" s="3674" t="s">
        <v>6863</v>
      </c>
      <c r="R41" s="3679" t="s">
        <v>6847</v>
      </c>
      <c r="S41" s="3676">
        <v>40.0</v>
      </c>
      <c r="T41" s="3677">
        <v>35.0</v>
      </c>
      <c r="U41" s="3676">
        <v>31.0</v>
      </c>
      <c r="V41" s="3678" t="s">
        <v>6864</v>
      </c>
    </row>
    <row r="42">
      <c r="A42" s="3672">
        <v>36.0</v>
      </c>
      <c r="B42" s="3673" t="s">
        <v>6865</v>
      </c>
      <c r="C42" s="3674" t="s">
        <v>6866</v>
      </c>
      <c r="D42" s="3674" t="s">
        <v>6867</v>
      </c>
      <c r="E42" s="3674" t="s">
        <v>6531</v>
      </c>
      <c r="F42" s="3674" t="s">
        <v>6868</v>
      </c>
      <c r="G42" s="3674"/>
      <c r="H42" s="3674"/>
      <c r="I42" s="3674"/>
      <c r="J42" s="3674"/>
      <c r="K42" s="3674"/>
      <c r="L42" s="3675" t="s">
        <v>6869</v>
      </c>
      <c r="M42" s="3674" t="s">
        <v>209</v>
      </c>
      <c r="N42" s="3674" t="str">
        <f t="shared" si="1"/>
        <v>36. ディディーコング</v>
      </c>
      <c r="O42" s="3674" t="s">
        <v>6870</v>
      </c>
      <c r="P42" s="3674" t="s">
        <v>6871</v>
      </c>
      <c r="Q42" s="3674" t="s">
        <v>6872</v>
      </c>
      <c r="R42" s="3674" t="s">
        <v>6873</v>
      </c>
      <c r="S42" s="3676">
        <v>41.0</v>
      </c>
      <c r="T42" s="3677">
        <v>36.0</v>
      </c>
      <c r="U42" s="3676">
        <v>10.0</v>
      </c>
      <c r="V42" s="3678" t="s">
        <v>6874</v>
      </c>
    </row>
    <row r="43">
      <c r="A43" s="3672">
        <v>37.0</v>
      </c>
      <c r="B43" s="3673" t="s">
        <v>6875</v>
      </c>
      <c r="C43" s="3674" t="s">
        <v>6876</v>
      </c>
      <c r="D43" s="3674" t="s">
        <v>6877</v>
      </c>
      <c r="E43" s="3674" t="s">
        <v>6610</v>
      </c>
      <c r="F43" s="3674" t="s">
        <v>6878</v>
      </c>
      <c r="G43" s="3674"/>
      <c r="H43" s="3674"/>
      <c r="I43" s="3674"/>
      <c r="J43" s="3674"/>
      <c r="K43" s="3674"/>
      <c r="L43" s="3675" t="s">
        <v>6879</v>
      </c>
      <c r="M43" s="3674" t="s">
        <v>209</v>
      </c>
      <c r="N43" s="3674" t="str">
        <f t="shared" si="1"/>
        <v>37. リュカ</v>
      </c>
      <c r="O43" s="3674" t="s">
        <v>6880</v>
      </c>
      <c r="P43" s="3674" t="s">
        <v>6614</v>
      </c>
      <c r="Q43" s="3674" t="s">
        <v>6615</v>
      </c>
      <c r="R43" s="3674" t="s">
        <v>6616</v>
      </c>
      <c r="S43" s="3676">
        <v>42.0</v>
      </c>
      <c r="T43" s="3677">
        <v>37.0</v>
      </c>
      <c r="U43" s="3676">
        <v>50.0</v>
      </c>
      <c r="V43" s="3678" t="s">
        <v>6877</v>
      </c>
    </row>
    <row r="44">
      <c r="A44" s="3672">
        <v>38.0</v>
      </c>
      <c r="B44" s="3673" t="s">
        <v>6881</v>
      </c>
      <c r="C44" s="3674" t="s">
        <v>6882</v>
      </c>
      <c r="D44" s="3674" t="s">
        <v>6883</v>
      </c>
      <c r="E44" s="3674" t="s">
        <v>6883</v>
      </c>
      <c r="F44" s="3674" t="s">
        <v>6884</v>
      </c>
      <c r="G44" s="3674"/>
      <c r="H44" s="3674"/>
      <c r="I44" s="3674"/>
      <c r="J44" s="3674"/>
      <c r="K44" s="3674"/>
      <c r="L44" s="3675" t="s">
        <v>6885</v>
      </c>
      <c r="M44" s="3674" t="s">
        <v>213</v>
      </c>
      <c r="N44" s="3674" t="str">
        <f t="shared" si="1"/>
        <v>38. ソニック</v>
      </c>
      <c r="O44" s="3674" t="s">
        <v>6886</v>
      </c>
      <c r="P44" s="3674" t="s">
        <v>6887</v>
      </c>
      <c r="Q44" s="3674" t="s">
        <v>6888</v>
      </c>
      <c r="R44" s="3674" t="s">
        <v>6889</v>
      </c>
      <c r="S44" s="3676">
        <v>43.0</v>
      </c>
      <c r="T44" s="3677">
        <v>38.0</v>
      </c>
      <c r="U44" s="3676">
        <v>48.0</v>
      </c>
      <c r="V44" s="3678" t="s">
        <v>6883</v>
      </c>
    </row>
    <row r="45">
      <c r="A45" s="3672">
        <v>39.0</v>
      </c>
      <c r="B45" s="3673" t="s">
        <v>6890</v>
      </c>
      <c r="C45" s="3674" t="s">
        <v>6891</v>
      </c>
      <c r="D45" s="3674" t="s">
        <v>6892</v>
      </c>
      <c r="E45" s="3674" t="s">
        <v>6576</v>
      </c>
      <c r="F45" s="3674" t="s">
        <v>6893</v>
      </c>
      <c r="G45" s="3674"/>
      <c r="H45" s="3674"/>
      <c r="I45" s="3674"/>
      <c r="J45" s="3674"/>
      <c r="K45" s="3674"/>
      <c r="L45" s="3675" t="s">
        <v>6894</v>
      </c>
      <c r="M45" s="3674" t="s">
        <v>209</v>
      </c>
      <c r="N45" s="3674" t="str">
        <f t="shared" si="1"/>
        <v>39. デデデ</v>
      </c>
      <c r="O45" s="3674" t="s">
        <v>750</v>
      </c>
      <c r="P45" s="3674" t="s">
        <v>6895</v>
      </c>
      <c r="Q45" s="3674" t="s">
        <v>6896</v>
      </c>
      <c r="R45" s="3674" t="s">
        <v>6897</v>
      </c>
      <c r="S45" s="3676">
        <v>44.0</v>
      </c>
      <c r="T45" s="3677">
        <v>39.0</v>
      </c>
      <c r="U45" s="3676">
        <v>26.0</v>
      </c>
      <c r="V45" s="3678" t="s">
        <v>6892</v>
      </c>
    </row>
    <row r="46">
      <c r="A46" s="3672">
        <v>40.0</v>
      </c>
      <c r="B46" s="3673" t="s">
        <v>766</v>
      </c>
      <c r="C46" s="3674" t="s">
        <v>6898</v>
      </c>
      <c r="D46" s="3674" t="s">
        <v>6899</v>
      </c>
      <c r="E46" s="3674" t="s">
        <v>6900</v>
      </c>
      <c r="F46" s="3674" t="s">
        <v>6901</v>
      </c>
      <c r="G46" s="3674"/>
      <c r="H46" s="3674"/>
      <c r="I46" s="3674"/>
      <c r="J46" s="3674"/>
      <c r="K46" s="3674"/>
      <c r="L46" s="3675" t="s">
        <v>6902</v>
      </c>
      <c r="M46" s="3674" t="s">
        <v>209</v>
      </c>
      <c r="N46" s="3674" t="str">
        <f t="shared" si="1"/>
        <v>40. ピクミン&amp;オリマー</v>
      </c>
      <c r="O46" s="3674" t="s">
        <v>6903</v>
      </c>
      <c r="P46" s="3674" t="s">
        <v>6904</v>
      </c>
      <c r="Q46" s="3674" t="s">
        <v>6905</v>
      </c>
      <c r="R46" s="3674" t="s">
        <v>6906</v>
      </c>
      <c r="S46" s="3676">
        <v>45.0</v>
      </c>
      <c r="T46" s="3677">
        <v>40.0</v>
      </c>
      <c r="U46" s="3676">
        <v>40.0</v>
      </c>
      <c r="V46" s="3678" t="s">
        <v>6900</v>
      </c>
    </row>
    <row r="47">
      <c r="A47" s="3672">
        <v>41.0</v>
      </c>
      <c r="B47" s="3673" t="s">
        <v>6907</v>
      </c>
      <c r="C47" s="3674" t="s">
        <v>6908</v>
      </c>
      <c r="D47" s="3674" t="s">
        <v>6909</v>
      </c>
      <c r="E47" s="3674" t="s">
        <v>6593</v>
      </c>
      <c r="F47" s="3674" t="s">
        <v>6910</v>
      </c>
      <c r="G47" s="3674"/>
      <c r="H47" s="3674"/>
      <c r="I47" s="3674"/>
      <c r="J47" s="3674"/>
      <c r="K47" s="3674"/>
      <c r="L47" s="3675" t="s">
        <v>6911</v>
      </c>
      <c r="M47" s="3674" t="s">
        <v>213</v>
      </c>
      <c r="N47" s="3674" t="str">
        <f t="shared" si="1"/>
        <v>41. ルカリオ</v>
      </c>
      <c r="O47" s="3674" t="s">
        <v>6912</v>
      </c>
      <c r="P47" s="3674" t="s">
        <v>6913</v>
      </c>
      <c r="Q47" s="3674" t="s">
        <v>6914</v>
      </c>
      <c r="R47" s="3674" t="s">
        <v>6915</v>
      </c>
      <c r="S47" s="3676">
        <v>46.0</v>
      </c>
      <c r="T47" s="3677">
        <v>41.0</v>
      </c>
      <c r="U47" s="3676">
        <v>32.0</v>
      </c>
      <c r="V47" s="3678" t="s">
        <v>6909</v>
      </c>
    </row>
    <row r="48">
      <c r="A48" s="3672">
        <v>42.0</v>
      </c>
      <c r="B48" s="3673" t="s">
        <v>6916</v>
      </c>
      <c r="C48" s="3674" t="s">
        <v>6917</v>
      </c>
      <c r="D48" s="3674" t="s">
        <v>6918</v>
      </c>
      <c r="E48" s="3674" t="s">
        <v>6919</v>
      </c>
      <c r="F48" s="3674" t="s">
        <v>6920</v>
      </c>
      <c r="G48" s="3674"/>
      <c r="H48" s="3674"/>
      <c r="I48" s="3674"/>
      <c r="J48" s="3674"/>
      <c r="K48" s="3674"/>
      <c r="L48" s="3675" t="s">
        <v>6921</v>
      </c>
      <c r="M48" s="3674" t="s">
        <v>209</v>
      </c>
      <c r="N48" s="3674" t="str">
        <f t="shared" si="1"/>
        <v>42. ロボット</v>
      </c>
      <c r="O48" s="3674" t="s">
        <v>6922</v>
      </c>
      <c r="P48" s="3674" t="s">
        <v>6923</v>
      </c>
      <c r="Q48" s="3674" t="s">
        <v>6924</v>
      </c>
      <c r="R48" s="3674" t="s">
        <v>6925</v>
      </c>
      <c r="S48" s="3676">
        <v>47.0</v>
      </c>
      <c r="T48" s="3677">
        <v>42.0</v>
      </c>
      <c r="U48" s="3676">
        <v>36.0</v>
      </c>
      <c r="V48" s="3678" t="s">
        <v>6918</v>
      </c>
    </row>
    <row r="49">
      <c r="A49" s="3672">
        <v>43.0</v>
      </c>
      <c r="B49" s="3673" t="s">
        <v>6926</v>
      </c>
      <c r="C49" s="3674" t="s">
        <v>6927</v>
      </c>
      <c r="D49" s="3674" t="s">
        <v>6928</v>
      </c>
      <c r="E49" s="3674" t="s">
        <v>6542</v>
      </c>
      <c r="F49" s="3674" t="s">
        <v>6929</v>
      </c>
      <c r="G49" s="3674"/>
      <c r="H49" s="3674"/>
      <c r="I49" s="3674"/>
      <c r="J49" s="3674"/>
      <c r="K49" s="3674"/>
      <c r="L49" s="3675" t="s">
        <v>6930</v>
      </c>
      <c r="M49" s="3674" t="s">
        <v>209</v>
      </c>
      <c r="N49" s="3674" t="str">
        <f t="shared" si="1"/>
        <v>43. トゥーンリンク</v>
      </c>
      <c r="O49" s="3674" t="s">
        <v>6931</v>
      </c>
      <c r="P49" s="3674" t="s">
        <v>6546</v>
      </c>
      <c r="Q49" s="3674" t="s">
        <v>6547</v>
      </c>
      <c r="R49" s="3674" t="s">
        <v>3179</v>
      </c>
      <c r="S49" s="3676">
        <v>48.0</v>
      </c>
      <c r="T49" s="3677">
        <v>43.0</v>
      </c>
      <c r="U49" s="3676">
        <v>17.0</v>
      </c>
      <c r="V49" s="3678" t="s">
        <v>6932</v>
      </c>
    </row>
    <row r="50">
      <c r="A50" s="3672">
        <v>44.0</v>
      </c>
      <c r="B50" s="3673" t="s">
        <v>6933</v>
      </c>
      <c r="C50" s="3674" t="s">
        <v>6934</v>
      </c>
      <c r="D50" s="3674" t="s">
        <v>6935</v>
      </c>
      <c r="E50" s="3674" t="s">
        <v>6584</v>
      </c>
      <c r="F50" s="3674" t="s">
        <v>6936</v>
      </c>
      <c r="G50" s="3674"/>
      <c r="H50" s="3674"/>
      <c r="I50" s="3674"/>
      <c r="J50" s="3674"/>
      <c r="K50" s="3674"/>
      <c r="L50" s="3675" t="s">
        <v>6937</v>
      </c>
      <c r="M50" s="3674" t="s">
        <v>213</v>
      </c>
      <c r="N50" s="3674" t="str">
        <f t="shared" si="1"/>
        <v>44. ウルフ</v>
      </c>
      <c r="O50" s="3680" t="s">
        <v>6938</v>
      </c>
      <c r="P50" s="3680" t="s">
        <v>6939</v>
      </c>
      <c r="Q50" s="3680" t="s">
        <v>6940</v>
      </c>
      <c r="R50" s="3680" t="s">
        <v>6589</v>
      </c>
      <c r="S50" s="3676">
        <v>49.0</v>
      </c>
      <c r="T50" s="3677">
        <v>44.0</v>
      </c>
      <c r="U50" s="3676" t="s">
        <v>76</v>
      </c>
      <c r="V50" s="3678" t="s">
        <v>6935</v>
      </c>
    </row>
    <row r="51">
      <c r="A51" s="3672">
        <v>45.0</v>
      </c>
      <c r="B51" s="3673" t="s">
        <v>6941</v>
      </c>
      <c r="C51" s="3674" t="s">
        <v>6942</v>
      </c>
      <c r="D51" s="3674" t="s">
        <v>6943</v>
      </c>
      <c r="E51" s="3674" t="s">
        <v>6944</v>
      </c>
      <c r="F51" s="3674" t="s">
        <v>6945</v>
      </c>
      <c r="G51" s="3674"/>
      <c r="H51" s="3674"/>
      <c r="I51" s="3674"/>
      <c r="J51" s="3674"/>
      <c r="K51" s="3674"/>
      <c r="L51" s="3675" t="s">
        <v>6946</v>
      </c>
      <c r="M51" s="3674" t="s">
        <v>209</v>
      </c>
      <c r="N51" s="3674" t="str">
        <f t="shared" si="1"/>
        <v>45. むらびと</v>
      </c>
      <c r="O51" s="3674" t="s">
        <v>6947</v>
      </c>
      <c r="P51" s="3674" t="s">
        <v>6948</v>
      </c>
      <c r="Q51" s="3674" t="s">
        <v>6949</v>
      </c>
      <c r="R51" s="3674" t="s">
        <v>6950</v>
      </c>
      <c r="S51" s="3676">
        <v>50.0</v>
      </c>
      <c r="T51" s="3677">
        <v>45.0</v>
      </c>
      <c r="U51" s="3676">
        <v>39.0</v>
      </c>
      <c r="V51" s="3678" t="s">
        <v>6943</v>
      </c>
    </row>
    <row r="52">
      <c r="A52" s="3672">
        <v>46.0</v>
      </c>
      <c r="B52" s="3673" t="s">
        <v>6951</v>
      </c>
      <c r="C52" s="3674" t="s">
        <v>6952</v>
      </c>
      <c r="D52" s="3674" t="s">
        <v>6953</v>
      </c>
      <c r="E52" s="3674" t="s">
        <v>6953</v>
      </c>
      <c r="F52" s="3674" t="s">
        <v>6954</v>
      </c>
      <c r="G52" s="3674"/>
      <c r="H52" s="3674"/>
      <c r="I52" s="3674"/>
      <c r="J52" s="3674"/>
      <c r="K52" s="3674"/>
      <c r="L52" s="3675" t="s">
        <v>6955</v>
      </c>
      <c r="M52" s="3674" t="s">
        <v>209</v>
      </c>
      <c r="N52" s="3674" t="str">
        <f t="shared" si="1"/>
        <v>46. ロックマン</v>
      </c>
      <c r="O52" s="3674" t="s">
        <v>6956</v>
      </c>
      <c r="P52" s="3674" t="s">
        <v>6957</v>
      </c>
      <c r="Q52" s="3674" t="s">
        <v>6958</v>
      </c>
      <c r="R52" s="3674" t="s">
        <v>6959</v>
      </c>
      <c r="S52" s="3676">
        <v>51.0</v>
      </c>
      <c r="T52" s="3677">
        <v>46.0</v>
      </c>
      <c r="U52" s="3676">
        <v>47.0</v>
      </c>
      <c r="V52" s="3678" t="s">
        <v>6953</v>
      </c>
    </row>
    <row r="53">
      <c r="A53" s="3672">
        <v>47.0</v>
      </c>
      <c r="B53" s="3673" t="s">
        <v>6960</v>
      </c>
      <c r="C53" s="3674" t="s">
        <v>6961</v>
      </c>
      <c r="D53" s="3674" t="s">
        <v>6962</v>
      </c>
      <c r="E53" s="3674" t="s">
        <v>6963</v>
      </c>
      <c r="F53" s="3674" t="s">
        <v>6964</v>
      </c>
      <c r="G53" s="3674"/>
      <c r="H53" s="3674"/>
      <c r="I53" s="3674"/>
      <c r="J53" s="3674"/>
      <c r="K53" s="3674"/>
      <c r="L53" s="3675" t="s">
        <v>6965</v>
      </c>
      <c r="M53" s="3674" t="s">
        <v>209</v>
      </c>
      <c r="N53" s="3674" t="str">
        <f t="shared" si="1"/>
        <v>47. Wii Fit トレーナー</v>
      </c>
      <c r="O53" s="3674" t="s">
        <v>6966</v>
      </c>
      <c r="P53" s="3674" t="s">
        <v>6967</v>
      </c>
      <c r="Q53" s="3674" t="s">
        <v>6968</v>
      </c>
      <c r="R53" s="3674" t="s">
        <v>6969</v>
      </c>
      <c r="S53" s="3676">
        <v>52.0</v>
      </c>
      <c r="T53" s="3677">
        <v>47.0</v>
      </c>
      <c r="U53" s="3676">
        <v>41.0</v>
      </c>
      <c r="V53" s="3678" t="s">
        <v>6970</v>
      </c>
    </row>
    <row r="54">
      <c r="A54" s="3672">
        <v>48.0</v>
      </c>
      <c r="B54" s="3673" t="s">
        <v>770</v>
      </c>
      <c r="C54" s="3674" t="s">
        <v>6971</v>
      </c>
      <c r="D54" s="3674" t="s">
        <v>6972</v>
      </c>
      <c r="E54" s="3674" t="s">
        <v>6521</v>
      </c>
      <c r="F54" s="3674" t="s">
        <v>6973</v>
      </c>
      <c r="G54" s="3674"/>
      <c r="H54" s="3674"/>
      <c r="I54" s="3674"/>
      <c r="J54" s="3674"/>
      <c r="K54" s="3674"/>
      <c r="L54" s="3675" t="s">
        <v>6974</v>
      </c>
      <c r="M54" s="3674" t="s">
        <v>209</v>
      </c>
      <c r="N54" s="3674" t="str">
        <f t="shared" si="1"/>
        <v>48. ロゼッタ&amp;チコ</v>
      </c>
      <c r="O54" s="3674" t="s">
        <v>6975</v>
      </c>
      <c r="P54" s="3674" t="s">
        <v>6976</v>
      </c>
      <c r="Q54" s="3674" t="s">
        <v>6977</v>
      </c>
      <c r="R54" s="3674" t="s">
        <v>6978</v>
      </c>
      <c r="S54" s="3676">
        <v>53.0</v>
      </c>
      <c r="T54" s="3677">
        <v>48.0</v>
      </c>
      <c r="U54" s="3676">
        <v>6.0</v>
      </c>
      <c r="V54" s="3678" t="s">
        <v>6979</v>
      </c>
    </row>
    <row r="55">
      <c r="A55" s="3672">
        <v>49.0</v>
      </c>
      <c r="B55" s="3673" t="s">
        <v>6980</v>
      </c>
      <c r="C55" s="3674" t="s">
        <v>6981</v>
      </c>
      <c r="D55" s="3674" t="s">
        <v>6982</v>
      </c>
      <c r="E55" s="3674" t="s">
        <v>6983</v>
      </c>
      <c r="F55" s="3674" t="s">
        <v>6984</v>
      </c>
      <c r="G55" s="3674"/>
      <c r="H55" s="3674"/>
      <c r="I55" s="3674"/>
      <c r="J55" s="3674"/>
      <c r="K55" s="3674"/>
      <c r="L55" s="3675" t="s">
        <v>6985</v>
      </c>
      <c r="M55" s="3674" t="s">
        <v>213</v>
      </c>
      <c r="N55" s="3674" t="str">
        <f t="shared" si="1"/>
        <v>49. リトル・マック</v>
      </c>
      <c r="O55" s="3674" t="s">
        <v>6986</v>
      </c>
      <c r="P55" s="3674" t="s">
        <v>6987</v>
      </c>
      <c r="Q55" s="3674" t="s">
        <v>6988</v>
      </c>
      <c r="R55" s="3674" t="s">
        <v>6989</v>
      </c>
      <c r="S55" s="3676">
        <v>54.0</v>
      </c>
      <c r="T55" s="3677">
        <v>49.0</v>
      </c>
      <c r="U55" s="3676">
        <v>12.0</v>
      </c>
      <c r="V55" s="3678" t="s">
        <v>6990</v>
      </c>
    </row>
    <row r="56">
      <c r="A56" s="3672">
        <v>50.0</v>
      </c>
      <c r="B56" s="3673" t="s">
        <v>6991</v>
      </c>
      <c r="C56" s="3674" t="s">
        <v>6992</v>
      </c>
      <c r="D56" s="3674" t="s">
        <v>6993</v>
      </c>
      <c r="E56" s="3674" t="s">
        <v>6593</v>
      </c>
      <c r="F56" s="3674" t="s">
        <v>6994</v>
      </c>
      <c r="G56" s="3674"/>
      <c r="H56" s="3674"/>
      <c r="I56" s="3674"/>
      <c r="J56" s="3674"/>
      <c r="K56" s="3674"/>
      <c r="L56" s="3675" t="s">
        <v>6995</v>
      </c>
      <c r="M56" s="3674" t="s">
        <v>213</v>
      </c>
      <c r="N56" s="3674" t="str">
        <f t="shared" si="1"/>
        <v>50. ゲッコウガ</v>
      </c>
      <c r="O56" s="3674" t="s">
        <v>6996</v>
      </c>
      <c r="P56" s="3674" t="s">
        <v>6997</v>
      </c>
      <c r="Q56" s="3674" t="s">
        <v>6998</v>
      </c>
      <c r="R56" s="3674" t="s">
        <v>6999</v>
      </c>
      <c r="S56" s="3676">
        <v>55.0</v>
      </c>
      <c r="T56" s="3677">
        <v>50.0</v>
      </c>
      <c r="U56" s="3676">
        <v>34.0</v>
      </c>
      <c r="V56" s="3678" t="s">
        <v>6993</v>
      </c>
    </row>
    <row r="57">
      <c r="A57" s="3672">
        <v>51.0</v>
      </c>
      <c r="B57" s="3673" t="s">
        <v>7000</v>
      </c>
      <c r="C57" s="3674" t="s">
        <v>7001</v>
      </c>
      <c r="D57" s="3674"/>
      <c r="E57" s="3674" t="s">
        <v>7002</v>
      </c>
      <c r="F57" s="3674" t="s">
        <v>7003</v>
      </c>
      <c r="G57" s="3674"/>
      <c r="H57" s="3674"/>
      <c r="I57" s="3674"/>
      <c r="J57" s="3674"/>
      <c r="K57" s="3674"/>
      <c r="L57" s="3675" t="s">
        <v>7004</v>
      </c>
      <c r="M57" s="3674" t="s">
        <v>213</v>
      </c>
      <c r="N57" s="3674" t="str">
        <f t="shared" si="1"/>
        <v>51. 格闘Mii</v>
      </c>
      <c r="O57" s="3679" t="s">
        <v>7005</v>
      </c>
      <c r="P57" s="3679" t="s">
        <v>7006</v>
      </c>
      <c r="Q57" s="3679" t="s">
        <v>7007</v>
      </c>
      <c r="R57" s="3679" t="s">
        <v>7008</v>
      </c>
      <c r="S57" s="3676">
        <v>56.0</v>
      </c>
      <c r="T57" s="3677">
        <v>73.0</v>
      </c>
      <c r="U57" s="3676">
        <v>56.0</v>
      </c>
      <c r="V57" s="3678" t="s">
        <v>7009</v>
      </c>
    </row>
    <row r="58">
      <c r="A58" s="3672">
        <v>52.0</v>
      </c>
      <c r="B58" s="3673" t="s">
        <v>7010</v>
      </c>
      <c r="C58" s="3674" t="s">
        <v>7011</v>
      </c>
      <c r="D58" s="3674"/>
      <c r="E58" s="3674" t="s">
        <v>7002</v>
      </c>
      <c r="F58" s="3674" t="s">
        <v>7012</v>
      </c>
      <c r="G58" s="3674"/>
      <c r="H58" s="3674"/>
      <c r="I58" s="3674"/>
      <c r="J58" s="3674"/>
      <c r="K58" s="3674"/>
      <c r="L58" s="3675" t="s">
        <v>7013</v>
      </c>
      <c r="M58" s="3674" t="s">
        <v>213</v>
      </c>
      <c r="N58" s="3674" t="str">
        <f t="shared" si="1"/>
        <v>52. 剣術Mii</v>
      </c>
      <c r="O58" s="3674" t="s">
        <v>7014</v>
      </c>
      <c r="P58" s="3679" t="s">
        <v>7015</v>
      </c>
      <c r="Q58" s="3674" t="s">
        <v>7016</v>
      </c>
      <c r="R58" s="3679" t="s">
        <v>7017</v>
      </c>
      <c r="S58" s="3676">
        <v>57.0</v>
      </c>
      <c r="T58" s="3677">
        <v>74.0</v>
      </c>
      <c r="U58" s="3676">
        <v>58.0</v>
      </c>
      <c r="V58" s="3678" t="s">
        <v>7018</v>
      </c>
    </row>
    <row r="59">
      <c r="A59" s="3672">
        <v>53.0</v>
      </c>
      <c r="B59" s="3673" t="s">
        <v>7019</v>
      </c>
      <c r="C59" s="3674" t="s">
        <v>7020</v>
      </c>
      <c r="D59" s="3674"/>
      <c r="E59" s="3674" t="s">
        <v>7002</v>
      </c>
      <c r="F59" s="3674" t="s">
        <v>7021</v>
      </c>
      <c r="G59" s="3674"/>
      <c r="H59" s="3674"/>
      <c r="I59" s="3674"/>
      <c r="J59" s="3674"/>
      <c r="K59" s="3674"/>
      <c r="L59" s="3675" t="s">
        <v>7022</v>
      </c>
      <c r="M59" s="3674" t="s">
        <v>213</v>
      </c>
      <c r="N59" s="3674" t="str">
        <f t="shared" si="1"/>
        <v>53. 射撃Mii</v>
      </c>
      <c r="O59" s="3674" t="s">
        <v>7023</v>
      </c>
      <c r="P59" s="3674" t="s">
        <v>7024</v>
      </c>
      <c r="Q59" s="3679" t="s">
        <v>7025</v>
      </c>
      <c r="R59" s="3674" t="s">
        <v>7026</v>
      </c>
      <c r="S59" s="3676">
        <v>58.0</v>
      </c>
      <c r="T59" s="3677">
        <v>75.0</v>
      </c>
      <c r="U59" s="3676">
        <v>57.0</v>
      </c>
      <c r="V59" s="3678" t="s">
        <v>7027</v>
      </c>
    </row>
    <row r="60">
      <c r="A60" s="3672">
        <v>54.0</v>
      </c>
      <c r="B60" s="3673" t="s">
        <v>7028</v>
      </c>
      <c r="C60" s="3674" t="s">
        <v>7029</v>
      </c>
      <c r="D60" s="3674" t="s">
        <v>6789</v>
      </c>
      <c r="E60" s="3674" t="s">
        <v>6789</v>
      </c>
      <c r="F60" s="3674" t="s">
        <v>7030</v>
      </c>
      <c r="G60" s="3674"/>
      <c r="H60" s="3674"/>
      <c r="I60" s="3674"/>
      <c r="J60" s="3674"/>
      <c r="K60" s="3674"/>
      <c r="L60" s="3675" t="s">
        <v>7031</v>
      </c>
      <c r="M60" s="3674" t="s">
        <v>213</v>
      </c>
      <c r="N60" s="3674" t="str">
        <f t="shared" si="1"/>
        <v>54. パルテナ</v>
      </c>
      <c r="O60" s="3674" t="s">
        <v>7032</v>
      </c>
      <c r="P60" s="3679" t="s">
        <v>7033</v>
      </c>
      <c r="Q60" s="3674" t="s">
        <v>6751</v>
      </c>
      <c r="R60" s="3679" t="s">
        <v>7034</v>
      </c>
      <c r="S60" s="3676">
        <v>59.0</v>
      </c>
      <c r="T60" s="3677">
        <v>51.0</v>
      </c>
      <c r="U60" s="3676">
        <v>21.0</v>
      </c>
      <c r="V60" s="3678" t="s">
        <v>6789</v>
      </c>
    </row>
    <row r="61">
      <c r="A61" s="3672">
        <v>55.0</v>
      </c>
      <c r="B61" s="3673" t="s">
        <v>7035</v>
      </c>
      <c r="C61" s="3674" t="s">
        <v>7036</v>
      </c>
      <c r="D61" s="3674" t="s">
        <v>7037</v>
      </c>
      <c r="E61" s="3674" t="s">
        <v>7038</v>
      </c>
      <c r="F61" s="3674" t="s">
        <v>7039</v>
      </c>
      <c r="G61" s="3674"/>
      <c r="H61" s="3674"/>
      <c r="I61" s="3674"/>
      <c r="J61" s="3674"/>
      <c r="K61" s="3674"/>
      <c r="L61" s="3675" t="s">
        <v>7040</v>
      </c>
      <c r="M61" s="3674" t="s">
        <v>209</v>
      </c>
      <c r="N61" s="3674" t="str">
        <f t="shared" si="1"/>
        <v>55. パックマン</v>
      </c>
      <c r="O61" s="3674" t="s">
        <v>7041</v>
      </c>
      <c r="P61" s="3674" t="s">
        <v>7042</v>
      </c>
      <c r="Q61" s="3674" t="s">
        <v>7043</v>
      </c>
      <c r="R61" s="3674" t="s">
        <v>3987</v>
      </c>
      <c r="S61" s="3676">
        <v>60.0</v>
      </c>
      <c r="T61" s="3677">
        <v>52.0</v>
      </c>
      <c r="U61" s="3676">
        <v>46.0</v>
      </c>
      <c r="V61" s="3678" t="s">
        <v>7038</v>
      </c>
    </row>
    <row r="62">
      <c r="A62" s="3672">
        <v>56.0</v>
      </c>
      <c r="B62" s="3673" t="s">
        <v>7044</v>
      </c>
      <c r="C62" s="3674" t="s">
        <v>7045</v>
      </c>
      <c r="D62" s="3674" t="s">
        <v>7046</v>
      </c>
      <c r="E62" s="3674" t="s">
        <v>6716</v>
      </c>
      <c r="F62" s="3674" t="s">
        <v>7047</v>
      </c>
      <c r="G62" s="3674"/>
      <c r="H62" s="3674"/>
      <c r="I62" s="3674"/>
      <c r="J62" s="3674"/>
      <c r="K62" s="3674"/>
      <c r="L62" s="3675" t="s">
        <v>7048</v>
      </c>
      <c r="M62" s="3674" t="s">
        <v>213</v>
      </c>
      <c r="N62" s="3674" t="str">
        <f t="shared" si="1"/>
        <v>56. ルフレ</v>
      </c>
      <c r="O62" s="3674" t="s">
        <v>4002</v>
      </c>
      <c r="P62" s="3674" t="s">
        <v>7049</v>
      </c>
      <c r="Q62" s="3674" t="s">
        <v>7050</v>
      </c>
      <c r="R62" s="3674" t="s">
        <v>7051</v>
      </c>
      <c r="S62" s="3676">
        <v>61.0</v>
      </c>
      <c r="T62" s="3677">
        <v>53.0</v>
      </c>
      <c r="U62" s="3676">
        <v>24.0</v>
      </c>
      <c r="V62" s="3678" t="s">
        <v>7046</v>
      </c>
    </row>
    <row r="63">
      <c r="A63" s="3672">
        <v>57.0</v>
      </c>
      <c r="B63" s="3673" t="s">
        <v>7052</v>
      </c>
      <c r="C63" s="3674" t="s">
        <v>7053</v>
      </c>
      <c r="D63" s="3674" t="s">
        <v>7054</v>
      </c>
      <c r="E63" s="3674" t="s">
        <v>7055</v>
      </c>
      <c r="F63" s="3674" t="s">
        <v>7056</v>
      </c>
      <c r="G63" s="3674"/>
      <c r="H63" s="3674"/>
      <c r="I63" s="3674"/>
      <c r="J63" s="3674"/>
      <c r="K63" s="3674"/>
      <c r="L63" s="3675" t="s">
        <v>7057</v>
      </c>
      <c r="M63" s="3674" t="s">
        <v>213</v>
      </c>
      <c r="N63" s="3674" t="str">
        <f t="shared" si="1"/>
        <v>57. シュルク</v>
      </c>
      <c r="O63" s="3674" t="s">
        <v>7058</v>
      </c>
      <c r="P63" s="3674" t="s">
        <v>7059</v>
      </c>
      <c r="Q63" s="3674" t="s">
        <v>7060</v>
      </c>
      <c r="R63" s="3674" t="s">
        <v>7061</v>
      </c>
      <c r="S63" s="3676">
        <v>62.0</v>
      </c>
      <c r="T63" s="3677">
        <v>54.0</v>
      </c>
      <c r="U63" s="3676">
        <v>42.0</v>
      </c>
      <c r="V63" s="3678" t="s">
        <v>7054</v>
      </c>
    </row>
    <row r="64">
      <c r="A64" s="3672">
        <v>58.0</v>
      </c>
      <c r="B64" s="3673" t="s">
        <v>7062</v>
      </c>
      <c r="C64" s="3674" t="s">
        <v>7063</v>
      </c>
      <c r="D64" s="3674" t="s">
        <v>7064</v>
      </c>
      <c r="E64" s="3674" t="s">
        <v>6521</v>
      </c>
      <c r="F64" s="3674" t="s">
        <v>7065</v>
      </c>
      <c r="G64" s="3674"/>
      <c r="H64" s="3674"/>
      <c r="I64" s="3674"/>
      <c r="J64" s="3674"/>
      <c r="K64" s="3674"/>
      <c r="L64" s="3675" t="s">
        <v>7066</v>
      </c>
      <c r="M64" s="3674" t="s">
        <v>209</v>
      </c>
      <c r="N64" s="3674" t="str">
        <f t="shared" si="1"/>
        <v>58. クッパ Jr.</v>
      </c>
      <c r="O64" s="3674" t="s">
        <v>7067</v>
      </c>
      <c r="P64" s="3674" t="s">
        <v>7068</v>
      </c>
      <c r="Q64" s="3674" t="s">
        <v>7069</v>
      </c>
      <c r="R64" s="3674" t="s">
        <v>7070</v>
      </c>
      <c r="S64" s="3676">
        <v>63.0</v>
      </c>
      <c r="T64" s="3677">
        <v>55.0</v>
      </c>
      <c r="U64" s="3676">
        <v>7.0</v>
      </c>
      <c r="V64" s="3678" t="s">
        <v>7071</v>
      </c>
    </row>
    <row r="65">
      <c r="A65" s="3672">
        <v>59.0</v>
      </c>
      <c r="B65" s="3673" t="s">
        <v>7072</v>
      </c>
      <c r="C65" s="3674" t="s">
        <v>7073</v>
      </c>
      <c r="D65" s="3674" t="s">
        <v>7074</v>
      </c>
      <c r="E65" s="3674" t="s">
        <v>7075</v>
      </c>
      <c r="F65" s="3674" t="s">
        <v>7076</v>
      </c>
      <c r="G65" s="3674"/>
      <c r="H65" s="3674"/>
      <c r="I65" s="3674"/>
      <c r="J65" s="3674"/>
      <c r="K65" s="3674"/>
      <c r="L65" s="3675" t="s">
        <v>7077</v>
      </c>
      <c r="M65" s="3674" t="s">
        <v>209</v>
      </c>
      <c r="N65" s="3674" t="str">
        <f t="shared" si="1"/>
        <v>59. ダックハント</v>
      </c>
      <c r="O65" s="3674" t="s">
        <v>7078</v>
      </c>
      <c r="P65" s="3674" t="s">
        <v>7079</v>
      </c>
      <c r="Q65" s="3674" t="s">
        <v>7080</v>
      </c>
      <c r="R65" s="3674" t="s">
        <v>7081</v>
      </c>
      <c r="S65" s="3676">
        <v>64.0</v>
      </c>
      <c r="T65" s="3677">
        <v>56.0</v>
      </c>
      <c r="U65" s="3676">
        <v>35.0</v>
      </c>
      <c r="V65" s="3678" t="s">
        <v>7075</v>
      </c>
    </row>
    <row r="66">
      <c r="A66" s="3672">
        <v>60.0</v>
      </c>
      <c r="B66" s="3673" t="s">
        <v>7082</v>
      </c>
      <c r="C66" s="3674" t="s">
        <v>7083</v>
      </c>
      <c r="D66" s="3674" t="s">
        <v>7084</v>
      </c>
      <c r="E66" s="3674" t="s">
        <v>7085</v>
      </c>
      <c r="F66" s="3680" t="s">
        <v>7086</v>
      </c>
      <c r="G66" s="3680"/>
      <c r="H66" s="3680"/>
      <c r="I66" s="3680"/>
      <c r="J66" s="3680"/>
      <c r="K66" s="3680"/>
      <c r="L66" s="3675" t="s">
        <v>7087</v>
      </c>
      <c r="M66" s="3674" t="s">
        <v>213</v>
      </c>
      <c r="N66" s="3674" t="str">
        <f t="shared" si="1"/>
        <v>60. リュウ</v>
      </c>
      <c r="O66" s="3674" t="s">
        <v>4352</v>
      </c>
      <c r="P66" s="3674" t="s">
        <v>7088</v>
      </c>
      <c r="Q66" s="3674" t="s">
        <v>7089</v>
      </c>
      <c r="R66" s="3674" t="s">
        <v>7090</v>
      </c>
      <c r="S66" s="3676">
        <v>65.0</v>
      </c>
      <c r="T66" s="3677">
        <v>57.0</v>
      </c>
      <c r="U66" s="3676">
        <v>52.0</v>
      </c>
      <c r="V66" s="3678" t="s">
        <v>7084</v>
      </c>
    </row>
    <row r="67">
      <c r="A67" s="3672" t="s">
        <v>4442</v>
      </c>
      <c r="B67" s="3673" t="s">
        <v>7091</v>
      </c>
      <c r="C67" s="3674" t="s">
        <v>7092</v>
      </c>
      <c r="D67" s="3674" t="s">
        <v>7093</v>
      </c>
      <c r="E67" s="3674" t="s">
        <v>7085</v>
      </c>
      <c r="F67" s="3674" t="s">
        <v>7094</v>
      </c>
      <c r="G67" s="3674"/>
      <c r="H67" s="3674"/>
      <c r="I67" s="3674"/>
      <c r="J67" s="3674"/>
      <c r="K67" s="3674"/>
      <c r="L67" s="3675" t="s">
        <v>7095</v>
      </c>
      <c r="M67" s="3674" t="s">
        <v>213</v>
      </c>
      <c r="N67" s="3674" t="str">
        <f t="shared" si="1"/>
        <v>60'. ケン</v>
      </c>
      <c r="O67" s="3674" t="s">
        <v>4352</v>
      </c>
      <c r="P67" s="3674" t="s">
        <v>7088</v>
      </c>
      <c r="Q67" s="3680" t="s">
        <v>7089</v>
      </c>
      <c r="R67" s="3674" t="s">
        <v>7090</v>
      </c>
      <c r="S67" s="3676">
        <v>66.0</v>
      </c>
      <c r="T67" s="3677">
        <v>77.0</v>
      </c>
      <c r="U67" s="3676" t="s">
        <v>76</v>
      </c>
      <c r="V67" s="3682" t="s">
        <v>7093</v>
      </c>
    </row>
    <row r="68">
      <c r="A68" s="3672">
        <v>61.0</v>
      </c>
      <c r="B68" s="3673" t="s">
        <v>7096</v>
      </c>
      <c r="C68" s="3674" t="s">
        <v>7097</v>
      </c>
      <c r="D68" s="3674" t="s">
        <v>7098</v>
      </c>
      <c r="E68" s="3674" t="s">
        <v>7099</v>
      </c>
      <c r="F68" s="3674" t="s">
        <v>7100</v>
      </c>
      <c r="G68" s="3674"/>
      <c r="H68" s="3674"/>
      <c r="I68" s="3674"/>
      <c r="J68" s="3674"/>
      <c r="K68" s="3674"/>
      <c r="L68" s="3675" t="s">
        <v>7101</v>
      </c>
      <c r="M68" s="3674" t="s">
        <v>213</v>
      </c>
      <c r="N68" s="3674" t="str">
        <f t="shared" si="1"/>
        <v>61. クラウド</v>
      </c>
      <c r="O68" s="3674" t="s">
        <v>7102</v>
      </c>
      <c r="P68" s="3674" t="s">
        <v>7103</v>
      </c>
      <c r="Q68" s="3674" t="s">
        <v>7104</v>
      </c>
      <c r="R68" s="3674" t="s">
        <v>7105</v>
      </c>
      <c r="S68" s="3676">
        <v>67.0</v>
      </c>
      <c r="T68" s="3677">
        <v>58.0</v>
      </c>
      <c r="U68" s="3676">
        <v>53.0</v>
      </c>
      <c r="V68" s="3678" t="s">
        <v>7098</v>
      </c>
    </row>
    <row r="69">
      <c r="A69" s="3672">
        <v>62.0</v>
      </c>
      <c r="B69" s="3673" t="s">
        <v>7106</v>
      </c>
      <c r="C69" s="3674" t="s">
        <v>7107</v>
      </c>
      <c r="D69" s="3674" t="s">
        <v>7108</v>
      </c>
      <c r="E69" s="3674" t="s">
        <v>6716</v>
      </c>
      <c r="F69" s="3674" t="s">
        <v>7109</v>
      </c>
      <c r="G69" s="3674"/>
      <c r="H69" s="3674"/>
      <c r="I69" s="3674"/>
      <c r="J69" s="3674"/>
      <c r="K69" s="3674"/>
      <c r="L69" s="3675" t="s">
        <v>7110</v>
      </c>
      <c r="M69" s="3674" t="s">
        <v>213</v>
      </c>
      <c r="N69" s="3674" t="str">
        <f t="shared" si="1"/>
        <v>62. カムイ</v>
      </c>
      <c r="O69" s="3674" t="s">
        <v>7111</v>
      </c>
      <c r="P69" s="3674" t="s">
        <v>7112</v>
      </c>
      <c r="Q69" s="3674" t="s">
        <v>7113</v>
      </c>
      <c r="R69" s="3674" t="s">
        <v>7114</v>
      </c>
      <c r="S69" s="3676">
        <v>68.0</v>
      </c>
      <c r="T69" s="3677">
        <v>59.0</v>
      </c>
      <c r="U69" s="3676">
        <v>54.0</v>
      </c>
      <c r="V69" s="3678" t="s">
        <v>7108</v>
      </c>
    </row>
    <row r="70">
      <c r="A70" s="3672">
        <v>63.0</v>
      </c>
      <c r="B70" s="3673" t="s">
        <v>7115</v>
      </c>
      <c r="C70" s="3674" t="s">
        <v>7116</v>
      </c>
      <c r="D70" s="3674" t="s">
        <v>7117</v>
      </c>
      <c r="E70" s="3674" t="s">
        <v>7117</v>
      </c>
      <c r="F70" s="3674" t="s">
        <v>7118</v>
      </c>
      <c r="G70" s="3674"/>
      <c r="H70" s="3674"/>
      <c r="I70" s="3674"/>
      <c r="J70" s="3674"/>
      <c r="K70" s="3674"/>
      <c r="L70" s="3675" t="s">
        <v>7119</v>
      </c>
      <c r="M70" s="3674" t="s">
        <v>213</v>
      </c>
      <c r="N70" s="3674" t="str">
        <f t="shared" si="1"/>
        <v>63. ベヨネッタ</v>
      </c>
      <c r="O70" s="3674" t="s">
        <v>7120</v>
      </c>
      <c r="P70" s="3674" t="s">
        <v>7121</v>
      </c>
      <c r="Q70" s="3674" t="s">
        <v>7122</v>
      </c>
      <c r="R70" s="3674" t="s">
        <v>7123</v>
      </c>
      <c r="S70" s="3676">
        <v>69.0</v>
      </c>
      <c r="T70" s="3677">
        <v>60.0</v>
      </c>
      <c r="U70" s="3676">
        <v>55.0</v>
      </c>
      <c r="V70" s="3678" t="s">
        <v>7117</v>
      </c>
    </row>
    <row r="71">
      <c r="A71" s="3672">
        <v>64.0</v>
      </c>
      <c r="B71" s="3673" t="s">
        <v>7124</v>
      </c>
      <c r="C71" s="3674" t="s">
        <v>7125</v>
      </c>
      <c r="D71" s="3674" t="s">
        <v>7126</v>
      </c>
      <c r="E71" s="3674" t="s">
        <v>7127</v>
      </c>
      <c r="F71" s="3674" t="s">
        <v>7128</v>
      </c>
      <c r="G71" s="3674"/>
      <c r="H71" s="3674"/>
      <c r="I71" s="3674"/>
      <c r="J71" s="3674"/>
      <c r="K71" s="3674"/>
      <c r="L71" s="3675" t="s">
        <v>7129</v>
      </c>
      <c r="M71" s="3674" t="s">
        <v>209</v>
      </c>
      <c r="N71" s="3674" t="str">
        <f t="shared" si="1"/>
        <v>64. インクリング</v>
      </c>
      <c r="O71" s="3674" t="s">
        <v>7130</v>
      </c>
      <c r="P71" s="3680" t="s">
        <v>7131</v>
      </c>
      <c r="Q71" s="3680" t="s">
        <v>7132</v>
      </c>
      <c r="R71" s="3674" t="s">
        <v>7133</v>
      </c>
      <c r="S71" s="3676">
        <v>70.0</v>
      </c>
      <c r="T71" s="3677">
        <v>61.0</v>
      </c>
      <c r="U71" s="3676" t="s">
        <v>76</v>
      </c>
      <c r="V71" s="3678" t="s">
        <v>7126</v>
      </c>
    </row>
    <row r="72">
      <c r="A72" s="3672">
        <v>65.0</v>
      </c>
      <c r="B72" s="3673" t="s">
        <v>7134</v>
      </c>
      <c r="C72" s="3674" t="s">
        <v>7135</v>
      </c>
      <c r="D72" s="3674" t="s">
        <v>7136</v>
      </c>
      <c r="E72" s="3674" t="s">
        <v>6552</v>
      </c>
      <c r="F72" s="3674" t="s">
        <v>7137</v>
      </c>
      <c r="G72" s="3674"/>
      <c r="H72" s="3674"/>
      <c r="I72" s="3674"/>
      <c r="J72" s="3674"/>
      <c r="K72" s="3674"/>
      <c r="L72" s="3675" t="s">
        <v>7138</v>
      </c>
      <c r="M72" s="3674" t="s">
        <v>213</v>
      </c>
      <c r="N72" s="3674" t="str">
        <f t="shared" si="1"/>
        <v>65. リドリー</v>
      </c>
      <c r="O72" s="3680" t="s">
        <v>7139</v>
      </c>
      <c r="P72" s="3680" t="s">
        <v>7140</v>
      </c>
      <c r="Q72" s="3680" t="s">
        <v>7141</v>
      </c>
      <c r="R72" s="3680" t="s">
        <v>7142</v>
      </c>
      <c r="S72" s="3676">
        <v>71.0</v>
      </c>
      <c r="T72" s="3677">
        <v>62.0</v>
      </c>
      <c r="U72" s="3676" t="s">
        <v>76</v>
      </c>
      <c r="V72" s="3678" t="s">
        <v>7136</v>
      </c>
    </row>
    <row r="73">
      <c r="A73" s="3672">
        <v>66.0</v>
      </c>
      <c r="B73" s="3673" t="s">
        <v>7143</v>
      </c>
      <c r="C73" s="3674" t="s">
        <v>7144</v>
      </c>
      <c r="D73" s="3674" t="s">
        <v>7145</v>
      </c>
      <c r="E73" s="3674" t="s">
        <v>7146</v>
      </c>
      <c r="F73" s="3674" t="s">
        <v>7147</v>
      </c>
      <c r="G73" s="3674"/>
      <c r="H73" s="3674"/>
      <c r="I73" s="3674"/>
      <c r="J73" s="3674"/>
      <c r="K73" s="3674"/>
      <c r="L73" s="3675" t="s">
        <v>7148</v>
      </c>
      <c r="M73" s="3674" t="s">
        <v>213</v>
      </c>
      <c r="N73" s="3674" t="str">
        <f t="shared" si="1"/>
        <v>66. シモン</v>
      </c>
      <c r="O73" s="3674" t="s">
        <v>3308</v>
      </c>
      <c r="P73" s="3674" t="s">
        <v>7149</v>
      </c>
      <c r="Q73" s="3674" t="s">
        <v>7150</v>
      </c>
      <c r="R73" s="3674" t="s">
        <v>7151</v>
      </c>
      <c r="S73" s="3676">
        <v>72.0</v>
      </c>
      <c r="T73" s="3677">
        <v>63.0</v>
      </c>
      <c r="U73" s="3676" t="s">
        <v>76</v>
      </c>
      <c r="V73" s="3678" t="s">
        <v>7145</v>
      </c>
    </row>
    <row r="74">
      <c r="A74" s="3672" t="s">
        <v>5007</v>
      </c>
      <c r="B74" s="3673" t="s">
        <v>7152</v>
      </c>
      <c r="C74" s="3674" t="s">
        <v>7153</v>
      </c>
      <c r="D74" s="3674" t="s">
        <v>7154</v>
      </c>
      <c r="E74" s="3674" t="s">
        <v>7146</v>
      </c>
      <c r="F74" s="3674" t="s">
        <v>7155</v>
      </c>
      <c r="G74" s="3674"/>
      <c r="H74" s="3674"/>
      <c r="I74" s="3674"/>
      <c r="J74" s="3674"/>
      <c r="K74" s="3674"/>
      <c r="L74" s="3675" t="s">
        <v>7156</v>
      </c>
      <c r="M74" s="3674" t="s">
        <v>213</v>
      </c>
      <c r="N74" s="3674" t="str">
        <f t="shared" si="1"/>
        <v>66'. リヒター</v>
      </c>
      <c r="O74" s="3674" t="s">
        <v>3308</v>
      </c>
      <c r="P74" s="3674" t="s">
        <v>7149</v>
      </c>
      <c r="Q74" s="3674" t="s">
        <v>7150</v>
      </c>
      <c r="R74" s="3674" t="s">
        <v>7151</v>
      </c>
      <c r="S74" s="3676">
        <v>73.0</v>
      </c>
      <c r="T74" s="3677">
        <v>78.0</v>
      </c>
      <c r="U74" s="3676" t="s">
        <v>76</v>
      </c>
      <c r="V74" s="3683" t="s">
        <v>7154</v>
      </c>
    </row>
    <row r="75">
      <c r="A75" s="3672">
        <v>67.0</v>
      </c>
      <c r="B75" s="3673" t="s">
        <v>7157</v>
      </c>
      <c r="C75" s="3674" t="s">
        <v>7158</v>
      </c>
      <c r="D75" s="3674" t="s">
        <v>7159</v>
      </c>
      <c r="E75" s="3674" t="s">
        <v>6531</v>
      </c>
      <c r="F75" s="3674" t="s">
        <v>7160</v>
      </c>
      <c r="G75" s="3674"/>
      <c r="H75" s="3674"/>
      <c r="I75" s="3674"/>
      <c r="J75" s="3674"/>
      <c r="K75" s="3674"/>
      <c r="L75" s="3675" t="s">
        <v>7161</v>
      </c>
      <c r="M75" s="3674" t="s">
        <v>213</v>
      </c>
      <c r="N75" s="3674" t="str">
        <f t="shared" si="1"/>
        <v>67. キングクルール</v>
      </c>
      <c r="O75" s="3680" t="s">
        <v>7162</v>
      </c>
      <c r="P75" s="3680" t="s">
        <v>7163</v>
      </c>
      <c r="Q75" s="3680" t="s">
        <v>7164</v>
      </c>
      <c r="R75" s="3680" t="s">
        <v>7165</v>
      </c>
      <c r="S75" s="3676">
        <v>74.0</v>
      </c>
      <c r="T75" s="3677">
        <v>64.0</v>
      </c>
      <c r="U75" s="3676" t="s">
        <v>76</v>
      </c>
      <c r="V75" s="3683" t="s">
        <v>7166</v>
      </c>
    </row>
    <row r="76">
      <c r="A76" s="3672">
        <v>68.0</v>
      </c>
      <c r="B76" s="3673" t="s">
        <v>7167</v>
      </c>
      <c r="C76" s="3674" t="s">
        <v>7168</v>
      </c>
      <c r="D76" s="3674" t="s">
        <v>7169</v>
      </c>
      <c r="E76" s="3674" t="s">
        <v>6944</v>
      </c>
      <c r="F76" s="3674" t="s">
        <v>7170</v>
      </c>
      <c r="G76" s="3674"/>
      <c r="H76" s="3674"/>
      <c r="I76" s="3674"/>
      <c r="J76" s="3674"/>
      <c r="K76" s="3674"/>
      <c r="L76" s="3675" t="s">
        <v>7171</v>
      </c>
      <c r="M76" s="3674" t="s">
        <v>209</v>
      </c>
      <c r="N76" s="3674" t="str">
        <f t="shared" si="1"/>
        <v>68. しずえ</v>
      </c>
      <c r="O76" s="3674" t="s">
        <v>6947</v>
      </c>
      <c r="P76" s="3674" t="s">
        <v>7172</v>
      </c>
      <c r="Q76" s="3674" t="s">
        <v>6949</v>
      </c>
      <c r="R76" s="3674" t="s">
        <v>7173</v>
      </c>
      <c r="S76" s="3676">
        <v>75.0</v>
      </c>
      <c r="T76" s="3677">
        <v>65.0</v>
      </c>
      <c r="U76" s="3676" t="s">
        <v>76</v>
      </c>
      <c r="V76" s="3683" t="s">
        <v>7169</v>
      </c>
    </row>
    <row r="77">
      <c r="A77" s="3672">
        <v>69.0</v>
      </c>
      <c r="B77" s="3673" t="s">
        <v>7174</v>
      </c>
      <c r="C77" s="3674" t="s">
        <v>7175</v>
      </c>
      <c r="D77" s="3674" t="s">
        <v>7176</v>
      </c>
      <c r="E77" s="3674" t="s">
        <v>6593</v>
      </c>
      <c r="F77" s="3680" t="s">
        <v>7177</v>
      </c>
      <c r="G77" s="3680"/>
      <c r="H77" s="3680"/>
      <c r="I77" s="3680"/>
      <c r="J77" s="3680"/>
      <c r="K77" s="3680"/>
      <c r="L77" s="3675" t="s">
        <v>7178</v>
      </c>
      <c r="M77" s="3674" t="s">
        <v>213</v>
      </c>
      <c r="N77" s="3674" t="str">
        <f t="shared" si="1"/>
        <v>69. ガオガエン</v>
      </c>
      <c r="O77" s="3674" t="s">
        <v>7179</v>
      </c>
      <c r="P77" s="3680" t="s">
        <v>7180</v>
      </c>
      <c r="Q77" s="3674" t="s">
        <v>7181</v>
      </c>
      <c r="R77" s="3674" t="s">
        <v>7182</v>
      </c>
      <c r="S77" s="3676">
        <v>76.0</v>
      </c>
      <c r="T77" s="3677">
        <v>66.0</v>
      </c>
      <c r="U77" s="3676" t="s">
        <v>76</v>
      </c>
      <c r="V77" s="3683" t="s">
        <v>7176</v>
      </c>
    </row>
    <row r="78">
      <c r="A78" s="3672">
        <v>70.0</v>
      </c>
      <c r="B78" s="3673" t="s">
        <v>7183</v>
      </c>
      <c r="C78" s="3674" t="s">
        <v>7184</v>
      </c>
      <c r="D78" s="3674" t="s">
        <v>7185</v>
      </c>
      <c r="E78" s="3674" t="s">
        <v>6521</v>
      </c>
      <c r="F78" s="3680" t="s">
        <v>7186</v>
      </c>
      <c r="G78" s="3680"/>
      <c r="H78" s="3680"/>
      <c r="I78" s="3680"/>
      <c r="J78" s="3680"/>
      <c r="K78" s="3680"/>
      <c r="L78" s="3675" t="s">
        <v>7187</v>
      </c>
      <c r="M78" s="3674" t="s">
        <v>209</v>
      </c>
      <c r="N78" s="3674" t="str">
        <f t="shared" si="1"/>
        <v>70. パックンフラワー</v>
      </c>
      <c r="O78" s="3680" t="s">
        <v>7188</v>
      </c>
      <c r="P78" s="3680" t="s">
        <v>7189</v>
      </c>
      <c r="Q78" s="3680" t="s">
        <v>7190</v>
      </c>
      <c r="R78" s="3680" t="s">
        <v>7191</v>
      </c>
      <c r="S78" s="3676">
        <v>77.0</v>
      </c>
      <c r="T78" s="3677">
        <v>67.0</v>
      </c>
      <c r="U78" s="3676" t="s">
        <v>76</v>
      </c>
      <c r="V78" s="3684" t="s">
        <v>7192</v>
      </c>
    </row>
    <row r="79">
      <c r="A79" s="3672">
        <v>71.0</v>
      </c>
      <c r="B79" s="3681" t="s">
        <v>7193</v>
      </c>
      <c r="C79" s="3680" t="s">
        <v>7194</v>
      </c>
      <c r="D79" s="3680" t="s">
        <v>7195</v>
      </c>
      <c r="E79" s="3680" t="s">
        <v>7196</v>
      </c>
      <c r="F79" s="3680" t="s">
        <v>7197</v>
      </c>
      <c r="G79" s="3674"/>
      <c r="H79" s="3674"/>
      <c r="I79" s="3674"/>
      <c r="J79" s="3674"/>
      <c r="K79" s="3674"/>
      <c r="L79" s="3685" t="s">
        <v>7198</v>
      </c>
      <c r="M79" s="3680" t="s">
        <v>213</v>
      </c>
      <c r="N79" s="3674" t="str">
        <f t="shared" si="1"/>
        <v>71. ジョーカー</v>
      </c>
      <c r="O79" s="3680" t="s">
        <v>7199</v>
      </c>
      <c r="P79" s="3680" t="s">
        <v>7200</v>
      </c>
      <c r="Q79" s="3680" t="s">
        <v>7201</v>
      </c>
      <c r="R79" s="3680" t="s">
        <v>7202</v>
      </c>
      <c r="S79" s="3676">
        <v>78.0</v>
      </c>
      <c r="T79" s="3677">
        <v>68.0</v>
      </c>
      <c r="U79" s="3676" t="s">
        <v>76</v>
      </c>
      <c r="V79" s="3684" t="s">
        <v>7203</v>
      </c>
    </row>
    <row r="80">
      <c r="A80" s="3672">
        <v>72.0</v>
      </c>
      <c r="B80" s="3681" t="s">
        <v>7204</v>
      </c>
      <c r="C80" s="3680" t="s">
        <v>7205</v>
      </c>
      <c r="D80" s="3680" t="s">
        <v>7206</v>
      </c>
      <c r="E80" s="3674"/>
      <c r="F80" s="3680" t="s">
        <v>7207</v>
      </c>
      <c r="G80" s="3674"/>
      <c r="H80" s="3674"/>
      <c r="I80" s="3674"/>
      <c r="J80" s="3674"/>
      <c r="K80" s="3674"/>
      <c r="L80" s="3685" t="s">
        <v>7208</v>
      </c>
      <c r="M80" s="3680" t="s">
        <v>213</v>
      </c>
      <c r="N80" s="3674" t="str">
        <f t="shared" si="1"/>
        <v>72. 勇者</v>
      </c>
      <c r="O80" s="3680" t="s">
        <v>7209</v>
      </c>
      <c r="P80" s="3680" t="s">
        <v>7210</v>
      </c>
      <c r="Q80" s="3680" t="s">
        <v>7211</v>
      </c>
      <c r="R80" s="3680" t="s">
        <v>7212</v>
      </c>
      <c r="S80" s="3676">
        <v>79.0</v>
      </c>
      <c r="T80" s="3677">
        <v>69.0</v>
      </c>
      <c r="U80" s="3676" t="s">
        <v>76</v>
      </c>
      <c r="V80" s="3684" t="s">
        <v>7213</v>
      </c>
    </row>
    <row r="81">
      <c r="A81" s="3672">
        <v>73.0</v>
      </c>
      <c r="B81" s="3681" t="s">
        <v>7214</v>
      </c>
      <c r="C81" s="3680" t="s">
        <v>7215</v>
      </c>
      <c r="D81" s="3680" t="s">
        <v>7216</v>
      </c>
      <c r="E81" s="3674"/>
      <c r="F81" s="3680" t="s">
        <v>7217</v>
      </c>
      <c r="G81" s="3674"/>
      <c r="H81" s="3674"/>
      <c r="I81" s="3674"/>
      <c r="J81" s="3674"/>
      <c r="K81" s="3674"/>
      <c r="L81" s="3685" t="s">
        <v>7218</v>
      </c>
      <c r="M81" s="3680" t="s">
        <v>209</v>
      </c>
      <c r="N81" s="3674" t="str">
        <f t="shared" si="1"/>
        <v>73. バンジョー&amp;カズーイ</v>
      </c>
      <c r="O81" s="3680" t="s">
        <v>7219</v>
      </c>
      <c r="P81" s="3680" t="s">
        <v>7220</v>
      </c>
      <c r="Q81" s="3680" t="s">
        <v>7221</v>
      </c>
      <c r="R81" s="3680" t="s">
        <v>7222</v>
      </c>
      <c r="S81" s="3676">
        <v>80.0</v>
      </c>
      <c r="T81" s="3677">
        <v>70.0</v>
      </c>
      <c r="U81" s="3676" t="s">
        <v>76</v>
      </c>
      <c r="V81" s="3684" t="s">
        <v>7223</v>
      </c>
    </row>
    <row r="82">
      <c r="A82" s="3672">
        <v>74.0</v>
      </c>
      <c r="B82" s="3681" t="s">
        <v>7224</v>
      </c>
      <c r="C82" s="3680" t="s">
        <v>7225</v>
      </c>
      <c r="D82" s="3674"/>
      <c r="E82" s="3674"/>
      <c r="F82" s="3680" t="s">
        <v>7226</v>
      </c>
      <c r="G82" s="3674"/>
      <c r="H82" s="3674"/>
      <c r="I82" s="3674"/>
      <c r="J82" s="3674"/>
      <c r="K82" s="3674"/>
      <c r="L82" s="3685" t="s">
        <v>7227</v>
      </c>
      <c r="M82" s="3680" t="s">
        <v>213</v>
      </c>
      <c r="N82" s="3674" t="str">
        <f t="shared" si="1"/>
        <v>74. テリー</v>
      </c>
      <c r="O82" s="3680" t="s">
        <v>7228</v>
      </c>
      <c r="P82" s="3680" t="s">
        <v>7229</v>
      </c>
      <c r="Q82" s="3680" t="s">
        <v>7230</v>
      </c>
      <c r="R82" s="3680" t="s">
        <v>7231</v>
      </c>
      <c r="S82" s="3676">
        <v>81.0</v>
      </c>
      <c r="T82" s="3677">
        <v>71.0</v>
      </c>
      <c r="U82" s="3676" t="s">
        <v>76</v>
      </c>
      <c r="V82" s="3684" t="s">
        <v>7232</v>
      </c>
    </row>
    <row r="83">
      <c r="A83" s="3672">
        <v>75.0</v>
      </c>
      <c r="B83" s="3681" t="s">
        <v>7233</v>
      </c>
      <c r="C83" s="3674"/>
      <c r="D83" s="3674"/>
      <c r="E83" s="3674"/>
      <c r="F83" s="3680" t="s">
        <v>7234</v>
      </c>
      <c r="G83" s="3674"/>
      <c r="H83" s="3674"/>
      <c r="I83" s="3674"/>
      <c r="J83" s="3674"/>
      <c r="K83" s="3674"/>
      <c r="L83" s="3685" t="s">
        <v>7235</v>
      </c>
      <c r="M83" s="3680" t="s">
        <v>213</v>
      </c>
      <c r="N83" s="3674" t="str">
        <f t="shared" si="1"/>
        <v>75. ベレト／ベレス</v>
      </c>
      <c r="O83" s="3680" t="s">
        <v>7236</v>
      </c>
      <c r="P83" s="3680" t="s">
        <v>7237</v>
      </c>
      <c r="Q83" s="3680" t="s">
        <v>7238</v>
      </c>
      <c r="R83" s="3680" t="s">
        <v>7239</v>
      </c>
      <c r="S83" s="3676">
        <v>82.0</v>
      </c>
      <c r="T83" s="3677">
        <v>72.0</v>
      </c>
      <c r="U83" s="3676" t="s">
        <v>76</v>
      </c>
      <c r="V83" s="3684" t="s">
        <v>7240</v>
      </c>
    </row>
    <row r="84">
      <c r="A84" s="3672">
        <v>76.0</v>
      </c>
      <c r="B84" s="3681" t="s">
        <v>7241</v>
      </c>
      <c r="C84" s="3674"/>
      <c r="D84" s="3674"/>
      <c r="E84" s="3674"/>
      <c r="F84" s="3680" t="s">
        <v>7242</v>
      </c>
      <c r="G84" s="3674"/>
      <c r="H84" s="3674"/>
      <c r="I84" s="3674"/>
      <c r="J84" s="3674"/>
      <c r="K84" s="3674"/>
      <c r="L84" s="3685" t="s">
        <v>7243</v>
      </c>
      <c r="M84" s="3680" t="s">
        <v>209</v>
      </c>
      <c r="N84" s="3674" t="str">
        <f t="shared" si="1"/>
        <v>76. ミェンミェン</v>
      </c>
      <c r="O84" s="3680" t="s">
        <v>7244</v>
      </c>
      <c r="P84" s="3680" t="s">
        <v>7244</v>
      </c>
      <c r="Q84" s="3680" t="s">
        <v>7245</v>
      </c>
      <c r="R84" s="3680" t="s">
        <v>7246</v>
      </c>
      <c r="S84" s="3676">
        <v>83.0</v>
      </c>
      <c r="T84" s="3677">
        <v>73.0</v>
      </c>
      <c r="U84" s="3676" t="s">
        <v>76</v>
      </c>
      <c r="V84" s="3684" t="s">
        <v>7247</v>
      </c>
    </row>
    <row r="85">
      <c r="A85" s="3672">
        <v>77.0</v>
      </c>
      <c r="B85" s="3681" t="s">
        <v>7248</v>
      </c>
      <c r="C85" s="3674"/>
      <c r="D85" s="3674"/>
      <c r="E85" s="3674"/>
      <c r="F85" s="3680" t="s">
        <v>7249</v>
      </c>
      <c r="G85" s="3674"/>
      <c r="H85" s="3674"/>
      <c r="I85" s="3674"/>
      <c r="J85" s="3674"/>
      <c r="K85" s="3674"/>
      <c r="L85" s="3685" t="s">
        <v>7250</v>
      </c>
      <c r="M85" s="3680" t="s">
        <v>209</v>
      </c>
      <c r="N85" s="3674" t="str">
        <f t="shared" si="1"/>
        <v>77. スティーブ／アレックス</v>
      </c>
      <c r="O85" s="3680"/>
      <c r="P85" s="3680"/>
      <c r="Q85" s="3680"/>
      <c r="R85" s="3680"/>
      <c r="S85" s="3676">
        <v>84.0</v>
      </c>
      <c r="T85" s="3677">
        <v>74.0</v>
      </c>
      <c r="U85" s="3676" t="s">
        <v>76</v>
      </c>
      <c r="V85" s="3684" t="s">
        <v>7251</v>
      </c>
    </row>
    <row r="86">
      <c r="A86" s="3672">
        <v>78.0</v>
      </c>
      <c r="B86" s="3681" t="s">
        <v>7252</v>
      </c>
      <c r="C86" s="3674"/>
      <c r="D86" s="3674"/>
      <c r="E86" s="3674"/>
      <c r="F86" s="3680" t="s">
        <v>7253</v>
      </c>
      <c r="G86" s="3674"/>
      <c r="H86" s="3674"/>
      <c r="I86" s="3674"/>
      <c r="J86" s="3674"/>
      <c r="K86" s="3674"/>
      <c r="L86" s="3685" t="s">
        <v>7254</v>
      </c>
      <c r="M86" s="3680" t="s">
        <v>213</v>
      </c>
      <c r="N86" s="3674" t="str">
        <f t="shared" si="1"/>
        <v>78. セフィロス</v>
      </c>
      <c r="O86" s="3680"/>
      <c r="P86" s="3680"/>
      <c r="Q86" s="3680"/>
      <c r="R86" s="3680"/>
      <c r="S86" s="3676">
        <v>85.0</v>
      </c>
      <c r="T86" s="3677">
        <v>75.0</v>
      </c>
      <c r="U86" s="3676" t="s">
        <v>76</v>
      </c>
      <c r="V86" s="3684" t="s">
        <v>7255</v>
      </c>
    </row>
    <row r="87">
      <c r="A87" s="3672">
        <v>79.0</v>
      </c>
      <c r="B87" s="3681" t="s">
        <v>7256</v>
      </c>
      <c r="C87" s="3674"/>
      <c r="D87" s="3674"/>
      <c r="E87" s="3674"/>
      <c r="F87" s="3680" t="s">
        <v>7257</v>
      </c>
      <c r="G87" s="3674"/>
      <c r="H87" s="3674"/>
      <c r="I87" s="3674"/>
      <c r="J87" s="3674"/>
      <c r="K87" s="3674"/>
      <c r="L87" s="3685" t="s">
        <v>7258</v>
      </c>
      <c r="M87" s="3680" t="s">
        <v>213</v>
      </c>
      <c r="N87" s="3674" t="str">
        <f t="shared" si="1"/>
        <v>79. ホムラ</v>
      </c>
      <c r="O87" s="3680"/>
      <c r="P87" s="3680"/>
      <c r="Q87" s="3680"/>
      <c r="R87" s="3680"/>
      <c r="S87" s="3676">
        <v>86.0</v>
      </c>
      <c r="T87" s="3677">
        <v>76.0</v>
      </c>
      <c r="U87" s="3676" t="s">
        <v>76</v>
      </c>
      <c r="V87" s="3684" t="s">
        <v>7259</v>
      </c>
    </row>
    <row r="88">
      <c r="A88" s="3672">
        <v>80.0</v>
      </c>
      <c r="B88" s="3681" t="s">
        <v>7260</v>
      </c>
      <c r="C88" s="3674"/>
      <c r="D88" s="3674"/>
      <c r="E88" s="3674"/>
      <c r="F88" s="3680" t="s">
        <v>7261</v>
      </c>
      <c r="G88" s="3674"/>
      <c r="H88" s="3674"/>
      <c r="I88" s="3674"/>
      <c r="J88" s="3674"/>
      <c r="K88" s="3674"/>
      <c r="L88" s="3685" t="s">
        <v>7262</v>
      </c>
      <c r="M88" s="3680" t="s">
        <v>213</v>
      </c>
      <c r="N88" s="3674" t="str">
        <f t="shared" si="1"/>
        <v>80. ヒカリ</v>
      </c>
      <c r="O88" s="3680"/>
      <c r="P88" s="3680"/>
      <c r="Q88" s="3680"/>
      <c r="R88" s="3680"/>
      <c r="S88" s="3676">
        <v>87.0</v>
      </c>
      <c r="T88" s="3677">
        <v>77.0</v>
      </c>
      <c r="U88" s="3676" t="s">
        <v>76</v>
      </c>
      <c r="V88" s="3684" t="s">
        <v>7263</v>
      </c>
    </row>
    <row r="89">
      <c r="A89" s="3672">
        <v>81.0</v>
      </c>
      <c r="B89" s="3681" t="s">
        <v>7264</v>
      </c>
      <c r="C89" s="3674"/>
      <c r="D89" s="3674"/>
      <c r="E89" s="3674"/>
      <c r="F89" s="3680" t="s">
        <v>7265</v>
      </c>
      <c r="G89" s="3674"/>
      <c r="H89" s="3674"/>
      <c r="I89" s="3674"/>
      <c r="J89" s="3674"/>
      <c r="K89" s="3674"/>
      <c r="L89" s="3686" t="s">
        <v>7266</v>
      </c>
      <c r="M89" s="3680" t="s">
        <v>213</v>
      </c>
      <c r="N89" s="3674" t="str">
        <f t="shared" si="1"/>
        <v>81. カズヤ</v>
      </c>
      <c r="O89" s="3680"/>
      <c r="P89" s="3680"/>
      <c r="Q89" s="3680"/>
      <c r="R89" s="3680"/>
      <c r="S89" s="3676">
        <v>88.0</v>
      </c>
      <c r="T89" s="3677">
        <v>78.0</v>
      </c>
      <c r="U89" s="3676"/>
      <c r="V89" s="3684" t="s">
        <v>7267</v>
      </c>
    </row>
    <row r="90">
      <c r="A90" s="3672">
        <v>82.0</v>
      </c>
      <c r="B90" s="3681" t="s">
        <v>7268</v>
      </c>
      <c r="C90" s="3674"/>
      <c r="D90" s="3674"/>
      <c r="E90" s="3674"/>
      <c r="F90" s="3680" t="s">
        <v>7269</v>
      </c>
      <c r="G90" s="3674"/>
      <c r="H90" s="3674"/>
      <c r="I90" s="3674"/>
      <c r="J90" s="3674"/>
      <c r="K90" s="3674"/>
      <c r="L90" s="3686" t="s">
        <v>7270</v>
      </c>
      <c r="M90" s="3680" t="s">
        <v>209</v>
      </c>
      <c r="N90" s="3674" t="str">
        <f t="shared" si="1"/>
        <v>82. ソラ</v>
      </c>
      <c r="O90" s="3680"/>
      <c r="P90" s="3680"/>
      <c r="Q90" s="3680"/>
      <c r="R90" s="3680"/>
      <c r="S90" s="3677">
        <v>89.0</v>
      </c>
      <c r="T90" s="3677">
        <v>79.0</v>
      </c>
      <c r="U90" s="3676" t="s">
        <v>76</v>
      </c>
      <c r="V90" s="3684" t="s">
        <v>7271</v>
      </c>
    </row>
  </sheetData>
  <autoFilter ref="$A$1:$V$90">
    <sortState ref="A1:V90">
      <sortCondition ref="S1:S90"/>
      <sortCondition ref="V1:V90"/>
    </sortState>
  </autoFilter>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3"/>
    <hyperlink r:id="rId23" ref="L24"/>
    <hyperlink r:id="rId24" ref="L25"/>
    <hyperlink r:id="rId25" ref="L26"/>
    <hyperlink r:id="rId26" ref="L27"/>
    <hyperlink r:id="rId27" ref="L28"/>
    <hyperlink r:id="rId28" ref="L29"/>
    <hyperlink r:id="rId29" ref="L30"/>
    <hyperlink r:id="rId30" ref="L31"/>
    <hyperlink r:id="rId31" ref="L32"/>
    <hyperlink r:id="rId32" ref="L33"/>
    <hyperlink r:id="rId33" ref="L34"/>
    <hyperlink r:id="rId34" ref="L35"/>
    <hyperlink r:id="rId35" ref="L36"/>
    <hyperlink r:id="rId36" ref="L37"/>
    <hyperlink r:id="rId37" ref="L38"/>
    <hyperlink r:id="rId38" ref="L39"/>
    <hyperlink r:id="rId39" ref="L40"/>
    <hyperlink r:id="rId40" ref="L41"/>
    <hyperlink r:id="rId41" ref="L42"/>
    <hyperlink r:id="rId42" ref="L43"/>
    <hyperlink r:id="rId43" ref="L44"/>
    <hyperlink r:id="rId44" ref="L45"/>
    <hyperlink r:id="rId45" ref="L46"/>
    <hyperlink r:id="rId46" ref="L47"/>
    <hyperlink r:id="rId47" ref="L48"/>
    <hyperlink r:id="rId48" ref="L49"/>
    <hyperlink r:id="rId49" ref="L50"/>
    <hyperlink r:id="rId50" ref="L51"/>
    <hyperlink r:id="rId51" ref="L52"/>
    <hyperlink r:id="rId52" ref="L53"/>
    <hyperlink r:id="rId53" ref="L54"/>
    <hyperlink r:id="rId54" ref="L55"/>
    <hyperlink r:id="rId55" ref="L56"/>
    <hyperlink r:id="rId56" ref="L57"/>
    <hyperlink r:id="rId57" ref="L58"/>
    <hyperlink r:id="rId58" ref="L59"/>
    <hyperlink r:id="rId59" ref="L60"/>
    <hyperlink r:id="rId60" ref="L61"/>
    <hyperlink r:id="rId61" ref="L62"/>
    <hyperlink r:id="rId62" ref="L63"/>
    <hyperlink r:id="rId63" ref="L64"/>
    <hyperlink r:id="rId64" ref="L65"/>
    <hyperlink r:id="rId65" ref="L66"/>
    <hyperlink r:id="rId66" ref="L67"/>
    <hyperlink r:id="rId67" ref="L68"/>
    <hyperlink r:id="rId68" ref="L69"/>
    <hyperlink r:id="rId69" ref="L70"/>
    <hyperlink r:id="rId70" ref="L71"/>
    <hyperlink r:id="rId71" ref="L72"/>
    <hyperlink r:id="rId72" ref="L73"/>
    <hyperlink r:id="rId73" ref="L74"/>
    <hyperlink r:id="rId74" ref="L75"/>
    <hyperlink r:id="rId75" ref="L76"/>
    <hyperlink r:id="rId76" ref="L77"/>
    <hyperlink r:id="rId77" ref="L78"/>
    <hyperlink r:id="rId78" ref="L79"/>
    <hyperlink r:id="rId79" ref="L80"/>
    <hyperlink r:id="rId80" ref="L81"/>
    <hyperlink r:id="rId81" ref="L82"/>
    <hyperlink r:id="rId82" ref="L83"/>
    <hyperlink r:id="rId83" ref="L84"/>
    <hyperlink r:id="rId84" ref="L85"/>
    <hyperlink r:id="rId85" ref="L86"/>
    <hyperlink r:id="rId86" ref="L87"/>
    <hyperlink r:id="rId87" ref="L88"/>
    <hyperlink r:id="rId88" ref="L89"/>
    <hyperlink r:id="rId89" ref="L90"/>
  </hyperlinks>
  <drawing r:id="rId90"/>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2" width="18.88"/>
    <col customWidth="1" min="3" max="10" width="8.13"/>
    <col customWidth="1" min="11" max="11" width="2.75"/>
    <col customWidth="1" min="12" max="12" width="8.13"/>
    <col customWidth="1" min="13" max="13" width="2.75"/>
    <col customWidth="1" min="14" max="18" width="8.13"/>
    <col customWidth="1" min="19" max="19" width="2.75"/>
    <col customWidth="1" min="20" max="20" width="9.25"/>
    <col customWidth="1" min="21" max="21" width="2.75"/>
    <col customWidth="1" min="22" max="22" width="9.25"/>
    <col customWidth="1" min="23" max="23" width="2.75"/>
    <col customWidth="1" min="24" max="24" width="9.25"/>
    <col customWidth="1" min="25" max="25" width="2.75"/>
    <col customWidth="1" min="26" max="26" width="9.25"/>
    <col customWidth="1" min="27" max="27" width="2.75"/>
    <col customWidth="1" min="28" max="28" width="9.25"/>
    <col customWidth="1" min="29" max="29" width="2.75"/>
    <col customWidth="1" min="30" max="33" width="9.25"/>
  </cols>
  <sheetData>
    <row r="1">
      <c r="A1" s="3687" t="str">
        <f>Fighters!$C$1</f>
        <v>13.0.1</v>
      </c>
      <c r="B1" s="3688" t="s">
        <v>7272</v>
      </c>
      <c r="C1" s="3689" t="s">
        <v>5280</v>
      </c>
      <c r="D1" s="3689" t="s">
        <v>5284</v>
      </c>
      <c r="E1" s="3690" t="s">
        <v>5288</v>
      </c>
      <c r="F1" s="3690" t="s">
        <v>5292</v>
      </c>
      <c r="G1" s="3691" t="s">
        <v>587</v>
      </c>
      <c r="H1" s="3689" t="s">
        <v>2922</v>
      </c>
      <c r="I1" s="3692" t="s">
        <v>5285</v>
      </c>
      <c r="J1" s="3692" t="s">
        <v>5289</v>
      </c>
      <c r="K1" s="3693"/>
      <c r="L1" s="3689" t="s">
        <v>46</v>
      </c>
      <c r="M1" s="3693"/>
      <c r="N1" s="3691" t="s">
        <v>5295</v>
      </c>
      <c r="O1" s="3692" t="s">
        <v>5282</v>
      </c>
      <c r="P1" s="3692" t="s">
        <v>5286</v>
      </c>
      <c r="Q1" s="3689" t="s">
        <v>5290</v>
      </c>
      <c r="R1" s="3691" t="s">
        <v>5293</v>
      </c>
      <c r="S1" s="3694"/>
      <c r="T1" s="3695" t="s">
        <v>5281</v>
      </c>
      <c r="U1" s="3694"/>
      <c r="V1" s="3696" t="s">
        <v>3399</v>
      </c>
      <c r="W1" s="3694"/>
      <c r="X1" s="3696" t="s">
        <v>3403</v>
      </c>
      <c r="Y1" s="3694"/>
      <c r="Z1" s="3696" t="s">
        <v>1584</v>
      </c>
      <c r="AA1" s="3694"/>
      <c r="AB1" s="3696" t="s">
        <v>3407</v>
      </c>
      <c r="AC1" s="3694"/>
      <c r="AD1" s="3697" t="s">
        <v>5296</v>
      </c>
      <c r="AE1" s="3698" t="str">
        <f>Fighters!S1</f>
        <v>No.</v>
      </c>
      <c r="AF1" s="3698" t="str">
        <f>Fighters!T1</f>
        <v>Chr ID</v>
      </c>
      <c r="AG1" s="3699" t="str">
        <f>Fighters!V1</f>
        <v>File</v>
      </c>
    </row>
    <row r="2">
      <c r="A2" s="3700">
        <f>Fighters!$A2</f>
        <v>1</v>
      </c>
      <c r="B2" s="3701" t="str">
        <f>Fighters!$B2</f>
        <v>マリオ</v>
      </c>
      <c r="C2" s="2540" t="s">
        <v>176</v>
      </c>
      <c r="D2" s="3702" t="b">
        <v>0</v>
      </c>
      <c r="E2" s="3702" t="b">
        <v>1</v>
      </c>
      <c r="F2" s="3702" t="b">
        <v>0</v>
      </c>
      <c r="G2" s="3703" t="b">
        <v>0</v>
      </c>
      <c r="H2" s="544">
        <v>3.0</v>
      </c>
      <c r="I2" s="3704">
        <v>2.0</v>
      </c>
      <c r="J2" s="3705" t="s">
        <v>73</v>
      </c>
      <c r="K2" s="256">
        <f t="shared" ref="K2:K90" si="1">IFERROR(RANK(L2,L:L, 1),"")</f>
        <v>5</v>
      </c>
      <c r="L2" s="3704">
        <v>10.0</v>
      </c>
      <c r="M2" s="256">
        <f t="shared" ref="M2:M90" si="2">IFERROR(RANK(N2,N:N, 1),"")</f>
        <v>13</v>
      </c>
      <c r="N2" s="3706">
        <v>19.0</v>
      </c>
      <c r="O2" s="544">
        <v>40.0</v>
      </c>
      <c r="P2" s="3704">
        <v>56.0</v>
      </c>
      <c r="Q2" s="3704">
        <v>28.0</v>
      </c>
      <c r="R2" s="3706">
        <v>39.0</v>
      </c>
      <c r="S2" s="2880">
        <f t="shared" ref="S2:S90" si="3">IFERROR(RANK(T2,$T:$T),"")</f>
        <v>33</v>
      </c>
      <c r="T2" s="3707">
        <f>IFERROR(__xludf.DUMMYFUNCTION("VALUE(IFERROR(VLOOKUP($AG2, IMPORTRANGE(""https://docs.google.com/spreadsheets/d/1UdH2L0xi8dO6jyPCcO5e5-8j7SGzezxkeZuF1uP8uOw"",""fighter_param (""&amp;TO_TEXT($A$1)&amp;"")!B4:JZ""), 32, FALSE), """"))"),98.0)</f>
        <v>98</v>
      </c>
      <c r="U2" s="2880">
        <f t="shared" ref="U2:U90" si="4">IFERROR(RANK(V2,V:V),"")</f>
        <v>35</v>
      </c>
      <c r="V2" s="3707">
        <f>IFERROR(__xludf.DUMMYFUNCTION("VALUE(IFERROR(VLOOKUP($AG2, IMPORTRANGE(""https://docs.google.com/spreadsheets/d/1UdH2L0xi8dO6jyPCcO5e5-8j7SGzezxkeZuF1uP8uOw"",""fighter_param (""&amp;TO_TEXT($A$1)&amp;"")!B4:JZ""), 4, FALSE), """"))"),1.155)</f>
        <v>1.155</v>
      </c>
      <c r="W2" s="2880">
        <f t="shared" ref="W2:W90" si="5">IFERROR(RANK(X2,X:X),"")</f>
        <v>37</v>
      </c>
      <c r="X2" s="3707">
        <f>IFERROR(__xludf.DUMMYFUNCTION("VALUE(IFERROR(VLOOKUP($AG2, IMPORTRANGE(""https://docs.google.com/spreadsheets/d/1UdH2L0xi8dO6jyPCcO5e5-8j7SGzezxkeZuF1uP8uOw"",""fighter_param (""&amp;TO_TEXT($A$1)&amp;"")!B4:JZ""), 12, FALSE), """"))"),1.76)</f>
        <v>1.76</v>
      </c>
      <c r="Y2" s="2880">
        <f t="shared" ref="Y2:Y90" si="6">IFERROR(RANK(Z2,Z:Z),"")</f>
        <v>13</v>
      </c>
      <c r="Z2" s="3707">
        <f>IFERROR(__xludf.DUMMYFUNCTION("VALUE(IFERROR(VLOOKUP($AG2, IMPORTRANGE(""https://docs.google.com/spreadsheets/d/1UdH2L0xi8dO6jyPCcO5e5-8j7SGzezxkeZuF1uP8uOw"",""fighter_param (""&amp;TO_TEXT($A$1)&amp;"")!B4:JZ""), 24, FALSE), """"))"),1.208)</f>
        <v>1.208</v>
      </c>
      <c r="AA2" s="2880">
        <f t="shared" ref="AA2:AA90" si="7">IFERROR(RANK(AB2,AB:AB),"")</f>
        <v>59</v>
      </c>
      <c r="AB2" s="3707">
        <f>IFERROR(__xludf.DUMMYFUNCTION("VALUE(IFERROR(VLOOKUP($AG2, IMPORTRANGE(""https://docs.google.com/spreadsheets/d/1UdH2L0xi8dO6jyPCcO5e5-8j7SGzezxkeZuF1uP8uOw"",""fighter_param (""&amp;TO_TEXT($A$1)&amp;"")!B4:JZ""), 27, FALSE), """"))"),1.5)</f>
        <v>1.5</v>
      </c>
      <c r="AC2" s="2880">
        <f t="shared" ref="AC2:AC90" si="8">IFERROR(RANK(AD2,AD:AD),"")</f>
        <v>57</v>
      </c>
      <c r="AD2" s="3707">
        <f>IFERROR(__xludf.DUMMYFUNCTION("VALUE(IFERROR(VLOOKUP($AG2, IMPORTRANGE(""https://docs.google.com/spreadsheets/d/1UdH2L0xi8dO6jyPCcO5e5-8j7SGzezxkeZuF1uP8uOw"",""fighter_param (""&amp;TO_TEXT($A$1)&amp;"")!B4:JZ""), 31, FALSE), """"))"),2.4)</f>
        <v>2.4</v>
      </c>
      <c r="AE2" s="3708">
        <f>Fighters!S2</f>
        <v>1</v>
      </c>
      <c r="AF2" s="3709">
        <f>Fighters!T2</f>
        <v>0</v>
      </c>
      <c r="AG2" s="3710" t="str">
        <f>Fighters!V2</f>
        <v>mario</v>
      </c>
    </row>
    <row r="3">
      <c r="A3" s="3700">
        <f>Fighters!A3</f>
        <v>2</v>
      </c>
      <c r="B3" s="3701" t="str">
        <f>Fighters!B3</f>
        <v>ドンキーコング</v>
      </c>
      <c r="C3" s="2540" t="s">
        <v>176</v>
      </c>
      <c r="D3" s="3702" t="b">
        <v>0</v>
      </c>
      <c r="E3" s="3702" t="b">
        <v>0</v>
      </c>
      <c r="F3" s="3702" t="b">
        <v>0</v>
      </c>
      <c r="G3" s="3703" t="b">
        <v>0</v>
      </c>
      <c r="H3" s="544">
        <v>3.0</v>
      </c>
      <c r="I3" s="3704">
        <v>2.0</v>
      </c>
      <c r="J3" s="3711" t="s">
        <v>150</v>
      </c>
      <c r="K3" s="256">
        <f t="shared" si="1"/>
        <v>80</v>
      </c>
      <c r="L3" s="3704">
        <v>15.0</v>
      </c>
      <c r="M3" s="256">
        <f t="shared" si="2"/>
        <v>13</v>
      </c>
      <c r="N3" s="3706">
        <v>19.0</v>
      </c>
      <c r="O3" s="544">
        <v>40.0</v>
      </c>
      <c r="P3" s="3704">
        <v>53.0</v>
      </c>
      <c r="Q3" s="3704">
        <v>27.0</v>
      </c>
      <c r="R3" s="3706">
        <v>37.0</v>
      </c>
      <c r="S3" s="2880">
        <f t="shared" si="3"/>
        <v>3</v>
      </c>
      <c r="T3" s="3707">
        <f>IFERROR(__xludf.DUMMYFUNCTION("VALUE(IFERROR(VLOOKUP($AG3, IMPORTRANGE(""https://docs.google.com/spreadsheets/d/1UdH2L0xi8dO6jyPCcO5e5-8j7SGzezxkeZuF1uP8uOw"",""fighter_param (""&amp;TO_TEXT($A$1)&amp;"")!B4:JZ""), 32, FALSE), """"))"),127.0)</f>
        <v>127</v>
      </c>
      <c r="U3" s="2880">
        <f t="shared" si="4"/>
        <v>10</v>
      </c>
      <c r="V3" s="3707">
        <f>IFERROR(__xludf.DUMMYFUNCTION("VALUE(IFERROR(VLOOKUP($AG3, IMPORTRANGE(""https://docs.google.com/spreadsheets/d/1UdH2L0xi8dO6jyPCcO5e5-8j7SGzezxkeZuF1uP8uOw"",""fighter_param (""&amp;TO_TEXT($A$1)&amp;"")!B4:JZ""), 4, FALSE), """"))"),1.365)</f>
        <v>1.365</v>
      </c>
      <c r="W3" s="2880">
        <f t="shared" si="5"/>
        <v>29</v>
      </c>
      <c r="X3" s="3707">
        <f>IFERROR(__xludf.DUMMYFUNCTION("VALUE(IFERROR(VLOOKUP($AG3, IMPORTRANGE(""https://docs.google.com/spreadsheets/d/1UdH2L0xi8dO6jyPCcO5e5-8j7SGzezxkeZuF1uP8uOw"",""fighter_param (""&amp;TO_TEXT($A$1)&amp;"")!B4:JZ""), 12, FALSE), """"))"),1.873)</f>
        <v>1.873</v>
      </c>
      <c r="Y3" s="2880">
        <f t="shared" si="6"/>
        <v>13</v>
      </c>
      <c r="Z3" s="3707">
        <f>IFERROR(__xludf.DUMMYFUNCTION("VALUE(IFERROR(VLOOKUP($AG3, IMPORTRANGE(""https://docs.google.com/spreadsheets/d/1UdH2L0xi8dO6jyPCcO5e5-8j7SGzezxkeZuF1uP8uOw"",""fighter_param (""&amp;TO_TEXT($A$1)&amp;"")!B4:JZ""), 24, FALSE), """"))"),1.208)</f>
        <v>1.208</v>
      </c>
      <c r="AA3" s="2880">
        <f t="shared" si="7"/>
        <v>39</v>
      </c>
      <c r="AB3" s="3707">
        <f>IFERROR(__xludf.DUMMYFUNCTION("VALUE(IFERROR(VLOOKUP($AG3, IMPORTRANGE(""https://docs.google.com/spreadsheets/d/1UdH2L0xi8dO6jyPCcO5e5-8j7SGzezxkeZuF1uP8uOw"",""fighter_param (""&amp;TO_TEXT($A$1)&amp;"")!B4:JZ""), 27, FALSE), """"))"),1.63)</f>
        <v>1.63</v>
      </c>
      <c r="AC3" s="2880">
        <f t="shared" si="8"/>
        <v>40</v>
      </c>
      <c r="AD3" s="3707">
        <f>IFERROR(__xludf.DUMMYFUNCTION("VALUE(IFERROR(VLOOKUP($AG3, IMPORTRANGE(""https://docs.google.com/spreadsheets/d/1UdH2L0xi8dO6jyPCcO5e5-8j7SGzezxkeZuF1uP8uOw"",""fighter_param (""&amp;TO_TEXT($A$1)&amp;"")!B4:JZ""), 31, FALSE), """"))"),2.608)</f>
        <v>2.608</v>
      </c>
      <c r="AE3" s="3712">
        <f>Fighters!S3</f>
        <v>2</v>
      </c>
      <c r="AF3" s="3713">
        <f>Fighters!T3</f>
        <v>1</v>
      </c>
      <c r="AG3" s="3714" t="str">
        <f>Fighters!V3</f>
        <v>donkey</v>
      </c>
    </row>
    <row r="4">
      <c r="A4" s="3700">
        <f>Fighters!A4</f>
        <v>3</v>
      </c>
      <c r="B4" s="3701" t="str">
        <f>Fighters!B4</f>
        <v>リンク</v>
      </c>
      <c r="C4" s="2540" t="s">
        <v>176</v>
      </c>
      <c r="D4" s="3702" t="b">
        <v>0</v>
      </c>
      <c r="E4" s="3702" t="b">
        <v>0</v>
      </c>
      <c r="F4" s="3702" t="b">
        <v>0</v>
      </c>
      <c r="G4" s="3703" t="b">
        <v>0</v>
      </c>
      <c r="H4" s="544">
        <v>3.0</v>
      </c>
      <c r="I4" s="3704">
        <v>2.0</v>
      </c>
      <c r="J4" s="3711" t="s">
        <v>150</v>
      </c>
      <c r="K4" s="256">
        <f t="shared" si="1"/>
        <v>62</v>
      </c>
      <c r="L4" s="3704">
        <v>12.0</v>
      </c>
      <c r="M4" s="256">
        <f t="shared" si="2"/>
        <v>13</v>
      </c>
      <c r="N4" s="3706">
        <v>19.0</v>
      </c>
      <c r="O4" s="544">
        <v>33.0</v>
      </c>
      <c r="P4" s="3704">
        <v>45.0</v>
      </c>
      <c r="Q4" s="3704">
        <v>22.0</v>
      </c>
      <c r="R4" s="3706">
        <v>30.0</v>
      </c>
      <c r="S4" s="2880">
        <f t="shared" si="3"/>
        <v>22</v>
      </c>
      <c r="T4" s="3707">
        <f>IFERROR(__xludf.DUMMYFUNCTION("VALUE(IFERROR(VLOOKUP($AG4, IMPORTRANGE(""https://docs.google.com/spreadsheets/d/1UdH2L0xi8dO6jyPCcO5e5-8j7SGzezxkeZuF1uP8uOw"",""fighter_param (""&amp;TO_TEXT($A$1)&amp;"")!B4:JZ""), 32, FALSE), """"))"),104.0)</f>
        <v>104</v>
      </c>
      <c r="U4" s="2880">
        <f t="shared" si="4"/>
        <v>23</v>
      </c>
      <c r="V4" s="3707">
        <f>IFERROR(__xludf.DUMMYFUNCTION("VALUE(IFERROR(VLOOKUP($AG4, IMPORTRANGE(""https://docs.google.com/spreadsheets/d/1UdH2L0xi8dO6jyPCcO5e5-8j7SGzezxkeZuF1uP8uOw"",""fighter_param (""&amp;TO_TEXT($A$1)&amp;"")!B4:JZ""), 4, FALSE), """"))"),1.247)</f>
        <v>1.247</v>
      </c>
      <c r="W4" s="2880">
        <f t="shared" si="5"/>
        <v>71</v>
      </c>
      <c r="X4" s="3707">
        <f>IFERROR(__xludf.DUMMYFUNCTION("VALUE(IFERROR(VLOOKUP($AG4, IMPORTRANGE(""https://docs.google.com/spreadsheets/d/1UdH2L0xi8dO6jyPCcO5e5-8j7SGzezxkeZuF1uP8uOw"",""fighter_param (""&amp;TO_TEXT($A$1)&amp;"")!B4:JZ""), 12, FALSE), """"))"),1.534)</f>
        <v>1.534</v>
      </c>
      <c r="Y4" s="2880">
        <f t="shared" si="6"/>
        <v>75</v>
      </c>
      <c r="Z4" s="3707">
        <f>IFERROR(__xludf.DUMMYFUNCTION("VALUE(IFERROR(VLOOKUP($AG4, IMPORTRANGE(""https://docs.google.com/spreadsheets/d/1UdH2L0xi8dO6jyPCcO5e5-8j7SGzezxkeZuF1uP8uOw"",""fighter_param (""&amp;TO_TEXT($A$1)&amp;"")!B4:JZ""), 24, FALSE), """"))"),0.924)</f>
        <v>0.924</v>
      </c>
      <c r="AA4" s="2880">
        <f t="shared" si="7"/>
        <v>43</v>
      </c>
      <c r="AB4" s="3707">
        <f>IFERROR(__xludf.DUMMYFUNCTION("VALUE(IFERROR(VLOOKUP($AG4, IMPORTRANGE(""https://docs.google.com/spreadsheets/d/1UdH2L0xi8dO6jyPCcO5e5-8j7SGzezxkeZuF1uP8uOw"",""fighter_param (""&amp;TO_TEXT($A$1)&amp;"")!B4:JZ""), 27, FALSE), """"))"),1.6)</f>
        <v>1.6</v>
      </c>
      <c r="AC4" s="2880">
        <f t="shared" si="8"/>
        <v>6</v>
      </c>
      <c r="AD4" s="3707">
        <f>IFERROR(__xludf.DUMMYFUNCTION("VALUE(IFERROR(VLOOKUP($AG4, IMPORTRANGE(""https://docs.google.com/spreadsheets/d/1UdH2L0xi8dO6jyPCcO5e5-8j7SGzezxkeZuF1uP8uOw"",""fighter_param (""&amp;TO_TEXT($A$1)&amp;"")!B4:JZ""), 31, FALSE), """"))"),3.04)</f>
        <v>3.04</v>
      </c>
      <c r="AE4" s="3712">
        <f>Fighters!S4</f>
        <v>3</v>
      </c>
      <c r="AF4" s="3713">
        <f>Fighters!T4</f>
        <v>2</v>
      </c>
      <c r="AG4" s="3714" t="str">
        <f>Fighters!V4</f>
        <v>link</v>
      </c>
    </row>
    <row r="5">
      <c r="A5" s="3700">
        <f>Fighters!A5</f>
        <v>4</v>
      </c>
      <c r="B5" s="3701" t="str">
        <f>Fighters!B5</f>
        <v>サムス</v>
      </c>
      <c r="C5" s="2540" t="s">
        <v>176</v>
      </c>
      <c r="D5" s="3702" t="b">
        <v>0</v>
      </c>
      <c r="E5" s="3702" t="b">
        <v>1</v>
      </c>
      <c r="F5" s="3702" t="b">
        <v>0</v>
      </c>
      <c r="G5" s="3703" t="b">
        <v>1</v>
      </c>
      <c r="H5" s="544">
        <v>3.0</v>
      </c>
      <c r="I5" s="3704">
        <v>2.0</v>
      </c>
      <c r="J5" s="3711" t="s">
        <v>73</v>
      </c>
      <c r="K5" s="256">
        <f t="shared" si="1"/>
        <v>5</v>
      </c>
      <c r="L5" s="3704">
        <v>10.0</v>
      </c>
      <c r="M5" s="256">
        <f t="shared" si="2"/>
        <v>13</v>
      </c>
      <c r="N5" s="3706">
        <v>19.0</v>
      </c>
      <c r="O5" s="544">
        <v>44.0</v>
      </c>
      <c r="P5" s="3704">
        <v>61.0</v>
      </c>
      <c r="Q5" s="3704">
        <v>31.0</v>
      </c>
      <c r="R5" s="3706">
        <v>43.0</v>
      </c>
      <c r="S5" s="2880">
        <f t="shared" si="3"/>
        <v>10</v>
      </c>
      <c r="T5" s="3707">
        <f>IFERROR(__xludf.DUMMYFUNCTION("VALUE(IFERROR(VLOOKUP($AG5, IMPORTRANGE(""https://docs.google.com/spreadsheets/d/1UdH2L0xi8dO6jyPCcO5e5-8j7SGzezxkeZuF1uP8uOw"",""fighter_param (""&amp;TO_TEXT($A$1)&amp;"")!B4:JZ""), 32, FALSE), """"))"),108.0)</f>
        <v>108</v>
      </c>
      <c r="U5" s="2880">
        <f t="shared" si="4"/>
        <v>44</v>
      </c>
      <c r="V5" s="3707">
        <f>IFERROR(__xludf.DUMMYFUNCTION("VALUE(IFERROR(VLOOKUP($AG5, IMPORTRANGE(""https://docs.google.com/spreadsheets/d/1UdH2L0xi8dO6jyPCcO5e5-8j7SGzezxkeZuF1uP8uOw"",""fighter_param (""&amp;TO_TEXT($A$1)&amp;"")!B4:JZ""), 4, FALSE), """"))"),1.115)</f>
        <v>1.115</v>
      </c>
      <c r="W5" s="2880">
        <f t="shared" si="5"/>
        <v>50</v>
      </c>
      <c r="X5" s="3707">
        <f>IFERROR(__xludf.DUMMYFUNCTION("VALUE(IFERROR(VLOOKUP($AG5, IMPORTRANGE(""https://docs.google.com/spreadsheets/d/1UdH2L0xi8dO6jyPCcO5e5-8j7SGzezxkeZuF1uP8uOw"",""fighter_param (""&amp;TO_TEXT($A$1)&amp;"")!B4:JZ""), 12, FALSE), """"))"),1.654)</f>
        <v>1.654</v>
      </c>
      <c r="Y5" s="2880">
        <f t="shared" si="6"/>
        <v>34</v>
      </c>
      <c r="Z5" s="3707">
        <f>IFERROR(__xludf.DUMMYFUNCTION("VALUE(IFERROR(VLOOKUP($AG5, IMPORTRANGE(""https://docs.google.com/spreadsheets/d/1UdH2L0xi8dO6jyPCcO5e5-8j7SGzezxkeZuF1uP8uOw"",""fighter_param (""&amp;TO_TEXT($A$1)&amp;"")!B4:JZ""), 24, FALSE), """"))"),1.103)</f>
        <v>1.103</v>
      </c>
      <c r="AA5" s="2880">
        <f t="shared" si="7"/>
        <v>75</v>
      </c>
      <c r="AB5" s="3707">
        <f>IFERROR(__xludf.DUMMYFUNCTION("VALUE(IFERROR(VLOOKUP($AG5, IMPORTRANGE(""https://docs.google.com/spreadsheets/d/1UdH2L0xi8dO6jyPCcO5e5-8j7SGzezxkeZuF1uP8uOw"",""fighter_param (""&amp;TO_TEXT($A$1)&amp;"")!B4:JZ""), 27, FALSE), """"))"),1.33)</f>
        <v>1.33</v>
      </c>
      <c r="AC5" s="2880">
        <f t="shared" si="8"/>
        <v>75</v>
      </c>
      <c r="AD5" s="3707">
        <f>IFERROR(__xludf.DUMMYFUNCTION("VALUE(IFERROR(VLOOKUP($AG5, IMPORTRANGE(""https://docs.google.com/spreadsheets/d/1UdH2L0xi8dO6jyPCcO5e5-8j7SGzezxkeZuF1uP8uOw"",""fighter_param (""&amp;TO_TEXT($A$1)&amp;"")!B4:JZ""), 31, FALSE), """"))"),2.128)</f>
        <v>2.128</v>
      </c>
      <c r="AE5" s="3712">
        <f>Fighters!S5</f>
        <v>4</v>
      </c>
      <c r="AF5" s="3713">
        <f>Fighters!T5</f>
        <v>3</v>
      </c>
      <c r="AG5" s="3714" t="str">
        <f>Fighters!V5</f>
        <v>samus</v>
      </c>
    </row>
    <row r="6">
      <c r="A6" s="3700" t="str">
        <f>Fighters!A6</f>
        <v>4'</v>
      </c>
      <c r="B6" s="3701" t="str">
        <f>Fighters!B6</f>
        <v>ダークサムス</v>
      </c>
      <c r="C6" s="2540" t="s">
        <v>176</v>
      </c>
      <c r="D6" s="3702" t="b">
        <v>0</v>
      </c>
      <c r="E6" s="3702" t="b">
        <v>1</v>
      </c>
      <c r="F6" s="3702" t="b">
        <v>0</v>
      </c>
      <c r="G6" s="3703" t="b">
        <v>1</v>
      </c>
      <c r="H6" s="544">
        <v>3.0</v>
      </c>
      <c r="I6" s="3704">
        <v>2.0</v>
      </c>
      <c r="J6" s="3711" t="s">
        <v>73</v>
      </c>
      <c r="K6" s="256">
        <f t="shared" si="1"/>
        <v>5</v>
      </c>
      <c r="L6" s="3704">
        <v>10.0</v>
      </c>
      <c r="M6" s="256">
        <f t="shared" si="2"/>
        <v>13</v>
      </c>
      <c r="N6" s="3706">
        <v>19.0</v>
      </c>
      <c r="O6" s="544">
        <v>44.0</v>
      </c>
      <c r="P6" s="3704">
        <v>61.0</v>
      </c>
      <c r="Q6" s="3704">
        <v>31.0</v>
      </c>
      <c r="R6" s="3706">
        <v>43.0</v>
      </c>
      <c r="S6" s="2880">
        <f t="shared" si="3"/>
        <v>10</v>
      </c>
      <c r="T6" s="3707">
        <f>IFERROR(__xludf.DUMMYFUNCTION("VALUE(IFERROR(VLOOKUP($AG6, IMPORTRANGE(""https://docs.google.com/spreadsheets/d/1UdH2L0xi8dO6jyPCcO5e5-8j7SGzezxkeZuF1uP8uOw"",""fighter_param (""&amp;TO_TEXT($A$1)&amp;"")!B4:JZ""), 32, FALSE), """"))"),108.0)</f>
        <v>108</v>
      </c>
      <c r="U6" s="2880">
        <f t="shared" si="4"/>
        <v>44</v>
      </c>
      <c r="V6" s="3707">
        <f>IFERROR(__xludf.DUMMYFUNCTION("VALUE(IFERROR(VLOOKUP($AG6, IMPORTRANGE(""https://docs.google.com/spreadsheets/d/1UdH2L0xi8dO6jyPCcO5e5-8j7SGzezxkeZuF1uP8uOw"",""fighter_param (""&amp;TO_TEXT($A$1)&amp;"")!B4:JZ""), 4, FALSE), """"))"),1.115)</f>
        <v>1.115</v>
      </c>
      <c r="W6" s="2880">
        <f t="shared" si="5"/>
        <v>50</v>
      </c>
      <c r="X6" s="3707">
        <f>IFERROR(__xludf.DUMMYFUNCTION("VALUE(IFERROR(VLOOKUP($AG6, IMPORTRANGE(""https://docs.google.com/spreadsheets/d/1UdH2L0xi8dO6jyPCcO5e5-8j7SGzezxkeZuF1uP8uOw"",""fighter_param (""&amp;TO_TEXT($A$1)&amp;"")!B4:JZ""), 12, FALSE), """"))"),1.654)</f>
        <v>1.654</v>
      </c>
      <c r="Y6" s="2880">
        <f t="shared" si="6"/>
        <v>34</v>
      </c>
      <c r="Z6" s="3707">
        <f>IFERROR(__xludf.DUMMYFUNCTION("VALUE(IFERROR(VLOOKUP($AG6, IMPORTRANGE(""https://docs.google.com/spreadsheets/d/1UdH2L0xi8dO6jyPCcO5e5-8j7SGzezxkeZuF1uP8uOw"",""fighter_param (""&amp;TO_TEXT($A$1)&amp;"")!B4:JZ""), 24, FALSE), """"))"),1.103)</f>
        <v>1.103</v>
      </c>
      <c r="AA6" s="2880">
        <f t="shared" si="7"/>
        <v>75</v>
      </c>
      <c r="AB6" s="3707">
        <f>IFERROR(__xludf.DUMMYFUNCTION("VALUE(IFERROR(VLOOKUP($AG6, IMPORTRANGE(""https://docs.google.com/spreadsheets/d/1UdH2L0xi8dO6jyPCcO5e5-8j7SGzezxkeZuF1uP8uOw"",""fighter_param (""&amp;TO_TEXT($A$1)&amp;"")!B4:JZ""), 27, FALSE), """"))"),1.33)</f>
        <v>1.33</v>
      </c>
      <c r="AC6" s="2880">
        <f t="shared" si="8"/>
        <v>75</v>
      </c>
      <c r="AD6" s="3707">
        <f>IFERROR(__xludf.DUMMYFUNCTION("VALUE(IFERROR(VLOOKUP($AG6, IMPORTRANGE(""https://docs.google.com/spreadsheets/d/1UdH2L0xi8dO6jyPCcO5e5-8j7SGzezxkeZuF1uP8uOw"",""fighter_param (""&amp;TO_TEXT($A$1)&amp;"")!B4:JZ""), 31, FALSE), """"))"),2.128)</f>
        <v>2.128</v>
      </c>
      <c r="AE6" s="3712">
        <f>Fighters!S6</f>
        <v>5</v>
      </c>
      <c r="AF6" s="3715">
        <f>Fighters!T6</f>
        <v>72</v>
      </c>
      <c r="AG6" s="3714" t="str">
        <f>Fighters!V6</f>
        <v>samusd</v>
      </c>
    </row>
    <row r="7">
      <c r="A7" s="3700">
        <f>Fighters!A7</f>
        <v>5</v>
      </c>
      <c r="B7" s="3701" t="str">
        <f>Fighters!B7</f>
        <v>ヨッシー</v>
      </c>
      <c r="C7" s="2540" t="s">
        <v>176</v>
      </c>
      <c r="D7" s="3702" t="b">
        <v>1</v>
      </c>
      <c r="E7" s="3702" t="b">
        <v>0</v>
      </c>
      <c r="F7" s="3702" t="b">
        <v>0</v>
      </c>
      <c r="G7" s="3703" t="b">
        <v>0</v>
      </c>
      <c r="H7" s="544">
        <v>3.0</v>
      </c>
      <c r="I7" s="3704">
        <v>2.0</v>
      </c>
      <c r="J7" s="3711" t="s">
        <v>73</v>
      </c>
      <c r="K7" s="256">
        <f t="shared" si="1"/>
        <v>79</v>
      </c>
      <c r="L7" s="3704">
        <v>14.0</v>
      </c>
      <c r="M7" s="256">
        <f t="shared" si="2"/>
        <v>13</v>
      </c>
      <c r="N7" s="3706">
        <v>19.0</v>
      </c>
      <c r="O7" s="544">
        <v>38.0</v>
      </c>
      <c r="P7" s="3704">
        <v>60.0</v>
      </c>
      <c r="Q7" s="3704">
        <v>26.0</v>
      </c>
      <c r="R7" s="3706">
        <v>42.0</v>
      </c>
      <c r="S7" s="2880">
        <f t="shared" si="3"/>
        <v>22</v>
      </c>
      <c r="T7" s="3707">
        <f>IFERROR(__xludf.DUMMYFUNCTION("VALUE(IFERROR(VLOOKUP($AG7, IMPORTRANGE(""https://docs.google.com/spreadsheets/d/1UdH2L0xi8dO6jyPCcO5e5-8j7SGzezxkeZuF1uP8uOw"",""fighter_param (""&amp;TO_TEXT($A$1)&amp;"")!B4:JZ""), 32, FALSE), """"))"),104.0)</f>
        <v>104</v>
      </c>
      <c r="U7" s="2880">
        <f t="shared" si="4"/>
        <v>27</v>
      </c>
      <c r="V7" s="3707">
        <f>IFERROR(__xludf.DUMMYFUNCTION("VALUE(IFERROR(VLOOKUP($AG7, IMPORTRANGE(""https://docs.google.com/spreadsheets/d/1UdH2L0xi8dO6jyPCcO5e5-8j7SGzezxkeZuF1uP8uOw"",""fighter_param (""&amp;TO_TEXT($A$1)&amp;"")!B4:JZ""), 4, FALSE), """"))"),1.208)</f>
        <v>1.208</v>
      </c>
      <c r="W7" s="2880">
        <f t="shared" si="5"/>
        <v>19</v>
      </c>
      <c r="X7" s="3707">
        <f>IFERROR(__xludf.DUMMYFUNCTION("VALUE(IFERROR(VLOOKUP($AG7, IMPORTRANGE(""https://docs.google.com/spreadsheets/d/1UdH2L0xi8dO6jyPCcO5e5-8j7SGzezxkeZuF1uP8uOw"",""fighter_param (""&amp;TO_TEXT($A$1)&amp;"")!B4:JZ""), 12, FALSE), """"))"),2.046)</f>
        <v>2.046</v>
      </c>
      <c r="Y7" s="2880">
        <f t="shared" si="6"/>
        <v>1</v>
      </c>
      <c r="Z7" s="3707">
        <f>IFERROR(__xludf.DUMMYFUNCTION("VALUE(IFERROR(VLOOKUP($AG7, IMPORTRANGE(""https://docs.google.com/spreadsheets/d/1UdH2L0xi8dO6jyPCcO5e5-8j7SGzezxkeZuF1uP8uOw"",""fighter_param (""&amp;TO_TEXT($A$1)&amp;"")!B4:JZ""), 24, FALSE), """"))"),1.344)</f>
        <v>1.344</v>
      </c>
      <c r="AA7" s="2880">
        <f t="shared" si="7"/>
        <v>83</v>
      </c>
      <c r="AB7" s="3707">
        <f>IFERROR(__xludf.DUMMYFUNCTION("VALUE(IFERROR(VLOOKUP($AG7, IMPORTRANGE(""https://docs.google.com/spreadsheets/d/1UdH2L0xi8dO6jyPCcO5e5-8j7SGzezxkeZuF1uP8uOw"",""fighter_param (""&amp;TO_TEXT($A$1)&amp;"")!B4:JZ""), 27, FALSE), """"))"),1.29)</f>
        <v>1.29</v>
      </c>
      <c r="AC7" s="2880">
        <f t="shared" si="8"/>
        <v>83</v>
      </c>
      <c r="AD7" s="3707">
        <f>IFERROR(__xludf.DUMMYFUNCTION("VALUE(IFERROR(VLOOKUP($AG7, IMPORTRANGE(""https://docs.google.com/spreadsheets/d/1UdH2L0xi8dO6jyPCcO5e5-8j7SGzezxkeZuF1uP8uOw"",""fighter_param (""&amp;TO_TEXT($A$1)&amp;"")!B4:JZ""), 31, FALSE), """"))"),2.064)</f>
        <v>2.064</v>
      </c>
      <c r="AE7" s="3712">
        <f>Fighters!S7</f>
        <v>6</v>
      </c>
      <c r="AF7" s="3713">
        <f>Fighters!T7</f>
        <v>4</v>
      </c>
      <c r="AG7" s="3716" t="s">
        <v>6566</v>
      </c>
    </row>
    <row r="8">
      <c r="A8" s="3700">
        <f>Fighters!A8</f>
        <v>6</v>
      </c>
      <c r="B8" s="3701" t="str">
        <f>Fighters!B8</f>
        <v>カービィ</v>
      </c>
      <c r="C8" s="2540" t="s">
        <v>86</v>
      </c>
      <c r="D8" s="3702" t="b">
        <v>0</v>
      </c>
      <c r="E8" s="3702" t="b">
        <v>0</v>
      </c>
      <c r="F8" s="3702" t="b">
        <v>0</v>
      </c>
      <c r="G8" s="3703" t="b">
        <v>0</v>
      </c>
      <c r="H8" s="544">
        <v>3.0</v>
      </c>
      <c r="I8" s="3704">
        <v>2.0</v>
      </c>
      <c r="J8" s="3711" t="s">
        <v>73</v>
      </c>
      <c r="K8" s="256">
        <f t="shared" si="1"/>
        <v>62</v>
      </c>
      <c r="L8" s="3704">
        <v>12.0</v>
      </c>
      <c r="M8" s="256">
        <f t="shared" si="2"/>
        <v>5</v>
      </c>
      <c r="N8" s="3706">
        <v>17.0</v>
      </c>
      <c r="O8" s="544" t="s">
        <v>7273</v>
      </c>
      <c r="P8" s="3704" t="s">
        <v>7274</v>
      </c>
      <c r="Q8" s="3704" t="s">
        <v>7275</v>
      </c>
      <c r="R8" s="3706" t="s">
        <v>7276</v>
      </c>
      <c r="S8" s="2880">
        <f t="shared" si="3"/>
        <v>79</v>
      </c>
      <c r="T8" s="3707">
        <f>IFERROR(__xludf.DUMMYFUNCTION("VALUE(IFERROR(VLOOKUP($AG8, IMPORTRANGE(""https://docs.google.com/spreadsheets/d/1UdH2L0xi8dO6jyPCcO5e5-8j7SGzezxkeZuF1uP8uOw"",""fighter_param (""&amp;TO_TEXT($A$1)&amp;"")!B4:JZ""), 32, FALSE), """"))"),79.0)</f>
        <v>79</v>
      </c>
      <c r="U8" s="2880">
        <f t="shared" si="4"/>
        <v>59</v>
      </c>
      <c r="V8" s="3707">
        <f>IFERROR(__xludf.DUMMYFUNCTION("VALUE(IFERROR(VLOOKUP($AG8, IMPORTRANGE(""https://docs.google.com/spreadsheets/d/1UdH2L0xi8dO6jyPCcO5e5-8j7SGzezxkeZuF1uP8uOw"",""fighter_param (""&amp;TO_TEXT($A$1)&amp;"")!B4:JZ""), 4, FALSE), """"))"),0.977)</f>
        <v>0.977</v>
      </c>
      <c r="W8" s="2880">
        <f t="shared" si="5"/>
        <v>42</v>
      </c>
      <c r="X8" s="3707">
        <f>IFERROR(__xludf.DUMMYFUNCTION("VALUE(IFERROR(VLOOKUP($AG8, IMPORTRANGE(""https://docs.google.com/spreadsheets/d/1UdH2L0xi8dO6jyPCcO5e5-8j7SGzezxkeZuF1uP8uOw"",""fighter_param (""&amp;TO_TEXT($A$1)&amp;"")!B4:JZ""), 12, FALSE), """"))"),1.727)</f>
        <v>1.727</v>
      </c>
      <c r="Y8" s="2880">
        <f t="shared" si="6"/>
        <v>85</v>
      </c>
      <c r="Z8" s="3707">
        <f>IFERROR(__xludf.DUMMYFUNCTION("VALUE(IFERROR(VLOOKUP($AG8, IMPORTRANGE(""https://docs.google.com/spreadsheets/d/1UdH2L0xi8dO6jyPCcO5e5-8j7SGzezxkeZuF1uP8uOw"",""fighter_param (""&amp;TO_TEXT($A$1)&amp;"")!B4:JZ""), 24, FALSE), """"))"),0.84)</f>
        <v>0.84</v>
      </c>
      <c r="AA8" s="2880">
        <f t="shared" si="7"/>
        <v>85</v>
      </c>
      <c r="AB8" s="3707">
        <f>IFERROR(__xludf.DUMMYFUNCTION("VALUE(IFERROR(VLOOKUP($AG8, IMPORTRANGE(""https://docs.google.com/spreadsheets/d/1UdH2L0xi8dO6jyPCcO5e5-8j7SGzezxkeZuF1uP8uOw"",""fighter_param (""&amp;TO_TEXT($A$1)&amp;"")!B4:JZ""), 27, FALSE), """"))"),1.23)</f>
        <v>1.23</v>
      </c>
      <c r="AC8" s="2880">
        <f t="shared" si="8"/>
        <v>85</v>
      </c>
      <c r="AD8" s="3707">
        <f>IFERROR(__xludf.DUMMYFUNCTION("VALUE(IFERROR(VLOOKUP($AG8, IMPORTRANGE(""https://docs.google.com/spreadsheets/d/1UdH2L0xi8dO6jyPCcO5e5-8j7SGzezxkeZuF1uP8uOw"",""fighter_param (""&amp;TO_TEXT($A$1)&amp;"")!B4:JZ""), 31, FALSE), """"))"),1.968)</f>
        <v>1.968</v>
      </c>
      <c r="AE8" s="3712">
        <f>Fighters!S8</f>
        <v>7</v>
      </c>
      <c r="AF8" s="3713">
        <f>Fighters!T8</f>
        <v>5</v>
      </c>
      <c r="AG8" s="3714" t="str">
        <f>Fighters!V8</f>
        <v>kirby</v>
      </c>
    </row>
    <row r="9">
      <c r="A9" s="3700">
        <f>Fighters!A9</f>
        <v>7</v>
      </c>
      <c r="B9" s="3701" t="str">
        <f>Fighters!B9</f>
        <v>フォックス</v>
      </c>
      <c r="C9" s="2540" t="s">
        <v>176</v>
      </c>
      <c r="D9" s="3702" t="b">
        <v>0</v>
      </c>
      <c r="E9" s="3702" t="b">
        <v>1</v>
      </c>
      <c r="F9" s="3702" t="b">
        <v>0</v>
      </c>
      <c r="G9" s="3703" t="b">
        <v>0</v>
      </c>
      <c r="H9" s="544">
        <v>3.0</v>
      </c>
      <c r="I9" s="3704">
        <v>2.0</v>
      </c>
      <c r="J9" s="3711" t="s">
        <v>73</v>
      </c>
      <c r="K9" s="256">
        <f t="shared" si="1"/>
        <v>5</v>
      </c>
      <c r="L9" s="3704">
        <v>10.0</v>
      </c>
      <c r="M9" s="256">
        <f t="shared" si="2"/>
        <v>13</v>
      </c>
      <c r="N9" s="3706">
        <v>19.0</v>
      </c>
      <c r="O9" s="544">
        <v>24.0</v>
      </c>
      <c r="P9" s="3704">
        <v>36.0</v>
      </c>
      <c r="Q9" s="3704">
        <v>17.0</v>
      </c>
      <c r="R9" s="3706">
        <v>27.0</v>
      </c>
      <c r="S9" s="2880">
        <f t="shared" si="3"/>
        <v>85</v>
      </c>
      <c r="T9" s="3707">
        <f>IFERROR(__xludf.DUMMYFUNCTION("VALUE(IFERROR(VLOOKUP($AG9, IMPORTRANGE(""https://docs.google.com/spreadsheets/d/1UdH2L0xi8dO6jyPCcO5e5-8j7SGzezxkeZuF1uP8uOw"",""fighter_param (""&amp;TO_TEXT($A$1)&amp;"")!B4:JZ""), 32, FALSE), """"))"),77.0)</f>
        <v>77</v>
      </c>
      <c r="U9" s="2880">
        <f t="shared" si="4"/>
        <v>3</v>
      </c>
      <c r="V9" s="3707">
        <f>IFERROR(__xludf.DUMMYFUNCTION("VALUE(IFERROR(VLOOKUP($AG9, IMPORTRANGE(""https://docs.google.com/spreadsheets/d/1UdH2L0xi8dO6jyPCcO5e5-8j7SGzezxkeZuF1uP8uOw"",""fighter_param (""&amp;TO_TEXT($A$1)&amp;"")!B4:JZ""), 4, FALSE), """"))"),1.523)</f>
        <v>1.523</v>
      </c>
      <c r="W9" s="2880">
        <f t="shared" si="5"/>
        <v>6</v>
      </c>
      <c r="X9" s="3707">
        <f>IFERROR(__xludf.DUMMYFUNCTION("VALUE(IFERROR(VLOOKUP($AG9, IMPORTRANGE(""https://docs.google.com/spreadsheets/d/1UdH2L0xi8dO6jyPCcO5e5-8j7SGzezxkeZuF1uP8uOw"",""fighter_param (""&amp;TO_TEXT($A$1)&amp;"")!B4:JZ""), 12, FALSE), """"))"),2.402)</f>
        <v>2.402</v>
      </c>
      <c r="Y9" s="2880">
        <f t="shared" si="6"/>
        <v>33</v>
      </c>
      <c r="Z9" s="3707">
        <f>IFERROR(__xludf.DUMMYFUNCTION("VALUE(IFERROR(VLOOKUP($AG9, IMPORTRANGE(""https://docs.google.com/spreadsheets/d/1UdH2L0xi8dO6jyPCcO5e5-8j7SGzezxkeZuF1uP8uOw"",""fighter_param (""&amp;TO_TEXT($A$1)&amp;"")!B4:JZ""), 24, FALSE), """"))"),1.11)</f>
        <v>1.11</v>
      </c>
      <c r="AA9" s="2880">
        <f t="shared" si="7"/>
        <v>1</v>
      </c>
      <c r="AB9" s="3707">
        <f>IFERROR(__xludf.DUMMYFUNCTION("VALUE(IFERROR(VLOOKUP($AG9, IMPORTRANGE(""https://docs.google.com/spreadsheets/d/1UdH2L0xi8dO6jyPCcO5e5-8j7SGzezxkeZuF1uP8uOw"",""fighter_param (""&amp;TO_TEXT($A$1)&amp;"")!B4:JZ""), 27, FALSE), """"))"),2.1)</f>
        <v>2.1</v>
      </c>
      <c r="AC9" s="2880">
        <f t="shared" si="8"/>
        <v>1</v>
      </c>
      <c r="AD9" s="3707">
        <f>IFERROR(__xludf.DUMMYFUNCTION("VALUE(IFERROR(VLOOKUP($AG9, IMPORTRANGE(""https://docs.google.com/spreadsheets/d/1UdH2L0xi8dO6jyPCcO5e5-8j7SGzezxkeZuF1uP8uOw"",""fighter_param (""&amp;TO_TEXT($A$1)&amp;"")!B4:JZ""), 31, FALSE), """"))"),3.36)</f>
        <v>3.36</v>
      </c>
      <c r="AE9" s="3712">
        <f>Fighters!S9</f>
        <v>8</v>
      </c>
      <c r="AF9" s="3713">
        <f>Fighters!T9</f>
        <v>6</v>
      </c>
      <c r="AG9" s="3714" t="str">
        <f>Fighters!V9</f>
        <v>fox</v>
      </c>
    </row>
    <row r="10">
      <c r="A10" s="3700">
        <f>Fighters!A10</f>
        <v>8</v>
      </c>
      <c r="B10" s="3701" t="str">
        <f>Fighters!B10</f>
        <v>ピカチュウ</v>
      </c>
      <c r="C10" s="2540" t="s">
        <v>176</v>
      </c>
      <c r="D10" s="3702" t="b">
        <v>1</v>
      </c>
      <c r="E10" s="3702" t="b">
        <v>1</v>
      </c>
      <c r="F10" s="3702" t="b">
        <v>0</v>
      </c>
      <c r="G10" s="3703" t="b">
        <v>0</v>
      </c>
      <c r="H10" s="544">
        <v>3.0</v>
      </c>
      <c r="I10" s="3704">
        <v>2.0</v>
      </c>
      <c r="J10" s="3711" t="s">
        <v>73</v>
      </c>
      <c r="K10" s="256">
        <f t="shared" si="1"/>
        <v>73</v>
      </c>
      <c r="L10" s="3704">
        <v>13.0</v>
      </c>
      <c r="M10" s="256">
        <f t="shared" si="2"/>
        <v>13</v>
      </c>
      <c r="N10" s="3706">
        <v>19.0</v>
      </c>
      <c r="O10" s="544">
        <v>38.0</v>
      </c>
      <c r="P10" s="3704">
        <v>53.0</v>
      </c>
      <c r="Q10" s="3704">
        <v>26.0</v>
      </c>
      <c r="R10" s="3706">
        <v>37.0</v>
      </c>
      <c r="S10" s="2880">
        <f t="shared" si="3"/>
        <v>79</v>
      </c>
      <c r="T10" s="3707">
        <f>IFERROR(__xludf.DUMMYFUNCTION("VALUE(IFERROR(VLOOKUP($AG10, IMPORTRANGE(""https://docs.google.com/spreadsheets/d/1UdH2L0xi8dO6jyPCcO5e5-8j7SGzezxkeZuF1uP8uOw"",""fighter_param (""&amp;TO_TEXT($A$1)&amp;"")!B4:JZ""), 32, FALSE), """"))"),79.0)</f>
        <v>79</v>
      </c>
      <c r="U10" s="2880">
        <f t="shared" si="4"/>
        <v>13</v>
      </c>
      <c r="V10" s="3707">
        <f>IFERROR(__xludf.DUMMYFUNCTION("VALUE(IFERROR(VLOOKUP($AG10, IMPORTRANGE(""https://docs.google.com/spreadsheets/d/1UdH2L0xi8dO6jyPCcO5e5-8j7SGzezxkeZuF1uP8uOw"",""fighter_param (""&amp;TO_TEXT($A$1)&amp;"")!B4:JZ""), 4, FALSE), """"))"),1.302)</f>
        <v>1.302</v>
      </c>
      <c r="W10" s="2880">
        <f t="shared" si="5"/>
        <v>20</v>
      </c>
      <c r="X10" s="3707">
        <f>IFERROR(__xludf.DUMMYFUNCTION("VALUE(IFERROR(VLOOKUP($AG10, IMPORTRANGE(""https://docs.google.com/spreadsheets/d/1UdH2L0xi8dO6jyPCcO5e5-8j7SGzezxkeZuF1uP8uOw"",""fighter_param (""&amp;TO_TEXT($A$1)&amp;"")!B4:JZ""), 12, FALSE), """"))"),2.039)</f>
        <v>2.039</v>
      </c>
      <c r="Y10" s="2880">
        <f t="shared" si="6"/>
        <v>66</v>
      </c>
      <c r="Z10" s="3707">
        <f>IFERROR(__xludf.DUMMYFUNCTION("VALUE(IFERROR(VLOOKUP($AG10, IMPORTRANGE(""https://docs.google.com/spreadsheets/d/1UdH2L0xi8dO6jyPCcO5e5-8j7SGzezxkeZuF1uP8uOw"",""fighter_param (""&amp;TO_TEXT($A$1)&amp;"")!B4:JZ""), 24, FALSE), """"))"),0.957)</f>
        <v>0.957</v>
      </c>
      <c r="AA10" s="2880">
        <f t="shared" si="7"/>
        <v>53</v>
      </c>
      <c r="AB10" s="3707">
        <f>IFERROR(__xludf.DUMMYFUNCTION("VALUE(IFERROR(VLOOKUP($AG10, IMPORTRANGE(""https://docs.google.com/spreadsheets/d/1UdH2L0xi8dO6jyPCcO5e5-8j7SGzezxkeZuF1uP8uOw"",""fighter_param (""&amp;TO_TEXT($A$1)&amp;"")!B4:JZ""), 27, FALSE), """"))"),1.55)</f>
        <v>1.55</v>
      </c>
      <c r="AC10" s="2880">
        <f t="shared" si="8"/>
        <v>51</v>
      </c>
      <c r="AD10" s="3707">
        <f>IFERROR(__xludf.DUMMYFUNCTION("VALUE(IFERROR(VLOOKUP($AG10, IMPORTRANGE(""https://docs.google.com/spreadsheets/d/1UdH2L0xi8dO6jyPCcO5e5-8j7SGzezxkeZuF1uP8uOw"",""fighter_param (""&amp;TO_TEXT($A$1)&amp;"")!B4:JZ""), 31, FALSE), """"))"),2.48)</f>
        <v>2.48</v>
      </c>
      <c r="AE10" s="3712">
        <f>Fighters!S10</f>
        <v>9</v>
      </c>
      <c r="AF10" s="3713">
        <f>Fighters!T10</f>
        <v>7</v>
      </c>
      <c r="AG10" s="3714" t="str">
        <f>Fighters!V10</f>
        <v>pikachu</v>
      </c>
    </row>
    <row r="11">
      <c r="A11" s="3700">
        <f>Fighters!A11</f>
        <v>9</v>
      </c>
      <c r="B11" s="3701" t="str">
        <f>Fighters!B11</f>
        <v>ルイージ</v>
      </c>
      <c r="C11" s="2540" t="s">
        <v>176</v>
      </c>
      <c r="D11" s="3702" t="b">
        <v>1</v>
      </c>
      <c r="E11" s="3702" t="b">
        <v>0</v>
      </c>
      <c r="F11" s="3702" t="b">
        <v>0</v>
      </c>
      <c r="G11" s="3706" t="b">
        <v>1</v>
      </c>
      <c r="H11" s="544">
        <v>3.0</v>
      </c>
      <c r="I11" s="3704">
        <v>2.0</v>
      </c>
      <c r="J11" s="3711" t="s">
        <v>73</v>
      </c>
      <c r="K11" s="256">
        <f t="shared" si="1"/>
        <v>5</v>
      </c>
      <c r="L11" s="3704">
        <v>10.0</v>
      </c>
      <c r="M11" s="256">
        <f t="shared" si="2"/>
        <v>13</v>
      </c>
      <c r="N11" s="3706">
        <v>19.0</v>
      </c>
      <c r="O11" s="544">
        <v>45.0</v>
      </c>
      <c r="P11" s="3704">
        <v>67.0</v>
      </c>
      <c r="Q11" s="3704">
        <v>32.0</v>
      </c>
      <c r="R11" s="3706">
        <v>47.0</v>
      </c>
      <c r="S11" s="2880">
        <f t="shared" si="3"/>
        <v>37</v>
      </c>
      <c r="T11" s="3707">
        <f>IFERROR(__xludf.DUMMYFUNCTION("VALUE(IFERROR(VLOOKUP($AG11, IMPORTRANGE(""https://docs.google.com/spreadsheets/d/1UdH2L0xi8dO6jyPCcO5e5-8j7SGzezxkeZuF1uP8uOw"",""fighter_param (""&amp;TO_TEXT($A$1)&amp;"")!B4:JZ""), 32, FALSE), """"))"),97.0)</f>
        <v>97</v>
      </c>
      <c r="U11" s="2880">
        <f t="shared" si="4"/>
        <v>40</v>
      </c>
      <c r="V11" s="3707">
        <f>IFERROR(__xludf.DUMMYFUNCTION("VALUE(IFERROR(VLOOKUP($AG11, IMPORTRANGE(""https://docs.google.com/spreadsheets/d/1UdH2L0xi8dO6jyPCcO5e5-8j7SGzezxkeZuF1uP8uOw"",""fighter_param (""&amp;TO_TEXT($A$1)&amp;"")!B4:JZ""), 4, FALSE), """"))"),1.134)</f>
        <v>1.134</v>
      </c>
      <c r="W11" s="2880">
        <f t="shared" si="5"/>
        <v>52</v>
      </c>
      <c r="X11" s="3707">
        <f>IFERROR(__xludf.DUMMYFUNCTION("VALUE(IFERROR(VLOOKUP($AG11, IMPORTRANGE(""https://docs.google.com/spreadsheets/d/1UdH2L0xi8dO6jyPCcO5e5-8j7SGzezxkeZuF1uP8uOw"",""fighter_param (""&amp;TO_TEXT($A$1)&amp;"")!B4:JZ""), 12, FALSE), """"))"),1.65)</f>
        <v>1.65</v>
      </c>
      <c r="Y11" s="2880">
        <f t="shared" si="6"/>
        <v>88</v>
      </c>
      <c r="Z11" s="3707">
        <f>IFERROR(__xludf.DUMMYFUNCTION("VALUE(IFERROR(VLOOKUP($AG11, IMPORTRANGE(""https://docs.google.com/spreadsheets/d/1UdH2L0xi8dO6jyPCcO5e5-8j7SGzezxkeZuF1uP8uOw"",""fighter_param (""&amp;TO_TEXT($A$1)&amp;"")!B4:JZ""), 24, FALSE), """"))"),0.77)</f>
        <v>0.77</v>
      </c>
      <c r="AA11" s="2880">
        <f t="shared" si="7"/>
        <v>77</v>
      </c>
      <c r="AB11" s="3707">
        <f>IFERROR(__xludf.DUMMYFUNCTION("VALUE(IFERROR(VLOOKUP($AG11, IMPORTRANGE(""https://docs.google.com/spreadsheets/d/1UdH2L0xi8dO6jyPCcO5e5-8j7SGzezxkeZuF1uP8uOw"",""fighter_param (""&amp;TO_TEXT($A$1)&amp;"")!B4:JZ""), 27, FALSE), """"))"),1.32)</f>
        <v>1.32</v>
      </c>
      <c r="AC11" s="2880">
        <f t="shared" si="8"/>
        <v>77</v>
      </c>
      <c r="AD11" s="3707">
        <f>IFERROR(__xludf.DUMMYFUNCTION("VALUE(IFERROR(VLOOKUP($AG11, IMPORTRANGE(""https://docs.google.com/spreadsheets/d/1UdH2L0xi8dO6jyPCcO5e5-8j7SGzezxkeZuF1uP8uOw"",""fighter_param (""&amp;TO_TEXT($A$1)&amp;"")!B4:JZ""), 31, FALSE), """"))"),2.112)</f>
        <v>2.112</v>
      </c>
      <c r="AE11" s="3712">
        <f>Fighters!S11</f>
        <v>10</v>
      </c>
      <c r="AF11" s="3713">
        <f>Fighters!T11</f>
        <v>8</v>
      </c>
      <c r="AG11" s="3714" t="str">
        <f>Fighters!V11</f>
        <v>luigi</v>
      </c>
    </row>
    <row r="12">
      <c r="A12" s="3700">
        <f>Fighters!A12</f>
        <v>10</v>
      </c>
      <c r="B12" s="3701" t="str">
        <f>Fighters!B12</f>
        <v>ネス</v>
      </c>
      <c r="C12" s="2540" t="s">
        <v>176</v>
      </c>
      <c r="D12" s="3702" t="b">
        <v>0</v>
      </c>
      <c r="E12" s="3702" t="b">
        <v>0</v>
      </c>
      <c r="F12" s="3702" t="b">
        <v>0</v>
      </c>
      <c r="G12" s="3703" t="b">
        <v>0</v>
      </c>
      <c r="H12" s="544">
        <v>3.0</v>
      </c>
      <c r="I12" s="3704">
        <v>2.0</v>
      </c>
      <c r="J12" s="3711" t="s">
        <v>73</v>
      </c>
      <c r="K12" s="256">
        <f t="shared" si="1"/>
        <v>73</v>
      </c>
      <c r="L12" s="3704">
        <v>13.0</v>
      </c>
      <c r="M12" s="256">
        <f t="shared" si="2"/>
        <v>13</v>
      </c>
      <c r="N12" s="3706">
        <v>19.0</v>
      </c>
      <c r="O12" s="544">
        <v>42.0</v>
      </c>
      <c r="P12" s="3704">
        <v>58.0</v>
      </c>
      <c r="Q12" s="3704">
        <v>29.0</v>
      </c>
      <c r="R12" s="3706">
        <v>41.0</v>
      </c>
      <c r="S12" s="2880">
        <f t="shared" si="3"/>
        <v>48</v>
      </c>
      <c r="T12" s="3707">
        <f>IFERROR(__xludf.DUMMYFUNCTION("VALUE(IFERROR(VLOOKUP($AG12, IMPORTRANGE(""https://docs.google.com/spreadsheets/d/1UdH2L0xi8dO6jyPCcO5e5-8j7SGzezxkeZuF1uP8uOw"",""fighter_param (""&amp;TO_TEXT($A$1)&amp;"")!B4:JZ""), 32, FALSE), """"))"),94.0)</f>
        <v>94</v>
      </c>
      <c r="U12" s="2880">
        <f t="shared" si="4"/>
        <v>70</v>
      </c>
      <c r="V12" s="3707">
        <f>IFERROR(__xludf.DUMMYFUNCTION("VALUE(IFERROR(VLOOKUP($AG12, IMPORTRANGE(""https://docs.google.com/spreadsheets/d/1UdH2L0xi8dO6jyPCcO5e5-8j7SGzezxkeZuF1uP8uOw"",""fighter_param (""&amp;TO_TEXT($A$1)&amp;"")!B4:JZ""), 4, FALSE), """"))"),0.907)</f>
        <v>0.907</v>
      </c>
      <c r="W12" s="2880">
        <f t="shared" si="5"/>
        <v>57</v>
      </c>
      <c r="X12" s="3707">
        <f>IFERROR(__xludf.DUMMYFUNCTION("VALUE(IFERROR(VLOOKUP($AG12, IMPORTRANGE(""https://docs.google.com/spreadsheets/d/1UdH2L0xi8dO6jyPCcO5e5-8j7SGzezxkeZuF1uP8uOw"",""fighter_param (""&amp;TO_TEXT($A$1)&amp;"")!B4:JZ""), 12, FALSE), """"))"),1.609)</f>
        <v>1.609</v>
      </c>
      <c r="Y12" s="2880">
        <f t="shared" si="6"/>
        <v>57</v>
      </c>
      <c r="Z12" s="3707">
        <f>IFERROR(__xludf.DUMMYFUNCTION("VALUE(IFERROR(VLOOKUP($AG12, IMPORTRANGE(""https://docs.google.com/spreadsheets/d/1UdH2L0xi8dO6jyPCcO5e5-8j7SGzezxkeZuF1uP8uOw"",""fighter_param (""&amp;TO_TEXT($A$1)&amp;"")!B4:JZ""), 24, FALSE), """"))"),1.007)</f>
        <v>1.007</v>
      </c>
      <c r="AA12" s="2880">
        <f t="shared" si="7"/>
        <v>79</v>
      </c>
      <c r="AB12" s="3707">
        <f>IFERROR(__xludf.DUMMYFUNCTION("VALUE(IFERROR(VLOOKUP($AG12, IMPORTRANGE(""https://docs.google.com/spreadsheets/d/1UdH2L0xi8dO6jyPCcO5e5-8j7SGzezxkeZuF1uP8uOw"",""fighter_param (""&amp;TO_TEXT($A$1)&amp;"")!B4:JZ""), 27, FALSE), """"))"),1.31)</f>
        <v>1.31</v>
      </c>
      <c r="AC12" s="2880">
        <f t="shared" si="8"/>
        <v>79</v>
      </c>
      <c r="AD12" s="3707">
        <f>IFERROR(__xludf.DUMMYFUNCTION("VALUE(IFERROR(VLOOKUP($AG12, IMPORTRANGE(""https://docs.google.com/spreadsheets/d/1UdH2L0xi8dO6jyPCcO5e5-8j7SGzezxkeZuF1uP8uOw"",""fighter_param (""&amp;TO_TEXT($A$1)&amp;"")!B4:JZ""), 31, FALSE), """"))"),2.096)</f>
        <v>2.096</v>
      </c>
      <c r="AE12" s="3712">
        <f>Fighters!S12</f>
        <v>11</v>
      </c>
      <c r="AF12" s="3713">
        <f>Fighters!T12</f>
        <v>9</v>
      </c>
      <c r="AG12" s="3714" t="str">
        <f>Fighters!V12</f>
        <v>ness</v>
      </c>
    </row>
    <row r="13">
      <c r="A13" s="3700">
        <f>Fighters!A13</f>
        <v>11</v>
      </c>
      <c r="B13" s="3701" t="str">
        <f>Fighters!B13</f>
        <v>キャプテン・ファルコン</v>
      </c>
      <c r="C13" s="2540" t="s">
        <v>176</v>
      </c>
      <c r="D13" s="3702" t="b">
        <v>0</v>
      </c>
      <c r="E13" s="3702" t="b">
        <v>1</v>
      </c>
      <c r="F13" s="3702" t="b">
        <v>0</v>
      </c>
      <c r="G13" s="3703" t="b">
        <v>0</v>
      </c>
      <c r="H13" s="544">
        <v>3.0</v>
      </c>
      <c r="I13" s="3704">
        <v>2.0</v>
      </c>
      <c r="J13" s="3711" t="s">
        <v>73</v>
      </c>
      <c r="K13" s="256">
        <f t="shared" si="1"/>
        <v>80</v>
      </c>
      <c r="L13" s="3704">
        <v>15.0</v>
      </c>
      <c r="M13" s="256">
        <f t="shared" si="2"/>
        <v>13</v>
      </c>
      <c r="N13" s="3706">
        <v>19.0</v>
      </c>
      <c r="O13" s="544">
        <v>34.0</v>
      </c>
      <c r="P13" s="3704">
        <v>48.0</v>
      </c>
      <c r="Q13" s="3704">
        <v>24.0</v>
      </c>
      <c r="R13" s="3706">
        <v>34.0</v>
      </c>
      <c r="S13" s="2880">
        <f t="shared" si="3"/>
        <v>22</v>
      </c>
      <c r="T13" s="3707">
        <f>IFERROR(__xludf.DUMMYFUNCTION("VALUE(IFERROR(VLOOKUP($AG13, IMPORTRANGE(""https://docs.google.com/spreadsheets/d/1UdH2L0xi8dO6jyPCcO5e5-8j7SGzezxkeZuF1uP8uOw"",""fighter_param (""&amp;TO_TEXT($A$1)&amp;"")!B4:JZ""), 32, FALSE), """"))"),104.0)</f>
        <v>104</v>
      </c>
      <c r="U13" s="2880">
        <f t="shared" si="4"/>
        <v>57</v>
      </c>
      <c r="V13" s="3707">
        <f>IFERROR(__xludf.DUMMYFUNCTION("VALUE(IFERROR(VLOOKUP($AG13, IMPORTRANGE(""https://docs.google.com/spreadsheets/d/1UdH2L0xi8dO6jyPCcO5e5-8j7SGzezxkeZuF1uP8uOw"",""fighter_param (""&amp;TO_TEXT($A$1)&amp;"")!B4:JZ""), 4, FALSE), """"))"),0.987)</f>
        <v>0.987</v>
      </c>
      <c r="W13" s="2880">
        <f t="shared" si="5"/>
        <v>2</v>
      </c>
      <c r="X13" s="3707">
        <f>IFERROR(__xludf.DUMMYFUNCTION("VALUE(IFERROR(VLOOKUP($AG13, IMPORTRANGE(""https://docs.google.com/spreadsheets/d/1UdH2L0xi8dO6jyPCcO5e5-8j7SGzezxkeZuF1uP8uOw"",""fighter_param (""&amp;TO_TEXT($A$1)&amp;"")!B4:JZ""), 12, FALSE), """"))"),2.552)</f>
        <v>2.552</v>
      </c>
      <c r="Y13" s="2880">
        <f t="shared" si="6"/>
        <v>12</v>
      </c>
      <c r="Z13" s="3707">
        <f>IFERROR(__xludf.DUMMYFUNCTION("VALUE(IFERROR(VLOOKUP($AG13, IMPORTRANGE(""https://docs.google.com/spreadsheets/d/1UdH2L0xi8dO6jyPCcO5e5-8j7SGzezxkeZuF1uP8uOw"",""fighter_param (""&amp;TO_TEXT($A$1)&amp;"")!B4:JZ""), 24, FALSE), """"))"),1.218)</f>
        <v>1.218</v>
      </c>
      <c r="AA13" s="2880">
        <f t="shared" si="7"/>
        <v>8</v>
      </c>
      <c r="AB13" s="3707">
        <f>IFERROR(__xludf.DUMMYFUNCTION("VALUE(IFERROR(VLOOKUP($AG13, IMPORTRANGE(""https://docs.google.com/spreadsheets/d/1UdH2L0xi8dO6jyPCcO5e5-8j7SGzezxkeZuF1uP8uOw"",""fighter_param (""&amp;TO_TEXT($A$1)&amp;"")!B4:JZ""), 27, FALSE), """"))"),1.865)</f>
        <v>1.865</v>
      </c>
      <c r="AC13" s="2880">
        <f t="shared" si="8"/>
        <v>8</v>
      </c>
      <c r="AD13" s="3707">
        <f>IFERROR(__xludf.DUMMYFUNCTION("VALUE(IFERROR(VLOOKUP($AG13, IMPORTRANGE(""https://docs.google.com/spreadsheets/d/1UdH2L0xi8dO6jyPCcO5e5-8j7SGzezxkeZuF1uP8uOw"",""fighter_param (""&amp;TO_TEXT($A$1)&amp;"")!B4:JZ""), 31, FALSE), """"))"),2.984)</f>
        <v>2.984</v>
      </c>
      <c r="AE13" s="3712">
        <f>Fighters!S13</f>
        <v>12</v>
      </c>
      <c r="AF13" s="3713">
        <f>Fighters!T13</f>
        <v>10</v>
      </c>
      <c r="AG13" s="3714" t="str">
        <f>Fighters!V13</f>
        <v>captain</v>
      </c>
    </row>
    <row r="14">
      <c r="A14" s="3700">
        <f>Fighters!A14</f>
        <v>12</v>
      </c>
      <c r="B14" s="3701" t="str">
        <f>Fighters!B14</f>
        <v>プリン</v>
      </c>
      <c r="C14" s="2540" t="s">
        <v>86</v>
      </c>
      <c r="D14" s="3702" t="b">
        <v>0</v>
      </c>
      <c r="E14" s="3702" t="b">
        <v>0</v>
      </c>
      <c r="F14" s="3702" t="b">
        <v>0</v>
      </c>
      <c r="G14" s="3703" t="b">
        <v>0</v>
      </c>
      <c r="H14" s="544">
        <v>3.0</v>
      </c>
      <c r="I14" s="3704">
        <v>2.0</v>
      </c>
      <c r="J14" s="3711" t="s">
        <v>73</v>
      </c>
      <c r="K14" s="256">
        <f t="shared" si="1"/>
        <v>73</v>
      </c>
      <c r="L14" s="3704">
        <v>13.0</v>
      </c>
      <c r="M14" s="256">
        <f t="shared" si="2"/>
        <v>13</v>
      </c>
      <c r="N14" s="3706">
        <v>19.0</v>
      </c>
      <c r="O14" s="544">
        <v>41.0</v>
      </c>
      <c r="P14" s="3704">
        <v>51.0</v>
      </c>
      <c r="Q14" s="3704">
        <v>29.0</v>
      </c>
      <c r="R14" s="3706">
        <v>35.0</v>
      </c>
      <c r="S14" s="2880">
        <f t="shared" si="3"/>
        <v>88</v>
      </c>
      <c r="T14" s="3707">
        <f>IFERROR(__xludf.DUMMYFUNCTION("VALUE(IFERROR(VLOOKUP($AG14, IMPORTRANGE(""https://docs.google.com/spreadsheets/d/1UdH2L0xi8dO6jyPCcO5e5-8j7SGzezxkeZuF1uP8uOw"",""fighter_param (""&amp;TO_TEXT($A$1)&amp;"")!B4:JZ""), 32, FALSE), """"))"),68.0)</f>
        <v>68</v>
      </c>
      <c r="U14" s="2880">
        <f t="shared" si="4"/>
        <v>87</v>
      </c>
      <c r="V14" s="3707">
        <f>IFERROR(__xludf.DUMMYFUNCTION("VALUE(IFERROR(VLOOKUP($AG14, IMPORTRANGE(""https://docs.google.com/spreadsheets/d/1UdH2L0xi8dO6jyPCcO5e5-8j7SGzezxkeZuF1uP8uOw"",""fighter_param (""&amp;TO_TEXT($A$1)&amp;"")!B4:JZ""), 4, FALSE), """"))"),0.735)</f>
        <v>0.735</v>
      </c>
      <c r="W14" s="2880">
        <f t="shared" si="5"/>
        <v>87</v>
      </c>
      <c r="X14" s="3707">
        <f>IFERROR(__xludf.DUMMYFUNCTION("VALUE(IFERROR(VLOOKUP($AG14, IMPORTRANGE(""https://docs.google.com/spreadsheets/d/1UdH2L0xi8dO6jyPCcO5e5-8j7SGzezxkeZuF1uP8uOw"",""fighter_param (""&amp;TO_TEXT($A$1)&amp;"")!B4:JZ""), 12, FALSE), """"))"),1.271)</f>
        <v>1.271</v>
      </c>
      <c r="Y14" s="2880">
        <f t="shared" si="6"/>
        <v>2</v>
      </c>
      <c r="Z14" s="3707">
        <f>IFERROR(__xludf.DUMMYFUNCTION("VALUE(IFERROR(VLOOKUP($AG14, IMPORTRANGE(""https://docs.google.com/spreadsheets/d/1UdH2L0xi8dO6jyPCcO5e5-8j7SGzezxkeZuF1uP8uOw"",""fighter_param (""&amp;TO_TEXT($A$1)&amp;"")!B4:JZ""), 24, FALSE), """"))"),1.332)</f>
        <v>1.332</v>
      </c>
      <c r="AA14" s="2880">
        <f t="shared" si="7"/>
        <v>89</v>
      </c>
      <c r="AB14" s="3707">
        <f>IFERROR(__xludf.DUMMYFUNCTION("VALUE(IFERROR(VLOOKUP($AG14, IMPORTRANGE(""https://docs.google.com/spreadsheets/d/1UdH2L0xi8dO6jyPCcO5e5-8j7SGzezxkeZuF1uP8uOw"",""fighter_param (""&amp;TO_TEXT($A$1)&amp;"")!B4:JZ""), 27, FALSE), """"))"),0.98)</f>
        <v>0.98</v>
      </c>
      <c r="AC14" s="2880">
        <f t="shared" si="8"/>
        <v>89</v>
      </c>
      <c r="AD14" s="3707">
        <f>IFERROR(__xludf.DUMMYFUNCTION("VALUE(IFERROR(VLOOKUP($AG14, IMPORTRANGE(""https://docs.google.com/spreadsheets/d/1UdH2L0xi8dO6jyPCcO5e5-8j7SGzezxkeZuF1uP8uOw"",""fighter_param (""&amp;TO_TEXT($A$1)&amp;"")!B4:JZ""), 31, FALSE), """"))"),1.568)</f>
        <v>1.568</v>
      </c>
      <c r="AE14" s="3712">
        <f>Fighters!S14</f>
        <v>13</v>
      </c>
      <c r="AF14" s="3713">
        <f>Fighters!T14</f>
        <v>11</v>
      </c>
      <c r="AG14" s="3714" t="str">
        <f>Fighters!V14</f>
        <v>purin</v>
      </c>
    </row>
    <row r="15">
      <c r="A15" s="3700">
        <f>Fighters!A15</f>
        <v>13</v>
      </c>
      <c r="B15" s="3701" t="str">
        <f>Fighters!B15</f>
        <v>ピーチ</v>
      </c>
      <c r="C15" s="2540" t="s">
        <v>176</v>
      </c>
      <c r="D15" s="3702" t="b">
        <v>0</v>
      </c>
      <c r="E15" s="3702" t="b">
        <v>0</v>
      </c>
      <c r="F15" s="3702" t="b">
        <v>0</v>
      </c>
      <c r="G15" s="3703" t="b">
        <v>0</v>
      </c>
      <c r="H15" s="544">
        <v>3.0</v>
      </c>
      <c r="I15" s="3704">
        <v>2.0</v>
      </c>
      <c r="J15" s="3711" t="s">
        <v>73</v>
      </c>
      <c r="K15" s="256">
        <f t="shared" si="1"/>
        <v>80</v>
      </c>
      <c r="L15" s="3704">
        <v>15.0</v>
      </c>
      <c r="M15" s="256">
        <f t="shared" si="2"/>
        <v>13</v>
      </c>
      <c r="N15" s="3706">
        <v>19.0</v>
      </c>
      <c r="O15" s="544">
        <v>41.0</v>
      </c>
      <c r="P15" s="3704">
        <v>57.0</v>
      </c>
      <c r="Q15" s="3704">
        <v>28.0</v>
      </c>
      <c r="R15" s="3706">
        <v>40.0</v>
      </c>
      <c r="S15" s="2880">
        <f t="shared" si="3"/>
        <v>64</v>
      </c>
      <c r="T15" s="3707">
        <f>IFERROR(__xludf.DUMMYFUNCTION("VALUE(IFERROR(VLOOKUP($AG15, IMPORTRANGE(""https://docs.google.com/spreadsheets/d/1UdH2L0xi8dO6jyPCcO5e5-8j7SGzezxkeZuF1uP8uOw"",""fighter_param (""&amp;TO_TEXT($A$1)&amp;"")!B4:JZ""), 32, FALSE), """"))"),89.0)</f>
        <v>89</v>
      </c>
      <c r="U15" s="2880">
        <f t="shared" si="4"/>
        <v>63</v>
      </c>
      <c r="V15" s="3707">
        <f>IFERROR(__xludf.DUMMYFUNCTION("VALUE(IFERROR(VLOOKUP($AG15, IMPORTRANGE(""https://docs.google.com/spreadsheets/d/1UdH2L0xi8dO6jyPCcO5e5-8j7SGzezxkeZuF1uP8uOw"",""fighter_param (""&amp;TO_TEXT($A$1)&amp;"")!B4:JZ""), 4, FALSE), """"))"),0.924)</f>
        <v>0.924</v>
      </c>
      <c r="W15" s="2880">
        <f t="shared" si="5"/>
        <v>60</v>
      </c>
      <c r="X15" s="3707">
        <f>IFERROR(__xludf.DUMMYFUNCTION("VALUE(IFERROR(VLOOKUP($AG15, IMPORTRANGE(""https://docs.google.com/spreadsheets/d/1UdH2L0xi8dO6jyPCcO5e5-8j7SGzezxkeZuF1uP8uOw"",""fighter_param (""&amp;TO_TEXT($A$1)&amp;"")!B4:JZ""), 12, FALSE), """"))"),1.595)</f>
        <v>1.595</v>
      </c>
      <c r="Y15" s="2880">
        <f t="shared" si="6"/>
        <v>48</v>
      </c>
      <c r="Z15" s="3707">
        <f>IFERROR(__xludf.DUMMYFUNCTION("VALUE(IFERROR(VLOOKUP($AG15, IMPORTRANGE(""https://docs.google.com/spreadsheets/d/1UdH2L0xi8dO6jyPCcO5e5-8j7SGzezxkeZuF1uP8uOw"",""fighter_param (""&amp;TO_TEXT($A$1)&amp;"")!B4:JZ""), 24, FALSE), """"))"),1.029)</f>
        <v>1.029</v>
      </c>
      <c r="AA15" s="2880">
        <f t="shared" si="7"/>
        <v>87</v>
      </c>
      <c r="AB15" s="3707">
        <f>IFERROR(__xludf.DUMMYFUNCTION("VALUE(IFERROR(VLOOKUP($AG15, IMPORTRANGE(""https://docs.google.com/spreadsheets/d/1UdH2L0xi8dO6jyPCcO5e5-8j7SGzezxkeZuF1uP8uOw"",""fighter_param (""&amp;TO_TEXT($A$1)&amp;"")!B4:JZ""), 27, FALSE), """"))"),1.19)</f>
        <v>1.19</v>
      </c>
      <c r="AC15" s="2880">
        <f t="shared" si="8"/>
        <v>87</v>
      </c>
      <c r="AD15" s="3707">
        <f>IFERROR(__xludf.DUMMYFUNCTION("VALUE(IFERROR(VLOOKUP($AG15, IMPORTRANGE(""https://docs.google.com/spreadsheets/d/1UdH2L0xi8dO6jyPCcO5e5-8j7SGzezxkeZuF1uP8uOw"",""fighter_param (""&amp;TO_TEXT($A$1)&amp;"")!B4:JZ""), 31, FALSE), """"))"),1.904)</f>
        <v>1.904</v>
      </c>
      <c r="AE15" s="3712">
        <f>Fighters!S15</f>
        <v>14</v>
      </c>
      <c r="AF15" s="3713">
        <f>Fighters!T15</f>
        <v>12</v>
      </c>
      <c r="AG15" s="3714" t="str">
        <f>Fighters!V15</f>
        <v>peach</v>
      </c>
    </row>
    <row r="16">
      <c r="A16" s="3700" t="str">
        <f>Fighters!A16</f>
        <v>13'</v>
      </c>
      <c r="B16" s="3701" t="str">
        <f>Fighters!B16</f>
        <v>デイジー</v>
      </c>
      <c r="C16" s="2540" t="s">
        <v>176</v>
      </c>
      <c r="D16" s="3702" t="b">
        <v>0</v>
      </c>
      <c r="E16" s="3702" t="b">
        <v>0</v>
      </c>
      <c r="F16" s="3702" t="b">
        <v>0</v>
      </c>
      <c r="G16" s="3703" t="b">
        <v>0</v>
      </c>
      <c r="H16" s="544">
        <v>3.0</v>
      </c>
      <c r="I16" s="3704">
        <v>2.0</v>
      </c>
      <c r="J16" s="3711" t="s">
        <v>73</v>
      </c>
      <c r="K16" s="256">
        <f t="shared" si="1"/>
        <v>80</v>
      </c>
      <c r="L16" s="3704">
        <v>15.0</v>
      </c>
      <c r="M16" s="256">
        <f t="shared" si="2"/>
        <v>13</v>
      </c>
      <c r="N16" s="3706">
        <v>19.0</v>
      </c>
      <c r="O16" s="544">
        <v>41.0</v>
      </c>
      <c r="P16" s="3704">
        <v>57.0</v>
      </c>
      <c r="Q16" s="3704">
        <v>28.0</v>
      </c>
      <c r="R16" s="3706">
        <v>40.0</v>
      </c>
      <c r="S16" s="2880">
        <f t="shared" si="3"/>
        <v>64</v>
      </c>
      <c r="T16" s="3707">
        <f>IFERROR(__xludf.DUMMYFUNCTION("VALUE(IFERROR(VLOOKUP($AG16, IMPORTRANGE(""https://docs.google.com/spreadsheets/d/1UdH2L0xi8dO6jyPCcO5e5-8j7SGzezxkeZuF1uP8uOw"",""fighter_param (""&amp;TO_TEXT($A$1)&amp;"")!B4:JZ""), 32, FALSE), """"))"),89.0)</f>
        <v>89</v>
      </c>
      <c r="U16" s="2880">
        <f t="shared" si="4"/>
        <v>63</v>
      </c>
      <c r="V16" s="3707">
        <f>IFERROR(__xludf.DUMMYFUNCTION("VALUE(IFERROR(VLOOKUP($AG16, IMPORTRANGE(""https://docs.google.com/spreadsheets/d/1UdH2L0xi8dO6jyPCcO5e5-8j7SGzezxkeZuF1uP8uOw"",""fighter_param (""&amp;TO_TEXT($A$1)&amp;"")!B4:JZ""), 4, FALSE), """"))"),0.924)</f>
        <v>0.924</v>
      </c>
      <c r="W16" s="2880">
        <f t="shared" si="5"/>
        <v>60</v>
      </c>
      <c r="X16" s="3707">
        <f>IFERROR(__xludf.DUMMYFUNCTION("VALUE(IFERROR(VLOOKUP($AG16, IMPORTRANGE(""https://docs.google.com/spreadsheets/d/1UdH2L0xi8dO6jyPCcO5e5-8j7SGzezxkeZuF1uP8uOw"",""fighter_param (""&amp;TO_TEXT($A$1)&amp;"")!B4:JZ""), 12, FALSE), """"))"),1.595)</f>
        <v>1.595</v>
      </c>
      <c r="Y16" s="2880">
        <f t="shared" si="6"/>
        <v>48</v>
      </c>
      <c r="Z16" s="3707">
        <f>IFERROR(__xludf.DUMMYFUNCTION("VALUE(IFERROR(VLOOKUP($AG16, IMPORTRANGE(""https://docs.google.com/spreadsheets/d/1UdH2L0xi8dO6jyPCcO5e5-8j7SGzezxkeZuF1uP8uOw"",""fighter_param (""&amp;TO_TEXT($A$1)&amp;"")!B4:JZ""), 24, FALSE), """"))"),1.029)</f>
        <v>1.029</v>
      </c>
      <c r="AA16" s="2880">
        <f t="shared" si="7"/>
        <v>87</v>
      </c>
      <c r="AB16" s="3707">
        <f>IFERROR(__xludf.DUMMYFUNCTION("VALUE(IFERROR(VLOOKUP($AG16, IMPORTRANGE(""https://docs.google.com/spreadsheets/d/1UdH2L0xi8dO6jyPCcO5e5-8j7SGzezxkeZuF1uP8uOw"",""fighter_param (""&amp;TO_TEXT($A$1)&amp;"")!B4:JZ""), 27, FALSE), """"))"),1.19)</f>
        <v>1.19</v>
      </c>
      <c r="AC16" s="2880">
        <f t="shared" si="8"/>
        <v>87</v>
      </c>
      <c r="AD16" s="3707">
        <f>IFERROR(__xludf.DUMMYFUNCTION("VALUE(IFERROR(VLOOKUP($AG16, IMPORTRANGE(""https://docs.google.com/spreadsheets/d/1UdH2L0xi8dO6jyPCcO5e5-8j7SGzezxkeZuF1uP8uOw"",""fighter_param (""&amp;TO_TEXT($A$1)&amp;"")!B4:JZ""), 31, FALSE), """"))"),1.904)</f>
        <v>1.904</v>
      </c>
      <c r="AE16" s="3712">
        <f>Fighters!S16</f>
        <v>15</v>
      </c>
      <c r="AF16" s="3715">
        <f>Fighters!T16</f>
        <v>73</v>
      </c>
      <c r="AG16" s="3714" t="str">
        <f>Fighters!V16</f>
        <v>daisy</v>
      </c>
    </row>
    <row r="17">
      <c r="A17" s="3700">
        <f>Fighters!A17</f>
        <v>14</v>
      </c>
      <c r="B17" s="3701" t="str">
        <f>Fighters!B17</f>
        <v>クッパ</v>
      </c>
      <c r="C17" s="2540" t="s">
        <v>176</v>
      </c>
      <c r="D17" s="3702" t="b">
        <v>1</v>
      </c>
      <c r="E17" s="3702" t="b">
        <v>0</v>
      </c>
      <c r="F17" s="3702" t="b">
        <v>0</v>
      </c>
      <c r="G17" s="3703" t="b">
        <v>0</v>
      </c>
      <c r="H17" s="544">
        <v>3.0</v>
      </c>
      <c r="I17" s="3704">
        <v>2.0</v>
      </c>
      <c r="J17" s="3711" t="s">
        <v>86</v>
      </c>
      <c r="K17" s="256">
        <f t="shared" si="1"/>
        <v>73</v>
      </c>
      <c r="L17" s="3704">
        <v>13.0</v>
      </c>
      <c r="M17" s="256">
        <f t="shared" si="2"/>
        <v>13</v>
      </c>
      <c r="N17" s="3706">
        <v>19.0</v>
      </c>
      <c r="O17" s="544">
        <v>31.0</v>
      </c>
      <c r="P17" s="3704">
        <v>45.0</v>
      </c>
      <c r="Q17" s="3704">
        <v>22.0</v>
      </c>
      <c r="R17" s="3706">
        <v>31.0</v>
      </c>
      <c r="S17" s="2880">
        <f t="shared" si="3"/>
        <v>1</v>
      </c>
      <c r="T17" s="3707">
        <f>IFERROR(__xludf.DUMMYFUNCTION("VALUE(IFERROR(VLOOKUP($AG17, IMPORTRANGE(""https://docs.google.com/spreadsheets/d/1UdH2L0xi8dO6jyPCcO5e5-8j7SGzezxkeZuF1uP8uOw"",""fighter_param (""&amp;TO_TEXT($A$1)&amp;"")!B4:JZ""), 32, FALSE), """"))"),135.0)</f>
        <v>135</v>
      </c>
      <c r="U17" s="2880">
        <f t="shared" si="4"/>
        <v>72</v>
      </c>
      <c r="V17" s="3707">
        <f>IFERROR(__xludf.DUMMYFUNCTION("VALUE(IFERROR(VLOOKUP($AG17, IMPORTRANGE(""https://docs.google.com/spreadsheets/d/1UdH2L0xi8dO6jyPCcO5e5-8j7SGzezxkeZuF1uP8uOw"",""fighter_param (""&amp;TO_TEXT($A$1)&amp;"")!B4:JZ""), 4, FALSE), """"))"),0.901)</f>
        <v>0.901</v>
      </c>
      <c r="W17" s="2880">
        <f t="shared" si="5"/>
        <v>22</v>
      </c>
      <c r="X17" s="3707">
        <f>IFERROR(__xludf.DUMMYFUNCTION("VALUE(IFERROR(VLOOKUP($AG17, IMPORTRANGE(""https://docs.google.com/spreadsheets/d/1UdH2L0xi8dO6jyPCcO5e5-8j7SGzezxkeZuF1uP8uOw"",""fighter_param (""&amp;TO_TEXT($A$1)&amp;"")!B4:JZ""), 12, FALSE), """"))"),1.971)</f>
        <v>1.971</v>
      </c>
      <c r="Y17" s="2880">
        <f t="shared" si="6"/>
        <v>20</v>
      </c>
      <c r="Z17" s="3707">
        <f>IFERROR(__xludf.DUMMYFUNCTION("VALUE(IFERROR(VLOOKUP($AG17, IMPORTRANGE(""https://docs.google.com/spreadsheets/d/1UdH2L0xi8dO6jyPCcO5e5-8j7SGzezxkeZuF1uP8uOw"",""fighter_param (""&amp;TO_TEXT($A$1)&amp;"")!B4:JZ""), 24, FALSE), """"))"),1.155)</f>
        <v>1.155</v>
      </c>
      <c r="AA17" s="2880">
        <f t="shared" si="7"/>
        <v>20</v>
      </c>
      <c r="AB17" s="3707">
        <f>IFERROR(__xludf.DUMMYFUNCTION("VALUE(IFERROR(VLOOKUP($AG17, IMPORTRANGE(""https://docs.google.com/spreadsheets/d/1UdH2L0xi8dO6jyPCcO5e5-8j7SGzezxkeZuF1uP8uOw"",""fighter_param (""&amp;TO_TEXT($A$1)&amp;"")!B4:JZ""), 27, FALSE), """"))"),1.77)</f>
        <v>1.77</v>
      </c>
      <c r="AC17" s="2880">
        <f t="shared" si="8"/>
        <v>20</v>
      </c>
      <c r="AD17" s="3707">
        <f>IFERROR(__xludf.DUMMYFUNCTION("VALUE(IFERROR(VLOOKUP($AG17, IMPORTRANGE(""https://docs.google.com/spreadsheets/d/1UdH2L0xi8dO6jyPCcO5e5-8j7SGzezxkeZuF1uP8uOw"",""fighter_param (""&amp;TO_TEXT($A$1)&amp;"")!B4:JZ""), 31, FALSE), """"))"),2.832)</f>
        <v>2.832</v>
      </c>
      <c r="AE17" s="3712">
        <f>Fighters!S17</f>
        <v>16</v>
      </c>
      <c r="AF17" s="3713">
        <f>Fighters!T17</f>
        <v>13</v>
      </c>
      <c r="AG17" s="3714" t="str">
        <f>Fighters!V17</f>
        <v>koopa</v>
      </c>
    </row>
    <row r="18">
      <c r="A18" s="3700">
        <f>Fighters!A18</f>
        <v>15</v>
      </c>
      <c r="B18" s="3701" t="str">
        <f>Fighters!B18</f>
        <v>アイスクライマー</v>
      </c>
      <c r="C18" s="2540" t="s">
        <v>176</v>
      </c>
      <c r="D18" s="3702" t="b">
        <v>0</v>
      </c>
      <c r="E18" s="3702" t="b">
        <v>0</v>
      </c>
      <c r="F18" s="3702" t="b">
        <v>0</v>
      </c>
      <c r="G18" s="3703" t="b">
        <v>0</v>
      </c>
      <c r="H18" s="544">
        <v>3.0</v>
      </c>
      <c r="I18" s="3704">
        <v>2.0</v>
      </c>
      <c r="J18" s="3711" t="s">
        <v>73</v>
      </c>
      <c r="K18" s="256">
        <f t="shared" si="1"/>
        <v>73</v>
      </c>
      <c r="L18" s="3704">
        <v>13.0</v>
      </c>
      <c r="M18" s="256">
        <f t="shared" si="2"/>
        <v>13</v>
      </c>
      <c r="N18" s="3706">
        <v>19.0</v>
      </c>
      <c r="O18" s="544">
        <v>41.0</v>
      </c>
      <c r="P18" s="3704">
        <v>62.0</v>
      </c>
      <c r="Q18" s="3704">
        <v>29.0</v>
      </c>
      <c r="R18" s="3706">
        <v>44.0</v>
      </c>
      <c r="S18" s="2880">
        <f t="shared" si="3"/>
        <v>53</v>
      </c>
      <c r="T18" s="3707">
        <f>IFERROR(__xludf.DUMMYFUNCTION("VALUE(IFERROR(VLOOKUP($AG18, IMPORTRANGE(""https://docs.google.com/spreadsheets/d/1UdH2L0xi8dO6jyPCcO5e5-8j7SGzezxkeZuF1uP8uOw"",""fighter_param (""&amp;TO_TEXT($A$1)&amp;"")!B4:JZ""), 32, FALSE), """"))"),92.0)</f>
        <v>92</v>
      </c>
      <c r="U18" s="2880">
        <f t="shared" si="4"/>
        <v>55</v>
      </c>
      <c r="V18" s="3707">
        <f>IFERROR(__xludf.DUMMYFUNCTION("VALUE(IFERROR(VLOOKUP($AG18, IMPORTRANGE(""https://docs.google.com/spreadsheets/d/1UdH2L0xi8dO6jyPCcO5e5-8j7SGzezxkeZuF1uP8uOw"",""fighter_param (""&amp;TO_TEXT($A$1)&amp;"")!B4:JZ""), 4, FALSE), """"))"),1.008)</f>
        <v>1.008</v>
      </c>
      <c r="W18" s="2880">
        <f t="shared" si="5"/>
        <v>72</v>
      </c>
      <c r="X18" s="3707">
        <f>IFERROR(__xludf.DUMMYFUNCTION("VALUE(IFERROR(VLOOKUP($AG18, IMPORTRANGE(""https://docs.google.com/spreadsheets/d/1UdH2L0xi8dO6jyPCcO5e5-8j7SGzezxkeZuF1uP8uOw"",""fighter_param (""&amp;TO_TEXT($A$1)&amp;"")!B4:JZ""), 12, FALSE), """"))"),1.53)</f>
        <v>1.53</v>
      </c>
      <c r="Y18" s="2880">
        <f t="shared" si="6"/>
        <v>86</v>
      </c>
      <c r="Z18" s="3707">
        <f>IFERROR(__xludf.DUMMYFUNCTION("VALUE(IFERROR(VLOOKUP($AG18, IMPORTRANGE(""https://docs.google.com/spreadsheets/d/1UdH2L0xi8dO6jyPCcO5e5-8j7SGzezxkeZuF1uP8uOw"",""fighter_param (""&amp;TO_TEXT($A$1)&amp;"")!B4:JZ""), 24, FALSE), """"))"),0.83)</f>
        <v>0.83</v>
      </c>
      <c r="AA18" s="2880">
        <f t="shared" si="7"/>
        <v>80</v>
      </c>
      <c r="AB18" s="3707">
        <f>IFERROR(__xludf.DUMMYFUNCTION("VALUE(IFERROR(VLOOKUP($AG18, IMPORTRANGE(""https://docs.google.com/spreadsheets/d/1UdH2L0xi8dO6jyPCcO5e5-8j7SGzezxkeZuF1uP8uOw"",""fighter_param (""&amp;TO_TEXT($A$1)&amp;"")!B4:JZ""), 27, FALSE), """"))"),1.3)</f>
        <v>1.3</v>
      </c>
      <c r="AC18" s="2880">
        <f t="shared" si="8"/>
        <v>80</v>
      </c>
      <c r="AD18" s="3707">
        <f>IFERROR(__xludf.DUMMYFUNCTION("VALUE(IFERROR(VLOOKUP($AG18, IMPORTRANGE(""https://docs.google.com/spreadsheets/d/1UdH2L0xi8dO6jyPCcO5e5-8j7SGzezxkeZuF1uP8uOw"",""fighter_param (""&amp;TO_TEXT($A$1)&amp;"")!B4:JZ""), 31, FALSE), """"))"),2.08)</f>
        <v>2.08</v>
      </c>
      <c r="AE18" s="3712">
        <f>Fighters!S18</f>
        <v>17</v>
      </c>
      <c r="AF18" s="3713">
        <f>Fighters!T18</f>
        <v>14</v>
      </c>
      <c r="AG18" s="3714" t="str">
        <f>Fighters!V18</f>
        <v>popo</v>
      </c>
    </row>
    <row r="19">
      <c r="A19" s="3700">
        <f>Fighters!A19</f>
        <v>16</v>
      </c>
      <c r="B19" s="3701" t="str">
        <f>Fighters!B19</f>
        <v>シーク</v>
      </c>
      <c r="C19" s="2540" t="s">
        <v>176</v>
      </c>
      <c r="D19" s="3702" t="b">
        <v>1</v>
      </c>
      <c r="E19" s="3702" t="b">
        <v>1</v>
      </c>
      <c r="F19" s="3702" t="b">
        <v>1</v>
      </c>
      <c r="G19" s="3703" t="b">
        <v>0</v>
      </c>
      <c r="H19" s="544">
        <v>3.0</v>
      </c>
      <c r="I19" s="3704">
        <v>2.0</v>
      </c>
      <c r="J19" s="3711" t="s">
        <v>73</v>
      </c>
      <c r="K19" s="256">
        <f t="shared" si="1"/>
        <v>1</v>
      </c>
      <c r="L19" s="3704">
        <v>7.0</v>
      </c>
      <c r="M19" s="256">
        <f t="shared" si="2"/>
        <v>13</v>
      </c>
      <c r="N19" s="3706">
        <v>19.0</v>
      </c>
      <c r="O19" s="544">
        <v>32.0</v>
      </c>
      <c r="P19" s="3704">
        <v>47.0</v>
      </c>
      <c r="Q19" s="3704">
        <v>23.0</v>
      </c>
      <c r="R19" s="3706">
        <v>33.0</v>
      </c>
      <c r="S19" s="2880">
        <f t="shared" si="3"/>
        <v>84</v>
      </c>
      <c r="T19" s="3707">
        <f>IFERROR(__xludf.DUMMYFUNCTION("VALUE(IFERROR(VLOOKUP($AG19, IMPORTRANGE(""https://docs.google.com/spreadsheets/d/1UdH2L0xi8dO6jyPCcO5e5-8j7SGzezxkeZuF1uP8uOw"",""fighter_param (""&amp;TO_TEXT($A$1)&amp;"")!B4:JZ""), 32, FALSE), """"))"),78.0)</f>
        <v>78</v>
      </c>
      <c r="U19" s="2880">
        <f t="shared" si="4"/>
        <v>5</v>
      </c>
      <c r="V19" s="3707">
        <f>IFERROR(__xludf.DUMMYFUNCTION("VALUE(IFERROR(VLOOKUP($AG19, IMPORTRANGE(""https://docs.google.com/spreadsheets/d/1UdH2L0xi8dO6jyPCcO5e5-8j7SGzezxkeZuF1uP8uOw"",""fighter_param (""&amp;TO_TEXT($A$1)&amp;"")!B4:JZ""), 4, FALSE), """"))"),1.47)</f>
        <v>1.47</v>
      </c>
      <c r="W19" s="2880">
        <f t="shared" si="5"/>
        <v>4</v>
      </c>
      <c r="X19" s="3707">
        <f>IFERROR(__xludf.DUMMYFUNCTION("VALUE(IFERROR(VLOOKUP($AG19, IMPORTRANGE(""https://docs.google.com/spreadsheets/d/1UdH2L0xi8dO6jyPCcO5e5-8j7SGzezxkeZuF1uP8uOw"",""fighter_param (""&amp;TO_TEXT($A$1)&amp;"")!B4:JZ""), 12, FALSE), """"))"),2.42)</f>
        <v>2.42</v>
      </c>
      <c r="Y19" s="2880">
        <f t="shared" si="6"/>
        <v>20</v>
      </c>
      <c r="Z19" s="3707">
        <f>IFERROR(__xludf.DUMMYFUNCTION("VALUE(IFERROR(VLOOKUP($AG19, IMPORTRANGE(""https://docs.google.com/spreadsheets/d/1UdH2L0xi8dO6jyPCcO5e5-8j7SGzezxkeZuF1uP8uOw"",""fighter_param (""&amp;TO_TEXT($A$1)&amp;"")!B4:JZ""), 24, FALSE), """"))"),1.155)</f>
        <v>1.155</v>
      </c>
      <c r="AA19" s="2880">
        <f t="shared" si="7"/>
        <v>24</v>
      </c>
      <c r="AB19" s="3707">
        <f>IFERROR(__xludf.DUMMYFUNCTION("VALUE(IFERROR(VLOOKUP($AG19, IMPORTRANGE(""https://docs.google.com/spreadsheets/d/1UdH2L0xi8dO6jyPCcO5e5-8j7SGzezxkeZuF1uP8uOw"",""fighter_param (""&amp;TO_TEXT($A$1)&amp;"")!B4:JZ""), 27, FALSE), """"))"),1.75)</f>
        <v>1.75</v>
      </c>
      <c r="AC19" s="2880">
        <f t="shared" si="8"/>
        <v>24</v>
      </c>
      <c r="AD19" s="3707">
        <f>IFERROR(__xludf.DUMMYFUNCTION("VALUE(IFERROR(VLOOKUP($AG19, IMPORTRANGE(""https://docs.google.com/spreadsheets/d/1UdH2L0xi8dO6jyPCcO5e5-8j7SGzezxkeZuF1uP8uOw"",""fighter_param (""&amp;TO_TEXT($A$1)&amp;"")!B4:JZ""), 31, FALSE), """"))"),2.8)</f>
        <v>2.8</v>
      </c>
      <c r="AE19" s="3712">
        <f>Fighters!S19</f>
        <v>18</v>
      </c>
      <c r="AF19" s="3713">
        <f>Fighters!T19</f>
        <v>16</v>
      </c>
      <c r="AG19" s="3714" t="str">
        <f>Fighters!V19</f>
        <v>sheik</v>
      </c>
    </row>
    <row r="20">
      <c r="A20" s="3700">
        <f>Fighters!A20</f>
        <v>17</v>
      </c>
      <c r="B20" s="3701" t="str">
        <f>Fighters!B20</f>
        <v>ゼルダ</v>
      </c>
      <c r="C20" s="2540" t="s">
        <v>176</v>
      </c>
      <c r="D20" s="3702" t="b">
        <v>0</v>
      </c>
      <c r="E20" s="3702" t="b">
        <v>0</v>
      </c>
      <c r="F20" s="3702" t="b">
        <v>0</v>
      </c>
      <c r="G20" s="3703" t="b">
        <v>0</v>
      </c>
      <c r="H20" s="544">
        <v>3.0</v>
      </c>
      <c r="I20" s="3704">
        <v>2.0</v>
      </c>
      <c r="J20" s="3711" t="s">
        <v>73</v>
      </c>
      <c r="K20" s="256">
        <f t="shared" si="1"/>
        <v>80</v>
      </c>
      <c r="L20" s="3704">
        <v>15.0</v>
      </c>
      <c r="M20" s="256">
        <f t="shared" si="2"/>
        <v>13</v>
      </c>
      <c r="N20" s="3706">
        <v>19.0</v>
      </c>
      <c r="O20" s="544">
        <v>41.0</v>
      </c>
      <c r="P20" s="3704">
        <v>56.0</v>
      </c>
      <c r="Q20" s="3704">
        <v>29.0</v>
      </c>
      <c r="R20" s="3706">
        <v>39.0</v>
      </c>
      <c r="S20" s="2880">
        <f t="shared" si="3"/>
        <v>72</v>
      </c>
      <c r="T20" s="3707">
        <f>IFERROR(__xludf.DUMMYFUNCTION("VALUE(IFERROR(VLOOKUP($AG20, IMPORTRANGE(""https://docs.google.com/spreadsheets/d/1UdH2L0xi8dO6jyPCcO5e5-8j7SGzezxkeZuF1uP8uOw"",""fighter_param (""&amp;TO_TEXT($A$1)&amp;"")!B4:JZ""), 32, FALSE), """"))"),85.0)</f>
        <v>85</v>
      </c>
      <c r="U20" s="2880">
        <f t="shared" si="4"/>
        <v>68</v>
      </c>
      <c r="V20" s="3707">
        <f>IFERROR(__xludf.DUMMYFUNCTION("VALUE(IFERROR(VLOOKUP($AG20, IMPORTRANGE(""https://docs.google.com/spreadsheets/d/1UdH2L0xi8dO6jyPCcO5e5-8j7SGzezxkeZuF1uP8uOw"",""fighter_param (""&amp;TO_TEXT($A$1)&amp;"")!B4:JZ""), 4, FALSE), """"))"),0.914)</f>
        <v>0.914</v>
      </c>
      <c r="W20" s="2880">
        <f t="shared" si="5"/>
        <v>80</v>
      </c>
      <c r="X20" s="3707">
        <f>IFERROR(__xludf.DUMMYFUNCTION("VALUE(IFERROR(VLOOKUP($AG20, IMPORTRANGE(""https://docs.google.com/spreadsheets/d/1UdH2L0xi8dO6jyPCcO5e5-8j7SGzezxkeZuF1uP8uOw"",""fighter_param (""&amp;TO_TEXT($A$1)&amp;"")!B4:JZ""), 12, FALSE), """"))"),1.43)</f>
        <v>1.43</v>
      </c>
      <c r="Y20" s="2880">
        <f t="shared" si="6"/>
        <v>39</v>
      </c>
      <c r="Z20" s="3707">
        <f>IFERROR(__xludf.DUMMYFUNCTION("VALUE(IFERROR(VLOOKUP($AG20, IMPORTRANGE(""https://docs.google.com/spreadsheets/d/1UdH2L0xi8dO6jyPCcO5e5-8j7SGzezxkeZuF1uP8uOw"",""fighter_param (""&amp;TO_TEXT($A$1)&amp;"")!B4:JZ""), 24, FALSE), """"))"),1.092)</f>
        <v>1.092</v>
      </c>
      <c r="AA20" s="2880">
        <f t="shared" si="7"/>
        <v>71</v>
      </c>
      <c r="AB20" s="3707">
        <f>IFERROR(__xludf.DUMMYFUNCTION("VALUE(IFERROR(VLOOKUP($AG20, IMPORTRANGE(""https://docs.google.com/spreadsheets/d/1UdH2L0xi8dO6jyPCcO5e5-8j7SGzezxkeZuF1uP8uOw"",""fighter_param (""&amp;TO_TEXT($A$1)&amp;"")!B4:JZ""), 27, FALSE), """"))"),1.35)</f>
        <v>1.35</v>
      </c>
      <c r="AC20" s="2880">
        <f t="shared" si="8"/>
        <v>71</v>
      </c>
      <c r="AD20" s="3707">
        <f>IFERROR(__xludf.DUMMYFUNCTION("VALUE(IFERROR(VLOOKUP($AG20, IMPORTRANGE(""https://docs.google.com/spreadsheets/d/1UdH2L0xi8dO6jyPCcO5e5-8j7SGzezxkeZuF1uP8uOw"",""fighter_param (""&amp;TO_TEXT($A$1)&amp;"")!B4:JZ""), 31, FALSE), """"))"),2.16)</f>
        <v>2.16</v>
      </c>
      <c r="AE20" s="3712">
        <f>Fighters!S20</f>
        <v>19</v>
      </c>
      <c r="AF20" s="3713">
        <f>Fighters!T20</f>
        <v>17</v>
      </c>
      <c r="AG20" s="3714" t="str">
        <f>Fighters!V20</f>
        <v>zelda</v>
      </c>
    </row>
    <row r="21">
      <c r="A21" s="3700">
        <f>Fighters!A21</f>
        <v>18</v>
      </c>
      <c r="B21" s="3701" t="str">
        <f>Fighters!B21</f>
        <v>ドクターマリオ</v>
      </c>
      <c r="C21" s="2540" t="s">
        <v>176</v>
      </c>
      <c r="D21" s="3702" t="b">
        <v>0</v>
      </c>
      <c r="E21" s="3702" t="b">
        <v>1</v>
      </c>
      <c r="F21" s="3702" t="b">
        <v>0</v>
      </c>
      <c r="G21" s="3703" t="b">
        <v>0</v>
      </c>
      <c r="H21" s="544">
        <v>3.0</v>
      </c>
      <c r="I21" s="3704">
        <v>2.0</v>
      </c>
      <c r="J21" s="3711" t="s">
        <v>73</v>
      </c>
      <c r="K21" s="256">
        <f t="shared" si="1"/>
        <v>5</v>
      </c>
      <c r="L21" s="3704">
        <v>10.0</v>
      </c>
      <c r="M21" s="256">
        <f t="shared" si="2"/>
        <v>13</v>
      </c>
      <c r="N21" s="3706">
        <v>19.0</v>
      </c>
      <c r="O21" s="544">
        <v>34.0</v>
      </c>
      <c r="P21" s="3704">
        <v>51.0</v>
      </c>
      <c r="Q21" s="3704">
        <v>23.0</v>
      </c>
      <c r="R21" s="3706">
        <v>35.0</v>
      </c>
      <c r="S21" s="2880">
        <f t="shared" si="3"/>
        <v>33</v>
      </c>
      <c r="T21" s="3707">
        <f>IFERROR(__xludf.DUMMYFUNCTION("VALUE(IFERROR(VLOOKUP($AG21, IMPORTRANGE(""https://docs.google.com/spreadsheets/d/1UdH2L0xi8dO6jyPCcO5e5-8j7SGzezxkeZuF1uP8uOw"",""fighter_param (""&amp;TO_TEXT($A$1)&amp;"")!B4:JZ""), 32, FALSE), """"))"),98.0)</f>
        <v>98</v>
      </c>
      <c r="U21" s="2880">
        <f t="shared" si="4"/>
        <v>67</v>
      </c>
      <c r="V21" s="3717">
        <f>ROUND(MULTIPLY(V2, 1 + (0.58 - 1) * 0.49), 5)</f>
        <v>0.9173</v>
      </c>
      <c r="W21" s="2880">
        <f t="shared" si="5"/>
        <v>82</v>
      </c>
      <c r="X21" s="3717">
        <f>ROUND(MULTIPLY(X2, 1 + (0.58 - 1) * 0.49), 5)</f>
        <v>1.39779</v>
      </c>
      <c r="Y21" s="2880">
        <f t="shared" si="6"/>
        <v>77</v>
      </c>
      <c r="Z21" s="3717">
        <f>ROUND(MULTIPLY(Z2, 1 + (0.52 - 1) * 0.49), 5)</f>
        <v>0.92388</v>
      </c>
      <c r="AA21" s="2880">
        <f t="shared" si="7"/>
        <v>59</v>
      </c>
      <c r="AB21" s="3707">
        <f>IFERROR(__xludf.DUMMYFUNCTION("VALUE(IFERROR(VLOOKUP($AG21, IMPORTRANGE(""https://docs.google.com/spreadsheets/d/1UdH2L0xi8dO6jyPCcO5e5-8j7SGzezxkeZuF1uP8uOw"",""fighter_param (""&amp;TO_TEXT($A$1)&amp;"")!B4:JZ""), 27, FALSE), """"))"),1.5)</f>
        <v>1.5</v>
      </c>
      <c r="AC21" s="2880">
        <f t="shared" si="8"/>
        <v>57</v>
      </c>
      <c r="AD21" s="3707">
        <f>IFERROR(__xludf.DUMMYFUNCTION("VALUE(IFERROR(VLOOKUP($AG21, IMPORTRANGE(""https://docs.google.com/spreadsheets/d/1UdH2L0xi8dO6jyPCcO5e5-8j7SGzezxkeZuF1uP8uOw"",""fighter_param (""&amp;TO_TEXT($A$1)&amp;"")!B4:JZ""), 31, FALSE), """"))"),2.4)</f>
        <v>2.4</v>
      </c>
      <c r="AE21" s="3712">
        <f>Fighters!S21</f>
        <v>20</v>
      </c>
      <c r="AF21" s="3713">
        <f>Fighters!T21</f>
        <v>18</v>
      </c>
      <c r="AG21" s="3714" t="str">
        <f>Fighters!V21</f>
        <v>mariod</v>
      </c>
    </row>
    <row r="22">
      <c r="A22" s="3700">
        <f>Fighters!A22</f>
        <v>19</v>
      </c>
      <c r="B22" s="3701" t="str">
        <f>Fighters!B22</f>
        <v>ピチュー</v>
      </c>
      <c r="C22" s="2540" t="s">
        <v>176</v>
      </c>
      <c r="D22" s="3702" t="b">
        <v>1</v>
      </c>
      <c r="E22" s="3702" t="b">
        <v>1</v>
      </c>
      <c r="F22" s="3702" t="b">
        <v>0</v>
      </c>
      <c r="G22" s="3703" t="b">
        <v>0</v>
      </c>
      <c r="H22" s="544">
        <v>3.0</v>
      </c>
      <c r="I22" s="3704">
        <v>2.0</v>
      </c>
      <c r="J22" s="3711" t="s">
        <v>204</v>
      </c>
      <c r="K22" s="256">
        <f t="shared" si="1"/>
        <v>5</v>
      </c>
      <c r="L22" s="3704">
        <v>10.0</v>
      </c>
      <c r="M22" s="256">
        <f t="shared" si="2"/>
        <v>13</v>
      </c>
      <c r="N22" s="3706">
        <v>19.0</v>
      </c>
      <c r="O22" s="544">
        <v>31.0</v>
      </c>
      <c r="P22" s="3704">
        <v>45.0</v>
      </c>
      <c r="Q22" s="3704">
        <v>23.0</v>
      </c>
      <c r="R22" s="3706">
        <v>34.0</v>
      </c>
      <c r="S22" s="2880">
        <f t="shared" si="3"/>
        <v>89</v>
      </c>
      <c r="T22" s="3707">
        <f>IFERROR(__xludf.DUMMYFUNCTION("VALUE(IFERROR(VLOOKUP($AG22, IMPORTRANGE(""https://docs.google.com/spreadsheets/d/1UdH2L0xi8dO6jyPCcO5e5-8j7SGzezxkeZuF1uP8uOw"",""fighter_param (""&amp;TO_TEXT($A$1)&amp;"")!B4:JZ""), 32, FALSE), """"))"),62.0)</f>
        <v>62</v>
      </c>
      <c r="U22" s="2880">
        <f t="shared" si="4"/>
        <v>13</v>
      </c>
      <c r="V22" s="3707">
        <f>IFERROR(__xludf.DUMMYFUNCTION("VALUE(IFERROR(VLOOKUP($AG22, IMPORTRANGE(""https://docs.google.com/spreadsheets/d/1UdH2L0xi8dO6jyPCcO5e5-8j7SGzezxkeZuF1uP8uOw"",""fighter_param (""&amp;TO_TEXT($A$1)&amp;"")!B4:JZ""), 4, FALSE), """"))"),1.302)</f>
        <v>1.302</v>
      </c>
      <c r="W22" s="2880">
        <f t="shared" si="5"/>
        <v>28</v>
      </c>
      <c r="X22" s="3707">
        <f>IFERROR(__xludf.DUMMYFUNCTION("VALUE(IFERROR(VLOOKUP($AG22, IMPORTRANGE(""https://docs.google.com/spreadsheets/d/1UdH2L0xi8dO6jyPCcO5e5-8j7SGzezxkeZuF1uP8uOw"",""fighter_param (""&amp;TO_TEXT($A$1)&amp;"")!B4:JZ""), 12, FALSE), """"))"),1.892)</f>
        <v>1.892</v>
      </c>
      <c r="Y22" s="2880">
        <f t="shared" si="6"/>
        <v>48</v>
      </c>
      <c r="Z22" s="3707">
        <f>IFERROR(__xludf.DUMMYFUNCTION("VALUE(IFERROR(VLOOKUP($AG22, IMPORTRANGE(""https://docs.google.com/spreadsheets/d/1UdH2L0xi8dO6jyPCcO5e5-8j7SGzezxkeZuF1uP8uOw"",""fighter_param (""&amp;TO_TEXT($A$1)&amp;"")!B4:JZ""), 24, FALSE), """"))"),1.029)</f>
        <v>1.029</v>
      </c>
      <c r="AA22" s="2880">
        <f t="shared" si="7"/>
        <v>6</v>
      </c>
      <c r="AB22" s="3707">
        <f>IFERROR(__xludf.DUMMYFUNCTION("VALUE(IFERROR(VLOOKUP($AG22, IMPORTRANGE(""https://docs.google.com/spreadsheets/d/1UdH2L0xi8dO6jyPCcO5e5-8j7SGzezxkeZuF1uP8uOw"",""fighter_param (""&amp;TO_TEXT($A$1)&amp;"")!B4:JZ""), 27, FALSE), """"))"),1.9)</f>
        <v>1.9</v>
      </c>
      <c r="AC22" s="2880">
        <f t="shared" si="8"/>
        <v>50</v>
      </c>
      <c r="AD22" s="3707">
        <f>IFERROR(__xludf.DUMMYFUNCTION("VALUE(IFERROR(VLOOKUP($AG22, IMPORTRANGE(""https://docs.google.com/spreadsheets/d/1UdH2L0xi8dO6jyPCcO5e5-8j7SGzezxkeZuF1uP8uOw"",""fighter_param (""&amp;TO_TEXT($A$1)&amp;"")!B4:JZ""), 31, FALSE), """"))"),2.5)</f>
        <v>2.5</v>
      </c>
      <c r="AE22" s="3712">
        <f>Fighters!S22</f>
        <v>21</v>
      </c>
      <c r="AF22" s="3713">
        <f>Fighters!T22</f>
        <v>19</v>
      </c>
      <c r="AG22" s="3714" t="str">
        <f>Fighters!V22</f>
        <v>pichu</v>
      </c>
    </row>
    <row r="23">
      <c r="A23" s="3700">
        <f>Fighters!A23</f>
        <v>20</v>
      </c>
      <c r="B23" s="3701" t="str">
        <f>Fighters!B23</f>
        <v>ファルコ</v>
      </c>
      <c r="C23" s="2540" t="s">
        <v>176</v>
      </c>
      <c r="D23" s="3702" t="b">
        <v>0</v>
      </c>
      <c r="E23" s="3702" t="b">
        <v>1</v>
      </c>
      <c r="F23" s="3702" t="b">
        <v>0</v>
      </c>
      <c r="G23" s="3703" t="b">
        <v>0</v>
      </c>
      <c r="H23" s="544">
        <v>3.0</v>
      </c>
      <c r="I23" s="3704">
        <v>2.0</v>
      </c>
      <c r="J23" s="3711" t="s">
        <v>73</v>
      </c>
      <c r="K23" s="256">
        <f t="shared" si="1"/>
        <v>61</v>
      </c>
      <c r="L23" s="3704">
        <v>11.0</v>
      </c>
      <c r="M23" s="256">
        <f t="shared" si="2"/>
        <v>13</v>
      </c>
      <c r="N23" s="3706">
        <v>19.0</v>
      </c>
      <c r="O23" s="544">
        <v>32.0</v>
      </c>
      <c r="P23" s="3704">
        <v>57.0</v>
      </c>
      <c r="Q23" s="3704">
        <v>23.0</v>
      </c>
      <c r="R23" s="3706">
        <v>41.0</v>
      </c>
      <c r="S23" s="2880">
        <f t="shared" si="3"/>
        <v>74</v>
      </c>
      <c r="T23" s="3707">
        <f>IFERROR(__xludf.DUMMYFUNCTION("VALUE(IFERROR(VLOOKUP($AG23, IMPORTRANGE(""https://docs.google.com/spreadsheets/d/1UdH2L0xi8dO6jyPCcO5e5-8j7SGzezxkeZuF1uP8uOw"",""fighter_param (""&amp;TO_TEXT($A$1)&amp;"")!B4:JZ""), 32, FALSE), """"))"),82.0)</f>
        <v>82</v>
      </c>
      <c r="U23" s="2880">
        <f t="shared" si="4"/>
        <v>11</v>
      </c>
      <c r="V23" s="3707">
        <f>IFERROR(__xludf.DUMMYFUNCTION("VALUE(IFERROR(VLOOKUP($AG23, IMPORTRANGE(""https://docs.google.com/spreadsheets/d/1UdH2L0xi8dO6jyPCcO5e5-8j7SGzezxkeZuF1uP8uOw"",""fighter_param (""&amp;TO_TEXT($A$1)&amp;"")!B4:JZ""), 4, FALSE), """"))"),1.344)</f>
        <v>1.344</v>
      </c>
      <c r="W23" s="2880">
        <f t="shared" si="5"/>
        <v>55</v>
      </c>
      <c r="X23" s="3707">
        <f>IFERROR(__xludf.DUMMYFUNCTION("VALUE(IFERROR(VLOOKUP($AG23, IMPORTRANGE(""https://docs.google.com/spreadsheets/d/1UdH2L0xi8dO6jyPCcO5e5-8j7SGzezxkeZuF1uP8uOw"",""fighter_param (""&amp;TO_TEXT($A$1)&amp;"")!B4:JZ""), 12, FALSE), """"))"),1.619)</f>
        <v>1.619</v>
      </c>
      <c r="Y23" s="2880">
        <f t="shared" si="6"/>
        <v>63</v>
      </c>
      <c r="Z23" s="3707">
        <f>IFERROR(__xludf.DUMMYFUNCTION("VALUE(IFERROR(VLOOKUP($AG23, IMPORTRANGE(""https://docs.google.com/spreadsheets/d/1UdH2L0xi8dO6jyPCcO5e5-8j7SGzezxkeZuF1uP8uOw"",""fighter_param (""&amp;TO_TEXT($A$1)&amp;"")!B4:JZ""), 24, FALSE), """"))"),0.977)</f>
        <v>0.977</v>
      </c>
      <c r="AA23" s="2880">
        <f t="shared" si="7"/>
        <v>13</v>
      </c>
      <c r="AB23" s="3707">
        <f>IFERROR(__xludf.DUMMYFUNCTION("VALUE(IFERROR(VLOOKUP($AG23, IMPORTRANGE(""https://docs.google.com/spreadsheets/d/1UdH2L0xi8dO6jyPCcO5e5-8j7SGzezxkeZuF1uP8uOw"",""fighter_param (""&amp;TO_TEXT($A$1)&amp;"")!B4:JZ""), 27, FALSE), """"))"),1.8)</f>
        <v>1.8</v>
      </c>
      <c r="AC23" s="2880">
        <f t="shared" si="8"/>
        <v>13</v>
      </c>
      <c r="AD23" s="3707">
        <f>IFERROR(__xludf.DUMMYFUNCTION("VALUE(IFERROR(VLOOKUP($AG23, IMPORTRANGE(""https://docs.google.com/spreadsheets/d/1UdH2L0xi8dO6jyPCcO5e5-8j7SGzezxkeZuF1uP8uOw"",""fighter_param (""&amp;TO_TEXT($A$1)&amp;"")!B4:JZ""), 31, FALSE), """"))"),2.88)</f>
        <v>2.88</v>
      </c>
      <c r="AE23" s="3712">
        <f>Fighters!S23</f>
        <v>22</v>
      </c>
      <c r="AF23" s="3713">
        <f>Fighters!T23</f>
        <v>20</v>
      </c>
      <c r="AG23" s="3714" t="str">
        <f>Fighters!V23</f>
        <v>falco</v>
      </c>
    </row>
    <row r="24">
      <c r="A24" s="3700">
        <f>Fighters!A24</f>
        <v>21</v>
      </c>
      <c r="B24" s="3701" t="str">
        <f>Fighters!B24</f>
        <v>マルス</v>
      </c>
      <c r="C24" s="2540" t="s">
        <v>176</v>
      </c>
      <c r="D24" s="3702" t="b">
        <v>0</v>
      </c>
      <c r="E24" s="3702" t="b">
        <v>0</v>
      </c>
      <c r="F24" s="3702" t="b">
        <v>0</v>
      </c>
      <c r="G24" s="3703" t="b">
        <v>0</v>
      </c>
      <c r="H24" s="544">
        <v>3.0</v>
      </c>
      <c r="I24" s="3704">
        <v>2.0</v>
      </c>
      <c r="J24" s="3711" t="s">
        <v>73</v>
      </c>
      <c r="K24" s="256">
        <f t="shared" si="1"/>
        <v>5</v>
      </c>
      <c r="L24" s="3704">
        <v>10.0</v>
      </c>
      <c r="M24" s="256">
        <f t="shared" si="2"/>
        <v>13</v>
      </c>
      <c r="N24" s="3706">
        <v>19.0</v>
      </c>
      <c r="O24" s="544">
        <v>41.0</v>
      </c>
      <c r="P24" s="3704">
        <v>55.0</v>
      </c>
      <c r="Q24" s="3704">
        <v>28.0</v>
      </c>
      <c r="R24" s="3706">
        <v>38.0</v>
      </c>
      <c r="S24" s="2880">
        <f t="shared" si="3"/>
        <v>61</v>
      </c>
      <c r="T24" s="3707">
        <f>IFERROR(__xludf.DUMMYFUNCTION("VALUE(IFERROR(VLOOKUP($AG24, IMPORTRANGE(""https://docs.google.com/spreadsheets/d/1UdH2L0xi8dO6jyPCcO5e5-8j7SGzezxkeZuF1uP8uOw"",""fighter_param (""&amp;TO_TEXT($A$1)&amp;"")!B4:JZ""), 32, FALSE), """"))"),90.0)</f>
        <v>90</v>
      </c>
      <c r="U24" s="2880">
        <f t="shared" si="4"/>
        <v>1</v>
      </c>
      <c r="V24" s="3707">
        <f>IFERROR(__xludf.DUMMYFUNCTION("VALUE(IFERROR(VLOOKUP($AG24, IMPORTRANGE(""https://docs.google.com/spreadsheets/d/1UdH2L0xi8dO6jyPCcO5e5-8j7SGzezxkeZuF1uP8uOw"",""fighter_param (""&amp;TO_TEXT($A$1)&amp;"")!B4:JZ""), 4, FALSE), """"))"),1.575)</f>
        <v>1.575</v>
      </c>
      <c r="W24" s="2880">
        <f t="shared" si="5"/>
        <v>23</v>
      </c>
      <c r="X24" s="3707">
        <f>IFERROR(__xludf.DUMMYFUNCTION("VALUE(IFERROR(VLOOKUP($AG24, IMPORTRANGE(""https://docs.google.com/spreadsheets/d/1UdH2L0xi8dO6jyPCcO5e5-8j7SGzezxkeZuF1uP8uOw"",""fighter_param (""&amp;TO_TEXT($A$1)&amp;"")!B4:JZ""), 12, FALSE), """"))"),1.964)</f>
        <v>1.964</v>
      </c>
      <c r="Y24" s="2880">
        <f t="shared" si="6"/>
        <v>41</v>
      </c>
      <c r="Z24" s="3707">
        <f>IFERROR(__xludf.DUMMYFUNCTION("VALUE(IFERROR(VLOOKUP($AG24, IMPORTRANGE(""https://docs.google.com/spreadsheets/d/1UdH2L0xi8dO6jyPCcO5e5-8j7SGzezxkeZuF1uP8uOw"",""fighter_param (""&amp;TO_TEXT($A$1)&amp;"")!B4:JZ""), 24, FALSE), """"))"),1.071)</f>
        <v>1.071</v>
      </c>
      <c r="AA24" s="2880">
        <f t="shared" si="7"/>
        <v>48</v>
      </c>
      <c r="AB24" s="3707">
        <f>IFERROR(__xludf.DUMMYFUNCTION("VALUE(IFERROR(VLOOKUP($AG24, IMPORTRANGE(""https://docs.google.com/spreadsheets/d/1UdH2L0xi8dO6jyPCcO5e5-8j7SGzezxkeZuF1uP8uOw"",""fighter_param (""&amp;TO_TEXT($A$1)&amp;"")!B4:JZ""), 27, FALSE), """"))"),1.58)</f>
        <v>1.58</v>
      </c>
      <c r="AC24" s="2880">
        <f t="shared" si="8"/>
        <v>45</v>
      </c>
      <c r="AD24" s="3707">
        <f>IFERROR(__xludf.DUMMYFUNCTION("VALUE(IFERROR(VLOOKUP($AG24, IMPORTRANGE(""https://docs.google.com/spreadsheets/d/1UdH2L0xi8dO6jyPCcO5e5-8j7SGzezxkeZuF1uP8uOw"",""fighter_param (""&amp;TO_TEXT($A$1)&amp;"")!B4:JZ""), 31, FALSE), """"))"),2.528)</f>
        <v>2.528</v>
      </c>
      <c r="AE24" s="3712">
        <f>Fighters!S24</f>
        <v>23</v>
      </c>
      <c r="AF24" s="3713">
        <f>Fighters!T24</f>
        <v>21</v>
      </c>
      <c r="AG24" s="3714" t="str">
        <f>Fighters!V24</f>
        <v>marth</v>
      </c>
    </row>
    <row r="25">
      <c r="A25" s="3700" t="str">
        <f>Fighters!A25</f>
        <v>21'</v>
      </c>
      <c r="B25" s="3701" t="str">
        <f>Fighters!B25</f>
        <v>ルキナ</v>
      </c>
      <c r="C25" s="2540" t="s">
        <v>176</v>
      </c>
      <c r="D25" s="3702" t="b">
        <v>0</v>
      </c>
      <c r="E25" s="3702" t="b">
        <v>0</v>
      </c>
      <c r="F25" s="3702" t="b">
        <v>0</v>
      </c>
      <c r="G25" s="3703" t="b">
        <v>0</v>
      </c>
      <c r="H25" s="544">
        <v>3.0</v>
      </c>
      <c r="I25" s="3704">
        <v>2.0</v>
      </c>
      <c r="J25" s="3711" t="s">
        <v>73</v>
      </c>
      <c r="K25" s="256">
        <f t="shared" si="1"/>
        <v>5</v>
      </c>
      <c r="L25" s="3704">
        <v>10.0</v>
      </c>
      <c r="M25" s="256">
        <f t="shared" si="2"/>
        <v>13</v>
      </c>
      <c r="N25" s="3706">
        <v>19.0</v>
      </c>
      <c r="O25" s="544">
        <v>41.0</v>
      </c>
      <c r="P25" s="3704">
        <v>55.0</v>
      </c>
      <c r="Q25" s="3704">
        <v>28.0</v>
      </c>
      <c r="R25" s="3706">
        <v>38.0</v>
      </c>
      <c r="S25" s="2880">
        <f t="shared" si="3"/>
        <v>61</v>
      </c>
      <c r="T25" s="3707">
        <f>IFERROR(__xludf.DUMMYFUNCTION("VALUE(IFERROR(VLOOKUP($AG25, IMPORTRANGE(""https://docs.google.com/spreadsheets/d/1UdH2L0xi8dO6jyPCcO5e5-8j7SGzezxkeZuF1uP8uOw"",""fighter_param (""&amp;TO_TEXT($A$1)&amp;"")!B4:JZ""), 32, FALSE), """"))"),90.0)</f>
        <v>90</v>
      </c>
      <c r="U25" s="2880">
        <f t="shared" si="4"/>
        <v>1</v>
      </c>
      <c r="V25" s="3707">
        <f>IFERROR(__xludf.DUMMYFUNCTION("VALUE(IFERROR(VLOOKUP($AG25, IMPORTRANGE(""https://docs.google.com/spreadsheets/d/1UdH2L0xi8dO6jyPCcO5e5-8j7SGzezxkeZuF1uP8uOw"",""fighter_param (""&amp;TO_TEXT($A$1)&amp;"")!B4:JZ""), 4, FALSE), """"))"),1.575)</f>
        <v>1.575</v>
      </c>
      <c r="W25" s="2880">
        <f t="shared" si="5"/>
        <v>23</v>
      </c>
      <c r="X25" s="3707">
        <f>IFERROR(__xludf.DUMMYFUNCTION("VALUE(IFERROR(VLOOKUP($AG25, IMPORTRANGE(""https://docs.google.com/spreadsheets/d/1UdH2L0xi8dO6jyPCcO5e5-8j7SGzezxkeZuF1uP8uOw"",""fighter_param (""&amp;TO_TEXT($A$1)&amp;"")!B4:JZ""), 12, FALSE), """"))"),1.964)</f>
        <v>1.964</v>
      </c>
      <c r="Y25" s="2880">
        <f t="shared" si="6"/>
        <v>41</v>
      </c>
      <c r="Z25" s="3707">
        <f>IFERROR(__xludf.DUMMYFUNCTION("VALUE(IFERROR(VLOOKUP($AG25, IMPORTRANGE(""https://docs.google.com/spreadsheets/d/1UdH2L0xi8dO6jyPCcO5e5-8j7SGzezxkeZuF1uP8uOw"",""fighter_param (""&amp;TO_TEXT($A$1)&amp;"")!B4:JZ""), 24, FALSE), """"))"),1.071)</f>
        <v>1.071</v>
      </c>
      <c r="AA25" s="2880">
        <f t="shared" si="7"/>
        <v>48</v>
      </c>
      <c r="AB25" s="3707">
        <f>IFERROR(__xludf.DUMMYFUNCTION("VALUE(IFERROR(VLOOKUP($AG25, IMPORTRANGE(""https://docs.google.com/spreadsheets/d/1UdH2L0xi8dO6jyPCcO5e5-8j7SGzezxkeZuF1uP8uOw"",""fighter_param (""&amp;TO_TEXT($A$1)&amp;"")!B4:JZ""), 27, FALSE), """"))"),1.58)</f>
        <v>1.58</v>
      </c>
      <c r="AC25" s="2880">
        <f t="shared" si="8"/>
        <v>45</v>
      </c>
      <c r="AD25" s="3707">
        <f>IFERROR(__xludf.DUMMYFUNCTION("VALUE(IFERROR(VLOOKUP($AG25, IMPORTRANGE(""https://docs.google.com/spreadsheets/d/1UdH2L0xi8dO6jyPCcO5e5-8j7SGzezxkeZuF1uP8uOw"",""fighter_param (""&amp;TO_TEXT($A$1)&amp;"")!B4:JZ""), 31, FALSE), """"))"),2.528)</f>
        <v>2.528</v>
      </c>
      <c r="AE25" s="3712">
        <f>Fighters!S25</f>
        <v>24</v>
      </c>
      <c r="AF25" s="3715">
        <f>Fighters!T25</f>
        <v>74</v>
      </c>
      <c r="AG25" s="3714" t="str">
        <f>Fighters!V25</f>
        <v>lucina</v>
      </c>
    </row>
    <row r="26">
      <c r="A26" s="3700">
        <f>Fighters!A26</f>
        <v>22</v>
      </c>
      <c r="B26" s="3701" t="str">
        <f>Fighters!B26</f>
        <v>こどもリンク</v>
      </c>
      <c r="C26" s="2540" t="s">
        <v>176</v>
      </c>
      <c r="D26" s="3702" t="b">
        <v>0</v>
      </c>
      <c r="E26" s="3702" t="b">
        <v>1</v>
      </c>
      <c r="F26" s="3702" t="b">
        <v>0</v>
      </c>
      <c r="G26" s="3703" t="b">
        <v>1</v>
      </c>
      <c r="H26" s="544">
        <v>3.0</v>
      </c>
      <c r="I26" s="3704">
        <v>2.0</v>
      </c>
      <c r="J26" s="3711" t="s">
        <v>73</v>
      </c>
      <c r="K26" s="256">
        <f t="shared" si="1"/>
        <v>62</v>
      </c>
      <c r="L26" s="3704">
        <v>12.0</v>
      </c>
      <c r="M26" s="256">
        <f t="shared" si="2"/>
        <v>13</v>
      </c>
      <c r="N26" s="3706">
        <v>19.0</v>
      </c>
      <c r="O26" s="544">
        <v>36.0</v>
      </c>
      <c r="P26" s="3704">
        <v>49.0</v>
      </c>
      <c r="Q26" s="3704">
        <v>24.0</v>
      </c>
      <c r="R26" s="3706">
        <v>34.0</v>
      </c>
      <c r="S26" s="2880">
        <f t="shared" si="3"/>
        <v>66</v>
      </c>
      <c r="T26" s="3707">
        <f>IFERROR(__xludf.DUMMYFUNCTION("VALUE(IFERROR(VLOOKUP($AG26, IMPORTRANGE(""https://docs.google.com/spreadsheets/d/1UdH2L0xi8dO6jyPCcO5e5-8j7SGzezxkeZuF1uP8uOw"",""fighter_param (""&amp;TO_TEXT($A$1)&amp;"")!B4:JZ""), 32, FALSE), """"))"),88.0)</f>
        <v>88</v>
      </c>
      <c r="U26" s="2880">
        <f t="shared" si="4"/>
        <v>18</v>
      </c>
      <c r="V26" s="3707">
        <f>IFERROR(__xludf.DUMMYFUNCTION("VALUE(IFERROR(VLOOKUP($AG26, IMPORTRANGE(""https://docs.google.com/spreadsheets/d/1UdH2L0xi8dO6jyPCcO5e5-8j7SGzezxkeZuF1uP8uOw"",""fighter_param (""&amp;TO_TEXT($A$1)&amp;"")!B4:JZ""), 4, FALSE), """"))"),1.26)</f>
        <v>1.26</v>
      </c>
      <c r="W26" s="2880">
        <f t="shared" si="5"/>
        <v>41</v>
      </c>
      <c r="X26" s="3707">
        <f>IFERROR(__xludf.DUMMYFUNCTION("VALUE(IFERROR(VLOOKUP($AG26, IMPORTRANGE(""https://docs.google.com/spreadsheets/d/1UdH2L0xi8dO6jyPCcO5e5-8j7SGzezxkeZuF1uP8uOw"",""fighter_param (""&amp;TO_TEXT($A$1)&amp;"")!B4:JZ""), 12, FALSE), """"))"),1.749)</f>
        <v>1.749</v>
      </c>
      <c r="Y26" s="2880">
        <f t="shared" si="6"/>
        <v>64</v>
      </c>
      <c r="Z26" s="3707">
        <f>IFERROR(__xludf.DUMMYFUNCTION("VALUE(IFERROR(VLOOKUP($AG26, IMPORTRANGE(""https://docs.google.com/spreadsheets/d/1UdH2L0xi8dO6jyPCcO5e5-8j7SGzezxkeZuF1uP8uOw"",""fighter_param (""&amp;TO_TEXT($A$1)&amp;"")!B4:JZ""), 24, FALSE), """"))"),0.966)</f>
        <v>0.966</v>
      </c>
      <c r="AA26" s="2880">
        <f t="shared" si="7"/>
        <v>13</v>
      </c>
      <c r="AB26" s="3707">
        <f>IFERROR(__xludf.DUMMYFUNCTION("VALUE(IFERROR(VLOOKUP($AG26, IMPORTRANGE(""https://docs.google.com/spreadsheets/d/1UdH2L0xi8dO6jyPCcO5e5-8j7SGzezxkeZuF1uP8uOw"",""fighter_param (""&amp;TO_TEXT($A$1)&amp;"")!B4:JZ""), 27, FALSE), """"))"),1.8)</f>
        <v>1.8</v>
      </c>
      <c r="AC26" s="2880">
        <f t="shared" si="8"/>
        <v>13</v>
      </c>
      <c r="AD26" s="3707">
        <f>IFERROR(__xludf.DUMMYFUNCTION("VALUE(IFERROR(VLOOKUP($AG26, IMPORTRANGE(""https://docs.google.com/spreadsheets/d/1UdH2L0xi8dO6jyPCcO5e5-8j7SGzezxkeZuF1uP8uOw"",""fighter_param (""&amp;TO_TEXT($A$1)&amp;"")!B4:JZ""), 31, FALSE), """"))"),2.88)</f>
        <v>2.88</v>
      </c>
      <c r="AE26" s="3712">
        <f>Fighters!S26</f>
        <v>25</v>
      </c>
      <c r="AF26" s="3713">
        <f>Fighters!T26</f>
        <v>22</v>
      </c>
      <c r="AG26" s="3716" t="s">
        <v>6573</v>
      </c>
    </row>
    <row r="27">
      <c r="A27" s="3700">
        <f>Fighters!A27</f>
        <v>23</v>
      </c>
      <c r="B27" s="3701" t="str">
        <f>Fighters!B27</f>
        <v>ガノンドロフ</v>
      </c>
      <c r="C27" s="2540" t="s">
        <v>176</v>
      </c>
      <c r="D27" s="3702" t="b">
        <v>0</v>
      </c>
      <c r="E27" s="3702" t="b">
        <v>0</v>
      </c>
      <c r="F27" s="3702" t="b">
        <v>0</v>
      </c>
      <c r="G27" s="3703" t="b">
        <v>0</v>
      </c>
      <c r="H27" s="544">
        <v>3.0</v>
      </c>
      <c r="I27" s="3704">
        <v>2.0</v>
      </c>
      <c r="J27" s="3711" t="s">
        <v>150</v>
      </c>
      <c r="K27" s="256">
        <f t="shared" si="1"/>
        <v>80</v>
      </c>
      <c r="L27" s="3704">
        <v>15.0</v>
      </c>
      <c r="M27" s="256">
        <f t="shared" si="2"/>
        <v>13</v>
      </c>
      <c r="N27" s="3706">
        <v>19.0</v>
      </c>
      <c r="O27" s="544">
        <v>30.0</v>
      </c>
      <c r="P27" s="3704">
        <v>41.0</v>
      </c>
      <c r="Q27" s="3704">
        <v>20.0</v>
      </c>
      <c r="R27" s="3706">
        <v>29.0</v>
      </c>
      <c r="S27" s="2880">
        <f t="shared" si="3"/>
        <v>5</v>
      </c>
      <c r="T27" s="3707">
        <f>IFERROR(__xludf.DUMMYFUNCTION("VALUE(IFERROR(VLOOKUP($AG27, IMPORTRANGE(""https://docs.google.com/spreadsheets/d/1UdH2L0xi8dO6jyPCcO5e5-8j7SGzezxkeZuF1uP8uOw"",""fighter_param (""&amp;TO_TEXT($A$1)&amp;"")!B4:JZ""), 32, FALSE), """"))"),118.0)</f>
        <v>118</v>
      </c>
      <c r="U27" s="2880">
        <f t="shared" si="4"/>
        <v>82</v>
      </c>
      <c r="V27" s="3707">
        <f>IFERROR(__xludf.DUMMYFUNCTION("VALUE(IFERROR(VLOOKUP($AG27, IMPORTRANGE(""https://docs.google.com/spreadsheets/d/1UdH2L0xi8dO6jyPCcO5e5-8j7SGzezxkeZuF1uP8uOw"",""fighter_param (""&amp;TO_TEXT($A$1)&amp;"")!B4:JZ""), 4, FALSE), """"))"),0.767)</f>
        <v>0.767</v>
      </c>
      <c r="W27" s="2880">
        <f t="shared" si="5"/>
        <v>86</v>
      </c>
      <c r="X27" s="3707">
        <f>IFERROR(__xludf.DUMMYFUNCTION("VALUE(IFERROR(VLOOKUP($AG27, IMPORTRANGE(""https://docs.google.com/spreadsheets/d/1UdH2L0xi8dO6jyPCcO5e5-8j7SGzezxkeZuF1uP8uOw"",""fighter_param (""&amp;TO_TEXT($A$1)&amp;"")!B4:JZ""), 12, FALSE), """"))"),1.34)</f>
        <v>1.34</v>
      </c>
      <c r="Y27" s="2880">
        <f t="shared" si="6"/>
        <v>86</v>
      </c>
      <c r="Z27" s="3707">
        <f>IFERROR(__xludf.DUMMYFUNCTION("VALUE(IFERROR(VLOOKUP($AG27, IMPORTRANGE(""https://docs.google.com/spreadsheets/d/1UdH2L0xi8dO6jyPCcO5e5-8j7SGzezxkeZuF1uP8uOw"",""fighter_param (""&amp;TO_TEXT($A$1)&amp;"")!B4:JZ""), 24, FALSE), """"))"),0.83)</f>
        <v>0.83</v>
      </c>
      <c r="AA27" s="2880">
        <f t="shared" si="7"/>
        <v>33</v>
      </c>
      <c r="AB27" s="3707">
        <f>IFERROR(__xludf.DUMMYFUNCTION("VALUE(IFERROR(VLOOKUP($AG27, IMPORTRANGE(""https://docs.google.com/spreadsheets/d/1UdH2L0xi8dO6jyPCcO5e5-8j7SGzezxkeZuF1uP8uOw"",""fighter_param (""&amp;TO_TEXT($A$1)&amp;"")!B4:JZ""), 27, FALSE), """"))"),1.65)</f>
        <v>1.65</v>
      </c>
      <c r="AC27" s="2880">
        <f t="shared" si="8"/>
        <v>34</v>
      </c>
      <c r="AD27" s="3707">
        <f>IFERROR(__xludf.DUMMYFUNCTION("VALUE(IFERROR(VLOOKUP($AG27, IMPORTRANGE(""https://docs.google.com/spreadsheets/d/1UdH2L0xi8dO6jyPCcO5e5-8j7SGzezxkeZuF1uP8uOw"",""fighter_param (""&amp;TO_TEXT($A$1)&amp;"")!B4:JZ""), 31, FALSE), """"))"),2.64)</f>
        <v>2.64</v>
      </c>
      <c r="AE27" s="3712">
        <f>Fighters!S27</f>
        <v>26</v>
      </c>
      <c r="AF27" s="3713">
        <f>Fighters!T27</f>
        <v>23</v>
      </c>
      <c r="AG27" s="3714" t="str">
        <f>Fighters!V27</f>
        <v>ganon</v>
      </c>
    </row>
    <row r="28">
      <c r="A28" s="3700">
        <f>Fighters!A28</f>
        <v>24</v>
      </c>
      <c r="B28" s="3701" t="str">
        <f>Fighters!B28</f>
        <v>ミュウツー</v>
      </c>
      <c r="C28" s="2540" t="s">
        <v>176</v>
      </c>
      <c r="D28" s="3702" t="b">
        <v>0</v>
      </c>
      <c r="E28" s="3702" t="b">
        <v>1</v>
      </c>
      <c r="F28" s="3702" t="b">
        <v>0</v>
      </c>
      <c r="G28" s="3703" t="b">
        <v>0</v>
      </c>
      <c r="H28" s="544">
        <v>3.0</v>
      </c>
      <c r="I28" s="3704">
        <v>2.0</v>
      </c>
      <c r="J28" s="3711" t="s">
        <v>150</v>
      </c>
      <c r="K28" s="256">
        <f t="shared" si="1"/>
        <v>5</v>
      </c>
      <c r="L28" s="3704">
        <v>10.0</v>
      </c>
      <c r="M28" s="256">
        <f t="shared" si="2"/>
        <v>13</v>
      </c>
      <c r="N28" s="3706">
        <v>19.0</v>
      </c>
      <c r="O28" s="544">
        <v>41.0</v>
      </c>
      <c r="P28" s="3704">
        <v>52.0</v>
      </c>
      <c r="Q28" s="3704">
        <v>29.0</v>
      </c>
      <c r="R28" s="3706">
        <v>35.0</v>
      </c>
      <c r="S28" s="2880">
        <f t="shared" si="3"/>
        <v>79</v>
      </c>
      <c r="T28" s="3718">
        <f>IFERROR(__xludf.DUMMYFUNCTION("VALUE(IFERROR(VLOOKUP($AG28, IMPORTRANGE(""https://docs.google.com/spreadsheets/d/1UdH2L0xi8dO6jyPCcO5e5-8j7SGzezxkeZuF1uP8uOw"",""fighter_param (""&amp;TO_TEXT($A$1)&amp;"")!B4:JZ""), 32, FALSE), """"))"),79.0)</f>
        <v>79</v>
      </c>
      <c r="U28" s="2880">
        <f t="shared" si="4"/>
        <v>18</v>
      </c>
      <c r="V28" s="3707">
        <f>IFERROR(__xludf.DUMMYFUNCTION("VALUE(IFERROR(VLOOKUP($AG28, IMPORTRANGE(""https://docs.google.com/spreadsheets/d/1UdH2L0xi8dO6jyPCcO5e5-8j7SGzezxkeZuF1uP8uOw"",""fighter_param (""&amp;TO_TEXT($A$1)&amp;"")!B4:JZ""), 4, FALSE), """"))"),1.26)</f>
        <v>1.26</v>
      </c>
      <c r="W28" s="2880">
        <f t="shared" si="5"/>
        <v>9</v>
      </c>
      <c r="X28" s="3707">
        <f>IFERROR(__xludf.DUMMYFUNCTION("VALUE(IFERROR(VLOOKUP($AG28, IMPORTRANGE(""https://docs.google.com/spreadsheets/d/1UdH2L0xi8dO6jyPCcO5e5-8j7SGzezxkeZuF1uP8uOw"",""fighter_param (""&amp;TO_TEXT($A$1)&amp;"")!B4:JZ""), 12, FALSE), """"))"),2.255)</f>
        <v>2.255</v>
      </c>
      <c r="Y28" s="2880">
        <f t="shared" si="6"/>
        <v>3</v>
      </c>
      <c r="Z28" s="3707">
        <f>IFERROR(__xludf.DUMMYFUNCTION("VALUE(IFERROR(VLOOKUP($AG28, IMPORTRANGE(""https://docs.google.com/spreadsheets/d/1UdH2L0xi8dO6jyPCcO5e5-8j7SGzezxkeZuF1uP8uOw"",""fighter_param (""&amp;TO_TEXT($A$1)&amp;"")!B4:JZ""), 24, FALSE), """"))"),1.313)</f>
        <v>1.313</v>
      </c>
      <c r="AA28" s="2880">
        <f t="shared" si="7"/>
        <v>53</v>
      </c>
      <c r="AB28" s="3707">
        <f>IFERROR(__xludf.DUMMYFUNCTION("VALUE(IFERROR(VLOOKUP($AG28, IMPORTRANGE(""https://docs.google.com/spreadsheets/d/1UdH2L0xi8dO6jyPCcO5e5-8j7SGzezxkeZuF1uP8uOw"",""fighter_param (""&amp;TO_TEXT($A$1)&amp;"")!B4:JZ""), 27, FALSE), """"))"),1.55)</f>
        <v>1.55</v>
      </c>
      <c r="AC28" s="2880">
        <f t="shared" si="8"/>
        <v>51</v>
      </c>
      <c r="AD28" s="3707">
        <f>IFERROR(__xludf.DUMMYFUNCTION("VALUE(IFERROR(VLOOKUP($AG28, IMPORTRANGE(""https://docs.google.com/spreadsheets/d/1UdH2L0xi8dO6jyPCcO5e5-8j7SGzezxkeZuF1uP8uOw"",""fighter_param (""&amp;TO_TEXT($A$1)&amp;"")!B4:JZ""), 31, FALSE), """"))"),2.48)</f>
        <v>2.48</v>
      </c>
      <c r="AE28" s="3712">
        <f>Fighters!S28</f>
        <v>27</v>
      </c>
      <c r="AF28" s="3713">
        <f>Fighters!T28</f>
        <v>24</v>
      </c>
      <c r="AG28" s="3714" t="str">
        <f>Fighters!V28</f>
        <v>mewtwo</v>
      </c>
    </row>
    <row r="29">
      <c r="A29" s="3700">
        <f>Fighters!A29</f>
        <v>25</v>
      </c>
      <c r="B29" s="3701" t="str">
        <f>Fighters!B29</f>
        <v>ロイ</v>
      </c>
      <c r="C29" s="2540" t="s">
        <v>176</v>
      </c>
      <c r="D29" s="3702" t="b">
        <v>0</v>
      </c>
      <c r="E29" s="3702" t="b">
        <v>0</v>
      </c>
      <c r="F29" s="3702" t="b">
        <v>0</v>
      </c>
      <c r="G29" s="3703" t="b">
        <v>0</v>
      </c>
      <c r="H29" s="544">
        <v>3.0</v>
      </c>
      <c r="I29" s="3704">
        <v>2.0</v>
      </c>
      <c r="J29" s="3711" t="s">
        <v>150</v>
      </c>
      <c r="K29" s="256">
        <f t="shared" si="1"/>
        <v>5</v>
      </c>
      <c r="L29" s="3704">
        <v>10.0</v>
      </c>
      <c r="M29" s="256">
        <f t="shared" si="2"/>
        <v>13</v>
      </c>
      <c r="N29" s="3706">
        <v>19.0</v>
      </c>
      <c r="O29" s="544">
        <v>30.0</v>
      </c>
      <c r="P29" s="3704">
        <v>44.0</v>
      </c>
      <c r="Q29" s="3704">
        <v>20.0</v>
      </c>
      <c r="R29" s="3706">
        <v>31.0</v>
      </c>
      <c r="S29" s="2880">
        <f t="shared" si="3"/>
        <v>44</v>
      </c>
      <c r="T29" s="3707">
        <f>IFERROR(__xludf.DUMMYFUNCTION("VALUE(IFERROR(VLOOKUP($AG29, IMPORTRANGE(""https://docs.google.com/spreadsheets/d/1UdH2L0xi8dO6jyPCcO5e5-8j7SGzezxkeZuF1uP8uOw"",""fighter_param (""&amp;TO_TEXT($A$1)&amp;"")!B4:JZ""), 32, FALSE), """"))"),95.0)</f>
        <v>95</v>
      </c>
      <c r="U29" s="2880">
        <f t="shared" si="4"/>
        <v>27</v>
      </c>
      <c r="V29" s="3707">
        <f>IFERROR(__xludf.DUMMYFUNCTION("VALUE(IFERROR(VLOOKUP($AG29, IMPORTRANGE(""https://docs.google.com/spreadsheets/d/1UdH2L0xi8dO6jyPCcO5e5-8j7SGzezxkeZuF1uP8uOw"",""fighter_param (""&amp;TO_TEXT($A$1)&amp;"")!B4:JZ""), 4, FALSE), """"))"),1.208)</f>
        <v>1.208</v>
      </c>
      <c r="W29" s="2880">
        <f t="shared" si="5"/>
        <v>14</v>
      </c>
      <c r="X29" s="3707">
        <f>IFERROR(__xludf.DUMMYFUNCTION("VALUE(IFERROR(VLOOKUP($AG29, IMPORTRANGE(""https://docs.google.com/spreadsheets/d/1UdH2L0xi8dO6jyPCcO5e5-8j7SGzezxkeZuF1uP8uOw"",""fighter_param (""&amp;TO_TEXT($A$1)&amp;"")!B4:JZ""), 12, FALSE), """"))"),2.145)</f>
        <v>2.145</v>
      </c>
      <c r="Y29" s="2880">
        <f t="shared" si="6"/>
        <v>4</v>
      </c>
      <c r="Z29" s="3707">
        <f>IFERROR(__xludf.DUMMYFUNCTION("VALUE(IFERROR(VLOOKUP($AG29, IMPORTRANGE(""https://docs.google.com/spreadsheets/d/1UdH2L0xi8dO6jyPCcO5e5-8j7SGzezxkeZuF1uP8uOw"",""fighter_param (""&amp;TO_TEXT($A$1)&amp;"")!B4:JZ""), 24, FALSE), """"))"),1.302)</f>
        <v>1.302</v>
      </c>
      <c r="AA29" s="2880">
        <f t="shared" si="7"/>
        <v>13</v>
      </c>
      <c r="AB29" s="3707">
        <f>IFERROR(__xludf.DUMMYFUNCTION("VALUE(IFERROR(VLOOKUP($AG29, IMPORTRANGE(""https://docs.google.com/spreadsheets/d/1UdH2L0xi8dO6jyPCcO5e5-8j7SGzezxkeZuF1uP8uOw"",""fighter_param (""&amp;TO_TEXT($A$1)&amp;"")!B4:JZ""), 27, FALSE), """"))"),1.8)</f>
        <v>1.8</v>
      </c>
      <c r="AC29" s="2880">
        <f t="shared" si="8"/>
        <v>13</v>
      </c>
      <c r="AD29" s="3707">
        <f>IFERROR(__xludf.DUMMYFUNCTION("VALUE(IFERROR(VLOOKUP($AG29, IMPORTRANGE(""https://docs.google.com/spreadsheets/d/1UdH2L0xi8dO6jyPCcO5e5-8j7SGzezxkeZuF1uP8uOw"",""fighter_param (""&amp;TO_TEXT($A$1)&amp;"")!B4:JZ""), 31, FALSE), """"))"),2.88)</f>
        <v>2.88</v>
      </c>
      <c r="AE29" s="3712">
        <f>Fighters!S29</f>
        <v>28</v>
      </c>
      <c r="AF29" s="3713">
        <f>Fighters!T29</f>
        <v>25</v>
      </c>
      <c r="AG29" s="3714" t="str">
        <f>Fighters!V29</f>
        <v>roy</v>
      </c>
    </row>
    <row r="30">
      <c r="A30" s="3700" t="str">
        <f>Fighters!A30</f>
        <v>25'</v>
      </c>
      <c r="B30" s="3701" t="str">
        <f>Fighters!B30</f>
        <v>クロム</v>
      </c>
      <c r="C30" s="2540" t="s">
        <v>176</v>
      </c>
      <c r="D30" s="3702" t="b">
        <v>0</v>
      </c>
      <c r="E30" s="3702" t="b">
        <v>0</v>
      </c>
      <c r="F30" s="3702" t="b">
        <v>0</v>
      </c>
      <c r="G30" s="3703" t="b">
        <v>0</v>
      </c>
      <c r="H30" s="544">
        <v>3.0</v>
      </c>
      <c r="I30" s="3704">
        <v>2.0</v>
      </c>
      <c r="J30" s="3711" t="s">
        <v>150</v>
      </c>
      <c r="K30" s="256">
        <f t="shared" si="1"/>
        <v>5</v>
      </c>
      <c r="L30" s="3704">
        <v>10.0</v>
      </c>
      <c r="M30" s="256">
        <f t="shared" si="2"/>
        <v>13</v>
      </c>
      <c r="N30" s="3706">
        <v>19.0</v>
      </c>
      <c r="O30" s="544">
        <v>30.0</v>
      </c>
      <c r="P30" s="3704">
        <v>44.0</v>
      </c>
      <c r="Q30" s="3704">
        <v>20.0</v>
      </c>
      <c r="R30" s="3706">
        <v>31.0</v>
      </c>
      <c r="S30" s="2880">
        <f t="shared" si="3"/>
        <v>44</v>
      </c>
      <c r="T30" s="3707">
        <f>IFERROR(__xludf.DUMMYFUNCTION("VALUE(IFERROR(VLOOKUP($AG30, IMPORTRANGE(""https://docs.google.com/spreadsheets/d/1UdH2L0xi8dO6jyPCcO5e5-8j7SGzezxkeZuF1uP8uOw"",""fighter_param (""&amp;TO_TEXT($A$1)&amp;"")!B4:JZ""), 32, FALSE), """"))"),95.0)</f>
        <v>95</v>
      </c>
      <c r="U30" s="2880">
        <f t="shared" si="4"/>
        <v>27</v>
      </c>
      <c r="V30" s="3707">
        <f>IFERROR(__xludf.DUMMYFUNCTION("VALUE(IFERROR(VLOOKUP($AG30, IMPORTRANGE(""https://docs.google.com/spreadsheets/d/1UdH2L0xi8dO6jyPCcO5e5-8j7SGzezxkeZuF1uP8uOw"",""fighter_param (""&amp;TO_TEXT($A$1)&amp;"")!B4:JZ""), 4, FALSE), """"))"),1.208)</f>
        <v>1.208</v>
      </c>
      <c r="W30" s="2880">
        <f t="shared" si="5"/>
        <v>14</v>
      </c>
      <c r="X30" s="3707">
        <f>IFERROR(__xludf.DUMMYFUNCTION("VALUE(IFERROR(VLOOKUP($AG30, IMPORTRANGE(""https://docs.google.com/spreadsheets/d/1UdH2L0xi8dO6jyPCcO5e5-8j7SGzezxkeZuF1uP8uOw"",""fighter_param (""&amp;TO_TEXT($A$1)&amp;"")!B4:JZ""), 12, FALSE), """"))"),2.145)</f>
        <v>2.145</v>
      </c>
      <c r="Y30" s="2880">
        <f t="shared" si="6"/>
        <v>4</v>
      </c>
      <c r="Z30" s="3707">
        <f>IFERROR(__xludf.DUMMYFUNCTION("VALUE(IFERROR(VLOOKUP($AG30, IMPORTRANGE(""https://docs.google.com/spreadsheets/d/1UdH2L0xi8dO6jyPCcO5e5-8j7SGzezxkeZuF1uP8uOw"",""fighter_param (""&amp;TO_TEXT($A$1)&amp;"")!B4:JZ""), 24, FALSE), """"))"),1.302)</f>
        <v>1.302</v>
      </c>
      <c r="AA30" s="2880">
        <f t="shared" si="7"/>
        <v>13</v>
      </c>
      <c r="AB30" s="3707">
        <f>IFERROR(__xludf.DUMMYFUNCTION("VALUE(IFERROR(VLOOKUP($AG30, IMPORTRANGE(""https://docs.google.com/spreadsheets/d/1UdH2L0xi8dO6jyPCcO5e5-8j7SGzezxkeZuF1uP8uOw"",""fighter_param (""&amp;TO_TEXT($A$1)&amp;"")!B4:JZ""), 27, FALSE), """"))"),1.8)</f>
        <v>1.8</v>
      </c>
      <c r="AC30" s="2880">
        <f t="shared" si="8"/>
        <v>13</v>
      </c>
      <c r="AD30" s="3707">
        <f>IFERROR(__xludf.DUMMYFUNCTION("VALUE(IFERROR(VLOOKUP($AG30, IMPORTRANGE(""https://docs.google.com/spreadsheets/d/1UdH2L0xi8dO6jyPCcO5e5-8j7SGzezxkeZuF1uP8uOw"",""fighter_param (""&amp;TO_TEXT($A$1)&amp;"")!B4:JZ""), 31, FALSE), """"))"),2.88)</f>
        <v>2.88</v>
      </c>
      <c r="AE30" s="3712">
        <f>Fighters!S30</f>
        <v>29</v>
      </c>
      <c r="AF30" s="3715">
        <f>Fighters!T30</f>
        <v>75</v>
      </c>
      <c r="AG30" s="3714" t="str">
        <f>Fighters!V30</f>
        <v>chrom</v>
      </c>
    </row>
    <row r="31">
      <c r="A31" s="3700">
        <f>Fighters!A31</f>
        <v>26</v>
      </c>
      <c r="B31" s="3701" t="str">
        <f>Fighters!B31</f>
        <v>Mr. ゲーム&amp;ウォッチ</v>
      </c>
      <c r="C31" s="2540" t="s">
        <v>176</v>
      </c>
      <c r="D31" s="3702" t="b">
        <v>0</v>
      </c>
      <c r="E31" s="3702" t="b">
        <v>0</v>
      </c>
      <c r="F31" s="3702" t="b">
        <v>0</v>
      </c>
      <c r="G31" s="3703" t="b">
        <v>0</v>
      </c>
      <c r="H31" s="544">
        <v>3.0</v>
      </c>
      <c r="I31" s="3704">
        <v>2.0</v>
      </c>
      <c r="J31" s="3711" t="s">
        <v>73</v>
      </c>
      <c r="K31" s="256">
        <f t="shared" si="1"/>
        <v>3</v>
      </c>
      <c r="L31" s="3704">
        <v>8.0</v>
      </c>
      <c r="M31" s="256">
        <f t="shared" si="2"/>
        <v>5</v>
      </c>
      <c r="N31" s="3706">
        <v>17.0</v>
      </c>
      <c r="O31" s="544">
        <v>36.0</v>
      </c>
      <c r="P31" s="3704">
        <v>51.0</v>
      </c>
      <c r="Q31" s="3704">
        <v>25.0</v>
      </c>
      <c r="R31" s="3706">
        <v>36.0</v>
      </c>
      <c r="S31" s="2880">
        <f t="shared" si="3"/>
        <v>86</v>
      </c>
      <c r="T31" s="3707">
        <f>IFERROR(__xludf.DUMMYFUNCTION("VALUE(IFERROR(VLOOKUP($AG31, IMPORTRANGE(""https://docs.google.com/spreadsheets/d/1UdH2L0xi8dO6jyPCcO5e5-8j7SGzezxkeZuF1uP8uOw"",""fighter_param (""&amp;TO_TEXT($A$1)&amp;"")!B4:JZ""), 32, FALSE), """"))"),75.0)</f>
        <v>75</v>
      </c>
      <c r="U31" s="2880">
        <f t="shared" si="4"/>
        <v>33</v>
      </c>
      <c r="V31" s="3707">
        <f>IFERROR(__xludf.DUMMYFUNCTION("VALUE(IFERROR(VLOOKUP($AG31, IMPORTRANGE(""https://docs.google.com/spreadsheets/d/1UdH2L0xi8dO6jyPCcO5e5-8j7SGzezxkeZuF1uP8uOw"",""fighter_param (""&amp;TO_TEXT($A$1)&amp;"")!B4:JZ""), 4, FALSE), """"))"),1.18)</f>
        <v>1.18</v>
      </c>
      <c r="W31" s="2880">
        <f t="shared" si="5"/>
        <v>47</v>
      </c>
      <c r="X31" s="3707">
        <f>IFERROR(__xludf.DUMMYFUNCTION("VALUE(IFERROR(VLOOKUP($AG31, IMPORTRANGE(""https://docs.google.com/spreadsheets/d/1UdH2L0xi8dO6jyPCcO5e5-8j7SGzezxkeZuF1uP8uOw"",""fighter_param (""&amp;TO_TEXT($A$1)&amp;"")!B4:JZ""), 12, FALSE), """"))"),1.679)</f>
        <v>1.679</v>
      </c>
      <c r="Y31" s="2880">
        <f t="shared" si="6"/>
        <v>18</v>
      </c>
      <c r="Z31" s="3707">
        <f>IFERROR(__xludf.DUMMYFUNCTION("VALUE(IFERROR(VLOOKUP($AG31, IMPORTRANGE(""https://docs.google.com/spreadsheets/d/1UdH2L0xi8dO6jyPCcO5e5-8j7SGzezxkeZuF1uP8uOw"",""fighter_param (""&amp;TO_TEXT($A$1)&amp;"")!B4:JZ""), 24, FALSE), """"))"),1.176)</f>
        <v>1.176</v>
      </c>
      <c r="AA31" s="2880">
        <f t="shared" si="7"/>
        <v>84</v>
      </c>
      <c r="AB31" s="3707">
        <f>IFERROR(__xludf.DUMMYFUNCTION("VALUE(IFERROR(VLOOKUP($AG31, IMPORTRANGE(""https://docs.google.com/spreadsheets/d/1UdH2L0xi8dO6jyPCcO5e5-8j7SGzezxkeZuF1uP8uOw"",""fighter_param (""&amp;TO_TEXT($A$1)&amp;"")!B4:JZ""), 27, FALSE), """"))"),1.24)</f>
        <v>1.24</v>
      </c>
      <c r="AC31" s="2880">
        <f t="shared" si="8"/>
        <v>84</v>
      </c>
      <c r="AD31" s="3707">
        <f>IFERROR(__xludf.DUMMYFUNCTION("VALUE(IFERROR(VLOOKUP($AG31, IMPORTRANGE(""https://docs.google.com/spreadsheets/d/1UdH2L0xi8dO6jyPCcO5e5-8j7SGzezxkeZuF1uP8uOw"",""fighter_param (""&amp;TO_TEXT($A$1)&amp;"")!B4:JZ""), 31, FALSE), """"))"),1.984)</f>
        <v>1.984</v>
      </c>
      <c r="AE31" s="3712">
        <f>Fighters!S31</f>
        <v>30</v>
      </c>
      <c r="AF31" s="3713">
        <f>Fighters!T31</f>
        <v>26</v>
      </c>
      <c r="AG31" s="3714" t="str">
        <f>Fighters!V31</f>
        <v>gamewatch</v>
      </c>
    </row>
    <row r="32">
      <c r="A32" s="3700">
        <f>Fighters!A32</f>
        <v>27</v>
      </c>
      <c r="B32" s="3701" t="str">
        <f>Fighters!B32</f>
        <v>メタナイト</v>
      </c>
      <c r="C32" s="2540" t="s">
        <v>86</v>
      </c>
      <c r="D32" s="3702" t="b">
        <v>0</v>
      </c>
      <c r="E32" s="3702" t="b">
        <v>0</v>
      </c>
      <c r="F32" s="3702" t="b">
        <v>0</v>
      </c>
      <c r="G32" s="3703" t="b">
        <v>0</v>
      </c>
      <c r="H32" s="544">
        <v>3.0</v>
      </c>
      <c r="I32" s="3704">
        <v>2.0</v>
      </c>
      <c r="J32" s="3711" t="s">
        <v>73</v>
      </c>
      <c r="K32" s="256">
        <f t="shared" si="1"/>
        <v>62</v>
      </c>
      <c r="L32" s="3704">
        <v>12.0</v>
      </c>
      <c r="M32" s="256">
        <f t="shared" si="2"/>
        <v>88</v>
      </c>
      <c r="N32" s="3706">
        <v>25.0</v>
      </c>
      <c r="O32" s="544">
        <v>31.0</v>
      </c>
      <c r="P32" s="3704">
        <v>47.0</v>
      </c>
      <c r="Q32" s="3704">
        <v>22.0</v>
      </c>
      <c r="R32" s="3706">
        <v>33.0</v>
      </c>
      <c r="S32" s="2880">
        <f t="shared" si="3"/>
        <v>77</v>
      </c>
      <c r="T32" s="3707">
        <f>IFERROR(__xludf.DUMMYFUNCTION("VALUE(IFERROR(VLOOKUP($AG32, IMPORTRANGE(""https://docs.google.com/spreadsheets/d/1UdH2L0xi8dO6jyPCcO5e5-8j7SGzezxkeZuF1uP8uOw"",""fighter_param (""&amp;TO_TEXT($A$1)&amp;"")!B4:JZ""), 32, FALSE), """"))"),80.0)</f>
        <v>80</v>
      </c>
      <c r="U32" s="2880">
        <f t="shared" si="4"/>
        <v>24</v>
      </c>
      <c r="V32" s="3707">
        <f>IFERROR(__xludf.DUMMYFUNCTION("VALUE(IFERROR(VLOOKUP($AG32, IMPORTRANGE(""https://docs.google.com/spreadsheets/d/1UdH2L0xi8dO6jyPCcO5e5-8j7SGzezxkeZuF1uP8uOw"",""fighter_param (""&amp;TO_TEXT($A$1)&amp;"")!B4:JZ""), 4, FALSE), """"))"),1.239)</f>
        <v>1.239</v>
      </c>
      <c r="W32" s="2880">
        <f t="shared" si="5"/>
        <v>16</v>
      </c>
      <c r="X32" s="3707">
        <f>IFERROR(__xludf.DUMMYFUNCTION("VALUE(IFERROR(VLOOKUP($AG32, IMPORTRANGE(""https://docs.google.com/spreadsheets/d/1UdH2L0xi8dO6jyPCcO5e5-8j7SGzezxkeZuF1uP8uOw"",""fighter_param (""&amp;TO_TEXT($A$1)&amp;"")!B4:JZ""), 12, FALSE), """"))"),2.09)</f>
        <v>2.09</v>
      </c>
      <c r="Y32" s="2880">
        <f t="shared" si="6"/>
        <v>47</v>
      </c>
      <c r="Z32" s="3707">
        <f>IFERROR(__xludf.DUMMYFUNCTION("VALUE(IFERROR(VLOOKUP($AG32, IMPORTRANGE(""https://docs.google.com/spreadsheets/d/1UdH2L0xi8dO6jyPCcO5e5-8j7SGzezxkeZuF1uP8uOw"",""fighter_param (""&amp;TO_TEXT($A$1)&amp;"")!B4:JZ""), 24, FALSE), """"))"),1.04)</f>
        <v>1.04</v>
      </c>
      <c r="AA32" s="2880">
        <f t="shared" si="7"/>
        <v>32</v>
      </c>
      <c r="AB32" s="3707">
        <f>IFERROR(__xludf.DUMMYFUNCTION("VALUE(IFERROR(VLOOKUP($AG32, IMPORTRANGE(""https://docs.google.com/spreadsheets/d/1UdH2L0xi8dO6jyPCcO5e5-8j7SGzezxkeZuF1uP8uOw"",""fighter_param (""&amp;TO_TEXT($A$1)&amp;"")!B4:JZ""), 27, FALSE), """"))"),1.66)</f>
        <v>1.66</v>
      </c>
      <c r="AC32" s="2880">
        <f t="shared" si="8"/>
        <v>33</v>
      </c>
      <c r="AD32" s="3707">
        <f>IFERROR(__xludf.DUMMYFUNCTION("VALUE(IFERROR(VLOOKUP($AG32, IMPORTRANGE(""https://docs.google.com/spreadsheets/d/1UdH2L0xi8dO6jyPCcO5e5-8j7SGzezxkeZuF1uP8uOw"",""fighter_param (""&amp;TO_TEXT($A$1)&amp;"")!B4:JZ""), 31, FALSE), """"))"),2.656)</f>
        <v>2.656</v>
      </c>
      <c r="AE32" s="3712">
        <f>Fighters!S32</f>
        <v>31</v>
      </c>
      <c r="AF32" s="3713">
        <f>Fighters!T32</f>
        <v>27</v>
      </c>
      <c r="AG32" s="3714" t="str">
        <f>Fighters!V32</f>
        <v>metaknight</v>
      </c>
    </row>
    <row r="33">
      <c r="A33" s="3700">
        <f>Fighters!A33</f>
        <v>28</v>
      </c>
      <c r="B33" s="3701" t="str">
        <f>Fighters!B33</f>
        <v>ピット</v>
      </c>
      <c r="C33" s="2540" t="s">
        <v>73</v>
      </c>
      <c r="D33" s="3702" t="b">
        <v>0</v>
      </c>
      <c r="E33" s="3702" t="b">
        <v>0</v>
      </c>
      <c r="F33" s="3702" t="b">
        <v>0</v>
      </c>
      <c r="G33" s="3703" t="b">
        <v>0</v>
      </c>
      <c r="H33" s="544">
        <v>3.0</v>
      </c>
      <c r="I33" s="3704">
        <v>2.0</v>
      </c>
      <c r="J33" s="3711" t="s">
        <v>150</v>
      </c>
      <c r="K33" s="256">
        <f t="shared" si="1"/>
        <v>62</v>
      </c>
      <c r="L33" s="3704">
        <v>12.0</v>
      </c>
      <c r="M33" s="256">
        <f t="shared" si="2"/>
        <v>13</v>
      </c>
      <c r="N33" s="3706">
        <v>19.0</v>
      </c>
      <c r="O33" s="544">
        <v>38.0</v>
      </c>
      <c r="P33" s="3704">
        <v>52.0</v>
      </c>
      <c r="Q33" s="3704">
        <v>26.0</v>
      </c>
      <c r="R33" s="3706">
        <v>37.0</v>
      </c>
      <c r="S33" s="2880">
        <f t="shared" si="3"/>
        <v>40</v>
      </c>
      <c r="T33" s="3707">
        <f>IFERROR(__xludf.DUMMYFUNCTION("VALUE(IFERROR(VLOOKUP($AG33, IMPORTRANGE(""https://docs.google.com/spreadsheets/d/1UdH2L0xi8dO6jyPCcO5e5-8j7SGzezxkeZuF1uP8uOw"",""fighter_param (""&amp;TO_TEXT($A$1)&amp;"")!B4:JZ""), 32, FALSE), """"))"),96.0)</f>
        <v>96</v>
      </c>
      <c r="U33" s="2880">
        <f t="shared" si="4"/>
        <v>21</v>
      </c>
      <c r="V33" s="3707">
        <f>IFERROR(__xludf.DUMMYFUNCTION("VALUE(IFERROR(VLOOKUP($AG33, IMPORTRANGE(""https://docs.google.com/spreadsheets/d/1UdH2L0xi8dO6jyPCcO5e5-8j7SGzezxkeZuF1uP8uOw"",""fighter_param (""&amp;TO_TEXT($A$1)&amp;"")!B4:JZ""), 4, FALSE), """"))"),1.259)</f>
        <v>1.259</v>
      </c>
      <c r="W33" s="2880">
        <f t="shared" si="5"/>
        <v>33</v>
      </c>
      <c r="X33" s="3707">
        <f>IFERROR(__xludf.DUMMYFUNCTION("VALUE(IFERROR(VLOOKUP($AG33, IMPORTRANGE(""https://docs.google.com/spreadsheets/d/1UdH2L0xi8dO6jyPCcO5e5-8j7SGzezxkeZuF1uP8uOw"",""fighter_param (""&amp;TO_TEXT($A$1)&amp;"")!B4:JZ""), 12, FALSE), """"))"),1.828)</f>
        <v>1.828</v>
      </c>
      <c r="Y33" s="2880">
        <f t="shared" si="6"/>
        <v>72</v>
      </c>
      <c r="Z33" s="3707">
        <f>IFERROR(__xludf.DUMMYFUNCTION("VALUE(IFERROR(VLOOKUP($AG33, IMPORTRANGE(""https://docs.google.com/spreadsheets/d/1UdH2L0xi8dO6jyPCcO5e5-8j7SGzezxkeZuF1uP8uOw"",""fighter_param (""&amp;TO_TEXT($A$1)&amp;"")!B4:JZ""), 24, FALSE), """"))"),0.935)</f>
        <v>0.935</v>
      </c>
      <c r="AA33" s="2880">
        <f t="shared" si="7"/>
        <v>62</v>
      </c>
      <c r="AB33" s="3707">
        <f>IFERROR(__xludf.DUMMYFUNCTION("VALUE(IFERROR(VLOOKUP($AG33, IMPORTRANGE(""https://docs.google.com/spreadsheets/d/1UdH2L0xi8dO6jyPCcO5e5-8j7SGzezxkeZuF1uP8uOw"",""fighter_param (""&amp;TO_TEXT($A$1)&amp;"")!B4:JZ""), 27, FALSE), """"))"),1.48)</f>
        <v>1.48</v>
      </c>
      <c r="AC33" s="2880">
        <f t="shared" si="8"/>
        <v>60</v>
      </c>
      <c r="AD33" s="3707">
        <f>IFERROR(__xludf.DUMMYFUNCTION("VALUE(IFERROR(VLOOKUP($AG33, IMPORTRANGE(""https://docs.google.com/spreadsheets/d/1UdH2L0xi8dO6jyPCcO5e5-8j7SGzezxkeZuF1uP8uOw"",""fighter_param (""&amp;TO_TEXT($A$1)&amp;"")!B4:JZ""), 31, FALSE), """"))"),2.368)</f>
        <v>2.368</v>
      </c>
      <c r="AE33" s="3712">
        <f>Fighters!S33</f>
        <v>32</v>
      </c>
      <c r="AF33" s="3713">
        <f>Fighters!T33</f>
        <v>28</v>
      </c>
      <c r="AG33" s="3714" t="str">
        <f>Fighters!V33</f>
        <v>pit</v>
      </c>
    </row>
    <row r="34">
      <c r="A34" s="3700" t="str">
        <f>Fighters!A34</f>
        <v>28'</v>
      </c>
      <c r="B34" s="3701" t="str">
        <f>Fighters!B34</f>
        <v>ブラックピット</v>
      </c>
      <c r="C34" s="2540" t="s">
        <v>73</v>
      </c>
      <c r="D34" s="3702" t="b">
        <v>0</v>
      </c>
      <c r="E34" s="3702" t="b">
        <v>0</v>
      </c>
      <c r="F34" s="3702" t="b">
        <v>0</v>
      </c>
      <c r="G34" s="3703" t="b">
        <v>0</v>
      </c>
      <c r="H34" s="544">
        <v>3.0</v>
      </c>
      <c r="I34" s="3704">
        <v>2.0</v>
      </c>
      <c r="J34" s="3711" t="s">
        <v>150</v>
      </c>
      <c r="K34" s="256">
        <f t="shared" si="1"/>
        <v>62</v>
      </c>
      <c r="L34" s="3704">
        <v>12.0</v>
      </c>
      <c r="M34" s="256">
        <f t="shared" si="2"/>
        <v>13</v>
      </c>
      <c r="N34" s="3706">
        <v>19.0</v>
      </c>
      <c r="O34" s="544">
        <v>38.0</v>
      </c>
      <c r="P34" s="3704">
        <v>52.0</v>
      </c>
      <c r="Q34" s="3704">
        <v>26.0</v>
      </c>
      <c r="R34" s="3706">
        <v>37.0</v>
      </c>
      <c r="S34" s="2880">
        <f t="shared" si="3"/>
        <v>40</v>
      </c>
      <c r="T34" s="3707">
        <f>IFERROR(__xludf.DUMMYFUNCTION("VALUE(IFERROR(VLOOKUP($AG34, IMPORTRANGE(""https://docs.google.com/spreadsheets/d/1UdH2L0xi8dO6jyPCcO5e5-8j7SGzezxkeZuF1uP8uOw"",""fighter_param (""&amp;TO_TEXT($A$1)&amp;"")!B4:JZ""), 32, FALSE), """"))"),96.0)</f>
        <v>96</v>
      </c>
      <c r="U34" s="2880">
        <f t="shared" si="4"/>
        <v>21</v>
      </c>
      <c r="V34" s="3707">
        <f>IFERROR(__xludf.DUMMYFUNCTION("VALUE(IFERROR(VLOOKUP($AG34, IMPORTRANGE(""https://docs.google.com/spreadsheets/d/1UdH2L0xi8dO6jyPCcO5e5-8j7SGzezxkeZuF1uP8uOw"",""fighter_param (""&amp;TO_TEXT($A$1)&amp;"")!B4:JZ""), 4, FALSE), """"))"),1.259)</f>
        <v>1.259</v>
      </c>
      <c r="W34" s="2880">
        <f t="shared" si="5"/>
        <v>33</v>
      </c>
      <c r="X34" s="3707">
        <f>IFERROR(__xludf.DUMMYFUNCTION("VALUE(IFERROR(VLOOKUP($AG34, IMPORTRANGE(""https://docs.google.com/spreadsheets/d/1UdH2L0xi8dO6jyPCcO5e5-8j7SGzezxkeZuF1uP8uOw"",""fighter_param (""&amp;TO_TEXT($A$1)&amp;"")!B4:JZ""), 12, FALSE), """"))"),1.828)</f>
        <v>1.828</v>
      </c>
      <c r="Y34" s="2880">
        <f t="shared" si="6"/>
        <v>72</v>
      </c>
      <c r="Z34" s="3707">
        <f>IFERROR(__xludf.DUMMYFUNCTION("VALUE(IFERROR(VLOOKUP($AG34, IMPORTRANGE(""https://docs.google.com/spreadsheets/d/1UdH2L0xi8dO6jyPCcO5e5-8j7SGzezxkeZuF1uP8uOw"",""fighter_param (""&amp;TO_TEXT($A$1)&amp;"")!B4:JZ""), 24, FALSE), """"))"),0.935)</f>
        <v>0.935</v>
      </c>
      <c r="AA34" s="2880">
        <f t="shared" si="7"/>
        <v>62</v>
      </c>
      <c r="AB34" s="3707">
        <f>IFERROR(__xludf.DUMMYFUNCTION("VALUE(IFERROR(VLOOKUP($AG34, IMPORTRANGE(""https://docs.google.com/spreadsheets/d/1UdH2L0xi8dO6jyPCcO5e5-8j7SGzezxkeZuF1uP8uOw"",""fighter_param (""&amp;TO_TEXT($A$1)&amp;"")!B4:JZ""), 27, FALSE), """"))"),1.48)</f>
        <v>1.48</v>
      </c>
      <c r="AC34" s="2880">
        <f t="shared" si="8"/>
        <v>60</v>
      </c>
      <c r="AD34" s="3707">
        <f>IFERROR(__xludf.DUMMYFUNCTION("VALUE(IFERROR(VLOOKUP($AG34, IMPORTRANGE(""https://docs.google.com/spreadsheets/d/1UdH2L0xi8dO6jyPCcO5e5-8j7SGzezxkeZuF1uP8uOw"",""fighter_param (""&amp;TO_TEXT($A$1)&amp;"")!B4:JZ""), 31, FALSE), """"))"),2.368)</f>
        <v>2.368</v>
      </c>
      <c r="AE34" s="3712">
        <f>Fighters!S34</f>
        <v>33</v>
      </c>
      <c r="AF34" s="3715">
        <f>Fighters!T34</f>
        <v>76</v>
      </c>
      <c r="AG34" s="3714" t="str">
        <f>Fighters!V34</f>
        <v>pitb</v>
      </c>
    </row>
    <row r="35">
      <c r="A35" s="3700">
        <f>Fighters!A35</f>
        <v>29</v>
      </c>
      <c r="B35" s="3701" t="str">
        <f>Fighters!B35</f>
        <v>ゼロスーツサムス</v>
      </c>
      <c r="C35" s="2540" t="s">
        <v>176</v>
      </c>
      <c r="D35" s="3702" t="b">
        <v>1</v>
      </c>
      <c r="E35" s="3702" t="b">
        <v>1</v>
      </c>
      <c r="F35" s="3702" t="b">
        <v>0</v>
      </c>
      <c r="G35" s="3703" t="b">
        <v>1</v>
      </c>
      <c r="H35" s="544">
        <v>3.0</v>
      </c>
      <c r="I35" s="3704">
        <v>2.0</v>
      </c>
      <c r="J35" s="3711" t="s">
        <v>73</v>
      </c>
      <c r="K35" s="256">
        <f t="shared" si="1"/>
        <v>62</v>
      </c>
      <c r="L35" s="3704">
        <v>12.0</v>
      </c>
      <c r="M35" s="256">
        <f t="shared" si="2"/>
        <v>13</v>
      </c>
      <c r="N35" s="3706">
        <v>19.0</v>
      </c>
      <c r="O35" s="544">
        <v>38.0</v>
      </c>
      <c r="P35" s="3704">
        <v>55.0</v>
      </c>
      <c r="Q35" s="3704">
        <v>27.0</v>
      </c>
      <c r="R35" s="3706">
        <v>39.0</v>
      </c>
      <c r="S35" s="2880">
        <f t="shared" si="3"/>
        <v>77</v>
      </c>
      <c r="T35" s="3707">
        <f>IFERROR(__xludf.DUMMYFUNCTION("VALUE(IFERROR(VLOOKUP($AG35, IMPORTRANGE(""https://docs.google.com/spreadsheets/d/1UdH2L0xi8dO6jyPCcO5e5-8j7SGzezxkeZuF1uP8uOw"",""fighter_param (""&amp;TO_TEXT($A$1)&amp;"")!B4:JZ""), 32, FALSE), """"))"),80.0)</f>
        <v>80</v>
      </c>
      <c r="U35" s="2880">
        <f t="shared" si="4"/>
        <v>5</v>
      </c>
      <c r="V35" s="3707">
        <f>IFERROR(__xludf.DUMMYFUNCTION("VALUE(IFERROR(VLOOKUP($AG35, IMPORTRANGE(""https://docs.google.com/spreadsheets/d/1UdH2L0xi8dO6jyPCcO5e5-8j7SGzezxkeZuF1uP8uOw"",""fighter_param (""&amp;TO_TEXT($A$1)&amp;"")!B4:JZ""), 4, FALSE), """"))"),1.47)</f>
        <v>1.47</v>
      </c>
      <c r="W35" s="2880">
        <f t="shared" si="5"/>
        <v>7</v>
      </c>
      <c r="X35" s="3707">
        <f>IFERROR(__xludf.DUMMYFUNCTION("VALUE(IFERROR(VLOOKUP($AG35, IMPORTRANGE(""https://docs.google.com/spreadsheets/d/1UdH2L0xi8dO6jyPCcO5e5-8j7SGzezxkeZuF1uP8uOw"",""fighter_param (""&amp;TO_TEXT($A$1)&amp;"")!B4:JZ""), 12, FALSE), """"))"),2.31)</f>
        <v>2.31</v>
      </c>
      <c r="Y35" s="2880">
        <f t="shared" si="6"/>
        <v>9</v>
      </c>
      <c r="Z35" s="3707">
        <f>IFERROR(__xludf.DUMMYFUNCTION("VALUE(IFERROR(VLOOKUP($AG35, IMPORTRANGE(""https://docs.google.com/spreadsheets/d/1UdH2L0xi8dO6jyPCcO5e5-8j7SGzezxkeZuF1uP8uOw"",""fighter_param (""&amp;TO_TEXT($A$1)&amp;"")!B4:JZ""), 24, FALSE), """"))"),1.26)</f>
        <v>1.26</v>
      </c>
      <c r="AA35" s="2880">
        <f t="shared" si="7"/>
        <v>27</v>
      </c>
      <c r="AB35" s="3707">
        <f>IFERROR(__xludf.DUMMYFUNCTION("VALUE(IFERROR(VLOOKUP($AG35, IMPORTRANGE(""https://docs.google.com/spreadsheets/d/1UdH2L0xi8dO6jyPCcO5e5-8j7SGzezxkeZuF1uP8uOw"",""fighter_param (""&amp;TO_TEXT($A$1)&amp;"")!B4:JZ""), 27, FALSE), """"))"),1.7)</f>
        <v>1.7</v>
      </c>
      <c r="AC35" s="2880">
        <f t="shared" si="8"/>
        <v>28</v>
      </c>
      <c r="AD35" s="3707">
        <f>IFERROR(__xludf.DUMMYFUNCTION("VALUE(IFERROR(VLOOKUP($AG35, IMPORTRANGE(""https://docs.google.com/spreadsheets/d/1UdH2L0xi8dO6jyPCcO5e5-8j7SGzezxkeZuF1uP8uOw"",""fighter_param (""&amp;TO_TEXT($A$1)&amp;"")!B4:JZ""), 31, FALSE), """"))"),2.72)</f>
        <v>2.72</v>
      </c>
      <c r="AE35" s="3712">
        <f>Fighters!S35</f>
        <v>34</v>
      </c>
      <c r="AF35" s="3713">
        <f>Fighters!T35</f>
        <v>29</v>
      </c>
      <c r="AG35" s="3714" t="str">
        <f>Fighters!V35</f>
        <v>szerosuit</v>
      </c>
    </row>
    <row r="36">
      <c r="A36" s="3700">
        <f>Fighters!A36</f>
        <v>30</v>
      </c>
      <c r="B36" s="3701" t="str">
        <f>Fighters!B36</f>
        <v>ワリオ</v>
      </c>
      <c r="C36" s="2540" t="s">
        <v>176</v>
      </c>
      <c r="D36" s="3702" t="b">
        <v>1</v>
      </c>
      <c r="E36" s="3702" t="b">
        <v>0</v>
      </c>
      <c r="F36" s="3702" t="b">
        <v>0</v>
      </c>
      <c r="G36" s="3703" t="b">
        <v>0</v>
      </c>
      <c r="H36" s="544">
        <v>3.0</v>
      </c>
      <c r="I36" s="3704">
        <v>2.0</v>
      </c>
      <c r="J36" s="3711" t="s">
        <v>73</v>
      </c>
      <c r="K36" s="256">
        <f t="shared" si="1"/>
        <v>62</v>
      </c>
      <c r="L36" s="3704">
        <v>12.0</v>
      </c>
      <c r="M36" s="256">
        <f t="shared" si="2"/>
        <v>13</v>
      </c>
      <c r="N36" s="3706">
        <v>19.0</v>
      </c>
      <c r="O36" s="544">
        <v>33.0</v>
      </c>
      <c r="P36" s="3704">
        <v>46.0</v>
      </c>
      <c r="Q36" s="3704">
        <v>23.0</v>
      </c>
      <c r="R36" s="3706">
        <v>32.0</v>
      </c>
      <c r="S36" s="2880">
        <f t="shared" si="3"/>
        <v>14</v>
      </c>
      <c r="T36" s="3707">
        <f>IFERROR(__xludf.DUMMYFUNCTION("VALUE(IFERROR(VLOOKUP($AG36, IMPORTRANGE(""https://docs.google.com/spreadsheets/d/1UdH2L0xi8dO6jyPCcO5e5-8j7SGzezxkeZuF1uP8uOw"",""fighter_param (""&amp;TO_TEXT($A$1)&amp;"")!B4:JZ""), 32, FALSE), """"))"),107.0)</f>
        <v>107</v>
      </c>
      <c r="U36" s="2880">
        <f t="shared" si="4"/>
        <v>75</v>
      </c>
      <c r="V36" s="3707">
        <f>IFERROR(__xludf.DUMMYFUNCTION("VALUE(IFERROR(VLOOKUP($AG36, IMPORTRANGE(""https://docs.google.com/spreadsheets/d/1UdH2L0xi8dO6jyPCcO5e5-8j7SGzezxkeZuF1uP8uOw"",""fighter_param (""&amp;TO_TEXT($A$1)&amp;"")!B4:JZ""), 4, FALSE), """"))"),0.889)</f>
        <v>0.889</v>
      </c>
      <c r="W36" s="2880">
        <f t="shared" si="5"/>
        <v>52</v>
      </c>
      <c r="X36" s="3707">
        <f>IFERROR(__xludf.DUMMYFUNCTION("VALUE(IFERROR(VLOOKUP($AG36, IMPORTRANGE(""https://docs.google.com/spreadsheets/d/1UdH2L0xi8dO6jyPCcO5e5-8j7SGzezxkeZuF1uP8uOw"",""fighter_param (""&amp;TO_TEXT($A$1)&amp;"")!B4:JZ""), 12, FALSE), """"))"),1.65)</f>
        <v>1.65</v>
      </c>
      <c r="Y36" s="2880">
        <f t="shared" si="6"/>
        <v>8</v>
      </c>
      <c r="Z36" s="3707">
        <f>IFERROR(__xludf.DUMMYFUNCTION("VALUE(IFERROR(VLOOKUP($AG36, IMPORTRANGE(""https://docs.google.com/spreadsheets/d/1UdH2L0xi8dO6jyPCcO5e5-8j7SGzezxkeZuF1uP8uOw"",""fighter_param (""&amp;TO_TEXT($A$1)&amp;"")!B4:JZ""), 24, FALSE), """"))"),1.271)</f>
        <v>1.271</v>
      </c>
      <c r="AA36" s="2880">
        <f t="shared" si="7"/>
        <v>42</v>
      </c>
      <c r="AB36" s="3707">
        <f>IFERROR(__xludf.DUMMYFUNCTION("VALUE(IFERROR(VLOOKUP($AG36, IMPORTRANGE(""https://docs.google.com/spreadsheets/d/1UdH2L0xi8dO6jyPCcO5e5-8j7SGzezxkeZuF1uP8uOw"",""fighter_param (""&amp;TO_TEXT($A$1)&amp;"")!B4:JZ""), 27, FALSE), """"))"),1.61)</f>
        <v>1.61</v>
      </c>
      <c r="AC36" s="2880">
        <f t="shared" si="8"/>
        <v>42</v>
      </c>
      <c r="AD36" s="3707">
        <f>IFERROR(__xludf.DUMMYFUNCTION("VALUE(IFERROR(VLOOKUP($AG36, IMPORTRANGE(""https://docs.google.com/spreadsheets/d/1UdH2L0xi8dO6jyPCcO5e5-8j7SGzezxkeZuF1uP8uOw"",""fighter_param (""&amp;TO_TEXT($A$1)&amp;"")!B4:JZ""), 31, FALSE), """"))"),2.576)</f>
        <v>2.576</v>
      </c>
      <c r="AE36" s="3712">
        <f>Fighters!S36</f>
        <v>35</v>
      </c>
      <c r="AF36" s="3713">
        <f>Fighters!T36</f>
        <v>30</v>
      </c>
      <c r="AG36" s="3714" t="str">
        <f>Fighters!V36</f>
        <v>wario</v>
      </c>
    </row>
    <row r="37">
      <c r="A37" s="3700">
        <f>Fighters!A37</f>
        <v>31</v>
      </c>
      <c r="B37" s="3701" t="str">
        <f>Fighters!B37</f>
        <v>スネーク</v>
      </c>
      <c r="C37" s="2540" t="s">
        <v>176</v>
      </c>
      <c r="D37" s="3702" t="b">
        <v>1</v>
      </c>
      <c r="E37" s="3702" t="b">
        <v>0</v>
      </c>
      <c r="F37" s="3702" t="b">
        <v>0</v>
      </c>
      <c r="G37" s="3703" t="b">
        <v>0</v>
      </c>
      <c r="H37" s="544">
        <v>3.0</v>
      </c>
      <c r="I37" s="3704">
        <v>2.0</v>
      </c>
      <c r="J37" s="3711" t="s">
        <v>73</v>
      </c>
      <c r="K37" s="256">
        <f t="shared" si="1"/>
        <v>5</v>
      </c>
      <c r="L37" s="3704">
        <v>10.0</v>
      </c>
      <c r="M37" s="256">
        <f t="shared" si="2"/>
        <v>13</v>
      </c>
      <c r="N37" s="3706">
        <v>19.0</v>
      </c>
      <c r="O37" s="544">
        <v>37.0</v>
      </c>
      <c r="P37" s="3704">
        <v>42.0</v>
      </c>
      <c r="Q37" s="3704">
        <v>23.0</v>
      </c>
      <c r="R37" s="3706">
        <v>28.0</v>
      </c>
      <c r="S37" s="2880">
        <f t="shared" si="3"/>
        <v>19</v>
      </c>
      <c r="T37" s="3707">
        <f>IFERROR(__xludf.DUMMYFUNCTION("VALUE(IFERROR(VLOOKUP($AG37, IMPORTRANGE(""https://docs.google.com/spreadsheets/d/1UdH2L0xi8dO6jyPCcO5e5-8j7SGzezxkeZuF1uP8uOw"",""fighter_param (""&amp;TO_TEXT($A$1)&amp;"")!B4:JZ""), 32, FALSE), """"))"),106.0)</f>
        <v>106</v>
      </c>
      <c r="U37" s="2880">
        <f t="shared" si="4"/>
        <v>76</v>
      </c>
      <c r="V37" s="3707">
        <f>IFERROR(__xludf.DUMMYFUNCTION("VALUE(IFERROR(VLOOKUP($AG37, IMPORTRANGE(""https://docs.google.com/spreadsheets/d/1UdH2L0xi8dO6jyPCcO5e5-8j7SGzezxkeZuF1uP8uOw"",""fighter_param (""&amp;TO_TEXT($A$1)&amp;"")!B4:JZ""), 4, FALSE), """"))"),0.882)</f>
        <v>0.882</v>
      </c>
      <c r="W37" s="2880">
        <f t="shared" si="5"/>
        <v>60</v>
      </c>
      <c r="X37" s="3707">
        <f>IFERROR(__xludf.DUMMYFUNCTION("VALUE(IFERROR(VLOOKUP($AG37, IMPORTRANGE(""https://docs.google.com/spreadsheets/d/1UdH2L0xi8dO6jyPCcO5e5-8j7SGzezxkeZuF1uP8uOw"",""fighter_param (""&amp;TO_TEXT($A$1)&amp;"")!B4:JZ""), 12, FALSE), """"))"),1.595)</f>
        <v>1.595</v>
      </c>
      <c r="Y37" s="2880">
        <f t="shared" si="6"/>
        <v>61</v>
      </c>
      <c r="Z37" s="3707">
        <f>IFERROR(__xludf.DUMMYFUNCTION("VALUE(IFERROR(VLOOKUP($AG37, IMPORTRANGE(""https://docs.google.com/spreadsheets/d/1UdH2L0xi8dO6jyPCcO5e5-8j7SGzezxkeZuF1uP8uOw"",""fighter_param (""&amp;TO_TEXT($A$1)&amp;"")!B4:JZ""), 24, FALSE), """"))"),0.987)</f>
        <v>0.987</v>
      </c>
      <c r="AA37" s="2880">
        <f t="shared" si="7"/>
        <v>26</v>
      </c>
      <c r="AB37" s="3707">
        <f>IFERROR(__xludf.DUMMYFUNCTION("VALUE(IFERROR(VLOOKUP($AG37, IMPORTRANGE(""https://docs.google.com/spreadsheets/d/1UdH2L0xi8dO6jyPCcO5e5-8j7SGzezxkeZuF1uP8uOw"",""fighter_param (""&amp;TO_TEXT($A$1)&amp;"")!B4:JZ""), 27, FALSE), """"))"),1.73)</f>
        <v>1.73</v>
      </c>
      <c r="AC37" s="2880">
        <f t="shared" si="8"/>
        <v>26</v>
      </c>
      <c r="AD37" s="3707">
        <f>IFERROR(__xludf.DUMMYFUNCTION("VALUE(IFERROR(VLOOKUP($AG37, IMPORTRANGE(""https://docs.google.com/spreadsheets/d/1UdH2L0xi8dO6jyPCcO5e5-8j7SGzezxkeZuF1uP8uOw"",""fighter_param (""&amp;TO_TEXT($A$1)&amp;"")!B4:JZ""), 31, FALSE), """"))"),2.768)</f>
        <v>2.768</v>
      </c>
      <c r="AE37" s="3712">
        <f>Fighters!S37</f>
        <v>36</v>
      </c>
      <c r="AF37" s="3713">
        <f>Fighters!T37</f>
        <v>31</v>
      </c>
      <c r="AG37" s="3714" t="str">
        <f>Fighters!V37</f>
        <v>snake</v>
      </c>
    </row>
    <row r="38">
      <c r="A38" s="3700">
        <f>Fighters!A38</f>
        <v>32</v>
      </c>
      <c r="B38" s="3701" t="str">
        <f>Fighters!B38</f>
        <v>アイク</v>
      </c>
      <c r="C38" s="2540" t="s">
        <v>176</v>
      </c>
      <c r="D38" s="3702" t="b">
        <v>0</v>
      </c>
      <c r="E38" s="3702" t="b">
        <v>0</v>
      </c>
      <c r="F38" s="3702" t="b">
        <v>0</v>
      </c>
      <c r="G38" s="3703" t="b">
        <v>0</v>
      </c>
      <c r="H38" s="544">
        <v>3.0</v>
      </c>
      <c r="I38" s="3704">
        <v>2.0</v>
      </c>
      <c r="J38" s="3711" t="s">
        <v>73</v>
      </c>
      <c r="K38" s="256">
        <f t="shared" si="1"/>
        <v>5</v>
      </c>
      <c r="L38" s="3704">
        <v>10.0</v>
      </c>
      <c r="M38" s="256">
        <f t="shared" si="2"/>
        <v>13</v>
      </c>
      <c r="N38" s="3706">
        <v>19.0</v>
      </c>
      <c r="O38" s="544">
        <v>37.0</v>
      </c>
      <c r="P38" s="3704">
        <v>48.0</v>
      </c>
      <c r="Q38" s="3704">
        <v>26.0</v>
      </c>
      <c r="R38" s="3706">
        <v>33.0</v>
      </c>
      <c r="S38" s="2880">
        <f t="shared" si="3"/>
        <v>14</v>
      </c>
      <c r="T38" s="3707">
        <f>IFERROR(__xludf.DUMMYFUNCTION("VALUE(IFERROR(VLOOKUP($AG38, IMPORTRANGE(""https://docs.google.com/spreadsheets/d/1UdH2L0xi8dO6jyPCcO5e5-8j7SGzezxkeZuF1uP8uOw"",""fighter_param (""&amp;TO_TEXT($A$1)&amp;"")!B4:JZ""), 32, FALSE), """"))"),107.0)</f>
        <v>107</v>
      </c>
      <c r="U38" s="2880">
        <f t="shared" si="4"/>
        <v>69</v>
      </c>
      <c r="V38" s="3707">
        <f>IFERROR(__xludf.DUMMYFUNCTION("VALUE(IFERROR(VLOOKUP($AG38, IMPORTRANGE(""https://docs.google.com/spreadsheets/d/1UdH2L0xi8dO6jyPCcO5e5-8j7SGzezxkeZuF1uP8uOw"",""fighter_param (""&amp;TO_TEXT($A$1)&amp;"")!B4:JZ""), 4, FALSE), """"))"),0.912)</f>
        <v>0.912</v>
      </c>
      <c r="W38" s="2880">
        <f t="shared" si="5"/>
        <v>75</v>
      </c>
      <c r="X38" s="3707">
        <f>IFERROR(__xludf.DUMMYFUNCTION("VALUE(IFERROR(VLOOKUP($AG38, IMPORTRANGE(""https://docs.google.com/spreadsheets/d/1UdH2L0xi8dO6jyPCcO5e5-8j7SGzezxkeZuF1uP8uOw"",""fighter_param (""&amp;TO_TEXT($A$1)&amp;"")!B4:JZ""), 12, FALSE), """"))"),1.507)</f>
        <v>1.507</v>
      </c>
      <c r="Y38" s="2880">
        <f t="shared" si="6"/>
        <v>27</v>
      </c>
      <c r="Z38" s="3707">
        <f>IFERROR(__xludf.DUMMYFUNCTION("VALUE(IFERROR(VLOOKUP($AG38, IMPORTRANGE(""https://docs.google.com/spreadsheets/d/1UdH2L0xi8dO6jyPCcO5e5-8j7SGzezxkeZuF1uP8uOw"",""fighter_param (""&amp;TO_TEXT($A$1)&amp;"")!B4:JZ""), 24, FALSE), """"))"),1.134)</f>
        <v>1.134</v>
      </c>
      <c r="AA38" s="2880">
        <f t="shared" si="7"/>
        <v>33</v>
      </c>
      <c r="AB38" s="3707">
        <f>IFERROR(__xludf.DUMMYFUNCTION("VALUE(IFERROR(VLOOKUP($AG38, IMPORTRANGE(""https://docs.google.com/spreadsheets/d/1UdH2L0xi8dO6jyPCcO5e5-8j7SGzezxkeZuF1uP8uOw"",""fighter_param (""&amp;TO_TEXT($A$1)&amp;"")!B4:JZ""), 27, FALSE), """"))"),1.65)</f>
        <v>1.65</v>
      </c>
      <c r="AC38" s="2880">
        <f t="shared" si="8"/>
        <v>34</v>
      </c>
      <c r="AD38" s="3707">
        <f>IFERROR(__xludf.DUMMYFUNCTION("VALUE(IFERROR(VLOOKUP($AG38, IMPORTRANGE(""https://docs.google.com/spreadsheets/d/1UdH2L0xi8dO6jyPCcO5e5-8j7SGzezxkeZuF1uP8uOw"",""fighter_param (""&amp;TO_TEXT($A$1)&amp;"")!B4:JZ""), 31, FALSE), """"))"),2.64)</f>
        <v>2.64</v>
      </c>
      <c r="AE38" s="3712">
        <f>Fighters!S38</f>
        <v>37</v>
      </c>
      <c r="AF38" s="3713">
        <f>Fighters!T38</f>
        <v>32</v>
      </c>
      <c r="AG38" s="3714" t="str">
        <f>Fighters!V38</f>
        <v>ike</v>
      </c>
    </row>
    <row r="39">
      <c r="A39" s="3700">
        <f>Fighters!A39</f>
        <v>33</v>
      </c>
      <c r="B39" s="3701" t="str">
        <f>Fighters!B39</f>
        <v>ゼニガメ</v>
      </c>
      <c r="C39" s="2540" t="s">
        <v>176</v>
      </c>
      <c r="D39" s="3702" t="b">
        <v>1</v>
      </c>
      <c r="E39" s="3702" t="b">
        <v>1</v>
      </c>
      <c r="F39" s="3702" t="b">
        <v>1</v>
      </c>
      <c r="G39" s="3703" t="b">
        <v>0</v>
      </c>
      <c r="H39" s="544">
        <v>3.0</v>
      </c>
      <c r="I39" s="3704">
        <v>2.0</v>
      </c>
      <c r="J39" s="3711" t="s">
        <v>73</v>
      </c>
      <c r="K39" s="256">
        <f t="shared" si="1"/>
        <v>5</v>
      </c>
      <c r="L39" s="3704">
        <v>10.0</v>
      </c>
      <c r="M39" s="256">
        <f t="shared" si="2"/>
        <v>13</v>
      </c>
      <c r="N39" s="3706">
        <v>19.0</v>
      </c>
      <c r="O39" s="544">
        <v>34.0</v>
      </c>
      <c r="P39" s="3704">
        <v>51.0</v>
      </c>
      <c r="Q39" s="3704">
        <v>24.0</v>
      </c>
      <c r="R39" s="3706">
        <v>37.0</v>
      </c>
      <c r="S39" s="2880">
        <f t="shared" si="3"/>
        <v>86</v>
      </c>
      <c r="T39" s="3707">
        <f>IFERROR(__xludf.DUMMYFUNCTION("VALUE(IFERROR(VLOOKUP($AG39, IMPORTRANGE(""https://docs.google.com/spreadsheets/d/1UdH2L0xi8dO6jyPCcO5e5-8j7SGzezxkeZuF1uP8uOw"",""fighter_param (""&amp;TO_TEXT($A$1)&amp;"")!B4:JZ""), 32, FALSE), """"))"),75.0)</f>
        <v>75</v>
      </c>
      <c r="U39" s="2880">
        <f t="shared" si="4"/>
        <v>16</v>
      </c>
      <c r="V39" s="3707">
        <f>IFERROR(__xludf.DUMMYFUNCTION("VALUE(IFERROR(VLOOKUP($AG39, IMPORTRANGE(""https://docs.google.com/spreadsheets/d/1UdH2L0xi8dO6jyPCcO5e5-8j7SGzezxkeZuF1uP8uOw"",""fighter_param (""&amp;TO_TEXT($A$1)&amp;"")!B4:JZ""), 4, FALSE), """"))"),1.281)</f>
        <v>1.281</v>
      </c>
      <c r="W39" s="2880">
        <f t="shared" si="5"/>
        <v>37</v>
      </c>
      <c r="X39" s="3707">
        <f>IFERROR(__xludf.DUMMYFUNCTION("VALUE(IFERROR(VLOOKUP($AG39, IMPORTRANGE(""https://docs.google.com/spreadsheets/d/1UdH2L0xi8dO6jyPCcO5e5-8j7SGzezxkeZuF1uP8uOw"",""fighter_param (""&amp;TO_TEXT($A$1)&amp;"")!B4:JZ""), 12, FALSE), """"))"),1.76)</f>
        <v>1.76</v>
      </c>
      <c r="Y39" s="2880">
        <f t="shared" si="6"/>
        <v>55</v>
      </c>
      <c r="Z39" s="3707">
        <f>IFERROR(__xludf.DUMMYFUNCTION("VALUE(IFERROR(VLOOKUP($AG39, IMPORTRANGE(""https://docs.google.com/spreadsheets/d/1UdH2L0xi8dO6jyPCcO5e5-8j7SGzezxkeZuF1uP8uOw"",""fighter_param (""&amp;TO_TEXT($A$1)&amp;"")!B4:JZ""), 24, FALSE), """"))"),1.01)</f>
        <v>1.01</v>
      </c>
      <c r="AA39" s="2880">
        <f t="shared" si="7"/>
        <v>71</v>
      </c>
      <c r="AB39" s="3707">
        <f>IFERROR(__xludf.DUMMYFUNCTION("VALUE(IFERROR(VLOOKUP($AG39, IMPORTRANGE(""https://docs.google.com/spreadsheets/d/1UdH2L0xi8dO6jyPCcO5e5-8j7SGzezxkeZuF1uP8uOw"",""fighter_param (""&amp;TO_TEXT($A$1)&amp;"")!B4:JZ""), 27, FALSE), """"))"),1.35)</f>
        <v>1.35</v>
      </c>
      <c r="AC39" s="2880">
        <f t="shared" si="8"/>
        <v>71</v>
      </c>
      <c r="AD39" s="3707">
        <f>IFERROR(__xludf.DUMMYFUNCTION("VALUE(IFERROR(VLOOKUP($AG39, IMPORTRANGE(""https://docs.google.com/spreadsheets/d/1UdH2L0xi8dO6jyPCcO5e5-8j7SGzezxkeZuF1uP8uOw"",""fighter_param (""&amp;TO_TEXT($A$1)&amp;"")!B4:JZ""), 31, FALSE), """"))"),2.16)</f>
        <v>2.16</v>
      </c>
      <c r="AE39" s="3712">
        <f>Fighters!S39</f>
        <v>38</v>
      </c>
      <c r="AF39" s="3713">
        <f>Fighters!T39</f>
        <v>33</v>
      </c>
      <c r="AG39" s="3714" t="str">
        <f>Fighters!V39</f>
        <v>pzenigame</v>
      </c>
    </row>
    <row r="40">
      <c r="A40" s="3700">
        <f>Fighters!A40</f>
        <v>34</v>
      </c>
      <c r="B40" s="3701" t="str">
        <f>Fighters!B40</f>
        <v>フシギソウ</v>
      </c>
      <c r="C40" s="2540" t="s">
        <v>176</v>
      </c>
      <c r="D40" s="3702" t="b">
        <v>1</v>
      </c>
      <c r="E40" s="3702" t="b">
        <v>0</v>
      </c>
      <c r="F40" s="3702" t="b">
        <v>0</v>
      </c>
      <c r="G40" s="3706" t="b">
        <v>0</v>
      </c>
      <c r="H40" s="544">
        <v>3.0</v>
      </c>
      <c r="I40" s="3704">
        <v>2.0</v>
      </c>
      <c r="J40" s="3711" t="s">
        <v>73</v>
      </c>
      <c r="K40" s="256">
        <f t="shared" si="1"/>
        <v>5</v>
      </c>
      <c r="L40" s="3704">
        <v>10.0</v>
      </c>
      <c r="M40" s="256">
        <f t="shared" si="2"/>
        <v>13</v>
      </c>
      <c r="N40" s="3706">
        <v>19.0</v>
      </c>
      <c r="O40" s="544">
        <v>39.0</v>
      </c>
      <c r="P40" s="3704">
        <v>54.0</v>
      </c>
      <c r="Q40" s="3704">
        <v>27.0</v>
      </c>
      <c r="R40" s="3706">
        <v>38.0</v>
      </c>
      <c r="S40" s="2880">
        <f t="shared" si="3"/>
        <v>40</v>
      </c>
      <c r="T40" s="3707">
        <f>IFERROR(__xludf.DUMMYFUNCTION("VALUE(IFERROR(VLOOKUP($AG40, IMPORTRANGE(""https://docs.google.com/spreadsheets/d/1UdH2L0xi8dO6jyPCcO5e5-8j7SGzezxkeZuF1uP8uOw"",""fighter_param (""&amp;TO_TEXT($A$1)&amp;"")!B4:JZ""), 32, FALSE), """"))"),96.0)</f>
        <v>96</v>
      </c>
      <c r="U40" s="2880">
        <f t="shared" si="4"/>
        <v>46</v>
      </c>
      <c r="V40" s="3707">
        <f>IFERROR(__xludf.DUMMYFUNCTION("VALUE(IFERROR(VLOOKUP($AG40, IMPORTRANGE(""https://docs.google.com/spreadsheets/d/1UdH2L0xi8dO6jyPCcO5e5-8j7SGzezxkeZuF1uP8uOw"",""fighter_param (""&amp;TO_TEXT($A$1)&amp;"")!B4:JZ""), 4, FALSE), """"))"),1.103)</f>
        <v>1.103</v>
      </c>
      <c r="W40" s="2880">
        <f t="shared" si="5"/>
        <v>60</v>
      </c>
      <c r="X40" s="3707">
        <f>IFERROR(__xludf.DUMMYFUNCTION("VALUE(IFERROR(VLOOKUP($AG40, IMPORTRANGE(""https://docs.google.com/spreadsheets/d/1UdH2L0xi8dO6jyPCcO5e5-8j7SGzezxkeZuF1uP8uOw"",""fighter_param (""&amp;TO_TEXT($A$1)&amp;"")!B4:JZ""), 12, FALSE), """"))"),1.595)</f>
        <v>1.595</v>
      </c>
      <c r="Y40" s="2880">
        <f t="shared" si="6"/>
        <v>60</v>
      </c>
      <c r="Z40" s="3707">
        <f>IFERROR(__xludf.DUMMYFUNCTION("VALUE(IFERROR(VLOOKUP($AG40, IMPORTRANGE(""https://docs.google.com/spreadsheets/d/1UdH2L0xi8dO6jyPCcO5e5-8j7SGzezxkeZuF1uP8uOw"",""fighter_param (""&amp;TO_TEXT($A$1)&amp;"")!B4:JZ""), 24, FALSE), """"))"),0.998)</f>
        <v>0.998</v>
      </c>
      <c r="AA40" s="2880">
        <f t="shared" si="7"/>
        <v>68</v>
      </c>
      <c r="AB40" s="3707">
        <f>IFERROR(__xludf.DUMMYFUNCTION("VALUE(IFERROR(VLOOKUP($AG40, IMPORTRANGE(""https://docs.google.com/spreadsheets/d/1UdH2L0xi8dO6jyPCcO5e5-8j7SGzezxkeZuF1uP8uOw"",""fighter_param (""&amp;TO_TEXT($A$1)&amp;"")!B4:JZ""), 27, FALSE), """"))"),1.38)</f>
        <v>1.38</v>
      </c>
      <c r="AC40" s="2880">
        <f t="shared" si="8"/>
        <v>68</v>
      </c>
      <c r="AD40" s="3707">
        <f>IFERROR(__xludf.DUMMYFUNCTION("VALUE(IFERROR(VLOOKUP($AG40, IMPORTRANGE(""https://docs.google.com/spreadsheets/d/1UdH2L0xi8dO6jyPCcO5e5-8j7SGzezxkeZuF1uP8uOw"",""fighter_param (""&amp;TO_TEXT($A$1)&amp;"")!B4:JZ""), 31, FALSE), """"))"),2.208)</f>
        <v>2.208</v>
      </c>
      <c r="AE40" s="3712">
        <f>Fighters!S40</f>
        <v>39</v>
      </c>
      <c r="AF40" s="3713">
        <f>Fighters!T40</f>
        <v>34</v>
      </c>
      <c r="AG40" s="3714" t="str">
        <f>Fighters!V40</f>
        <v>pfushigisou</v>
      </c>
    </row>
    <row r="41">
      <c r="A41" s="3700">
        <f>Fighters!A41</f>
        <v>35</v>
      </c>
      <c r="B41" s="3701" t="str">
        <f>Fighters!B41</f>
        <v>リザードン</v>
      </c>
      <c r="C41" s="2540" t="s">
        <v>204</v>
      </c>
      <c r="D41" s="3702" t="b">
        <v>0</v>
      </c>
      <c r="E41" s="3702" t="b">
        <v>0</v>
      </c>
      <c r="F41" s="3702" t="b">
        <v>0</v>
      </c>
      <c r="G41" s="3703" t="b">
        <v>0</v>
      </c>
      <c r="H41" s="544">
        <v>3.0</v>
      </c>
      <c r="I41" s="3704">
        <v>2.0</v>
      </c>
      <c r="J41" s="3711" t="s">
        <v>150</v>
      </c>
      <c r="K41" s="256">
        <f t="shared" si="1"/>
        <v>5</v>
      </c>
      <c r="L41" s="3704">
        <v>10.0</v>
      </c>
      <c r="M41" s="256">
        <f t="shared" si="2"/>
        <v>13</v>
      </c>
      <c r="N41" s="3706">
        <v>19.0</v>
      </c>
      <c r="O41" s="544">
        <v>33.0</v>
      </c>
      <c r="P41" s="3704">
        <v>48.0</v>
      </c>
      <c r="Q41" s="3704">
        <v>24.0</v>
      </c>
      <c r="R41" s="3706">
        <v>34.0</v>
      </c>
      <c r="S41" s="2880">
        <f t="shared" si="3"/>
        <v>6</v>
      </c>
      <c r="T41" s="3707">
        <f>IFERROR(__xludf.DUMMYFUNCTION("VALUE(IFERROR(VLOOKUP($AG41, IMPORTRANGE(""https://docs.google.com/spreadsheets/d/1UdH2L0xi8dO6jyPCcO5e5-8j7SGzezxkeZuF1uP8uOw"",""fighter_param (""&amp;TO_TEXT($A$1)&amp;"")!B4:JZ""), 32, FALSE), """"))"),116.0)</f>
        <v>116</v>
      </c>
      <c r="U41" s="2880">
        <f t="shared" si="4"/>
        <v>32</v>
      </c>
      <c r="V41" s="3707">
        <f>IFERROR(__xludf.DUMMYFUNCTION("VALUE(IFERROR(VLOOKUP($AG41, IMPORTRANGE(""https://docs.google.com/spreadsheets/d/1UdH2L0xi8dO6jyPCcO5e5-8j7SGzezxkeZuF1uP8uOw"",""fighter_param (""&amp;TO_TEXT($A$1)&amp;"")!B4:JZ""), 4, FALSE), """"))"),1.187)</f>
        <v>1.187</v>
      </c>
      <c r="W41" s="2880">
        <f t="shared" si="5"/>
        <v>10</v>
      </c>
      <c r="X41" s="3707">
        <f>IFERROR(__xludf.DUMMYFUNCTION("VALUE(IFERROR(VLOOKUP($AG41, IMPORTRANGE(""https://docs.google.com/spreadsheets/d/1UdH2L0xi8dO6jyPCcO5e5-8j7SGzezxkeZuF1uP8uOw"",""fighter_param (""&amp;TO_TEXT($A$1)&amp;"")!B4:JZ""), 12, FALSE), """"))"),2.2)</f>
        <v>2.2</v>
      </c>
      <c r="Y41" s="2880">
        <f t="shared" si="6"/>
        <v>34</v>
      </c>
      <c r="Z41" s="3707">
        <f>IFERROR(__xludf.DUMMYFUNCTION("VALUE(IFERROR(VLOOKUP($AG41, IMPORTRANGE(""https://docs.google.com/spreadsheets/d/1UdH2L0xi8dO6jyPCcO5e5-8j7SGzezxkeZuF1uP8uOw"",""fighter_param (""&amp;TO_TEXT($A$1)&amp;"")!B4:JZ""), 24, FALSE), """"))"),1.103)</f>
        <v>1.103</v>
      </c>
      <c r="AA41" s="2880">
        <f t="shared" si="7"/>
        <v>57</v>
      </c>
      <c r="AB41" s="3707">
        <f>IFERROR(__xludf.DUMMYFUNCTION("VALUE(IFERROR(VLOOKUP($AG41, IMPORTRANGE(""https://docs.google.com/spreadsheets/d/1UdH2L0xi8dO6jyPCcO5e5-8j7SGzezxkeZuF1uP8uOw"",""fighter_param (""&amp;TO_TEXT($A$1)&amp;"")!B4:JZ""), 27, FALSE), """"))"),1.52)</f>
        <v>1.52</v>
      </c>
      <c r="AC41" s="2880">
        <f t="shared" si="8"/>
        <v>55</v>
      </c>
      <c r="AD41" s="3707">
        <f>IFERROR(__xludf.DUMMYFUNCTION("VALUE(IFERROR(VLOOKUP($AG41, IMPORTRANGE(""https://docs.google.com/spreadsheets/d/1UdH2L0xi8dO6jyPCcO5e5-8j7SGzezxkeZuF1uP8uOw"",""fighter_param (""&amp;TO_TEXT($A$1)&amp;"")!B4:JZ""), 31, FALSE), """"))"),2.432)</f>
        <v>2.432</v>
      </c>
      <c r="AE41" s="3712">
        <f>Fighters!S41</f>
        <v>40</v>
      </c>
      <c r="AF41" s="3713">
        <f>Fighters!T41</f>
        <v>35</v>
      </c>
      <c r="AG41" s="3714" t="str">
        <f>Fighters!V41</f>
        <v>plizardon</v>
      </c>
    </row>
    <row r="42">
      <c r="A42" s="3700">
        <f>Fighters!A42</f>
        <v>36</v>
      </c>
      <c r="B42" s="3701" t="str">
        <f>Fighters!B42</f>
        <v>ディディーコング</v>
      </c>
      <c r="C42" s="2540" t="s">
        <v>176</v>
      </c>
      <c r="D42" s="3702" t="b">
        <v>1</v>
      </c>
      <c r="E42" s="3702" t="b">
        <v>1</v>
      </c>
      <c r="F42" s="3702" t="b">
        <v>1</v>
      </c>
      <c r="G42" s="3703" t="b">
        <v>0</v>
      </c>
      <c r="H42" s="544">
        <v>3.0</v>
      </c>
      <c r="I42" s="3704">
        <v>2.0</v>
      </c>
      <c r="J42" s="3711" t="s">
        <v>73</v>
      </c>
      <c r="K42" s="256">
        <f t="shared" si="1"/>
        <v>5</v>
      </c>
      <c r="L42" s="3704">
        <v>10.0</v>
      </c>
      <c r="M42" s="256">
        <f t="shared" si="2"/>
        <v>13</v>
      </c>
      <c r="N42" s="3706">
        <v>19.0</v>
      </c>
      <c r="O42" s="544">
        <v>36.0</v>
      </c>
      <c r="P42" s="3704">
        <v>51.0</v>
      </c>
      <c r="Q42" s="3704">
        <v>26.0</v>
      </c>
      <c r="R42" s="3706">
        <v>36.0</v>
      </c>
      <c r="S42" s="2880">
        <f t="shared" si="3"/>
        <v>61</v>
      </c>
      <c r="T42" s="3707">
        <f>IFERROR(__xludf.DUMMYFUNCTION("VALUE(IFERROR(VLOOKUP($AG42, IMPORTRANGE(""https://docs.google.com/spreadsheets/d/1UdH2L0xi8dO6jyPCcO5e5-8j7SGzezxkeZuF1uP8uOw"",""fighter_param (""&amp;TO_TEXT($A$1)&amp;"")!B4:JZ""), 32, FALSE), """"))"),90.0)</f>
        <v>90</v>
      </c>
      <c r="U42" s="2880">
        <f t="shared" si="4"/>
        <v>12</v>
      </c>
      <c r="V42" s="3707">
        <f>IFERROR(__xludf.DUMMYFUNCTION("VALUE(IFERROR(VLOOKUP($AG42, IMPORTRANGE(""https://docs.google.com/spreadsheets/d/1UdH2L0xi8dO6jyPCcO5e5-8j7SGzezxkeZuF1uP8uOw"",""fighter_param (""&amp;TO_TEXT($A$1)&amp;"")!B4:JZ""), 4, FALSE), """"))"),1.313)</f>
        <v>1.313</v>
      </c>
      <c r="W42" s="2880">
        <f t="shared" si="5"/>
        <v>21</v>
      </c>
      <c r="X42" s="3707">
        <f>IFERROR(__xludf.DUMMYFUNCTION("VALUE(IFERROR(VLOOKUP($AG42, IMPORTRANGE(""https://docs.google.com/spreadsheets/d/1UdH2L0xi8dO6jyPCcO5e5-8j7SGzezxkeZuF1uP8uOw"",""fighter_param (""&amp;TO_TEXT($A$1)&amp;"")!B4:JZ""), 12, FALSE), """"))"),2.006)</f>
        <v>2.006</v>
      </c>
      <c r="Y42" s="2880">
        <f t="shared" si="6"/>
        <v>75</v>
      </c>
      <c r="Z42" s="3707">
        <f>IFERROR(__xludf.DUMMYFUNCTION("VALUE(IFERROR(VLOOKUP($AG42, IMPORTRANGE(""https://docs.google.com/spreadsheets/d/1UdH2L0xi8dO6jyPCcO5e5-8j7SGzezxkeZuF1uP8uOw"",""fighter_param (""&amp;TO_TEXT($A$1)&amp;"")!B4:JZ""), 24, FALSE), """"))"),0.924)</f>
        <v>0.924</v>
      </c>
      <c r="AA42" s="2880">
        <f t="shared" si="7"/>
        <v>24</v>
      </c>
      <c r="AB42" s="3707">
        <f>IFERROR(__xludf.DUMMYFUNCTION("VALUE(IFERROR(VLOOKUP($AG42, IMPORTRANGE(""https://docs.google.com/spreadsheets/d/1UdH2L0xi8dO6jyPCcO5e5-8j7SGzezxkeZuF1uP8uOw"",""fighter_param (""&amp;TO_TEXT($A$1)&amp;"")!B4:JZ""), 27, FALSE), """"))"),1.75)</f>
        <v>1.75</v>
      </c>
      <c r="AC42" s="2880">
        <f t="shared" si="8"/>
        <v>24</v>
      </c>
      <c r="AD42" s="3707">
        <f>IFERROR(__xludf.DUMMYFUNCTION("VALUE(IFERROR(VLOOKUP($AG42, IMPORTRANGE(""https://docs.google.com/spreadsheets/d/1UdH2L0xi8dO6jyPCcO5e5-8j7SGzezxkeZuF1uP8uOw"",""fighter_param (""&amp;TO_TEXT($A$1)&amp;"")!B4:JZ""), 31, FALSE), """"))"),2.8)</f>
        <v>2.8</v>
      </c>
      <c r="AE42" s="3712">
        <f>Fighters!S42</f>
        <v>41</v>
      </c>
      <c r="AF42" s="3713">
        <f>Fighters!T42</f>
        <v>36</v>
      </c>
      <c r="AG42" s="3714" t="str">
        <f>Fighters!V42</f>
        <v>diddy</v>
      </c>
    </row>
    <row r="43">
      <c r="A43" s="3700">
        <f>Fighters!A43</f>
        <v>37</v>
      </c>
      <c r="B43" s="3701" t="str">
        <f>Fighters!B43</f>
        <v>リュカ</v>
      </c>
      <c r="C43" s="2540" t="s">
        <v>176</v>
      </c>
      <c r="D43" s="3702" t="b">
        <v>0</v>
      </c>
      <c r="E43" s="3702" t="b">
        <v>0</v>
      </c>
      <c r="F43" s="3702" t="b">
        <v>0</v>
      </c>
      <c r="G43" s="3703" t="b">
        <v>1</v>
      </c>
      <c r="H43" s="544">
        <v>3.0</v>
      </c>
      <c r="I43" s="3704">
        <v>2.0</v>
      </c>
      <c r="J43" s="3711" t="s">
        <v>73</v>
      </c>
      <c r="K43" s="256">
        <f t="shared" si="1"/>
        <v>5</v>
      </c>
      <c r="L43" s="3704">
        <v>10.0</v>
      </c>
      <c r="M43" s="256">
        <f t="shared" si="2"/>
        <v>13</v>
      </c>
      <c r="N43" s="3706">
        <v>19.0</v>
      </c>
      <c r="O43" s="544">
        <v>34.0</v>
      </c>
      <c r="P43" s="3704">
        <v>50.0</v>
      </c>
      <c r="Q43" s="3704">
        <v>23.0</v>
      </c>
      <c r="R43" s="3706">
        <v>35.0</v>
      </c>
      <c r="S43" s="2880">
        <f t="shared" si="3"/>
        <v>48</v>
      </c>
      <c r="T43" s="3707">
        <f>IFERROR(__xludf.DUMMYFUNCTION("VALUE(IFERROR(VLOOKUP($AG43, IMPORTRANGE(""https://docs.google.com/spreadsheets/d/1UdH2L0xi8dO6jyPCcO5e5-8j7SGzezxkeZuF1uP8uOw"",""fighter_param (""&amp;TO_TEXT($A$1)&amp;"")!B4:JZ""), 32, FALSE), """"))"),94.0)</f>
        <v>94</v>
      </c>
      <c r="U43" s="2880">
        <f t="shared" si="4"/>
        <v>74</v>
      </c>
      <c r="V43" s="3707">
        <f>IFERROR(__xludf.DUMMYFUNCTION("VALUE(IFERROR(VLOOKUP($AG43, IMPORTRANGE(""https://docs.google.com/spreadsheets/d/1UdH2L0xi8dO6jyPCcO5e5-8j7SGzezxkeZuF1uP8uOw"",""fighter_param (""&amp;TO_TEXT($A$1)&amp;"")!B4:JZ""), 4, FALSE), """"))"),0.893)</f>
        <v>0.893</v>
      </c>
      <c r="W43" s="2880">
        <f t="shared" si="5"/>
        <v>52</v>
      </c>
      <c r="X43" s="3707">
        <f>IFERROR(__xludf.DUMMYFUNCTION("VALUE(IFERROR(VLOOKUP($AG43, IMPORTRANGE(""https://docs.google.com/spreadsheets/d/1UdH2L0xi8dO6jyPCcO5e5-8j7SGzezxkeZuF1uP8uOw"",""fighter_param (""&amp;TO_TEXT($A$1)&amp;"")!B4:JZ""), 12, FALSE), """"))"),1.65)</f>
        <v>1.65</v>
      </c>
      <c r="Y43" s="2880">
        <f t="shared" si="6"/>
        <v>20</v>
      </c>
      <c r="Z43" s="3707">
        <f>IFERROR(__xludf.DUMMYFUNCTION("VALUE(IFERROR(VLOOKUP($AG43, IMPORTRANGE(""https://docs.google.com/spreadsheets/d/1UdH2L0xi8dO6jyPCcO5e5-8j7SGzezxkeZuF1uP8uOw"",""fighter_param (""&amp;TO_TEXT($A$1)&amp;"")!B4:JZ""), 24, FALSE), """"))"),1.155)</f>
        <v>1.155</v>
      </c>
      <c r="AA43" s="2880">
        <f t="shared" si="7"/>
        <v>70</v>
      </c>
      <c r="AB43" s="3707">
        <f>IFERROR(__xludf.DUMMYFUNCTION("VALUE(IFERROR(VLOOKUP($AG43, IMPORTRANGE(""https://docs.google.com/spreadsheets/d/1UdH2L0xi8dO6jyPCcO5e5-8j7SGzezxkeZuF1uP8uOw"",""fighter_param (""&amp;TO_TEXT($A$1)&amp;"")!B4:JZ""), 27, FALSE), """"))"),1.37)</f>
        <v>1.37</v>
      </c>
      <c r="AC43" s="2880">
        <f t="shared" si="8"/>
        <v>70</v>
      </c>
      <c r="AD43" s="3707">
        <f>IFERROR(__xludf.DUMMYFUNCTION("VALUE(IFERROR(VLOOKUP($AG43, IMPORTRANGE(""https://docs.google.com/spreadsheets/d/1UdH2L0xi8dO6jyPCcO5e5-8j7SGzezxkeZuF1uP8uOw"",""fighter_param (""&amp;TO_TEXT($A$1)&amp;"")!B4:JZ""), 31, FALSE), """"))"),2.192)</f>
        <v>2.192</v>
      </c>
      <c r="AE43" s="3712">
        <f>Fighters!S43</f>
        <v>42</v>
      </c>
      <c r="AF43" s="3713">
        <f>Fighters!T43</f>
        <v>37</v>
      </c>
      <c r="AG43" s="3714" t="str">
        <f>Fighters!V43</f>
        <v>lucas</v>
      </c>
    </row>
    <row r="44">
      <c r="A44" s="3700">
        <f>Fighters!A44</f>
        <v>38</v>
      </c>
      <c r="B44" s="3701" t="str">
        <f>Fighters!B44</f>
        <v>ソニック</v>
      </c>
      <c r="C44" s="2540" t="s">
        <v>176</v>
      </c>
      <c r="D44" s="3702" t="b">
        <v>0</v>
      </c>
      <c r="E44" s="3702" t="b">
        <v>1</v>
      </c>
      <c r="F44" s="3702" t="b">
        <v>0</v>
      </c>
      <c r="G44" s="3703" t="b">
        <v>0</v>
      </c>
      <c r="H44" s="544">
        <v>3.0</v>
      </c>
      <c r="I44" s="3704">
        <v>2.0</v>
      </c>
      <c r="J44" s="3711" t="s">
        <v>73</v>
      </c>
      <c r="K44" s="256">
        <f t="shared" si="1"/>
        <v>5</v>
      </c>
      <c r="L44" s="3704">
        <v>10.0</v>
      </c>
      <c r="M44" s="256">
        <f t="shared" si="2"/>
        <v>13</v>
      </c>
      <c r="N44" s="3706">
        <v>19.0</v>
      </c>
      <c r="O44" s="544">
        <v>38.0</v>
      </c>
      <c r="P44" s="3704">
        <v>53.0</v>
      </c>
      <c r="Q44" s="3704">
        <v>26.0</v>
      </c>
      <c r="R44" s="3706">
        <v>37.0</v>
      </c>
      <c r="S44" s="2880">
        <f t="shared" si="3"/>
        <v>70</v>
      </c>
      <c r="T44" s="3707">
        <f>IFERROR(__xludf.DUMMYFUNCTION("VALUE(IFERROR(VLOOKUP($AG44, IMPORTRANGE(""https://docs.google.com/spreadsheets/d/1UdH2L0xi8dO6jyPCcO5e5-8j7SGzezxkeZuF1uP8uOw"",""fighter_param (""&amp;TO_TEXT($A$1)&amp;"")!B4:JZ""), 32, FALSE), """"))"),86.0)</f>
        <v>86</v>
      </c>
      <c r="U44" s="2880">
        <f t="shared" si="4"/>
        <v>7</v>
      </c>
      <c r="V44" s="3707">
        <f>IFERROR(__xludf.DUMMYFUNCTION("VALUE(IFERROR(VLOOKUP($AG44, IMPORTRANGE(""https://docs.google.com/spreadsheets/d/1UdH2L0xi8dO6jyPCcO5e5-8j7SGzezxkeZuF1uP8uOw"",""fighter_param (""&amp;TO_TEXT($A$1)&amp;"")!B4:JZ""), 4, FALSE), """"))"),1.444)</f>
        <v>1.444</v>
      </c>
      <c r="W44" s="2880">
        <f t="shared" si="5"/>
        <v>1</v>
      </c>
      <c r="X44" s="3707">
        <f>IFERROR(__xludf.DUMMYFUNCTION("VALUE(IFERROR(VLOOKUP($AG44, IMPORTRANGE(""https://docs.google.com/spreadsheets/d/1UdH2L0xi8dO6jyPCcO5e5-8j7SGzezxkeZuF1uP8uOw"",""fighter_param (""&amp;TO_TEXT($A$1)&amp;"")!B4:JZ""), 12, FALSE), """"))"),3.85)</f>
        <v>3.85</v>
      </c>
      <c r="Y44" s="2880">
        <f t="shared" si="6"/>
        <v>13</v>
      </c>
      <c r="Z44" s="3707">
        <f>IFERROR(__xludf.DUMMYFUNCTION("VALUE(IFERROR(VLOOKUP($AG44, IMPORTRANGE(""https://docs.google.com/spreadsheets/d/1UdH2L0xi8dO6jyPCcO5e5-8j7SGzezxkeZuF1uP8uOw"",""fighter_param (""&amp;TO_TEXT($A$1)&amp;"")!B4:JZ""), 24, FALSE), """"))"),1.208)</f>
        <v>1.208</v>
      </c>
      <c r="AA44" s="2880">
        <f t="shared" si="7"/>
        <v>33</v>
      </c>
      <c r="AB44" s="3707">
        <f>IFERROR(__xludf.DUMMYFUNCTION("VALUE(IFERROR(VLOOKUP($AG44, IMPORTRANGE(""https://docs.google.com/spreadsheets/d/1UdH2L0xi8dO6jyPCcO5e5-8j7SGzezxkeZuF1uP8uOw"",""fighter_param (""&amp;TO_TEXT($A$1)&amp;"")!B4:JZ""), 27, FALSE), """"))"),1.65)</f>
        <v>1.65</v>
      </c>
      <c r="AC44" s="2880">
        <f t="shared" si="8"/>
        <v>34</v>
      </c>
      <c r="AD44" s="3707">
        <f>IFERROR(__xludf.DUMMYFUNCTION("VALUE(IFERROR(VLOOKUP($AG44, IMPORTRANGE(""https://docs.google.com/spreadsheets/d/1UdH2L0xi8dO6jyPCcO5e5-8j7SGzezxkeZuF1uP8uOw"",""fighter_param (""&amp;TO_TEXT($A$1)&amp;"")!B4:JZ""), 31, FALSE), """"))"),2.64)</f>
        <v>2.64</v>
      </c>
      <c r="AE44" s="3712">
        <f>Fighters!S44</f>
        <v>43</v>
      </c>
      <c r="AF44" s="3713">
        <f>Fighters!T44</f>
        <v>38</v>
      </c>
      <c r="AG44" s="3714" t="str">
        <f>Fighters!V44</f>
        <v>sonic</v>
      </c>
    </row>
    <row r="45">
      <c r="A45" s="3700">
        <f>Fighters!A45</f>
        <v>39</v>
      </c>
      <c r="B45" s="3701" t="str">
        <f>Fighters!B45</f>
        <v>デデデ</v>
      </c>
      <c r="C45" s="2540" t="s">
        <v>150</v>
      </c>
      <c r="D45" s="3702" t="b">
        <v>0</v>
      </c>
      <c r="E45" s="3702" t="b">
        <v>0</v>
      </c>
      <c r="F45" s="3702" t="b">
        <v>0</v>
      </c>
      <c r="G45" s="3703" t="b">
        <v>0</v>
      </c>
      <c r="H45" s="544">
        <v>3.0</v>
      </c>
      <c r="I45" s="3704">
        <v>2.0</v>
      </c>
      <c r="J45" s="3711" t="s">
        <v>86</v>
      </c>
      <c r="K45" s="256">
        <f t="shared" si="1"/>
        <v>5</v>
      </c>
      <c r="L45" s="3704">
        <v>10.0</v>
      </c>
      <c r="M45" s="256">
        <f t="shared" si="2"/>
        <v>13</v>
      </c>
      <c r="N45" s="3706">
        <v>19.0</v>
      </c>
      <c r="O45" s="544">
        <v>36.0</v>
      </c>
      <c r="P45" s="3704">
        <v>48.0</v>
      </c>
      <c r="Q45" s="3704">
        <v>24.0</v>
      </c>
      <c r="R45" s="3706">
        <v>32.0</v>
      </c>
      <c r="S45" s="2880">
        <f t="shared" si="3"/>
        <v>3</v>
      </c>
      <c r="T45" s="3707">
        <f>IFERROR(__xludf.DUMMYFUNCTION("VALUE(IFERROR(VLOOKUP($AG45, IMPORTRANGE(""https://docs.google.com/spreadsheets/d/1UdH2L0xi8dO6jyPCcO5e5-8j7SGzezxkeZuF1uP8uOw"",""fighter_param (""&amp;TO_TEXT($A$1)&amp;"")!B4:JZ""), 32, FALSE), """"))"),127.0)</f>
        <v>127</v>
      </c>
      <c r="U45" s="2880">
        <f t="shared" si="4"/>
        <v>54</v>
      </c>
      <c r="V45" s="3707">
        <f>IFERROR(__xludf.DUMMYFUNCTION("VALUE(IFERROR(VLOOKUP($AG45, IMPORTRANGE(""https://docs.google.com/spreadsheets/d/1UdH2L0xi8dO6jyPCcO5e5-8j7SGzezxkeZuF1uP8uOw"",""fighter_param (""&amp;TO_TEXT($A$1)&amp;"")!B4:JZ""), 4, FALSE), """"))"),1.029)</f>
        <v>1.029</v>
      </c>
      <c r="W45" s="2880">
        <f t="shared" si="5"/>
        <v>76</v>
      </c>
      <c r="X45" s="3707">
        <f>IFERROR(__xludf.DUMMYFUNCTION("VALUE(IFERROR(VLOOKUP($AG45, IMPORTRANGE(""https://docs.google.com/spreadsheets/d/1UdH2L0xi8dO6jyPCcO5e5-8j7SGzezxkeZuF1uP8uOw"",""fighter_param (""&amp;TO_TEXT($A$1)&amp;"")!B4:JZ""), 12, FALSE), """"))"),1.496)</f>
        <v>1.496</v>
      </c>
      <c r="Y45" s="2880">
        <f t="shared" si="6"/>
        <v>89</v>
      </c>
      <c r="Z45" s="3707">
        <f>IFERROR(__xludf.DUMMYFUNCTION("VALUE(IFERROR(VLOOKUP($AG45, IMPORTRANGE(""https://docs.google.com/spreadsheets/d/1UdH2L0xi8dO6jyPCcO5e5-8j7SGzezxkeZuF1uP8uOw"",""fighter_param (""&amp;TO_TEXT($A$1)&amp;"")!B4:JZ""), 24, FALSE), """"))"),0.735)</f>
        <v>0.735</v>
      </c>
      <c r="AA45" s="2880">
        <f t="shared" si="7"/>
        <v>2</v>
      </c>
      <c r="AB45" s="3707">
        <f>IFERROR(__xludf.DUMMYFUNCTION("VALUE(IFERROR(VLOOKUP($AG45, IMPORTRANGE(""https://docs.google.com/spreadsheets/d/1UdH2L0xi8dO6jyPCcO5e5-8j7SGzezxkeZuF1uP8uOw"",""fighter_param (""&amp;TO_TEXT($A$1)&amp;"")!B4:JZ""), 27, FALSE), """"))"),1.95)</f>
        <v>1.95</v>
      </c>
      <c r="AC45" s="2880">
        <f t="shared" si="8"/>
        <v>2</v>
      </c>
      <c r="AD45" s="3707">
        <f>IFERROR(__xludf.DUMMYFUNCTION("VALUE(IFERROR(VLOOKUP($AG45, IMPORTRANGE(""https://docs.google.com/spreadsheets/d/1UdH2L0xi8dO6jyPCcO5e5-8j7SGzezxkeZuF1uP8uOw"",""fighter_param (""&amp;TO_TEXT($A$1)&amp;"")!B4:JZ""), 31, FALSE), """"))"),3.12)</f>
        <v>3.12</v>
      </c>
      <c r="AE45" s="3712">
        <f>Fighters!S45</f>
        <v>44</v>
      </c>
      <c r="AF45" s="3713">
        <f>Fighters!T45</f>
        <v>39</v>
      </c>
      <c r="AG45" s="3714" t="str">
        <f>Fighters!V45</f>
        <v>dedede</v>
      </c>
    </row>
    <row r="46">
      <c r="A46" s="3700">
        <f>Fighters!A46</f>
        <v>40</v>
      </c>
      <c r="B46" s="3701" t="str">
        <f>Fighters!B46</f>
        <v>ピクミン&amp;オリマー</v>
      </c>
      <c r="C46" s="2540" t="s">
        <v>176</v>
      </c>
      <c r="D46" s="3702" t="b">
        <v>0</v>
      </c>
      <c r="E46" s="3702" t="b">
        <v>0</v>
      </c>
      <c r="F46" s="3702" t="b">
        <v>0</v>
      </c>
      <c r="G46" s="3703" t="b">
        <v>0</v>
      </c>
      <c r="H46" s="544">
        <v>3.0</v>
      </c>
      <c r="I46" s="3704">
        <v>2.0</v>
      </c>
      <c r="J46" s="3711" t="s">
        <v>73</v>
      </c>
      <c r="K46" s="256">
        <f t="shared" si="1"/>
        <v>5</v>
      </c>
      <c r="L46" s="3704">
        <v>10.0</v>
      </c>
      <c r="M46" s="256">
        <f t="shared" si="2"/>
        <v>5</v>
      </c>
      <c r="N46" s="3706">
        <v>17.0</v>
      </c>
      <c r="O46" s="544">
        <v>43.0</v>
      </c>
      <c r="P46" s="3704">
        <v>59.0</v>
      </c>
      <c r="Q46" s="3704">
        <v>30.0</v>
      </c>
      <c r="R46" s="3706">
        <v>41.0</v>
      </c>
      <c r="S46" s="2880">
        <f t="shared" si="3"/>
        <v>79</v>
      </c>
      <c r="T46" s="3707">
        <f>IFERROR(__xludf.DUMMYFUNCTION("VALUE(IFERROR(VLOOKUP($AG46, IMPORTRANGE(""https://docs.google.com/spreadsheets/d/1UdH2L0xi8dO6jyPCcO5e5-8j7SGzezxkeZuF1uP8uOw"",""fighter_param (""&amp;TO_TEXT($A$1)&amp;"")!B4:JZ""), 32, FALSE), """"))"),79.0)</f>
        <v>79</v>
      </c>
      <c r="U46" s="2880">
        <f t="shared" si="4"/>
        <v>60</v>
      </c>
      <c r="V46" s="3707">
        <f>IFERROR(__xludf.DUMMYFUNCTION("VALUE(IFERROR(VLOOKUP($AG46, IMPORTRANGE(""https://docs.google.com/spreadsheets/d/1UdH2L0xi8dO6jyPCcO5e5-8j7SGzezxkeZuF1uP8uOw"",""fighter_param (""&amp;TO_TEXT($A$1)&amp;"")!B4:JZ""), 4, FALSE), """"))"),0.945)</f>
        <v>0.945</v>
      </c>
      <c r="W46" s="2880">
        <f t="shared" si="5"/>
        <v>56</v>
      </c>
      <c r="X46" s="3707">
        <f>IFERROR(__xludf.DUMMYFUNCTION("VALUE(IFERROR(VLOOKUP($AG46, IMPORTRANGE(""https://docs.google.com/spreadsheets/d/1UdH2L0xi8dO6jyPCcO5e5-8j7SGzezxkeZuF1uP8uOw"",""fighter_param (""&amp;TO_TEXT($A$1)&amp;"")!B4:JZ""), 12, FALSE), """"))"),1.617)</f>
        <v>1.617</v>
      </c>
      <c r="Y46" s="2880">
        <f t="shared" si="6"/>
        <v>82</v>
      </c>
      <c r="Z46" s="3707">
        <f>IFERROR(__xludf.DUMMYFUNCTION("VALUE(IFERROR(VLOOKUP($AG46, IMPORTRANGE(""https://docs.google.com/spreadsheets/d/1UdH2L0xi8dO6jyPCcO5e5-8j7SGzezxkeZuF1uP8uOw"",""fighter_param (""&amp;TO_TEXT($A$1)&amp;"")!B4:JZ""), 24, FALSE), """"))"),0.861)</f>
        <v>0.861</v>
      </c>
      <c r="AA46" s="2880">
        <f t="shared" si="7"/>
        <v>71</v>
      </c>
      <c r="AB46" s="3707">
        <f>IFERROR(__xludf.DUMMYFUNCTION("VALUE(IFERROR(VLOOKUP($AG46, IMPORTRANGE(""https://docs.google.com/spreadsheets/d/1UdH2L0xi8dO6jyPCcO5e5-8j7SGzezxkeZuF1uP8uOw"",""fighter_param (""&amp;TO_TEXT($A$1)&amp;"")!B4:JZ""), 27, FALSE), """"))"),1.35)</f>
        <v>1.35</v>
      </c>
      <c r="AC46" s="2880">
        <f t="shared" si="8"/>
        <v>71</v>
      </c>
      <c r="AD46" s="3707">
        <f>IFERROR(__xludf.DUMMYFUNCTION("VALUE(IFERROR(VLOOKUP($AG46, IMPORTRANGE(""https://docs.google.com/spreadsheets/d/1UdH2L0xi8dO6jyPCcO5e5-8j7SGzezxkeZuF1uP8uOw"",""fighter_param (""&amp;TO_TEXT($A$1)&amp;"")!B4:JZ""), 31, FALSE), """"))"),2.16)</f>
        <v>2.16</v>
      </c>
      <c r="AE46" s="3712">
        <f>Fighters!S46</f>
        <v>45</v>
      </c>
      <c r="AF46" s="3713">
        <f>Fighters!T46</f>
        <v>40</v>
      </c>
      <c r="AG46" s="3714" t="str">
        <f>Fighters!V46</f>
        <v>pikmin</v>
      </c>
    </row>
    <row r="47">
      <c r="A47" s="3700">
        <f>Fighters!A47</f>
        <v>41</v>
      </c>
      <c r="B47" s="3701" t="str">
        <f>Fighters!B47</f>
        <v>ルカリオ</v>
      </c>
      <c r="C47" s="2540" t="s">
        <v>176</v>
      </c>
      <c r="D47" s="3702" t="b">
        <v>1</v>
      </c>
      <c r="E47" s="3702" t="b">
        <v>1</v>
      </c>
      <c r="F47" s="3702" t="b">
        <v>1</v>
      </c>
      <c r="G47" s="3703" t="b">
        <v>0</v>
      </c>
      <c r="H47" s="544">
        <v>3.0</v>
      </c>
      <c r="I47" s="3704">
        <v>2.0</v>
      </c>
      <c r="J47" s="3711" t="s">
        <v>73</v>
      </c>
      <c r="K47" s="256">
        <f t="shared" si="1"/>
        <v>5</v>
      </c>
      <c r="L47" s="3704">
        <v>10.0</v>
      </c>
      <c r="M47" s="256">
        <f t="shared" si="2"/>
        <v>13</v>
      </c>
      <c r="N47" s="3706">
        <v>19.0</v>
      </c>
      <c r="O47" s="544">
        <v>41.0</v>
      </c>
      <c r="P47" s="3704">
        <v>56.0</v>
      </c>
      <c r="Q47" s="3704">
        <v>28.0</v>
      </c>
      <c r="R47" s="3706">
        <v>38.0</v>
      </c>
      <c r="S47" s="2880">
        <f t="shared" si="3"/>
        <v>53</v>
      </c>
      <c r="T47" s="3707">
        <f>IFERROR(__xludf.DUMMYFUNCTION("VALUE(IFERROR(VLOOKUP($AG47, IMPORTRANGE(""https://docs.google.com/spreadsheets/d/1UdH2L0xi8dO6jyPCcO5e5-8j7SGzezxkeZuF1uP8uOw"",""fighter_param (""&amp;TO_TEXT($A$1)&amp;"")!B4:JZ""), 32, FALSE), """"))"),92.0)</f>
        <v>92</v>
      </c>
      <c r="U47" s="2880">
        <f t="shared" si="4"/>
        <v>46</v>
      </c>
      <c r="V47" s="3707">
        <f>IFERROR(__xludf.DUMMYFUNCTION("VALUE(IFERROR(VLOOKUP($AG47, IMPORTRANGE(""https://docs.google.com/spreadsheets/d/1UdH2L0xi8dO6jyPCcO5e5-8j7SGzezxkeZuF1uP8uOw"",""fighter_param (""&amp;TO_TEXT($A$1)&amp;"")!B4:JZ""), 4, FALSE), """"))"),1.103)</f>
        <v>1.103</v>
      </c>
      <c r="W47" s="2880">
        <f t="shared" si="5"/>
        <v>46</v>
      </c>
      <c r="X47" s="3707">
        <f>IFERROR(__xludf.DUMMYFUNCTION("VALUE(IFERROR(VLOOKUP($AG47, IMPORTRANGE(""https://docs.google.com/spreadsheets/d/1UdH2L0xi8dO6jyPCcO5e5-8j7SGzezxkeZuF1uP8uOw"",""fighter_param (""&amp;TO_TEXT($A$1)&amp;"")!B4:JZ""), 12, FALSE), """"))"),1.705)</f>
        <v>1.705</v>
      </c>
      <c r="Y47" s="2880">
        <f t="shared" si="6"/>
        <v>6</v>
      </c>
      <c r="Z47" s="3707">
        <f>IFERROR(__xludf.DUMMYFUNCTION("VALUE(IFERROR(VLOOKUP($AG47, IMPORTRANGE(""https://docs.google.com/spreadsheets/d/1UdH2L0xi8dO6jyPCcO5e5-8j7SGzezxkeZuF1uP8uOw"",""fighter_param (""&amp;TO_TEXT($A$1)&amp;"")!B4:JZ""), 24, FALSE), """"))"),1.281)</f>
        <v>1.281</v>
      </c>
      <c r="AA47" s="2880">
        <f t="shared" si="7"/>
        <v>30</v>
      </c>
      <c r="AB47" s="3707">
        <f>IFERROR(__xludf.DUMMYFUNCTION("VALUE(IFERROR(VLOOKUP($AG47, IMPORTRANGE(""https://docs.google.com/spreadsheets/d/1UdH2L0xi8dO6jyPCcO5e5-8j7SGzezxkeZuF1uP8uOw"",""fighter_param (""&amp;TO_TEXT($A$1)&amp;"")!B4:JZ""), 27, FALSE), """"))"),1.68)</f>
        <v>1.68</v>
      </c>
      <c r="AC47" s="2880">
        <f t="shared" si="8"/>
        <v>31</v>
      </c>
      <c r="AD47" s="3707">
        <f>IFERROR(__xludf.DUMMYFUNCTION("VALUE(IFERROR(VLOOKUP($AG47, IMPORTRANGE(""https://docs.google.com/spreadsheets/d/1UdH2L0xi8dO6jyPCcO5e5-8j7SGzezxkeZuF1uP8uOw"",""fighter_param (""&amp;TO_TEXT($A$1)&amp;"")!B4:JZ""), 31, FALSE), """"))"),2.688)</f>
        <v>2.688</v>
      </c>
      <c r="AE47" s="3712">
        <f>Fighters!S47</f>
        <v>46</v>
      </c>
      <c r="AF47" s="3713">
        <f>Fighters!T47</f>
        <v>41</v>
      </c>
      <c r="AG47" s="3714" t="str">
        <f>Fighters!V47</f>
        <v>lucario</v>
      </c>
    </row>
    <row r="48">
      <c r="A48" s="3700">
        <f>Fighters!A48</f>
        <v>42</v>
      </c>
      <c r="B48" s="3701" t="str">
        <f>Fighters!B48</f>
        <v>ロボット</v>
      </c>
      <c r="C48" s="2540" t="s">
        <v>176</v>
      </c>
      <c r="D48" s="3702" t="b">
        <v>0</v>
      </c>
      <c r="E48" s="3702" t="b">
        <v>0</v>
      </c>
      <c r="F48" s="3702" t="b">
        <v>0</v>
      </c>
      <c r="G48" s="3703" t="b">
        <v>0</v>
      </c>
      <c r="H48" s="544">
        <v>3.0</v>
      </c>
      <c r="I48" s="3704">
        <v>2.0</v>
      </c>
      <c r="J48" s="3711" t="s">
        <v>73</v>
      </c>
      <c r="K48" s="256">
        <f t="shared" si="1"/>
        <v>5</v>
      </c>
      <c r="L48" s="3704">
        <v>10.0</v>
      </c>
      <c r="M48" s="256">
        <f t="shared" si="2"/>
        <v>13</v>
      </c>
      <c r="N48" s="3706">
        <v>19.0</v>
      </c>
      <c r="O48" s="544">
        <v>40.0</v>
      </c>
      <c r="P48" s="3704">
        <v>56.0</v>
      </c>
      <c r="Q48" s="3704">
        <v>28.0</v>
      </c>
      <c r="R48" s="3706">
        <v>38.0</v>
      </c>
      <c r="S48" s="2880">
        <f t="shared" si="3"/>
        <v>19</v>
      </c>
      <c r="T48" s="3707">
        <f>IFERROR(__xludf.DUMMYFUNCTION("VALUE(IFERROR(VLOOKUP($AG48, IMPORTRANGE(""https://docs.google.com/spreadsheets/d/1UdH2L0xi8dO6jyPCcO5e5-8j7SGzezxkeZuF1uP8uOw"",""fighter_param (""&amp;TO_TEXT($A$1)&amp;"")!B4:JZ""), 32, FALSE), """"))"),106.0)</f>
        <v>106</v>
      </c>
      <c r="U48" s="2880">
        <f t="shared" si="4"/>
        <v>34</v>
      </c>
      <c r="V48" s="3707">
        <f>IFERROR(__xludf.DUMMYFUNCTION("VALUE(IFERROR(VLOOKUP($AG48, IMPORTRANGE(""https://docs.google.com/spreadsheets/d/1UdH2L0xi8dO6jyPCcO5e5-8j7SGzezxkeZuF1uP8uOw"",""fighter_param (""&amp;TO_TEXT($A$1)&amp;"")!B4:JZ""), 4, FALSE), """"))"),1.178)</f>
        <v>1.178</v>
      </c>
      <c r="W48" s="2880">
        <f t="shared" si="5"/>
        <v>43</v>
      </c>
      <c r="X48" s="3707">
        <f>IFERROR(__xludf.DUMMYFUNCTION("VALUE(IFERROR(VLOOKUP($AG48, IMPORTRANGE(""https://docs.google.com/spreadsheets/d/1UdH2L0xi8dO6jyPCcO5e5-8j7SGzezxkeZuF1uP8uOw"",""fighter_param (""&amp;TO_TEXT($A$1)&amp;"")!B4:JZ""), 12, FALSE), """"))"),1.725)</f>
        <v>1.725</v>
      </c>
      <c r="Y48" s="2880">
        <f t="shared" si="6"/>
        <v>27</v>
      </c>
      <c r="Z48" s="3707">
        <f>IFERROR(__xludf.DUMMYFUNCTION("VALUE(IFERROR(VLOOKUP($AG48, IMPORTRANGE(""https://docs.google.com/spreadsheets/d/1UdH2L0xi8dO6jyPCcO5e5-8j7SGzezxkeZuF1uP8uOw"",""fighter_param (""&amp;TO_TEXT($A$1)&amp;"")!B4:JZ""), 24, FALSE), """"))"),1.134)</f>
        <v>1.134</v>
      </c>
      <c r="AA48" s="2880">
        <f t="shared" si="7"/>
        <v>43</v>
      </c>
      <c r="AB48" s="3707">
        <f>IFERROR(__xludf.DUMMYFUNCTION("VALUE(IFERROR(VLOOKUP($AG48, IMPORTRANGE(""https://docs.google.com/spreadsheets/d/1UdH2L0xi8dO6jyPCcO5e5-8j7SGzezxkeZuF1uP8uOw"",""fighter_param (""&amp;TO_TEXT($A$1)&amp;"")!B4:JZ""), 27, FALSE), """"))"),1.6)</f>
        <v>1.6</v>
      </c>
      <c r="AC48" s="2880">
        <f t="shared" si="8"/>
        <v>43</v>
      </c>
      <c r="AD48" s="3707">
        <f>IFERROR(__xludf.DUMMYFUNCTION("VALUE(IFERROR(VLOOKUP($AG48, IMPORTRANGE(""https://docs.google.com/spreadsheets/d/1UdH2L0xi8dO6jyPCcO5e5-8j7SGzezxkeZuF1uP8uOw"",""fighter_param (""&amp;TO_TEXT($A$1)&amp;"")!B4:JZ""), 31, FALSE), """"))"),2.56)</f>
        <v>2.56</v>
      </c>
      <c r="AE48" s="3712">
        <f>Fighters!S48</f>
        <v>47</v>
      </c>
      <c r="AF48" s="3713">
        <f>Fighters!T48</f>
        <v>42</v>
      </c>
      <c r="AG48" s="3714" t="str">
        <f>Fighters!V48</f>
        <v>robot</v>
      </c>
    </row>
    <row r="49">
      <c r="A49" s="3700">
        <f>Fighters!A49</f>
        <v>43</v>
      </c>
      <c r="B49" s="3701" t="str">
        <f>Fighters!B49</f>
        <v>トゥーンリンク</v>
      </c>
      <c r="C49" s="2540" t="s">
        <v>176</v>
      </c>
      <c r="D49" s="3702" t="b">
        <v>0</v>
      </c>
      <c r="E49" s="3702" t="b">
        <v>1</v>
      </c>
      <c r="F49" s="3702" t="b">
        <v>0</v>
      </c>
      <c r="G49" s="3703" t="b">
        <v>1</v>
      </c>
      <c r="H49" s="544">
        <v>3.0</v>
      </c>
      <c r="I49" s="3704">
        <v>2.0</v>
      </c>
      <c r="J49" s="3711" t="s">
        <v>73</v>
      </c>
      <c r="K49" s="256">
        <f t="shared" si="1"/>
        <v>62</v>
      </c>
      <c r="L49" s="3704">
        <v>12.0</v>
      </c>
      <c r="M49" s="256">
        <f t="shared" si="2"/>
        <v>3</v>
      </c>
      <c r="N49" s="3706">
        <v>16.0</v>
      </c>
      <c r="O49" s="544">
        <v>40.0</v>
      </c>
      <c r="P49" s="3704">
        <v>56.0</v>
      </c>
      <c r="Q49" s="3704">
        <v>28.0</v>
      </c>
      <c r="R49" s="3706">
        <v>39.0</v>
      </c>
      <c r="S49" s="2880">
        <f t="shared" si="3"/>
        <v>59</v>
      </c>
      <c r="T49" s="3707">
        <f>IFERROR(__xludf.DUMMYFUNCTION("VALUE(IFERROR(VLOOKUP($AG49, IMPORTRANGE(""https://docs.google.com/spreadsheets/d/1UdH2L0xi8dO6jyPCcO5e5-8j7SGzezxkeZuF1uP8uOw"",""fighter_param (""&amp;TO_TEXT($A$1)&amp;"")!B4:JZ""), 32, FALSE), """"))"),91.0)</f>
        <v>91</v>
      </c>
      <c r="U49" s="2880">
        <f t="shared" si="4"/>
        <v>15</v>
      </c>
      <c r="V49" s="3707">
        <f>IFERROR(__xludf.DUMMYFUNCTION("VALUE(IFERROR(VLOOKUP($AG49, IMPORTRANGE(""https://docs.google.com/spreadsheets/d/1UdH2L0xi8dO6jyPCcO5e5-8j7SGzezxkeZuF1uP8uOw"",""fighter_param (""&amp;TO_TEXT($A$1)&amp;"")!B4:JZ""), 4, FALSE), """"))"),1.288)</f>
        <v>1.288</v>
      </c>
      <c r="W49" s="2880">
        <f t="shared" si="5"/>
        <v>27</v>
      </c>
      <c r="X49" s="3707">
        <f>IFERROR(__xludf.DUMMYFUNCTION("VALUE(IFERROR(VLOOKUP($AG49, IMPORTRANGE(""https://docs.google.com/spreadsheets/d/1UdH2L0xi8dO6jyPCcO5e5-8j7SGzezxkeZuF1uP8uOw"",""fighter_param (""&amp;TO_TEXT($A$1)&amp;"")!B4:JZ""), 12, FALSE), """"))"),1.906)</f>
        <v>1.906</v>
      </c>
      <c r="Y49" s="2880">
        <f t="shared" si="6"/>
        <v>43</v>
      </c>
      <c r="Z49" s="3707">
        <f>IFERROR(__xludf.DUMMYFUNCTION("VALUE(IFERROR(VLOOKUP($AG49, IMPORTRANGE(""https://docs.google.com/spreadsheets/d/1UdH2L0xi8dO6jyPCcO5e5-8j7SGzezxkeZuF1uP8uOw"",""fighter_param (""&amp;TO_TEXT($A$1)&amp;"")!B4:JZ""), 24, FALSE), """"))"),1.05)</f>
        <v>1.05</v>
      </c>
      <c r="AA49" s="2880">
        <f t="shared" si="7"/>
        <v>68</v>
      </c>
      <c r="AB49" s="3707">
        <f>IFERROR(__xludf.DUMMYFUNCTION("VALUE(IFERROR(VLOOKUP($AG49, IMPORTRANGE(""https://docs.google.com/spreadsheets/d/1UdH2L0xi8dO6jyPCcO5e5-8j7SGzezxkeZuF1uP8uOw"",""fighter_param (""&amp;TO_TEXT($A$1)&amp;"")!B4:JZ""), 27, FALSE), """"))"),1.38)</f>
        <v>1.38</v>
      </c>
      <c r="AC49" s="2880">
        <f t="shared" si="8"/>
        <v>68</v>
      </c>
      <c r="AD49" s="3707">
        <f>IFERROR(__xludf.DUMMYFUNCTION("VALUE(IFERROR(VLOOKUP($AG49, IMPORTRANGE(""https://docs.google.com/spreadsheets/d/1UdH2L0xi8dO6jyPCcO5e5-8j7SGzezxkeZuF1uP8uOw"",""fighter_param (""&amp;TO_TEXT($A$1)&amp;"")!B4:JZ""), 31, FALSE), """"))"),2.208)</f>
        <v>2.208</v>
      </c>
      <c r="AE49" s="3712">
        <f>Fighters!S49</f>
        <v>48</v>
      </c>
      <c r="AF49" s="3713">
        <f>Fighters!T49</f>
        <v>43</v>
      </c>
      <c r="AG49" s="3714" t="str">
        <f>Fighters!V49</f>
        <v>toonlink</v>
      </c>
    </row>
    <row r="50">
      <c r="A50" s="3700">
        <f>Fighters!A50</f>
        <v>44</v>
      </c>
      <c r="B50" s="3701" t="str">
        <f>Fighters!B50</f>
        <v>ウルフ</v>
      </c>
      <c r="C50" s="2540" t="s">
        <v>176</v>
      </c>
      <c r="D50" s="3702" t="b">
        <v>0</v>
      </c>
      <c r="E50" s="3702" t="b">
        <v>1</v>
      </c>
      <c r="F50" s="3702" t="b">
        <v>0</v>
      </c>
      <c r="G50" s="3703" t="b">
        <v>0</v>
      </c>
      <c r="H50" s="544">
        <v>3.0</v>
      </c>
      <c r="I50" s="3704">
        <v>2.0</v>
      </c>
      <c r="J50" s="3711" t="s">
        <v>73</v>
      </c>
      <c r="K50" s="256">
        <f t="shared" si="1"/>
        <v>5</v>
      </c>
      <c r="L50" s="3704">
        <v>10.0</v>
      </c>
      <c r="M50" s="256">
        <f t="shared" si="2"/>
        <v>13</v>
      </c>
      <c r="N50" s="3706">
        <v>19.0</v>
      </c>
      <c r="O50" s="544">
        <v>30.0</v>
      </c>
      <c r="P50" s="3704">
        <v>43.0</v>
      </c>
      <c r="Q50" s="3704">
        <v>21.0</v>
      </c>
      <c r="R50" s="3706">
        <v>31.0</v>
      </c>
      <c r="S50" s="2880">
        <f t="shared" si="3"/>
        <v>53</v>
      </c>
      <c r="T50" s="3707">
        <f>IFERROR(__xludf.DUMMYFUNCTION("VALUE(IFERROR(VLOOKUP($AG50, IMPORTRANGE(""https://docs.google.com/spreadsheets/d/1UdH2L0xi8dO6jyPCcO5e5-8j7SGzezxkeZuF1uP8uOw"",""fighter_param (""&amp;TO_TEXT($A$1)&amp;"")!B4:JZ""), 32, FALSE), """"))"),92.0)</f>
        <v>92</v>
      </c>
      <c r="U50" s="2880">
        <f t="shared" si="4"/>
        <v>27</v>
      </c>
      <c r="V50" s="3707">
        <f>IFERROR(__xludf.DUMMYFUNCTION("VALUE(IFERROR(VLOOKUP($AG50, IMPORTRANGE(""https://docs.google.com/spreadsheets/d/1UdH2L0xi8dO6jyPCcO5e5-8j7SGzezxkeZuF1uP8uOw"",""fighter_param (""&amp;TO_TEXT($A$1)&amp;"")!B4:JZ""), 4, FALSE), """"))"),1.208)</f>
        <v>1.208</v>
      </c>
      <c r="W50" s="2880">
        <f t="shared" si="5"/>
        <v>70</v>
      </c>
      <c r="X50" s="3707">
        <f>IFERROR(__xludf.DUMMYFUNCTION("VALUE(IFERROR(VLOOKUP($AG50, IMPORTRANGE(""https://docs.google.com/spreadsheets/d/1UdH2L0xi8dO6jyPCcO5e5-8j7SGzezxkeZuF1uP8uOw"",""fighter_param (""&amp;TO_TEXT($A$1)&amp;"")!B4:JZ""), 12, FALSE), """"))"),1.54)</f>
        <v>1.54</v>
      </c>
      <c r="Y50" s="2880">
        <f t="shared" si="6"/>
        <v>6</v>
      </c>
      <c r="Z50" s="3707">
        <f>IFERROR(__xludf.DUMMYFUNCTION("VALUE(IFERROR(VLOOKUP($AG50, IMPORTRANGE(""https://docs.google.com/spreadsheets/d/1UdH2L0xi8dO6jyPCcO5e5-8j7SGzezxkeZuF1uP8uOw"",""fighter_param (""&amp;TO_TEXT($A$1)&amp;"")!B4:JZ""), 24, FALSE), """"))"),1.281)</f>
        <v>1.281</v>
      </c>
      <c r="AA50" s="2880">
        <f t="shared" si="7"/>
        <v>13</v>
      </c>
      <c r="AB50" s="3707">
        <f>IFERROR(__xludf.DUMMYFUNCTION("VALUE(IFERROR(VLOOKUP($AG50, IMPORTRANGE(""https://docs.google.com/spreadsheets/d/1UdH2L0xi8dO6jyPCcO5e5-8j7SGzezxkeZuF1uP8uOw"",""fighter_param (""&amp;TO_TEXT($A$1)&amp;"")!B4:JZ""), 27, FALSE), """"))"),1.8)</f>
        <v>1.8</v>
      </c>
      <c r="AC50" s="2880">
        <f t="shared" si="8"/>
        <v>13</v>
      </c>
      <c r="AD50" s="3707">
        <f>IFERROR(__xludf.DUMMYFUNCTION("VALUE(IFERROR(VLOOKUP($AG50, IMPORTRANGE(""https://docs.google.com/spreadsheets/d/1UdH2L0xi8dO6jyPCcO5e5-8j7SGzezxkeZuF1uP8uOw"",""fighter_param (""&amp;TO_TEXT($A$1)&amp;"")!B4:JZ""), 31, FALSE), """"))"),2.88)</f>
        <v>2.88</v>
      </c>
      <c r="AE50" s="3712">
        <f>Fighters!S50</f>
        <v>49</v>
      </c>
      <c r="AF50" s="3713">
        <f>Fighters!T50</f>
        <v>44</v>
      </c>
      <c r="AG50" s="3714" t="str">
        <f>Fighters!V50</f>
        <v>wolf</v>
      </c>
    </row>
    <row r="51">
      <c r="A51" s="3700">
        <f>Fighters!A51</f>
        <v>45</v>
      </c>
      <c r="B51" s="3701" t="str">
        <f>Fighters!B51</f>
        <v>むらびと</v>
      </c>
      <c r="C51" s="2540" t="s">
        <v>176</v>
      </c>
      <c r="D51" s="3702" t="b">
        <v>0</v>
      </c>
      <c r="E51" s="3702" t="b">
        <v>1</v>
      </c>
      <c r="F51" s="3702" t="b">
        <v>0</v>
      </c>
      <c r="G51" s="3703" t="b">
        <v>0</v>
      </c>
      <c r="H51" s="544">
        <v>3.0</v>
      </c>
      <c r="I51" s="3704">
        <v>2.0</v>
      </c>
      <c r="J51" s="3711" t="s">
        <v>73</v>
      </c>
      <c r="K51" s="256">
        <f t="shared" si="1"/>
        <v>73</v>
      </c>
      <c r="L51" s="3704">
        <v>13.0</v>
      </c>
      <c r="M51" s="256">
        <f t="shared" si="2"/>
        <v>13</v>
      </c>
      <c r="N51" s="3706">
        <v>19.0</v>
      </c>
      <c r="O51" s="544">
        <v>40.0</v>
      </c>
      <c r="P51" s="3704">
        <v>56.0</v>
      </c>
      <c r="Q51" s="3704">
        <v>28.0</v>
      </c>
      <c r="R51" s="3706">
        <v>39.0</v>
      </c>
      <c r="S51" s="2880">
        <f t="shared" si="3"/>
        <v>53</v>
      </c>
      <c r="T51" s="3707">
        <f>IFERROR(__xludf.DUMMYFUNCTION("VALUE(IFERROR(VLOOKUP($AG51, IMPORTRANGE(""https://docs.google.com/spreadsheets/d/1UdH2L0xi8dO6jyPCcO5e5-8j7SGzezxkeZuF1uP8uOw"",""fighter_param (""&amp;TO_TEXT($A$1)&amp;"")!B4:JZ""), 32, FALSE), """"))"),92.0)</f>
        <v>92</v>
      </c>
      <c r="U51" s="2880">
        <f t="shared" si="4"/>
        <v>50</v>
      </c>
      <c r="V51" s="3707">
        <f>IFERROR(__xludf.DUMMYFUNCTION("VALUE(IFERROR(VLOOKUP($AG51, IMPORTRANGE(""https://docs.google.com/spreadsheets/d/1UdH2L0xi8dO6jyPCcO5e5-8j7SGzezxkeZuF1uP8uOw"",""fighter_param (""&amp;TO_TEXT($A$1)&amp;"")!B4:JZ""), 4, FALSE), """"))"),1.092)</f>
        <v>1.092</v>
      </c>
      <c r="W51" s="2880">
        <f t="shared" si="5"/>
        <v>83</v>
      </c>
      <c r="X51" s="3707">
        <f>IFERROR(__xludf.DUMMYFUNCTION("VALUE(IFERROR(VLOOKUP($AG51, IMPORTRANGE(""https://docs.google.com/spreadsheets/d/1UdH2L0xi8dO6jyPCcO5e5-8j7SGzezxkeZuF1uP8uOw"",""fighter_param (""&amp;TO_TEXT($A$1)&amp;"")!B4:JZ""), 12, FALSE), """"))"),1.397)</f>
        <v>1.397</v>
      </c>
      <c r="Y51" s="2880">
        <f t="shared" si="6"/>
        <v>61</v>
      </c>
      <c r="Z51" s="3707">
        <f>IFERROR(__xludf.DUMMYFUNCTION("VALUE(IFERROR(VLOOKUP($AG51, IMPORTRANGE(""https://docs.google.com/spreadsheets/d/1UdH2L0xi8dO6jyPCcO5e5-8j7SGzezxkeZuF1uP8uOw"",""fighter_param (""&amp;TO_TEXT($A$1)&amp;"")!B4:JZ""), 24, FALSE), """"))"),0.987)</f>
        <v>0.987</v>
      </c>
      <c r="AA51" s="2880">
        <f t="shared" si="7"/>
        <v>77</v>
      </c>
      <c r="AB51" s="3707">
        <f>IFERROR(__xludf.DUMMYFUNCTION("VALUE(IFERROR(VLOOKUP($AG51, IMPORTRANGE(""https://docs.google.com/spreadsheets/d/1UdH2L0xi8dO6jyPCcO5e5-8j7SGzezxkeZuF1uP8uOw"",""fighter_param (""&amp;TO_TEXT($A$1)&amp;"")!B4:JZ""), 27, FALSE), """"))"),1.32)</f>
        <v>1.32</v>
      </c>
      <c r="AC51" s="2880">
        <f t="shared" si="8"/>
        <v>77</v>
      </c>
      <c r="AD51" s="3707">
        <f>IFERROR(__xludf.DUMMYFUNCTION("VALUE(IFERROR(VLOOKUP($AG51, IMPORTRANGE(""https://docs.google.com/spreadsheets/d/1UdH2L0xi8dO6jyPCcO5e5-8j7SGzezxkeZuF1uP8uOw"",""fighter_param (""&amp;TO_TEXT($A$1)&amp;"")!B4:JZ""), 31, FALSE), """"))"),2.112)</f>
        <v>2.112</v>
      </c>
      <c r="AE51" s="3712">
        <f>Fighters!S51</f>
        <v>50</v>
      </c>
      <c r="AF51" s="3713">
        <f>Fighters!T51</f>
        <v>45</v>
      </c>
      <c r="AG51" s="3714" t="str">
        <f>Fighters!V51</f>
        <v>murabito</v>
      </c>
    </row>
    <row r="52">
      <c r="A52" s="3700">
        <f>Fighters!A52</f>
        <v>46</v>
      </c>
      <c r="B52" s="3701" t="str">
        <f>Fighters!B52</f>
        <v>ロックマン</v>
      </c>
      <c r="C52" s="2540" t="s">
        <v>176</v>
      </c>
      <c r="D52" s="3702" t="b">
        <v>0</v>
      </c>
      <c r="E52" s="3702" t="b">
        <v>1</v>
      </c>
      <c r="F52" s="3702" t="b">
        <v>0</v>
      </c>
      <c r="G52" s="3703" t="b">
        <v>0</v>
      </c>
      <c r="H52" s="544">
        <v>3.0</v>
      </c>
      <c r="I52" s="3704">
        <v>2.0</v>
      </c>
      <c r="J52" s="3711" t="s">
        <v>73</v>
      </c>
      <c r="K52" s="256">
        <f t="shared" si="1"/>
        <v>5</v>
      </c>
      <c r="L52" s="3704">
        <v>10.0</v>
      </c>
      <c r="M52" s="256">
        <f t="shared" si="2"/>
        <v>84</v>
      </c>
      <c r="N52" s="3706">
        <v>22.0</v>
      </c>
      <c r="O52" s="544">
        <v>29.0</v>
      </c>
      <c r="P52" s="3704">
        <v>47.0</v>
      </c>
      <c r="Q52" s="3704">
        <v>19.0</v>
      </c>
      <c r="R52" s="3706">
        <v>33.0</v>
      </c>
      <c r="S52" s="2880">
        <f t="shared" si="3"/>
        <v>29</v>
      </c>
      <c r="T52" s="3707">
        <f>IFERROR(__xludf.DUMMYFUNCTION("VALUE(IFERROR(VLOOKUP($AG52, IMPORTRANGE(""https://docs.google.com/spreadsheets/d/1UdH2L0xi8dO6jyPCcO5e5-8j7SGzezxkeZuF1uP8uOw"",""fighter_param (""&amp;TO_TEXT($A$1)&amp;"")!B4:JZ""), 32, FALSE), """"))"),102.0)</f>
        <v>102</v>
      </c>
      <c r="U52" s="2880">
        <f t="shared" si="4"/>
        <v>42</v>
      </c>
      <c r="V52" s="3707">
        <f>IFERROR(__xludf.DUMMYFUNCTION("VALUE(IFERROR(VLOOKUP($AG52, IMPORTRANGE(""https://docs.google.com/spreadsheets/d/1UdH2L0xi8dO6jyPCcO5e5-8j7SGzezxkeZuF1uP8uOw"",""fighter_param (""&amp;TO_TEXT($A$1)&amp;"")!B4:JZ""), 4, FALSE), """"))"),1.132)</f>
        <v>1.132</v>
      </c>
      <c r="W52" s="2880">
        <f t="shared" si="5"/>
        <v>58</v>
      </c>
      <c r="X52" s="3707">
        <f>IFERROR(__xludf.DUMMYFUNCTION("VALUE(IFERROR(VLOOKUP($AG52, IMPORTRANGE(""https://docs.google.com/spreadsheets/d/1UdH2L0xi8dO6jyPCcO5e5-8j7SGzezxkeZuF1uP8uOw"",""fighter_param (""&amp;TO_TEXT($A$1)&amp;"")!B4:JZ""), 12, FALSE), """"))"),1.602)</f>
        <v>1.602</v>
      </c>
      <c r="Y52" s="2880">
        <f t="shared" si="6"/>
        <v>20</v>
      </c>
      <c r="Z52" s="3707">
        <f>IFERROR(__xludf.DUMMYFUNCTION("VALUE(IFERROR(VLOOKUP($AG52, IMPORTRANGE(""https://docs.google.com/spreadsheets/d/1UdH2L0xi8dO6jyPCcO5e5-8j7SGzezxkeZuF1uP8uOw"",""fighter_param (""&amp;TO_TEXT($A$1)&amp;"")!B4:JZ""), 24, FALSE), """"))"),1.155)</f>
        <v>1.155</v>
      </c>
      <c r="AA52" s="2880">
        <f t="shared" si="7"/>
        <v>13</v>
      </c>
      <c r="AB52" s="3707">
        <f>IFERROR(__xludf.DUMMYFUNCTION("VALUE(IFERROR(VLOOKUP($AG52, IMPORTRANGE(""https://docs.google.com/spreadsheets/d/1UdH2L0xi8dO6jyPCcO5e5-8j7SGzezxkeZuF1uP8uOw"",""fighter_param (""&amp;TO_TEXT($A$1)&amp;"")!B4:JZ""), 27, FALSE), """"))"),1.8)</f>
        <v>1.8</v>
      </c>
      <c r="AC52" s="2880">
        <f t="shared" si="8"/>
        <v>13</v>
      </c>
      <c r="AD52" s="3707">
        <f>IFERROR(__xludf.DUMMYFUNCTION("VALUE(IFERROR(VLOOKUP($AG52, IMPORTRANGE(""https://docs.google.com/spreadsheets/d/1UdH2L0xi8dO6jyPCcO5e5-8j7SGzezxkeZuF1uP8uOw"",""fighter_param (""&amp;TO_TEXT($A$1)&amp;"")!B4:JZ""), 31, FALSE), """"))"),2.88)</f>
        <v>2.88</v>
      </c>
      <c r="AE52" s="3712">
        <f>Fighters!S52</f>
        <v>51</v>
      </c>
      <c r="AF52" s="3713">
        <f>Fighters!T52</f>
        <v>46</v>
      </c>
      <c r="AG52" s="3714" t="str">
        <f>Fighters!V52</f>
        <v>rockman</v>
      </c>
    </row>
    <row r="53">
      <c r="A53" s="3700">
        <f>Fighters!A53</f>
        <v>47</v>
      </c>
      <c r="B53" s="3701" t="str">
        <f>Fighters!B53</f>
        <v>Wii Fit トレーナー</v>
      </c>
      <c r="C53" s="2540" t="s">
        <v>176</v>
      </c>
      <c r="D53" s="3702" t="b">
        <v>1</v>
      </c>
      <c r="E53" s="3702" t="b">
        <v>1</v>
      </c>
      <c r="F53" s="3702" t="b">
        <v>0</v>
      </c>
      <c r="G53" s="3703" t="b">
        <v>0</v>
      </c>
      <c r="H53" s="544">
        <v>3.0</v>
      </c>
      <c r="I53" s="3704">
        <v>2.0</v>
      </c>
      <c r="J53" s="3711" t="s">
        <v>73</v>
      </c>
      <c r="K53" s="256">
        <f t="shared" si="1"/>
        <v>80</v>
      </c>
      <c r="L53" s="3704">
        <v>15.0</v>
      </c>
      <c r="M53" s="256">
        <f t="shared" si="2"/>
        <v>3</v>
      </c>
      <c r="N53" s="3706">
        <v>16.0</v>
      </c>
      <c r="O53" s="544" t="s">
        <v>7277</v>
      </c>
      <c r="P53" s="3704" t="s">
        <v>7278</v>
      </c>
      <c r="Q53" s="3704" t="s">
        <v>7279</v>
      </c>
      <c r="R53" s="3706" t="s">
        <v>7280</v>
      </c>
      <c r="S53" s="2880">
        <f t="shared" si="3"/>
        <v>40</v>
      </c>
      <c r="T53" s="3707">
        <f>IFERROR(__xludf.DUMMYFUNCTION("VALUE(IFERROR(VLOOKUP($AG53, IMPORTRANGE(""https://docs.google.com/spreadsheets/d/1UdH2L0xi8dO6jyPCcO5e5-8j7SGzezxkeZuF1uP8uOw"",""fighter_param (""&amp;TO_TEXT($A$1)&amp;"")!B4:JZ""), 32, FALSE), """"))"),96.0)</f>
        <v>96</v>
      </c>
      <c r="U53" s="2880">
        <f t="shared" si="4"/>
        <v>25</v>
      </c>
      <c r="V53" s="3707">
        <f>IFERROR(__xludf.DUMMYFUNCTION("VALUE(IFERROR(VLOOKUP($AG53, IMPORTRANGE(""https://docs.google.com/spreadsheets/d/1UdH2L0xi8dO6jyPCcO5e5-8j7SGzezxkeZuF1uP8uOw"",""fighter_param (""&amp;TO_TEXT($A$1)&amp;"")!B4:JZ""), 4, FALSE), """"))"),1.224)</f>
        <v>1.224</v>
      </c>
      <c r="W53" s="2880">
        <f t="shared" si="5"/>
        <v>30</v>
      </c>
      <c r="X53" s="3707">
        <f>IFERROR(__xludf.DUMMYFUNCTION("VALUE(IFERROR(VLOOKUP($AG53, IMPORTRANGE(""https://docs.google.com/spreadsheets/d/1UdH2L0xi8dO6jyPCcO5e5-8j7SGzezxkeZuF1uP8uOw"",""fighter_param (""&amp;TO_TEXT($A$1)&amp;"")!B4:JZ""), 12, FALSE), """"))"),1.866)</f>
        <v>1.866</v>
      </c>
      <c r="Y53" s="2880">
        <f t="shared" si="6"/>
        <v>52</v>
      </c>
      <c r="Z53" s="3707">
        <f>IFERROR(__xludf.DUMMYFUNCTION("VALUE(IFERROR(VLOOKUP($AG53, IMPORTRANGE(""https://docs.google.com/spreadsheets/d/1UdH2L0xi8dO6jyPCcO5e5-8j7SGzezxkeZuF1uP8uOw"",""fighter_param (""&amp;TO_TEXT($A$1)&amp;"")!B4:JZ""), 24, FALSE), """"))"),1.019)</f>
        <v>1.019</v>
      </c>
      <c r="AA53" s="2880">
        <f t="shared" si="7"/>
        <v>80</v>
      </c>
      <c r="AB53" s="3707">
        <f>IFERROR(__xludf.DUMMYFUNCTION("VALUE(IFERROR(VLOOKUP($AG53, IMPORTRANGE(""https://docs.google.com/spreadsheets/d/1UdH2L0xi8dO6jyPCcO5e5-8j7SGzezxkeZuF1uP8uOw"",""fighter_param (""&amp;TO_TEXT($A$1)&amp;"")!B4:JZ""), 27, FALSE), """"))"),1.3)</f>
        <v>1.3</v>
      </c>
      <c r="AC53" s="2880">
        <f t="shared" si="8"/>
        <v>80</v>
      </c>
      <c r="AD53" s="3707">
        <f>IFERROR(__xludf.DUMMYFUNCTION("VALUE(IFERROR(VLOOKUP($AG53, IMPORTRANGE(""https://docs.google.com/spreadsheets/d/1UdH2L0xi8dO6jyPCcO5e5-8j7SGzezxkeZuF1uP8uOw"",""fighter_param (""&amp;TO_TEXT($A$1)&amp;"")!B4:JZ""), 31, FALSE), """"))"),2.08)</f>
        <v>2.08</v>
      </c>
      <c r="AE53" s="3712">
        <f>Fighters!S53</f>
        <v>52</v>
      </c>
      <c r="AF53" s="3713">
        <f>Fighters!T53</f>
        <v>47</v>
      </c>
      <c r="AG53" s="3714" t="str">
        <f>Fighters!V53</f>
        <v>wiifit</v>
      </c>
    </row>
    <row r="54">
      <c r="A54" s="3700">
        <f>Fighters!A54</f>
        <v>48</v>
      </c>
      <c r="B54" s="3701" t="str">
        <f>Fighters!B54</f>
        <v>ロゼッタ&amp;チコ</v>
      </c>
      <c r="C54" s="2540" t="s">
        <v>176</v>
      </c>
      <c r="D54" s="3702" t="b">
        <v>1</v>
      </c>
      <c r="E54" s="3702" t="b">
        <v>0</v>
      </c>
      <c r="F54" s="3702" t="b">
        <v>0</v>
      </c>
      <c r="G54" s="3703" t="b">
        <v>0</v>
      </c>
      <c r="H54" s="544">
        <v>3.0</v>
      </c>
      <c r="I54" s="3704">
        <v>2.0</v>
      </c>
      <c r="J54" s="3711" t="s">
        <v>73</v>
      </c>
      <c r="K54" s="256">
        <f t="shared" si="1"/>
        <v>80</v>
      </c>
      <c r="L54" s="3704">
        <v>15.0</v>
      </c>
      <c r="M54" s="256">
        <f t="shared" si="2"/>
        <v>85</v>
      </c>
      <c r="N54" s="3706">
        <v>23.0</v>
      </c>
      <c r="O54" s="544">
        <v>50.0</v>
      </c>
      <c r="P54" s="3704">
        <v>71.0</v>
      </c>
      <c r="Q54" s="3704">
        <v>36.0</v>
      </c>
      <c r="R54" s="3706">
        <v>49.0</v>
      </c>
      <c r="S54" s="2880">
        <f t="shared" si="3"/>
        <v>74</v>
      </c>
      <c r="T54" s="3707">
        <f>IFERROR(__xludf.DUMMYFUNCTION("VALUE(IFERROR(VLOOKUP($AG54, IMPORTRANGE(""https://docs.google.com/spreadsheets/d/1UdH2L0xi8dO6jyPCcO5e5-8j7SGzezxkeZuF1uP8uOw"",""fighter_param (""&amp;TO_TEXT($A$1)&amp;"")!B4:JZ""), 32, FALSE), """"))"),82.0)</f>
        <v>82</v>
      </c>
      <c r="U54" s="2880">
        <f t="shared" si="4"/>
        <v>39</v>
      </c>
      <c r="V54" s="3707">
        <f>IFERROR(__xludf.DUMMYFUNCTION("VALUE(IFERROR(VLOOKUP($AG54, IMPORTRANGE(""https://docs.google.com/spreadsheets/d/1UdH2L0xi8dO6jyPCcO5e5-8j7SGzezxkeZuF1uP8uOw"",""fighter_param (""&amp;TO_TEXT($A$1)&amp;"")!B4:JZ""), 4, FALSE), """"))"),1.138)</f>
        <v>1.138</v>
      </c>
      <c r="W54" s="2880">
        <f t="shared" si="5"/>
        <v>35</v>
      </c>
      <c r="X54" s="3707">
        <f>IFERROR(__xludf.DUMMYFUNCTION("VALUE(IFERROR(VLOOKUP($AG54, IMPORTRANGE(""https://docs.google.com/spreadsheets/d/1UdH2L0xi8dO6jyPCcO5e5-8j7SGzezxkeZuF1uP8uOw"",""fighter_param (""&amp;TO_TEXT($A$1)&amp;"")!B4:JZ""), 12, FALSE), """"))"),1.795)</f>
        <v>1.795</v>
      </c>
      <c r="Y54" s="2880">
        <f t="shared" si="6"/>
        <v>43</v>
      </c>
      <c r="Z54" s="3707">
        <f>IFERROR(__xludf.DUMMYFUNCTION("VALUE(IFERROR(VLOOKUP($AG54, IMPORTRANGE(""https://docs.google.com/spreadsheets/d/1UdH2L0xi8dO6jyPCcO5e5-8j7SGzezxkeZuF1uP8uOw"",""fighter_param (""&amp;TO_TEXT($A$1)&amp;"")!B4:JZ""), 24, FALSE), """"))"),1.05)</f>
        <v>1.05</v>
      </c>
      <c r="AA54" s="2880">
        <f t="shared" si="7"/>
        <v>86</v>
      </c>
      <c r="AB54" s="3707">
        <f>IFERROR(__xludf.DUMMYFUNCTION("VALUE(IFERROR(VLOOKUP($AG54, IMPORTRANGE(""https://docs.google.com/spreadsheets/d/1UdH2L0xi8dO6jyPCcO5e5-8j7SGzezxkeZuF1uP8uOw"",""fighter_param (""&amp;TO_TEXT($A$1)&amp;"")!B4:JZ""), 27, FALSE), """"))"),1.2)</f>
        <v>1.2</v>
      </c>
      <c r="AC54" s="2880">
        <f t="shared" si="8"/>
        <v>86</v>
      </c>
      <c r="AD54" s="3707">
        <f>IFERROR(__xludf.DUMMYFUNCTION("VALUE(IFERROR(VLOOKUP($AG54, IMPORTRANGE(""https://docs.google.com/spreadsheets/d/1UdH2L0xi8dO6jyPCcO5e5-8j7SGzezxkeZuF1uP8uOw"",""fighter_param (""&amp;TO_TEXT($A$1)&amp;"")!B4:JZ""), 31, FALSE), """"))"),1.92)</f>
        <v>1.92</v>
      </c>
      <c r="AE54" s="3712">
        <f>Fighters!S54</f>
        <v>53</v>
      </c>
      <c r="AF54" s="3713">
        <f>Fighters!T54</f>
        <v>48</v>
      </c>
      <c r="AG54" s="3714" t="str">
        <f>Fighters!V54</f>
        <v>rosetta</v>
      </c>
    </row>
    <row r="55">
      <c r="A55" s="3700">
        <f>Fighters!A55</f>
        <v>49</v>
      </c>
      <c r="B55" s="3701" t="str">
        <f>Fighters!B55</f>
        <v>リトル・マック</v>
      </c>
      <c r="C55" s="2540" t="s">
        <v>176</v>
      </c>
      <c r="D55" s="3702" t="b">
        <v>0</v>
      </c>
      <c r="E55" s="3702" t="b">
        <v>1</v>
      </c>
      <c r="F55" s="3702" t="b">
        <v>0</v>
      </c>
      <c r="G55" s="3703" t="b">
        <v>0</v>
      </c>
      <c r="H55" s="544">
        <v>3.0</v>
      </c>
      <c r="I55" s="3704">
        <v>2.0</v>
      </c>
      <c r="J55" s="3711" t="s">
        <v>73</v>
      </c>
      <c r="K55" s="256">
        <f t="shared" si="1"/>
        <v>80</v>
      </c>
      <c r="L55" s="3704">
        <v>15.0</v>
      </c>
      <c r="M55" s="256">
        <f t="shared" si="2"/>
        <v>13</v>
      </c>
      <c r="N55" s="3706">
        <v>19.0</v>
      </c>
      <c r="O55" s="544">
        <v>33.0</v>
      </c>
      <c r="P55" s="3704">
        <v>44.0</v>
      </c>
      <c r="Q55" s="3704">
        <v>21.0</v>
      </c>
      <c r="R55" s="3706">
        <v>29.0</v>
      </c>
      <c r="S55" s="2880">
        <f t="shared" si="3"/>
        <v>69</v>
      </c>
      <c r="T55" s="3707">
        <f>IFERROR(__xludf.DUMMYFUNCTION("VALUE(IFERROR(VLOOKUP($AG55, IMPORTRANGE(""https://docs.google.com/spreadsheets/d/1UdH2L0xi8dO6jyPCcO5e5-8j7SGzezxkeZuF1uP8uOw"",""fighter_param (""&amp;TO_TEXT($A$1)&amp;"")!B4:JZ""), 32, FALSE), """"))"),87.0)</f>
        <v>87</v>
      </c>
      <c r="U55" s="2880">
        <f t="shared" si="4"/>
        <v>9</v>
      </c>
      <c r="V55" s="3707">
        <f>IFERROR(__xludf.DUMMYFUNCTION("VALUE(IFERROR(VLOOKUP($AG55, IMPORTRANGE(""https://docs.google.com/spreadsheets/d/1UdH2L0xi8dO6jyPCcO5e5-8j7SGzezxkeZuF1uP8uOw"",""fighter_param (""&amp;TO_TEXT($A$1)&amp;"")!B4:JZ""), 4, FALSE), """"))"),1.386)</f>
        <v>1.386</v>
      </c>
      <c r="W55" s="2880">
        <f t="shared" si="5"/>
        <v>3</v>
      </c>
      <c r="X55" s="3707">
        <f>IFERROR(__xludf.DUMMYFUNCTION("VALUE(IFERROR(VLOOKUP($AG55, IMPORTRANGE(""https://docs.google.com/spreadsheets/d/1UdH2L0xi8dO6jyPCcO5e5-8j7SGzezxkeZuF1uP8uOw"",""fighter_param (""&amp;TO_TEXT($A$1)&amp;"")!B4:JZ""), 12, FALSE), """"))"),2.464)</f>
        <v>2.464</v>
      </c>
      <c r="Y55" s="2880">
        <f t="shared" si="6"/>
        <v>13</v>
      </c>
      <c r="Z55" s="3707">
        <f>IFERROR(__xludf.DUMMYFUNCTION("VALUE(IFERROR(VLOOKUP($AG55, IMPORTRANGE(""https://docs.google.com/spreadsheets/d/1UdH2L0xi8dO6jyPCcO5e5-8j7SGzezxkeZuF1uP8uOw"",""fighter_param (""&amp;TO_TEXT($A$1)&amp;"")!B4:JZ""), 24, FALSE), """"))"),1.208)</f>
        <v>1.208</v>
      </c>
      <c r="AA55" s="2880">
        <f t="shared" si="7"/>
        <v>2</v>
      </c>
      <c r="AB55" s="3707">
        <f>IFERROR(__xludf.DUMMYFUNCTION("VALUE(IFERROR(VLOOKUP($AG55, IMPORTRANGE(""https://docs.google.com/spreadsheets/d/1UdH2L0xi8dO6jyPCcO5e5-8j7SGzezxkeZuF1uP8uOw"",""fighter_param (""&amp;TO_TEXT($A$1)&amp;"")!B4:JZ""), 27, FALSE), """"))"),1.95)</f>
        <v>1.95</v>
      </c>
      <c r="AC55" s="2880">
        <f t="shared" si="8"/>
        <v>2</v>
      </c>
      <c r="AD55" s="3707">
        <f>IFERROR(__xludf.DUMMYFUNCTION("VALUE(IFERROR(VLOOKUP($AG55, IMPORTRANGE(""https://docs.google.com/spreadsheets/d/1UdH2L0xi8dO6jyPCcO5e5-8j7SGzezxkeZuF1uP8uOw"",""fighter_param (""&amp;TO_TEXT($A$1)&amp;"")!B4:JZ""), 31, FALSE), """"))"),3.12)</f>
        <v>3.12</v>
      </c>
      <c r="AE55" s="3712">
        <f>Fighters!S55</f>
        <v>54</v>
      </c>
      <c r="AF55" s="3713">
        <f>Fighters!T55</f>
        <v>49</v>
      </c>
      <c r="AG55" s="3714" t="str">
        <f>Fighters!V55</f>
        <v>littlemac</v>
      </c>
    </row>
    <row r="56">
      <c r="A56" s="3700">
        <f>Fighters!A56</f>
        <v>50</v>
      </c>
      <c r="B56" s="3701" t="str">
        <f>Fighters!B56</f>
        <v>ゲッコウガ</v>
      </c>
      <c r="C56" s="2540" t="s">
        <v>176</v>
      </c>
      <c r="D56" s="3702" t="b">
        <v>1</v>
      </c>
      <c r="E56" s="3702" t="b">
        <v>1</v>
      </c>
      <c r="F56" s="3702" t="b">
        <v>0</v>
      </c>
      <c r="G56" s="3703" t="b">
        <v>0</v>
      </c>
      <c r="H56" s="544">
        <v>3.0</v>
      </c>
      <c r="I56" s="3704">
        <v>2.0</v>
      </c>
      <c r="J56" s="3711" t="s">
        <v>73</v>
      </c>
      <c r="K56" s="256">
        <f t="shared" si="1"/>
        <v>5</v>
      </c>
      <c r="L56" s="3704">
        <v>10.0</v>
      </c>
      <c r="M56" s="256">
        <f t="shared" si="2"/>
        <v>85</v>
      </c>
      <c r="N56" s="3706">
        <v>23.0</v>
      </c>
      <c r="O56" s="544">
        <v>32.0</v>
      </c>
      <c r="P56" s="3704">
        <v>49.0</v>
      </c>
      <c r="Q56" s="3704">
        <v>24.0</v>
      </c>
      <c r="R56" s="3706">
        <v>35.0</v>
      </c>
      <c r="S56" s="2880">
        <f t="shared" si="3"/>
        <v>66</v>
      </c>
      <c r="T56" s="3707">
        <f>IFERROR(__xludf.DUMMYFUNCTION("VALUE(IFERROR(VLOOKUP($AG56, IMPORTRANGE(""https://docs.google.com/spreadsheets/d/1UdH2L0xi8dO6jyPCcO5e5-8j7SGzezxkeZuF1uP8uOw"",""fighter_param (""&amp;TO_TEXT($A$1)&amp;"")!B4:JZ""), 32, FALSE), """"))"),88.0)</f>
        <v>88</v>
      </c>
      <c r="U56" s="2880">
        <f t="shared" si="4"/>
        <v>4</v>
      </c>
      <c r="V56" s="3707">
        <f>IFERROR(__xludf.DUMMYFUNCTION("VALUE(IFERROR(VLOOKUP($AG56, IMPORTRANGE(""https://docs.google.com/spreadsheets/d/1UdH2L0xi8dO6jyPCcO5e5-8j7SGzezxkeZuF1uP8uOw"",""fighter_param (""&amp;TO_TEXT($A$1)&amp;"")!B4:JZ""), 4, FALSE), """"))"),1.502)</f>
        <v>1.502</v>
      </c>
      <c r="W56" s="2880">
        <f t="shared" si="5"/>
        <v>8</v>
      </c>
      <c r="X56" s="3707">
        <f>IFERROR(__xludf.DUMMYFUNCTION("VALUE(IFERROR(VLOOKUP($AG56, IMPORTRANGE(""https://docs.google.com/spreadsheets/d/1UdH2L0xi8dO6jyPCcO5e5-8j7SGzezxkeZuF1uP8uOw"",""fighter_param (""&amp;TO_TEXT($A$1)&amp;"")!B4:JZ""), 12, FALSE), """"))"),2.288)</f>
        <v>2.288</v>
      </c>
      <c r="Y56" s="2880">
        <f t="shared" si="6"/>
        <v>10</v>
      </c>
      <c r="Z56" s="3707">
        <f>IFERROR(__xludf.DUMMYFUNCTION("VALUE(IFERROR(VLOOKUP($AG56, IMPORTRANGE(""https://docs.google.com/spreadsheets/d/1UdH2L0xi8dO6jyPCcO5e5-8j7SGzezxkeZuF1uP8uOw"",""fighter_param (""&amp;TO_TEXT($A$1)&amp;"")!B4:JZ""), 24, FALSE), """"))"),1.239)</f>
        <v>1.239</v>
      </c>
      <c r="AA56" s="2880">
        <f t="shared" si="7"/>
        <v>9</v>
      </c>
      <c r="AB56" s="3707">
        <f>IFERROR(__xludf.DUMMYFUNCTION("VALUE(IFERROR(VLOOKUP($AG56, IMPORTRANGE(""https://docs.google.com/spreadsheets/d/1UdH2L0xi8dO6jyPCcO5e5-8j7SGzezxkeZuF1uP8uOw"",""fighter_param (""&amp;TO_TEXT($A$1)&amp;"")!B4:JZ""), 27, FALSE), """"))"),1.85)</f>
        <v>1.85</v>
      </c>
      <c r="AC56" s="2880">
        <f t="shared" si="8"/>
        <v>9</v>
      </c>
      <c r="AD56" s="3707">
        <f>IFERROR(__xludf.DUMMYFUNCTION("VALUE(IFERROR(VLOOKUP($AG56, IMPORTRANGE(""https://docs.google.com/spreadsheets/d/1UdH2L0xi8dO6jyPCcO5e5-8j7SGzezxkeZuF1uP8uOw"",""fighter_param (""&amp;TO_TEXT($A$1)&amp;"")!B4:JZ""), 31, FALSE), """"))"),2.96)</f>
        <v>2.96</v>
      </c>
      <c r="AE56" s="3712">
        <f>Fighters!S56</f>
        <v>55</v>
      </c>
      <c r="AF56" s="3713">
        <f>Fighters!T56</f>
        <v>50</v>
      </c>
      <c r="AG56" s="3714" t="str">
        <f>Fighters!V56</f>
        <v>gekkouga</v>
      </c>
    </row>
    <row r="57">
      <c r="A57" s="3700">
        <f>Fighters!A57</f>
        <v>51</v>
      </c>
      <c r="B57" s="3701" t="str">
        <f>Fighters!B57</f>
        <v>格闘Mii</v>
      </c>
      <c r="C57" s="2540" t="s">
        <v>176</v>
      </c>
      <c r="D57" s="3702" t="b">
        <v>0</v>
      </c>
      <c r="E57" s="3702" t="b">
        <v>1</v>
      </c>
      <c r="F57" s="3702" t="b">
        <v>0</v>
      </c>
      <c r="G57" s="3703" t="b">
        <v>0</v>
      </c>
      <c r="H57" s="544">
        <v>3.0</v>
      </c>
      <c r="I57" s="3704">
        <v>2.0</v>
      </c>
      <c r="J57" s="3711" t="s">
        <v>73</v>
      </c>
      <c r="K57" s="256">
        <f t="shared" si="1"/>
        <v>5</v>
      </c>
      <c r="L57" s="3704">
        <v>10.0</v>
      </c>
      <c r="M57" s="256">
        <f t="shared" si="2"/>
        <v>5</v>
      </c>
      <c r="N57" s="3706">
        <v>17.0</v>
      </c>
      <c r="O57" s="544">
        <v>28.0</v>
      </c>
      <c r="P57" s="3704">
        <v>41.0</v>
      </c>
      <c r="Q57" s="3704">
        <v>20.0</v>
      </c>
      <c r="R57" s="3706">
        <v>30.0</v>
      </c>
      <c r="S57" s="2880">
        <f t="shared" si="3"/>
        <v>48</v>
      </c>
      <c r="T57" s="3707">
        <f>IFERROR(__xludf.DUMMYFUNCTION("VALUE(IFERROR(VLOOKUP($AG57, IMPORTRANGE(""https://docs.google.com/spreadsheets/d/1UdH2L0xi8dO6jyPCcO5e5-8j7SGzezxkeZuF1uP8uOw"",""fighter_param (""&amp;TO_TEXT($A$1)&amp;"")!B4:JZ""), 32, FALSE), """"))"),94.0)</f>
        <v>94</v>
      </c>
      <c r="U57" s="2880">
        <f t="shared" si="4"/>
        <v>18</v>
      </c>
      <c r="V57" s="3707">
        <f>IFERROR(__xludf.DUMMYFUNCTION("VALUE(IFERROR(VLOOKUP($AG57, IMPORTRANGE(""https://docs.google.com/spreadsheets/d/1UdH2L0xi8dO6jyPCcO5e5-8j7SGzezxkeZuF1uP8uOw"",""fighter_param (""&amp;TO_TEXT($A$1)&amp;"")!B4:JZ""), 4, FALSE), """"))"),1.26)</f>
        <v>1.26</v>
      </c>
      <c r="W57" s="2880">
        <f t="shared" si="5"/>
        <v>26</v>
      </c>
      <c r="X57" s="3707">
        <f>IFERROR(__xludf.DUMMYFUNCTION("VALUE(IFERROR(VLOOKUP($AG57, IMPORTRANGE(""https://docs.google.com/spreadsheets/d/1UdH2L0xi8dO6jyPCcO5e5-8j7SGzezxkeZuF1uP8uOw"",""fighter_param (""&amp;TO_TEXT($A$1)&amp;"")!B4:JZ""), 12, FALSE), """"))"),1.92)</f>
        <v>1.92</v>
      </c>
      <c r="Y57" s="2880">
        <f t="shared" si="6"/>
        <v>26</v>
      </c>
      <c r="Z57" s="3707">
        <f>IFERROR(__xludf.DUMMYFUNCTION("VALUE(IFERROR(VLOOKUP($AG57, IMPORTRANGE(""https://docs.google.com/spreadsheets/d/1UdH2L0xi8dO6jyPCcO5e5-8j7SGzezxkeZuF1uP8uOw"",""fighter_param (""&amp;TO_TEXT($A$1)&amp;"")!B4:JZ""), 24, FALSE), """"))"),1.15)</f>
        <v>1.15</v>
      </c>
      <c r="AA57" s="2880">
        <f t="shared" si="7"/>
        <v>5</v>
      </c>
      <c r="AB57" s="3707">
        <f>IFERROR(__xludf.DUMMYFUNCTION("VALUE(IFERROR(VLOOKUP($AG57, IMPORTRANGE(""https://docs.google.com/spreadsheets/d/1UdH2L0xi8dO6jyPCcO5e5-8j7SGzezxkeZuF1uP8uOw"",""fighter_param (""&amp;TO_TEXT($A$1)&amp;"")!B4:JZ""), 27, FALSE), """"))"),1.92)</f>
        <v>1.92</v>
      </c>
      <c r="AC57" s="2880">
        <f t="shared" si="8"/>
        <v>5</v>
      </c>
      <c r="AD57" s="3707">
        <f>IFERROR(__xludf.DUMMYFUNCTION("VALUE(IFERROR(VLOOKUP($AG57, IMPORTRANGE(""https://docs.google.com/spreadsheets/d/1UdH2L0xi8dO6jyPCcO5e5-8j7SGzezxkeZuF1uP8uOw"",""fighter_param (""&amp;TO_TEXT($A$1)&amp;"")!B4:JZ""), 31, FALSE), """"))"),3.072)</f>
        <v>3.072</v>
      </c>
      <c r="AE57" s="3712">
        <f>Fighters!S57</f>
        <v>56</v>
      </c>
      <c r="AF57" s="3715">
        <f>Fighters!T57</f>
        <v>73</v>
      </c>
      <c r="AG57" s="3714" t="str">
        <f>Fighters!V57</f>
        <v>miifighter</v>
      </c>
    </row>
    <row r="58">
      <c r="A58" s="3700">
        <f>Fighters!A58</f>
        <v>52</v>
      </c>
      <c r="B58" s="3701" t="str">
        <f>Fighters!B58</f>
        <v>剣術Mii</v>
      </c>
      <c r="C58" s="2540" t="s">
        <v>176</v>
      </c>
      <c r="D58" s="3702" t="b">
        <v>0</v>
      </c>
      <c r="E58" s="3702" t="b">
        <v>0</v>
      </c>
      <c r="F58" s="3702" t="b">
        <v>0</v>
      </c>
      <c r="G58" s="3703" t="b">
        <v>0</v>
      </c>
      <c r="H58" s="544">
        <v>3.0</v>
      </c>
      <c r="I58" s="3704">
        <v>2.0</v>
      </c>
      <c r="J58" s="3711" t="s">
        <v>150</v>
      </c>
      <c r="K58" s="256">
        <f t="shared" si="1"/>
        <v>62</v>
      </c>
      <c r="L58" s="3704">
        <v>12.0</v>
      </c>
      <c r="M58" s="256">
        <f t="shared" si="2"/>
        <v>5</v>
      </c>
      <c r="N58" s="3706">
        <v>17.0</v>
      </c>
      <c r="O58" s="544">
        <v>30.0</v>
      </c>
      <c r="P58" s="3704">
        <v>45.0</v>
      </c>
      <c r="Q58" s="3704">
        <v>20.0</v>
      </c>
      <c r="R58" s="3706">
        <v>32.0</v>
      </c>
      <c r="S58" s="2880">
        <f t="shared" si="3"/>
        <v>31</v>
      </c>
      <c r="T58" s="3707">
        <f>IFERROR(__xludf.DUMMYFUNCTION("VALUE(IFERROR(VLOOKUP($AG58, IMPORTRANGE(""https://docs.google.com/spreadsheets/d/1UdH2L0xi8dO6jyPCcO5e5-8j7SGzezxkeZuF1uP8uOw"",""fighter_param (""&amp;TO_TEXT($A$1)&amp;"")!B4:JZ""), 32, FALSE), """"))"),100.0)</f>
        <v>100</v>
      </c>
      <c r="U58" s="2880">
        <f t="shared" si="4"/>
        <v>51</v>
      </c>
      <c r="V58" s="3707">
        <f>IFERROR(__xludf.DUMMYFUNCTION("VALUE(IFERROR(VLOOKUP($AG58, IMPORTRANGE(""https://docs.google.com/spreadsheets/d/1UdH2L0xi8dO6jyPCcO5e5-8j7SGzezxkeZuF1uP8uOw"",""fighter_param (""&amp;TO_TEXT($A$1)&amp;"")!B4:JZ""), 4, FALSE), """"))"),1.07)</f>
        <v>1.07</v>
      </c>
      <c r="W58" s="2880">
        <f t="shared" si="5"/>
        <v>65</v>
      </c>
      <c r="X58" s="3707">
        <f>IFERROR(__xludf.DUMMYFUNCTION("VALUE(IFERROR(VLOOKUP($AG58, IMPORTRANGE(""https://docs.google.com/spreadsheets/d/1UdH2L0xi8dO6jyPCcO5e5-8j7SGzezxkeZuF1uP8uOw"",""fighter_param (""&amp;TO_TEXT($A$1)&amp;"")!B4:JZ""), 12, FALSE), """"))"),1.58)</f>
        <v>1.58</v>
      </c>
      <c r="Y58" s="2880">
        <f t="shared" si="6"/>
        <v>19</v>
      </c>
      <c r="Z58" s="3707">
        <f>IFERROR(__xludf.DUMMYFUNCTION("VALUE(IFERROR(VLOOKUP($AG58, IMPORTRANGE(""https://docs.google.com/spreadsheets/d/1UdH2L0xi8dO6jyPCcO5e5-8j7SGzezxkeZuF1uP8uOw"",""fighter_param (""&amp;TO_TEXT($A$1)&amp;"")!B4:JZ""), 24, FALSE), """"))"),1.17)</f>
        <v>1.17</v>
      </c>
      <c r="AA58" s="2880">
        <f t="shared" si="7"/>
        <v>53</v>
      </c>
      <c r="AB58" s="3707">
        <f>IFERROR(__xludf.DUMMYFUNCTION("VALUE(IFERROR(VLOOKUP($AG58, IMPORTRANGE(""https://docs.google.com/spreadsheets/d/1UdH2L0xi8dO6jyPCcO5e5-8j7SGzezxkeZuF1uP8uOw"",""fighter_param (""&amp;TO_TEXT($A$1)&amp;"")!B4:JZ""), 27, FALSE), """"))"),1.55)</f>
        <v>1.55</v>
      </c>
      <c r="AC58" s="2880">
        <f t="shared" si="8"/>
        <v>51</v>
      </c>
      <c r="AD58" s="3707">
        <f>IFERROR(__xludf.DUMMYFUNCTION("VALUE(IFERROR(VLOOKUP($AG58, IMPORTRANGE(""https://docs.google.com/spreadsheets/d/1UdH2L0xi8dO6jyPCcO5e5-8j7SGzezxkeZuF1uP8uOw"",""fighter_param (""&amp;TO_TEXT($A$1)&amp;"")!B4:JZ""), 31, FALSE), """"))"),2.48)</f>
        <v>2.48</v>
      </c>
      <c r="AE58" s="3712">
        <f>Fighters!S58</f>
        <v>57</v>
      </c>
      <c r="AF58" s="3715">
        <f>Fighters!T58</f>
        <v>74</v>
      </c>
      <c r="AG58" s="3714" t="str">
        <f>Fighters!V58</f>
        <v>miiswordsman</v>
      </c>
    </row>
    <row r="59">
      <c r="A59" s="3700">
        <f>Fighters!A59</f>
        <v>53</v>
      </c>
      <c r="B59" s="3701" t="str">
        <f>Fighters!B59</f>
        <v>射撃Mii</v>
      </c>
      <c r="C59" s="2540" t="s">
        <v>176</v>
      </c>
      <c r="D59" s="3702" t="b">
        <v>0</v>
      </c>
      <c r="E59" s="3702" t="b">
        <v>1</v>
      </c>
      <c r="F59" s="3702" t="b">
        <v>0</v>
      </c>
      <c r="G59" s="3703" t="b">
        <v>0</v>
      </c>
      <c r="H59" s="544">
        <v>3.0</v>
      </c>
      <c r="I59" s="3704">
        <v>2.0</v>
      </c>
      <c r="J59" s="3711" t="s">
        <v>73</v>
      </c>
      <c r="K59" s="256">
        <f t="shared" si="1"/>
        <v>3</v>
      </c>
      <c r="L59" s="3704">
        <v>8.0</v>
      </c>
      <c r="M59" s="256">
        <f t="shared" si="2"/>
        <v>5</v>
      </c>
      <c r="N59" s="3706">
        <v>17.0</v>
      </c>
      <c r="O59" s="544">
        <v>34.0</v>
      </c>
      <c r="P59" s="3704">
        <v>49.0</v>
      </c>
      <c r="Q59" s="3704">
        <v>24.0</v>
      </c>
      <c r="R59" s="3706">
        <v>35.0</v>
      </c>
      <c r="S59" s="2880">
        <f t="shared" si="3"/>
        <v>22</v>
      </c>
      <c r="T59" s="3707">
        <f>IFERROR(__xludf.DUMMYFUNCTION("VALUE(IFERROR(VLOOKUP($AG59, IMPORTRANGE(""https://docs.google.com/spreadsheets/d/1UdH2L0xi8dO6jyPCcO5e5-8j7SGzezxkeZuF1uP8uOw"",""fighter_param (""&amp;TO_TEXT($A$1)&amp;"")!B4:JZ""), 32, FALSE), """"))"),104.0)</f>
        <v>104</v>
      </c>
      <c r="U59" s="2880">
        <f t="shared" si="4"/>
        <v>56</v>
      </c>
      <c r="V59" s="3707">
        <f>IFERROR(__xludf.DUMMYFUNCTION("VALUE(IFERROR(VLOOKUP($AG59, IMPORTRANGE(""https://docs.google.com/spreadsheets/d/1UdH2L0xi8dO6jyPCcO5e5-8j7SGzezxkeZuF1uP8uOw"",""fighter_param (""&amp;TO_TEXT($A$1)&amp;"")!B4:JZ""), 4, FALSE), """"))"),1.0)</f>
        <v>1</v>
      </c>
      <c r="W59" s="2880">
        <f t="shared" si="5"/>
        <v>85</v>
      </c>
      <c r="X59" s="3707">
        <f>IFERROR(__xludf.DUMMYFUNCTION("VALUE(IFERROR(VLOOKUP($AG59, IMPORTRANGE(""https://docs.google.com/spreadsheets/d/1UdH2L0xi8dO6jyPCcO5e5-8j7SGzezxkeZuF1uP8uOw"",""fighter_param (""&amp;TO_TEXT($A$1)&amp;"")!B4:JZ""), 12, FALSE), """"))"),1.37)</f>
        <v>1.37</v>
      </c>
      <c r="Y59" s="2880">
        <f t="shared" si="6"/>
        <v>74</v>
      </c>
      <c r="Z59" s="3707">
        <f>IFERROR(__xludf.DUMMYFUNCTION("VALUE(IFERROR(VLOOKUP($AG59, IMPORTRANGE(""https://docs.google.com/spreadsheets/d/1UdH2L0xi8dO6jyPCcO5e5-8j7SGzezxkeZuF1uP8uOw"",""fighter_param (""&amp;TO_TEXT($A$1)&amp;"")!B4:JZ""), 24, FALSE), """"))"),0.93)</f>
        <v>0.93</v>
      </c>
      <c r="AA59" s="2880">
        <f t="shared" si="7"/>
        <v>65</v>
      </c>
      <c r="AB59" s="3707">
        <f>IFERROR(__xludf.DUMMYFUNCTION("VALUE(IFERROR(VLOOKUP($AG59, IMPORTRANGE(""https://docs.google.com/spreadsheets/d/1UdH2L0xi8dO6jyPCcO5e5-8j7SGzezxkeZuF1uP8uOw"",""fighter_param (""&amp;TO_TEXT($A$1)&amp;"")!B4:JZ""), 27, FALSE), """"))"),1.45)</f>
        <v>1.45</v>
      </c>
      <c r="AC59" s="2880">
        <f t="shared" si="8"/>
        <v>63</v>
      </c>
      <c r="AD59" s="3707">
        <f>IFERROR(__xludf.DUMMYFUNCTION("VALUE(IFERROR(VLOOKUP($AG59, IMPORTRANGE(""https://docs.google.com/spreadsheets/d/1UdH2L0xi8dO6jyPCcO5e5-8j7SGzezxkeZuF1uP8uOw"",""fighter_param (""&amp;TO_TEXT($A$1)&amp;"")!B4:JZ""), 31, FALSE), """"))"),2.32)</f>
        <v>2.32</v>
      </c>
      <c r="AE59" s="3712">
        <f>Fighters!S59</f>
        <v>58</v>
      </c>
      <c r="AF59" s="3715">
        <f>Fighters!T59</f>
        <v>75</v>
      </c>
      <c r="AG59" s="3714" t="str">
        <f>Fighters!V59</f>
        <v>miigunner</v>
      </c>
    </row>
    <row r="60">
      <c r="A60" s="3700">
        <f>Fighters!A60</f>
        <v>54</v>
      </c>
      <c r="B60" s="3701" t="str">
        <f>Fighters!B60</f>
        <v>パルテナ</v>
      </c>
      <c r="C60" s="2540" t="s">
        <v>176</v>
      </c>
      <c r="D60" s="3702" t="b">
        <v>0</v>
      </c>
      <c r="E60" s="3702" t="b">
        <v>0</v>
      </c>
      <c r="F60" s="3702" t="b">
        <v>0</v>
      </c>
      <c r="G60" s="3703" t="b">
        <v>0</v>
      </c>
      <c r="H60" s="544">
        <v>3.0</v>
      </c>
      <c r="I60" s="3704">
        <v>2.0</v>
      </c>
      <c r="J60" s="3711" t="s">
        <v>73</v>
      </c>
      <c r="K60" s="256">
        <f t="shared" si="1"/>
        <v>5</v>
      </c>
      <c r="L60" s="3704">
        <v>10.0</v>
      </c>
      <c r="M60" s="256">
        <f t="shared" si="2"/>
        <v>13</v>
      </c>
      <c r="N60" s="3706">
        <v>19.0</v>
      </c>
      <c r="O60" s="544">
        <v>34.0</v>
      </c>
      <c r="P60" s="3704">
        <v>50.0</v>
      </c>
      <c r="Q60" s="3704">
        <v>24.0</v>
      </c>
      <c r="R60" s="3706">
        <v>35.0</v>
      </c>
      <c r="S60" s="2880">
        <f t="shared" si="3"/>
        <v>59</v>
      </c>
      <c r="T60" s="3707">
        <f>IFERROR(__xludf.DUMMYFUNCTION("VALUE(IFERROR(VLOOKUP($AG60, IMPORTRANGE(""https://docs.google.com/spreadsheets/d/1UdH2L0xi8dO6jyPCcO5e5-8j7SGzezxkeZuF1uP8uOw"",""fighter_param (""&amp;TO_TEXT($A$1)&amp;"")!B4:JZ""), 32, FALSE), """"))"),91.0)</f>
        <v>91</v>
      </c>
      <c r="U60" s="2880">
        <f t="shared" si="4"/>
        <v>17</v>
      </c>
      <c r="V60" s="3707">
        <f>IFERROR(__xludf.DUMMYFUNCTION("VALUE(IFERROR(VLOOKUP($AG60, IMPORTRANGE(""https://docs.google.com/spreadsheets/d/1UdH2L0xi8dO6jyPCcO5e5-8j7SGzezxkeZuF1uP8uOw"",""fighter_param (""&amp;TO_TEXT($A$1)&amp;"")!B4:JZ""), 4, FALSE), """"))"),1.271)</f>
        <v>1.271</v>
      </c>
      <c r="W60" s="2880">
        <f t="shared" si="5"/>
        <v>17</v>
      </c>
      <c r="X60" s="3707">
        <f>IFERROR(__xludf.DUMMYFUNCTION("VALUE(IFERROR(VLOOKUP($AG60, IMPORTRANGE(""https://docs.google.com/spreadsheets/d/1UdH2L0xi8dO6jyPCcO5e5-8j7SGzezxkeZuF1uP8uOw"",""fighter_param (""&amp;TO_TEXT($A$1)&amp;"")!B4:JZ""), 12, FALSE), """"))"),2.077)</f>
        <v>2.077</v>
      </c>
      <c r="Y60" s="2880">
        <f t="shared" si="6"/>
        <v>58</v>
      </c>
      <c r="Z60" s="3707">
        <f>IFERROR(__xludf.DUMMYFUNCTION("VALUE(IFERROR(VLOOKUP($AG60, IMPORTRANGE(""https://docs.google.com/spreadsheets/d/1UdH2L0xi8dO6jyPCcO5e5-8j7SGzezxkeZuF1uP8uOw"",""fighter_param (""&amp;TO_TEXT($A$1)&amp;"")!B4:JZ""), 24, FALSE), """"))"),1.0)</f>
        <v>1</v>
      </c>
      <c r="AA60" s="2880">
        <f t="shared" si="7"/>
        <v>53</v>
      </c>
      <c r="AB60" s="3707">
        <f>IFERROR(__xludf.DUMMYFUNCTION("VALUE(IFERROR(VLOOKUP($AG60, IMPORTRANGE(""https://docs.google.com/spreadsheets/d/1UdH2L0xi8dO6jyPCcO5e5-8j7SGzezxkeZuF1uP8uOw"",""fighter_param (""&amp;TO_TEXT($A$1)&amp;"")!B4:JZ""), 27, FALSE), """"))"),1.55)</f>
        <v>1.55</v>
      </c>
      <c r="AC60" s="2880">
        <f t="shared" si="8"/>
        <v>51</v>
      </c>
      <c r="AD60" s="3707">
        <f>IFERROR(__xludf.DUMMYFUNCTION("VALUE(IFERROR(VLOOKUP($AG60, IMPORTRANGE(""https://docs.google.com/spreadsheets/d/1UdH2L0xi8dO6jyPCcO5e5-8j7SGzezxkeZuF1uP8uOw"",""fighter_param (""&amp;TO_TEXT($A$1)&amp;"")!B4:JZ""), 31, FALSE), """"))"),2.48)</f>
        <v>2.48</v>
      </c>
      <c r="AE60" s="3712">
        <f>Fighters!S60</f>
        <v>59</v>
      </c>
      <c r="AF60" s="3713">
        <f>Fighters!T60</f>
        <v>51</v>
      </c>
      <c r="AG60" s="3714" t="str">
        <f>Fighters!V60</f>
        <v>palutena</v>
      </c>
    </row>
    <row r="61">
      <c r="A61" s="3700">
        <f>Fighters!A61</f>
        <v>55</v>
      </c>
      <c r="B61" s="3701" t="str">
        <f>Fighters!B61</f>
        <v>パックマン</v>
      </c>
      <c r="C61" s="2540" t="s">
        <v>176</v>
      </c>
      <c r="D61" s="3702" t="b">
        <v>1</v>
      </c>
      <c r="E61" s="3702" t="b">
        <v>1</v>
      </c>
      <c r="F61" s="3702" t="b">
        <v>0</v>
      </c>
      <c r="G61" s="3703" t="b">
        <v>0</v>
      </c>
      <c r="H61" s="544">
        <v>3.0</v>
      </c>
      <c r="I61" s="3704">
        <v>2.0</v>
      </c>
      <c r="J61" s="3711" t="s">
        <v>73</v>
      </c>
      <c r="K61" s="256">
        <f t="shared" si="1"/>
        <v>5</v>
      </c>
      <c r="L61" s="3704">
        <v>10.0</v>
      </c>
      <c r="M61" s="256">
        <f t="shared" si="2"/>
        <v>5</v>
      </c>
      <c r="N61" s="3706">
        <v>17.0</v>
      </c>
      <c r="O61" s="544">
        <v>42.0</v>
      </c>
      <c r="P61" s="3704">
        <v>59.0</v>
      </c>
      <c r="Q61" s="3704">
        <v>29.0</v>
      </c>
      <c r="R61" s="3706">
        <v>41.0</v>
      </c>
      <c r="S61" s="2880">
        <f t="shared" si="3"/>
        <v>44</v>
      </c>
      <c r="T61" s="3707">
        <f>IFERROR(__xludf.DUMMYFUNCTION("VALUE(IFERROR(VLOOKUP($AG61, IMPORTRANGE(""https://docs.google.com/spreadsheets/d/1UdH2L0xi8dO6jyPCcO5e5-8j7SGzezxkeZuF1uP8uOw"",""fighter_param (""&amp;TO_TEXT($A$1)&amp;"")!B4:JZ""), 32, FALSE), """"))"),95.0)</f>
        <v>95</v>
      </c>
      <c r="U61" s="2880">
        <f t="shared" si="4"/>
        <v>49</v>
      </c>
      <c r="V61" s="3707">
        <f>IFERROR(__xludf.DUMMYFUNCTION("VALUE(IFERROR(VLOOKUP($AG61, IMPORTRANGE(""https://docs.google.com/spreadsheets/d/1UdH2L0xi8dO6jyPCcO5e5-8j7SGzezxkeZuF1uP8uOw"",""fighter_param (""&amp;TO_TEXT($A$1)&amp;"")!B4:JZ""), 4, FALSE), """"))"),1.097)</f>
        <v>1.097</v>
      </c>
      <c r="W61" s="2880">
        <f t="shared" si="5"/>
        <v>48</v>
      </c>
      <c r="X61" s="3707">
        <f>IFERROR(__xludf.DUMMYFUNCTION("VALUE(IFERROR(VLOOKUP($AG61, IMPORTRANGE(""https://docs.google.com/spreadsheets/d/1UdH2L0xi8dO6jyPCcO5e5-8j7SGzezxkeZuF1uP8uOw"",""fighter_param (""&amp;TO_TEXT($A$1)&amp;"")!B4:JZ""), 12, FALSE), """"))"),1.672)</f>
        <v>1.672</v>
      </c>
      <c r="Y61" s="2880">
        <f t="shared" si="6"/>
        <v>39</v>
      </c>
      <c r="Z61" s="3707">
        <f>IFERROR(__xludf.DUMMYFUNCTION("VALUE(IFERROR(VLOOKUP($AG61, IMPORTRANGE(""https://docs.google.com/spreadsheets/d/1UdH2L0xi8dO6jyPCcO5e5-8j7SGzezxkeZuF1uP8uOw"",""fighter_param (""&amp;TO_TEXT($A$1)&amp;"")!B4:JZ""), 24, FALSE), """"))"),1.092)</f>
        <v>1.092</v>
      </c>
      <c r="AA61" s="2880">
        <f t="shared" si="7"/>
        <v>71</v>
      </c>
      <c r="AB61" s="3707">
        <f>IFERROR(__xludf.DUMMYFUNCTION("VALUE(IFERROR(VLOOKUP($AG61, IMPORTRANGE(""https://docs.google.com/spreadsheets/d/1UdH2L0xi8dO6jyPCcO5e5-8j7SGzezxkeZuF1uP8uOw"",""fighter_param (""&amp;TO_TEXT($A$1)&amp;"")!B4:JZ""), 27, FALSE), """"))"),1.35)</f>
        <v>1.35</v>
      </c>
      <c r="AC61" s="2880">
        <f t="shared" si="8"/>
        <v>71</v>
      </c>
      <c r="AD61" s="3707">
        <f>IFERROR(__xludf.DUMMYFUNCTION("VALUE(IFERROR(VLOOKUP($AG61, IMPORTRANGE(""https://docs.google.com/spreadsheets/d/1UdH2L0xi8dO6jyPCcO5e5-8j7SGzezxkeZuF1uP8uOw"",""fighter_param (""&amp;TO_TEXT($A$1)&amp;"")!B4:JZ""), 31, FALSE), """"))"),2.16)</f>
        <v>2.16</v>
      </c>
      <c r="AE61" s="3712">
        <f>Fighters!S61</f>
        <v>60</v>
      </c>
      <c r="AF61" s="3713">
        <f>Fighters!T61</f>
        <v>52</v>
      </c>
      <c r="AG61" s="3714" t="str">
        <f>Fighters!V61</f>
        <v>pacman</v>
      </c>
    </row>
    <row r="62">
      <c r="A62" s="3700">
        <f>Fighters!A62</f>
        <v>56</v>
      </c>
      <c r="B62" s="3701" t="str">
        <f>Fighters!B62</f>
        <v>ルフレ</v>
      </c>
      <c r="C62" s="2540" t="s">
        <v>176</v>
      </c>
      <c r="D62" s="3702" t="b">
        <v>0</v>
      </c>
      <c r="E62" s="3702" t="b">
        <v>0</v>
      </c>
      <c r="F62" s="3702" t="b">
        <v>0</v>
      </c>
      <c r="G62" s="3703" t="b">
        <v>0</v>
      </c>
      <c r="H62" s="544">
        <v>3.0</v>
      </c>
      <c r="I62" s="3704">
        <v>2.0</v>
      </c>
      <c r="J62" s="3711" t="s">
        <v>73</v>
      </c>
      <c r="K62" s="256">
        <f t="shared" si="1"/>
        <v>89</v>
      </c>
      <c r="L62" s="3704">
        <v>16.0</v>
      </c>
      <c r="M62" s="256">
        <f t="shared" si="2"/>
        <v>5</v>
      </c>
      <c r="N62" s="3706">
        <v>17.0</v>
      </c>
      <c r="O62" s="544">
        <v>38.0</v>
      </c>
      <c r="P62" s="3704">
        <v>52.0</v>
      </c>
      <c r="Q62" s="3704">
        <v>26.0</v>
      </c>
      <c r="R62" s="3706">
        <v>36.0</v>
      </c>
      <c r="S62" s="2880">
        <f t="shared" si="3"/>
        <v>44</v>
      </c>
      <c r="T62" s="3707">
        <f>IFERROR(__xludf.DUMMYFUNCTION("VALUE(IFERROR(VLOOKUP($AG62, IMPORTRANGE(""https://docs.google.com/spreadsheets/d/1UdH2L0xi8dO6jyPCcO5e5-8j7SGzezxkeZuF1uP8uOw"",""fighter_param (""&amp;TO_TEXT($A$1)&amp;"")!B4:JZ""), 32, FALSE), """"))"),95.0)</f>
        <v>95</v>
      </c>
      <c r="U62" s="2880">
        <f t="shared" si="4"/>
        <v>62</v>
      </c>
      <c r="V62" s="3707">
        <f>IFERROR(__xludf.DUMMYFUNCTION("VALUE(IFERROR(VLOOKUP($AG62, IMPORTRANGE(""https://docs.google.com/spreadsheets/d/1UdH2L0xi8dO6jyPCcO5e5-8j7SGzezxkeZuF1uP8uOw"",""fighter_param (""&amp;TO_TEXT($A$1)&amp;"")!B4:JZ""), 4, FALSE), """"))"),0.936)</f>
        <v>0.936</v>
      </c>
      <c r="W62" s="2880">
        <f t="shared" si="5"/>
        <v>88</v>
      </c>
      <c r="X62" s="3707">
        <f>IFERROR(__xludf.DUMMYFUNCTION("VALUE(IFERROR(VLOOKUP($AG62, IMPORTRANGE(""https://docs.google.com/spreadsheets/d/1UdH2L0xi8dO6jyPCcO5e5-8j7SGzezxkeZuF1uP8uOw"",""fighter_param (""&amp;TO_TEXT($A$1)&amp;"")!B4:JZ""), 12, FALSE), """"))"),1.265)</f>
        <v>1.265</v>
      </c>
      <c r="Y62" s="2880">
        <f t="shared" si="6"/>
        <v>43</v>
      </c>
      <c r="Z62" s="3707">
        <f>IFERROR(__xludf.DUMMYFUNCTION("VALUE(IFERROR(VLOOKUP($AG62, IMPORTRANGE(""https://docs.google.com/spreadsheets/d/1UdH2L0xi8dO6jyPCcO5e5-8j7SGzezxkeZuF1uP8uOw"",""fighter_param (""&amp;TO_TEXT($A$1)&amp;"")!B4:JZ""), 24, FALSE), """"))"),1.05)</f>
        <v>1.05</v>
      </c>
      <c r="AA62" s="2880">
        <f t="shared" si="7"/>
        <v>59</v>
      </c>
      <c r="AB62" s="3707">
        <f>IFERROR(__xludf.DUMMYFUNCTION("VALUE(IFERROR(VLOOKUP($AG62, IMPORTRANGE(""https://docs.google.com/spreadsheets/d/1UdH2L0xi8dO6jyPCcO5e5-8j7SGzezxkeZuF1uP8uOw"",""fighter_param (""&amp;TO_TEXT($A$1)&amp;"")!B4:JZ""), 27, FALSE), """"))"),1.5)</f>
        <v>1.5</v>
      </c>
      <c r="AC62" s="2880">
        <f t="shared" si="8"/>
        <v>57</v>
      </c>
      <c r="AD62" s="3707">
        <f>IFERROR(__xludf.DUMMYFUNCTION("VALUE(IFERROR(VLOOKUP($AG62, IMPORTRANGE(""https://docs.google.com/spreadsheets/d/1UdH2L0xi8dO6jyPCcO5e5-8j7SGzezxkeZuF1uP8uOw"",""fighter_param (""&amp;TO_TEXT($A$1)&amp;"")!B4:JZ""), 31, FALSE), """"))"),2.4)</f>
        <v>2.4</v>
      </c>
      <c r="AE62" s="3712">
        <f>Fighters!S62</f>
        <v>61</v>
      </c>
      <c r="AF62" s="3713">
        <f>Fighters!T62</f>
        <v>53</v>
      </c>
      <c r="AG62" s="3714" t="str">
        <f>Fighters!V62</f>
        <v>reflet</v>
      </c>
    </row>
    <row r="63">
      <c r="A63" s="3700">
        <f>Fighters!A63</f>
        <v>57</v>
      </c>
      <c r="B63" s="3701" t="str">
        <f>Fighters!B63</f>
        <v>シュルク</v>
      </c>
      <c r="C63" s="2540" t="s">
        <v>176</v>
      </c>
      <c r="D63" s="3702" t="b">
        <v>0</v>
      </c>
      <c r="E63" s="3702" t="b">
        <v>0</v>
      </c>
      <c r="F63" s="3702" t="b">
        <v>0</v>
      </c>
      <c r="G63" s="3703" t="b">
        <v>0</v>
      </c>
      <c r="H63" s="544">
        <v>3.0</v>
      </c>
      <c r="I63" s="3704">
        <v>2.0</v>
      </c>
      <c r="J63" s="3711" t="s">
        <v>73</v>
      </c>
      <c r="K63" s="256">
        <f t="shared" si="1"/>
        <v>5</v>
      </c>
      <c r="L63" s="3704">
        <v>10.0</v>
      </c>
      <c r="M63" s="256">
        <f t="shared" si="2"/>
        <v>1</v>
      </c>
      <c r="N63" s="3706">
        <v>15.0</v>
      </c>
      <c r="O63" s="544" t="s">
        <v>7281</v>
      </c>
      <c r="P63" s="3704" t="s">
        <v>7282</v>
      </c>
      <c r="Q63" s="3704" t="s">
        <v>7283</v>
      </c>
      <c r="R63" s="3706" t="s">
        <v>7284</v>
      </c>
      <c r="S63" s="2880">
        <f t="shared" si="3"/>
        <v>37</v>
      </c>
      <c r="T63" s="3707">
        <f>IFERROR(__xludf.DUMMYFUNCTION("VALUE(IFERROR(VLOOKUP($AG63, IMPORTRANGE(""https://docs.google.com/spreadsheets/d/1UdH2L0xi8dO6jyPCcO5e5-8j7SGzezxkeZuF1uP8uOw"",""fighter_param (""&amp;TO_TEXT($A$1)&amp;"")!B4:JZ""), 32, FALSE), """"))"),97.0)</f>
        <v>97</v>
      </c>
      <c r="U63" s="2880">
        <f t="shared" si="4"/>
        <v>35</v>
      </c>
      <c r="V63" s="3707">
        <f>IFERROR(__xludf.DUMMYFUNCTION("VALUE(IFERROR(VLOOKUP($AG63, IMPORTRANGE(""https://docs.google.com/spreadsheets/d/1UdH2L0xi8dO6jyPCcO5e5-8j7SGzezxkeZuF1uP8uOw"",""fighter_param (""&amp;TO_TEXT($A$1)&amp;"")!B4:JZ""), 4, FALSE), """"))"),1.155)</f>
        <v>1.155</v>
      </c>
      <c r="W63" s="2880">
        <f t="shared" si="5"/>
        <v>48</v>
      </c>
      <c r="X63" s="3707">
        <f>IFERROR(__xludf.DUMMYFUNCTION("VALUE(IFERROR(VLOOKUP($AG63, IMPORTRANGE(""https://docs.google.com/spreadsheets/d/1UdH2L0xi8dO6jyPCcO5e5-8j7SGzezxkeZuF1uP8uOw"",""fighter_param (""&amp;TO_TEXT($A$1)&amp;"")!B4:JZ""), 12, FALSE), """"))"),1.672)</f>
        <v>1.672</v>
      </c>
      <c r="Y63" s="2880">
        <f t="shared" si="6"/>
        <v>32</v>
      </c>
      <c r="Z63" s="3707">
        <f>IFERROR(__xludf.DUMMYFUNCTION("VALUE(IFERROR(VLOOKUP($AG63, IMPORTRANGE(""https://docs.google.com/spreadsheets/d/1UdH2L0xi8dO6jyPCcO5e5-8j7SGzezxkeZuF1uP8uOw"",""fighter_param (""&amp;TO_TEXT($A$1)&amp;"")!B4:JZ""), 24, FALSE), """"))"),1.113)</f>
        <v>1.113</v>
      </c>
      <c r="AA63" s="2880">
        <f t="shared" si="7"/>
        <v>48</v>
      </c>
      <c r="AB63" s="3707">
        <f>IFERROR(__xludf.DUMMYFUNCTION("VALUE(IFERROR(VLOOKUP($AG63, IMPORTRANGE(""https://docs.google.com/spreadsheets/d/1UdH2L0xi8dO6jyPCcO5e5-8j7SGzezxkeZuF1uP8uOw"",""fighter_param (""&amp;TO_TEXT($A$1)&amp;"")!B4:JZ""), 27, FALSE), """"))"),1.58)</f>
        <v>1.58</v>
      </c>
      <c r="AC63" s="2880">
        <f t="shared" si="8"/>
        <v>45</v>
      </c>
      <c r="AD63" s="3707">
        <f>IFERROR(__xludf.DUMMYFUNCTION("VALUE(IFERROR(VLOOKUP($AG63, IMPORTRANGE(""https://docs.google.com/spreadsheets/d/1UdH2L0xi8dO6jyPCcO5e5-8j7SGzezxkeZuF1uP8uOw"",""fighter_param (""&amp;TO_TEXT($A$1)&amp;"")!B4:JZ""), 31, FALSE), """"))"),2.528)</f>
        <v>2.528</v>
      </c>
      <c r="AE63" s="3712">
        <f>Fighters!S63</f>
        <v>62</v>
      </c>
      <c r="AF63" s="3713">
        <f>Fighters!T63</f>
        <v>54</v>
      </c>
      <c r="AG63" s="3714" t="str">
        <f>Fighters!V63</f>
        <v>shulk</v>
      </c>
    </row>
    <row r="64">
      <c r="A64" s="3700">
        <f>Fighters!A64</f>
        <v>58</v>
      </c>
      <c r="B64" s="3701" t="str">
        <f>Fighters!B64</f>
        <v>クッパ Jr.</v>
      </c>
      <c r="C64" s="2540" t="s">
        <v>176</v>
      </c>
      <c r="D64" s="3702" t="b">
        <v>0</v>
      </c>
      <c r="E64" s="3702" t="b">
        <v>0</v>
      </c>
      <c r="F64" s="3702" t="b">
        <v>0</v>
      </c>
      <c r="G64" s="3703" t="b">
        <v>0</v>
      </c>
      <c r="H64" s="544">
        <v>3.0</v>
      </c>
      <c r="I64" s="3704">
        <v>2.0</v>
      </c>
      <c r="J64" s="3711" t="s">
        <v>73</v>
      </c>
      <c r="K64" s="256">
        <f t="shared" si="1"/>
        <v>5</v>
      </c>
      <c r="L64" s="3704">
        <v>10.0</v>
      </c>
      <c r="M64" s="256">
        <f t="shared" si="2"/>
        <v>13</v>
      </c>
      <c r="N64" s="3706">
        <v>19.0</v>
      </c>
      <c r="O64" s="544">
        <v>38.0</v>
      </c>
      <c r="P64" s="3704">
        <v>52.0</v>
      </c>
      <c r="Q64" s="3704">
        <v>26.0</v>
      </c>
      <c r="R64" s="3706">
        <v>36.0</v>
      </c>
      <c r="S64" s="2880">
        <f t="shared" si="3"/>
        <v>10</v>
      </c>
      <c r="T64" s="3707">
        <f>IFERROR(__xludf.DUMMYFUNCTION("VALUE(IFERROR(VLOOKUP($AG64, IMPORTRANGE(""https://docs.google.com/spreadsheets/d/1UdH2L0xi8dO6jyPCcO5e5-8j7SGzezxkeZuF1uP8uOw"",""fighter_param (""&amp;TO_TEXT($A$1)&amp;"")!B4:JZ""), 32, FALSE), """"))"),108.0)</f>
        <v>108</v>
      </c>
      <c r="U64" s="2880">
        <f t="shared" si="4"/>
        <v>63</v>
      </c>
      <c r="V64" s="3707">
        <f>IFERROR(__xludf.DUMMYFUNCTION("VALUE(IFERROR(VLOOKUP($AG64, IMPORTRANGE(""https://docs.google.com/spreadsheets/d/1UdH2L0xi8dO6jyPCcO5e5-8j7SGzezxkeZuF1uP8uOw"",""fighter_param (""&amp;TO_TEXT($A$1)&amp;"")!B4:JZ""), 4, FALSE), """"))"),0.924)</f>
        <v>0.924</v>
      </c>
      <c r="W64" s="2880">
        <f t="shared" si="5"/>
        <v>67</v>
      </c>
      <c r="X64" s="3707">
        <f>IFERROR(__xludf.DUMMYFUNCTION("VALUE(IFERROR(VLOOKUP($AG64, IMPORTRANGE(""https://docs.google.com/spreadsheets/d/1UdH2L0xi8dO6jyPCcO5e5-8j7SGzezxkeZuF1uP8uOw"",""fighter_param (""&amp;TO_TEXT($A$1)&amp;"")!B4:JZ""), 12, FALSE), """"))"),1.566)</f>
        <v>1.566</v>
      </c>
      <c r="Y64" s="2880">
        <f t="shared" si="6"/>
        <v>27</v>
      </c>
      <c r="Z64" s="3707">
        <f>IFERROR(__xludf.DUMMYFUNCTION("VALUE(IFERROR(VLOOKUP($AG64, IMPORTRANGE(""https://docs.google.com/spreadsheets/d/1UdH2L0xi8dO6jyPCcO5e5-8j7SGzezxkeZuF1uP8uOw"",""fighter_param (""&amp;TO_TEXT($A$1)&amp;"")!B4:JZ""), 24, FALSE), """"))"),1.134)</f>
        <v>1.134</v>
      </c>
      <c r="AA64" s="2880">
        <f t="shared" si="7"/>
        <v>33</v>
      </c>
      <c r="AB64" s="3707">
        <f>IFERROR(__xludf.DUMMYFUNCTION("VALUE(IFERROR(VLOOKUP($AG64, IMPORTRANGE(""https://docs.google.com/spreadsheets/d/1UdH2L0xi8dO6jyPCcO5e5-8j7SGzezxkeZuF1uP8uOw"",""fighter_param (""&amp;TO_TEXT($A$1)&amp;"")!B4:JZ""), 27, FALSE), """"))"),1.65)</f>
        <v>1.65</v>
      </c>
      <c r="AC64" s="2880">
        <f t="shared" si="8"/>
        <v>34</v>
      </c>
      <c r="AD64" s="3707">
        <f>IFERROR(__xludf.DUMMYFUNCTION("VALUE(IFERROR(VLOOKUP($AG64, IMPORTRANGE(""https://docs.google.com/spreadsheets/d/1UdH2L0xi8dO6jyPCcO5e5-8j7SGzezxkeZuF1uP8uOw"",""fighter_param (""&amp;TO_TEXT($A$1)&amp;"")!B4:JZ""), 31, FALSE), """"))"),2.64)</f>
        <v>2.64</v>
      </c>
      <c r="AE64" s="3712">
        <f>Fighters!S64</f>
        <v>63</v>
      </c>
      <c r="AF64" s="3713">
        <f>Fighters!T64</f>
        <v>55</v>
      </c>
      <c r="AG64" s="3714" t="str">
        <f>Fighters!V64</f>
        <v>koopajr</v>
      </c>
    </row>
    <row r="65">
      <c r="A65" s="3700">
        <f>Fighters!A65</f>
        <v>59</v>
      </c>
      <c r="B65" s="3701" t="str">
        <f>Fighters!B65</f>
        <v>ダックハント</v>
      </c>
      <c r="C65" s="2540" t="s">
        <v>176</v>
      </c>
      <c r="D65" s="3702" t="b">
        <v>1</v>
      </c>
      <c r="E65" s="3702" t="b">
        <v>1</v>
      </c>
      <c r="F65" s="3702" t="b">
        <v>0</v>
      </c>
      <c r="G65" s="3703" t="b">
        <v>0</v>
      </c>
      <c r="H65" s="544">
        <v>3.0</v>
      </c>
      <c r="I65" s="3704">
        <v>2.0</v>
      </c>
      <c r="J65" s="3711" t="s">
        <v>73</v>
      </c>
      <c r="K65" s="256">
        <f t="shared" si="1"/>
        <v>5</v>
      </c>
      <c r="L65" s="3704">
        <v>10.0</v>
      </c>
      <c r="M65" s="256">
        <f t="shared" si="2"/>
        <v>1</v>
      </c>
      <c r="N65" s="3706">
        <v>15.0</v>
      </c>
      <c r="O65" s="544">
        <v>41.0</v>
      </c>
      <c r="P65" s="3704">
        <v>55.0</v>
      </c>
      <c r="Q65" s="3704">
        <v>28.0</v>
      </c>
      <c r="R65" s="3706">
        <v>37.0</v>
      </c>
      <c r="S65" s="2880">
        <f t="shared" si="3"/>
        <v>70</v>
      </c>
      <c r="T65" s="3707">
        <f>IFERROR(__xludf.DUMMYFUNCTION("VALUE(IFERROR(VLOOKUP($AG65, IMPORTRANGE(""https://docs.google.com/spreadsheets/d/1UdH2L0xi8dO6jyPCcO5e5-8j7SGzezxkeZuF1uP8uOw"",""fighter_param (""&amp;TO_TEXT($A$1)&amp;"")!B4:JZ""), 32, FALSE), """"))"),86.0)</f>
        <v>86</v>
      </c>
      <c r="U65" s="2880">
        <f t="shared" si="4"/>
        <v>26</v>
      </c>
      <c r="V65" s="3707">
        <f>IFERROR(__xludf.DUMMYFUNCTION("VALUE(IFERROR(VLOOKUP($AG65, IMPORTRANGE(""https://docs.google.com/spreadsheets/d/1UdH2L0xi8dO6jyPCcO5e5-8j7SGzezxkeZuF1uP8uOw"",""fighter_param (""&amp;TO_TEXT($A$1)&amp;"")!B4:JZ""), 4, FALSE), """"))"),1.213)</f>
        <v>1.213</v>
      </c>
      <c r="W65" s="2880">
        <f t="shared" si="5"/>
        <v>36</v>
      </c>
      <c r="X65" s="3707">
        <f>IFERROR(__xludf.DUMMYFUNCTION("VALUE(IFERROR(VLOOKUP($AG65, IMPORTRANGE(""https://docs.google.com/spreadsheets/d/1UdH2L0xi8dO6jyPCcO5e5-8j7SGzezxkeZuF1uP8uOw"",""fighter_param (""&amp;TO_TEXT($A$1)&amp;"")!B4:JZ""), 12, FALSE), """"))"),1.793)</f>
        <v>1.793</v>
      </c>
      <c r="Y65" s="2880">
        <f t="shared" si="6"/>
        <v>20</v>
      </c>
      <c r="Z65" s="3707">
        <f>IFERROR(__xludf.DUMMYFUNCTION("VALUE(IFERROR(VLOOKUP($AG65, IMPORTRANGE(""https://docs.google.com/spreadsheets/d/1UdH2L0xi8dO6jyPCcO5e5-8j7SGzezxkeZuF1uP8uOw"",""fighter_param (""&amp;TO_TEXT($A$1)&amp;"")!B4:JZ""), 24, FALSE), """"))"),1.155)</f>
        <v>1.155</v>
      </c>
      <c r="AA65" s="2880">
        <f t="shared" si="7"/>
        <v>33</v>
      </c>
      <c r="AB65" s="3707">
        <f>IFERROR(__xludf.DUMMYFUNCTION("VALUE(IFERROR(VLOOKUP($AG65, IMPORTRANGE(""https://docs.google.com/spreadsheets/d/1UdH2L0xi8dO6jyPCcO5e5-8j7SGzezxkeZuF1uP8uOw"",""fighter_param (""&amp;TO_TEXT($A$1)&amp;"")!B4:JZ""), 27, FALSE), """"))"),1.65)</f>
        <v>1.65</v>
      </c>
      <c r="AC65" s="2880">
        <f t="shared" si="8"/>
        <v>34</v>
      </c>
      <c r="AD65" s="3707">
        <f>IFERROR(__xludf.DUMMYFUNCTION("VALUE(IFERROR(VLOOKUP($AG65, IMPORTRANGE(""https://docs.google.com/spreadsheets/d/1UdH2L0xi8dO6jyPCcO5e5-8j7SGzezxkeZuF1uP8uOw"",""fighter_param (""&amp;TO_TEXT($A$1)&amp;"")!B4:JZ""), 31, FALSE), """"))"),2.64)</f>
        <v>2.64</v>
      </c>
      <c r="AE65" s="3712">
        <f>Fighters!S65</f>
        <v>64</v>
      </c>
      <c r="AF65" s="3713">
        <f>Fighters!T65</f>
        <v>56</v>
      </c>
      <c r="AG65" s="3714" t="str">
        <f>Fighters!V65</f>
        <v>duckhunt</v>
      </c>
    </row>
    <row r="66">
      <c r="A66" s="3700">
        <f>Fighters!A66</f>
        <v>60</v>
      </c>
      <c r="B66" s="3701" t="str">
        <f>Fighters!B66</f>
        <v>リュウ</v>
      </c>
      <c r="C66" s="2540" t="s">
        <v>176</v>
      </c>
      <c r="D66" s="3702" t="b">
        <v>0</v>
      </c>
      <c r="E66" s="3702" t="b">
        <v>0</v>
      </c>
      <c r="F66" s="3702" t="b">
        <v>0</v>
      </c>
      <c r="G66" s="3703" t="b">
        <v>0</v>
      </c>
      <c r="H66" s="544">
        <v>3.0</v>
      </c>
      <c r="I66" s="3704">
        <v>2.0</v>
      </c>
      <c r="J66" s="3711" t="s">
        <v>73</v>
      </c>
      <c r="K66" s="256">
        <f t="shared" si="1"/>
        <v>5</v>
      </c>
      <c r="L66" s="3704">
        <v>10.0</v>
      </c>
      <c r="M66" s="256">
        <f t="shared" si="2"/>
        <v>13</v>
      </c>
      <c r="N66" s="3706">
        <v>19.0</v>
      </c>
      <c r="O66" s="544">
        <v>31.0</v>
      </c>
      <c r="P66" s="3704">
        <v>40.0</v>
      </c>
      <c r="Q66" s="3704">
        <v>23.0</v>
      </c>
      <c r="R66" s="3706">
        <v>30.0</v>
      </c>
      <c r="S66" s="2880">
        <f t="shared" si="3"/>
        <v>27</v>
      </c>
      <c r="T66" s="3707">
        <f>IFERROR(__xludf.DUMMYFUNCTION("VALUE(IFERROR(VLOOKUP($AG66, IMPORTRANGE(""https://docs.google.com/spreadsheets/d/1UdH2L0xi8dO6jyPCcO5e5-8j7SGzezxkeZuF1uP8uOw"",""fighter_param (""&amp;TO_TEXT($A$1)&amp;"")!B4:JZ""), 32, FALSE), """"))"),103.0)</f>
        <v>103</v>
      </c>
      <c r="U66" s="2880">
        <f t="shared" si="4"/>
        <v>86</v>
      </c>
      <c r="V66" s="3707">
        <f>IFERROR(__xludf.DUMMYFUNCTION("VALUE(IFERROR(VLOOKUP($AG66, IMPORTRANGE(""https://docs.google.com/spreadsheets/d/1UdH2L0xi8dO6jyPCcO5e5-8j7SGzezxkeZuF1uP8uOw"",""fighter_param (""&amp;TO_TEXT($A$1)&amp;"")!B4:JZ""), 4, FALSE), """"))"),0.75)</f>
        <v>0.75</v>
      </c>
      <c r="W66" s="2880">
        <f t="shared" si="5"/>
        <v>59</v>
      </c>
      <c r="X66" s="3707">
        <f>IFERROR(__xludf.DUMMYFUNCTION("VALUE(IFERROR(VLOOKUP($AG66, IMPORTRANGE(""https://docs.google.com/spreadsheets/d/1UdH2L0xi8dO6jyPCcO5e5-8j7SGzezxkeZuF1uP8uOw"",""fighter_param (""&amp;TO_TEXT($A$1)&amp;"")!B4:JZ""), 12, FALSE), """"))"),1.6)</f>
        <v>1.6</v>
      </c>
      <c r="Y66" s="2880">
        <f t="shared" si="6"/>
        <v>30</v>
      </c>
      <c r="Z66" s="3707">
        <f>IFERROR(__xludf.DUMMYFUNCTION("VALUE(IFERROR(VLOOKUP($AG66, IMPORTRANGE(""https://docs.google.com/spreadsheets/d/1UdH2L0xi8dO6jyPCcO5e5-8j7SGzezxkeZuF1uP8uOw"",""fighter_param (""&amp;TO_TEXT($A$1)&amp;"")!B4:JZ""), 24, FALSE), """"))"),1.12)</f>
        <v>1.12</v>
      </c>
      <c r="AA66" s="2880">
        <f t="shared" si="7"/>
        <v>43</v>
      </c>
      <c r="AB66" s="3707">
        <f>IFERROR(__xludf.DUMMYFUNCTION("VALUE(IFERROR(VLOOKUP($AG66, IMPORTRANGE(""https://docs.google.com/spreadsheets/d/1UdH2L0xi8dO6jyPCcO5e5-8j7SGzezxkeZuF1uP8uOw"",""fighter_param (""&amp;TO_TEXT($A$1)&amp;"")!B4:JZ""), 27, FALSE), """"))"),1.6)</f>
        <v>1.6</v>
      </c>
      <c r="AC66" s="2880">
        <f t="shared" si="8"/>
        <v>66</v>
      </c>
      <c r="AD66" s="3707">
        <f>IFERROR(__xludf.DUMMYFUNCTION("VALUE(IFERROR(VLOOKUP($AG66, IMPORTRANGE(""https://docs.google.com/spreadsheets/d/1UdH2L0xi8dO6jyPCcO5e5-8j7SGzezxkeZuF1uP8uOw"",""fighter_param (""&amp;TO_TEXT($A$1)&amp;"")!B4:JZ""), 31, FALSE), """"))"),2.24)</f>
        <v>2.24</v>
      </c>
      <c r="AE66" s="3712">
        <f>Fighters!S66</f>
        <v>65</v>
      </c>
      <c r="AF66" s="3713">
        <f>Fighters!T66</f>
        <v>57</v>
      </c>
      <c r="AG66" s="3714" t="str">
        <f>Fighters!V66</f>
        <v>ryu</v>
      </c>
    </row>
    <row r="67">
      <c r="A67" s="3700" t="str">
        <f>Fighters!A67</f>
        <v>60'</v>
      </c>
      <c r="B67" s="3701" t="str">
        <f>Fighters!B67</f>
        <v>ケン</v>
      </c>
      <c r="C67" s="2540" t="s">
        <v>176</v>
      </c>
      <c r="D67" s="3702"/>
      <c r="E67" s="3702"/>
      <c r="F67" s="3702"/>
      <c r="G67" s="3703"/>
      <c r="H67" s="544">
        <v>3.0</v>
      </c>
      <c r="I67" s="3704">
        <v>2.0</v>
      </c>
      <c r="J67" s="3711" t="s">
        <v>73</v>
      </c>
      <c r="K67" s="256">
        <f t="shared" si="1"/>
        <v>5</v>
      </c>
      <c r="L67" s="3704">
        <v>10.0</v>
      </c>
      <c r="M67" s="256">
        <f t="shared" si="2"/>
        <v>13</v>
      </c>
      <c r="N67" s="3706">
        <v>19.0</v>
      </c>
      <c r="O67" s="544">
        <v>31.0</v>
      </c>
      <c r="P67" s="3704">
        <v>40.0</v>
      </c>
      <c r="Q67" s="3704">
        <v>23.0</v>
      </c>
      <c r="R67" s="3706">
        <v>30.0</v>
      </c>
      <c r="S67" s="2880">
        <f t="shared" si="3"/>
        <v>27</v>
      </c>
      <c r="T67" s="3707">
        <f>IFERROR(__xludf.DUMMYFUNCTION("VALUE(IFERROR(VLOOKUP($AG67, IMPORTRANGE(""https://docs.google.com/spreadsheets/d/1UdH2L0xi8dO6jyPCcO5e5-8j7SGzezxkeZuF1uP8uOw"",""fighter_param (""&amp;TO_TEXT($A$1)&amp;"")!B4:JZ""), 32, FALSE), """"))"),103.0)</f>
        <v>103</v>
      </c>
      <c r="U67" s="2880">
        <f t="shared" si="4"/>
        <v>79</v>
      </c>
      <c r="V67" s="3707">
        <f>IFERROR(__xludf.DUMMYFUNCTION("VALUE(IFERROR(VLOOKUP($AG67, IMPORTRANGE(""https://docs.google.com/spreadsheets/d/1UdH2L0xi8dO6jyPCcO5e5-8j7SGzezxkeZuF1uP8uOw"",""fighter_param (""&amp;TO_TEXT($A$1)&amp;"")!B4:JZ""), 4, FALSE), """"))"),0.825)</f>
        <v>0.825</v>
      </c>
      <c r="W67" s="2880">
        <f t="shared" si="5"/>
        <v>37</v>
      </c>
      <c r="X67" s="3707">
        <f>IFERROR(__xludf.DUMMYFUNCTION("VALUE(IFERROR(VLOOKUP($AG67, IMPORTRANGE(""https://docs.google.com/spreadsheets/d/1UdH2L0xi8dO6jyPCcO5e5-8j7SGzezxkeZuF1uP8uOw"",""fighter_param (""&amp;TO_TEXT($A$1)&amp;"")!B4:JZ""), 12, FALSE), """"))"),1.76)</f>
        <v>1.76</v>
      </c>
      <c r="Y67" s="2880">
        <f t="shared" si="6"/>
        <v>30</v>
      </c>
      <c r="Z67" s="3707">
        <f>IFERROR(__xludf.DUMMYFUNCTION("VALUE(IFERROR(VLOOKUP($AG67, IMPORTRANGE(""https://docs.google.com/spreadsheets/d/1UdH2L0xi8dO6jyPCcO5e5-8j7SGzezxkeZuF1uP8uOw"",""fighter_param (""&amp;TO_TEXT($A$1)&amp;"")!B4:JZ""), 24, FALSE), """"))"),1.12)</f>
        <v>1.12</v>
      </c>
      <c r="AA67" s="2880">
        <f t="shared" si="7"/>
        <v>43</v>
      </c>
      <c r="AB67" s="3707">
        <f>IFERROR(__xludf.DUMMYFUNCTION("VALUE(IFERROR(VLOOKUP($AG67, IMPORTRANGE(""https://docs.google.com/spreadsheets/d/1UdH2L0xi8dO6jyPCcO5e5-8j7SGzezxkeZuF1uP8uOw"",""fighter_param (""&amp;TO_TEXT($A$1)&amp;"")!B4:JZ""), 27, FALSE), """"))"),1.6)</f>
        <v>1.6</v>
      </c>
      <c r="AC67" s="2880">
        <f t="shared" si="8"/>
        <v>66</v>
      </c>
      <c r="AD67" s="3707">
        <f>IFERROR(__xludf.DUMMYFUNCTION("VALUE(IFERROR(VLOOKUP($AG67, IMPORTRANGE(""https://docs.google.com/spreadsheets/d/1UdH2L0xi8dO6jyPCcO5e5-8j7SGzezxkeZuF1uP8uOw"",""fighter_param (""&amp;TO_TEXT($A$1)&amp;"")!B4:JZ""), 31, FALSE), """"))"),2.24)</f>
        <v>2.24</v>
      </c>
      <c r="AE67" s="3712">
        <f>Fighters!S67</f>
        <v>66</v>
      </c>
      <c r="AF67" s="3715">
        <f>Fighters!T67</f>
        <v>77</v>
      </c>
      <c r="AG67" s="3714" t="str">
        <f>Fighters!V67</f>
        <v>ken</v>
      </c>
    </row>
    <row r="68">
      <c r="A68" s="3700">
        <f>Fighters!A68</f>
        <v>61</v>
      </c>
      <c r="B68" s="3701" t="str">
        <f>Fighters!B68</f>
        <v>クラウド</v>
      </c>
      <c r="C68" s="2540" t="s">
        <v>176</v>
      </c>
      <c r="D68" s="3702" t="b">
        <v>0</v>
      </c>
      <c r="E68" s="3702" t="b">
        <v>1</v>
      </c>
      <c r="F68" s="3702" t="b">
        <v>0</v>
      </c>
      <c r="G68" s="3703" t="b">
        <v>0</v>
      </c>
      <c r="H68" s="544">
        <v>3.0</v>
      </c>
      <c r="I68" s="3704">
        <v>2.0</v>
      </c>
      <c r="J68" s="3711" t="s">
        <v>73</v>
      </c>
      <c r="K68" s="256">
        <f t="shared" si="1"/>
        <v>5</v>
      </c>
      <c r="L68" s="3704">
        <v>10.0</v>
      </c>
      <c r="M68" s="256">
        <f t="shared" si="2"/>
        <v>13</v>
      </c>
      <c r="N68" s="3706">
        <v>19.0</v>
      </c>
      <c r="O68" s="544" t="s">
        <v>7285</v>
      </c>
      <c r="P68" s="3704" t="s">
        <v>7286</v>
      </c>
      <c r="Q68" s="3704" t="s">
        <v>7287</v>
      </c>
      <c r="R68" s="3706" t="s">
        <v>7288</v>
      </c>
      <c r="S68" s="2880">
        <f t="shared" si="3"/>
        <v>31</v>
      </c>
      <c r="T68" s="3707">
        <f>IFERROR(__xludf.DUMMYFUNCTION("VALUE(IFERROR(VLOOKUP($AG68, IMPORTRANGE(""https://docs.google.com/spreadsheets/d/1UdH2L0xi8dO6jyPCcO5e5-8j7SGzezxkeZuF1uP8uOw"",""fighter_param (""&amp;TO_TEXT($A$1)&amp;"")!B4:JZ""), 32, FALSE), """"))"),100.0)</f>
        <v>100</v>
      </c>
      <c r="U68" s="2880">
        <f t="shared" si="4"/>
        <v>35</v>
      </c>
      <c r="V68" s="3707">
        <f>IFERROR(__xludf.DUMMYFUNCTION("VALUE(IFERROR(VLOOKUP($AG68, IMPORTRANGE(""https://docs.google.com/spreadsheets/d/1UdH2L0xi8dO6jyPCcO5e5-8j7SGzezxkeZuF1uP8uOw"",""fighter_param (""&amp;TO_TEXT($A$1)&amp;"")!B4:JZ""), 4, FALSE), """"))"),1.155)</f>
        <v>1.155</v>
      </c>
      <c r="W68" s="2880">
        <f t="shared" si="5"/>
        <v>13</v>
      </c>
      <c r="X68" s="3707">
        <f>IFERROR(__xludf.DUMMYFUNCTION("VALUE(IFERROR(VLOOKUP($AG68, IMPORTRANGE(""https://docs.google.com/spreadsheets/d/1UdH2L0xi8dO6jyPCcO5e5-8j7SGzezxkeZuF1uP8uOw"",""fighter_param (""&amp;TO_TEXT($A$1)&amp;"")!B4:JZ""), 12, FALSE), """"))"),2.167)</f>
        <v>2.167</v>
      </c>
      <c r="Y68" s="2880">
        <f t="shared" si="6"/>
        <v>20</v>
      </c>
      <c r="Z68" s="3707">
        <f>IFERROR(__xludf.DUMMYFUNCTION("VALUE(IFERROR(VLOOKUP($AG68, IMPORTRANGE(""https://docs.google.com/spreadsheets/d/1UdH2L0xi8dO6jyPCcO5e5-8j7SGzezxkeZuF1uP8uOw"",""fighter_param (""&amp;TO_TEXT($A$1)&amp;"")!B4:JZ""), 24, FALSE), """"))"),1.155)</f>
        <v>1.155</v>
      </c>
      <c r="AA68" s="2880">
        <f t="shared" si="7"/>
        <v>30</v>
      </c>
      <c r="AB68" s="3707">
        <f>IFERROR(__xludf.DUMMYFUNCTION("VALUE(IFERROR(VLOOKUP($AG68, IMPORTRANGE(""https://docs.google.com/spreadsheets/d/1UdH2L0xi8dO6jyPCcO5e5-8j7SGzezxkeZuF1uP8uOw"",""fighter_param (""&amp;TO_TEXT($A$1)&amp;"")!B4:JZ""), 27, FALSE), """"))"),1.68)</f>
        <v>1.68</v>
      </c>
      <c r="AC68" s="2880">
        <f t="shared" si="8"/>
        <v>31</v>
      </c>
      <c r="AD68" s="3707">
        <f>IFERROR(__xludf.DUMMYFUNCTION("VALUE(IFERROR(VLOOKUP($AG68, IMPORTRANGE(""https://docs.google.com/spreadsheets/d/1UdH2L0xi8dO6jyPCcO5e5-8j7SGzezxkeZuF1uP8uOw"",""fighter_param (""&amp;TO_TEXT($A$1)&amp;"")!B4:JZ""), 31, FALSE), """"))"),2.688)</f>
        <v>2.688</v>
      </c>
      <c r="AE68" s="3712">
        <f>Fighters!S68</f>
        <v>67</v>
      </c>
      <c r="AF68" s="3713">
        <f>Fighters!T68</f>
        <v>58</v>
      </c>
      <c r="AG68" s="3714" t="str">
        <f>Fighters!V68</f>
        <v>cloud</v>
      </c>
    </row>
    <row r="69">
      <c r="A69" s="3700">
        <f>Fighters!A69</f>
        <v>62</v>
      </c>
      <c r="B69" s="3701" t="str">
        <f>Fighters!B69</f>
        <v>カムイ</v>
      </c>
      <c r="C69" s="2540" t="s">
        <v>176</v>
      </c>
      <c r="D69" s="3702" t="b">
        <v>0</v>
      </c>
      <c r="E69" s="3702" t="b">
        <v>0</v>
      </c>
      <c r="F69" s="3702" t="b">
        <v>0</v>
      </c>
      <c r="G69" s="3703" t="b">
        <v>0</v>
      </c>
      <c r="H69" s="544">
        <v>3.0</v>
      </c>
      <c r="I69" s="3704">
        <v>2.0</v>
      </c>
      <c r="J69" s="3711" t="s">
        <v>73</v>
      </c>
      <c r="K69" s="256">
        <f t="shared" si="1"/>
        <v>1</v>
      </c>
      <c r="L69" s="3704">
        <v>7.0</v>
      </c>
      <c r="M69" s="256">
        <f t="shared" si="2"/>
        <v>13</v>
      </c>
      <c r="N69" s="3706">
        <v>19.0</v>
      </c>
      <c r="O69" s="544">
        <v>37.0</v>
      </c>
      <c r="P69" s="3704">
        <v>50.0</v>
      </c>
      <c r="Q69" s="3704">
        <v>26.0</v>
      </c>
      <c r="R69" s="3706">
        <v>35.0</v>
      </c>
      <c r="S69" s="2880">
        <f t="shared" si="3"/>
        <v>33</v>
      </c>
      <c r="T69" s="3707">
        <f>IFERROR(__xludf.DUMMYFUNCTION("VALUE(IFERROR(VLOOKUP($AG69, IMPORTRANGE(""https://docs.google.com/spreadsheets/d/1UdH2L0xi8dO6jyPCcO5e5-8j7SGzezxkeZuF1uP8uOw"",""fighter_param (""&amp;TO_TEXT($A$1)&amp;"")!B4:JZ""), 32, FALSE), """"))"),98.0)</f>
        <v>98</v>
      </c>
      <c r="U69" s="2880">
        <f t="shared" si="4"/>
        <v>27</v>
      </c>
      <c r="V69" s="3707">
        <f>IFERROR(__xludf.DUMMYFUNCTION("VALUE(IFERROR(VLOOKUP($AG69, IMPORTRANGE(""https://docs.google.com/spreadsheets/d/1UdH2L0xi8dO6jyPCcO5e5-8j7SGzezxkeZuF1uP8uOw"",""fighter_param (""&amp;TO_TEXT($A$1)&amp;"")!B4:JZ""), 4, FALSE), """"))"),1.208)</f>
        <v>1.208</v>
      </c>
      <c r="W69" s="2880">
        <f t="shared" si="5"/>
        <v>60</v>
      </c>
      <c r="X69" s="3707">
        <f>IFERROR(__xludf.DUMMYFUNCTION("VALUE(IFERROR(VLOOKUP($AG69, IMPORTRANGE(""https://docs.google.com/spreadsheets/d/1UdH2L0xi8dO6jyPCcO5e5-8j7SGzezxkeZuF1uP8uOw"",""fighter_param (""&amp;TO_TEXT($A$1)&amp;"")!B4:JZ""), 12, FALSE), """"))"),1.595)</f>
        <v>1.595</v>
      </c>
      <c r="Y69" s="2880">
        <f t="shared" si="6"/>
        <v>52</v>
      </c>
      <c r="Z69" s="3707">
        <f>IFERROR(__xludf.DUMMYFUNCTION("VALUE(IFERROR(VLOOKUP($AG69, IMPORTRANGE(""https://docs.google.com/spreadsheets/d/1UdH2L0xi8dO6jyPCcO5e5-8j7SGzezxkeZuF1uP8uOw"",""fighter_param (""&amp;TO_TEXT($A$1)&amp;"")!B4:JZ""), 24, FALSE), """"))"),1.019)</f>
        <v>1.019</v>
      </c>
      <c r="AA69" s="2880">
        <f t="shared" si="7"/>
        <v>33</v>
      </c>
      <c r="AB69" s="3707">
        <f>IFERROR(__xludf.DUMMYFUNCTION("VALUE(IFERROR(VLOOKUP($AG69, IMPORTRANGE(""https://docs.google.com/spreadsheets/d/1UdH2L0xi8dO6jyPCcO5e5-8j7SGzezxkeZuF1uP8uOw"",""fighter_param (""&amp;TO_TEXT($A$1)&amp;"")!B4:JZ""), 27, FALSE), """"))"),1.65)</f>
        <v>1.65</v>
      </c>
      <c r="AC69" s="2880">
        <f t="shared" si="8"/>
        <v>34</v>
      </c>
      <c r="AD69" s="3707">
        <f>IFERROR(__xludf.DUMMYFUNCTION("VALUE(IFERROR(VLOOKUP($AG69, IMPORTRANGE(""https://docs.google.com/spreadsheets/d/1UdH2L0xi8dO6jyPCcO5e5-8j7SGzezxkeZuF1uP8uOw"",""fighter_param (""&amp;TO_TEXT($A$1)&amp;"")!B4:JZ""), 31, FALSE), """"))"),2.64)</f>
        <v>2.64</v>
      </c>
      <c r="AE69" s="3712">
        <f>Fighters!S69</f>
        <v>68</v>
      </c>
      <c r="AF69" s="3713">
        <f>Fighters!T69</f>
        <v>59</v>
      </c>
      <c r="AG69" s="3714" t="str">
        <f>Fighters!V69</f>
        <v>kamui</v>
      </c>
    </row>
    <row r="70">
      <c r="A70" s="3700">
        <f>Fighters!A70</f>
        <v>63</v>
      </c>
      <c r="B70" s="3701" t="str">
        <f>Fighters!B70</f>
        <v>ベヨネッタ</v>
      </c>
      <c r="C70" s="2540" t="s">
        <v>176</v>
      </c>
      <c r="D70" s="3702" t="b">
        <v>0</v>
      </c>
      <c r="E70" s="3702" t="b">
        <v>1</v>
      </c>
      <c r="F70" s="3702" t="b">
        <v>1</v>
      </c>
      <c r="G70" s="3703" t="b">
        <v>0</v>
      </c>
      <c r="H70" s="544">
        <v>3.0</v>
      </c>
      <c r="I70" s="3704">
        <v>2.0</v>
      </c>
      <c r="J70" s="3711" t="s">
        <v>73</v>
      </c>
      <c r="K70" s="256">
        <f t="shared" si="1"/>
        <v>5</v>
      </c>
      <c r="L70" s="3704">
        <v>10.0</v>
      </c>
      <c r="M70" s="256">
        <f t="shared" si="2"/>
        <v>13</v>
      </c>
      <c r="N70" s="3706">
        <v>19.0</v>
      </c>
      <c r="O70" s="544">
        <v>38.0</v>
      </c>
      <c r="P70" s="3704">
        <v>50.0</v>
      </c>
      <c r="Q70" s="3704">
        <v>27.0</v>
      </c>
      <c r="R70" s="3706">
        <v>35.0</v>
      </c>
      <c r="S70" s="2880">
        <f t="shared" si="3"/>
        <v>76</v>
      </c>
      <c r="T70" s="3707">
        <f>IFERROR(__xludf.DUMMYFUNCTION("VALUE(IFERROR(VLOOKUP($AG70, IMPORTRANGE(""https://docs.google.com/spreadsheets/d/1UdH2L0xi8dO6jyPCcO5e5-8j7SGzezxkeZuF1uP8uOw"",""fighter_param (""&amp;TO_TEXT($A$1)&amp;"")!B4:JZ""), 32, FALSE), """"))"),81.0)</f>
        <v>81</v>
      </c>
      <c r="U70" s="2880">
        <f t="shared" si="4"/>
        <v>60</v>
      </c>
      <c r="V70" s="3707">
        <f>IFERROR(__xludf.DUMMYFUNCTION("VALUE(IFERROR(VLOOKUP($AG70, IMPORTRANGE(""https://docs.google.com/spreadsheets/d/1UdH2L0xi8dO6jyPCcO5e5-8j7SGzezxkeZuF1uP8uOw"",""fighter_param (""&amp;TO_TEXT($A$1)&amp;"")!B4:JZ""), 4, FALSE), """"))"),0.945)</f>
        <v>0.945</v>
      </c>
      <c r="W70" s="2880">
        <f t="shared" si="5"/>
        <v>37</v>
      </c>
      <c r="X70" s="3707">
        <f>IFERROR(__xludf.DUMMYFUNCTION("VALUE(IFERROR(VLOOKUP($AG70, IMPORTRANGE(""https://docs.google.com/spreadsheets/d/1UdH2L0xi8dO6jyPCcO5e5-8j7SGzezxkeZuF1uP8uOw"",""fighter_param (""&amp;TO_TEXT($A$1)&amp;"")!B4:JZ""), 12, FALSE), """"))"),1.76)</f>
        <v>1.76</v>
      </c>
      <c r="Y70" s="2880">
        <f t="shared" si="6"/>
        <v>52</v>
      </c>
      <c r="Z70" s="3707">
        <f>IFERROR(__xludf.DUMMYFUNCTION("VALUE(IFERROR(VLOOKUP($AG70, IMPORTRANGE(""https://docs.google.com/spreadsheets/d/1UdH2L0xi8dO6jyPCcO5e5-8j7SGzezxkeZuF1uP8uOw"",""fighter_param (""&amp;TO_TEXT($A$1)&amp;"")!B4:JZ""), 24, FALSE), """"))"),1.019)</f>
        <v>1.019</v>
      </c>
      <c r="AA70" s="2880">
        <f t="shared" si="7"/>
        <v>20</v>
      </c>
      <c r="AB70" s="3707">
        <f>IFERROR(__xludf.DUMMYFUNCTION("VALUE(IFERROR(VLOOKUP($AG70, IMPORTRANGE(""https://docs.google.com/spreadsheets/d/1UdH2L0xi8dO6jyPCcO5e5-8j7SGzezxkeZuF1uP8uOw"",""fighter_param (""&amp;TO_TEXT($A$1)&amp;"")!B4:JZ""), 27, FALSE), """"))"),1.77)</f>
        <v>1.77</v>
      </c>
      <c r="AC70" s="2880">
        <f t="shared" si="8"/>
        <v>20</v>
      </c>
      <c r="AD70" s="3707">
        <f>IFERROR(__xludf.DUMMYFUNCTION("VALUE(IFERROR(VLOOKUP($AG70, IMPORTRANGE(""https://docs.google.com/spreadsheets/d/1UdH2L0xi8dO6jyPCcO5e5-8j7SGzezxkeZuF1uP8uOw"",""fighter_param (""&amp;TO_TEXT($A$1)&amp;"")!B4:JZ""), 31, FALSE), """"))"),2.832)</f>
        <v>2.832</v>
      </c>
      <c r="AE70" s="3712">
        <f>Fighters!S70</f>
        <v>69</v>
      </c>
      <c r="AF70" s="3713">
        <f>Fighters!T70</f>
        <v>60</v>
      </c>
      <c r="AG70" s="3714" t="str">
        <f>Fighters!V70</f>
        <v>bayonetta</v>
      </c>
    </row>
    <row r="71">
      <c r="A71" s="3700">
        <f>Fighters!A71</f>
        <v>64</v>
      </c>
      <c r="B71" s="3701" t="str">
        <f>Fighters!B71</f>
        <v>インクリング</v>
      </c>
      <c r="C71" s="2540" t="s">
        <v>176</v>
      </c>
      <c r="D71" s="3702" t="b">
        <v>1</v>
      </c>
      <c r="E71" s="3704" t="b">
        <v>1</v>
      </c>
      <c r="F71" s="3704" t="b">
        <v>0</v>
      </c>
      <c r="G71" s="3703" t="b">
        <v>0</v>
      </c>
      <c r="H71" s="544">
        <v>3.0</v>
      </c>
      <c r="I71" s="3704">
        <v>2.0</v>
      </c>
      <c r="J71" s="3711" t="s">
        <v>73</v>
      </c>
      <c r="K71" s="256">
        <f t="shared" si="1"/>
        <v>62</v>
      </c>
      <c r="L71" s="3704">
        <v>12.0</v>
      </c>
      <c r="M71" s="256">
        <f t="shared" si="2"/>
        <v>13</v>
      </c>
      <c r="N71" s="3706">
        <v>19.0</v>
      </c>
      <c r="O71" s="544">
        <v>40.0</v>
      </c>
      <c r="P71" s="3704">
        <v>52.0</v>
      </c>
      <c r="Q71" s="3704">
        <v>27.0</v>
      </c>
      <c r="R71" s="3706">
        <v>36.0</v>
      </c>
      <c r="S71" s="2880">
        <f t="shared" si="3"/>
        <v>48</v>
      </c>
      <c r="T71" s="3707">
        <f>IFERROR(__xludf.DUMMYFUNCTION("VALUE(IFERROR(VLOOKUP($AG71, IMPORTRANGE(""https://docs.google.com/spreadsheets/d/1UdH2L0xi8dO6jyPCcO5e5-8j7SGzezxkeZuF1uP8uOw"",""fighter_param (""&amp;TO_TEXT($A$1)&amp;"")!B4:JZ""), 32, FALSE), """"))"),94.0)</f>
        <v>94</v>
      </c>
      <c r="U71" s="2880">
        <f t="shared" si="4"/>
        <v>40</v>
      </c>
      <c r="V71" s="3707">
        <f>IFERROR(__xludf.DUMMYFUNCTION("VALUE(IFERROR(VLOOKUP($AG71, IMPORTRANGE(""https://docs.google.com/spreadsheets/d/1UdH2L0xi8dO6jyPCcO5e5-8j7SGzezxkeZuF1uP8uOw"",""fighter_param (""&amp;TO_TEXT($A$1)&amp;"")!B4:JZ""), 4, FALSE), """"))"),1.134)</f>
        <v>1.134</v>
      </c>
      <c r="W71" s="2880">
        <f t="shared" si="5"/>
        <v>25</v>
      </c>
      <c r="X71" s="3707">
        <f>IFERROR(__xludf.DUMMYFUNCTION("VALUE(IFERROR(VLOOKUP($AG71, IMPORTRANGE(""https://docs.google.com/spreadsheets/d/1UdH2L0xi8dO6jyPCcO5e5-8j7SGzezxkeZuF1uP8uOw"",""fighter_param (""&amp;TO_TEXT($A$1)&amp;"")!B4:JZ""), 12, FALSE), """"))"),1.925)</f>
        <v>1.925</v>
      </c>
      <c r="Y71" s="2880">
        <f t="shared" si="6"/>
        <v>13</v>
      </c>
      <c r="Z71" s="3707">
        <f>IFERROR(__xludf.DUMMYFUNCTION("VALUE(IFERROR(VLOOKUP($AG71, IMPORTRANGE(""https://docs.google.com/spreadsheets/d/1UdH2L0xi8dO6jyPCcO5e5-8j7SGzezxkeZuF1uP8uOw"",""fighter_param (""&amp;TO_TEXT($A$1)&amp;"")!B4:JZ""), 24, FALSE), """"))"),1.208)</f>
        <v>1.208</v>
      </c>
      <c r="AA71" s="2880">
        <f t="shared" si="7"/>
        <v>48</v>
      </c>
      <c r="AB71" s="3707">
        <f>IFERROR(__xludf.DUMMYFUNCTION("VALUE(IFERROR(VLOOKUP($AG71, IMPORTRANGE(""https://docs.google.com/spreadsheets/d/1UdH2L0xi8dO6jyPCcO5e5-8j7SGzezxkeZuF1uP8uOw"",""fighter_param (""&amp;TO_TEXT($A$1)&amp;"")!B4:JZ""), 27, FALSE), """"))"),1.58)</f>
        <v>1.58</v>
      </c>
      <c r="AC71" s="2880">
        <f t="shared" si="8"/>
        <v>45</v>
      </c>
      <c r="AD71" s="3707">
        <f>IFERROR(__xludf.DUMMYFUNCTION("VALUE(IFERROR(VLOOKUP($AG71, IMPORTRANGE(""https://docs.google.com/spreadsheets/d/1UdH2L0xi8dO6jyPCcO5e5-8j7SGzezxkeZuF1uP8uOw"",""fighter_param (""&amp;TO_TEXT($A$1)&amp;"")!B4:JZ""), 31, FALSE), """"))"),2.528)</f>
        <v>2.528</v>
      </c>
      <c r="AE71" s="3712">
        <f>Fighters!S71</f>
        <v>70</v>
      </c>
      <c r="AF71" s="3713">
        <f>Fighters!T71</f>
        <v>61</v>
      </c>
      <c r="AG71" s="3714" t="str">
        <f>Fighters!V71</f>
        <v>inkling</v>
      </c>
    </row>
    <row r="72">
      <c r="A72" s="3700">
        <f>Fighters!A72</f>
        <v>65</v>
      </c>
      <c r="B72" s="3701" t="str">
        <f>Fighters!B72</f>
        <v>リドリー</v>
      </c>
      <c r="C72" s="2540" t="s">
        <v>204</v>
      </c>
      <c r="D72" s="3702" t="b">
        <v>0</v>
      </c>
      <c r="E72" s="3702" t="b">
        <v>0</v>
      </c>
      <c r="F72" s="3702" t="b">
        <v>0</v>
      </c>
      <c r="G72" s="3703" t="b">
        <v>0</v>
      </c>
      <c r="H72" s="544">
        <v>3.0</v>
      </c>
      <c r="I72" s="3704">
        <v>2.0</v>
      </c>
      <c r="J72" s="3711" t="s">
        <v>73</v>
      </c>
      <c r="K72" s="256">
        <f t="shared" si="1"/>
        <v>5</v>
      </c>
      <c r="L72" s="3704">
        <v>10.0</v>
      </c>
      <c r="M72" s="256">
        <f t="shared" si="2"/>
        <v>13</v>
      </c>
      <c r="N72" s="3706">
        <v>19.0</v>
      </c>
      <c r="O72" s="544">
        <v>35.0</v>
      </c>
      <c r="P72" s="3704">
        <v>51.0</v>
      </c>
      <c r="Q72" s="3704">
        <v>23.0</v>
      </c>
      <c r="R72" s="3706">
        <v>34.0</v>
      </c>
      <c r="S72" s="2880">
        <f t="shared" si="3"/>
        <v>14</v>
      </c>
      <c r="T72" s="3707">
        <f>IFERROR(__xludf.DUMMYFUNCTION("VALUE(IFERROR(VLOOKUP($AG72, IMPORTRANGE(""https://docs.google.com/spreadsheets/d/1UdH2L0xi8dO6jyPCcO5e5-8j7SGzezxkeZuF1uP8uOw"",""fighter_param (""&amp;TO_TEXT($A$1)&amp;"")!B4:JZ""), 32, FALSE), """"))"),107.0)</f>
        <v>107</v>
      </c>
      <c r="U72" s="2880">
        <f t="shared" si="4"/>
        <v>48</v>
      </c>
      <c r="V72" s="3707">
        <f>IFERROR(__xludf.DUMMYFUNCTION("VALUE(IFERROR(VLOOKUP($AG72, IMPORTRANGE(""https://docs.google.com/spreadsheets/d/1UdH2L0xi8dO6jyPCcO5e5-8j7SGzezxkeZuF1uP8uOw"",""fighter_param (""&amp;TO_TEXT($A$1)&amp;"")!B4:JZ""), 4, FALSE), """"))"),1.1)</f>
        <v>1.1</v>
      </c>
      <c r="W72" s="2880">
        <f t="shared" si="5"/>
        <v>10</v>
      </c>
      <c r="X72" s="3707">
        <f>IFERROR(__xludf.DUMMYFUNCTION("VALUE(IFERROR(VLOOKUP($AG72, IMPORTRANGE(""https://docs.google.com/spreadsheets/d/1UdH2L0xi8dO6jyPCcO5e5-8j7SGzezxkeZuF1uP8uOw"",""fighter_param (""&amp;TO_TEXT($A$1)&amp;"")!B4:JZ""), 12, FALSE), """"))"),2.2)</f>
        <v>2.2</v>
      </c>
      <c r="Y72" s="2880">
        <f t="shared" si="6"/>
        <v>43</v>
      </c>
      <c r="Z72" s="3707">
        <f>IFERROR(__xludf.DUMMYFUNCTION("VALUE(IFERROR(VLOOKUP($AG72, IMPORTRANGE(""https://docs.google.com/spreadsheets/d/1UdH2L0xi8dO6jyPCcO5e5-8j7SGzezxkeZuF1uP8uOw"",""fighter_param (""&amp;TO_TEXT($A$1)&amp;"")!B4:JZ""), 24, FALSE), """"))"),1.05)</f>
        <v>1.05</v>
      </c>
      <c r="AA72" s="2880">
        <f t="shared" si="7"/>
        <v>19</v>
      </c>
      <c r="AB72" s="3707">
        <f>IFERROR(__xludf.DUMMYFUNCTION("VALUE(IFERROR(VLOOKUP($AG72, IMPORTRANGE(""https://docs.google.com/spreadsheets/d/1UdH2L0xi8dO6jyPCcO5e5-8j7SGzezxkeZuF1uP8uOw"",""fighter_param (""&amp;TO_TEXT($A$1)&amp;"")!B4:JZ""), 27, FALSE), """"))"),1.78)</f>
        <v>1.78</v>
      </c>
      <c r="AC72" s="2880">
        <f t="shared" si="8"/>
        <v>19</v>
      </c>
      <c r="AD72" s="3707">
        <f>IFERROR(__xludf.DUMMYFUNCTION("VALUE(IFERROR(VLOOKUP($AG72, IMPORTRANGE(""https://docs.google.com/spreadsheets/d/1UdH2L0xi8dO6jyPCcO5e5-8j7SGzezxkeZuF1uP8uOw"",""fighter_param (""&amp;TO_TEXT($A$1)&amp;"")!B4:JZ""), 31, FALSE), """"))"),2.848)</f>
        <v>2.848</v>
      </c>
      <c r="AE72" s="3712">
        <f>Fighters!S72</f>
        <v>71</v>
      </c>
      <c r="AF72" s="3713">
        <f>Fighters!T72</f>
        <v>62</v>
      </c>
      <c r="AG72" s="3714" t="str">
        <f>Fighters!V72</f>
        <v>ridley</v>
      </c>
    </row>
    <row r="73">
      <c r="A73" s="3700">
        <f>Fighters!A73</f>
        <v>66</v>
      </c>
      <c r="B73" s="3701" t="str">
        <f>Fighters!B73</f>
        <v>シモン</v>
      </c>
      <c r="C73" s="2540" t="s">
        <v>176</v>
      </c>
      <c r="D73" s="3704" t="b">
        <v>1</v>
      </c>
      <c r="E73" s="3702" t="b">
        <v>0</v>
      </c>
      <c r="F73" s="3702" t="b">
        <v>0</v>
      </c>
      <c r="G73" s="3706" t="b">
        <v>0</v>
      </c>
      <c r="H73" s="544">
        <v>3.0</v>
      </c>
      <c r="I73" s="3704">
        <v>2.0</v>
      </c>
      <c r="J73" s="3711" t="s">
        <v>73</v>
      </c>
      <c r="K73" s="256">
        <f t="shared" si="1"/>
        <v>5</v>
      </c>
      <c r="L73" s="3704">
        <v>10.0</v>
      </c>
      <c r="M73" s="256">
        <f t="shared" si="2"/>
        <v>13</v>
      </c>
      <c r="N73" s="3706">
        <v>19.0</v>
      </c>
      <c r="O73" s="544">
        <v>41.0</v>
      </c>
      <c r="P73" s="3704">
        <v>51.0</v>
      </c>
      <c r="Q73" s="3704">
        <v>29.0</v>
      </c>
      <c r="R73" s="3706">
        <v>36.0</v>
      </c>
      <c r="S73" s="2880">
        <f t="shared" si="3"/>
        <v>14</v>
      </c>
      <c r="T73" s="3707">
        <f>IFERROR(__xludf.DUMMYFUNCTION("VALUE(IFERROR(VLOOKUP($AG73, IMPORTRANGE(""https://docs.google.com/spreadsheets/d/1UdH2L0xi8dO6jyPCcO5e5-8j7SGzezxkeZuF1uP8uOw"",""fighter_param (""&amp;TO_TEXT($A$1)&amp;"")!B4:JZ""), 32, FALSE), """"))"),107.0)</f>
        <v>107</v>
      </c>
      <c r="U73" s="2880">
        <f t="shared" si="4"/>
        <v>83</v>
      </c>
      <c r="V73" s="3707">
        <f>IFERROR(__xludf.DUMMYFUNCTION("VALUE(IFERROR(VLOOKUP($AG73, IMPORTRANGE(""https://docs.google.com/spreadsheets/d/1UdH2L0xi8dO6jyPCcO5e5-8j7SGzezxkeZuF1uP8uOw"",""fighter_param (""&amp;TO_TEXT($A$1)&amp;"")!B4:JZ""), 4, FALSE), """"))"),0.76)</f>
        <v>0.76</v>
      </c>
      <c r="W73" s="2880">
        <f t="shared" si="5"/>
        <v>73</v>
      </c>
      <c r="X73" s="3707">
        <f>IFERROR(__xludf.DUMMYFUNCTION("VALUE(IFERROR(VLOOKUP($AG73, IMPORTRANGE(""https://docs.google.com/spreadsheets/d/1UdH2L0xi8dO6jyPCcO5e5-8j7SGzezxkeZuF1uP8uOw"",""fighter_param (""&amp;TO_TEXT($A$1)&amp;"")!B4:JZ""), 12, FALSE), """"))"),1.52)</f>
        <v>1.52</v>
      </c>
      <c r="Y73" s="2880">
        <f t="shared" si="6"/>
        <v>70</v>
      </c>
      <c r="Z73" s="3707">
        <f>IFERROR(__xludf.DUMMYFUNCTION("VALUE(IFERROR(VLOOKUP($AG73, IMPORTRANGE(""https://docs.google.com/spreadsheets/d/1UdH2L0xi8dO6jyPCcO5e5-8j7SGzezxkeZuF1uP8uOw"",""fighter_param (""&amp;TO_TEXT($A$1)&amp;"")!B4:JZ""), 24, FALSE), """"))"),0.94)</f>
        <v>0.94</v>
      </c>
      <c r="AA73" s="2880">
        <f t="shared" si="7"/>
        <v>9</v>
      </c>
      <c r="AB73" s="3707">
        <f>IFERROR(__xludf.DUMMYFUNCTION("VALUE(IFERROR(VLOOKUP($AG73, IMPORTRANGE(""https://docs.google.com/spreadsheets/d/1UdH2L0xi8dO6jyPCcO5e5-8j7SGzezxkeZuF1uP8uOw"",""fighter_param (""&amp;TO_TEXT($A$1)&amp;"")!B4:JZ""), 27, FALSE), """"))"),1.85)</f>
        <v>1.85</v>
      </c>
      <c r="AC73" s="2880">
        <f t="shared" si="8"/>
        <v>9</v>
      </c>
      <c r="AD73" s="3707">
        <f>IFERROR(__xludf.DUMMYFUNCTION("VALUE(IFERROR(VLOOKUP($AG73, IMPORTRANGE(""https://docs.google.com/spreadsheets/d/1UdH2L0xi8dO6jyPCcO5e5-8j7SGzezxkeZuF1uP8uOw"",""fighter_param (""&amp;TO_TEXT($A$1)&amp;"")!B4:JZ""), 31, FALSE), """"))"),2.96)</f>
        <v>2.96</v>
      </c>
      <c r="AE73" s="3712">
        <f>Fighters!S73</f>
        <v>72</v>
      </c>
      <c r="AF73" s="3713">
        <f>Fighters!T73</f>
        <v>63</v>
      </c>
      <c r="AG73" s="3714" t="str">
        <f>Fighters!V73</f>
        <v>simon</v>
      </c>
    </row>
    <row r="74">
      <c r="A74" s="3700" t="str">
        <f>Fighters!A74</f>
        <v>66'</v>
      </c>
      <c r="B74" s="3701" t="str">
        <f>Fighters!B74</f>
        <v>リヒター</v>
      </c>
      <c r="C74" s="2540" t="s">
        <v>176</v>
      </c>
      <c r="D74" s="3704" t="b">
        <v>1</v>
      </c>
      <c r="E74" s="3702" t="b">
        <v>0</v>
      </c>
      <c r="F74" s="3702" t="b">
        <v>0</v>
      </c>
      <c r="G74" s="3706" t="b">
        <v>0</v>
      </c>
      <c r="H74" s="544">
        <v>3.0</v>
      </c>
      <c r="I74" s="3704">
        <v>2.0</v>
      </c>
      <c r="J74" s="3711" t="s">
        <v>73</v>
      </c>
      <c r="K74" s="256">
        <f t="shared" si="1"/>
        <v>5</v>
      </c>
      <c r="L74" s="3704">
        <v>10.0</v>
      </c>
      <c r="M74" s="256">
        <f t="shared" si="2"/>
        <v>13</v>
      </c>
      <c r="N74" s="3706">
        <v>19.0</v>
      </c>
      <c r="O74" s="544">
        <v>41.0</v>
      </c>
      <c r="P74" s="3704">
        <v>51.0</v>
      </c>
      <c r="Q74" s="3704">
        <v>29.0</v>
      </c>
      <c r="R74" s="3706">
        <v>36.0</v>
      </c>
      <c r="S74" s="2880">
        <f t="shared" si="3"/>
        <v>14</v>
      </c>
      <c r="T74" s="3707">
        <f>IFERROR(__xludf.DUMMYFUNCTION("VALUE(IFERROR(VLOOKUP($AG74, IMPORTRANGE(""https://docs.google.com/spreadsheets/d/1UdH2L0xi8dO6jyPCcO5e5-8j7SGzezxkeZuF1uP8uOw"",""fighter_param (""&amp;TO_TEXT($A$1)&amp;"")!B4:JZ""), 32, FALSE), """"))"),107.0)</f>
        <v>107</v>
      </c>
      <c r="U74" s="2880">
        <f t="shared" si="4"/>
        <v>83</v>
      </c>
      <c r="V74" s="3707">
        <f>IFERROR(__xludf.DUMMYFUNCTION("VALUE(IFERROR(VLOOKUP($AG74, IMPORTRANGE(""https://docs.google.com/spreadsheets/d/1UdH2L0xi8dO6jyPCcO5e5-8j7SGzezxkeZuF1uP8uOw"",""fighter_param (""&amp;TO_TEXT($A$1)&amp;"")!B4:JZ""), 4, FALSE), """"))"),0.76)</f>
        <v>0.76</v>
      </c>
      <c r="W74" s="2880">
        <f t="shared" si="5"/>
        <v>73</v>
      </c>
      <c r="X74" s="3707">
        <f>IFERROR(__xludf.DUMMYFUNCTION("VALUE(IFERROR(VLOOKUP($AG74, IMPORTRANGE(""https://docs.google.com/spreadsheets/d/1UdH2L0xi8dO6jyPCcO5e5-8j7SGzezxkeZuF1uP8uOw"",""fighter_param (""&amp;TO_TEXT($A$1)&amp;"")!B4:JZ""), 12, FALSE), """"))"),1.52)</f>
        <v>1.52</v>
      </c>
      <c r="Y74" s="2880">
        <f t="shared" si="6"/>
        <v>70</v>
      </c>
      <c r="Z74" s="3707">
        <f>IFERROR(__xludf.DUMMYFUNCTION("VALUE(IFERROR(VLOOKUP($AG74, IMPORTRANGE(""https://docs.google.com/spreadsheets/d/1UdH2L0xi8dO6jyPCcO5e5-8j7SGzezxkeZuF1uP8uOw"",""fighter_param (""&amp;TO_TEXT($A$1)&amp;"")!B4:JZ""), 24, FALSE), """"))"),0.94)</f>
        <v>0.94</v>
      </c>
      <c r="AA74" s="2880">
        <f t="shared" si="7"/>
        <v>9</v>
      </c>
      <c r="AB74" s="3707">
        <f>IFERROR(__xludf.DUMMYFUNCTION("VALUE(IFERROR(VLOOKUP($AG74, IMPORTRANGE(""https://docs.google.com/spreadsheets/d/1UdH2L0xi8dO6jyPCcO5e5-8j7SGzezxkeZuF1uP8uOw"",""fighter_param (""&amp;TO_TEXT($A$1)&amp;"")!B4:JZ""), 27, FALSE), """"))"),1.85)</f>
        <v>1.85</v>
      </c>
      <c r="AC74" s="2880">
        <f t="shared" si="8"/>
        <v>9</v>
      </c>
      <c r="AD74" s="3707">
        <f>IFERROR(__xludf.DUMMYFUNCTION("VALUE(IFERROR(VLOOKUP($AG74, IMPORTRANGE(""https://docs.google.com/spreadsheets/d/1UdH2L0xi8dO6jyPCcO5e5-8j7SGzezxkeZuF1uP8uOw"",""fighter_param (""&amp;TO_TEXT($A$1)&amp;"")!B4:JZ""), 31, FALSE), """"))"),2.96)</f>
        <v>2.96</v>
      </c>
      <c r="AE74" s="3712">
        <f>Fighters!S74</f>
        <v>73</v>
      </c>
      <c r="AF74" s="3715">
        <f>Fighters!T74</f>
        <v>78</v>
      </c>
      <c r="AG74" s="3714" t="str">
        <f>Fighters!V74</f>
        <v>richter</v>
      </c>
    </row>
    <row r="75">
      <c r="A75" s="3700">
        <f>Fighters!A75</f>
        <v>67</v>
      </c>
      <c r="B75" s="3701" t="str">
        <f>Fighters!B75</f>
        <v>キングクルール</v>
      </c>
      <c r="C75" s="2540" t="s">
        <v>176</v>
      </c>
      <c r="D75" s="3702" t="b">
        <v>0</v>
      </c>
      <c r="E75" s="3702" t="b">
        <v>0</v>
      </c>
      <c r="F75" s="3702" t="b">
        <v>0</v>
      </c>
      <c r="G75" s="3703" t="b">
        <v>0</v>
      </c>
      <c r="H75" s="544">
        <v>3.0</v>
      </c>
      <c r="I75" s="3704">
        <v>2.0</v>
      </c>
      <c r="J75" s="3711" t="s">
        <v>86</v>
      </c>
      <c r="K75" s="256">
        <f t="shared" si="1"/>
        <v>5</v>
      </c>
      <c r="L75" s="3704">
        <v>10.0</v>
      </c>
      <c r="M75" s="256">
        <f t="shared" si="2"/>
        <v>83</v>
      </c>
      <c r="N75" s="3706">
        <v>21.0</v>
      </c>
      <c r="O75" s="544">
        <v>32.0</v>
      </c>
      <c r="P75" s="3704">
        <v>48.0</v>
      </c>
      <c r="Q75" s="3704">
        <v>21.0</v>
      </c>
      <c r="R75" s="3706">
        <v>34.0</v>
      </c>
      <c r="S75" s="2880">
        <f t="shared" si="3"/>
        <v>2</v>
      </c>
      <c r="T75" s="3707">
        <f>IFERROR(__xludf.DUMMYFUNCTION("VALUE(IFERROR(VLOOKUP($AG75, IMPORTRANGE(""https://docs.google.com/spreadsheets/d/1UdH2L0xi8dO6jyPCcO5e5-8j7SGzezxkeZuF1uP8uOw"",""fighter_param (""&amp;TO_TEXT($A$1)&amp;"")!B4:JZ""), 32, FALSE), """"))"),133.0)</f>
        <v>133</v>
      </c>
      <c r="U75" s="2880">
        <f t="shared" si="4"/>
        <v>71</v>
      </c>
      <c r="V75" s="3707">
        <f>IFERROR(__xludf.DUMMYFUNCTION("VALUE(IFERROR(VLOOKUP($AG75, IMPORTRANGE(""https://docs.google.com/spreadsheets/d/1UdH2L0xi8dO6jyPCcO5e5-8j7SGzezxkeZuF1uP8uOw"",""fighter_param (""&amp;TO_TEXT($A$1)&amp;"")!B4:JZ""), 4, FALSE), """"))"),0.903)</f>
        <v>0.903</v>
      </c>
      <c r="W75" s="2880">
        <f t="shared" si="5"/>
        <v>77</v>
      </c>
      <c r="X75" s="3707">
        <f>IFERROR(__xludf.DUMMYFUNCTION("VALUE(IFERROR(VLOOKUP($AG75, IMPORTRANGE(""https://docs.google.com/spreadsheets/d/1UdH2L0xi8dO6jyPCcO5e5-8j7SGzezxkeZuF1uP8uOw"",""fighter_param (""&amp;TO_TEXT($A$1)&amp;"")!B4:JZ""), 12, FALSE), """"))"),1.485)</f>
        <v>1.485</v>
      </c>
      <c r="Y75" s="2880">
        <f t="shared" si="6"/>
        <v>69</v>
      </c>
      <c r="Z75" s="3707">
        <f>IFERROR(__xludf.DUMMYFUNCTION("VALUE(IFERROR(VLOOKUP($AG75, IMPORTRANGE(""https://docs.google.com/spreadsheets/d/1UdH2L0xi8dO6jyPCcO5e5-8j7SGzezxkeZuF1uP8uOw"",""fighter_param (""&amp;TO_TEXT($A$1)&amp;"")!B4:JZ""), 24, FALSE), """"))"),0.945)</f>
        <v>0.945</v>
      </c>
      <c r="AA75" s="2880">
        <f t="shared" si="7"/>
        <v>27</v>
      </c>
      <c r="AB75" s="3707">
        <f>IFERROR(__xludf.DUMMYFUNCTION("VALUE(IFERROR(VLOOKUP($AG75, IMPORTRANGE(""https://docs.google.com/spreadsheets/d/1UdH2L0xi8dO6jyPCcO5e5-8j7SGzezxkeZuF1uP8uOw"",""fighter_param (""&amp;TO_TEXT($A$1)&amp;"")!B4:JZ""), 27, FALSE), """"))"),1.7)</f>
        <v>1.7</v>
      </c>
      <c r="AC75" s="2880">
        <f t="shared" si="8"/>
        <v>28</v>
      </c>
      <c r="AD75" s="3707">
        <f>IFERROR(__xludf.DUMMYFUNCTION("VALUE(IFERROR(VLOOKUP($AG75, IMPORTRANGE(""https://docs.google.com/spreadsheets/d/1UdH2L0xi8dO6jyPCcO5e5-8j7SGzezxkeZuF1uP8uOw"",""fighter_param (""&amp;TO_TEXT($A$1)&amp;"")!B4:JZ""), 31, FALSE), """"))"),2.72)</f>
        <v>2.72</v>
      </c>
      <c r="AE75" s="3712">
        <f>Fighters!S75</f>
        <v>74</v>
      </c>
      <c r="AF75" s="3713">
        <f>Fighters!T75</f>
        <v>64</v>
      </c>
      <c r="AG75" s="3714" t="str">
        <f>Fighters!V75</f>
        <v>krool</v>
      </c>
    </row>
    <row r="76">
      <c r="A76" s="3700">
        <f>Fighters!A76</f>
        <v>68</v>
      </c>
      <c r="B76" s="3701" t="str">
        <f>Fighters!B76</f>
        <v>しずえ</v>
      </c>
      <c r="C76" s="2540" t="s">
        <v>176</v>
      </c>
      <c r="D76" s="3702"/>
      <c r="E76" s="3702"/>
      <c r="F76" s="3702"/>
      <c r="G76" s="3706" t="b">
        <v>0</v>
      </c>
      <c r="H76" s="544">
        <v>3.0</v>
      </c>
      <c r="I76" s="3704">
        <v>2.0</v>
      </c>
      <c r="J76" s="3711" t="s">
        <v>73</v>
      </c>
      <c r="K76" s="256">
        <f t="shared" si="1"/>
        <v>5</v>
      </c>
      <c r="L76" s="3704">
        <v>10.0</v>
      </c>
      <c r="M76" s="256">
        <f t="shared" si="2"/>
        <v>13</v>
      </c>
      <c r="N76" s="3706">
        <v>19.0</v>
      </c>
      <c r="O76" s="544">
        <v>42.0</v>
      </c>
      <c r="P76" s="3704">
        <v>58.0</v>
      </c>
      <c r="Q76" s="3704">
        <v>29.0</v>
      </c>
      <c r="R76" s="3706">
        <v>40.0</v>
      </c>
      <c r="S76" s="2880">
        <f t="shared" si="3"/>
        <v>66</v>
      </c>
      <c r="T76" s="3707">
        <f>IFERROR(__xludf.DUMMYFUNCTION("VALUE(IFERROR(VLOOKUP($AG76, IMPORTRANGE(""https://docs.google.com/spreadsheets/d/1UdH2L0xi8dO6jyPCcO5e5-8j7SGzezxkeZuF1uP8uOw"",""fighter_param (""&amp;TO_TEXT($A$1)&amp;"")!B4:JZ""), 32, FALSE), """"))"),88.0)</f>
        <v>88</v>
      </c>
      <c r="U76" s="2880">
        <f t="shared" si="4"/>
        <v>38</v>
      </c>
      <c r="V76" s="3707">
        <f>IFERROR(__xludf.DUMMYFUNCTION("VALUE(IFERROR(VLOOKUP($AG76, IMPORTRANGE(""https://docs.google.com/spreadsheets/d/1UdH2L0xi8dO6jyPCcO5e5-8j7SGzezxkeZuF1uP8uOw"",""fighter_param (""&amp;TO_TEXT($A$1)&amp;"")!B4:JZ""), 4, FALSE), """"))"),1.14)</f>
        <v>1.14</v>
      </c>
      <c r="W76" s="2880">
        <f t="shared" si="5"/>
        <v>78</v>
      </c>
      <c r="X76" s="3707">
        <f>IFERROR(__xludf.DUMMYFUNCTION("VALUE(IFERROR(VLOOKUP($AG76, IMPORTRANGE(""https://docs.google.com/spreadsheets/d/1UdH2L0xi8dO6jyPCcO5e5-8j7SGzezxkeZuF1uP8uOw"",""fighter_param (""&amp;TO_TEXT($A$1)&amp;"")!B4:JZ""), 12, FALSE), """"))"),1.48)</f>
        <v>1.48</v>
      </c>
      <c r="Y76" s="2880">
        <f t="shared" si="6"/>
        <v>51</v>
      </c>
      <c r="Z76" s="3707">
        <f>IFERROR(__xludf.DUMMYFUNCTION("VALUE(IFERROR(VLOOKUP($AG76, IMPORTRANGE(""https://docs.google.com/spreadsheets/d/1UdH2L0xi8dO6jyPCcO5e5-8j7SGzezxkeZuF1uP8uOw"",""fighter_param (""&amp;TO_TEXT($A$1)&amp;"")!B4:JZ""), 24, FALSE), """"))"),1.02)</f>
        <v>1.02</v>
      </c>
      <c r="AA76" s="2880">
        <f t="shared" si="7"/>
        <v>80</v>
      </c>
      <c r="AB76" s="3707">
        <f>IFERROR(__xludf.DUMMYFUNCTION("VALUE(IFERROR(VLOOKUP($AG76, IMPORTRANGE(""https://docs.google.com/spreadsheets/d/1UdH2L0xi8dO6jyPCcO5e5-8j7SGzezxkeZuF1uP8uOw"",""fighter_param (""&amp;TO_TEXT($A$1)&amp;"")!B4:JZ""), 27, FALSE), """"))"),1.3)</f>
        <v>1.3</v>
      </c>
      <c r="AC76" s="2880">
        <f t="shared" si="8"/>
        <v>80</v>
      </c>
      <c r="AD76" s="3707">
        <f>IFERROR(__xludf.DUMMYFUNCTION("VALUE(IFERROR(VLOOKUP($AG76, IMPORTRANGE(""https://docs.google.com/spreadsheets/d/1UdH2L0xi8dO6jyPCcO5e5-8j7SGzezxkeZuF1uP8uOw"",""fighter_param (""&amp;TO_TEXT($A$1)&amp;"")!B4:JZ""), 31, FALSE), """"))"),2.08)</f>
        <v>2.08</v>
      </c>
      <c r="AE76" s="3712">
        <f>Fighters!S76</f>
        <v>75</v>
      </c>
      <c r="AF76" s="3713">
        <f>Fighters!T76</f>
        <v>65</v>
      </c>
      <c r="AG76" s="3714" t="str">
        <f>Fighters!V76</f>
        <v>shizue</v>
      </c>
    </row>
    <row r="77">
      <c r="A77" s="3700">
        <f>Fighters!A77</f>
        <v>69</v>
      </c>
      <c r="B77" s="3701" t="str">
        <f>Fighters!B77</f>
        <v>ガオガエン</v>
      </c>
      <c r="C77" s="2540" t="s">
        <v>176</v>
      </c>
      <c r="D77" s="3702"/>
      <c r="E77" s="3702"/>
      <c r="F77" s="3702"/>
      <c r="G77" s="3703"/>
      <c r="H77" s="544">
        <v>3.0</v>
      </c>
      <c r="I77" s="3704">
        <v>2.0</v>
      </c>
      <c r="J77" s="3711" t="s">
        <v>73</v>
      </c>
      <c r="K77" s="256">
        <f t="shared" si="1"/>
        <v>5</v>
      </c>
      <c r="L77" s="3704">
        <v>10.0</v>
      </c>
      <c r="M77" s="256">
        <f t="shared" si="2"/>
        <v>13</v>
      </c>
      <c r="N77" s="3706">
        <v>19.0</v>
      </c>
      <c r="O77" s="544">
        <v>30.0</v>
      </c>
      <c r="P77" s="3704">
        <v>43.0</v>
      </c>
      <c r="Q77" s="3704">
        <v>21.0</v>
      </c>
      <c r="R77" s="3706">
        <v>31.0</v>
      </c>
      <c r="S77" s="2880">
        <f t="shared" si="3"/>
        <v>6</v>
      </c>
      <c r="T77" s="3707">
        <f>IFERROR(__xludf.DUMMYFUNCTION("VALUE(IFERROR(VLOOKUP($AG77, IMPORTRANGE(""https://docs.google.com/spreadsheets/d/1UdH2L0xi8dO6jyPCcO5e5-8j7SGzezxkeZuF1uP8uOw"",""fighter_param (""&amp;TO_TEXT($A$1)&amp;"")!B4:JZ""), 32, FALSE), """"))"),116.0)</f>
        <v>116</v>
      </c>
      <c r="U77" s="2880">
        <f t="shared" si="4"/>
        <v>89</v>
      </c>
      <c r="V77" s="3707">
        <f>IFERROR(__xludf.DUMMYFUNCTION("VALUE(IFERROR(VLOOKUP($AG77, IMPORTRANGE(""https://docs.google.com/spreadsheets/d/1UdH2L0xi8dO6jyPCcO5e5-8j7SGzezxkeZuF1uP8uOw"",""fighter_param (""&amp;TO_TEXT($A$1)&amp;"")!B4:JZ""), 4, FALSE), """"))"),0.62)</f>
        <v>0.62</v>
      </c>
      <c r="W77" s="2880">
        <f t="shared" si="5"/>
        <v>89</v>
      </c>
      <c r="X77" s="3707">
        <f>IFERROR(__xludf.DUMMYFUNCTION("VALUE(IFERROR(VLOOKUP($AG77, IMPORTRANGE(""https://docs.google.com/spreadsheets/d/1UdH2L0xi8dO6jyPCcO5e5-8j7SGzezxkeZuF1uP8uOw"",""fighter_param (""&amp;TO_TEXT($A$1)&amp;"")!B4:JZ""), 12, FALSE), """"))"),1.18)</f>
        <v>1.18</v>
      </c>
      <c r="Y77" s="2880">
        <f t="shared" si="6"/>
        <v>81</v>
      </c>
      <c r="Z77" s="3707">
        <f>IFERROR(__xludf.DUMMYFUNCTION("VALUE(IFERROR(VLOOKUP($AG77, IMPORTRANGE(""https://docs.google.com/spreadsheets/d/1UdH2L0xi8dO6jyPCcO5e5-8j7SGzezxkeZuF1uP8uOw"",""fighter_param (""&amp;TO_TEXT($A$1)&amp;"")!B4:JZ""), 24, FALSE), """"))"),0.88)</f>
        <v>0.88</v>
      </c>
      <c r="AA77" s="2880">
        <f t="shared" si="7"/>
        <v>22</v>
      </c>
      <c r="AB77" s="3707">
        <f>IFERROR(__xludf.DUMMYFUNCTION("VALUE(IFERROR(VLOOKUP($AG77, IMPORTRANGE(""https://docs.google.com/spreadsheets/d/1UdH2L0xi8dO6jyPCcO5e5-8j7SGzezxkeZuF1uP8uOw"",""fighter_param (""&amp;TO_TEXT($A$1)&amp;"")!B4:JZ""), 27, FALSE), """"))"),1.76)</f>
        <v>1.76</v>
      </c>
      <c r="AC77" s="2880">
        <f t="shared" si="8"/>
        <v>22</v>
      </c>
      <c r="AD77" s="3707">
        <f>IFERROR(__xludf.DUMMYFUNCTION("VALUE(IFERROR(VLOOKUP($AG77, IMPORTRANGE(""https://docs.google.com/spreadsheets/d/1UdH2L0xi8dO6jyPCcO5e5-8j7SGzezxkeZuF1uP8uOw"",""fighter_param (""&amp;TO_TEXT($A$1)&amp;"")!B4:JZ""), 31, FALSE), """"))"),2.816)</f>
        <v>2.816</v>
      </c>
      <c r="AE77" s="3712">
        <f>Fighters!S77</f>
        <v>76</v>
      </c>
      <c r="AF77" s="3713">
        <f>Fighters!T77</f>
        <v>66</v>
      </c>
      <c r="AG77" s="3714" t="str">
        <f>Fighters!V77</f>
        <v>gaogaen</v>
      </c>
    </row>
    <row r="78">
      <c r="A78" s="3700">
        <f>Fighters!A78</f>
        <v>70</v>
      </c>
      <c r="B78" s="3701" t="str">
        <f>Fighters!B78</f>
        <v>パックンフラワー</v>
      </c>
      <c r="C78" s="3719" t="s">
        <v>176</v>
      </c>
      <c r="D78" s="3720" t="b">
        <v>0</v>
      </c>
      <c r="E78" s="3720" t="b">
        <v>0</v>
      </c>
      <c r="F78" s="3720" t="b">
        <v>0</v>
      </c>
      <c r="G78" s="3721" t="b">
        <v>0</v>
      </c>
      <c r="H78" s="3149">
        <v>3.0</v>
      </c>
      <c r="I78" s="3722">
        <v>2.0</v>
      </c>
      <c r="J78" s="3723" t="s">
        <v>73</v>
      </c>
      <c r="K78" s="256">
        <f t="shared" si="1"/>
        <v>5</v>
      </c>
      <c r="L78" s="3722">
        <v>10.0</v>
      </c>
      <c r="M78" s="256">
        <f t="shared" si="2"/>
        <v>87</v>
      </c>
      <c r="N78" s="3724">
        <v>24.0</v>
      </c>
      <c r="O78" s="3149">
        <v>31.0</v>
      </c>
      <c r="P78" s="3722">
        <v>45.0</v>
      </c>
      <c r="Q78" s="3722">
        <v>23.0</v>
      </c>
      <c r="R78" s="3724">
        <v>34.0</v>
      </c>
      <c r="S78" s="2880">
        <f t="shared" si="3"/>
        <v>9</v>
      </c>
      <c r="T78" s="3707">
        <f>IFERROR(__xludf.DUMMYFUNCTION("VALUE(IFERROR(VLOOKUP($AG78, IMPORTRANGE(""https://docs.google.com/spreadsheets/d/1UdH2L0xi8dO6jyPCcO5e5-8j7SGzezxkeZuF1uP8uOw"",""fighter_param (""&amp;TO_TEXT($A$1)&amp;"")!B4:JZ""), 32, FALSE), """"))"),112.0)</f>
        <v>112</v>
      </c>
      <c r="U78" s="2880">
        <f t="shared" si="4"/>
        <v>83</v>
      </c>
      <c r="V78" s="3707">
        <f>IFERROR(__xludf.DUMMYFUNCTION("VALUE(IFERROR(VLOOKUP($AG78, IMPORTRANGE(""https://docs.google.com/spreadsheets/d/1UdH2L0xi8dO6jyPCcO5e5-8j7SGzezxkeZuF1uP8uOw"",""fighter_param (""&amp;TO_TEXT($A$1)&amp;"")!B4:JZ""), 4, FALSE), """"))"),0.76)</f>
        <v>0.76</v>
      </c>
      <c r="W78" s="2880">
        <f t="shared" si="5"/>
        <v>44</v>
      </c>
      <c r="X78" s="3707">
        <f>IFERROR(__xludf.DUMMYFUNCTION("VALUE(IFERROR(VLOOKUP($AG78, IMPORTRANGE(""https://docs.google.com/spreadsheets/d/1UdH2L0xi8dO6jyPCcO5e5-8j7SGzezxkeZuF1uP8uOw"",""fighter_param (""&amp;TO_TEXT($A$1)&amp;"")!B4:JZ""), 12, FALSE), """"))"),1.72)</f>
        <v>1.72</v>
      </c>
      <c r="Y78" s="2880">
        <f t="shared" si="6"/>
        <v>58</v>
      </c>
      <c r="Z78" s="3707">
        <f>IFERROR(__xludf.DUMMYFUNCTION("VALUE(IFERROR(VLOOKUP($AG78, IMPORTRANGE(""https://docs.google.com/spreadsheets/d/1UdH2L0xi8dO6jyPCcO5e5-8j7SGzezxkeZuF1uP8uOw"",""fighter_param (""&amp;TO_TEXT($A$1)&amp;"")!B4:JZ""), 24, FALSE), """"))"),1.0)</f>
        <v>1</v>
      </c>
      <c r="AA78" s="2880">
        <f t="shared" si="7"/>
        <v>2</v>
      </c>
      <c r="AB78" s="3707">
        <f>IFERROR(__xludf.DUMMYFUNCTION("VALUE(IFERROR(VLOOKUP($AG78, IMPORTRANGE(""https://docs.google.com/spreadsheets/d/1UdH2L0xi8dO6jyPCcO5e5-8j7SGzezxkeZuF1uP8uOw"",""fighter_param (""&amp;TO_TEXT($A$1)&amp;"")!B4:JZ""), 27, FALSE), """"))"),1.95)</f>
        <v>1.95</v>
      </c>
      <c r="AC78" s="2880">
        <f t="shared" si="8"/>
        <v>27</v>
      </c>
      <c r="AD78" s="3707">
        <f>IFERROR(__xludf.DUMMYFUNCTION("VALUE(IFERROR(VLOOKUP($AG78, IMPORTRANGE(""https://docs.google.com/spreadsheets/d/1UdH2L0xi8dO6jyPCcO5e5-8j7SGzezxkeZuF1uP8uOw"",""fighter_param (""&amp;TO_TEXT($A$1)&amp;"")!B4:JZ""), 31, FALSE), """"))"),2.73)</f>
        <v>2.73</v>
      </c>
      <c r="AE78" s="3712">
        <f>Fighters!S78</f>
        <v>77</v>
      </c>
      <c r="AF78" s="3713">
        <f>Fighters!T78</f>
        <v>67</v>
      </c>
      <c r="AG78" s="3725" t="str">
        <f>Fighters!V78</f>
        <v>packun</v>
      </c>
    </row>
    <row r="79">
      <c r="A79" s="3700">
        <f>Fighters!A79</f>
        <v>71</v>
      </c>
      <c r="B79" s="3701" t="str">
        <f>Fighters!B79</f>
        <v>ジョーカー</v>
      </c>
      <c r="C79" s="3719" t="s">
        <v>176</v>
      </c>
      <c r="D79" s="3720" t="b">
        <v>0</v>
      </c>
      <c r="E79" s="3722" t="b">
        <v>1</v>
      </c>
      <c r="F79" s="3720" t="b">
        <v>0</v>
      </c>
      <c r="G79" s="3721" t="b">
        <v>0</v>
      </c>
      <c r="H79" s="3149">
        <v>3.0</v>
      </c>
      <c r="I79" s="3722">
        <v>2.0</v>
      </c>
      <c r="J79" s="3723" t="s">
        <v>73</v>
      </c>
      <c r="K79" s="256">
        <f t="shared" si="1"/>
        <v>5</v>
      </c>
      <c r="L79" s="3722">
        <v>10.0</v>
      </c>
      <c r="M79" s="256">
        <f t="shared" si="2"/>
        <v>13</v>
      </c>
      <c r="N79" s="3724">
        <v>19.0</v>
      </c>
      <c r="O79" s="3149">
        <v>30.0</v>
      </c>
      <c r="P79" s="3722">
        <v>45.0</v>
      </c>
      <c r="Q79" s="3722">
        <v>20.0</v>
      </c>
      <c r="R79" s="3724">
        <v>30.0</v>
      </c>
      <c r="S79" s="2880">
        <f t="shared" si="3"/>
        <v>52</v>
      </c>
      <c r="T79" s="3707">
        <f>IFERROR(__xludf.DUMMYFUNCTION("VALUE(IFERROR(VLOOKUP($AG79, IMPORTRANGE(""https://docs.google.com/spreadsheets/d/1UdH2L0xi8dO6jyPCcO5e5-8j7SGzezxkeZuF1uP8uOw"",""fighter_param (""&amp;TO_TEXT($A$1)&amp;"")!B4:JZ""), 32, FALSE), """"))"),93.0)</f>
        <v>93</v>
      </c>
      <c r="U79" s="2880">
        <f t="shared" si="4"/>
        <v>43</v>
      </c>
      <c r="V79" s="3707">
        <f>IFERROR(__xludf.DUMMYFUNCTION("VALUE(IFERROR(VLOOKUP($AG79, IMPORTRANGE(""https://docs.google.com/spreadsheets/d/1UdH2L0xi8dO6jyPCcO5e5-8j7SGzezxkeZuF1uP8uOw"",""fighter_param (""&amp;TO_TEXT($A$1)&amp;"")!B4:JZ""), 4, FALSE), """"))"),1.12)</f>
        <v>1.12</v>
      </c>
      <c r="W79" s="2880">
        <f t="shared" si="5"/>
        <v>18</v>
      </c>
      <c r="X79" s="3707">
        <f>IFERROR(__xludf.DUMMYFUNCTION("VALUE(IFERROR(VLOOKUP($AG79, IMPORTRANGE(""https://docs.google.com/spreadsheets/d/1UdH2L0xi8dO6jyPCcO5e5-8j7SGzezxkeZuF1uP8uOw"",""fighter_param (""&amp;TO_TEXT($A$1)&amp;"")!B4:JZ""), 12, FALSE), """"))"),2.06)</f>
        <v>2.06</v>
      </c>
      <c r="Y79" s="2880">
        <f t="shared" si="6"/>
        <v>37</v>
      </c>
      <c r="Z79" s="3707">
        <f>IFERROR(__xludf.DUMMYFUNCTION("VALUE(IFERROR(VLOOKUP($AG79, IMPORTRANGE(""https://docs.google.com/spreadsheets/d/1UdH2L0xi8dO6jyPCcO5e5-8j7SGzezxkeZuF1uP8uOw"",""fighter_param (""&amp;TO_TEXT($A$1)&amp;"")!B4:JZ""), 24, FALSE), """"))"),1.1)</f>
        <v>1.1</v>
      </c>
      <c r="AA79" s="2880">
        <f t="shared" si="7"/>
        <v>39</v>
      </c>
      <c r="AB79" s="3707">
        <f>IFERROR(__xludf.DUMMYFUNCTION("VALUE(IFERROR(VLOOKUP($AG79, IMPORTRANGE(""https://docs.google.com/spreadsheets/d/1UdH2L0xi8dO6jyPCcO5e5-8j7SGzezxkeZuF1uP8uOw"",""fighter_param (""&amp;TO_TEXT($A$1)&amp;"")!B4:JZ""), 27, FALSE), """"))"),1.63)</f>
        <v>1.63</v>
      </c>
      <c r="AC79" s="2880">
        <f t="shared" si="8"/>
        <v>4</v>
      </c>
      <c r="AD79" s="3707">
        <f>IFERROR(__xludf.DUMMYFUNCTION("VALUE(IFERROR(VLOOKUP($AG79, IMPORTRANGE(""https://docs.google.com/spreadsheets/d/1UdH2L0xi8dO6jyPCcO5e5-8j7SGzezxkeZuF1uP8uOw"",""fighter_param (""&amp;TO_TEXT($A$1)&amp;"")!B4:JZ""), 31, FALSE), """"))"),3.097)</f>
        <v>3.097</v>
      </c>
      <c r="AE79" s="3726">
        <f>Fighters!S79</f>
        <v>78</v>
      </c>
      <c r="AF79" s="3715">
        <f>Fighters!T79</f>
        <v>68</v>
      </c>
      <c r="AG79" s="3725" t="str">
        <f>Fighters!V79</f>
        <v>jack</v>
      </c>
    </row>
    <row r="80">
      <c r="A80" s="3700">
        <f>Fighters!A80</f>
        <v>72</v>
      </c>
      <c r="B80" s="3701" t="str">
        <f>Fighters!B80</f>
        <v>勇者</v>
      </c>
      <c r="C80" s="3422" t="s">
        <v>176</v>
      </c>
      <c r="D80" s="3702" t="b">
        <v>0</v>
      </c>
      <c r="E80" s="3702" t="b">
        <v>0</v>
      </c>
      <c r="F80" s="3702" t="b">
        <v>0</v>
      </c>
      <c r="G80" s="3703" t="b">
        <v>0</v>
      </c>
      <c r="H80" s="544">
        <v>3.0</v>
      </c>
      <c r="I80" s="3704">
        <v>2.0</v>
      </c>
      <c r="J80" s="3727" t="s">
        <v>73</v>
      </c>
      <c r="K80" s="256">
        <f t="shared" si="1"/>
        <v>5</v>
      </c>
      <c r="L80" s="3704">
        <v>10.0</v>
      </c>
      <c r="M80" s="256">
        <f t="shared" si="2"/>
        <v>13</v>
      </c>
      <c r="N80" s="3706">
        <v>19.0</v>
      </c>
      <c r="O80" s="544">
        <v>36.0</v>
      </c>
      <c r="P80" s="3704">
        <v>47.0</v>
      </c>
      <c r="Q80" s="3704">
        <v>25.0</v>
      </c>
      <c r="R80" s="3706">
        <v>33.0</v>
      </c>
      <c r="S80" s="2880">
        <f t="shared" si="3"/>
        <v>30</v>
      </c>
      <c r="T80" s="3707">
        <f>IFERROR(__xludf.DUMMYFUNCTION("VALUE(IFERROR(VLOOKUP($AG80, IMPORTRANGE(""https://docs.google.com/spreadsheets/d/1UdH2L0xi8dO6jyPCcO5e5-8j7SGzezxkeZuF1uP8uOw"",""fighter_param (""&amp;TO_TEXT($A$1)&amp;"")!B4:JZ""), 32, FALSE), """"))"),101.0)</f>
        <v>101</v>
      </c>
      <c r="U80" s="2880">
        <f t="shared" si="4"/>
        <v>58</v>
      </c>
      <c r="V80" s="3707">
        <f>IFERROR(__xludf.DUMMYFUNCTION("VALUE(IFERROR(VLOOKUP($AG80, IMPORTRANGE(""https://docs.google.com/spreadsheets/d/1UdH2L0xi8dO6jyPCcO5e5-8j7SGzezxkeZuF1uP8uOw"",""fighter_param (""&amp;TO_TEXT($A$1)&amp;"")!B4:JZ""), 4, FALSE), """"))"),0.98)</f>
        <v>0.98</v>
      </c>
      <c r="W80" s="2880">
        <f t="shared" si="5"/>
        <v>32</v>
      </c>
      <c r="X80" s="3707">
        <f>IFERROR(__xludf.DUMMYFUNCTION("VALUE(IFERROR(VLOOKUP($AG80, IMPORTRANGE(""https://docs.google.com/spreadsheets/d/1UdH2L0xi8dO6jyPCcO5e5-8j7SGzezxkeZuF1uP8uOw"",""fighter_param (""&amp;TO_TEXT($A$1)&amp;"")!B4:JZ""), 12, FALSE), """"))"),1.84)</f>
        <v>1.84</v>
      </c>
      <c r="Y80" s="2880">
        <f t="shared" si="6"/>
        <v>55</v>
      </c>
      <c r="Z80" s="3707">
        <f>IFERROR(__xludf.DUMMYFUNCTION("VALUE(IFERROR(VLOOKUP($AG80, IMPORTRANGE(""https://docs.google.com/spreadsheets/d/1UdH2L0xi8dO6jyPCcO5e5-8j7SGzezxkeZuF1uP8uOw"",""fighter_param (""&amp;TO_TEXT($A$1)&amp;"")!B4:JZ""), 24, FALSE), """"))"),1.01)</f>
        <v>1.01</v>
      </c>
      <c r="AA80" s="2880">
        <f t="shared" si="7"/>
        <v>52</v>
      </c>
      <c r="AB80" s="3707">
        <f>IFERROR(__xludf.DUMMYFUNCTION("VALUE(IFERROR(VLOOKUP($AG80, IMPORTRANGE(""https://docs.google.com/spreadsheets/d/1UdH2L0xi8dO6jyPCcO5e5-8j7SGzezxkeZuF1uP8uOw"",""fighter_param (""&amp;TO_TEXT($A$1)&amp;"")!B4:JZ""), 27, FALSE), """"))"),1.57)</f>
        <v>1.57</v>
      </c>
      <c r="AC80" s="2880">
        <f t="shared" si="8"/>
        <v>49</v>
      </c>
      <c r="AD80" s="3707">
        <f>IFERROR(__xludf.DUMMYFUNCTION("VALUE(IFERROR(VLOOKUP($AG80, IMPORTRANGE(""https://docs.google.com/spreadsheets/d/1UdH2L0xi8dO6jyPCcO5e5-8j7SGzezxkeZuF1uP8uOw"",""fighter_param (""&amp;TO_TEXT($A$1)&amp;"")!B4:JZ""), 31, FALSE), """"))"),2.512)</f>
        <v>2.512</v>
      </c>
      <c r="AE80" s="3726">
        <f>Fighters!S80</f>
        <v>79</v>
      </c>
      <c r="AF80" s="3715">
        <f>Fighters!T80</f>
        <v>69</v>
      </c>
      <c r="AG80" s="3725" t="str">
        <f>Fighters!V80</f>
        <v>brave</v>
      </c>
    </row>
    <row r="81">
      <c r="A81" s="3700">
        <f>Fighters!A81</f>
        <v>73</v>
      </c>
      <c r="B81" s="3701" t="str">
        <f>Fighters!B81</f>
        <v>バンジョー&amp;カズーイ</v>
      </c>
      <c r="C81" s="3422" t="s">
        <v>204</v>
      </c>
      <c r="D81" s="3702" t="b">
        <v>0</v>
      </c>
      <c r="E81" s="3702" t="b">
        <v>0</v>
      </c>
      <c r="F81" s="3702" t="b">
        <v>0</v>
      </c>
      <c r="G81" s="3703" t="b">
        <v>0</v>
      </c>
      <c r="H81" s="544">
        <v>3.0</v>
      </c>
      <c r="I81" s="3704">
        <v>2.0</v>
      </c>
      <c r="J81" s="3727" t="s">
        <v>73</v>
      </c>
      <c r="K81" s="256">
        <f t="shared" si="1"/>
        <v>5</v>
      </c>
      <c r="L81" s="3704">
        <v>10.0</v>
      </c>
      <c r="M81" s="256">
        <f t="shared" si="2"/>
        <v>13</v>
      </c>
      <c r="N81" s="3706">
        <v>19.0</v>
      </c>
      <c r="O81" s="544">
        <v>36.0</v>
      </c>
      <c r="P81" s="3704">
        <v>44.0</v>
      </c>
      <c r="Q81" s="3704">
        <v>25.0</v>
      </c>
      <c r="R81" s="3706">
        <v>31.0</v>
      </c>
      <c r="S81" s="2880">
        <f t="shared" si="3"/>
        <v>19</v>
      </c>
      <c r="T81" s="3707">
        <f>IFERROR(__xludf.DUMMYFUNCTION("VALUE(IFERROR(VLOOKUP($AG81, IMPORTRANGE(""https://docs.google.com/spreadsheets/d/1UdH2L0xi8dO6jyPCcO5e5-8j7SGzezxkeZuF1uP8uOw"",""fighter_param (""&amp;TO_TEXT($A$1)&amp;"")!B4:JZ""), 32, FALSE), """"))"),106.0)</f>
        <v>106</v>
      </c>
      <c r="U81" s="2880">
        <f t="shared" si="4"/>
        <v>52</v>
      </c>
      <c r="V81" s="3707">
        <f>IFERROR(__xludf.DUMMYFUNCTION("VALUE(IFERROR(VLOOKUP($AG81, IMPORTRANGE(""https://docs.google.com/spreadsheets/d/1UdH2L0xi8dO6jyPCcO5e5-8j7SGzezxkeZuF1uP8uOw"",""fighter_param (""&amp;TO_TEXT($A$1)&amp;"")!B4:JZ""), 4, FALSE), """"))"),1.06)</f>
        <v>1.06</v>
      </c>
      <c r="W81" s="2880">
        <f t="shared" si="5"/>
        <v>12</v>
      </c>
      <c r="X81" s="3707">
        <f>IFERROR(__xludf.DUMMYFUNCTION("VALUE(IFERROR(VLOOKUP($AG81, IMPORTRANGE(""https://docs.google.com/spreadsheets/d/1UdH2L0xi8dO6jyPCcO5e5-8j7SGzezxkeZuF1uP8uOw"",""fighter_param (""&amp;TO_TEXT($A$1)&amp;"")!B4:JZ""), 12, FALSE), """"))"),2.18)</f>
        <v>2.18</v>
      </c>
      <c r="Y81" s="2880">
        <f t="shared" si="6"/>
        <v>78</v>
      </c>
      <c r="Z81" s="3707">
        <f>IFERROR(__xludf.DUMMYFUNCTION("VALUE(IFERROR(VLOOKUP($AG81, IMPORTRANGE(""https://docs.google.com/spreadsheets/d/1UdH2L0xi8dO6jyPCcO5e5-8j7SGzezxkeZuF1uP8uOw"",""fighter_param (""&amp;TO_TEXT($A$1)&amp;"")!B4:JZ""), 24, FALSE), """"))"),0.92)</f>
        <v>0.92</v>
      </c>
      <c r="AA81" s="2880">
        <f t="shared" si="7"/>
        <v>22</v>
      </c>
      <c r="AB81" s="3707">
        <f>IFERROR(__xludf.DUMMYFUNCTION("VALUE(IFERROR(VLOOKUP($AG81, IMPORTRANGE(""https://docs.google.com/spreadsheets/d/1UdH2L0xi8dO6jyPCcO5e5-8j7SGzezxkeZuF1uP8uOw"",""fighter_param (""&amp;TO_TEXT($A$1)&amp;"")!B4:JZ""), 27, FALSE), """"))"),1.76)</f>
        <v>1.76</v>
      </c>
      <c r="AC81" s="2880">
        <f t="shared" si="8"/>
        <v>22</v>
      </c>
      <c r="AD81" s="3707">
        <f>IFERROR(__xludf.DUMMYFUNCTION("VALUE(IFERROR(VLOOKUP($AG81, IMPORTRANGE(""https://docs.google.com/spreadsheets/d/1UdH2L0xi8dO6jyPCcO5e5-8j7SGzezxkeZuF1uP8uOw"",""fighter_param (""&amp;TO_TEXT($A$1)&amp;"")!B4:JZ""), 31, FALSE), """"))"),2.816)</f>
        <v>2.816</v>
      </c>
      <c r="AE81" s="3726">
        <f>Fighters!S81</f>
        <v>80</v>
      </c>
      <c r="AF81" s="3715">
        <f>Fighters!T81</f>
        <v>70</v>
      </c>
      <c r="AG81" s="3725" t="str">
        <f>Fighters!V81</f>
        <v>buddy</v>
      </c>
    </row>
    <row r="82">
      <c r="A82" s="3700">
        <f>Fighters!A82</f>
        <v>74</v>
      </c>
      <c r="B82" s="3701" t="str">
        <f>Fighters!B82</f>
        <v>テリー</v>
      </c>
      <c r="C82" s="3422" t="s">
        <v>176</v>
      </c>
      <c r="D82" s="3702" t="b">
        <v>0</v>
      </c>
      <c r="E82" s="3702" t="b">
        <v>0</v>
      </c>
      <c r="F82" s="3702" t="b">
        <v>0</v>
      </c>
      <c r="G82" s="3703" t="b">
        <v>0</v>
      </c>
      <c r="H82" s="544">
        <v>3.0</v>
      </c>
      <c r="I82" s="3704">
        <v>2.0</v>
      </c>
      <c r="J82" s="3727" t="s">
        <v>73</v>
      </c>
      <c r="K82" s="256">
        <f t="shared" si="1"/>
        <v>5</v>
      </c>
      <c r="L82" s="3704">
        <v>10.0</v>
      </c>
      <c r="M82" s="256">
        <f t="shared" si="2"/>
        <v>13</v>
      </c>
      <c r="N82" s="3706">
        <v>19.0</v>
      </c>
      <c r="O82" s="544">
        <v>36.0</v>
      </c>
      <c r="P82" s="3704">
        <v>46.0</v>
      </c>
      <c r="Q82" s="3704">
        <v>25.0</v>
      </c>
      <c r="R82" s="3706">
        <v>32.0</v>
      </c>
      <c r="S82" s="2880">
        <f t="shared" si="3"/>
        <v>10</v>
      </c>
      <c r="T82" s="3707">
        <f>IFERROR(__xludf.DUMMYFUNCTION("VALUE(IFERROR(VLOOKUP($AG82, IMPORTRANGE(""https://docs.google.com/spreadsheets/d/1UdH2L0xi8dO6jyPCcO5e5-8j7SGzezxkeZuF1uP8uOw"",""fighter_param (""&amp;TO_TEXT($A$1)&amp;"")!B4:JZ""), 32, FALSE), """"))"),108.0)</f>
        <v>108</v>
      </c>
      <c r="U82" s="2880">
        <f t="shared" si="4"/>
        <v>77</v>
      </c>
      <c r="V82" s="3707">
        <f>IFERROR(__xludf.DUMMYFUNCTION("VALUE(IFERROR(VLOOKUP($AG82, IMPORTRANGE(""https://docs.google.com/spreadsheets/d/1UdH2L0xi8dO6jyPCcO5e5-8j7SGzezxkeZuF1uP8uOw"",""fighter_param (""&amp;TO_TEXT($A$1)&amp;"")!B4:JZ""), 4, FALSE), """"))"),0.85)</f>
        <v>0.85</v>
      </c>
      <c r="W82" s="2880">
        <f t="shared" si="5"/>
        <v>44</v>
      </c>
      <c r="X82" s="3707">
        <f>IFERROR(__xludf.DUMMYFUNCTION("VALUE(IFERROR(VLOOKUP($AG82, IMPORTRANGE(""https://docs.google.com/spreadsheets/d/1UdH2L0xi8dO6jyPCcO5e5-8j7SGzezxkeZuF1uP8uOw"",""fighter_param (""&amp;TO_TEXT($A$1)&amp;"")!B4:JZ""), 12, FALSE), """"))"),1.72)</f>
        <v>1.72</v>
      </c>
      <c r="Y82" s="2880">
        <f t="shared" si="6"/>
        <v>67</v>
      </c>
      <c r="Z82" s="3707">
        <f>IFERROR(__xludf.DUMMYFUNCTION("VALUE(IFERROR(VLOOKUP($AG82, IMPORTRANGE(""https://docs.google.com/spreadsheets/d/1UdH2L0xi8dO6jyPCcO5e5-8j7SGzezxkeZuF1uP8uOw"",""fighter_param (""&amp;TO_TEXT($A$1)&amp;"")!B4:JZ""), 24, FALSE), """"))"),0.95)</f>
        <v>0.95</v>
      </c>
      <c r="AA82" s="2880">
        <f t="shared" si="7"/>
        <v>62</v>
      </c>
      <c r="AB82" s="3707">
        <f>IFERROR(__xludf.DUMMYFUNCTION("VALUE(IFERROR(VLOOKUP($AG82, IMPORTRANGE(""https://docs.google.com/spreadsheets/d/1UdH2L0xi8dO6jyPCcO5e5-8j7SGzezxkeZuF1uP8uOw"",""fighter_param (""&amp;TO_TEXT($A$1)&amp;"")!B4:JZ""), 27, FALSE), """"))"),1.48)</f>
        <v>1.48</v>
      </c>
      <c r="AC82" s="2880">
        <f t="shared" si="8"/>
        <v>60</v>
      </c>
      <c r="AD82" s="3707">
        <f>IFERROR(__xludf.DUMMYFUNCTION("VALUE(IFERROR(VLOOKUP($AG82, IMPORTRANGE(""https://docs.google.com/spreadsheets/d/1UdH2L0xi8dO6jyPCcO5e5-8j7SGzezxkeZuF1uP8uOw"",""fighter_param (""&amp;TO_TEXT($A$1)&amp;"")!B4:JZ""), 31, FALSE), """"))"),2.368)</f>
        <v>2.368</v>
      </c>
      <c r="AE82" s="3726">
        <f>Fighters!S82</f>
        <v>81</v>
      </c>
      <c r="AF82" s="3715">
        <f>Fighters!T82</f>
        <v>71</v>
      </c>
      <c r="AG82" s="3725" t="str">
        <f>Fighters!V82</f>
        <v>dolly</v>
      </c>
    </row>
    <row r="83">
      <c r="A83" s="3700">
        <f>Fighters!A83</f>
        <v>75</v>
      </c>
      <c r="B83" s="3701" t="str">
        <f>Fighters!B83</f>
        <v>ベレト／ベレス</v>
      </c>
      <c r="C83" s="3422" t="s">
        <v>176</v>
      </c>
      <c r="D83" s="3702" t="b">
        <v>0</v>
      </c>
      <c r="E83" s="3702" t="b">
        <v>0</v>
      </c>
      <c r="F83" s="3702" t="b">
        <v>0</v>
      </c>
      <c r="G83" s="3703" t="b">
        <v>0</v>
      </c>
      <c r="H83" s="544">
        <v>3.0</v>
      </c>
      <c r="I83" s="3704">
        <v>2.0</v>
      </c>
      <c r="J83" s="3727" t="s">
        <v>73</v>
      </c>
      <c r="K83" s="256">
        <f t="shared" si="1"/>
        <v>5</v>
      </c>
      <c r="L83" s="3704">
        <v>10.0</v>
      </c>
      <c r="M83" s="256">
        <f t="shared" si="2"/>
        <v>13</v>
      </c>
      <c r="N83" s="3706">
        <v>19.0</v>
      </c>
      <c r="O83" s="544">
        <v>35.0</v>
      </c>
      <c r="P83" s="3704">
        <v>45.0</v>
      </c>
      <c r="Q83" s="3704">
        <v>24.0</v>
      </c>
      <c r="R83" s="3706">
        <v>31.0</v>
      </c>
      <c r="S83" s="2880">
        <f t="shared" si="3"/>
        <v>37</v>
      </c>
      <c r="T83" s="3707">
        <f>IFERROR(__xludf.DUMMYFUNCTION("VALUE(IFERROR(VLOOKUP($AG83, IMPORTRANGE(""https://docs.google.com/spreadsheets/d/1UdH2L0xi8dO6jyPCcO5e5-8j7SGzezxkeZuF1uP8uOw"",""fighter_param (""&amp;TO_TEXT($A$1)&amp;"")!B4:JZ""), 32, FALSE), """"))"),97.0)</f>
        <v>97</v>
      </c>
      <c r="U83" s="2880">
        <f t="shared" si="4"/>
        <v>81</v>
      </c>
      <c r="V83" s="3707">
        <f>IFERROR(__xludf.DUMMYFUNCTION("VALUE(IFERROR(VLOOKUP($AG83, IMPORTRANGE(""https://docs.google.com/spreadsheets/d/1UdH2L0xi8dO6jyPCcO5e5-8j7SGzezxkeZuF1uP8uOw"",""fighter_param (""&amp;TO_TEXT($A$1)&amp;"")!B4:JZ""), 4, FALSE), """"))"),0.78)</f>
        <v>0.78</v>
      </c>
      <c r="W83" s="2880">
        <f t="shared" si="5"/>
        <v>80</v>
      </c>
      <c r="X83" s="3707">
        <f>IFERROR(__xludf.DUMMYFUNCTION("VALUE(IFERROR(VLOOKUP($AG83, IMPORTRANGE(""https://docs.google.com/spreadsheets/d/1UdH2L0xi8dO6jyPCcO5e5-8j7SGzezxkeZuF1uP8uOw"",""fighter_param (""&amp;TO_TEXT($A$1)&amp;"")!B4:JZ""), 12, FALSE), """"))"),1.43)</f>
        <v>1.43</v>
      </c>
      <c r="Y83" s="2880">
        <f t="shared" si="6"/>
        <v>79</v>
      </c>
      <c r="Z83" s="3707">
        <f>IFERROR(__xludf.DUMMYFUNCTION("VALUE(IFERROR(VLOOKUP($AG83, IMPORTRANGE(""https://docs.google.com/spreadsheets/d/1UdH2L0xi8dO6jyPCcO5e5-8j7SGzezxkeZuF1uP8uOw"",""fighter_param (""&amp;TO_TEXT($A$1)&amp;"")!B4:JZ""), 24, FALSE), """"))"),0.89)</f>
        <v>0.89</v>
      </c>
      <c r="AA83" s="2880">
        <f t="shared" si="7"/>
        <v>43</v>
      </c>
      <c r="AB83" s="3707">
        <f>IFERROR(__xludf.DUMMYFUNCTION("VALUE(IFERROR(VLOOKUP($AG83, IMPORTRANGE(""https://docs.google.com/spreadsheets/d/1UdH2L0xi8dO6jyPCcO5e5-8j7SGzezxkeZuF1uP8uOw"",""fighter_param (""&amp;TO_TEXT($A$1)&amp;"")!B4:JZ""), 27, FALSE), """"))"),1.6)</f>
        <v>1.6</v>
      </c>
      <c r="AC83" s="2880">
        <f t="shared" si="8"/>
        <v>43</v>
      </c>
      <c r="AD83" s="3707">
        <f>IFERROR(__xludf.DUMMYFUNCTION("VALUE(IFERROR(VLOOKUP($AG83, IMPORTRANGE(""https://docs.google.com/spreadsheets/d/1UdH2L0xi8dO6jyPCcO5e5-8j7SGzezxkeZuF1uP8uOw"",""fighter_param (""&amp;TO_TEXT($A$1)&amp;"")!B4:JZ""), 31, FALSE), """"))"),2.56)</f>
        <v>2.56</v>
      </c>
      <c r="AE83" s="3726">
        <f>Fighters!S83</f>
        <v>82</v>
      </c>
      <c r="AF83" s="3715">
        <f>Fighters!T83</f>
        <v>72</v>
      </c>
      <c r="AG83" s="3725" t="str">
        <f>Fighters!V83</f>
        <v>master</v>
      </c>
    </row>
    <row r="84">
      <c r="A84" s="3700">
        <f>Fighters!A84</f>
        <v>76</v>
      </c>
      <c r="B84" s="3701" t="str">
        <f>Fighters!B84</f>
        <v>ミェンミェン</v>
      </c>
      <c r="C84" s="3422" t="s">
        <v>176</v>
      </c>
      <c r="D84" s="3702" t="b">
        <v>0</v>
      </c>
      <c r="E84" s="3702" t="b">
        <v>0</v>
      </c>
      <c r="F84" s="3702" t="b">
        <v>0</v>
      </c>
      <c r="G84" s="3703" t="b">
        <v>0</v>
      </c>
      <c r="H84" s="544">
        <v>3.0</v>
      </c>
      <c r="I84" s="3704">
        <v>2.0</v>
      </c>
      <c r="J84" s="3727" t="s">
        <v>73</v>
      </c>
      <c r="K84" s="256">
        <f t="shared" si="1"/>
        <v>5</v>
      </c>
      <c r="L84" s="3704">
        <v>10.0</v>
      </c>
      <c r="M84" s="256">
        <f t="shared" si="2"/>
        <v>13</v>
      </c>
      <c r="N84" s="3706">
        <v>19.0</v>
      </c>
      <c r="O84" s="544">
        <v>34.0</v>
      </c>
      <c r="P84" s="3704">
        <v>46.0</v>
      </c>
      <c r="Q84" s="3704">
        <v>24.0</v>
      </c>
      <c r="R84" s="3706">
        <v>33.0</v>
      </c>
      <c r="S84" s="2880">
        <f t="shared" si="3"/>
        <v>22</v>
      </c>
      <c r="T84" s="3707">
        <f>IFERROR(__xludf.DUMMYFUNCTION("VALUE(IFERROR(VLOOKUP($AG84, IMPORTRANGE(""https://docs.google.com/spreadsheets/d/1UdH2L0xi8dO6jyPCcO5e5-8j7SGzezxkeZuF1uP8uOw"",""fighter_param (""&amp;TO_TEXT($A$1)&amp;"")!B4:JZ""), 32, FALSE), """"))"),104.0)</f>
        <v>104</v>
      </c>
      <c r="U84" s="2880">
        <f t="shared" si="4"/>
        <v>53</v>
      </c>
      <c r="V84" s="3707">
        <f>IFERROR(__xludf.DUMMYFUNCTION("VALUE(IFERROR(VLOOKUP($AG84, IMPORTRANGE(""https://docs.google.com/spreadsheets/d/1UdH2L0xi8dO6jyPCcO5e5-8j7SGzezxkeZuF1uP8uOw"",""fighter_param (""&amp;TO_TEXT($A$1)&amp;"")!B4:JZ""), 4, FALSE), """"))"),1.05)</f>
        <v>1.05</v>
      </c>
      <c r="W84" s="2880">
        <f t="shared" si="5"/>
        <v>68</v>
      </c>
      <c r="X84" s="3707">
        <f>IFERROR(__xludf.DUMMYFUNCTION("VALUE(IFERROR(VLOOKUP($AG84, IMPORTRANGE(""https://docs.google.com/spreadsheets/d/1UdH2L0xi8dO6jyPCcO5e5-8j7SGzezxkeZuF1uP8uOw"",""fighter_param (""&amp;TO_TEXT($A$1)&amp;"")!B4:JZ""), 12, FALSE), """"))"),1.55)</f>
        <v>1.55</v>
      </c>
      <c r="Y84" s="2880">
        <f t="shared" si="6"/>
        <v>84</v>
      </c>
      <c r="Z84" s="3707">
        <f>IFERROR(__xludf.DUMMYFUNCTION("VALUE(IFERROR(VLOOKUP($AG84, IMPORTRANGE(""https://docs.google.com/spreadsheets/d/1UdH2L0xi8dO6jyPCcO5e5-8j7SGzezxkeZuF1uP8uOw"",""fighter_param (""&amp;TO_TEXT($A$1)&amp;"")!B4:JZ""), 24, FALSE), """"))"),0.85)</f>
        <v>0.85</v>
      </c>
      <c r="AA84" s="2880">
        <f t="shared" si="7"/>
        <v>57</v>
      </c>
      <c r="AB84" s="3707">
        <f>IFERROR(__xludf.DUMMYFUNCTION("VALUE(IFERROR(VLOOKUP($AG84, IMPORTRANGE(""https://docs.google.com/spreadsheets/d/1UdH2L0xi8dO6jyPCcO5e5-8j7SGzezxkeZuF1uP8uOw"",""fighter_param (""&amp;TO_TEXT($A$1)&amp;"")!B4:JZ""), 27, FALSE), """"))"),1.52)</f>
        <v>1.52</v>
      </c>
      <c r="AC84" s="2880">
        <f t="shared" si="8"/>
        <v>55</v>
      </c>
      <c r="AD84" s="3707">
        <f>IFERROR(__xludf.DUMMYFUNCTION("VALUE(IFERROR(VLOOKUP($AG84, IMPORTRANGE(""https://docs.google.com/spreadsheets/d/1UdH2L0xi8dO6jyPCcO5e5-8j7SGzezxkeZuF1uP8uOw"",""fighter_param (""&amp;TO_TEXT($A$1)&amp;"")!B4:JZ""), 31, FALSE), """"))"),2.432)</f>
        <v>2.432</v>
      </c>
      <c r="AE84" s="3726">
        <f>Fighters!S84</f>
        <v>83</v>
      </c>
      <c r="AF84" s="3715">
        <f>Fighters!T84</f>
        <v>73</v>
      </c>
      <c r="AG84" s="3725" t="str">
        <f>Fighters!V84</f>
        <v>tantan</v>
      </c>
    </row>
    <row r="85">
      <c r="A85" s="3700">
        <f>Fighters!A85</f>
        <v>77</v>
      </c>
      <c r="B85" s="3701" t="str">
        <f>Fighters!B85</f>
        <v>スティーブ／アレックス</v>
      </c>
      <c r="C85" s="3422" t="s">
        <v>176</v>
      </c>
      <c r="D85" s="3704" t="b">
        <v>1</v>
      </c>
      <c r="E85" s="3702" t="b">
        <v>0</v>
      </c>
      <c r="F85" s="3702" t="b">
        <v>0</v>
      </c>
      <c r="G85" s="3703" t="b">
        <v>0</v>
      </c>
      <c r="H85" s="544">
        <v>3.0</v>
      </c>
      <c r="I85" s="3704">
        <v>2.0</v>
      </c>
      <c r="J85" s="3727" t="s">
        <v>73</v>
      </c>
      <c r="K85" s="256">
        <f t="shared" si="1"/>
        <v>5</v>
      </c>
      <c r="L85" s="3704">
        <v>10.0</v>
      </c>
      <c r="M85" s="256">
        <f t="shared" si="2"/>
        <v>13</v>
      </c>
      <c r="N85" s="3706">
        <v>19.0</v>
      </c>
      <c r="O85" s="544">
        <v>33.0</v>
      </c>
      <c r="P85" s="3704">
        <v>40.0</v>
      </c>
      <c r="Q85" s="3704">
        <v>22.0</v>
      </c>
      <c r="R85" s="3706">
        <v>27.0</v>
      </c>
      <c r="S85" s="2880">
        <f t="shared" si="3"/>
        <v>53</v>
      </c>
      <c r="T85" s="3707">
        <f>IFERROR(__xludf.DUMMYFUNCTION("VALUE(IFERROR(VLOOKUP($AG85, IMPORTRANGE(""https://docs.google.com/spreadsheets/d/1UdH2L0xi8dO6jyPCcO5e5-8j7SGzezxkeZuF1uP8uOw"",""fighter_param (""&amp;TO_TEXT($A$1)&amp;"")!B4:JZ""), 32, FALSE), """"))"),92.0)</f>
        <v>92</v>
      </c>
      <c r="U85" s="2880">
        <f t="shared" si="4"/>
        <v>77</v>
      </c>
      <c r="V85" s="3707">
        <f>IFERROR(__xludf.DUMMYFUNCTION("VALUE(IFERROR(VLOOKUP($AG85, IMPORTRANGE(""https://docs.google.com/spreadsheets/d/1UdH2L0xi8dO6jyPCcO5e5-8j7SGzezxkeZuF1uP8uOw"",""fighter_param (""&amp;TO_TEXT($A$1)&amp;"")!B4:JZ""), 4, FALSE), """"))"),0.85)</f>
        <v>0.85</v>
      </c>
      <c r="W85" s="2880">
        <f t="shared" si="5"/>
        <v>79</v>
      </c>
      <c r="X85" s="3707">
        <f>IFERROR(__xludf.DUMMYFUNCTION("VALUE(IFERROR(VLOOKUP($AG85, IMPORTRANGE(""https://docs.google.com/spreadsheets/d/1UdH2L0xi8dO6jyPCcO5e5-8j7SGzezxkeZuF1uP8uOw"",""fighter_param (""&amp;TO_TEXT($A$1)&amp;"")!B4:JZ""), 12, FALSE), """"))"),1.45)</f>
        <v>1.45</v>
      </c>
      <c r="Y85" s="2880">
        <f t="shared" si="6"/>
        <v>83</v>
      </c>
      <c r="Z85" s="3707">
        <f>IFERROR(__xludf.DUMMYFUNCTION("VALUE(IFERROR(VLOOKUP($AG85, IMPORTRANGE(""https://docs.google.com/spreadsheets/d/1UdH2L0xi8dO6jyPCcO5e5-8j7SGzezxkeZuF1uP8uOw"",""fighter_param (""&amp;TO_TEXT($A$1)&amp;"")!B4:JZ""), 24, FALSE), """"))"),0.86)</f>
        <v>0.86</v>
      </c>
      <c r="AA85" s="2880">
        <f t="shared" si="7"/>
        <v>67</v>
      </c>
      <c r="AB85" s="3707">
        <f>IFERROR(__xludf.DUMMYFUNCTION("VALUE(IFERROR(VLOOKUP($AG85, IMPORTRANGE(""https://docs.google.com/spreadsheets/d/1UdH2L0xi8dO6jyPCcO5e5-8j7SGzezxkeZuF1uP8uOw"",""fighter_param (""&amp;TO_TEXT($A$1)&amp;"")!B4:JZ""), 27, FALSE), """"))"),1.42)</f>
        <v>1.42</v>
      </c>
      <c r="AC85" s="2880">
        <f t="shared" si="8"/>
        <v>65</v>
      </c>
      <c r="AD85" s="3707">
        <f>IFERROR(__xludf.DUMMYFUNCTION("VALUE(IFERROR(VLOOKUP($AG85, IMPORTRANGE(""https://docs.google.com/spreadsheets/d/1UdH2L0xi8dO6jyPCcO5e5-8j7SGzezxkeZuF1uP8uOw"",""fighter_param (""&amp;TO_TEXT($A$1)&amp;"")!B4:JZ""), 31, FALSE), """"))"),2.272)</f>
        <v>2.272</v>
      </c>
      <c r="AE85" s="3726">
        <f>Fighters!S85</f>
        <v>84</v>
      </c>
      <c r="AF85" s="3715">
        <f>Fighters!T85</f>
        <v>74</v>
      </c>
      <c r="AG85" s="3725" t="str">
        <f>Fighters!V85</f>
        <v>pickel</v>
      </c>
    </row>
    <row r="86">
      <c r="A86" s="3700">
        <f>Fighters!A86</f>
        <v>78</v>
      </c>
      <c r="B86" s="3701" t="str">
        <f>Fighters!B86</f>
        <v>セフィロス</v>
      </c>
      <c r="C86" s="3422" t="s">
        <v>7289</v>
      </c>
      <c r="D86" s="3702" t="b">
        <v>0</v>
      </c>
      <c r="E86" s="3702" t="b">
        <v>0</v>
      </c>
      <c r="F86" s="3702" t="b">
        <v>0</v>
      </c>
      <c r="G86" s="3703" t="b">
        <v>0</v>
      </c>
      <c r="H86" s="544">
        <v>3.0</v>
      </c>
      <c r="I86" s="3704">
        <v>2.0</v>
      </c>
      <c r="J86" s="3727" t="s">
        <v>73</v>
      </c>
      <c r="K86" s="256">
        <f t="shared" si="1"/>
        <v>5</v>
      </c>
      <c r="L86" s="3704">
        <v>10.0</v>
      </c>
      <c r="M86" s="256">
        <f t="shared" si="2"/>
        <v>13</v>
      </c>
      <c r="N86" s="3706">
        <v>19.0</v>
      </c>
      <c r="O86" s="3704" t="s">
        <v>7290</v>
      </c>
      <c r="P86" s="544" t="s">
        <v>7291</v>
      </c>
      <c r="Q86" s="3704" t="s">
        <v>7292</v>
      </c>
      <c r="R86" s="3706" t="s">
        <v>7293</v>
      </c>
      <c r="S86" s="2880">
        <f t="shared" si="3"/>
        <v>79</v>
      </c>
      <c r="T86" s="3707">
        <f>IFERROR(__xludf.DUMMYFUNCTION("VALUE(IFERROR(VLOOKUP($AG86, IMPORTRANGE(""https://docs.google.com/spreadsheets/d/1UdH2L0xi8dO6jyPCcO5e5-8j7SGzezxkeZuF1uP8uOw"",""fighter_param (""&amp;TO_TEXT($A$1)&amp;"")!B4:JZ""), 32, FALSE), """"))"),79.0)</f>
        <v>79</v>
      </c>
      <c r="U86" s="2880">
        <f t="shared" si="4"/>
        <v>73</v>
      </c>
      <c r="V86" s="3707">
        <f>IFERROR(__xludf.DUMMYFUNCTION("VALUE(IFERROR(VLOOKUP($AG86, IMPORTRANGE(""https://docs.google.com/spreadsheets/d/1UdH2L0xi8dO6jyPCcO5e5-8j7SGzezxkeZuF1uP8uOw"",""fighter_param (""&amp;TO_TEXT($A$1)&amp;"")!B4:JZ""), 4, FALSE), """"))"),0.9)</f>
        <v>0.9</v>
      </c>
      <c r="W86" s="2880">
        <f t="shared" si="5"/>
        <v>31</v>
      </c>
      <c r="X86" s="3707">
        <f>IFERROR(__xludf.DUMMYFUNCTION("VALUE(IFERROR(VLOOKUP($AG86, IMPORTRANGE(""https://docs.google.com/spreadsheets/d/1UdH2L0xi8dO6jyPCcO5e5-8j7SGzezxkeZuF1uP8uOw"",""fighter_param (""&amp;TO_TEXT($A$1)&amp;"")!B4:JZ""), 12, FALSE), """"))"),1.86)</f>
        <v>1.86</v>
      </c>
      <c r="Y86" s="2880">
        <f t="shared" si="6"/>
        <v>67</v>
      </c>
      <c r="Z86" s="3707">
        <f>IFERROR(__xludf.DUMMYFUNCTION("VALUE(IFERROR(VLOOKUP($AG86, IMPORTRANGE(""https://docs.google.com/spreadsheets/d/1UdH2L0xi8dO6jyPCcO5e5-8j7SGzezxkeZuF1uP8uOw"",""fighter_param (""&amp;TO_TEXT($A$1)&amp;"")!B4:JZ""), 24, FALSE), """"))"),0.95)</f>
        <v>0.95</v>
      </c>
      <c r="AA86" s="2880">
        <f t="shared" si="7"/>
        <v>12</v>
      </c>
      <c r="AB86" s="3707">
        <f>IFERROR(__xludf.DUMMYFUNCTION("VALUE(IFERROR(VLOOKUP($AG86, IMPORTRANGE(""https://docs.google.com/spreadsheets/d/1UdH2L0xi8dO6jyPCcO5e5-8j7SGzezxkeZuF1uP8uOw"",""fighter_param (""&amp;TO_TEXT($A$1)&amp;"")!B4:JZ""), 27, FALSE), """"))"),1.84)</f>
        <v>1.84</v>
      </c>
      <c r="AC86" s="2880">
        <f t="shared" si="8"/>
        <v>12</v>
      </c>
      <c r="AD86" s="3707">
        <f>IFERROR(__xludf.DUMMYFUNCTION("VALUE(IFERROR(VLOOKUP($AG86, IMPORTRANGE(""https://docs.google.com/spreadsheets/d/1UdH2L0xi8dO6jyPCcO5e5-8j7SGzezxkeZuF1uP8uOw"",""fighter_param (""&amp;TO_TEXT($A$1)&amp;"")!B4:JZ""), 31, FALSE), """"))"),2.944)</f>
        <v>2.944</v>
      </c>
      <c r="AE86" s="3726">
        <f>Fighters!S86</f>
        <v>85</v>
      </c>
      <c r="AF86" s="3715">
        <f>Fighters!T86</f>
        <v>75</v>
      </c>
      <c r="AG86" s="3725" t="str">
        <f>Fighters!V86</f>
        <v>edge</v>
      </c>
    </row>
    <row r="87">
      <c r="A87" s="3700">
        <f>Fighters!A87</f>
        <v>79</v>
      </c>
      <c r="B87" s="3701" t="str">
        <f>Fighters!B87</f>
        <v>ホムラ</v>
      </c>
      <c r="C87" s="3422" t="s">
        <v>176</v>
      </c>
      <c r="D87" s="3702" t="b">
        <v>0</v>
      </c>
      <c r="E87" s="3702" t="b">
        <v>0</v>
      </c>
      <c r="F87" s="3702" t="b">
        <v>0</v>
      </c>
      <c r="G87" s="3703" t="b">
        <v>0</v>
      </c>
      <c r="H87" s="544">
        <v>3.0</v>
      </c>
      <c r="I87" s="3704">
        <v>2.0</v>
      </c>
      <c r="J87" s="3727" t="s">
        <v>73</v>
      </c>
      <c r="K87" s="256">
        <f t="shared" si="1"/>
        <v>5</v>
      </c>
      <c r="L87" s="3704">
        <v>10.0</v>
      </c>
      <c r="M87" s="256">
        <f t="shared" si="2"/>
        <v>89</v>
      </c>
      <c r="N87" s="3706">
        <v>29.0</v>
      </c>
      <c r="O87" s="544">
        <v>39.0</v>
      </c>
      <c r="P87" s="3704">
        <v>47.0</v>
      </c>
      <c r="Q87" s="3704">
        <v>26.0</v>
      </c>
      <c r="R87" s="3706">
        <v>32.0</v>
      </c>
      <c r="S87" s="2880">
        <f t="shared" si="3"/>
        <v>33</v>
      </c>
      <c r="T87" s="3707">
        <f>IFERROR(__xludf.DUMMYFUNCTION("VALUE(IFERROR(VLOOKUP($AG87, IMPORTRANGE(""https://docs.google.com/spreadsheets/d/1UdH2L0xi8dO6jyPCcO5e5-8j7SGzezxkeZuF1uP8uOw"",""fighter_param (""&amp;TO_TEXT($A$1)&amp;"")!B4:JZ""), 32, FALSE), """"))"),98.0)</f>
        <v>98</v>
      </c>
      <c r="U87" s="2880">
        <f t="shared" si="4"/>
        <v>66</v>
      </c>
      <c r="V87" s="3707">
        <f>IFERROR(__xludf.DUMMYFUNCTION("VALUE(IFERROR(VLOOKUP($AG87, IMPORTRANGE(""https://docs.google.com/spreadsheets/d/1UdH2L0xi8dO6jyPCcO5e5-8j7SGzezxkeZuF1uP8uOw"",""fighter_param (""&amp;TO_TEXT($A$1)&amp;"")!B4:JZ""), 4, FALSE), """"))"),0.92)</f>
        <v>0.92</v>
      </c>
      <c r="W87" s="2880">
        <f t="shared" si="5"/>
        <v>84</v>
      </c>
      <c r="X87" s="3707">
        <f>IFERROR(__xludf.DUMMYFUNCTION("VALUE(IFERROR(VLOOKUP($AG87, IMPORTRANGE(""https://docs.google.com/spreadsheets/d/1UdH2L0xi8dO6jyPCcO5e5-8j7SGzezxkeZuF1uP8uOw"",""fighter_param (""&amp;TO_TEXT($A$1)&amp;"")!B4:JZ""), 12, FALSE), """"))"),1.38)</f>
        <v>1.38</v>
      </c>
      <c r="Y87" s="2880">
        <f t="shared" si="6"/>
        <v>37</v>
      </c>
      <c r="Z87" s="3707">
        <f>IFERROR(__xludf.DUMMYFUNCTION("VALUE(IFERROR(VLOOKUP($AG87, IMPORTRANGE(""https://docs.google.com/spreadsheets/d/1UdH2L0xi8dO6jyPCcO5e5-8j7SGzezxkeZuF1uP8uOw"",""fighter_param (""&amp;TO_TEXT($A$1)&amp;"")!B4:JZ""), 24, FALSE), """"))"),1.1)</f>
        <v>1.1</v>
      </c>
      <c r="AA87" s="2880">
        <f t="shared" si="7"/>
        <v>41</v>
      </c>
      <c r="AB87" s="3707">
        <f>IFERROR(__xludf.DUMMYFUNCTION("VALUE(IFERROR(VLOOKUP($AG87, IMPORTRANGE(""https://docs.google.com/spreadsheets/d/1UdH2L0xi8dO6jyPCcO5e5-8j7SGzezxkeZuF1uP8uOw"",""fighter_param (""&amp;TO_TEXT($A$1)&amp;"")!B4:JZ""), 27, FALSE), """"))"),1.62)</f>
        <v>1.62</v>
      </c>
      <c r="AC87" s="2880">
        <f t="shared" si="8"/>
        <v>41</v>
      </c>
      <c r="AD87" s="3707">
        <f>IFERROR(__xludf.DUMMYFUNCTION("VALUE(IFERROR(VLOOKUP($AG87, IMPORTRANGE(""https://docs.google.com/spreadsheets/d/1UdH2L0xi8dO6jyPCcO5e5-8j7SGzezxkeZuF1uP8uOw"",""fighter_param (""&amp;TO_TEXT($A$1)&amp;"")!B4:JZ""), 31, FALSE), """"))"),2.592)</f>
        <v>2.592</v>
      </c>
      <c r="AE87" s="3726">
        <f>Fighters!S87</f>
        <v>86</v>
      </c>
      <c r="AF87" s="3715">
        <f>Fighters!T87</f>
        <v>76</v>
      </c>
      <c r="AG87" s="3725" t="str">
        <f>Fighters!V87</f>
        <v>eflame</v>
      </c>
    </row>
    <row r="88">
      <c r="A88" s="3700">
        <f>Fighters!A88</f>
        <v>80</v>
      </c>
      <c r="B88" s="3701" t="str">
        <f>Fighters!B88</f>
        <v>ヒカリ</v>
      </c>
      <c r="C88" s="3422" t="s">
        <v>176</v>
      </c>
      <c r="D88" s="3702" t="b">
        <v>0</v>
      </c>
      <c r="E88" s="3702" t="b">
        <v>0</v>
      </c>
      <c r="F88" s="3702" t="b">
        <v>0</v>
      </c>
      <c r="G88" s="3703" t="b">
        <v>0</v>
      </c>
      <c r="H88" s="544">
        <v>3.0</v>
      </c>
      <c r="I88" s="3704">
        <v>2.0</v>
      </c>
      <c r="J88" s="3727" t="s">
        <v>73</v>
      </c>
      <c r="K88" s="256">
        <f t="shared" si="1"/>
        <v>5</v>
      </c>
      <c r="L88" s="3704">
        <v>10.0</v>
      </c>
      <c r="M88" s="256">
        <f t="shared" si="2"/>
        <v>13</v>
      </c>
      <c r="N88" s="3706">
        <v>19.0</v>
      </c>
      <c r="O88" s="544">
        <v>30.0</v>
      </c>
      <c r="P88" s="3704">
        <v>41.0</v>
      </c>
      <c r="Q88" s="3704">
        <v>21.0</v>
      </c>
      <c r="R88" s="3706">
        <v>29.0</v>
      </c>
      <c r="S88" s="2880">
        <f t="shared" si="3"/>
        <v>53</v>
      </c>
      <c r="T88" s="3707">
        <f>IFERROR(__xludf.DUMMYFUNCTION("VALUE(IFERROR(VLOOKUP($AG88, IMPORTRANGE(""https://docs.google.com/spreadsheets/d/1UdH2L0xi8dO6jyPCcO5e5-8j7SGzezxkeZuF1uP8uOw"",""fighter_param (""&amp;TO_TEXT($A$1)&amp;"")!B4:JZ""), 32, FALSE), """"))"),92.0)</f>
        <v>92</v>
      </c>
      <c r="U88" s="2880">
        <f t="shared" si="4"/>
        <v>8</v>
      </c>
      <c r="V88" s="3707">
        <f>IFERROR(__xludf.DUMMYFUNCTION("VALUE(IFERROR(VLOOKUP($AG88, IMPORTRANGE(""https://docs.google.com/spreadsheets/d/1UdH2L0xi8dO6jyPCcO5e5-8j7SGzezxkeZuF1uP8uOw"",""fighter_param (""&amp;TO_TEXT($A$1)&amp;"")!B4:JZ""), 4, FALSE), """"))"),1.42)</f>
        <v>1.42</v>
      </c>
      <c r="W88" s="2880">
        <f t="shared" si="5"/>
        <v>5</v>
      </c>
      <c r="X88" s="3707">
        <f>IFERROR(__xludf.DUMMYFUNCTION("VALUE(IFERROR(VLOOKUP($AG88, IMPORTRANGE(""https://docs.google.com/spreadsheets/d/1UdH2L0xi8dO6jyPCcO5e5-8j7SGzezxkeZuF1uP8uOw"",""fighter_param (""&amp;TO_TEXT($A$1)&amp;"")!B4:JZ""), 12, FALSE), """"))"),2.41)</f>
        <v>2.41</v>
      </c>
      <c r="Y88" s="2880">
        <f t="shared" si="6"/>
        <v>11</v>
      </c>
      <c r="Z88" s="3707">
        <f>IFERROR(__xludf.DUMMYFUNCTION("VALUE(IFERROR(VLOOKUP($AG88, IMPORTRANGE(""https://docs.google.com/spreadsheets/d/1UdH2L0xi8dO6jyPCcO5e5-8j7SGzezxkeZuF1uP8uOw"",""fighter_param (""&amp;TO_TEXT($A$1)&amp;"")!B4:JZ""), 24, FALSE), """"))"),1.22)</f>
        <v>1.22</v>
      </c>
      <c r="AA88" s="2880">
        <f t="shared" si="7"/>
        <v>7</v>
      </c>
      <c r="AB88" s="3707">
        <f>IFERROR(__xludf.DUMMYFUNCTION("VALUE(IFERROR(VLOOKUP($AG88, IMPORTRANGE(""https://docs.google.com/spreadsheets/d/1UdH2L0xi8dO6jyPCcO5e5-8j7SGzezxkeZuF1uP8uOw"",""fighter_param (""&amp;TO_TEXT($A$1)&amp;"")!B4:JZ""), 27, FALSE), """"))"),1.87)</f>
        <v>1.87</v>
      </c>
      <c r="AC88" s="2880">
        <f t="shared" si="8"/>
        <v>7</v>
      </c>
      <c r="AD88" s="3707">
        <f>IFERROR(__xludf.DUMMYFUNCTION("VALUE(IFERROR(VLOOKUP($AG88, IMPORTRANGE(""https://docs.google.com/spreadsheets/d/1UdH2L0xi8dO6jyPCcO5e5-8j7SGzezxkeZuF1uP8uOw"",""fighter_param (""&amp;TO_TEXT($A$1)&amp;"")!B4:JZ""), 31, FALSE), """"))"),2.992)</f>
        <v>2.992</v>
      </c>
      <c r="AE88" s="3726">
        <f>Fighters!S88</f>
        <v>87</v>
      </c>
      <c r="AF88" s="3715">
        <f>Fighters!T88</f>
        <v>77</v>
      </c>
      <c r="AG88" s="3725" t="str">
        <f>Fighters!V88</f>
        <v>elight</v>
      </c>
    </row>
    <row r="89">
      <c r="A89" s="3700">
        <f>Fighters!A89</f>
        <v>81</v>
      </c>
      <c r="B89" s="3701" t="str">
        <f>Fighters!B89</f>
        <v>カズヤ</v>
      </c>
      <c r="C89" s="3422" t="s">
        <v>176</v>
      </c>
      <c r="D89" s="3702" t="b">
        <v>0</v>
      </c>
      <c r="E89" s="3702" t="b">
        <v>0</v>
      </c>
      <c r="F89" s="3702" t="b">
        <v>0</v>
      </c>
      <c r="G89" s="3703" t="b">
        <v>0</v>
      </c>
      <c r="H89" s="544">
        <v>7.0</v>
      </c>
      <c r="I89" s="3704">
        <v>2.0</v>
      </c>
      <c r="J89" s="3727" t="s">
        <v>73</v>
      </c>
      <c r="K89" s="256">
        <f t="shared" si="1"/>
        <v>5</v>
      </c>
      <c r="L89" s="3704">
        <v>10.0</v>
      </c>
      <c r="M89" s="256">
        <f t="shared" si="2"/>
        <v>13</v>
      </c>
      <c r="N89" s="3706">
        <v>19.0</v>
      </c>
      <c r="O89" s="544">
        <v>29.0</v>
      </c>
      <c r="P89" s="3704">
        <v>34.0</v>
      </c>
      <c r="Q89" s="3704">
        <v>21.0</v>
      </c>
      <c r="R89" s="3706">
        <v>24.0</v>
      </c>
      <c r="S89" s="2880">
        <f t="shared" si="3"/>
        <v>8</v>
      </c>
      <c r="T89" s="3707">
        <f>IFERROR(__xludf.DUMMYFUNCTION("VALUE(IFERROR(VLOOKUP($AG89, IMPORTRANGE(""https://docs.google.com/spreadsheets/d/1UdH2L0xi8dO6jyPCcO5e5-8j7SGzezxkeZuF1uP8uOw"",""fighter_param (""&amp;TO_TEXT($A$1)&amp;"")!B4:JZ""), 32, FALSE), """"))"),113.0)</f>
        <v>113</v>
      </c>
      <c r="U89" s="2880">
        <f t="shared" si="4"/>
        <v>88</v>
      </c>
      <c r="V89" s="3707">
        <f>IFERROR(__xludf.DUMMYFUNCTION("VALUE(IFERROR(VLOOKUP($AG89, IMPORTRANGE(""https://docs.google.com/spreadsheets/d/1UdH2L0xi8dO6jyPCcO5e5-8j7SGzezxkeZuF1uP8uOw"",""fighter_param (""&amp;TO_TEXT($A$1)&amp;"")!B4:JZ""), 4, FALSE), """"))"),0.66)</f>
        <v>0.66</v>
      </c>
      <c r="W89" s="2880">
        <f t="shared" si="5"/>
        <v>68</v>
      </c>
      <c r="X89" s="3707">
        <f>IFERROR(__xludf.DUMMYFUNCTION("VALUE(IFERROR(VLOOKUP($AG89, IMPORTRANGE(""https://docs.google.com/spreadsheets/d/1UdH2L0xi8dO6jyPCcO5e5-8j7SGzezxkeZuF1uP8uOw"",""fighter_param (""&amp;TO_TEXT($A$1)&amp;"")!B4:JZ""), 12, FALSE), """"))"),1.55)</f>
        <v>1.55</v>
      </c>
      <c r="Y89" s="2880">
        <f t="shared" si="6"/>
        <v>79</v>
      </c>
      <c r="Z89" s="3707">
        <f>IFERROR(__xludf.DUMMYFUNCTION("VALUE(IFERROR(VLOOKUP($AG89, IMPORTRANGE(""https://docs.google.com/spreadsheets/d/1UdH2L0xi8dO6jyPCcO5e5-8j7SGzezxkeZuF1uP8uOw"",""fighter_param (""&amp;TO_TEXT($A$1)&amp;"")!B4:JZ""), 24, FALSE), """"))"),0.89)</f>
        <v>0.89</v>
      </c>
      <c r="AA89" s="2880">
        <f t="shared" si="7"/>
        <v>27</v>
      </c>
      <c r="AB89" s="3707">
        <f>IFERROR(__xludf.DUMMYFUNCTION("VALUE(IFERROR(VLOOKUP($AG89, IMPORTRANGE(""https://docs.google.com/spreadsheets/d/1UdH2L0xi8dO6jyPCcO5e5-8j7SGzezxkeZuF1uP8uOw"",""fighter_param (""&amp;TO_TEXT($A$1)&amp;"")!B4:JZ""), 27, FALSE), """"))"),1.7)</f>
        <v>1.7</v>
      </c>
      <c r="AC89" s="2880">
        <f t="shared" si="8"/>
        <v>28</v>
      </c>
      <c r="AD89" s="3707">
        <f>IFERROR(__xludf.DUMMYFUNCTION("VALUE(IFERROR(VLOOKUP($AG89, IMPORTRANGE(""https://docs.google.com/spreadsheets/d/1UdH2L0xi8dO6jyPCcO5e5-8j7SGzezxkeZuF1uP8uOw"",""fighter_param (""&amp;TO_TEXT($A$1)&amp;"")!B4:JZ""), 31, FALSE), """"))"),2.72)</f>
        <v>2.72</v>
      </c>
      <c r="AE89" s="3726">
        <f>Fighters!S89</f>
        <v>88</v>
      </c>
      <c r="AF89" s="3715">
        <f>Fighters!T89</f>
        <v>78</v>
      </c>
      <c r="AG89" s="3725" t="str">
        <f>Fighters!V89</f>
        <v>demon</v>
      </c>
    </row>
    <row r="90">
      <c r="A90" s="3700">
        <f>Fighters!A90</f>
        <v>82</v>
      </c>
      <c r="B90" s="3701" t="str">
        <f>Fighters!B90</f>
        <v>ソラ</v>
      </c>
      <c r="C90" s="3422" t="s">
        <v>176</v>
      </c>
      <c r="D90" s="3704" t="b">
        <v>1</v>
      </c>
      <c r="E90" s="3702" t="b">
        <v>0</v>
      </c>
      <c r="F90" s="3702" t="b">
        <v>0</v>
      </c>
      <c r="G90" s="3703" t="b">
        <v>0</v>
      </c>
      <c r="H90" s="544">
        <v>3.0</v>
      </c>
      <c r="I90" s="3704">
        <v>2.0</v>
      </c>
      <c r="J90" s="3727" t="s">
        <v>73</v>
      </c>
      <c r="K90" s="256">
        <f t="shared" si="1"/>
        <v>5</v>
      </c>
      <c r="L90" s="3704">
        <v>10.0</v>
      </c>
      <c r="M90" s="256">
        <f t="shared" si="2"/>
        <v>13</v>
      </c>
      <c r="N90" s="3706">
        <v>19.0</v>
      </c>
      <c r="O90" s="544">
        <v>46.0</v>
      </c>
      <c r="P90" s="3704">
        <v>56.0</v>
      </c>
      <c r="Q90" s="3704">
        <v>31.0</v>
      </c>
      <c r="R90" s="3706">
        <v>38.0</v>
      </c>
      <c r="S90" s="2880">
        <f t="shared" si="3"/>
        <v>72</v>
      </c>
      <c r="T90" s="3707">
        <f>IFERROR(__xludf.DUMMYFUNCTION("VALUE(IFERROR(VLOOKUP($AG90, IMPORTRANGE(""https://docs.google.com/spreadsheets/d/1UdH2L0xi8dO6jyPCcO5e5-8j7SGzezxkeZuF1uP8uOw"",""fighter_param (""&amp;TO_TEXT($A$1)&amp;"")!B4:JZ""), 32, FALSE), """"))"),85.0)</f>
        <v>85</v>
      </c>
      <c r="U90" s="2880">
        <f t="shared" si="4"/>
        <v>80</v>
      </c>
      <c r="V90" s="3707">
        <f>IFERROR(__xludf.DUMMYFUNCTION("VALUE(IFERROR(VLOOKUP($AG90, IMPORTRANGE(""https://docs.google.com/spreadsheets/d/1UdH2L0xi8dO6jyPCcO5e5-8j7SGzezxkeZuF1uP8uOw"",""fighter_param (""&amp;TO_TEXT($A$1)&amp;"")!B4:JZ""), 4, FALSE), """"))"),0.82)</f>
        <v>0.82</v>
      </c>
      <c r="W90" s="2880">
        <f t="shared" si="5"/>
        <v>65</v>
      </c>
      <c r="X90" s="3707">
        <f>IFERROR(__xludf.DUMMYFUNCTION("VALUE(IFERROR(VLOOKUP($AG90, IMPORTRANGE(""https://docs.google.com/spreadsheets/d/1UdH2L0xi8dO6jyPCcO5e5-8j7SGzezxkeZuF1uP8uOw"",""fighter_param (""&amp;TO_TEXT($A$1)&amp;"")!B4:JZ""), 12, FALSE), """"))"),1.58)</f>
        <v>1.58</v>
      </c>
      <c r="Y90" s="2880">
        <f t="shared" si="6"/>
        <v>65</v>
      </c>
      <c r="Z90" s="3707">
        <f>IFERROR(__xludf.DUMMYFUNCTION("VALUE(IFERROR(VLOOKUP($AG90, IMPORTRANGE(""https://docs.google.com/spreadsheets/d/1UdH2L0xi8dO6jyPCcO5e5-8j7SGzezxkeZuF1uP8uOw"",""fighter_param (""&amp;TO_TEXT($A$1)&amp;"")!B4:JZ""), 24, FALSE), """"))"),0.96)</f>
        <v>0.96</v>
      </c>
      <c r="AA90" s="2880">
        <f t="shared" si="7"/>
        <v>66</v>
      </c>
      <c r="AB90" s="3707">
        <f>IFERROR(__xludf.DUMMYFUNCTION("VALUE(IFERROR(VLOOKUP($AG90, IMPORTRANGE(""https://docs.google.com/spreadsheets/d/1UdH2L0xi8dO6jyPCcO5e5-8j7SGzezxkeZuF1uP8uOw"",""fighter_param (""&amp;TO_TEXT($A$1)&amp;"")!B4:JZ""), 27, FALSE), """"))"),1.44)</f>
        <v>1.44</v>
      </c>
      <c r="AC90" s="2880">
        <f t="shared" si="8"/>
        <v>64</v>
      </c>
      <c r="AD90" s="3707">
        <f>IFERROR(__xludf.DUMMYFUNCTION("VALUE(IFERROR(VLOOKUP($AG90, IMPORTRANGE(""https://docs.google.com/spreadsheets/d/1UdH2L0xi8dO6jyPCcO5e5-8j7SGzezxkeZuF1uP8uOw"",""fighter_param (""&amp;TO_TEXT($A$1)&amp;"")!B4:JZ""), 31, FALSE), """"))"),2.304)</f>
        <v>2.304</v>
      </c>
      <c r="AE90" s="3726">
        <f>Fighters!S90</f>
        <v>89</v>
      </c>
      <c r="AF90" s="3715">
        <f>Fighters!T90</f>
        <v>79</v>
      </c>
      <c r="AG90" s="3725" t="str">
        <f>Fighters!V90</f>
        <v>trail</v>
      </c>
    </row>
  </sheetData>
  <drawing r:id="rId2"/>
  <legacyDrawing r:id="rId3"/>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2" width="18.88"/>
    <col customWidth="1" min="3" max="3" width="2.75"/>
    <col customWidth="1" min="4" max="4" width="9.25"/>
    <col customWidth="1" min="5" max="5" width="2.75"/>
    <col customWidth="1" min="6" max="6" width="9.25"/>
    <col customWidth="1" min="7" max="7" width="2.75"/>
    <col customWidth="1" min="8" max="8" width="9.25"/>
    <col customWidth="1" min="9" max="9" width="2.75"/>
    <col customWidth="1" min="10" max="10" width="9.25"/>
    <col customWidth="1" min="11" max="11" width="2.75"/>
    <col customWidth="1" min="12" max="12" width="9.25"/>
    <col customWidth="1" min="13" max="13" width="2.75"/>
    <col customWidth="1" min="14" max="14" width="9.25"/>
    <col customWidth="1" hidden="1" min="15" max="15" width="2.75"/>
    <col customWidth="1" hidden="1" min="16" max="16" width="9.25"/>
    <col customWidth="1" min="17" max="17" width="2.75"/>
    <col customWidth="1" min="18" max="18" width="9.25"/>
    <col customWidth="1" min="19" max="19" width="2.75"/>
    <col customWidth="1" min="20" max="20" width="9.25"/>
    <col customWidth="1" min="21" max="21" width="2.75"/>
    <col customWidth="1" min="22" max="25" width="9.25"/>
  </cols>
  <sheetData>
    <row r="1">
      <c r="A1" s="3687" t="str">
        <f>Fighters!C1</f>
        <v>13.0.1</v>
      </c>
      <c r="B1" s="3688" t="s">
        <v>7272</v>
      </c>
      <c r="C1" s="3728"/>
      <c r="D1" s="3729" t="s">
        <v>3400</v>
      </c>
      <c r="E1" s="3728"/>
      <c r="F1" s="3730" t="s">
        <v>3402</v>
      </c>
      <c r="G1" s="3728"/>
      <c r="H1" s="3730" t="s">
        <v>3404</v>
      </c>
      <c r="I1" s="3728"/>
      <c r="J1" s="3730" t="s">
        <v>3405</v>
      </c>
      <c r="K1" s="3728"/>
      <c r="L1" s="3730" t="s">
        <v>4520</v>
      </c>
      <c r="M1" s="3728"/>
      <c r="N1" s="3731" t="s">
        <v>3408</v>
      </c>
      <c r="O1" s="3728"/>
      <c r="P1" s="3732" t="s">
        <v>5283</v>
      </c>
      <c r="Q1" s="3728"/>
      <c r="R1" s="3731" t="s">
        <v>5287</v>
      </c>
      <c r="S1" s="3728"/>
      <c r="T1" s="3732" t="s">
        <v>5291</v>
      </c>
      <c r="U1" s="3728"/>
      <c r="V1" s="3729" t="s">
        <v>5294</v>
      </c>
      <c r="W1" s="3698" t="s">
        <v>6515</v>
      </c>
      <c r="X1" s="3698" t="s">
        <v>6516</v>
      </c>
      <c r="Y1" s="3699" t="s">
        <v>6518</v>
      </c>
    </row>
    <row r="2">
      <c r="A2" s="3700">
        <f>Fighters!$A2</f>
        <v>1</v>
      </c>
      <c r="B2" s="3701" t="str">
        <f>Fighters!$B2</f>
        <v>マリオ</v>
      </c>
      <c r="C2" s="3733">
        <f t="shared" ref="C2:C90" si="1">IFERROR(RANK(D2,$D:$D),"")</f>
        <v>38</v>
      </c>
      <c r="D2" s="3734">
        <f>IFERROR(__xludf.DUMMYFUNCTION("VALUE(IFERROR(VLOOKUP($Y2, IMPORTRANGE(""https://docs.google.com/spreadsheets/d/1UdH2L0xi8dO6jyPCcO5e5-8j7SGzezxkeZuF1uP8uOw"",""fighter_param (""&amp;TO_TEXT($A$1)&amp;"")!B4:JZ""), 9, FALSE), """"))"),1.936)</f>
        <v>1.936</v>
      </c>
      <c r="E2" s="3735">
        <f t="shared" ref="E2:E90" si="2">IFERROR(RANK(F2,$F:$F),"")</f>
        <v>27</v>
      </c>
      <c r="F2" s="3735">
        <f>IFERROR(__xludf.DUMMYFUNCTION("VALUE(IFERROR(VLOOKUP($Y2, IMPORTRANGE(""https://docs.google.com/spreadsheets/d/1UdH2L0xi8dO6jyPCcO5e5-8j7SGzezxkeZuF1uP8uOw"",""fighter_param (""&amp;TO_TEXT($A$1)&amp;"")!B4:JZ""), 10, FALSE), """")) + VALUE(IFERROR(VLOOKUP($Y2, IMPORTRANGE(""https://docs.googl"&amp;"e.com/spreadsheets/d/1UdH2L0xi8dO6jyPCcO5e5-8j7SGzezxkeZuF1uP8uOw"",""fighter_param (""&amp;TO_TEXT($A$1)&amp;"")!B4:JZ""), 11, FALSE), """"))"),0.15378)</f>
        <v>0.15378</v>
      </c>
      <c r="G2" s="3735">
        <f t="shared" ref="G2:G90" si="3">IFERROR(RANK(H2,$H:$H),"")</f>
        <v>61</v>
      </c>
      <c r="H2" s="3734">
        <f>IFERROR(__xludf.DUMMYFUNCTION("VALUE(IFERROR(VLOOKUP($Y2, IMPORTRANGE(""https://docs.google.com/spreadsheets/d/1UdH2L0xi8dO6jyPCcO5e5-8j7SGzezxkeZuF1uP8uOw"",""fighter_param (""&amp;TO_TEXT($A$1)&amp;"")!B4:JZ""), 8, FALSE), """"))"),0.102)</f>
        <v>0.102</v>
      </c>
      <c r="I2" s="3735">
        <f t="shared" ref="I2:I90" si="4">IFERROR(RANK(J2,$J:$J),"")</f>
        <v>31</v>
      </c>
      <c r="J2" s="3735">
        <f>IFERROR(__xludf.DUMMYFUNCTION("VALUE(IFERROR(VLOOKUP($Y2, IMPORTRANGE(""https://docs.google.com/spreadsheets/d/1UdH2L0xi8dO6jyPCcO5e5-8j7SGzezxkeZuF1uP8uOw"",""fighter_param (""&amp;TO_TEXT($A$1)&amp;"")!B4:JZ""), 22, FALSE), """")) + VALUE(IFERROR(VLOOKUP($Y2, IMPORTRANGE(""https://docs.googl"&amp;"e.com/spreadsheets/d/1UdH2L0xi8dO6jyPCcO5e5-8j7SGzezxkeZuF1uP8uOw"",""fighter_param (""&amp;TO_TEXT($A$1)&amp;"")!B4:JZ""), 23, FALSE), """"))"),0.08)</f>
        <v>0.08</v>
      </c>
      <c r="K2" s="3735">
        <f t="shared" ref="K2:K90" si="5">IFERROR(RANK(L2,$L:$L),"")</f>
        <v>9</v>
      </c>
      <c r="L2" s="3734">
        <f>IFERROR(__xludf.DUMMYFUNCTION("VALUE(IFERROR(VLOOKUP($Y2, IMPORTRANGE(""https://docs.google.com/spreadsheets/d/1UdH2L0xi8dO6jyPCcO5e5-8j7SGzezxkeZuF1uP8uOw"",""fighter_param (""&amp;TO_TEXT($A$1)&amp;"")!B4:JZ""), 25, FALSE), """"))"),0.015)</f>
        <v>0.015</v>
      </c>
      <c r="M2" s="3735">
        <f t="shared" ref="M2:M90" si="6">IFERROR(RANK(N2,$N:$N),"")</f>
        <v>54</v>
      </c>
      <c r="N2" s="3734">
        <f>IFERROR(__xludf.DUMMYFUNCTION("VALUE(IFERROR(VLOOKUP($Y2, IMPORTRANGE(""https://docs.google.com/spreadsheets/d/1UdH2L0xi8dO6jyPCcO5e5-8j7SGzezxkeZuF1uP8uOw"",""fighter_param (""&amp;TO_TEXT($A$1)&amp;"")!B4:JZ""), 26, FALSE), """"))"),0.087)</f>
        <v>0.087</v>
      </c>
      <c r="O2" s="3735" t="str">
        <f t="shared" ref="O2:O90" si="7">IFERROR(RANK(P2,$P:$P),"")</f>
        <v/>
      </c>
      <c r="P2" s="3735" t="s">
        <v>76</v>
      </c>
      <c r="Q2" s="3735">
        <f t="shared" ref="Q2:Q90" si="8">IFERROR(RANK(R2,$R:$R),"")</f>
        <v>16</v>
      </c>
      <c r="R2" s="3734">
        <f>IFERROR(__xludf.DUMMYFUNCTION("VALUE(IFERROR(VLOOKUP($Y2, IMPORTRANGE(""https://docs.google.com/spreadsheets/d/1UdH2L0xi8dO6jyPCcO5e5-8j7SGzezxkeZuF1uP8uOw"",""fighter_param (""&amp;TO_TEXT($A$1)&amp;"")!B4:JZ""), 19, FALSE), """"))"),36.33)</f>
        <v>36.33</v>
      </c>
      <c r="S2" s="3735">
        <f t="shared" ref="S2:S90" si="9">IFERROR(RANK(T2,$T:$T),"")</f>
        <v>16</v>
      </c>
      <c r="T2" s="3734">
        <f>IFERROR(__xludf.DUMMYFUNCTION("VALUE(IFERROR(VLOOKUP($Y2, IMPORTRANGE(""https://docs.google.com/spreadsheets/d/1UdH2L0xi8dO6jyPCcO5e5-8j7SGzezxkeZuF1uP8uOw"",""fighter_param (""&amp;TO_TEXT($A$1)&amp;"")!B4:JZ""), 20, FALSE), """"))"),17.54)</f>
        <v>17.54</v>
      </c>
      <c r="U2" s="3735">
        <f t="shared" ref="U2:U90" si="10">IFERROR(RANK(V2,$V:$V),"")</f>
        <v>22</v>
      </c>
      <c r="V2" s="3734">
        <f>IFERROR(__xludf.DUMMYFUNCTION("VALUE(IFERROR(VLOOKUP($Y2, IMPORTRANGE(""https://docs.google.com/spreadsheets/d/1UdH2L0xi8dO6jyPCcO5e5-8j7SGzezxkeZuF1uP8uOw"",""fighter_param (""&amp;TO_TEXT($A$1)&amp;"")!B4:JZ""), 21, FALSE), """"))"),36.33)</f>
        <v>36.33</v>
      </c>
      <c r="W2" s="3708">
        <f>Fighters!S2</f>
        <v>1</v>
      </c>
      <c r="X2" s="3709">
        <f>Fighters!T2</f>
        <v>0</v>
      </c>
      <c r="Y2" s="3710" t="str">
        <f>Fighters!V2</f>
        <v>mario</v>
      </c>
    </row>
    <row r="3">
      <c r="A3" s="3700">
        <f>Fighters!$A3</f>
        <v>2</v>
      </c>
      <c r="B3" s="3701" t="str">
        <f>Fighters!$B3</f>
        <v>ドンキーコング</v>
      </c>
      <c r="C3" s="3735">
        <f t="shared" si="1"/>
        <v>18</v>
      </c>
      <c r="D3" s="3734">
        <f>IFERROR(__xludf.DUMMYFUNCTION("VALUE(IFERROR(VLOOKUP($Y3, IMPORTRANGE(""https://docs.google.com/spreadsheets/d/1UdH2L0xi8dO6jyPCcO5e5-8j7SGzezxkeZuF1uP8uOw"",""fighter_param (""&amp;TO_TEXT($A$1)&amp;"")!B4:JZ""), 9, FALSE), """"))"),2.09)</f>
        <v>2.09</v>
      </c>
      <c r="E3" s="3735">
        <f t="shared" si="2"/>
        <v>73</v>
      </c>
      <c r="F3" s="3735">
        <f>IFERROR(__xludf.DUMMYFUNCTION("VALUE(IFERROR(VLOOKUP($Y3, IMPORTRANGE(""https://docs.google.com/spreadsheets/d/1UdH2L0xi8dO6jyPCcO5e5-8j7SGzezxkeZuF1uP8uOw"",""fighter_param (""&amp;TO_TEXT($A$1)&amp;"")!B4:JZ""), 10, FALSE), """")) + VALUE(IFERROR(VLOOKUP($Y3, IMPORTRANGE(""https://docs.googl"&amp;"e.com/spreadsheets/d/1UdH2L0xi8dO6jyPCcO5e5-8j7SGzezxkeZuF1uP8uOw"",""fighter_param (""&amp;TO_TEXT($A$1)&amp;"")!B4:JZ""), 11, FALSE), """"))"),0.11737)</f>
        <v>0.11737</v>
      </c>
      <c r="G3" s="3735">
        <f t="shared" si="3"/>
        <v>16</v>
      </c>
      <c r="H3" s="3734">
        <f>IFERROR(__xludf.DUMMYFUNCTION("VALUE(IFERROR(VLOOKUP($Y3, IMPORTRANGE(""https://docs.google.com/spreadsheets/d/1UdH2L0xi8dO6jyPCcO5e5-8j7SGzezxkeZuF1uP8uOw"",""fighter_param (""&amp;TO_TEXT($A$1)&amp;"")!B4:JZ""), 8, FALSE), """"))"),0.123)</f>
        <v>0.123</v>
      </c>
      <c r="I3" s="3735">
        <f t="shared" si="4"/>
        <v>58</v>
      </c>
      <c r="J3" s="3735">
        <f>IFERROR(__xludf.DUMMYFUNCTION("VALUE(IFERROR(VLOOKUP($Y3, IMPORTRANGE(""https://docs.google.com/spreadsheets/d/1UdH2L0xi8dO6jyPCcO5e5-8j7SGzezxkeZuF1uP8uOw"",""fighter_param (""&amp;TO_TEXT($A$1)&amp;"")!B4:JZ""), 22, FALSE), """")) + VALUE(IFERROR(VLOOKUP($Y3, IMPORTRANGE(""https://docs.googl"&amp;"e.com/spreadsheets/d/1UdH2L0xi8dO6jyPCcO5e5-8j7SGzezxkeZuF1uP8uOw"",""fighter_param (""&amp;TO_TEXT($A$1)&amp;"")!B4:JZ""), 23, FALSE), """"))"),0.060000000000000005)</f>
        <v>0.06</v>
      </c>
      <c r="K3" s="3735">
        <f t="shared" si="5"/>
        <v>9</v>
      </c>
      <c r="L3" s="3734">
        <f>IFERROR(__xludf.DUMMYFUNCTION("VALUE(IFERROR(VLOOKUP($Y3, IMPORTRANGE(""https://docs.google.com/spreadsheets/d/1UdH2L0xi8dO6jyPCcO5e5-8j7SGzezxkeZuF1uP8uOw"",""fighter_param (""&amp;TO_TEXT($A$1)&amp;"")!B4:JZ""), 25, FALSE), """"))"),0.015)</f>
        <v>0.015</v>
      </c>
      <c r="M3" s="3735">
        <f t="shared" si="6"/>
        <v>57</v>
      </c>
      <c r="N3" s="3734">
        <f>IFERROR(__xludf.DUMMYFUNCTION("VALUE(IFERROR(VLOOKUP($Y3, IMPORTRANGE(""https://docs.google.com/spreadsheets/d/1UdH2L0xi8dO6jyPCcO5e5-8j7SGzezxkeZuF1uP8uOw"",""fighter_param (""&amp;TO_TEXT($A$1)&amp;"")!B4:JZ""), 26, FALSE), """"))"),0.085)</f>
        <v>0.085</v>
      </c>
      <c r="O3" s="3735" t="str">
        <f t="shared" si="7"/>
        <v/>
      </c>
      <c r="P3" s="3735" t="s">
        <v>76</v>
      </c>
      <c r="Q3" s="3735">
        <f t="shared" si="8"/>
        <v>29</v>
      </c>
      <c r="R3" s="3734">
        <f>IFERROR(__xludf.DUMMYFUNCTION("VALUE(IFERROR(VLOOKUP($Y3, IMPORTRANGE(""https://docs.google.com/spreadsheets/d/1UdH2L0xi8dO6jyPCcO5e5-8j7SGzezxkeZuF1uP8uOw"",""fighter_param (""&amp;TO_TEXT($A$1)&amp;"")!B4:JZ""), 19, FALSE), """"))"),34.0)</f>
        <v>34</v>
      </c>
      <c r="S3" s="3735">
        <f t="shared" si="9"/>
        <v>22</v>
      </c>
      <c r="T3" s="3734">
        <f>IFERROR(__xludf.DUMMYFUNCTION("VALUE(IFERROR(VLOOKUP($Y3, IMPORTRANGE(""https://docs.google.com/spreadsheets/d/1UdH2L0xi8dO6jyPCcO5e5-8j7SGzezxkeZuF1uP8uOw"",""fighter_param (""&amp;TO_TEXT($A$1)&amp;"")!B4:JZ""), 20, FALSE), """"))"),17.3)</f>
        <v>17.3</v>
      </c>
      <c r="U3" s="3735">
        <f t="shared" si="10"/>
        <v>27</v>
      </c>
      <c r="V3" s="3734">
        <f>IFERROR(__xludf.DUMMYFUNCTION("VALUE(IFERROR(VLOOKUP($Y3, IMPORTRANGE(""https://docs.google.com/spreadsheets/d/1UdH2L0xi8dO6jyPCcO5e5-8j7SGzezxkeZuF1uP8uOw"",""fighter_param (""&amp;TO_TEXT($A$1)&amp;"")!B4:JZ""), 21, FALSE), """"))"),35.5)</f>
        <v>35.5</v>
      </c>
      <c r="W3" s="3708">
        <f>Fighters!S3</f>
        <v>2</v>
      </c>
      <c r="X3" s="3709">
        <f>Fighters!T3</f>
        <v>1</v>
      </c>
      <c r="Y3" s="3710" t="str">
        <f>Fighters!V3</f>
        <v>donkey</v>
      </c>
    </row>
    <row r="4">
      <c r="A4" s="3700">
        <f>Fighters!$A4</f>
        <v>3</v>
      </c>
      <c r="B4" s="3701" t="str">
        <f>Fighters!$B4</f>
        <v>リンク</v>
      </c>
      <c r="C4" s="3735">
        <f t="shared" si="1"/>
        <v>30</v>
      </c>
      <c r="D4" s="3734">
        <f>IFERROR(__xludf.DUMMYFUNCTION("VALUE(IFERROR(VLOOKUP($Y4, IMPORTRANGE(""https://docs.google.com/spreadsheets/d/1UdH2L0xi8dO6jyPCcO5e5-8j7SGzezxkeZuF1uP8uOw"",""fighter_param (""&amp;TO_TEXT($A$1)&amp;"")!B4:JZ""), 9, FALSE), """"))"),1.98)</f>
        <v>1.98</v>
      </c>
      <c r="E4" s="3735">
        <f t="shared" si="2"/>
        <v>11</v>
      </c>
      <c r="F4" s="3735">
        <f>IFERROR(__xludf.DUMMYFUNCTION("VALUE(IFERROR(VLOOKUP($Y4, IMPORTRANGE(""https://docs.google.com/spreadsheets/d/1UdH2L0xi8dO6jyPCcO5e5-8j7SGzezxkeZuF1uP8uOw"",""fighter_param (""&amp;TO_TEXT($A$1)&amp;"")!B4:JZ""), 10, FALSE), """")) + VALUE(IFERROR(VLOOKUP($Y4, IMPORTRANGE(""https://docs.googl"&amp;"e.com/spreadsheets/d/1UdH2L0xi8dO6jyPCcO5e5-8j7SGzezxkeZuF1uP8uOw"",""fighter_param (""&amp;TO_TEXT($A$1)&amp;"")!B4:JZ""), 11, FALSE), """"))"),0.17567)</f>
        <v>0.17567</v>
      </c>
      <c r="G4" s="3735">
        <f t="shared" si="3"/>
        <v>34</v>
      </c>
      <c r="H4" s="3734">
        <f>IFERROR(__xludf.DUMMYFUNCTION("VALUE(IFERROR(VLOOKUP($Y4, IMPORTRANGE(""https://docs.google.com/spreadsheets/d/1UdH2L0xi8dO6jyPCcO5e5-8j7SGzezxkeZuF1uP8uOw"",""fighter_param (""&amp;TO_TEXT($A$1)&amp;"")!B4:JZ""), 8, FALSE), """"))"),0.113)</f>
        <v>0.113</v>
      </c>
      <c r="I4" s="3735">
        <f t="shared" si="4"/>
        <v>70</v>
      </c>
      <c r="J4" s="3735">
        <f>IFERROR(__xludf.DUMMYFUNCTION("VALUE(IFERROR(VLOOKUP($Y4, IMPORTRANGE(""https://docs.google.com/spreadsheets/d/1UdH2L0xi8dO6jyPCcO5e5-8j7SGzezxkeZuF1uP8uOw"",""fighter_param (""&amp;TO_TEXT($A$1)&amp;"")!B4:JZ""), 22, FALSE), """")) + VALUE(IFERROR(VLOOKUP($Y4, IMPORTRANGE(""https://docs.googl"&amp;"e.com/spreadsheets/d/1UdH2L0xi8dO6jyPCcO5e5-8j7SGzezxkeZuF1uP8uOw"",""fighter_param (""&amp;TO_TEXT($A$1)&amp;"")!B4:JZ""), 23, FALSE), """"))"),0.05)</f>
        <v>0.05</v>
      </c>
      <c r="K4" s="3735">
        <f t="shared" si="5"/>
        <v>85</v>
      </c>
      <c r="L4" s="3734">
        <f>IFERROR(__xludf.DUMMYFUNCTION("VALUE(IFERROR(VLOOKUP($Y4, IMPORTRANGE(""https://docs.google.com/spreadsheets/d/1UdH2L0xi8dO6jyPCcO5e5-8j7SGzezxkeZuF1uP8uOw"",""fighter_param (""&amp;TO_TEXT($A$1)&amp;"")!B4:JZ""), 25, FALSE), """"))"),0.0038)</f>
        <v>0.0038</v>
      </c>
      <c r="M4" s="3735">
        <f t="shared" si="6"/>
        <v>38</v>
      </c>
      <c r="N4" s="3734">
        <f>IFERROR(__xludf.DUMMYFUNCTION("VALUE(IFERROR(VLOOKUP($Y4, IMPORTRANGE(""https://docs.google.com/spreadsheets/d/1UdH2L0xi8dO6jyPCcO5e5-8j7SGzezxkeZuF1uP8uOw"",""fighter_param (""&amp;TO_TEXT($A$1)&amp;"")!B4:JZ""), 26, FALSE), """"))"),0.096)</f>
        <v>0.096</v>
      </c>
      <c r="O4" s="3735" t="str">
        <f t="shared" si="7"/>
        <v/>
      </c>
      <c r="P4" s="3735" t="s">
        <v>76</v>
      </c>
      <c r="Q4" s="3735">
        <f t="shared" si="8"/>
        <v>76</v>
      </c>
      <c r="R4" s="3734">
        <f>IFERROR(__xludf.DUMMYFUNCTION("VALUE(IFERROR(VLOOKUP($Y4, IMPORTRANGE(""https://docs.google.com/spreadsheets/d/1UdH2L0xi8dO6jyPCcO5e5-8j7SGzezxkeZuF1uP8uOw"",""fighter_param (""&amp;TO_TEXT($A$1)&amp;"")!B4:JZ""), 19, FALSE), """"))"),27.8)</f>
        <v>27.8</v>
      </c>
      <c r="S4" s="3735">
        <f t="shared" si="9"/>
        <v>76</v>
      </c>
      <c r="T4" s="3734">
        <f>IFERROR(__xludf.DUMMYFUNCTION("VALUE(IFERROR(VLOOKUP($Y4, IMPORTRANGE(""https://docs.google.com/spreadsheets/d/1UdH2L0xi8dO6jyPCcO5e5-8j7SGzezxkeZuF1uP8uOw"",""fighter_param (""&amp;TO_TEXT($A$1)&amp;"")!B4:JZ""), 20, FALSE), """"))"),13.38)</f>
        <v>13.38</v>
      </c>
      <c r="U4" s="3735">
        <f t="shared" si="10"/>
        <v>67</v>
      </c>
      <c r="V4" s="3734">
        <f>IFERROR(__xludf.DUMMYFUNCTION("VALUE(IFERROR(VLOOKUP($Y4, IMPORTRANGE(""https://docs.google.com/spreadsheets/d/1UdH2L0xi8dO6jyPCcO5e5-8j7SGzezxkeZuF1uP8uOw"",""fighter_param (""&amp;TO_TEXT($A$1)&amp;"")!B4:JZ""), 21, FALSE), """"))"),29.0)</f>
        <v>29</v>
      </c>
      <c r="W4" s="3708">
        <f>Fighters!S4</f>
        <v>3</v>
      </c>
      <c r="X4" s="3709">
        <f>Fighters!T4</f>
        <v>2</v>
      </c>
      <c r="Y4" s="3710" t="str">
        <f>Fighters!V4</f>
        <v>link</v>
      </c>
    </row>
    <row r="5">
      <c r="A5" s="3700">
        <f>Fighters!$A5</f>
        <v>4</v>
      </c>
      <c r="B5" s="3701" t="str">
        <f>Fighters!$B5</f>
        <v>サムス</v>
      </c>
      <c r="C5" s="3735">
        <f t="shared" si="1"/>
        <v>51</v>
      </c>
      <c r="D5" s="3734">
        <f>IFERROR(__xludf.DUMMYFUNCTION("VALUE(IFERROR(VLOOKUP($Y5, IMPORTRANGE(""https://docs.google.com/spreadsheets/d/1UdH2L0xi8dO6jyPCcO5e5-8j7SGzezxkeZuF1uP8uOw"",""fighter_param (""&amp;TO_TEXT($A$1)&amp;"")!B4:JZ""), 9, FALSE), """"))"),1.87)</f>
        <v>1.87</v>
      </c>
      <c r="E5" s="3735">
        <f t="shared" si="2"/>
        <v>7</v>
      </c>
      <c r="F5" s="3735">
        <f>IFERROR(__xludf.DUMMYFUNCTION("VALUE(IFERROR(VLOOKUP($Y5, IMPORTRANGE(""https://docs.google.com/spreadsheets/d/1UdH2L0xi8dO6jyPCcO5e5-8j7SGzezxkeZuF1uP8uOw"",""fighter_param (""&amp;TO_TEXT($A$1)&amp;"")!B4:JZ""), 10, FALSE), """")) + VALUE(IFERROR(VLOOKUP($Y5, IMPORTRANGE(""https://docs.googl"&amp;"e.com/spreadsheets/d/1UdH2L0xi8dO6jyPCcO5e5-8j7SGzezxkeZuF1uP8uOw"",""fighter_param (""&amp;TO_TEXT($A$1)&amp;"")!B4:JZ""), 11, FALSE), """"))"),0.176)</f>
        <v>0.176</v>
      </c>
      <c r="G5" s="3735">
        <f t="shared" si="3"/>
        <v>83</v>
      </c>
      <c r="H5" s="3734">
        <f>IFERROR(__xludf.DUMMYFUNCTION("VALUE(IFERROR(VLOOKUP($Y5, IMPORTRANGE(""https://docs.google.com/spreadsheets/d/1UdH2L0xi8dO6jyPCcO5e5-8j7SGzezxkeZuF1uP8uOw"",""fighter_param (""&amp;TO_TEXT($A$1)&amp;"")!B4:JZ""), 8, FALSE), """"))"),0.082)</f>
        <v>0.082</v>
      </c>
      <c r="I5" s="3735">
        <f t="shared" si="4"/>
        <v>21</v>
      </c>
      <c r="J5" s="3735">
        <f>IFERROR(__xludf.DUMMYFUNCTION("VALUE(IFERROR(VLOOKUP($Y5, IMPORTRANGE(""https://docs.google.com/spreadsheets/d/1UdH2L0xi8dO6jyPCcO5e5-8j7SGzezxkeZuF1uP8uOw"",""fighter_param (""&amp;TO_TEXT($A$1)&amp;"")!B4:JZ""), 22, FALSE), """")) + VALUE(IFERROR(VLOOKUP($Y5, IMPORTRANGE(""https://docs.googl"&amp;"e.com/spreadsheets/d/1UdH2L0xi8dO6jyPCcO5e5-8j7SGzezxkeZuF1uP8uOw"",""fighter_param (""&amp;TO_TEXT($A$1)&amp;"")!B4:JZ""), 23, FALSE), """"))"),0.09)</f>
        <v>0.09</v>
      </c>
      <c r="K5" s="3735">
        <f t="shared" si="5"/>
        <v>67</v>
      </c>
      <c r="L5" s="3734">
        <f>IFERROR(__xludf.DUMMYFUNCTION("VALUE(IFERROR(VLOOKUP($Y5, IMPORTRANGE(""https://docs.google.com/spreadsheets/d/1UdH2L0xi8dO6jyPCcO5e5-8j7SGzezxkeZuF1uP8uOw"",""fighter_param (""&amp;TO_TEXT($A$1)&amp;"")!B4:JZ""), 25, FALSE), """"))"),0.0075)</f>
        <v>0.0075</v>
      </c>
      <c r="M5" s="3735">
        <f t="shared" si="6"/>
        <v>75</v>
      </c>
      <c r="N5" s="3734">
        <f>IFERROR(__xludf.DUMMYFUNCTION("VALUE(IFERROR(VLOOKUP($Y5, IMPORTRANGE(""https://docs.google.com/spreadsheets/d/1UdH2L0xi8dO6jyPCcO5e5-8j7SGzezxkeZuF1uP8uOw"",""fighter_param (""&amp;TO_TEXT($A$1)&amp;"")!B4:JZ""), 26, FALSE), """"))"),0.075)</f>
        <v>0.075</v>
      </c>
      <c r="O5" s="3735" t="str">
        <f t="shared" si="7"/>
        <v/>
      </c>
      <c r="P5" s="3735" t="s">
        <v>76</v>
      </c>
      <c r="Q5" s="3735">
        <f t="shared" si="8"/>
        <v>13</v>
      </c>
      <c r="R5" s="3734">
        <f>IFERROR(__xludf.DUMMYFUNCTION("VALUE(IFERROR(VLOOKUP($Y5, IMPORTRANGE(""https://docs.google.com/spreadsheets/d/1UdH2L0xi8dO6jyPCcO5e5-8j7SGzezxkeZuF1uP8uOw"",""fighter_param (""&amp;TO_TEXT($A$1)&amp;"")!B4:JZ""), 19, FALSE), """"))"),37.0)</f>
        <v>37</v>
      </c>
      <c r="S5" s="3735">
        <f t="shared" si="9"/>
        <v>10</v>
      </c>
      <c r="T5" s="3734">
        <f>IFERROR(__xludf.DUMMYFUNCTION("VALUE(IFERROR(VLOOKUP($Y5, IMPORTRANGE(""https://docs.google.com/spreadsheets/d/1UdH2L0xi8dO6jyPCcO5e5-8j7SGzezxkeZuF1uP8uOw"",""fighter_param (""&amp;TO_TEXT($A$1)&amp;"")!B4:JZ""), 20, FALSE), """"))"),18.0)</f>
        <v>18</v>
      </c>
      <c r="U5" s="3735">
        <f t="shared" si="10"/>
        <v>19</v>
      </c>
      <c r="V5" s="3734">
        <f>IFERROR(__xludf.DUMMYFUNCTION("VALUE(IFERROR(VLOOKUP($Y5, IMPORTRANGE(""https://docs.google.com/spreadsheets/d/1UdH2L0xi8dO6jyPCcO5e5-8j7SGzezxkeZuF1uP8uOw"",""fighter_param (""&amp;TO_TEXT($A$1)&amp;"")!B4:JZ""), 21, FALSE), """"))"),37.0)</f>
        <v>37</v>
      </c>
      <c r="W5" s="3708">
        <f>Fighters!S5</f>
        <v>4</v>
      </c>
      <c r="X5" s="3709">
        <f>Fighters!T5</f>
        <v>3</v>
      </c>
      <c r="Y5" s="3710" t="str">
        <f>Fighters!V5</f>
        <v>samus</v>
      </c>
    </row>
    <row r="6">
      <c r="A6" s="3700" t="str">
        <f>Fighters!$A6</f>
        <v>4'</v>
      </c>
      <c r="B6" s="3701" t="str">
        <f>Fighters!$B6</f>
        <v>ダークサムス</v>
      </c>
      <c r="C6" s="3735">
        <f t="shared" si="1"/>
        <v>51</v>
      </c>
      <c r="D6" s="3734">
        <f>IFERROR(__xludf.DUMMYFUNCTION("VALUE(IFERROR(VLOOKUP($Y6, IMPORTRANGE(""https://docs.google.com/spreadsheets/d/1UdH2L0xi8dO6jyPCcO5e5-8j7SGzezxkeZuF1uP8uOw"",""fighter_param (""&amp;TO_TEXT($A$1)&amp;"")!B4:JZ""), 9, FALSE), """"))"),1.87)</f>
        <v>1.87</v>
      </c>
      <c r="E6" s="3735">
        <f t="shared" si="2"/>
        <v>7</v>
      </c>
      <c r="F6" s="3735">
        <f>IFERROR(__xludf.DUMMYFUNCTION("VALUE(IFERROR(VLOOKUP($Y6, IMPORTRANGE(""https://docs.google.com/spreadsheets/d/1UdH2L0xi8dO6jyPCcO5e5-8j7SGzezxkeZuF1uP8uOw"",""fighter_param (""&amp;TO_TEXT($A$1)&amp;"")!B4:JZ""), 10, FALSE), """")) + VALUE(IFERROR(VLOOKUP($Y6, IMPORTRANGE(""https://docs.googl"&amp;"e.com/spreadsheets/d/1UdH2L0xi8dO6jyPCcO5e5-8j7SGzezxkeZuF1uP8uOw"",""fighter_param (""&amp;TO_TEXT($A$1)&amp;"")!B4:JZ""), 11, FALSE), """"))"),0.176)</f>
        <v>0.176</v>
      </c>
      <c r="G6" s="3735">
        <f t="shared" si="3"/>
        <v>83</v>
      </c>
      <c r="H6" s="3734">
        <f>IFERROR(__xludf.DUMMYFUNCTION("VALUE(IFERROR(VLOOKUP($Y6, IMPORTRANGE(""https://docs.google.com/spreadsheets/d/1UdH2L0xi8dO6jyPCcO5e5-8j7SGzezxkeZuF1uP8uOw"",""fighter_param (""&amp;TO_TEXT($A$1)&amp;"")!B4:JZ""), 8, FALSE), """"))"),0.082)</f>
        <v>0.082</v>
      </c>
      <c r="I6" s="3735">
        <f t="shared" si="4"/>
        <v>21</v>
      </c>
      <c r="J6" s="3735">
        <f>IFERROR(__xludf.DUMMYFUNCTION("VALUE(IFERROR(VLOOKUP($Y6, IMPORTRANGE(""https://docs.google.com/spreadsheets/d/1UdH2L0xi8dO6jyPCcO5e5-8j7SGzezxkeZuF1uP8uOw"",""fighter_param (""&amp;TO_TEXT($A$1)&amp;"")!B4:JZ""), 22, FALSE), """")) + VALUE(IFERROR(VLOOKUP($Y6, IMPORTRANGE(""https://docs.googl"&amp;"e.com/spreadsheets/d/1UdH2L0xi8dO6jyPCcO5e5-8j7SGzezxkeZuF1uP8uOw"",""fighter_param (""&amp;TO_TEXT($A$1)&amp;"")!B4:JZ""), 23, FALSE), """"))"),0.09)</f>
        <v>0.09</v>
      </c>
      <c r="K6" s="3735">
        <f t="shared" si="5"/>
        <v>67</v>
      </c>
      <c r="L6" s="3734">
        <f>IFERROR(__xludf.DUMMYFUNCTION("VALUE(IFERROR(VLOOKUP($Y6, IMPORTRANGE(""https://docs.google.com/spreadsheets/d/1UdH2L0xi8dO6jyPCcO5e5-8j7SGzezxkeZuF1uP8uOw"",""fighter_param (""&amp;TO_TEXT($A$1)&amp;"")!B4:JZ""), 25, FALSE), """"))"),0.0075)</f>
        <v>0.0075</v>
      </c>
      <c r="M6" s="3735">
        <f t="shared" si="6"/>
        <v>75</v>
      </c>
      <c r="N6" s="3734">
        <f>IFERROR(__xludf.DUMMYFUNCTION("VALUE(IFERROR(VLOOKUP($Y6, IMPORTRANGE(""https://docs.google.com/spreadsheets/d/1UdH2L0xi8dO6jyPCcO5e5-8j7SGzezxkeZuF1uP8uOw"",""fighter_param (""&amp;TO_TEXT($A$1)&amp;"")!B4:JZ""), 26, FALSE), """"))"),0.075)</f>
        <v>0.075</v>
      </c>
      <c r="O6" s="3735" t="str">
        <f t="shared" si="7"/>
        <v/>
      </c>
      <c r="P6" s="3735" t="s">
        <v>76</v>
      </c>
      <c r="Q6" s="3735">
        <f t="shared" si="8"/>
        <v>13</v>
      </c>
      <c r="R6" s="3734">
        <f>IFERROR(__xludf.DUMMYFUNCTION("VALUE(IFERROR(VLOOKUP($Y6, IMPORTRANGE(""https://docs.google.com/spreadsheets/d/1UdH2L0xi8dO6jyPCcO5e5-8j7SGzezxkeZuF1uP8uOw"",""fighter_param (""&amp;TO_TEXT($A$1)&amp;"")!B4:JZ""), 19, FALSE), """"))"),37.0)</f>
        <v>37</v>
      </c>
      <c r="S6" s="3735">
        <f t="shared" si="9"/>
        <v>10</v>
      </c>
      <c r="T6" s="3734">
        <f>IFERROR(__xludf.DUMMYFUNCTION("VALUE(IFERROR(VLOOKUP($Y6, IMPORTRANGE(""https://docs.google.com/spreadsheets/d/1UdH2L0xi8dO6jyPCcO5e5-8j7SGzezxkeZuF1uP8uOw"",""fighter_param (""&amp;TO_TEXT($A$1)&amp;"")!B4:JZ""), 20, FALSE), """"))"),18.0)</f>
        <v>18</v>
      </c>
      <c r="U6" s="3735">
        <f t="shared" si="10"/>
        <v>19</v>
      </c>
      <c r="V6" s="3734">
        <f>IFERROR(__xludf.DUMMYFUNCTION("VALUE(IFERROR(VLOOKUP($Y6, IMPORTRANGE(""https://docs.google.com/spreadsheets/d/1UdH2L0xi8dO6jyPCcO5e5-8j7SGzezxkeZuF1uP8uOw"",""fighter_param (""&amp;TO_TEXT($A$1)&amp;"")!B4:JZ""), 21, FALSE), """"))"),37.0)</f>
        <v>37</v>
      </c>
      <c r="W6" s="3708">
        <f>Fighters!S6</f>
        <v>5</v>
      </c>
      <c r="X6" s="3709">
        <f>Fighters!T6</f>
        <v>72</v>
      </c>
      <c r="Y6" s="3710" t="str">
        <f>Fighters!V6</f>
        <v>samusd</v>
      </c>
    </row>
    <row r="7">
      <c r="A7" s="3700">
        <f>Fighters!$A7</f>
        <v>5</v>
      </c>
      <c r="B7" s="3701" t="str">
        <f>Fighters!$B7</f>
        <v>ヨッシー</v>
      </c>
      <c r="C7" s="3735">
        <f t="shared" si="1"/>
        <v>18</v>
      </c>
      <c r="D7" s="3734">
        <f>IFERROR(__xludf.DUMMYFUNCTION("VALUE(IFERROR(VLOOKUP($Y7, IMPORTRANGE(""https://docs.google.com/spreadsheets/d/1UdH2L0xi8dO6jyPCcO5e5-8j7SGzezxkeZuF1uP8uOw"",""fighter_param (""&amp;TO_TEXT($A$1)&amp;"")!B4:JZ""), 9, FALSE), """"))"),2.09)</f>
        <v>2.09</v>
      </c>
      <c r="E7" s="3735">
        <f t="shared" si="2"/>
        <v>63</v>
      </c>
      <c r="F7" s="3735">
        <f>IFERROR(__xludf.DUMMYFUNCTION("VALUE(IFERROR(VLOOKUP($Y7, IMPORTRANGE(""https://docs.google.com/spreadsheets/d/1UdH2L0xi8dO6jyPCcO5e5-8j7SGzezxkeZuF1uP8uOw"",""fighter_param (""&amp;TO_TEXT($A$1)&amp;"")!B4:JZ""), 10, FALSE), """")) + VALUE(IFERROR(VLOOKUP($Y7, IMPORTRANGE(""https://docs.googl"&amp;"e.com/spreadsheets/d/1UdH2L0xi8dO6jyPCcO5e5-8j7SGzezxkeZuF1uP8uOw"",""fighter_param (""&amp;TO_TEXT($A$1)&amp;"")!B4:JZ""), 11, FALSE), """"))"),0.13419999999999999)</f>
        <v>0.1342</v>
      </c>
      <c r="G7" s="3735">
        <f t="shared" si="3"/>
        <v>55</v>
      </c>
      <c r="H7" s="3734">
        <f>IFERROR(__xludf.DUMMYFUNCTION("VALUE(IFERROR(VLOOKUP($Y7, IMPORTRANGE(""https://docs.google.com/spreadsheets/d/1UdH2L0xi8dO6jyPCcO5e5-8j7SGzezxkeZuF1uP8uOw"",""fighter_param (""&amp;TO_TEXT($A$1)&amp;"")!B4:JZ""), 8, FALSE), """"))"),0.105)</f>
        <v>0.105</v>
      </c>
      <c r="I7" s="3735">
        <f t="shared" si="4"/>
        <v>66</v>
      </c>
      <c r="J7" s="3735">
        <f>IFERROR(__xludf.DUMMYFUNCTION("VALUE(IFERROR(VLOOKUP($Y7, IMPORTRANGE(""https://docs.google.com/spreadsheets/d/1UdH2L0xi8dO6jyPCcO5e5-8j7SGzezxkeZuF1uP8uOw"",""fighter_param (""&amp;TO_TEXT($A$1)&amp;"")!B4:JZ""), 22, FALSE), """")) + VALUE(IFERROR(VLOOKUP($Y7, IMPORTRANGE(""https://docs.googl"&amp;"e.com/spreadsheets/d/1UdH2L0xi8dO6jyPCcO5e5-8j7SGzezxkeZuF1uP8uOw"",""fighter_param (""&amp;TO_TEXT($A$1)&amp;"")!B4:JZ""), 23, FALSE), """"))"),0.06)</f>
        <v>0.06</v>
      </c>
      <c r="K7" s="3735">
        <f t="shared" si="5"/>
        <v>87</v>
      </c>
      <c r="L7" s="3734">
        <f>IFERROR(__xludf.DUMMYFUNCTION("VALUE(IFERROR(VLOOKUP($Y7, IMPORTRANGE(""https://docs.google.com/spreadsheets/d/1UdH2L0xi8dO6jyPCcO5e5-8j7SGzezxkeZuF1uP8uOw"",""fighter_param (""&amp;TO_TEXT($A$1)&amp;"")!B4:JZ""), 25, FALSE), """"))"),0.00375)</f>
        <v>0.00375</v>
      </c>
      <c r="M7" s="3735">
        <f t="shared" si="6"/>
        <v>38</v>
      </c>
      <c r="N7" s="3734">
        <f>IFERROR(__xludf.DUMMYFUNCTION("VALUE(IFERROR(VLOOKUP($Y7, IMPORTRANGE(""https://docs.google.com/spreadsheets/d/1UdH2L0xi8dO6jyPCcO5e5-8j7SGzezxkeZuF1uP8uOw"",""fighter_param (""&amp;TO_TEXT($A$1)&amp;"")!B4:JZ""), 26, FALSE), """"))"),0.096)</f>
        <v>0.096</v>
      </c>
      <c r="O7" s="3735" t="str">
        <f t="shared" si="7"/>
        <v/>
      </c>
      <c r="P7" s="3735" t="s">
        <v>76</v>
      </c>
      <c r="Q7" s="3735">
        <f t="shared" si="8"/>
        <v>33</v>
      </c>
      <c r="R7" s="3734">
        <f>IFERROR(__xludf.DUMMYFUNCTION("VALUE(IFERROR(VLOOKUP($Y7, IMPORTRANGE(""https://docs.google.com/spreadsheets/d/1UdH2L0xi8dO6jyPCcO5e5-8j7SGzezxkeZuF1uP8uOw"",""fighter_param (""&amp;TO_TEXT($A$1)&amp;"")!B4:JZ""), 19, FALSE), """"))"),33.66)</f>
        <v>33.66</v>
      </c>
      <c r="S7" s="3735">
        <f t="shared" si="9"/>
        <v>39</v>
      </c>
      <c r="T7" s="3734">
        <f>IFERROR(__xludf.DUMMYFUNCTION("VALUE(IFERROR(VLOOKUP($Y7, IMPORTRANGE(""https://docs.google.com/spreadsheets/d/1UdH2L0xi8dO6jyPCcO5e5-8j7SGzezxkeZuF1uP8uOw"",""fighter_param (""&amp;TO_TEXT($A$1)&amp;"")!B4:JZ""), 20, FALSE), """"))"),16.26)</f>
        <v>16.26</v>
      </c>
      <c r="U7" s="3735">
        <f t="shared" si="10"/>
        <v>39</v>
      </c>
      <c r="V7" s="3734">
        <f>IFERROR(__xludf.DUMMYFUNCTION("VALUE(IFERROR(VLOOKUP($Y7, IMPORTRANGE(""https://docs.google.com/spreadsheets/d/1UdH2L0xi8dO6jyPCcO5e5-8j7SGzezxkeZuF1uP8uOw"",""fighter_param (""&amp;TO_TEXT($A$1)&amp;"")!B4:JZ""), 21, FALSE), """"))"),33.66)</f>
        <v>33.66</v>
      </c>
      <c r="W7" s="3708">
        <f>Fighters!S7</f>
        <v>6</v>
      </c>
      <c r="X7" s="3709">
        <f>Fighters!T7</f>
        <v>4</v>
      </c>
      <c r="Y7" s="3710" t="str">
        <f>Fighters!V7</f>
        <v>younglink</v>
      </c>
    </row>
    <row r="8">
      <c r="A8" s="3700">
        <f>Fighters!$A8</f>
        <v>6</v>
      </c>
      <c r="B8" s="3701" t="str">
        <f>Fighters!$B8</f>
        <v>カービィ</v>
      </c>
      <c r="C8" s="3735">
        <f t="shared" si="1"/>
        <v>46</v>
      </c>
      <c r="D8" s="3734">
        <f>IFERROR(__xludf.DUMMYFUNCTION("VALUE(IFERROR(VLOOKUP($Y8, IMPORTRANGE(""https://docs.google.com/spreadsheets/d/1UdH2L0xi8dO6jyPCcO5e5-8j7SGzezxkeZuF1uP8uOw"",""fighter_param (""&amp;TO_TEXT($A$1)&amp;"")!B4:JZ""), 9, FALSE), """"))"),1.9)</f>
        <v>1.9</v>
      </c>
      <c r="E8" s="3735">
        <f t="shared" si="2"/>
        <v>46</v>
      </c>
      <c r="F8" s="3735">
        <f>IFERROR(__xludf.DUMMYFUNCTION("VALUE(IFERROR(VLOOKUP($Y8, IMPORTRANGE(""https://docs.google.com/spreadsheets/d/1UdH2L0xi8dO6jyPCcO5e5-8j7SGzezxkeZuF1uP8uOw"",""fighter_param (""&amp;TO_TEXT($A$1)&amp;"")!B4:JZ""), 10, FALSE), """")) + VALUE(IFERROR(VLOOKUP($Y8, IMPORTRANGE(""https://docs.googl"&amp;"e.com/spreadsheets/d/1UdH2L0xi8dO6jyPCcO5e5-8j7SGzezxkeZuF1uP8uOw"",""fighter_param (""&amp;TO_TEXT($A$1)&amp;"")!B4:JZ""), 11, FALSE), """"))"),0.14894000000000002)</f>
        <v>0.14894</v>
      </c>
      <c r="G8" s="3735">
        <f t="shared" si="3"/>
        <v>20</v>
      </c>
      <c r="H8" s="3734">
        <f>IFERROR(__xludf.DUMMYFUNCTION("VALUE(IFERROR(VLOOKUP($Y8, IMPORTRANGE(""https://docs.google.com/spreadsheets/d/1UdH2L0xi8dO6jyPCcO5e5-8j7SGzezxkeZuF1uP8uOw"",""fighter_param (""&amp;TO_TEXT($A$1)&amp;"")!B4:JZ""), 8, FALSE), """"))"),0.116)</f>
        <v>0.116</v>
      </c>
      <c r="I8" s="3735">
        <f t="shared" si="4"/>
        <v>16</v>
      </c>
      <c r="J8" s="3735">
        <f>IFERROR(__xludf.DUMMYFUNCTION("VALUE(IFERROR(VLOOKUP($Y8, IMPORTRANGE(""https://docs.google.com/spreadsheets/d/1UdH2L0xi8dO6jyPCcO5e5-8j7SGzezxkeZuF1uP8uOw"",""fighter_param (""&amp;TO_TEXT($A$1)&amp;"")!B4:JZ""), 22, FALSE), """")) + VALUE(IFERROR(VLOOKUP($Y8, IMPORTRANGE(""https://docs.googl"&amp;"e.com/spreadsheets/d/1UdH2L0xi8dO6jyPCcO5e5-8j7SGzezxkeZuF1uP8uOw"",""fighter_param (""&amp;TO_TEXT($A$1)&amp;"")!B4:JZ""), 23, FALSE), """"))"),0.095)</f>
        <v>0.095</v>
      </c>
      <c r="K8" s="3735">
        <f t="shared" si="5"/>
        <v>9</v>
      </c>
      <c r="L8" s="3734">
        <f>IFERROR(__xludf.DUMMYFUNCTION("VALUE(IFERROR(VLOOKUP($Y8, IMPORTRANGE(""https://docs.google.com/spreadsheets/d/1UdH2L0xi8dO6jyPCcO5e5-8j7SGzezxkeZuF1uP8uOw"",""fighter_param (""&amp;TO_TEXT($A$1)&amp;"")!B4:JZ""), 25, FALSE), """"))"),0.015)</f>
        <v>0.015</v>
      </c>
      <c r="M8" s="3735">
        <f t="shared" si="6"/>
        <v>86</v>
      </c>
      <c r="N8" s="3734">
        <f>IFERROR(__xludf.DUMMYFUNCTION("VALUE(IFERROR(VLOOKUP($Y8, IMPORTRANGE(""https://docs.google.com/spreadsheets/d/1UdH2L0xi8dO6jyPCcO5e5-8j7SGzezxkeZuF1uP8uOw"",""fighter_param (""&amp;TO_TEXT($A$1)&amp;"")!B4:JZ""), 26, FALSE), """"))"),0.064)</f>
        <v>0.064</v>
      </c>
      <c r="O8" s="3735" t="str">
        <f t="shared" si="7"/>
        <v/>
      </c>
      <c r="P8" s="3735" t="s">
        <v>76</v>
      </c>
      <c r="Q8" s="3735">
        <f t="shared" si="8"/>
        <v>85</v>
      </c>
      <c r="R8" s="3734">
        <f>IFERROR(__xludf.DUMMYFUNCTION("VALUE(IFERROR(VLOOKUP($Y8, IMPORTRANGE(""https://docs.google.com/spreadsheets/d/1UdH2L0xi8dO6jyPCcO5e5-8j7SGzezxkeZuF1uP8uOw"",""fighter_param (""&amp;TO_TEXT($A$1)&amp;"")!B4:JZ""), 19, FALSE), """"))"),25.37)</f>
        <v>25.37</v>
      </c>
      <c r="S8" s="3735">
        <f t="shared" si="9"/>
        <v>83</v>
      </c>
      <c r="T8" s="3734">
        <f>IFERROR(__xludf.DUMMYFUNCTION("VALUE(IFERROR(VLOOKUP($Y8, IMPORTRANGE(""https://docs.google.com/spreadsheets/d/1UdH2L0xi8dO6jyPCcO5e5-8j7SGzezxkeZuF1uP8uOw"",""fighter_param (""&amp;TO_TEXT($A$1)&amp;"")!B4:JZ""), 20, FALSE), """"))"),12.24)</f>
        <v>12.24</v>
      </c>
      <c r="U8" s="3735">
        <f t="shared" si="10"/>
        <v>87</v>
      </c>
      <c r="V8" s="3736">
        <v>21.06</v>
      </c>
      <c r="W8" s="3708">
        <f>Fighters!S8</f>
        <v>7</v>
      </c>
      <c r="X8" s="3709">
        <f>Fighters!T8</f>
        <v>5</v>
      </c>
      <c r="Y8" s="3710" t="str">
        <f>Fighters!V8</f>
        <v>kirby</v>
      </c>
    </row>
    <row r="9">
      <c r="A9" s="3700">
        <f>Fighters!$A9</f>
        <v>7</v>
      </c>
      <c r="B9" s="3701" t="str">
        <f>Fighters!$B9</f>
        <v>フォックス</v>
      </c>
      <c r="C9" s="3735">
        <f t="shared" si="1"/>
        <v>18</v>
      </c>
      <c r="D9" s="3734">
        <f>IFERROR(__xludf.DUMMYFUNCTION("VALUE(IFERROR(VLOOKUP($Y9, IMPORTRANGE(""https://docs.google.com/spreadsheets/d/1UdH2L0xi8dO6jyPCcO5e5-8j7SGzezxkeZuF1uP8uOw"",""fighter_param (""&amp;TO_TEXT($A$1)&amp;"")!B4:JZ""), 9, FALSE), """"))"),2.09)</f>
        <v>2.09</v>
      </c>
      <c r="E9" s="3735">
        <f t="shared" si="2"/>
        <v>23</v>
      </c>
      <c r="F9" s="3735">
        <f>IFERROR(__xludf.DUMMYFUNCTION("VALUE(IFERROR(VLOOKUP($Y9, IMPORTRANGE(""https://docs.google.com/spreadsheets/d/1UdH2L0xi8dO6jyPCcO5e5-8j7SGzezxkeZuF1uP8uOw"",""fighter_param (""&amp;TO_TEXT($A$1)&amp;"")!B4:JZ""), 10, FALSE), """")) + VALUE(IFERROR(VLOOKUP($Y9, IMPORTRANGE(""https://docs.googl"&amp;"e.com/spreadsheets/d/1UdH2L0xi8dO6jyPCcO5e5-8j7SGzezxkeZuF1uP8uOw"",""fighter_param (""&amp;TO_TEXT($A$1)&amp;"")!B4:JZ""), 11, FALSE), """"))"),0.16621)</f>
        <v>0.16621</v>
      </c>
      <c r="G9" s="3735">
        <f t="shared" si="3"/>
        <v>29</v>
      </c>
      <c r="H9" s="3734">
        <f>IFERROR(__xludf.DUMMYFUNCTION("VALUE(IFERROR(VLOOKUP($Y9, IMPORTRANGE(""https://docs.google.com/spreadsheets/d/1UdH2L0xi8dO6jyPCcO5e5-8j7SGzezxkeZuF1uP8uOw"",""fighter_param (""&amp;TO_TEXT($A$1)&amp;"")!B4:JZ""), 8, FALSE), """"))"),0.115)</f>
        <v>0.115</v>
      </c>
      <c r="I9" s="3735">
        <f t="shared" si="4"/>
        <v>21</v>
      </c>
      <c r="J9" s="3735">
        <f>IFERROR(__xludf.DUMMYFUNCTION("VALUE(IFERROR(VLOOKUP($Y9, IMPORTRANGE(""https://docs.google.com/spreadsheets/d/1UdH2L0xi8dO6jyPCcO5e5-8j7SGzezxkeZuF1uP8uOw"",""fighter_param (""&amp;TO_TEXT($A$1)&amp;"")!B4:JZ""), 22, FALSE), """")) + VALUE(IFERROR(VLOOKUP($Y9, IMPORTRANGE(""https://docs.googl"&amp;"e.com/spreadsheets/d/1UdH2L0xi8dO6jyPCcO5e5-8j7SGzezxkeZuF1uP8uOw"",""fighter_param (""&amp;TO_TEXT($A$1)&amp;"")!B4:JZ""), 23, FALSE), """"))"),0.09)</f>
        <v>0.09</v>
      </c>
      <c r="K9" s="3735">
        <f t="shared" si="5"/>
        <v>9</v>
      </c>
      <c r="L9" s="3734">
        <f>IFERROR(__xludf.DUMMYFUNCTION("VALUE(IFERROR(VLOOKUP($Y9, IMPORTRANGE(""https://docs.google.com/spreadsheets/d/1UdH2L0xi8dO6jyPCcO5e5-8j7SGzezxkeZuF1uP8uOw"",""fighter_param (""&amp;TO_TEXT($A$1)&amp;"")!B4:JZ""), 25, FALSE), """"))"),0.015)</f>
        <v>0.015</v>
      </c>
      <c r="M9" s="3735">
        <f t="shared" si="6"/>
        <v>1</v>
      </c>
      <c r="N9" s="3734">
        <f>IFERROR(__xludf.DUMMYFUNCTION("VALUE(IFERROR(VLOOKUP($Y9, IMPORTRANGE(""https://docs.google.com/spreadsheets/d/1UdH2L0xi8dO6jyPCcO5e5-8j7SGzezxkeZuF1uP8uOw"",""fighter_param (""&amp;TO_TEXT($A$1)&amp;"")!B4:JZ""), 26, FALSE), """"))"),0.23)</f>
        <v>0.23</v>
      </c>
      <c r="O9" s="3735" t="str">
        <f t="shared" si="7"/>
        <v/>
      </c>
      <c r="P9" s="3735" t="s">
        <v>76</v>
      </c>
      <c r="Q9" s="3735">
        <f t="shared" si="8"/>
        <v>22</v>
      </c>
      <c r="R9" s="3734">
        <f>IFERROR(__xludf.DUMMYFUNCTION("VALUE(IFERROR(VLOOKUP($Y9, IMPORTRANGE(""https://docs.google.com/spreadsheets/d/1UdH2L0xi8dO6jyPCcO5e5-8j7SGzezxkeZuF1uP8uOw"",""fighter_param (""&amp;TO_TEXT($A$1)&amp;"")!B4:JZ""), 19, FALSE), """"))"),35.0)</f>
        <v>35</v>
      </c>
      <c r="S9" s="3735">
        <f t="shared" si="9"/>
        <v>37</v>
      </c>
      <c r="T9" s="3734">
        <f>IFERROR(__xludf.DUMMYFUNCTION("VALUE(IFERROR(VLOOKUP($Y9, IMPORTRANGE(""https://docs.google.com/spreadsheets/d/1UdH2L0xi8dO6jyPCcO5e5-8j7SGzezxkeZuF1uP8uOw"",""fighter_param (""&amp;TO_TEXT($A$1)&amp;"")!B4:JZ""), 20, FALSE), """"))"),16.4)</f>
        <v>16.4</v>
      </c>
      <c r="U9" s="3735">
        <f t="shared" si="10"/>
        <v>19</v>
      </c>
      <c r="V9" s="3734">
        <f>IFERROR(__xludf.DUMMYFUNCTION("VALUE(IFERROR(VLOOKUP($Y9, IMPORTRANGE(""https://docs.google.com/spreadsheets/d/1UdH2L0xi8dO6jyPCcO5e5-8j7SGzezxkeZuF1uP8uOw"",""fighter_param (""&amp;TO_TEXT($A$1)&amp;"")!B4:JZ""), 21, FALSE), """"))"),37.0)</f>
        <v>37</v>
      </c>
      <c r="W9" s="3708">
        <f>Fighters!S9</f>
        <v>8</v>
      </c>
      <c r="X9" s="3709">
        <f>Fighters!T9</f>
        <v>6</v>
      </c>
      <c r="Y9" s="3710" t="str">
        <f>Fighters!V9</f>
        <v>fox</v>
      </c>
    </row>
    <row r="10">
      <c r="A10" s="3700">
        <f>Fighters!$A10</f>
        <v>8</v>
      </c>
      <c r="B10" s="3701" t="str">
        <f>Fighters!$B10</f>
        <v>ピカチュウ</v>
      </c>
      <c r="C10" s="3735">
        <f t="shared" si="1"/>
        <v>30</v>
      </c>
      <c r="D10" s="3734">
        <f>IFERROR(__xludf.DUMMYFUNCTION("VALUE(IFERROR(VLOOKUP($Y10, IMPORTRANGE(""https://docs.google.com/spreadsheets/d/1UdH2L0xi8dO6jyPCcO5e5-8j7SGzezxkeZuF1uP8uOw"",""fighter_param (""&amp;TO_TEXT($A$1)&amp;"")!B4:JZ""), 9, FALSE), """"))"),1.98)</f>
        <v>1.98</v>
      </c>
      <c r="E10" s="3735">
        <f t="shared" si="2"/>
        <v>7</v>
      </c>
      <c r="F10" s="3735">
        <f>IFERROR(__xludf.DUMMYFUNCTION("VALUE(IFERROR(VLOOKUP($Y10, IMPORTRANGE(""https://docs.google.com/spreadsheets/d/1UdH2L0xi8dO6jyPCcO5e5-8j7SGzezxkeZuF1uP8uOw"",""fighter_param (""&amp;TO_TEXT($A$1)&amp;"")!B4:JZ""), 10, FALSE), """")) + VALUE(IFERROR(VLOOKUP($Y10, IMPORTRANGE(""https://docs.goo"&amp;"gle.com/spreadsheets/d/1UdH2L0xi8dO6jyPCcO5e5-8j7SGzezxkeZuF1uP8uOw"",""fighter_param (""&amp;TO_TEXT($A$1)&amp;"")!B4:JZ""), 11, FALSE), """"))"),0.176)</f>
        <v>0.176</v>
      </c>
      <c r="G10" s="3735">
        <f t="shared" si="3"/>
        <v>4</v>
      </c>
      <c r="H10" s="3734">
        <f>IFERROR(__xludf.DUMMYFUNCTION("VALUE(IFERROR(VLOOKUP($Y10, IMPORTRANGE(""https://docs.google.com/spreadsheets/d/1UdH2L0xi8dO6jyPCcO5e5-8j7SGzezxkeZuF1uP8uOw"",""fighter_param (""&amp;TO_TEXT($A$1)&amp;"")!B4:JZ""), 8, FALSE), """"))"),0.132)</f>
        <v>0.132</v>
      </c>
      <c r="I10" s="3735">
        <f t="shared" si="4"/>
        <v>10</v>
      </c>
      <c r="J10" s="3735">
        <f>IFERROR(__xludf.DUMMYFUNCTION("VALUE(IFERROR(VLOOKUP($Y10, IMPORTRANGE(""https://docs.google.com/spreadsheets/d/1UdH2L0xi8dO6jyPCcO5e5-8j7SGzezxkeZuF1uP8uOw"",""fighter_param (""&amp;TO_TEXT($A$1)&amp;"")!B4:JZ""), 22, FALSE), """")) + VALUE(IFERROR(VLOOKUP($Y10, IMPORTRANGE(""https://docs.goo"&amp;"gle.com/spreadsheets/d/1UdH2L0xi8dO6jyPCcO5e5-8j7SGzezxkeZuF1uP8uOw"",""fighter_param (""&amp;TO_TEXT($A$1)&amp;"")!B4:JZ""), 23, FALSE), """"))"),0.09999999999999999)</f>
        <v>0.1</v>
      </c>
      <c r="K10" s="3735">
        <f t="shared" si="5"/>
        <v>67</v>
      </c>
      <c r="L10" s="3734">
        <f>IFERROR(__xludf.DUMMYFUNCTION("VALUE(IFERROR(VLOOKUP($Y10, IMPORTRANGE(""https://docs.google.com/spreadsheets/d/1UdH2L0xi8dO6jyPCcO5e5-8j7SGzezxkeZuF1uP8uOw"",""fighter_param (""&amp;TO_TEXT($A$1)&amp;"")!B4:JZ""), 25, FALSE), """"))"),0.0075)</f>
        <v>0.0075</v>
      </c>
      <c r="M10" s="3735">
        <f t="shared" si="6"/>
        <v>40</v>
      </c>
      <c r="N10" s="3734">
        <f>IFERROR(__xludf.DUMMYFUNCTION("VALUE(IFERROR(VLOOKUP($Y10, IMPORTRANGE(""https://docs.google.com/spreadsheets/d/1UdH2L0xi8dO6jyPCcO5e5-8j7SGzezxkeZuF1uP8uOw"",""fighter_param (""&amp;TO_TEXT($A$1)&amp;"")!B4:JZ""), 26, FALSE), """"))"),0.095)</f>
        <v>0.095</v>
      </c>
      <c r="O10" s="3735" t="str">
        <f t="shared" si="7"/>
        <v/>
      </c>
      <c r="P10" s="3735" t="s">
        <v>76</v>
      </c>
      <c r="Q10" s="3735">
        <f t="shared" si="8"/>
        <v>20</v>
      </c>
      <c r="R10" s="3734">
        <f>IFERROR(__xludf.DUMMYFUNCTION("VALUE(IFERROR(VLOOKUP($Y10, IMPORTRANGE(""https://docs.google.com/spreadsheets/d/1UdH2L0xi8dO6jyPCcO5e5-8j7SGzezxkeZuF1uP8uOw"",""fighter_param (""&amp;TO_TEXT($A$1)&amp;"")!B4:JZ""), 19, FALSE), """"))"),35.5)</f>
        <v>35.5</v>
      </c>
      <c r="S10" s="3735">
        <f t="shared" si="9"/>
        <v>26</v>
      </c>
      <c r="T10" s="3734">
        <f>IFERROR(__xludf.DUMMYFUNCTION("VALUE(IFERROR(VLOOKUP($Y10, IMPORTRANGE(""https://docs.google.com/spreadsheets/d/1UdH2L0xi8dO6jyPCcO5e5-8j7SGzezxkeZuF1uP8uOw"",""fighter_param (""&amp;TO_TEXT($A$1)&amp;"")!B4:JZ""), 20, FALSE), """"))"),17.12)</f>
        <v>17.12</v>
      </c>
      <c r="U10" s="3735">
        <f t="shared" si="10"/>
        <v>27</v>
      </c>
      <c r="V10" s="3734">
        <f>IFERROR(__xludf.DUMMYFUNCTION("VALUE(IFERROR(VLOOKUP($Y10, IMPORTRANGE(""https://docs.google.com/spreadsheets/d/1UdH2L0xi8dO6jyPCcO5e5-8j7SGzezxkeZuF1uP8uOw"",""fighter_param (""&amp;TO_TEXT($A$1)&amp;"")!B4:JZ""), 21, FALSE), """"))"),35.5)</f>
        <v>35.5</v>
      </c>
      <c r="W10" s="3708">
        <f>Fighters!S10</f>
        <v>9</v>
      </c>
      <c r="X10" s="3709">
        <f>Fighters!T10</f>
        <v>7</v>
      </c>
      <c r="Y10" s="3710" t="str">
        <f>Fighters!V10</f>
        <v>pikachu</v>
      </c>
    </row>
    <row r="11">
      <c r="A11" s="3700">
        <f>Fighters!$A11</f>
        <v>9</v>
      </c>
      <c r="B11" s="3701" t="str">
        <f>Fighters!$B11</f>
        <v>ルイージ</v>
      </c>
      <c r="C11" s="3735">
        <f t="shared" si="1"/>
        <v>62</v>
      </c>
      <c r="D11" s="3734">
        <f>IFERROR(__xludf.DUMMYFUNCTION("VALUE(IFERROR(VLOOKUP($Y11, IMPORTRANGE(""https://docs.google.com/spreadsheets/d/1UdH2L0xi8dO6jyPCcO5e5-8j7SGzezxkeZuF1uP8uOw"",""fighter_param (""&amp;TO_TEXT($A$1)&amp;"")!B4:JZ""), 9, FALSE), """"))"),1.815)</f>
        <v>1.815</v>
      </c>
      <c r="E11" s="3735">
        <f t="shared" si="2"/>
        <v>67</v>
      </c>
      <c r="F11" s="3735">
        <f>IFERROR(__xludf.DUMMYFUNCTION("VALUE(IFERROR(VLOOKUP($Y11, IMPORTRANGE(""https://docs.google.com/spreadsheets/d/1UdH2L0xi8dO6jyPCcO5e5-8j7SGzezxkeZuF1uP8uOw"",""fighter_param (""&amp;TO_TEXT($A$1)&amp;"")!B4:JZ""), 10, FALSE), """")) + VALUE(IFERROR(VLOOKUP($Y11, IMPORTRANGE(""https://docs.goo"&amp;"gle.com/spreadsheets/d/1UdH2L0xi8dO6jyPCcO5e5-8j7SGzezxkeZuF1uP8uOw"",""fighter_param (""&amp;TO_TEXT($A$1)&amp;"")!B4:JZ""), 11, FALSE), """"))"),0.13046)</f>
        <v>0.13046</v>
      </c>
      <c r="G11" s="3735">
        <f t="shared" si="3"/>
        <v>65</v>
      </c>
      <c r="H11" s="3734">
        <f>IFERROR(__xludf.DUMMYFUNCTION("VALUE(IFERROR(VLOOKUP($Y11, IMPORTRANGE(""https://docs.google.com/spreadsheets/d/1UdH2L0xi8dO6jyPCcO5e5-8j7SGzezxkeZuF1uP8uOw"",""fighter_param (""&amp;TO_TEXT($A$1)&amp;"")!B4:JZ""), 8, FALSE), """"))"),0.096)</f>
        <v>0.096</v>
      </c>
      <c r="I11" s="3735">
        <f t="shared" si="4"/>
        <v>43</v>
      </c>
      <c r="J11" s="3735">
        <f>IFERROR(__xludf.DUMMYFUNCTION("VALUE(IFERROR(VLOOKUP($Y11, IMPORTRANGE(""https://docs.google.com/spreadsheets/d/1UdH2L0xi8dO6jyPCcO5e5-8j7SGzezxkeZuF1uP8uOw"",""fighter_param (""&amp;TO_TEXT($A$1)&amp;"")!B4:JZ""), 22, FALSE), """")) + VALUE(IFERROR(VLOOKUP($Y11, IMPORTRANGE(""https://docs.goo"&amp;"gle.com/spreadsheets/d/1UdH2L0xi8dO6jyPCcO5e5-8j7SGzezxkeZuF1uP8uOw"",""fighter_param (""&amp;TO_TEXT($A$1)&amp;"")!B4:JZ""), 23, FALSE), """"))"),0.075)</f>
        <v>0.075</v>
      </c>
      <c r="K11" s="3735">
        <f t="shared" si="5"/>
        <v>67</v>
      </c>
      <c r="L11" s="3734">
        <f>IFERROR(__xludf.DUMMYFUNCTION("VALUE(IFERROR(VLOOKUP($Y11, IMPORTRANGE(""https://docs.google.com/spreadsheets/d/1UdH2L0xi8dO6jyPCcO5e5-8j7SGzezxkeZuF1uP8uOw"",""fighter_param (""&amp;TO_TEXT($A$1)&amp;"")!B4:JZ""), 25, FALSE), """"))"),0.0075)</f>
        <v>0.0075</v>
      </c>
      <c r="M11" s="3735">
        <f t="shared" si="6"/>
        <v>61</v>
      </c>
      <c r="N11" s="3734">
        <f>IFERROR(__xludf.DUMMYFUNCTION("VALUE(IFERROR(VLOOKUP($Y11, IMPORTRANGE(""https://docs.google.com/spreadsheets/d/1UdH2L0xi8dO6jyPCcO5e5-8j7SGzezxkeZuF1uP8uOw"",""fighter_param (""&amp;TO_TEXT($A$1)&amp;"")!B4:JZ""), 26, FALSE), """"))"),0.083)</f>
        <v>0.083</v>
      </c>
      <c r="O11" s="3735" t="str">
        <f t="shared" si="7"/>
        <v/>
      </c>
      <c r="P11" s="3735" t="s">
        <v>76</v>
      </c>
      <c r="Q11" s="3735">
        <f t="shared" si="8"/>
        <v>4</v>
      </c>
      <c r="R11" s="3734">
        <f>IFERROR(__xludf.DUMMYFUNCTION("VALUE(IFERROR(VLOOKUP($Y11, IMPORTRANGE(""https://docs.google.com/spreadsheets/d/1UdH2L0xi8dO6jyPCcO5e5-8j7SGzezxkeZuF1uP8uOw"",""fighter_param (""&amp;TO_TEXT($A$1)&amp;"")!B4:JZ""), 19, FALSE), """"))"),44.0)</f>
        <v>44</v>
      </c>
      <c r="S11" s="3735">
        <f t="shared" si="9"/>
        <v>4</v>
      </c>
      <c r="T11" s="3734">
        <f>IFERROR(__xludf.DUMMYFUNCTION("VALUE(IFERROR(VLOOKUP($Y11, IMPORTRANGE(""https://docs.google.com/spreadsheets/d/1UdH2L0xi8dO6jyPCcO5e5-8j7SGzezxkeZuF1uP8uOw"",""fighter_param (""&amp;TO_TEXT($A$1)&amp;"")!B4:JZ""), 20, FALSE), """"))"),19.98)</f>
        <v>19.98</v>
      </c>
      <c r="U11" s="3735">
        <f t="shared" si="10"/>
        <v>10</v>
      </c>
      <c r="V11" s="3734">
        <f>IFERROR(__xludf.DUMMYFUNCTION("VALUE(IFERROR(VLOOKUP($Y11, IMPORTRANGE(""https://docs.google.com/spreadsheets/d/1UdH2L0xi8dO6jyPCcO5e5-8j7SGzezxkeZuF1uP8uOw"",""fighter_param (""&amp;TO_TEXT($A$1)&amp;"")!B4:JZ""), 21, FALSE), """"))"),41.31)</f>
        <v>41.31</v>
      </c>
      <c r="W11" s="3708">
        <f>Fighters!S11</f>
        <v>10</v>
      </c>
      <c r="X11" s="3709">
        <f>Fighters!T11</f>
        <v>8</v>
      </c>
      <c r="Y11" s="3710" t="str">
        <f>Fighters!V11</f>
        <v>luigi</v>
      </c>
    </row>
    <row r="12">
      <c r="A12" s="3700">
        <f>Fighters!$A12</f>
        <v>10</v>
      </c>
      <c r="B12" s="3701" t="str">
        <f>Fighters!$B12</f>
        <v>ネス</v>
      </c>
      <c r="C12" s="3735">
        <f t="shared" si="1"/>
        <v>58</v>
      </c>
      <c r="D12" s="3734">
        <f>IFERROR(__xludf.DUMMYFUNCTION("VALUE(IFERROR(VLOOKUP($Y12, IMPORTRANGE(""https://docs.google.com/spreadsheets/d/1UdH2L0xi8dO6jyPCcO5e5-8j7SGzezxkeZuF1uP8uOw"",""fighter_param (""&amp;TO_TEXT($A$1)&amp;"")!B4:JZ""), 9, FALSE), """"))"),1.826)</f>
        <v>1.826</v>
      </c>
      <c r="E12" s="3735">
        <f t="shared" si="2"/>
        <v>74</v>
      </c>
      <c r="F12" s="3735">
        <f>IFERROR(__xludf.DUMMYFUNCTION("VALUE(IFERROR(VLOOKUP($Y12, IMPORTRANGE(""https://docs.google.com/spreadsheets/d/1UdH2L0xi8dO6jyPCcO5e5-8j7SGzezxkeZuF1uP8uOw"",""fighter_param (""&amp;TO_TEXT($A$1)&amp;"")!B4:JZ""), 10, FALSE), """")) + VALUE(IFERROR(VLOOKUP($Y12, IMPORTRANGE(""https://docs.goo"&amp;"gle.com/spreadsheets/d/1UdH2L0xi8dO6jyPCcO5e5-8j7SGzezxkeZuF1uP8uOw"",""fighter_param (""&amp;TO_TEXT($A$1)&amp;"")!B4:JZ""), 11, FALSE), """"))"),0.11560999999999999)</f>
        <v>0.11561</v>
      </c>
      <c r="G12" s="3735">
        <f t="shared" si="3"/>
        <v>5</v>
      </c>
      <c r="H12" s="3734">
        <f>IFERROR(__xludf.DUMMYFUNCTION("VALUE(IFERROR(VLOOKUP($Y12, IMPORTRANGE(""https://docs.google.com/spreadsheets/d/1UdH2L0xi8dO6jyPCcO5e5-8j7SGzezxkeZuF1uP8uOw"",""fighter_param (""&amp;TO_TEXT($A$1)&amp;"")!B4:JZ""), 8, FALSE), """"))"),0.131)</f>
        <v>0.131</v>
      </c>
      <c r="I12" s="3735">
        <f t="shared" si="4"/>
        <v>10</v>
      </c>
      <c r="J12" s="3735">
        <f>IFERROR(__xludf.DUMMYFUNCTION("VALUE(IFERROR(VLOOKUP($Y12, IMPORTRANGE(""https://docs.google.com/spreadsheets/d/1UdH2L0xi8dO6jyPCcO5e5-8j7SGzezxkeZuF1uP8uOw"",""fighter_param (""&amp;TO_TEXT($A$1)&amp;"")!B4:JZ""), 22, FALSE), """")) + VALUE(IFERROR(VLOOKUP($Y12, IMPORTRANGE(""https://docs.goo"&amp;"gle.com/spreadsheets/d/1UdH2L0xi8dO6jyPCcO5e5-8j7SGzezxkeZuF1uP8uOw"",""fighter_param (""&amp;TO_TEXT($A$1)&amp;"")!B4:JZ""), 23, FALSE), """"))"),0.09999999999999999)</f>
        <v>0.1</v>
      </c>
      <c r="K12" s="3735">
        <f t="shared" si="5"/>
        <v>4</v>
      </c>
      <c r="L12" s="3734">
        <f>IFERROR(__xludf.DUMMYFUNCTION("VALUE(IFERROR(VLOOKUP($Y12, IMPORTRANGE(""https://docs.google.com/spreadsheets/d/1UdH2L0xi8dO6jyPCcO5e5-8j7SGzezxkeZuF1uP8uOw"",""fighter_param (""&amp;TO_TEXT($A$1)&amp;"")!B4:JZ""), 25, FALSE), """"))"),0.0225)</f>
        <v>0.0225</v>
      </c>
      <c r="M12" s="3735">
        <f t="shared" si="6"/>
        <v>73</v>
      </c>
      <c r="N12" s="3734">
        <f>IFERROR(__xludf.DUMMYFUNCTION("VALUE(IFERROR(VLOOKUP($Y12, IMPORTRANGE(""https://docs.google.com/spreadsheets/d/1UdH2L0xi8dO6jyPCcO5e5-8j7SGzezxkeZuF1uP8uOw"",""fighter_param (""&amp;TO_TEXT($A$1)&amp;"")!B4:JZ""), 26, FALSE), """"))"),0.077)</f>
        <v>0.077</v>
      </c>
      <c r="O12" s="3735" t="str">
        <f t="shared" si="7"/>
        <v/>
      </c>
      <c r="P12" s="3735" t="s">
        <v>76</v>
      </c>
      <c r="Q12" s="3735">
        <f t="shared" si="8"/>
        <v>26</v>
      </c>
      <c r="R12" s="3734">
        <f>IFERROR(__xludf.DUMMYFUNCTION("VALUE(IFERROR(VLOOKUP($Y12, IMPORTRANGE(""https://docs.google.com/spreadsheets/d/1UdH2L0xi8dO6jyPCcO5e5-8j7SGzezxkeZuF1uP8uOw"",""fighter_param (""&amp;TO_TEXT($A$1)&amp;"")!B4:JZ""), 19, FALSE), """"))"),34.48)</f>
        <v>34.48</v>
      </c>
      <c r="S12" s="3735">
        <f t="shared" si="9"/>
        <v>33</v>
      </c>
      <c r="T12" s="3734">
        <f>IFERROR(__xludf.DUMMYFUNCTION("VALUE(IFERROR(VLOOKUP($Y12, IMPORTRANGE(""https://docs.google.com/spreadsheets/d/1UdH2L0xi8dO6jyPCcO5e5-8j7SGzezxkeZuF1uP8uOw"",""fighter_param (""&amp;TO_TEXT($A$1)&amp;"")!B4:JZ""), 20, FALSE), """"))"),16.65)</f>
        <v>16.65</v>
      </c>
      <c r="U12" s="3735">
        <f t="shared" si="10"/>
        <v>6</v>
      </c>
      <c r="V12" s="3734">
        <f>IFERROR(__xludf.DUMMYFUNCTION("VALUE(IFERROR(VLOOKUP($Y12, IMPORTRANGE(""https://docs.google.com/spreadsheets/d/1UdH2L0xi8dO6jyPCcO5e5-8j7SGzezxkeZuF1uP8uOw"",""fighter_param (""&amp;TO_TEXT($A$1)&amp;"")!B4:JZ""), 21, FALSE), """"))"),45.65)</f>
        <v>45.65</v>
      </c>
      <c r="W12" s="3708">
        <f>Fighters!S12</f>
        <v>11</v>
      </c>
      <c r="X12" s="3709">
        <f>Fighters!T12</f>
        <v>9</v>
      </c>
      <c r="Y12" s="3710" t="str">
        <f>Fighters!V12</f>
        <v>ness</v>
      </c>
    </row>
    <row r="13">
      <c r="A13" s="3700">
        <f>Fighters!$A13</f>
        <v>11</v>
      </c>
      <c r="B13" s="3701" t="str">
        <f>Fighters!$B13</f>
        <v>キャプテン・ファルコン</v>
      </c>
      <c r="C13" s="3735">
        <f t="shared" si="1"/>
        <v>30</v>
      </c>
      <c r="D13" s="3734">
        <f>IFERROR(__xludf.DUMMYFUNCTION("VALUE(IFERROR(VLOOKUP($Y13, IMPORTRANGE(""https://docs.google.com/spreadsheets/d/1UdH2L0xi8dO6jyPCcO5e5-8j7SGzezxkeZuF1uP8uOw"",""fighter_param (""&amp;TO_TEXT($A$1)&amp;"")!B4:JZ""), 9, FALSE), """"))"),1.98)</f>
        <v>1.98</v>
      </c>
      <c r="E13" s="3735">
        <f t="shared" si="2"/>
        <v>7</v>
      </c>
      <c r="F13" s="3735">
        <f>IFERROR(__xludf.DUMMYFUNCTION("VALUE(IFERROR(VLOOKUP($Y13, IMPORTRANGE(""https://docs.google.com/spreadsheets/d/1UdH2L0xi8dO6jyPCcO5e5-8j7SGzezxkeZuF1uP8uOw"",""fighter_param (""&amp;TO_TEXT($A$1)&amp;"")!B4:JZ""), 10, FALSE), """")) + VALUE(IFERROR(VLOOKUP($Y13, IMPORTRANGE(""https://docs.goo"&amp;"gle.com/spreadsheets/d/1UdH2L0xi8dO6jyPCcO5e5-8j7SGzezxkeZuF1uP8uOw"",""fighter_param (""&amp;TO_TEXT($A$1)&amp;"")!B4:JZ""), 11, FALSE), """"))"),0.176)</f>
        <v>0.176</v>
      </c>
      <c r="G13" s="3735">
        <f t="shared" si="3"/>
        <v>55</v>
      </c>
      <c r="H13" s="3734">
        <f>IFERROR(__xludf.DUMMYFUNCTION("VALUE(IFERROR(VLOOKUP($Y13, IMPORTRANGE(""https://docs.google.com/spreadsheets/d/1UdH2L0xi8dO6jyPCcO5e5-8j7SGzezxkeZuF1uP8uOw"",""fighter_param (""&amp;TO_TEXT($A$1)&amp;"")!B4:JZ""), 8, FALSE), """"))"),0.105)</f>
        <v>0.105</v>
      </c>
      <c r="I13" s="3735">
        <f t="shared" si="4"/>
        <v>43</v>
      </c>
      <c r="J13" s="3735">
        <f>IFERROR(__xludf.DUMMYFUNCTION("VALUE(IFERROR(VLOOKUP($Y13, IMPORTRANGE(""https://docs.google.com/spreadsheets/d/1UdH2L0xi8dO6jyPCcO5e5-8j7SGzezxkeZuF1uP8uOw"",""fighter_param (""&amp;TO_TEXT($A$1)&amp;"")!B4:JZ""), 22, FALSE), """")) + VALUE(IFERROR(VLOOKUP($Y13, IMPORTRANGE(""https://docs.goo"&amp;"gle.com/spreadsheets/d/1UdH2L0xi8dO6jyPCcO5e5-8j7SGzezxkeZuF1uP8uOw"",""fighter_param (""&amp;TO_TEXT($A$1)&amp;"")!B4:JZ""), 23, FALSE), """"))"),0.075)</f>
        <v>0.075</v>
      </c>
      <c r="K13" s="3735">
        <f t="shared" si="5"/>
        <v>67</v>
      </c>
      <c r="L13" s="3734">
        <f>IFERROR(__xludf.DUMMYFUNCTION("VALUE(IFERROR(VLOOKUP($Y13, IMPORTRANGE(""https://docs.google.com/spreadsheets/d/1UdH2L0xi8dO6jyPCcO5e5-8j7SGzezxkeZuF1uP8uOw"",""fighter_param (""&amp;TO_TEXT($A$1)&amp;"")!B4:JZ""), 25, FALSE), """"))"),0.0075)</f>
        <v>0.0075</v>
      </c>
      <c r="M13" s="3735">
        <f t="shared" si="6"/>
        <v>15</v>
      </c>
      <c r="N13" s="3734">
        <f>IFERROR(__xludf.DUMMYFUNCTION("VALUE(IFERROR(VLOOKUP($Y13, IMPORTRANGE(""https://docs.google.com/spreadsheets/d/1UdH2L0xi8dO6jyPCcO5e5-8j7SGzezxkeZuF1uP8uOw"",""fighter_param (""&amp;TO_TEXT($A$1)&amp;"")!B4:JZ""), 26, FALSE), """"))"),0.12)</f>
        <v>0.12</v>
      </c>
      <c r="O13" s="3735" t="str">
        <f t="shared" si="7"/>
        <v/>
      </c>
      <c r="P13" s="3735" t="s">
        <v>76</v>
      </c>
      <c r="Q13" s="3735">
        <f t="shared" si="8"/>
        <v>12</v>
      </c>
      <c r="R13" s="3734">
        <f>IFERROR(__xludf.DUMMYFUNCTION("VALUE(IFERROR(VLOOKUP($Y13, IMPORTRANGE(""https://docs.google.com/spreadsheets/d/1UdH2L0xi8dO6jyPCcO5e5-8j7SGzezxkeZuF1uP8uOw"",""fighter_param (""&amp;TO_TEXT($A$1)&amp;"")!B4:JZ""), 19, FALSE), """"))"),37.31)</f>
        <v>37.31</v>
      </c>
      <c r="S13" s="3735">
        <f t="shared" si="9"/>
        <v>14</v>
      </c>
      <c r="T13" s="3734">
        <f>IFERROR(__xludf.DUMMYFUNCTION("VALUE(IFERROR(VLOOKUP($Y13, IMPORTRANGE(""https://docs.google.com/spreadsheets/d/1UdH2L0xi8dO6jyPCcO5e5-8j7SGzezxkeZuF1uP8uOw"",""fighter_param (""&amp;TO_TEXT($A$1)&amp;"")!B4:JZ""), 20, FALSE), """"))"),17.98)</f>
        <v>17.98</v>
      </c>
      <c r="U13" s="3735">
        <f t="shared" si="10"/>
        <v>18</v>
      </c>
      <c r="V13" s="3734">
        <f>IFERROR(__xludf.DUMMYFUNCTION("VALUE(IFERROR(VLOOKUP($Y13, IMPORTRANGE(""https://docs.google.com/spreadsheets/d/1UdH2L0xi8dO6jyPCcO5e5-8j7SGzezxkeZuF1uP8uOw"",""fighter_param (""&amp;TO_TEXT($A$1)&amp;"")!B4:JZ""), 21, FALSE), """"))"),37.31)</f>
        <v>37.31</v>
      </c>
      <c r="W13" s="3708">
        <f>Fighters!S13</f>
        <v>12</v>
      </c>
      <c r="X13" s="3709">
        <f>Fighters!T13</f>
        <v>10</v>
      </c>
      <c r="Y13" s="3710" t="str">
        <f>Fighters!V13</f>
        <v>captain</v>
      </c>
    </row>
    <row r="14">
      <c r="A14" s="3700">
        <f>Fighters!$A14</f>
        <v>12</v>
      </c>
      <c r="B14" s="3701" t="str">
        <f>Fighters!$B14</f>
        <v>プリン</v>
      </c>
      <c r="C14" s="3735">
        <f t="shared" si="1"/>
        <v>83</v>
      </c>
      <c r="D14" s="3734">
        <f>IFERROR(__xludf.DUMMYFUNCTION("VALUE(IFERROR(VLOOKUP($Y14, IMPORTRANGE(""https://docs.google.com/spreadsheets/d/1UdH2L0xi8dO6jyPCcO5e5-8j7SGzezxkeZuF1uP8uOw"",""fighter_param (""&amp;TO_TEXT($A$1)&amp;"")!B4:JZ""), 9, FALSE), """"))"),1.65)</f>
        <v>1.65</v>
      </c>
      <c r="E14" s="3735">
        <f t="shared" si="2"/>
        <v>61</v>
      </c>
      <c r="F14" s="3735">
        <f>IFERROR(__xludf.DUMMYFUNCTION("VALUE(IFERROR(VLOOKUP($Y14, IMPORTRANGE(""https://docs.google.com/spreadsheets/d/1UdH2L0xi8dO6jyPCcO5e5-8j7SGzezxkeZuF1uP8uOw"",""fighter_param (""&amp;TO_TEXT($A$1)&amp;"")!B4:JZ""), 10, FALSE), """")) + VALUE(IFERROR(VLOOKUP($Y14, IMPORTRANGE(""https://docs.goo"&amp;"gle.com/spreadsheets/d/1UdH2L0xi8dO6jyPCcO5e5-8j7SGzezxkeZuF1uP8uOw"",""fighter_param (""&amp;TO_TEXT($A$1)&amp;"")!B4:JZ""), 11, FALSE), """"))"),0.13518999999999998)</f>
        <v>0.13519</v>
      </c>
      <c r="G14" s="3735">
        <f t="shared" si="3"/>
        <v>75</v>
      </c>
      <c r="H14" s="3734">
        <f>IFERROR(__xludf.DUMMYFUNCTION("VALUE(IFERROR(VLOOKUP($Y14, IMPORTRANGE(""https://docs.google.com/spreadsheets/d/1UdH2L0xi8dO6jyPCcO5e5-8j7SGzezxkeZuF1uP8uOw"",""fighter_param (""&amp;TO_TEXT($A$1)&amp;"")!B4:JZ""), 8, FALSE), """"))"),0.087)</f>
        <v>0.087</v>
      </c>
      <c r="I14" s="3735">
        <f t="shared" si="4"/>
        <v>1</v>
      </c>
      <c r="J14" s="3735">
        <f>IFERROR(__xludf.DUMMYFUNCTION("VALUE(IFERROR(VLOOKUP($Y14, IMPORTRANGE(""https://docs.google.com/spreadsheets/d/1UdH2L0xi8dO6jyPCcO5e5-8j7SGzezxkeZuF1uP8uOw"",""fighter_param (""&amp;TO_TEXT($A$1)&amp;"")!B4:JZ""), 22, FALSE), """")) + VALUE(IFERROR(VLOOKUP($Y14, IMPORTRANGE(""https://docs.goo"&amp;"gle.com/spreadsheets/d/1UdH2L0xi8dO6jyPCcO5e5-8j7SGzezxkeZuF1uP8uOw"",""fighter_param (""&amp;TO_TEXT($A$1)&amp;"")!B4:JZ""), 23, FALSE), """"))"),0.13)</f>
        <v>0.13</v>
      </c>
      <c r="K14" s="3735">
        <f t="shared" si="5"/>
        <v>3</v>
      </c>
      <c r="L14" s="3734">
        <f>IFERROR(__xludf.DUMMYFUNCTION("VALUE(IFERROR(VLOOKUP($Y14, IMPORTRANGE(""https://docs.google.com/spreadsheets/d/1UdH2L0xi8dO6jyPCcO5e5-8j7SGzezxkeZuF1uP8uOw"",""fighter_param (""&amp;TO_TEXT($A$1)&amp;"")!B4:JZ""), 25, FALSE), """"))"),0.0375)</f>
        <v>0.0375</v>
      </c>
      <c r="M14" s="3735">
        <f t="shared" si="6"/>
        <v>89</v>
      </c>
      <c r="N14" s="3734">
        <f>IFERROR(__xludf.DUMMYFUNCTION("VALUE(IFERROR(VLOOKUP($Y14, IMPORTRANGE(""https://docs.google.com/spreadsheets/d/1UdH2L0xi8dO6jyPCcO5e5-8j7SGzezxkeZuF1uP8uOw"",""fighter_param (""&amp;TO_TEXT($A$1)&amp;"")!B4:JZ""), 26, FALSE), """"))"),0.053)</f>
        <v>0.053</v>
      </c>
      <c r="O14" s="3735" t="str">
        <f t="shared" si="7"/>
        <v/>
      </c>
      <c r="P14" s="3735" t="s">
        <v>76</v>
      </c>
      <c r="Q14" s="3735">
        <f t="shared" si="8"/>
        <v>87</v>
      </c>
      <c r="R14" s="3734">
        <f>IFERROR(__xludf.DUMMYFUNCTION("VALUE(IFERROR(VLOOKUP($Y14, IMPORTRANGE(""https://docs.google.com/spreadsheets/d/1UdH2L0xi8dO6jyPCcO5e5-8j7SGzezxkeZuF1uP8uOw"",""fighter_param (""&amp;TO_TEXT($A$1)&amp;"")!B4:JZ""), 19, FALSE), """"))"),19.79)</f>
        <v>19.79</v>
      </c>
      <c r="S14" s="3735">
        <f t="shared" si="9"/>
        <v>87</v>
      </c>
      <c r="T14" s="3734">
        <f>IFERROR(__xludf.DUMMYFUNCTION("VALUE(IFERROR(VLOOKUP($Y14, IMPORTRANGE(""https://docs.google.com/spreadsheets/d/1UdH2L0xi8dO6jyPCcO5e5-8j7SGzezxkeZuF1uP8uOw"",""fighter_param (""&amp;TO_TEXT($A$1)&amp;"")!B4:JZ""), 20, FALSE), """"))"),11.26)</f>
        <v>11.26</v>
      </c>
      <c r="U14" s="3735">
        <f t="shared" si="10"/>
        <v>83</v>
      </c>
      <c r="V14" s="3736">
        <v>24.87</v>
      </c>
      <c r="W14" s="3708">
        <f>Fighters!S14</f>
        <v>13</v>
      </c>
      <c r="X14" s="3709">
        <f>Fighters!T14</f>
        <v>11</v>
      </c>
      <c r="Y14" s="3710" t="str">
        <f>Fighters!V14</f>
        <v>purin</v>
      </c>
    </row>
    <row r="15">
      <c r="A15" s="3700">
        <f>Fighters!$A15</f>
        <v>13</v>
      </c>
      <c r="B15" s="3701" t="str">
        <f>Fighters!$B15</f>
        <v>ピーチ</v>
      </c>
      <c r="C15" s="3735">
        <f t="shared" si="1"/>
        <v>58</v>
      </c>
      <c r="D15" s="3734">
        <f>IFERROR(__xludf.DUMMYFUNCTION("VALUE(IFERROR(VLOOKUP($Y15, IMPORTRANGE(""https://docs.google.com/spreadsheets/d/1UdH2L0xi8dO6jyPCcO5e5-8j7SGzezxkeZuF1uP8uOw"",""fighter_param (""&amp;TO_TEXT($A$1)&amp;"")!B4:JZ""), 9, FALSE), """"))"),1.826)</f>
        <v>1.826</v>
      </c>
      <c r="E15" s="3735">
        <f t="shared" si="2"/>
        <v>13</v>
      </c>
      <c r="F15" s="3735">
        <f>IFERROR(__xludf.DUMMYFUNCTION("VALUE(IFERROR(VLOOKUP($Y15, IMPORTRANGE(""https://docs.google.com/spreadsheets/d/1UdH2L0xi8dO6jyPCcO5e5-8j7SGzezxkeZuF1uP8uOw"",""fighter_param (""&amp;TO_TEXT($A$1)&amp;"")!B4:JZ""), 10, FALSE), """")) + VALUE(IFERROR(VLOOKUP($Y15, IMPORTRANGE(""https://docs.goo"&amp;"gle.com/spreadsheets/d/1UdH2L0xi8dO6jyPCcO5e5-8j7SGzezxkeZuF1uP8uOw"",""fighter_param (""&amp;TO_TEXT($A$1)&amp;"")!B4:JZ""), 11, FALSE), """"))"),0.17391)</f>
        <v>0.17391</v>
      </c>
      <c r="G15" s="3735">
        <f t="shared" si="3"/>
        <v>36</v>
      </c>
      <c r="H15" s="3734">
        <f>IFERROR(__xludf.DUMMYFUNCTION("VALUE(IFERROR(VLOOKUP($Y15, IMPORTRANGE(""https://docs.google.com/spreadsheets/d/1UdH2L0xi8dO6jyPCcO5e5-8j7SGzezxkeZuF1uP8uOw"",""fighter_param (""&amp;TO_TEXT($A$1)&amp;"")!B4:JZ""), 8, FALSE), """"))"),0.111)</f>
        <v>0.111</v>
      </c>
      <c r="I15" s="3735">
        <f t="shared" si="4"/>
        <v>2</v>
      </c>
      <c r="J15" s="3735">
        <f>IFERROR(__xludf.DUMMYFUNCTION("VALUE(IFERROR(VLOOKUP($Y15, IMPORTRANGE(""https://docs.google.com/spreadsheets/d/1UdH2L0xi8dO6jyPCcO5e5-8j7SGzezxkeZuF1uP8uOw"",""fighter_param (""&amp;TO_TEXT($A$1)&amp;"")!B4:JZ""), 22, FALSE), """")) + VALUE(IFERROR(VLOOKUP($Y15, IMPORTRANGE(""https://docs.goo"&amp;"gle.com/spreadsheets/d/1UdH2L0xi8dO6jyPCcO5e5-8j7SGzezxkeZuF1uP8uOw"",""fighter_param (""&amp;TO_TEXT($A$1)&amp;"")!B4:JZ""), 23, FALSE), """"))"),0.12)</f>
        <v>0.12</v>
      </c>
      <c r="K15" s="3735">
        <f t="shared" si="5"/>
        <v>40</v>
      </c>
      <c r="L15" s="3734">
        <f>IFERROR(__xludf.DUMMYFUNCTION("VALUE(IFERROR(VLOOKUP($Y15, IMPORTRANGE(""https://docs.google.com/spreadsheets/d/1UdH2L0xi8dO6jyPCcO5e5-8j7SGzezxkeZuF1uP8uOw"",""fighter_param (""&amp;TO_TEXT($A$1)&amp;"")!B4:JZ""), 25, FALSE), """"))"),0.01)</f>
        <v>0.01</v>
      </c>
      <c r="M15" s="3735">
        <f t="shared" si="6"/>
        <v>81</v>
      </c>
      <c r="N15" s="3734">
        <f>IFERROR(__xludf.DUMMYFUNCTION("VALUE(IFERROR(VLOOKUP($Y15, IMPORTRANGE(""https://docs.google.com/spreadsheets/d/1UdH2L0xi8dO6jyPCcO5e5-8j7SGzezxkeZuF1uP8uOw"",""fighter_param (""&amp;TO_TEXT($A$1)&amp;"")!B4:JZ""), 26, FALSE), """"))"),0.07)</f>
        <v>0.07</v>
      </c>
      <c r="O15" s="3735" t="str">
        <f t="shared" si="7"/>
        <v/>
      </c>
      <c r="P15" s="3735" t="s">
        <v>76</v>
      </c>
      <c r="Q15" s="3735">
        <f t="shared" si="8"/>
        <v>66</v>
      </c>
      <c r="R15" s="3734">
        <f>IFERROR(__xludf.DUMMYFUNCTION("VALUE(IFERROR(VLOOKUP($Y15, IMPORTRANGE(""https://docs.google.com/spreadsheets/d/1UdH2L0xi8dO6jyPCcO5e5-8j7SGzezxkeZuF1uP8uOw"",""fighter_param (""&amp;TO_TEXT($A$1)&amp;"")!B4:JZ""), 19, FALSE), """"))"),30.03)</f>
        <v>30.03</v>
      </c>
      <c r="S15" s="3735">
        <f t="shared" si="9"/>
        <v>66</v>
      </c>
      <c r="T15" s="3734">
        <f>IFERROR(__xludf.DUMMYFUNCTION("VALUE(IFERROR(VLOOKUP($Y15, IMPORTRANGE(""https://docs.google.com/spreadsheets/d/1UdH2L0xi8dO6jyPCcO5e5-8j7SGzezxkeZuF1uP8uOw"",""fighter_param (""&amp;TO_TEXT($A$1)&amp;"")!B4:JZ""), 20, FALSE), """"))"),14.5)</f>
        <v>14.5</v>
      </c>
      <c r="U15" s="3735">
        <f t="shared" si="10"/>
        <v>63</v>
      </c>
      <c r="V15" s="3734">
        <f>IFERROR(__xludf.DUMMYFUNCTION("VALUE(IFERROR(VLOOKUP($Y15, IMPORTRANGE(""https://docs.google.com/spreadsheets/d/1UdH2L0xi8dO6jyPCcO5e5-8j7SGzezxkeZuF1uP8uOw"",""fighter_param (""&amp;TO_TEXT($A$1)&amp;"")!B4:JZ""), 21, FALSE), """"))"),30.03)</f>
        <v>30.03</v>
      </c>
      <c r="W15" s="3708">
        <f>Fighters!S15</f>
        <v>14</v>
      </c>
      <c r="X15" s="3709">
        <f>Fighters!T15</f>
        <v>12</v>
      </c>
      <c r="Y15" s="3710" t="str">
        <f>Fighters!V15</f>
        <v>peach</v>
      </c>
    </row>
    <row r="16">
      <c r="A16" s="3700" t="str">
        <f>Fighters!$A16</f>
        <v>13'</v>
      </c>
      <c r="B16" s="3701" t="str">
        <f>Fighters!$B16</f>
        <v>デイジー</v>
      </c>
      <c r="C16" s="3735">
        <f t="shared" si="1"/>
        <v>58</v>
      </c>
      <c r="D16" s="3734">
        <f>IFERROR(__xludf.DUMMYFUNCTION("VALUE(IFERROR(VLOOKUP($Y16, IMPORTRANGE(""https://docs.google.com/spreadsheets/d/1UdH2L0xi8dO6jyPCcO5e5-8j7SGzezxkeZuF1uP8uOw"",""fighter_param (""&amp;TO_TEXT($A$1)&amp;"")!B4:JZ""), 9, FALSE), """"))"),1.826)</f>
        <v>1.826</v>
      </c>
      <c r="E16" s="3735">
        <f t="shared" si="2"/>
        <v>13</v>
      </c>
      <c r="F16" s="3735">
        <f>IFERROR(__xludf.DUMMYFUNCTION("VALUE(IFERROR(VLOOKUP($Y16, IMPORTRANGE(""https://docs.google.com/spreadsheets/d/1UdH2L0xi8dO6jyPCcO5e5-8j7SGzezxkeZuF1uP8uOw"",""fighter_param (""&amp;TO_TEXT($A$1)&amp;"")!B4:JZ""), 10, FALSE), """")) + VALUE(IFERROR(VLOOKUP($Y16, IMPORTRANGE(""https://docs.goo"&amp;"gle.com/spreadsheets/d/1UdH2L0xi8dO6jyPCcO5e5-8j7SGzezxkeZuF1uP8uOw"",""fighter_param (""&amp;TO_TEXT($A$1)&amp;"")!B4:JZ""), 11, FALSE), """"))"),0.17391)</f>
        <v>0.17391</v>
      </c>
      <c r="G16" s="3735">
        <f t="shared" si="3"/>
        <v>36</v>
      </c>
      <c r="H16" s="3734">
        <f>IFERROR(__xludf.DUMMYFUNCTION("VALUE(IFERROR(VLOOKUP($Y16, IMPORTRANGE(""https://docs.google.com/spreadsheets/d/1UdH2L0xi8dO6jyPCcO5e5-8j7SGzezxkeZuF1uP8uOw"",""fighter_param (""&amp;TO_TEXT($A$1)&amp;"")!B4:JZ""), 8, FALSE), """"))"),0.111)</f>
        <v>0.111</v>
      </c>
      <c r="I16" s="3735">
        <f t="shared" si="4"/>
        <v>2</v>
      </c>
      <c r="J16" s="3735">
        <f>IFERROR(__xludf.DUMMYFUNCTION("VALUE(IFERROR(VLOOKUP($Y16, IMPORTRANGE(""https://docs.google.com/spreadsheets/d/1UdH2L0xi8dO6jyPCcO5e5-8j7SGzezxkeZuF1uP8uOw"",""fighter_param (""&amp;TO_TEXT($A$1)&amp;"")!B4:JZ""), 22, FALSE), """")) + VALUE(IFERROR(VLOOKUP($Y16, IMPORTRANGE(""https://docs.goo"&amp;"gle.com/spreadsheets/d/1UdH2L0xi8dO6jyPCcO5e5-8j7SGzezxkeZuF1uP8uOw"",""fighter_param (""&amp;TO_TEXT($A$1)&amp;"")!B4:JZ""), 23, FALSE), """"))"),0.12)</f>
        <v>0.12</v>
      </c>
      <c r="K16" s="3735">
        <f t="shared" si="5"/>
        <v>40</v>
      </c>
      <c r="L16" s="3734">
        <f>IFERROR(__xludf.DUMMYFUNCTION("VALUE(IFERROR(VLOOKUP($Y16, IMPORTRANGE(""https://docs.google.com/spreadsheets/d/1UdH2L0xi8dO6jyPCcO5e5-8j7SGzezxkeZuF1uP8uOw"",""fighter_param (""&amp;TO_TEXT($A$1)&amp;"")!B4:JZ""), 25, FALSE), """"))"),0.01)</f>
        <v>0.01</v>
      </c>
      <c r="M16" s="3735">
        <f t="shared" si="6"/>
        <v>81</v>
      </c>
      <c r="N16" s="3734">
        <f>IFERROR(__xludf.DUMMYFUNCTION("VALUE(IFERROR(VLOOKUP($Y16, IMPORTRANGE(""https://docs.google.com/spreadsheets/d/1UdH2L0xi8dO6jyPCcO5e5-8j7SGzezxkeZuF1uP8uOw"",""fighter_param (""&amp;TO_TEXT($A$1)&amp;"")!B4:JZ""), 26, FALSE), """"))"),0.07)</f>
        <v>0.07</v>
      </c>
      <c r="O16" s="3735" t="str">
        <f t="shared" si="7"/>
        <v/>
      </c>
      <c r="P16" s="3735" t="s">
        <v>76</v>
      </c>
      <c r="Q16" s="3735">
        <f t="shared" si="8"/>
        <v>66</v>
      </c>
      <c r="R16" s="3734">
        <f>IFERROR(__xludf.DUMMYFUNCTION("VALUE(IFERROR(VLOOKUP($Y16, IMPORTRANGE(""https://docs.google.com/spreadsheets/d/1UdH2L0xi8dO6jyPCcO5e5-8j7SGzezxkeZuF1uP8uOw"",""fighter_param (""&amp;TO_TEXT($A$1)&amp;"")!B4:JZ""), 19, FALSE), """"))"),30.03)</f>
        <v>30.03</v>
      </c>
      <c r="S16" s="3735">
        <f t="shared" si="9"/>
        <v>66</v>
      </c>
      <c r="T16" s="3734">
        <f>IFERROR(__xludf.DUMMYFUNCTION("VALUE(IFERROR(VLOOKUP($Y16, IMPORTRANGE(""https://docs.google.com/spreadsheets/d/1UdH2L0xi8dO6jyPCcO5e5-8j7SGzezxkeZuF1uP8uOw"",""fighter_param (""&amp;TO_TEXT($A$1)&amp;"")!B4:JZ""), 20, FALSE), """"))"),14.5)</f>
        <v>14.5</v>
      </c>
      <c r="U16" s="3735">
        <f t="shared" si="10"/>
        <v>63</v>
      </c>
      <c r="V16" s="3734">
        <f>IFERROR(__xludf.DUMMYFUNCTION("VALUE(IFERROR(VLOOKUP($Y16, IMPORTRANGE(""https://docs.google.com/spreadsheets/d/1UdH2L0xi8dO6jyPCcO5e5-8j7SGzezxkeZuF1uP8uOw"",""fighter_param (""&amp;TO_TEXT($A$1)&amp;"")!B4:JZ""), 21, FALSE), """"))"),30.03)</f>
        <v>30.03</v>
      </c>
      <c r="W16" s="3708">
        <f>Fighters!S16</f>
        <v>15</v>
      </c>
      <c r="X16" s="3709">
        <f>Fighters!T16</f>
        <v>73</v>
      </c>
      <c r="Y16" s="3710" t="str">
        <f>Fighters!V16</f>
        <v>daisy</v>
      </c>
    </row>
    <row r="17">
      <c r="A17" s="3700">
        <f>Fighters!$A17</f>
        <v>14</v>
      </c>
      <c r="B17" s="3701" t="str">
        <f>Fighters!$B17</f>
        <v>クッパ</v>
      </c>
      <c r="C17" s="3735">
        <f t="shared" si="1"/>
        <v>6</v>
      </c>
      <c r="D17" s="3734">
        <f>IFERROR(__xludf.DUMMYFUNCTION("VALUE(IFERROR(VLOOKUP($Y17, IMPORTRANGE(""https://docs.google.com/spreadsheets/d/1UdH2L0xi8dO6jyPCcO5e5-8j7SGzezxkeZuF1uP8uOw"",""fighter_param (""&amp;TO_TEXT($A$1)&amp;"")!B4:JZ""), 9, FALSE), """"))"),2.255)</f>
        <v>2.255</v>
      </c>
      <c r="E17" s="3735">
        <f t="shared" si="2"/>
        <v>75</v>
      </c>
      <c r="F17" s="3735">
        <f>IFERROR(__xludf.DUMMYFUNCTION("VALUE(IFERROR(VLOOKUP($Y17, IMPORTRANGE(""https://docs.google.com/spreadsheets/d/1UdH2L0xi8dO6jyPCcO5e5-8j7SGzezxkeZuF1uP8uOw"",""fighter_param (""&amp;TO_TEXT($A$1)&amp;"")!B4:JZ""), 10, FALSE), """")) + VALUE(IFERROR(VLOOKUP($Y17, IMPORTRANGE(""https://docs.goo"&amp;"gle.com/spreadsheets/d/1UdH2L0xi8dO6jyPCcO5e5-8j7SGzezxkeZuF1uP8uOw"",""fighter_param (""&amp;TO_TEXT($A$1)&amp;"")!B4:JZ""), 11, FALSE), """"))"),0.11528)</f>
        <v>0.11528</v>
      </c>
      <c r="G17" s="3735">
        <f t="shared" si="3"/>
        <v>60</v>
      </c>
      <c r="H17" s="3734">
        <f>IFERROR(__xludf.DUMMYFUNCTION("VALUE(IFERROR(VLOOKUP($Y17, IMPORTRANGE(""https://docs.google.com/spreadsheets/d/1UdH2L0xi8dO6jyPCcO5e5-8j7SGzezxkeZuF1uP8uOw"",""fighter_param (""&amp;TO_TEXT($A$1)&amp;"")!B4:JZ""), 8, FALSE), """"))"),0.104)</f>
        <v>0.104</v>
      </c>
      <c r="I17" s="3735">
        <f t="shared" si="4"/>
        <v>70</v>
      </c>
      <c r="J17" s="3735">
        <f>IFERROR(__xludf.DUMMYFUNCTION("VALUE(IFERROR(VLOOKUP($Y17, IMPORTRANGE(""https://docs.google.com/spreadsheets/d/1UdH2L0xi8dO6jyPCcO5e5-8j7SGzezxkeZuF1uP8uOw"",""fighter_param (""&amp;TO_TEXT($A$1)&amp;"")!B4:JZ""), 22, FALSE), """")) + VALUE(IFERROR(VLOOKUP($Y17, IMPORTRANGE(""https://docs.goo"&amp;"gle.com/spreadsheets/d/1UdH2L0xi8dO6jyPCcO5e5-8j7SGzezxkeZuF1uP8uOw"",""fighter_param (""&amp;TO_TEXT($A$1)&amp;"")!B4:JZ""), 23, FALSE), """"))"),0.05)</f>
        <v>0.05</v>
      </c>
      <c r="K17" s="3735">
        <f t="shared" si="5"/>
        <v>67</v>
      </c>
      <c r="L17" s="3734">
        <f>IFERROR(__xludf.DUMMYFUNCTION("VALUE(IFERROR(VLOOKUP($Y17, IMPORTRANGE(""https://docs.google.com/spreadsheets/d/1UdH2L0xi8dO6jyPCcO5e5-8j7SGzezxkeZuF1uP8uOw"",""fighter_param (""&amp;TO_TEXT($A$1)&amp;"")!B4:JZ""), 25, FALSE), """"))"),0.0075)</f>
        <v>0.0075</v>
      </c>
      <c r="M17" s="3735">
        <f t="shared" si="6"/>
        <v>13</v>
      </c>
      <c r="N17" s="3734">
        <f>IFERROR(__xludf.DUMMYFUNCTION("VALUE(IFERROR(VLOOKUP($Y17, IMPORTRANGE(""https://docs.google.com/spreadsheets/d/1UdH2L0xi8dO6jyPCcO5e5-8j7SGzezxkeZuF1uP8uOw"",""fighter_param (""&amp;TO_TEXT($A$1)&amp;"")!B4:JZ""), 26, FALSE), """"))"),0.125)</f>
        <v>0.125</v>
      </c>
      <c r="O17" s="3735" t="str">
        <f t="shared" si="7"/>
        <v/>
      </c>
      <c r="P17" s="3735" t="s">
        <v>76</v>
      </c>
      <c r="Q17" s="3735">
        <f t="shared" si="8"/>
        <v>39</v>
      </c>
      <c r="R17" s="3734">
        <f>IFERROR(__xludf.DUMMYFUNCTION("VALUE(IFERROR(VLOOKUP($Y17, IMPORTRANGE(""https://docs.google.com/spreadsheets/d/1UdH2L0xi8dO6jyPCcO5e5-8j7SGzezxkeZuF1uP8uOw"",""fighter_param (""&amp;TO_TEXT($A$1)&amp;"")!B4:JZ""), 19, FALSE), """"))"),33.0)</f>
        <v>33</v>
      </c>
      <c r="S17" s="3735">
        <f t="shared" si="9"/>
        <v>48</v>
      </c>
      <c r="T17" s="3734">
        <f>IFERROR(__xludf.DUMMYFUNCTION("VALUE(IFERROR(VLOOKUP($Y17, IMPORTRANGE(""https://docs.google.com/spreadsheets/d/1UdH2L0xi8dO6jyPCcO5e5-8j7SGzezxkeZuF1uP8uOw"",""fighter_param (""&amp;TO_TEXT($A$1)&amp;"")!B4:JZ""), 20, FALSE), """"))"),15.7)</f>
        <v>15.7</v>
      </c>
      <c r="U17" s="3735">
        <f t="shared" si="10"/>
        <v>48</v>
      </c>
      <c r="V17" s="3734">
        <f>IFERROR(__xludf.DUMMYFUNCTION("VALUE(IFERROR(VLOOKUP($Y17, IMPORTRANGE(""https://docs.google.com/spreadsheets/d/1UdH2L0xi8dO6jyPCcO5e5-8j7SGzezxkeZuF1uP8uOw"",""fighter_param (""&amp;TO_TEXT($A$1)&amp;"")!B4:JZ""), 21, FALSE), """"))"),32.61)</f>
        <v>32.61</v>
      </c>
      <c r="W17" s="3708">
        <f>Fighters!S17</f>
        <v>16</v>
      </c>
      <c r="X17" s="3709">
        <f>Fighters!T17</f>
        <v>13</v>
      </c>
      <c r="Y17" s="3710" t="str">
        <f>Fighters!V17</f>
        <v>koopa</v>
      </c>
    </row>
    <row r="18">
      <c r="A18" s="3700">
        <f>Fighters!$A18</f>
        <v>15</v>
      </c>
      <c r="B18" s="3701" t="str">
        <f>Fighters!$B18</f>
        <v>アイスクライマー</v>
      </c>
      <c r="C18" s="3735">
        <f t="shared" si="1"/>
        <v>81</v>
      </c>
      <c r="D18" s="3734">
        <f>IFERROR(__xludf.DUMMYFUNCTION("VALUE(IFERROR(VLOOKUP($Y18, IMPORTRANGE(""https://docs.google.com/spreadsheets/d/1UdH2L0xi8dO6jyPCcO5e5-8j7SGzezxkeZuF1uP8uOw"",""fighter_param (""&amp;TO_TEXT($A$1)&amp;"")!B4:JZ""), 9, FALSE), """"))"),1.68)</f>
        <v>1.68</v>
      </c>
      <c r="E18" s="3735">
        <f t="shared" si="2"/>
        <v>69</v>
      </c>
      <c r="F18" s="3735">
        <f>IFERROR(__xludf.DUMMYFUNCTION("VALUE(IFERROR(VLOOKUP($Y18, IMPORTRANGE(""https://docs.google.com/spreadsheets/d/1UdH2L0xi8dO6jyPCcO5e5-8j7SGzezxkeZuF1uP8uOw"",""fighter_param (""&amp;TO_TEXT($A$1)&amp;"")!B4:JZ""), 10, FALSE), """")) + VALUE(IFERROR(VLOOKUP($Y18, IMPORTRANGE(""https://docs.goo"&amp;"gle.com/spreadsheets/d/1UdH2L0xi8dO6jyPCcO5e5-8j7SGzezxkeZuF1uP8uOw"",""fighter_param (""&amp;TO_TEXT($A$1)&amp;"")!B4:JZ""), 11, FALSE), """"))"),0.12496)</f>
        <v>0.12496</v>
      </c>
      <c r="G18" s="3735">
        <f t="shared" si="3"/>
        <v>87</v>
      </c>
      <c r="H18" s="3734">
        <f>IFERROR(__xludf.DUMMYFUNCTION("VALUE(IFERROR(VLOOKUP($Y18, IMPORTRANGE(""https://docs.google.com/spreadsheets/d/1UdH2L0xi8dO6jyPCcO5e5-8j7SGzezxkeZuF1uP8uOw"",""fighter_param (""&amp;TO_TEXT($A$1)&amp;"")!B4:JZ""), 8, FALSE), """"))"),0.077)</f>
        <v>0.077</v>
      </c>
      <c r="I18" s="3735">
        <f t="shared" si="4"/>
        <v>21</v>
      </c>
      <c r="J18" s="3735">
        <f>IFERROR(__xludf.DUMMYFUNCTION("VALUE(IFERROR(VLOOKUP($Y18, IMPORTRANGE(""https://docs.google.com/spreadsheets/d/1UdH2L0xi8dO6jyPCcO5e5-8j7SGzezxkeZuF1uP8uOw"",""fighter_param (""&amp;TO_TEXT($A$1)&amp;"")!B4:JZ""), 22, FALSE), """")) + VALUE(IFERROR(VLOOKUP($Y18, IMPORTRANGE(""https://docs.goo"&amp;"gle.com/spreadsheets/d/1UdH2L0xi8dO6jyPCcO5e5-8j7SGzezxkeZuF1uP8uOw"",""fighter_param (""&amp;TO_TEXT($A$1)&amp;"")!B4:JZ""), 23, FALSE), """"))"),0.09)</f>
        <v>0.09</v>
      </c>
      <c r="K18" s="3735">
        <f t="shared" si="5"/>
        <v>9</v>
      </c>
      <c r="L18" s="3734">
        <f>IFERROR(__xludf.DUMMYFUNCTION("VALUE(IFERROR(VLOOKUP($Y18, IMPORTRANGE(""https://docs.google.com/spreadsheets/d/1UdH2L0xi8dO6jyPCcO5e5-8j7SGzezxkeZuF1uP8uOw"",""fighter_param (""&amp;TO_TEXT($A$1)&amp;"")!B4:JZ""), 25, FALSE), """"))"),0.015)</f>
        <v>0.015</v>
      </c>
      <c r="M18" s="3735">
        <f t="shared" si="6"/>
        <v>62</v>
      </c>
      <c r="N18" s="3734">
        <f>IFERROR(__xludf.DUMMYFUNCTION("VALUE(IFERROR(VLOOKUP($Y18, IMPORTRANGE(""https://docs.google.com/spreadsheets/d/1UdH2L0xi8dO6jyPCcO5e5-8j7SGzezxkeZuF1uP8uOw"",""fighter_param (""&amp;TO_TEXT($A$1)&amp;"")!B4:JZ""), 26, FALSE), """"))"),0.082)</f>
        <v>0.082</v>
      </c>
      <c r="O18" s="3735" t="str">
        <f t="shared" si="7"/>
        <v/>
      </c>
      <c r="P18" s="3735" t="s">
        <v>76</v>
      </c>
      <c r="Q18" s="3735">
        <f t="shared" si="8"/>
        <v>25</v>
      </c>
      <c r="R18" s="3734">
        <f>IFERROR(__xludf.DUMMYFUNCTION("VALUE(IFERROR(VLOOKUP($Y18, IMPORTRANGE(""https://docs.google.com/spreadsheets/d/1UdH2L0xi8dO6jyPCcO5e5-8j7SGzezxkeZuF1uP8uOw"",""fighter_param (""&amp;TO_TEXT($A$1)&amp;"")!B4:JZ""), 19, FALSE), """"))"),34.69)</f>
        <v>34.69</v>
      </c>
      <c r="S18" s="3735">
        <f t="shared" si="9"/>
        <v>32</v>
      </c>
      <c r="T18" s="3734">
        <f>IFERROR(__xludf.DUMMYFUNCTION("VALUE(IFERROR(VLOOKUP($Y18, IMPORTRANGE(""https://docs.google.com/spreadsheets/d/1UdH2L0xi8dO6jyPCcO5e5-8j7SGzezxkeZuF1uP8uOw"",""fighter_param (""&amp;TO_TEXT($A$1)&amp;"")!B4:JZ""), 20, FALSE), """"))"),16.75)</f>
        <v>16.75</v>
      </c>
      <c r="U18" s="3735">
        <f t="shared" si="10"/>
        <v>32</v>
      </c>
      <c r="V18" s="3734">
        <f>IFERROR(__xludf.DUMMYFUNCTION("VALUE(IFERROR(VLOOKUP($Y18, IMPORTRANGE(""https://docs.google.com/spreadsheets/d/1UdH2L0xi8dO6jyPCcO5e5-8j7SGzezxkeZuF1uP8uOw"",""fighter_param (""&amp;TO_TEXT($A$1)&amp;"")!B4:JZ""), 21, FALSE), """"))"),34.69)</f>
        <v>34.69</v>
      </c>
      <c r="W18" s="3708">
        <f>Fighters!S18</f>
        <v>17</v>
      </c>
      <c r="X18" s="3709">
        <f>Fighters!T18</f>
        <v>14</v>
      </c>
      <c r="Y18" s="3710" t="str">
        <f>Fighters!V18</f>
        <v>popo</v>
      </c>
    </row>
    <row r="19">
      <c r="A19" s="3700">
        <f>Fighters!$A19</f>
        <v>16</v>
      </c>
      <c r="B19" s="3701" t="str">
        <f>Fighters!$B19</f>
        <v>シーク</v>
      </c>
      <c r="C19" s="3735">
        <f t="shared" si="1"/>
        <v>14</v>
      </c>
      <c r="D19" s="3734">
        <f>IFERROR(__xludf.DUMMYFUNCTION("VALUE(IFERROR(VLOOKUP($Y19, IMPORTRANGE(""https://docs.google.com/spreadsheets/d/1UdH2L0xi8dO6jyPCcO5e5-8j7SGzezxkeZuF1uP8uOw"",""fighter_param (""&amp;TO_TEXT($A$1)&amp;"")!B4:JZ""), 9, FALSE), """"))"),2.178)</f>
        <v>2.178</v>
      </c>
      <c r="E19" s="3735">
        <f t="shared" si="2"/>
        <v>24</v>
      </c>
      <c r="F19" s="3735">
        <f>IFERROR(__xludf.DUMMYFUNCTION("VALUE(IFERROR(VLOOKUP($Y19, IMPORTRANGE(""https://docs.google.com/spreadsheets/d/1UdH2L0xi8dO6jyPCcO5e5-8j7SGzezxkeZuF1uP8uOw"",""fighter_param (""&amp;TO_TEXT($A$1)&amp;"")!B4:JZ""), 10, FALSE), """")) + VALUE(IFERROR(VLOOKUP($Y19, IMPORTRANGE(""https://docs.goo"&amp;"gle.com/spreadsheets/d/1UdH2L0xi8dO6jyPCcO5e5-8j7SGzezxkeZuF1uP8uOw"",""fighter_param (""&amp;TO_TEXT($A$1)&amp;"")!B4:JZ""), 11, FALSE), """"))"),0.16499999999999998)</f>
        <v>0.165</v>
      </c>
      <c r="G19" s="3735">
        <f t="shared" si="3"/>
        <v>50</v>
      </c>
      <c r="H19" s="3734">
        <f>IFERROR(__xludf.DUMMYFUNCTION("VALUE(IFERROR(VLOOKUP($Y19, IMPORTRANGE(""https://docs.google.com/spreadsheets/d/1UdH2L0xi8dO6jyPCcO5e5-8j7SGzezxkeZuF1uP8uOw"",""fighter_param (""&amp;TO_TEXT($A$1)&amp;"")!B4:JZ""), 8, FALSE), """"))"),0.106)</f>
        <v>0.106</v>
      </c>
      <c r="I19" s="3735">
        <f t="shared" si="4"/>
        <v>21</v>
      </c>
      <c r="J19" s="3735">
        <f>IFERROR(__xludf.DUMMYFUNCTION("VALUE(IFERROR(VLOOKUP($Y19, IMPORTRANGE(""https://docs.google.com/spreadsheets/d/1UdH2L0xi8dO6jyPCcO5e5-8j7SGzezxkeZuF1uP8uOw"",""fighter_param (""&amp;TO_TEXT($A$1)&amp;"")!B4:JZ""), 22, FALSE), """")) + VALUE(IFERROR(VLOOKUP($Y19, IMPORTRANGE(""https://docs.goo"&amp;"gle.com/spreadsheets/d/1UdH2L0xi8dO6jyPCcO5e5-8j7SGzezxkeZuF1uP8uOw"",""fighter_param (""&amp;TO_TEXT($A$1)&amp;"")!B4:JZ""), 23, FALSE), """"))"),0.09)</f>
        <v>0.09</v>
      </c>
      <c r="K19" s="3735">
        <f t="shared" si="5"/>
        <v>9</v>
      </c>
      <c r="L19" s="3734">
        <f>IFERROR(__xludf.DUMMYFUNCTION("VALUE(IFERROR(VLOOKUP($Y19, IMPORTRANGE(""https://docs.google.com/spreadsheets/d/1UdH2L0xi8dO6jyPCcO5e5-8j7SGzezxkeZuF1uP8uOw"",""fighter_param (""&amp;TO_TEXT($A$1)&amp;"")!B4:JZ""), 25, FALSE), """"))"),0.015)</f>
        <v>0.015</v>
      </c>
      <c r="M19" s="3735">
        <f t="shared" si="6"/>
        <v>4</v>
      </c>
      <c r="N19" s="3734">
        <f>IFERROR(__xludf.DUMMYFUNCTION("VALUE(IFERROR(VLOOKUP($Y19, IMPORTRANGE(""https://docs.google.com/spreadsheets/d/1UdH2L0xi8dO6jyPCcO5e5-8j7SGzezxkeZuF1uP8uOw"",""fighter_param (""&amp;TO_TEXT($A$1)&amp;"")!B4:JZ""), 26, FALSE), """"))"),0.15)</f>
        <v>0.15</v>
      </c>
      <c r="O19" s="3735" t="str">
        <f t="shared" si="7"/>
        <v/>
      </c>
      <c r="P19" s="3735" t="s">
        <v>76</v>
      </c>
      <c r="Q19" s="3735">
        <f t="shared" si="8"/>
        <v>7</v>
      </c>
      <c r="R19" s="3734">
        <f>IFERROR(__xludf.DUMMYFUNCTION("VALUE(IFERROR(VLOOKUP($Y19, IMPORTRANGE(""https://docs.google.com/spreadsheets/d/1UdH2L0xi8dO6jyPCcO5e5-8j7SGzezxkeZuF1uP8uOw"",""fighter_param (""&amp;TO_TEXT($A$1)&amp;"")!B4:JZ""), 19, FALSE), """"))"),39.0)</f>
        <v>39</v>
      </c>
      <c r="S19" s="3735">
        <f t="shared" si="9"/>
        <v>7</v>
      </c>
      <c r="T19" s="3734">
        <f>IFERROR(__xludf.DUMMYFUNCTION("VALUE(IFERROR(VLOOKUP($Y19, IMPORTRANGE(""https://docs.google.com/spreadsheets/d/1UdH2L0xi8dO6jyPCcO5e5-8j7SGzezxkeZuF1uP8uOw"",""fighter_param (""&amp;TO_TEXT($A$1)&amp;"")!B4:JZ""), 20, FALSE), """"))"),18.75)</f>
        <v>18.75</v>
      </c>
      <c r="U19" s="3735">
        <f t="shared" si="10"/>
        <v>12</v>
      </c>
      <c r="V19" s="3734">
        <f>IFERROR(__xludf.DUMMYFUNCTION("VALUE(IFERROR(VLOOKUP($Y19, IMPORTRANGE(""https://docs.google.com/spreadsheets/d/1UdH2L0xi8dO6jyPCcO5e5-8j7SGzezxkeZuF1uP8uOw"",""fighter_param (""&amp;TO_TEXT($A$1)&amp;"")!B4:JZ""), 21, FALSE), """"))"),40.0)</f>
        <v>40</v>
      </c>
      <c r="W19" s="3708">
        <f>Fighters!S19</f>
        <v>18</v>
      </c>
      <c r="X19" s="3709">
        <f>Fighters!T19</f>
        <v>16</v>
      </c>
      <c r="Y19" s="3710" t="str">
        <f>Fighters!V19</f>
        <v>sheik</v>
      </c>
    </row>
    <row r="20">
      <c r="A20" s="3700">
        <f>Fighters!$A20</f>
        <v>17</v>
      </c>
      <c r="B20" s="3701" t="str">
        <f>Fighters!$B20</f>
        <v>ゼルダ</v>
      </c>
      <c r="C20" s="3735">
        <f t="shared" si="1"/>
        <v>36</v>
      </c>
      <c r="D20" s="3734">
        <f>IFERROR(__xludf.DUMMYFUNCTION("VALUE(IFERROR(VLOOKUP($Y20, IMPORTRANGE(""https://docs.google.com/spreadsheets/d/1UdH2L0xi8dO6jyPCcO5e5-8j7SGzezxkeZuF1uP8uOw"",""fighter_param (""&amp;TO_TEXT($A$1)&amp;"")!B4:JZ""), 9, FALSE), """"))"),1.958)</f>
        <v>1.958</v>
      </c>
      <c r="E20" s="3735">
        <f t="shared" si="2"/>
        <v>17</v>
      </c>
      <c r="F20" s="3735">
        <f>IFERROR(__xludf.DUMMYFUNCTION("VALUE(IFERROR(VLOOKUP($Y20, IMPORTRANGE(""https://docs.google.com/spreadsheets/d/1UdH2L0xi8dO6jyPCcO5e5-8j7SGzezxkeZuF1uP8uOw"",""fighter_param (""&amp;TO_TEXT($A$1)&amp;"")!B4:JZ""), 10, FALSE), """")) + VALUE(IFERROR(VLOOKUP($Y20, IMPORTRANGE(""https://docs.goo"&amp;"gle.com/spreadsheets/d/1UdH2L0xi8dO6jyPCcO5e5-8j7SGzezxkeZuF1uP8uOw"",""fighter_param (""&amp;TO_TEXT($A$1)&amp;"")!B4:JZ""), 11, FALSE), """"))"),0.17325000000000002)</f>
        <v>0.17325</v>
      </c>
      <c r="G20" s="3735">
        <f t="shared" si="3"/>
        <v>20</v>
      </c>
      <c r="H20" s="3734">
        <f>IFERROR(__xludf.DUMMYFUNCTION("VALUE(IFERROR(VLOOKUP($Y20, IMPORTRANGE(""https://docs.google.com/spreadsheets/d/1UdH2L0xi8dO6jyPCcO5e5-8j7SGzezxkeZuF1uP8uOw"",""fighter_param (""&amp;TO_TEXT($A$1)&amp;"")!B4:JZ""), 8, FALSE), """"))"),0.116)</f>
        <v>0.116</v>
      </c>
      <c r="I20" s="3735">
        <f t="shared" si="4"/>
        <v>55</v>
      </c>
      <c r="J20" s="3735">
        <f>IFERROR(__xludf.DUMMYFUNCTION("VALUE(IFERROR(VLOOKUP($Y20, IMPORTRANGE(""https://docs.google.com/spreadsheets/d/1UdH2L0xi8dO6jyPCcO5e5-8j7SGzezxkeZuF1uP8uOw"",""fighter_param (""&amp;TO_TEXT($A$1)&amp;"")!B4:JZ""), 22, FALSE), """")) + VALUE(IFERROR(VLOOKUP($Y20, IMPORTRANGE(""https://docs.goo"&amp;"gle.com/spreadsheets/d/1UdH2L0xi8dO6jyPCcO5e5-8j7SGzezxkeZuF1uP8uOw"",""fighter_param (""&amp;TO_TEXT($A$1)&amp;"")!B4:JZ""), 23, FALSE), """"))"),0.065)</f>
        <v>0.065</v>
      </c>
      <c r="K20" s="3735">
        <f t="shared" si="5"/>
        <v>77</v>
      </c>
      <c r="L20" s="3734">
        <f>IFERROR(__xludf.DUMMYFUNCTION("VALUE(IFERROR(VLOOKUP($Y20, IMPORTRANGE(""https://docs.google.com/spreadsheets/d/1UdH2L0xi8dO6jyPCcO5e5-8j7SGzezxkeZuF1uP8uOw"",""fighter_param (""&amp;TO_TEXT($A$1)&amp;"")!B4:JZ""), 25, FALSE), """"))"),0.006)</f>
        <v>0.006</v>
      </c>
      <c r="M20" s="3735">
        <f t="shared" si="6"/>
        <v>80</v>
      </c>
      <c r="N20" s="3734">
        <f>IFERROR(__xludf.DUMMYFUNCTION("VALUE(IFERROR(VLOOKUP($Y20, IMPORTRANGE(""https://docs.google.com/spreadsheets/d/1UdH2L0xi8dO6jyPCcO5e5-8j7SGzezxkeZuF1uP8uOw"",""fighter_param (""&amp;TO_TEXT($A$1)&amp;"")!B4:JZ""), 26, FALSE), """"))"),0.071)</f>
        <v>0.071</v>
      </c>
      <c r="O20" s="3735" t="str">
        <f t="shared" si="7"/>
        <v/>
      </c>
      <c r="P20" s="3735" t="s">
        <v>76</v>
      </c>
      <c r="Q20" s="3735">
        <f t="shared" si="8"/>
        <v>54</v>
      </c>
      <c r="R20" s="3734">
        <f>IFERROR(__xludf.DUMMYFUNCTION("VALUE(IFERROR(VLOOKUP($Y20, IMPORTRANGE(""https://docs.google.com/spreadsheets/d/1UdH2L0xi8dO6jyPCcO5e5-8j7SGzezxkeZuF1uP8uOw"",""fighter_param (""&amp;TO_TEXT($A$1)&amp;"")!B4:JZ""), 19, FALSE), """"))"),31.55)</f>
        <v>31.55</v>
      </c>
      <c r="S20" s="3735">
        <f t="shared" si="9"/>
        <v>56</v>
      </c>
      <c r="T20" s="3734">
        <f>IFERROR(__xludf.DUMMYFUNCTION("VALUE(IFERROR(VLOOKUP($Y20, IMPORTRANGE(""https://docs.google.com/spreadsheets/d/1UdH2L0xi8dO6jyPCcO5e5-8j7SGzezxkeZuF1uP8uOw"",""fighter_param (""&amp;TO_TEXT($A$1)&amp;"")!B4:JZ""), 20, FALSE), """"))"),15.24)</f>
        <v>15.24</v>
      </c>
      <c r="U20" s="3735">
        <f t="shared" si="10"/>
        <v>56</v>
      </c>
      <c r="V20" s="3734">
        <f>IFERROR(__xludf.DUMMYFUNCTION("VALUE(IFERROR(VLOOKUP($Y20, IMPORTRANGE(""https://docs.google.com/spreadsheets/d/1UdH2L0xi8dO6jyPCcO5e5-8j7SGzezxkeZuF1uP8uOw"",""fighter_param (""&amp;TO_TEXT($A$1)&amp;"")!B4:JZ""), 21, FALSE), """"))"),31.55)</f>
        <v>31.55</v>
      </c>
      <c r="W20" s="3708">
        <f>Fighters!S20</f>
        <v>19</v>
      </c>
      <c r="X20" s="3709">
        <f>Fighters!T20</f>
        <v>17</v>
      </c>
      <c r="Y20" s="3710" t="str">
        <f>Fighters!V20</f>
        <v>zelda</v>
      </c>
    </row>
    <row r="21">
      <c r="A21" s="3700">
        <f>Fighters!$A21</f>
        <v>18</v>
      </c>
      <c r="B21" s="3701" t="str">
        <f>Fighters!$B21</f>
        <v>ドクターマリオ</v>
      </c>
      <c r="C21" s="3735">
        <f t="shared" si="1"/>
        <v>88</v>
      </c>
      <c r="D21" s="3737">
        <f>ROUND(MULTIPLY(D2, 1 + (0.58 - 1) * 0.49), 5)</f>
        <v>1.53757</v>
      </c>
      <c r="E21" s="3735">
        <f t="shared" si="2"/>
        <v>71</v>
      </c>
      <c r="F21" s="3738">
        <f>ROUND(MULTIPLY(F2, 1 + (0.58 - 1) * 0.49), 5)</f>
        <v>0.12213</v>
      </c>
      <c r="G21" s="3735">
        <f t="shared" si="3"/>
        <v>50</v>
      </c>
      <c r="H21" s="3734">
        <f>IFERROR(__xludf.DUMMYFUNCTION("VALUE(IFERROR(VLOOKUP($Y21, IMPORTRANGE(""https://docs.google.com/spreadsheets/d/1UdH2L0xi8dO6jyPCcO5e5-8j7SGzezxkeZuF1uP8uOw"",""fighter_param (""&amp;TO_TEXT($A$1)&amp;"")!B4:JZ""), 8, FALSE), """"))"),0.106)</f>
        <v>0.106</v>
      </c>
      <c r="I21" s="3735">
        <f t="shared" si="4"/>
        <v>57</v>
      </c>
      <c r="J21" s="3738">
        <f>ROUND(MULTIPLY(J2, 1 + (0.52 - 1) * 0.49), 5)</f>
        <v>0.06118</v>
      </c>
      <c r="K21" s="3735">
        <f t="shared" si="5"/>
        <v>39</v>
      </c>
      <c r="L21" s="3738">
        <f>ROUND(MULTIPLY(L2, 1 + (0.52 - 1) * 0.49), 5)</f>
        <v>0.01147</v>
      </c>
      <c r="M21" s="3735">
        <f t="shared" si="6"/>
        <v>54</v>
      </c>
      <c r="N21" s="3734">
        <f>IFERROR(__xludf.DUMMYFUNCTION("VALUE(IFERROR(VLOOKUP($Y21, IMPORTRANGE(""https://docs.google.com/spreadsheets/d/1UdH2L0xi8dO6jyPCcO5e5-8j7SGzezxkeZuF1uP8uOw"",""fighter_param (""&amp;TO_TEXT($A$1)&amp;"")!B4:JZ""), 26, FALSE), """"))"),0.087)</f>
        <v>0.087</v>
      </c>
      <c r="O21" s="3735" t="str">
        <f t="shared" si="7"/>
        <v/>
      </c>
      <c r="P21" s="1977" t="s">
        <v>76</v>
      </c>
      <c r="Q21" s="3735">
        <f t="shared" si="8"/>
        <v>61</v>
      </c>
      <c r="R21" s="3734">
        <f>IFERROR(__xludf.DUMMYFUNCTION("VALUE(IFERROR(VLOOKUP($Y21, IMPORTRANGE(""https://docs.google.com/spreadsheets/d/1UdH2L0xi8dO6jyPCcO5e5-8j7SGzezxkeZuF1uP8uOw"",""fighter_param (""&amp;TO_TEXT($A$1)&amp;"")!B4:JZ""), 19, FALSE), """"))"),30.8805)</f>
        <v>30.8805</v>
      </c>
      <c r="S21" s="3735">
        <f t="shared" si="9"/>
        <v>59</v>
      </c>
      <c r="T21" s="3738">
        <f>ROUND(MULTIPLY(T2, 1 + (0.72 - 1) * 0.49), 5)</f>
        <v>15.13351</v>
      </c>
      <c r="U21" s="3735">
        <f t="shared" si="10"/>
        <v>57</v>
      </c>
      <c r="V21" s="3738">
        <f>ROUND(MULTIPLY(V2, 1 + (0.72 - 1) * 0.49), 5)</f>
        <v>31.34552</v>
      </c>
      <c r="W21" s="3708">
        <f>Fighters!S21</f>
        <v>20</v>
      </c>
      <c r="X21" s="3709">
        <f>Fighters!T21</f>
        <v>18</v>
      </c>
      <c r="Y21" s="3710" t="str">
        <f>Fighters!V21</f>
        <v>mariod</v>
      </c>
    </row>
    <row r="22">
      <c r="A22" s="3700">
        <f>Fighters!$A22</f>
        <v>19</v>
      </c>
      <c r="B22" s="3701" t="str">
        <f>Fighters!$B22</f>
        <v>ピチュー</v>
      </c>
      <c r="C22" s="3735">
        <f t="shared" si="1"/>
        <v>30</v>
      </c>
      <c r="D22" s="3734">
        <f>IFERROR(__xludf.DUMMYFUNCTION("VALUE(IFERROR(VLOOKUP($Y22, IMPORTRANGE(""https://docs.google.com/spreadsheets/d/1UdH2L0xi8dO6jyPCcO5e5-8j7SGzezxkeZuF1uP8uOw"",""fighter_param (""&amp;TO_TEXT($A$1)&amp;"")!B4:JZ""), 9, FALSE), """"))"),1.98)</f>
        <v>1.98</v>
      </c>
      <c r="E22" s="3735">
        <f t="shared" si="2"/>
        <v>5</v>
      </c>
      <c r="F22" s="3735">
        <f>IFERROR(__xludf.DUMMYFUNCTION("VALUE(IFERROR(VLOOKUP($Y22, IMPORTRANGE(""https://docs.google.com/spreadsheets/d/1UdH2L0xi8dO6jyPCcO5e5-8j7SGzezxkeZuF1uP8uOw"",""fighter_param (""&amp;TO_TEXT($A$1)&amp;"")!B4:JZ""), 10, FALSE), """")) + VALUE(IFERROR(VLOOKUP($Y22, IMPORTRANGE(""https://docs.goo"&amp;"gle.com/spreadsheets/d/1UdH2L0xi8dO6jyPCcO5e5-8j7SGzezxkeZuF1uP8uOw"",""fighter_param (""&amp;TO_TEXT($A$1)&amp;"")!B4:JZ""), 11, FALSE), """"))"),0.2)</f>
        <v>0.2</v>
      </c>
      <c r="G22" s="3735">
        <f t="shared" si="3"/>
        <v>39</v>
      </c>
      <c r="H22" s="3734">
        <f>IFERROR(__xludf.DUMMYFUNCTION("VALUE(IFERROR(VLOOKUP($Y22, IMPORTRANGE(""https://docs.google.com/spreadsheets/d/1UdH2L0xi8dO6jyPCcO5e5-8j7SGzezxkeZuF1uP8uOw"",""fighter_param (""&amp;TO_TEXT($A$1)&amp;"")!B4:JZ""), 8, FALSE), """"))"),0.11)</f>
        <v>0.11</v>
      </c>
      <c r="I22" s="3735">
        <f t="shared" si="4"/>
        <v>10</v>
      </c>
      <c r="J22" s="3735">
        <f>IFERROR(__xludf.DUMMYFUNCTION("VALUE(IFERROR(VLOOKUP($Y22, IMPORTRANGE(""https://docs.google.com/spreadsheets/d/1UdH2L0xi8dO6jyPCcO5e5-8j7SGzezxkeZuF1uP8uOw"",""fighter_param (""&amp;TO_TEXT($A$1)&amp;"")!B4:JZ""), 22, FALSE), """")) + VALUE(IFERROR(VLOOKUP($Y22, IMPORTRANGE(""https://docs.goo"&amp;"gle.com/spreadsheets/d/1UdH2L0xi8dO6jyPCcO5e5-8j7SGzezxkeZuF1uP8uOw"",""fighter_param (""&amp;TO_TEXT($A$1)&amp;"")!B4:JZ""), 23, FALSE), """"))"),0.09999999999999999)</f>
        <v>0.1</v>
      </c>
      <c r="K22" s="3735">
        <f t="shared" si="5"/>
        <v>67</v>
      </c>
      <c r="L22" s="3734">
        <f>IFERROR(__xludf.DUMMYFUNCTION("VALUE(IFERROR(VLOOKUP($Y22, IMPORTRANGE(""https://docs.google.com/spreadsheets/d/1UdH2L0xi8dO6jyPCcO5e5-8j7SGzezxkeZuF1uP8uOw"",""fighter_param (""&amp;TO_TEXT($A$1)&amp;"")!B4:JZ""), 25, FALSE), """"))"),0.0075)</f>
        <v>0.0075</v>
      </c>
      <c r="M22" s="3735">
        <f t="shared" si="6"/>
        <v>5</v>
      </c>
      <c r="N22" s="3734">
        <f>IFERROR(__xludf.DUMMYFUNCTION("VALUE(IFERROR(VLOOKUP($Y22, IMPORTRANGE(""https://docs.google.com/spreadsheets/d/1UdH2L0xi8dO6jyPCcO5e5-8j7SGzezxkeZuF1uP8uOw"",""fighter_param (""&amp;TO_TEXT($A$1)&amp;"")!B4:JZ""), 26, FALSE), """"))"),0.14)</f>
        <v>0.14</v>
      </c>
      <c r="O22" s="3735" t="str">
        <f t="shared" si="7"/>
        <v/>
      </c>
      <c r="P22" s="3735" t="s">
        <v>76</v>
      </c>
      <c r="Q22" s="3735">
        <f t="shared" si="8"/>
        <v>15</v>
      </c>
      <c r="R22" s="3734">
        <f>IFERROR(__xludf.DUMMYFUNCTION("VALUE(IFERROR(VLOOKUP($Y22, IMPORTRANGE(""https://docs.google.com/spreadsheets/d/1UdH2L0xi8dO6jyPCcO5e5-8j7SGzezxkeZuF1uP8uOw"",""fighter_param (""&amp;TO_TEXT($A$1)&amp;"")!B4:JZ""), 19, FALSE), """"))"),36.75)</f>
        <v>36.75</v>
      </c>
      <c r="S22" s="3735">
        <f t="shared" si="9"/>
        <v>20</v>
      </c>
      <c r="T22" s="3734">
        <f>IFERROR(__xludf.DUMMYFUNCTION("VALUE(IFERROR(VLOOKUP($Y22, IMPORTRANGE(""https://docs.google.com/spreadsheets/d/1UdH2L0xi8dO6jyPCcO5e5-8j7SGzezxkeZuF1uP8uOw"",""fighter_param (""&amp;TO_TEXT($A$1)&amp;"")!B4:JZ""), 20, FALSE), """"))"),17.43)</f>
        <v>17.43</v>
      </c>
      <c r="U22" s="3735">
        <f t="shared" si="10"/>
        <v>24</v>
      </c>
      <c r="V22" s="3734">
        <f>IFERROR(__xludf.DUMMYFUNCTION("VALUE(IFERROR(VLOOKUP($Y22, IMPORTRANGE(""https://docs.google.com/spreadsheets/d/1UdH2L0xi8dO6jyPCcO5e5-8j7SGzezxkeZuF1uP8uOw"",""fighter_param (""&amp;TO_TEXT($A$1)&amp;"")!B4:JZ""), 21, FALSE), """"))"),36.02)</f>
        <v>36.02</v>
      </c>
      <c r="W22" s="3708">
        <f>Fighters!S22</f>
        <v>21</v>
      </c>
      <c r="X22" s="3709">
        <f>Fighters!T22</f>
        <v>19</v>
      </c>
      <c r="Y22" s="3710" t="str">
        <f>Fighters!V22</f>
        <v>pichu</v>
      </c>
    </row>
    <row r="23">
      <c r="A23" s="3700">
        <f>Fighters!$A23</f>
        <v>20</v>
      </c>
      <c r="B23" s="3701" t="str">
        <f>Fighters!$B23</f>
        <v>ファルコ</v>
      </c>
      <c r="C23" s="3735">
        <f t="shared" si="1"/>
        <v>25</v>
      </c>
      <c r="D23" s="3734">
        <f>IFERROR(__xludf.DUMMYFUNCTION("VALUE(IFERROR(VLOOKUP($Y23, IMPORTRANGE(""https://docs.google.com/spreadsheets/d/1UdH2L0xi8dO6jyPCcO5e5-8j7SGzezxkeZuF1uP8uOw"",""fighter_param (""&amp;TO_TEXT($A$1)&amp;"")!B4:JZ""), 9, FALSE), """"))"),2.035)</f>
        <v>2.035</v>
      </c>
      <c r="E23" s="3735">
        <f t="shared" si="2"/>
        <v>22</v>
      </c>
      <c r="F23" s="3735">
        <f>IFERROR(__xludf.DUMMYFUNCTION("VALUE(IFERROR(VLOOKUP($Y23, IMPORTRANGE(""https://docs.google.com/spreadsheets/d/1UdH2L0xi8dO6jyPCcO5e5-8j7SGzezxkeZuF1uP8uOw"",""fighter_param (""&amp;TO_TEXT($A$1)&amp;"")!B4:JZ""), 10, FALSE), """")) + VALUE(IFERROR(VLOOKUP($Y23, IMPORTRANGE(""https://docs.goo"&amp;"gle.com/spreadsheets/d/1UdH2L0xi8dO6jyPCcO5e5-8j7SGzezxkeZuF1uP8uOw"",""fighter_param (""&amp;TO_TEXT($A$1)&amp;"")!B4:JZ""), 11, FALSE), """"))"),0.16720000000000002)</f>
        <v>0.1672</v>
      </c>
      <c r="G23" s="3735">
        <f t="shared" si="3"/>
        <v>13</v>
      </c>
      <c r="H23" s="3734">
        <f>IFERROR(__xludf.DUMMYFUNCTION("VALUE(IFERROR(VLOOKUP($Y23, IMPORTRANGE(""https://docs.google.com/spreadsheets/d/1UdH2L0xi8dO6jyPCcO5e5-8j7SGzezxkeZuF1uP8uOw"",""fighter_param (""&amp;TO_TEXT($A$1)&amp;"")!B4:JZ""), 8, FALSE), """"))"),0.127)</f>
        <v>0.127</v>
      </c>
      <c r="I23" s="3735">
        <f t="shared" si="4"/>
        <v>10</v>
      </c>
      <c r="J23" s="3735">
        <f>IFERROR(__xludf.DUMMYFUNCTION("VALUE(IFERROR(VLOOKUP($Y23, IMPORTRANGE(""https://docs.google.com/spreadsheets/d/1UdH2L0xi8dO6jyPCcO5e5-8j7SGzezxkeZuF1uP8uOw"",""fighter_param (""&amp;TO_TEXT($A$1)&amp;"")!B4:JZ""), 22, FALSE), """")) + VALUE(IFERROR(VLOOKUP($Y23, IMPORTRANGE(""https://docs.goo"&amp;"gle.com/spreadsheets/d/1UdH2L0xi8dO6jyPCcO5e5-8j7SGzezxkeZuF1uP8uOw"",""fighter_param (""&amp;TO_TEXT($A$1)&amp;"")!B4:JZ""), 23, FALSE), """"))"),0.09999999999999999)</f>
        <v>0.1</v>
      </c>
      <c r="K23" s="3735">
        <f t="shared" si="5"/>
        <v>40</v>
      </c>
      <c r="L23" s="3734">
        <f>IFERROR(__xludf.DUMMYFUNCTION("VALUE(IFERROR(VLOOKUP($Y23, IMPORTRANGE(""https://docs.google.com/spreadsheets/d/1UdH2L0xi8dO6jyPCcO5e5-8j7SGzezxkeZuF1uP8uOw"",""fighter_param (""&amp;TO_TEXT($A$1)&amp;"")!B4:JZ""), 25, FALSE), """"))"),0.01)</f>
        <v>0.01</v>
      </c>
      <c r="M23" s="3735">
        <f t="shared" si="6"/>
        <v>8</v>
      </c>
      <c r="N23" s="3734">
        <f>IFERROR(__xludf.DUMMYFUNCTION("VALUE(IFERROR(VLOOKUP($Y23, IMPORTRANGE(""https://docs.google.com/spreadsheets/d/1UdH2L0xi8dO6jyPCcO5e5-8j7SGzezxkeZuF1uP8uOw"",""fighter_param (""&amp;TO_TEXT($A$1)&amp;"")!B4:JZ""), 26, FALSE), """"))"),0.13)</f>
        <v>0.13</v>
      </c>
      <c r="O23" s="3735" t="str">
        <f t="shared" si="7"/>
        <v/>
      </c>
      <c r="P23" s="3735" t="s">
        <v>76</v>
      </c>
      <c r="Q23" s="3735">
        <f t="shared" si="8"/>
        <v>1</v>
      </c>
      <c r="R23" s="3734">
        <f>IFERROR(__xludf.DUMMYFUNCTION("VALUE(IFERROR(VLOOKUP($Y23, IMPORTRANGE(""https://docs.google.com/spreadsheets/d/1UdH2L0xi8dO6jyPCcO5e5-8j7SGzezxkeZuF1uP8uOw"",""fighter_param (""&amp;TO_TEXT($A$1)&amp;"")!B4:JZ""), 19, FALSE), """"))"),50.51)</f>
        <v>50.51</v>
      </c>
      <c r="S23" s="3735">
        <f t="shared" si="9"/>
        <v>21</v>
      </c>
      <c r="T23" s="3734">
        <f>IFERROR(__xludf.DUMMYFUNCTION("VALUE(IFERROR(VLOOKUP($Y23, IMPORTRANGE(""https://docs.google.com/spreadsheets/d/1UdH2L0xi8dO6jyPCcO5e5-8j7SGzezxkeZuF1uP8uOw"",""fighter_param (""&amp;TO_TEXT($A$1)&amp;"")!B4:JZ""), 20, FALSE), """"))"),17.34)</f>
        <v>17.34</v>
      </c>
      <c r="U23" s="3735">
        <f t="shared" si="10"/>
        <v>3</v>
      </c>
      <c r="V23" s="3734">
        <f>IFERROR(__xludf.DUMMYFUNCTION("VALUE(IFERROR(VLOOKUP($Y23, IMPORTRANGE(""https://docs.google.com/spreadsheets/d/1UdH2L0xi8dO6jyPCcO5e5-8j7SGzezxkeZuF1uP8uOw"",""fighter_param (""&amp;TO_TEXT($A$1)&amp;"")!B4:JZ""), 21, FALSE), """"))"),50.51)</f>
        <v>50.51</v>
      </c>
      <c r="W23" s="3708">
        <f>Fighters!S23</f>
        <v>22</v>
      </c>
      <c r="X23" s="3709">
        <f>Fighters!T23</f>
        <v>20</v>
      </c>
      <c r="Y23" s="3710" t="str">
        <f>Fighters!V23</f>
        <v>falco</v>
      </c>
    </row>
    <row r="24">
      <c r="A24" s="3700">
        <f>Fighters!$A24</f>
        <v>21</v>
      </c>
      <c r="B24" s="3701" t="str">
        <f>Fighters!$B24</f>
        <v>マルス</v>
      </c>
      <c r="C24" s="3735">
        <f t="shared" si="1"/>
        <v>6</v>
      </c>
      <c r="D24" s="3734">
        <f>IFERROR(__xludf.DUMMYFUNCTION("VALUE(IFERROR(VLOOKUP($Y24, IMPORTRANGE(""https://docs.google.com/spreadsheets/d/1UdH2L0xi8dO6jyPCcO5e5-8j7SGzezxkeZuF1uP8uOw"",""fighter_param (""&amp;TO_TEXT($A$1)&amp;"")!B4:JZ""), 9, FALSE), """"))"),2.255)</f>
        <v>2.255</v>
      </c>
      <c r="E24" s="3735">
        <f t="shared" si="2"/>
        <v>63</v>
      </c>
      <c r="F24" s="3735">
        <f>IFERROR(__xludf.DUMMYFUNCTION("VALUE(IFERROR(VLOOKUP($Y24, IMPORTRANGE(""https://docs.google.com/spreadsheets/d/1UdH2L0xi8dO6jyPCcO5e5-8j7SGzezxkeZuF1uP8uOw"",""fighter_param (""&amp;TO_TEXT($A$1)&amp;"")!B4:JZ""), 10, FALSE), """")) + VALUE(IFERROR(VLOOKUP($Y24, IMPORTRANGE(""https://docs.goo"&amp;"gle.com/spreadsheets/d/1UdH2L0xi8dO6jyPCcO5e5-8j7SGzezxkeZuF1uP8uOw"",""fighter_param (""&amp;TO_TEXT($A$1)&amp;"")!B4:JZ""), 11, FALSE), """"))"),0.13419999999999999)</f>
        <v>0.1342</v>
      </c>
      <c r="G24" s="3735">
        <f t="shared" si="3"/>
        <v>31</v>
      </c>
      <c r="H24" s="3734">
        <f>IFERROR(__xludf.DUMMYFUNCTION("VALUE(IFERROR(VLOOKUP($Y24, IMPORTRANGE(""https://docs.google.com/spreadsheets/d/1UdH2L0xi8dO6jyPCcO5e5-8j7SGzezxkeZuF1uP8uOw"",""fighter_param (""&amp;TO_TEXT($A$1)&amp;"")!B4:JZ""), 8, FALSE), """"))"),0.114)</f>
        <v>0.114</v>
      </c>
      <c r="I24" s="3735">
        <f t="shared" si="4"/>
        <v>31</v>
      </c>
      <c r="J24" s="3735">
        <f>IFERROR(__xludf.DUMMYFUNCTION("VALUE(IFERROR(VLOOKUP($Y24, IMPORTRANGE(""https://docs.google.com/spreadsheets/d/1UdH2L0xi8dO6jyPCcO5e5-8j7SGzezxkeZuF1uP8uOw"",""fighter_param (""&amp;TO_TEXT($A$1)&amp;"")!B4:JZ""), 22, FALSE), """")) + VALUE(IFERROR(VLOOKUP($Y24, IMPORTRANGE(""https://docs.goo"&amp;"gle.com/spreadsheets/d/1UdH2L0xi8dO6jyPCcO5e5-8j7SGzezxkeZuF1uP8uOw"",""fighter_param (""&amp;TO_TEXT($A$1)&amp;"")!B4:JZ""), 23, FALSE), """"))"),0.08)</f>
        <v>0.08</v>
      </c>
      <c r="K24" s="3735">
        <f t="shared" si="5"/>
        <v>87</v>
      </c>
      <c r="L24" s="3734">
        <f>IFERROR(__xludf.DUMMYFUNCTION("VALUE(IFERROR(VLOOKUP($Y24, IMPORTRANGE(""https://docs.google.com/spreadsheets/d/1UdH2L0xi8dO6jyPCcO5e5-8j7SGzezxkeZuF1uP8uOw"",""fighter_param (""&amp;TO_TEXT($A$1)&amp;"")!B4:JZ""), 25, FALSE), """"))"),0.00375)</f>
        <v>0.00375</v>
      </c>
      <c r="M24" s="3735">
        <f t="shared" si="6"/>
        <v>75</v>
      </c>
      <c r="N24" s="3734">
        <f>IFERROR(__xludf.DUMMYFUNCTION("VALUE(IFERROR(VLOOKUP($Y24, IMPORTRANGE(""https://docs.google.com/spreadsheets/d/1UdH2L0xi8dO6jyPCcO5e5-8j7SGzezxkeZuF1uP8uOw"",""fighter_param (""&amp;TO_TEXT($A$1)&amp;"")!B4:JZ""), 26, FALSE), """"))"),0.075)</f>
        <v>0.075</v>
      </c>
      <c r="O24" s="3735" t="str">
        <f t="shared" si="7"/>
        <v/>
      </c>
      <c r="P24" s="3735" t="s">
        <v>76</v>
      </c>
      <c r="Q24" s="3735">
        <f t="shared" si="8"/>
        <v>33</v>
      </c>
      <c r="R24" s="3734">
        <f>IFERROR(__xludf.DUMMYFUNCTION("VALUE(IFERROR(VLOOKUP($Y24, IMPORTRANGE(""https://docs.google.com/spreadsheets/d/1UdH2L0xi8dO6jyPCcO5e5-8j7SGzezxkeZuF1uP8uOw"",""fighter_param (""&amp;TO_TEXT($A$1)&amp;"")!B4:JZ""), 19, FALSE), """"))"),33.66)</f>
        <v>33.66</v>
      </c>
      <c r="S24" s="3735">
        <f t="shared" si="9"/>
        <v>39</v>
      </c>
      <c r="T24" s="3734">
        <f>IFERROR(__xludf.DUMMYFUNCTION("VALUE(IFERROR(VLOOKUP($Y24, IMPORTRANGE(""https://docs.google.com/spreadsheets/d/1UdH2L0xi8dO6jyPCcO5e5-8j7SGzezxkeZuF1uP8uOw"",""fighter_param (""&amp;TO_TEXT($A$1)&amp;"")!B4:JZ""), 20, FALSE), """"))"),16.26)</f>
        <v>16.26</v>
      </c>
      <c r="U24" s="3735">
        <f t="shared" si="10"/>
        <v>39</v>
      </c>
      <c r="V24" s="3734">
        <f>IFERROR(__xludf.DUMMYFUNCTION("VALUE(IFERROR(VLOOKUP($Y24, IMPORTRANGE(""https://docs.google.com/spreadsheets/d/1UdH2L0xi8dO6jyPCcO5e5-8j7SGzezxkeZuF1uP8uOw"",""fighter_param (""&amp;TO_TEXT($A$1)&amp;"")!B4:JZ""), 21, FALSE), """"))"),33.66)</f>
        <v>33.66</v>
      </c>
      <c r="W24" s="3708">
        <f>Fighters!S24</f>
        <v>23</v>
      </c>
      <c r="X24" s="3709">
        <f>Fighters!T24</f>
        <v>21</v>
      </c>
      <c r="Y24" s="3710" t="str">
        <f>Fighters!V24</f>
        <v>marth</v>
      </c>
    </row>
    <row r="25">
      <c r="A25" s="3700" t="str">
        <f>Fighters!$A25</f>
        <v>21'</v>
      </c>
      <c r="B25" s="3701" t="str">
        <f>Fighters!$B25</f>
        <v>ルキナ</v>
      </c>
      <c r="C25" s="3735">
        <f t="shared" si="1"/>
        <v>6</v>
      </c>
      <c r="D25" s="3734">
        <f>IFERROR(__xludf.DUMMYFUNCTION("VALUE(IFERROR(VLOOKUP($Y25, IMPORTRANGE(""https://docs.google.com/spreadsheets/d/1UdH2L0xi8dO6jyPCcO5e5-8j7SGzezxkeZuF1uP8uOw"",""fighter_param (""&amp;TO_TEXT($A$1)&amp;"")!B4:JZ""), 9, FALSE), """"))"),2.255)</f>
        <v>2.255</v>
      </c>
      <c r="E25" s="3735">
        <f t="shared" si="2"/>
        <v>63</v>
      </c>
      <c r="F25" s="3735">
        <f>IFERROR(__xludf.DUMMYFUNCTION("VALUE(IFERROR(VLOOKUP($Y25, IMPORTRANGE(""https://docs.google.com/spreadsheets/d/1UdH2L0xi8dO6jyPCcO5e5-8j7SGzezxkeZuF1uP8uOw"",""fighter_param (""&amp;TO_TEXT($A$1)&amp;"")!B4:JZ""), 10, FALSE), """")) + VALUE(IFERROR(VLOOKUP($Y25, IMPORTRANGE(""https://docs.goo"&amp;"gle.com/spreadsheets/d/1UdH2L0xi8dO6jyPCcO5e5-8j7SGzezxkeZuF1uP8uOw"",""fighter_param (""&amp;TO_TEXT($A$1)&amp;"")!B4:JZ""), 11, FALSE), """"))"),0.13419999999999999)</f>
        <v>0.1342</v>
      </c>
      <c r="G25" s="3735">
        <f t="shared" si="3"/>
        <v>31</v>
      </c>
      <c r="H25" s="3734">
        <f>IFERROR(__xludf.DUMMYFUNCTION("VALUE(IFERROR(VLOOKUP($Y25, IMPORTRANGE(""https://docs.google.com/spreadsheets/d/1UdH2L0xi8dO6jyPCcO5e5-8j7SGzezxkeZuF1uP8uOw"",""fighter_param (""&amp;TO_TEXT($A$1)&amp;"")!B4:JZ""), 8, FALSE), """"))"),0.114)</f>
        <v>0.114</v>
      </c>
      <c r="I25" s="3735">
        <f t="shared" si="4"/>
        <v>31</v>
      </c>
      <c r="J25" s="3735">
        <f>IFERROR(__xludf.DUMMYFUNCTION("VALUE(IFERROR(VLOOKUP($Y25, IMPORTRANGE(""https://docs.google.com/spreadsheets/d/1UdH2L0xi8dO6jyPCcO5e5-8j7SGzezxkeZuF1uP8uOw"",""fighter_param (""&amp;TO_TEXT($A$1)&amp;"")!B4:JZ""), 22, FALSE), """")) + VALUE(IFERROR(VLOOKUP($Y25, IMPORTRANGE(""https://docs.goo"&amp;"gle.com/spreadsheets/d/1UdH2L0xi8dO6jyPCcO5e5-8j7SGzezxkeZuF1uP8uOw"",""fighter_param (""&amp;TO_TEXT($A$1)&amp;"")!B4:JZ""), 23, FALSE), """"))"),0.08)</f>
        <v>0.08</v>
      </c>
      <c r="K25" s="3735">
        <f t="shared" si="5"/>
        <v>87</v>
      </c>
      <c r="L25" s="3734">
        <f>IFERROR(__xludf.DUMMYFUNCTION("VALUE(IFERROR(VLOOKUP($Y25, IMPORTRANGE(""https://docs.google.com/spreadsheets/d/1UdH2L0xi8dO6jyPCcO5e5-8j7SGzezxkeZuF1uP8uOw"",""fighter_param (""&amp;TO_TEXT($A$1)&amp;"")!B4:JZ""), 25, FALSE), """"))"),0.00375)</f>
        <v>0.00375</v>
      </c>
      <c r="M25" s="3735">
        <f t="shared" si="6"/>
        <v>75</v>
      </c>
      <c r="N25" s="3734">
        <f>IFERROR(__xludf.DUMMYFUNCTION("VALUE(IFERROR(VLOOKUP($Y25, IMPORTRANGE(""https://docs.google.com/spreadsheets/d/1UdH2L0xi8dO6jyPCcO5e5-8j7SGzezxkeZuF1uP8uOw"",""fighter_param (""&amp;TO_TEXT($A$1)&amp;"")!B4:JZ""), 26, FALSE), """"))"),0.075)</f>
        <v>0.075</v>
      </c>
      <c r="O25" s="3735" t="str">
        <f t="shared" si="7"/>
        <v/>
      </c>
      <c r="P25" s="3735" t="s">
        <v>76</v>
      </c>
      <c r="Q25" s="3735">
        <f t="shared" si="8"/>
        <v>33</v>
      </c>
      <c r="R25" s="3734">
        <f>IFERROR(__xludf.DUMMYFUNCTION("VALUE(IFERROR(VLOOKUP($Y25, IMPORTRANGE(""https://docs.google.com/spreadsheets/d/1UdH2L0xi8dO6jyPCcO5e5-8j7SGzezxkeZuF1uP8uOw"",""fighter_param (""&amp;TO_TEXT($A$1)&amp;"")!B4:JZ""), 19, FALSE), """"))"),33.66)</f>
        <v>33.66</v>
      </c>
      <c r="S25" s="3735">
        <f t="shared" si="9"/>
        <v>39</v>
      </c>
      <c r="T25" s="3734">
        <f>IFERROR(__xludf.DUMMYFUNCTION("VALUE(IFERROR(VLOOKUP($Y25, IMPORTRANGE(""https://docs.google.com/spreadsheets/d/1UdH2L0xi8dO6jyPCcO5e5-8j7SGzezxkeZuF1uP8uOw"",""fighter_param (""&amp;TO_TEXT($A$1)&amp;"")!B4:JZ""), 20, FALSE), """"))"),16.26)</f>
        <v>16.26</v>
      </c>
      <c r="U25" s="3735">
        <f t="shared" si="10"/>
        <v>39</v>
      </c>
      <c r="V25" s="3734">
        <f>IFERROR(__xludf.DUMMYFUNCTION("VALUE(IFERROR(VLOOKUP($Y25, IMPORTRANGE(""https://docs.google.com/spreadsheets/d/1UdH2L0xi8dO6jyPCcO5e5-8j7SGzezxkeZuF1uP8uOw"",""fighter_param (""&amp;TO_TEXT($A$1)&amp;"")!B4:JZ""), 21, FALSE), """"))"),33.66)</f>
        <v>33.66</v>
      </c>
      <c r="W25" s="3708">
        <f>Fighters!S25</f>
        <v>24</v>
      </c>
      <c r="X25" s="3709">
        <f>Fighters!T25</f>
        <v>74</v>
      </c>
      <c r="Y25" s="3710" t="str">
        <f>Fighters!V25</f>
        <v>lucina</v>
      </c>
    </row>
    <row r="26">
      <c r="A26" s="3700">
        <f>Fighters!$A26</f>
        <v>22</v>
      </c>
      <c r="B26" s="3701" t="str">
        <f>Fighters!$B26</f>
        <v>こどもリンク</v>
      </c>
      <c r="C26" s="3735">
        <f t="shared" si="1"/>
        <v>30</v>
      </c>
      <c r="D26" s="3734">
        <f>IFERROR(__xludf.DUMMYFUNCTION("VALUE(IFERROR(VLOOKUP($Y26, IMPORTRANGE(""https://docs.google.com/spreadsheets/d/1UdH2L0xi8dO6jyPCcO5e5-8j7SGzezxkeZuF1uP8uOw"",""fighter_param (""&amp;TO_TEXT($A$1)&amp;"")!B4:JZ""), 9, FALSE), """"))"),1.98)</f>
        <v>1.98</v>
      </c>
      <c r="E26" s="3735">
        <f t="shared" si="2"/>
        <v>45</v>
      </c>
      <c r="F26" s="3735">
        <f>IFERROR(__xludf.DUMMYFUNCTION("VALUE(IFERROR(VLOOKUP($Y26, IMPORTRANGE(""https://docs.google.com/spreadsheets/d/1UdH2L0xi8dO6jyPCcO5e5-8j7SGzezxkeZuF1uP8uOw"",""fighter_param (""&amp;TO_TEXT($A$1)&amp;"")!B4:JZ""), 10, FALSE), """")) + VALUE(IFERROR(VLOOKUP($Y26, IMPORTRANGE(""https://docs.goo"&amp;"gle.com/spreadsheets/d/1UdH2L0xi8dO6jyPCcO5e5-8j7SGzezxkeZuF1uP8uOw"",""fighter_param (""&amp;TO_TEXT($A$1)&amp;"")!B4:JZ""), 11, FALSE), """"))"),0.1496)</f>
        <v>0.1496</v>
      </c>
      <c r="G26" s="3735">
        <f t="shared" si="3"/>
        <v>66</v>
      </c>
      <c r="H26" s="3734">
        <f>IFERROR(__xludf.DUMMYFUNCTION("VALUE(IFERROR(VLOOKUP($Y26, IMPORTRANGE(""https://docs.google.com/spreadsheets/d/1UdH2L0xi8dO6jyPCcO5e5-8j7SGzezxkeZuF1uP8uOw"",""fighter_param (""&amp;TO_TEXT($A$1)&amp;"")!B4:JZ""), 8, FALSE), """"))"),0.095)</f>
        <v>0.095</v>
      </c>
      <c r="I26" s="3735">
        <f t="shared" si="4"/>
        <v>14</v>
      </c>
      <c r="J26" s="3735">
        <f>IFERROR(__xludf.DUMMYFUNCTION("VALUE(IFERROR(VLOOKUP($Y26, IMPORTRANGE(""https://docs.google.com/spreadsheets/d/1UdH2L0xi8dO6jyPCcO5e5-8j7SGzezxkeZuF1uP8uOw"",""fighter_param (""&amp;TO_TEXT($A$1)&amp;"")!B4:JZ""), 22, FALSE), """")) + VALUE(IFERROR(VLOOKUP($Y26, IMPORTRANGE(""https://docs.goo"&amp;"gle.com/spreadsheets/d/1UdH2L0xi8dO6jyPCcO5e5-8j7SGzezxkeZuF1uP8uOw"",""fighter_param (""&amp;TO_TEXT($A$1)&amp;"")!B4:JZ""), 23, FALSE), """"))"),0.098)</f>
        <v>0.098</v>
      </c>
      <c r="K26" s="3735">
        <f t="shared" si="5"/>
        <v>79</v>
      </c>
      <c r="L26" s="3734">
        <f>IFERROR(__xludf.DUMMYFUNCTION("VALUE(IFERROR(VLOOKUP($Y26, IMPORTRANGE(""https://docs.google.com/spreadsheets/d/1UdH2L0xi8dO6jyPCcO5e5-8j7SGzezxkeZuF1uP8uOw"",""fighter_param (""&amp;TO_TEXT($A$1)&amp;"")!B4:JZ""), 25, FALSE), """"))"),0.005)</f>
        <v>0.005</v>
      </c>
      <c r="M26" s="3735">
        <f t="shared" si="6"/>
        <v>68</v>
      </c>
      <c r="N26" s="3734">
        <f>IFERROR(__xludf.DUMMYFUNCTION("VALUE(IFERROR(VLOOKUP($Y26, IMPORTRANGE(""https://docs.google.com/spreadsheets/d/1UdH2L0xi8dO6jyPCcO5e5-8j7SGzezxkeZuF1uP8uOw"",""fighter_param (""&amp;TO_TEXT($A$1)&amp;"")!B4:JZ""), 26, FALSE), """"))"),0.08)</f>
        <v>0.08</v>
      </c>
      <c r="O26" s="3735" t="str">
        <f t="shared" si="7"/>
        <v/>
      </c>
      <c r="P26" s="3735" t="s">
        <v>76</v>
      </c>
      <c r="Q26" s="3735">
        <f t="shared" si="8"/>
        <v>17</v>
      </c>
      <c r="R26" s="3734">
        <f>IFERROR(__xludf.DUMMYFUNCTION("VALUE(IFERROR(VLOOKUP($Y26, IMPORTRANGE(""https://docs.google.com/spreadsheets/d/1UdH2L0xi8dO6jyPCcO5e5-8j7SGzezxkeZuF1uP8uOw"",""fighter_param (""&amp;TO_TEXT($A$1)&amp;"")!B4:JZ""), 19, FALSE), """"))"),36.09)</f>
        <v>36.09</v>
      </c>
      <c r="S26" s="3735">
        <f t="shared" si="9"/>
        <v>68</v>
      </c>
      <c r="T26" s="3734">
        <f>IFERROR(__xludf.DUMMYFUNCTION("VALUE(IFERROR(VLOOKUP($Y26, IMPORTRANGE(""https://docs.google.com/spreadsheets/d/1UdH2L0xi8dO6jyPCcO5e5-8j7SGzezxkeZuF1uP8uOw"",""fighter_param (""&amp;TO_TEXT($A$1)&amp;"")!B4:JZ""), 20, FALSE), """"))"),14.43)</f>
        <v>14.43</v>
      </c>
      <c r="U26" s="3735">
        <f t="shared" si="10"/>
        <v>2</v>
      </c>
      <c r="V26" s="3734">
        <f>IFERROR(__xludf.DUMMYFUNCTION("VALUE(IFERROR(VLOOKUP($Y26, IMPORTRANGE(""https://docs.google.com/spreadsheets/d/1UdH2L0xi8dO6jyPCcO5e5-8j7SGzezxkeZuF1uP8uOw"",""fighter_param (""&amp;TO_TEXT($A$1)&amp;"")!B4:JZ""), 21, FALSE), """"))"),51.56)</f>
        <v>51.56</v>
      </c>
      <c r="W26" s="3708">
        <f>Fighters!S26</f>
        <v>25</v>
      </c>
      <c r="X26" s="3709">
        <f>Fighters!T26</f>
        <v>22</v>
      </c>
      <c r="Y26" s="3710" t="str">
        <f>Fighters!V26</f>
        <v>yoshi</v>
      </c>
    </row>
    <row r="27">
      <c r="A27" s="3700">
        <f>Fighters!$A27</f>
        <v>23</v>
      </c>
      <c r="B27" s="3701" t="str">
        <f>Fighters!$B27</f>
        <v>ガノンドロフ</v>
      </c>
      <c r="C27" s="3735">
        <f t="shared" si="1"/>
        <v>51</v>
      </c>
      <c r="D27" s="3734">
        <f>IFERROR(__xludf.DUMMYFUNCTION("VALUE(IFERROR(VLOOKUP($Y27, IMPORTRANGE(""https://docs.google.com/spreadsheets/d/1UdH2L0xi8dO6jyPCcO5e5-8j7SGzezxkeZuF1uP8uOw"",""fighter_param (""&amp;TO_TEXT($A$1)&amp;"")!B4:JZ""), 9, FALSE), """"))"),1.87)</f>
        <v>1.87</v>
      </c>
      <c r="E27" s="3735">
        <f t="shared" si="2"/>
        <v>59</v>
      </c>
      <c r="F27" s="3735">
        <f>IFERROR(__xludf.DUMMYFUNCTION("VALUE(IFERROR(VLOOKUP($Y27, IMPORTRANGE(""https://docs.google.com/spreadsheets/d/1UdH2L0xi8dO6jyPCcO5e5-8j7SGzezxkeZuF1uP8uOw"",""fighter_param (""&amp;TO_TEXT($A$1)&amp;"")!B4:JZ""), 10, FALSE), """")) + VALUE(IFERROR(VLOOKUP($Y27, IMPORTRANGE(""https://docs.goo"&amp;"gle.com/spreadsheets/d/1UdH2L0xi8dO6jyPCcO5e5-8j7SGzezxkeZuF1uP8uOw"",""fighter_param (""&amp;TO_TEXT($A$1)&amp;"")!B4:JZ""), 11, FALSE), """"))"),0.13893)</f>
        <v>0.13893</v>
      </c>
      <c r="G27" s="3735">
        <f t="shared" si="3"/>
        <v>14</v>
      </c>
      <c r="H27" s="3734">
        <f>IFERROR(__xludf.DUMMYFUNCTION("VALUE(IFERROR(VLOOKUP($Y27, IMPORTRANGE(""https://docs.google.com/spreadsheets/d/1UdH2L0xi8dO6jyPCcO5e5-8j7SGzezxkeZuF1uP8uOw"",""fighter_param (""&amp;TO_TEXT($A$1)&amp;"")!B4:JZ""), 8, FALSE), """"))"),0.125)</f>
        <v>0.125</v>
      </c>
      <c r="I27" s="3735">
        <f t="shared" si="4"/>
        <v>82</v>
      </c>
      <c r="J27" s="3735">
        <f>IFERROR(__xludf.DUMMYFUNCTION("VALUE(IFERROR(VLOOKUP($Y27, IMPORTRANGE(""https://docs.google.com/spreadsheets/d/1UdH2L0xi8dO6jyPCcO5e5-8j7SGzezxkeZuF1uP8uOw"",""fighter_param (""&amp;TO_TEXT($A$1)&amp;"")!B4:JZ""), 22, FALSE), """")) + VALUE(IFERROR(VLOOKUP($Y27, IMPORTRANGE(""https://docs.goo"&amp;"gle.com/spreadsheets/d/1UdH2L0xi8dO6jyPCcO5e5-8j7SGzezxkeZuF1uP8uOw"",""fighter_param (""&amp;TO_TEXT($A$1)&amp;"")!B4:JZ""), 23, FALSE), """"))"),0.04)</f>
        <v>0.04</v>
      </c>
      <c r="K27" s="3735">
        <f t="shared" si="5"/>
        <v>9</v>
      </c>
      <c r="L27" s="3734">
        <f>IFERROR(__xludf.DUMMYFUNCTION("VALUE(IFERROR(VLOOKUP($Y27, IMPORTRANGE(""https://docs.google.com/spreadsheets/d/1UdH2L0xi8dO6jyPCcO5e5-8j7SGzezxkeZuF1uP8uOw"",""fighter_param (""&amp;TO_TEXT($A$1)&amp;"")!B4:JZ""), 25, FALSE), """"))"),0.015)</f>
        <v>0.015</v>
      </c>
      <c r="M27" s="3735">
        <f t="shared" si="6"/>
        <v>27</v>
      </c>
      <c r="N27" s="3734">
        <f>IFERROR(__xludf.DUMMYFUNCTION("VALUE(IFERROR(VLOOKUP($Y27, IMPORTRANGE(""https://docs.google.com/spreadsheets/d/1UdH2L0xi8dO6jyPCcO5e5-8j7SGzezxkeZuF1uP8uOw"",""fighter_param (""&amp;TO_TEXT($A$1)&amp;"")!B4:JZ""), 26, FALSE), """"))"),0.108)</f>
        <v>0.108</v>
      </c>
      <c r="O27" s="3735" t="str">
        <f t="shared" si="7"/>
        <v/>
      </c>
      <c r="P27" s="3735" t="s">
        <v>76</v>
      </c>
      <c r="Q27" s="3735">
        <f t="shared" si="8"/>
        <v>84</v>
      </c>
      <c r="R27" s="3734">
        <f>IFERROR(__xludf.DUMMYFUNCTION("VALUE(IFERROR(VLOOKUP($Y27, IMPORTRANGE(""https://docs.google.com/spreadsheets/d/1UdH2L0xi8dO6jyPCcO5e5-8j7SGzezxkeZuF1uP8uOw"",""fighter_param (""&amp;TO_TEXT($A$1)&amp;"")!B4:JZ""), 19, FALSE), """"))"),25.49)</f>
        <v>25.49</v>
      </c>
      <c r="S27" s="3735">
        <f t="shared" si="9"/>
        <v>83</v>
      </c>
      <c r="T27" s="3734">
        <f>IFERROR(__xludf.DUMMYFUNCTION("VALUE(IFERROR(VLOOKUP($Y27, IMPORTRANGE(""https://docs.google.com/spreadsheets/d/1UdH2L0xi8dO6jyPCcO5e5-8j7SGzezxkeZuF1uP8uOw"",""fighter_param (""&amp;TO_TEXT($A$1)&amp;"")!B4:JZ""), 20, FALSE), """"))"),12.24)</f>
        <v>12.24</v>
      </c>
      <c r="U27" s="3735">
        <f t="shared" si="10"/>
        <v>80</v>
      </c>
      <c r="V27" s="3734">
        <f>IFERROR(__xludf.DUMMYFUNCTION("VALUE(IFERROR(VLOOKUP($Y27, IMPORTRANGE(""https://docs.google.com/spreadsheets/d/1UdH2L0xi8dO6jyPCcO5e5-8j7SGzezxkeZuF1uP8uOw"",""fighter_param (""&amp;TO_TEXT($A$1)&amp;"")!B4:JZ""), 21, FALSE), """"))"),26.0)</f>
        <v>26</v>
      </c>
      <c r="W27" s="3708">
        <f>Fighters!S27</f>
        <v>26</v>
      </c>
      <c r="X27" s="3709">
        <f>Fighters!T27</f>
        <v>23</v>
      </c>
      <c r="Y27" s="3710" t="str">
        <f>Fighters!V27</f>
        <v>ganon</v>
      </c>
    </row>
    <row r="28">
      <c r="A28" s="3700">
        <f>Fighters!$A28</f>
        <v>24</v>
      </c>
      <c r="B28" s="3701" t="str">
        <f>Fighters!$B28</f>
        <v>ミュウツー</v>
      </c>
      <c r="C28" s="3735">
        <f t="shared" si="1"/>
        <v>6</v>
      </c>
      <c r="D28" s="3734">
        <f>IFERROR(__xludf.DUMMYFUNCTION("VALUE(IFERROR(VLOOKUP($Y28, IMPORTRANGE(""https://docs.google.com/spreadsheets/d/1UdH2L0xi8dO6jyPCcO5e5-8j7SGzezxkeZuF1uP8uOw"",""fighter_param (""&amp;TO_TEXT($A$1)&amp;"")!B4:JZ""), 9, FALSE), """"))"),2.255)</f>
        <v>2.255</v>
      </c>
      <c r="E28" s="3735">
        <f t="shared" si="2"/>
        <v>77</v>
      </c>
      <c r="F28" s="3735">
        <f>IFERROR(__xludf.DUMMYFUNCTION("VALUE(IFERROR(VLOOKUP($Y28, IMPORTRANGE(""https://docs.google.com/spreadsheets/d/1UdH2L0xi8dO6jyPCcO5e5-8j7SGzezxkeZuF1uP8uOw"",""fighter_param (""&amp;TO_TEXT($A$1)&amp;"")!B4:JZ""), 10, FALSE), """")) + VALUE(IFERROR(VLOOKUP($Y28, IMPORTRANGE(""https://docs.goo"&amp;"gle.com/spreadsheets/d/1UdH2L0xi8dO6jyPCcO5e5-8j7SGzezxkeZuF1uP8uOw"",""fighter_param (""&amp;TO_TEXT($A$1)&amp;"")!B4:JZ""), 11, FALSE), """"))"),0.11)</f>
        <v>0.11</v>
      </c>
      <c r="G28" s="3735">
        <f t="shared" si="3"/>
        <v>20</v>
      </c>
      <c r="H28" s="3734">
        <f>IFERROR(__xludf.DUMMYFUNCTION("VALUE(IFERROR(VLOOKUP($Y28, IMPORTRANGE(""https://docs.google.com/spreadsheets/d/1UdH2L0xi8dO6jyPCcO5e5-8j7SGzezxkeZuF1uP8uOw"",""fighter_param (""&amp;TO_TEXT($A$1)&amp;"")!B4:JZ""), 8, FALSE), """"))"),0.116)</f>
        <v>0.116</v>
      </c>
      <c r="I28" s="3735">
        <f t="shared" si="4"/>
        <v>48</v>
      </c>
      <c r="J28" s="3735">
        <f>IFERROR(__xludf.DUMMYFUNCTION("VALUE(IFERROR(VLOOKUP($Y28, IMPORTRANGE(""https://docs.google.com/spreadsheets/d/1UdH2L0xi8dO6jyPCcO5e5-8j7SGzezxkeZuF1uP8uOw"",""fighter_param (""&amp;TO_TEXT($A$1)&amp;"")!B4:JZ""), 22, FALSE), """")) + VALUE(IFERROR(VLOOKUP($Y28, IMPORTRANGE(""https://docs.goo"&amp;"gle.com/spreadsheets/d/1UdH2L0xi8dO6jyPCcO5e5-8j7SGzezxkeZuF1uP8uOw"",""fighter_param (""&amp;TO_TEXT($A$1)&amp;"")!B4:JZ""), 23, FALSE), """"))"),0.07)</f>
        <v>0.07</v>
      </c>
      <c r="K28" s="3735">
        <f t="shared" si="5"/>
        <v>8</v>
      </c>
      <c r="L28" s="3734">
        <f>IFERROR(__xludf.DUMMYFUNCTION("VALUE(IFERROR(VLOOKUP($Y28, IMPORTRANGE(""https://docs.google.com/spreadsheets/d/1UdH2L0xi8dO6jyPCcO5e5-8j7SGzezxkeZuF1uP8uOw"",""fighter_param (""&amp;TO_TEXT($A$1)&amp;"")!B4:JZ""), 25, FALSE), """"))"),0.016)</f>
        <v>0.016</v>
      </c>
      <c r="M28" s="3735">
        <f t="shared" si="6"/>
        <v>62</v>
      </c>
      <c r="N28" s="3734">
        <f>IFERROR(__xludf.DUMMYFUNCTION("VALUE(IFERROR(VLOOKUP($Y28, IMPORTRANGE(""https://docs.google.com/spreadsheets/d/1UdH2L0xi8dO6jyPCcO5e5-8j7SGzezxkeZuF1uP8uOw"",""fighter_param (""&amp;TO_TEXT($A$1)&amp;"")!B4:JZ""), 26, FALSE), """"))"),0.082)</f>
        <v>0.082</v>
      </c>
      <c r="O28" s="3735" t="str">
        <f t="shared" si="7"/>
        <v/>
      </c>
      <c r="P28" s="3735" t="s">
        <v>76</v>
      </c>
      <c r="Q28" s="3735">
        <f t="shared" si="8"/>
        <v>55</v>
      </c>
      <c r="R28" s="3734">
        <f>IFERROR(__xludf.DUMMYFUNCTION("VALUE(IFERROR(VLOOKUP($Y28, IMPORTRANGE(""https://docs.google.com/spreadsheets/d/1UdH2L0xi8dO6jyPCcO5e5-8j7SGzezxkeZuF1uP8uOw"",""fighter_param (""&amp;TO_TEXT($A$1)&amp;"")!B4:JZ""), 19, FALSE), """"))"),31.11)</f>
        <v>31.11</v>
      </c>
      <c r="S28" s="3735">
        <f t="shared" si="9"/>
        <v>18</v>
      </c>
      <c r="T28" s="3734">
        <f>IFERROR(__xludf.DUMMYFUNCTION("VALUE(IFERROR(VLOOKUP($Y28, IMPORTRANGE(""https://docs.google.com/spreadsheets/d/1UdH2L0xi8dO6jyPCcO5e5-8j7SGzezxkeZuF1uP8uOw"",""fighter_param (""&amp;TO_TEXT($A$1)&amp;"")!B4:JZ""), 20, FALSE), """"))"),17.5)</f>
        <v>17.5</v>
      </c>
      <c r="U28" s="3735">
        <f t="shared" si="10"/>
        <v>1</v>
      </c>
      <c r="V28" s="3734">
        <f>IFERROR(__xludf.DUMMYFUNCTION("VALUE(IFERROR(VLOOKUP($Y28, IMPORTRANGE(""https://docs.google.com/spreadsheets/d/1UdH2L0xi8dO6jyPCcO5e5-8j7SGzezxkeZuF1uP8uOw"",""fighter_param (""&amp;TO_TEXT($A$1)&amp;"")!B4:JZ""), 21, FALSE), """"))"),57.35)</f>
        <v>57.35</v>
      </c>
      <c r="W28" s="3708">
        <f>Fighters!S28</f>
        <v>27</v>
      </c>
      <c r="X28" s="3709">
        <f>Fighters!T28</f>
        <v>24</v>
      </c>
      <c r="Y28" s="3710" t="str">
        <f>Fighters!V28</f>
        <v>mewtwo</v>
      </c>
    </row>
    <row r="29">
      <c r="A29" s="3700">
        <f>Fighters!$A29</f>
        <v>25</v>
      </c>
      <c r="B29" s="3701" t="str">
        <f>Fighters!$B29</f>
        <v>ロイ</v>
      </c>
      <c r="C29" s="3735">
        <f t="shared" si="1"/>
        <v>12</v>
      </c>
      <c r="D29" s="3734">
        <f>IFERROR(__xludf.DUMMYFUNCTION("VALUE(IFERROR(VLOOKUP($Y29, IMPORTRANGE(""https://docs.google.com/spreadsheets/d/1UdH2L0xi8dO6jyPCcO5e5-8j7SGzezxkeZuF1uP8uOw"",""fighter_param (""&amp;TO_TEXT($A$1)&amp;"")!B4:JZ""), 9, FALSE), """"))"),2.2)</f>
        <v>2.2</v>
      </c>
      <c r="E29" s="3735">
        <f t="shared" si="2"/>
        <v>77</v>
      </c>
      <c r="F29" s="3735">
        <f>IFERROR(__xludf.DUMMYFUNCTION("VALUE(IFERROR(VLOOKUP($Y29, IMPORTRANGE(""https://docs.google.com/spreadsheets/d/1UdH2L0xi8dO6jyPCcO5e5-8j7SGzezxkeZuF1uP8uOw"",""fighter_param (""&amp;TO_TEXT($A$1)&amp;"")!B4:JZ""), 10, FALSE), """")) + VALUE(IFERROR(VLOOKUP($Y29, IMPORTRANGE(""https://docs.goo"&amp;"gle.com/spreadsheets/d/1UdH2L0xi8dO6jyPCcO5e5-8j7SGzezxkeZuF1uP8uOw"",""fighter_param (""&amp;TO_TEXT($A$1)&amp;"")!B4:JZ""), 11, FALSE), """"))"),0.11)</f>
        <v>0.11</v>
      </c>
      <c r="G29" s="3735">
        <f t="shared" si="3"/>
        <v>48</v>
      </c>
      <c r="H29" s="3734">
        <f>IFERROR(__xludf.DUMMYFUNCTION("VALUE(IFERROR(VLOOKUP($Y29, IMPORTRANGE(""https://docs.google.com/spreadsheets/d/1UdH2L0xi8dO6jyPCcO5e5-8j7SGzezxkeZuF1uP8uOw"",""fighter_param (""&amp;TO_TEXT($A$1)&amp;"")!B4:JZ""), 8, FALSE), """"))"),0.107)</f>
        <v>0.107</v>
      </c>
      <c r="I29" s="3735">
        <f t="shared" si="4"/>
        <v>70</v>
      </c>
      <c r="J29" s="3735">
        <f>IFERROR(__xludf.DUMMYFUNCTION("VALUE(IFERROR(VLOOKUP($Y29, IMPORTRANGE(""https://docs.google.com/spreadsheets/d/1UdH2L0xi8dO6jyPCcO5e5-8j7SGzezxkeZuF1uP8uOw"",""fighter_param (""&amp;TO_TEXT($A$1)&amp;"")!B4:JZ""), 22, FALSE), """")) + VALUE(IFERROR(VLOOKUP($Y29, IMPORTRANGE(""https://docs.goo"&amp;"gle.com/spreadsheets/d/1UdH2L0xi8dO6jyPCcO5e5-8j7SGzezxkeZuF1uP8uOw"",""fighter_param (""&amp;TO_TEXT($A$1)&amp;"")!B4:JZ""), 23, FALSE), """"))"),0.05)</f>
        <v>0.05</v>
      </c>
      <c r="K29" s="3735">
        <f t="shared" si="5"/>
        <v>79</v>
      </c>
      <c r="L29" s="3734">
        <f>IFERROR(__xludf.DUMMYFUNCTION("VALUE(IFERROR(VLOOKUP($Y29, IMPORTRANGE(""https://docs.google.com/spreadsheets/d/1UdH2L0xi8dO6jyPCcO5e5-8j7SGzezxkeZuF1uP8uOw"",""fighter_param (""&amp;TO_TEXT($A$1)&amp;"")!B4:JZ""), 25, FALSE), """"))"),0.005)</f>
        <v>0.005</v>
      </c>
      <c r="M29" s="3735">
        <f t="shared" si="6"/>
        <v>21</v>
      </c>
      <c r="N29" s="3734">
        <f>IFERROR(__xludf.DUMMYFUNCTION("VALUE(IFERROR(VLOOKUP($Y29, IMPORTRANGE(""https://docs.google.com/spreadsheets/d/1UdH2L0xi8dO6jyPCcO5e5-8j7SGzezxkeZuF1uP8uOw"",""fighter_param (""&amp;TO_TEXT($A$1)&amp;"")!B4:JZ""), 26, FALSE), """"))"),0.114)</f>
        <v>0.114</v>
      </c>
      <c r="O29" s="3735" t="str">
        <f t="shared" si="7"/>
        <v/>
      </c>
      <c r="P29" s="3735" t="s">
        <v>76</v>
      </c>
      <c r="Q29" s="3735">
        <f t="shared" si="8"/>
        <v>58</v>
      </c>
      <c r="R29" s="3734">
        <f>IFERROR(__xludf.DUMMYFUNCTION("VALUE(IFERROR(VLOOKUP($Y29, IMPORTRANGE(""https://docs.google.com/spreadsheets/d/1UdH2L0xi8dO6jyPCcO5e5-8j7SGzezxkeZuF1uP8uOw"",""fighter_param (""&amp;TO_TEXT($A$1)&amp;"")!B4:JZ""), 19, FALSE), """"))"),30.97)</f>
        <v>30.97</v>
      </c>
      <c r="S29" s="3735">
        <f t="shared" si="9"/>
        <v>78</v>
      </c>
      <c r="T29" s="3734">
        <f>IFERROR(__xludf.DUMMYFUNCTION("VALUE(IFERROR(VLOOKUP($Y29, IMPORTRANGE(""https://docs.google.com/spreadsheets/d/1UdH2L0xi8dO6jyPCcO5e5-8j7SGzezxkeZuF1uP8uOw"",""fighter_param (""&amp;TO_TEXT($A$1)&amp;"")!B4:JZ""), 20, FALSE), """"))"),13.0)</f>
        <v>13</v>
      </c>
      <c r="U29" s="3735">
        <f t="shared" si="10"/>
        <v>76</v>
      </c>
      <c r="V29" s="3734">
        <f>IFERROR(__xludf.DUMMYFUNCTION("VALUE(IFERROR(VLOOKUP($Y29, IMPORTRANGE(""https://docs.google.com/spreadsheets/d/1UdH2L0xi8dO6jyPCcO5e5-8j7SGzezxkeZuF1uP8uOw"",""fighter_param (""&amp;TO_TEXT($A$1)&amp;"")!B4:JZ""), 21, FALSE), """"))"),28.0)</f>
        <v>28</v>
      </c>
      <c r="W29" s="3708">
        <f>Fighters!S29</f>
        <v>28</v>
      </c>
      <c r="X29" s="3709">
        <f>Fighters!T29</f>
        <v>25</v>
      </c>
      <c r="Y29" s="3710" t="str">
        <f>Fighters!V29</f>
        <v>roy</v>
      </c>
    </row>
    <row r="30">
      <c r="A30" s="3700" t="str">
        <f>Fighters!$A30</f>
        <v>25'</v>
      </c>
      <c r="B30" s="3701" t="str">
        <f>Fighters!$B30</f>
        <v>クロム</v>
      </c>
      <c r="C30" s="3735">
        <f t="shared" si="1"/>
        <v>12</v>
      </c>
      <c r="D30" s="3734">
        <f>IFERROR(__xludf.DUMMYFUNCTION("VALUE(IFERROR(VLOOKUP($Y30, IMPORTRANGE(""https://docs.google.com/spreadsheets/d/1UdH2L0xi8dO6jyPCcO5e5-8j7SGzezxkeZuF1uP8uOw"",""fighter_param (""&amp;TO_TEXT($A$1)&amp;"")!B4:JZ""), 9, FALSE), """"))"),2.2)</f>
        <v>2.2</v>
      </c>
      <c r="E30" s="3735">
        <f t="shared" si="2"/>
        <v>77</v>
      </c>
      <c r="F30" s="3735">
        <f>IFERROR(__xludf.DUMMYFUNCTION("VALUE(IFERROR(VLOOKUP($Y30, IMPORTRANGE(""https://docs.google.com/spreadsheets/d/1UdH2L0xi8dO6jyPCcO5e5-8j7SGzezxkeZuF1uP8uOw"",""fighter_param (""&amp;TO_TEXT($A$1)&amp;"")!B4:JZ""), 10, FALSE), """")) + VALUE(IFERROR(VLOOKUP($Y30, IMPORTRANGE(""https://docs.goo"&amp;"gle.com/spreadsheets/d/1UdH2L0xi8dO6jyPCcO5e5-8j7SGzezxkeZuF1uP8uOw"",""fighter_param (""&amp;TO_TEXT($A$1)&amp;"")!B4:JZ""), 11, FALSE), """"))"),0.11)</f>
        <v>0.11</v>
      </c>
      <c r="G30" s="3735">
        <f t="shared" si="3"/>
        <v>48</v>
      </c>
      <c r="H30" s="3734">
        <f>IFERROR(__xludf.DUMMYFUNCTION("VALUE(IFERROR(VLOOKUP($Y30, IMPORTRANGE(""https://docs.google.com/spreadsheets/d/1UdH2L0xi8dO6jyPCcO5e5-8j7SGzezxkeZuF1uP8uOw"",""fighter_param (""&amp;TO_TEXT($A$1)&amp;"")!B4:JZ""), 8, FALSE), """"))"),0.107)</f>
        <v>0.107</v>
      </c>
      <c r="I30" s="3735">
        <f t="shared" si="4"/>
        <v>70</v>
      </c>
      <c r="J30" s="3735">
        <f>IFERROR(__xludf.DUMMYFUNCTION("VALUE(IFERROR(VLOOKUP($Y30, IMPORTRANGE(""https://docs.google.com/spreadsheets/d/1UdH2L0xi8dO6jyPCcO5e5-8j7SGzezxkeZuF1uP8uOw"",""fighter_param (""&amp;TO_TEXT($A$1)&amp;"")!B4:JZ""), 22, FALSE), """")) + VALUE(IFERROR(VLOOKUP($Y30, IMPORTRANGE(""https://docs.goo"&amp;"gle.com/spreadsheets/d/1UdH2L0xi8dO6jyPCcO5e5-8j7SGzezxkeZuF1uP8uOw"",""fighter_param (""&amp;TO_TEXT($A$1)&amp;"")!B4:JZ""), 23, FALSE), """"))"),0.05)</f>
        <v>0.05</v>
      </c>
      <c r="K30" s="3735">
        <f t="shared" si="5"/>
        <v>79</v>
      </c>
      <c r="L30" s="3734">
        <f>IFERROR(__xludf.DUMMYFUNCTION("VALUE(IFERROR(VLOOKUP($Y30, IMPORTRANGE(""https://docs.google.com/spreadsheets/d/1UdH2L0xi8dO6jyPCcO5e5-8j7SGzezxkeZuF1uP8uOw"",""fighter_param (""&amp;TO_TEXT($A$1)&amp;"")!B4:JZ""), 25, FALSE), """"))"),0.005)</f>
        <v>0.005</v>
      </c>
      <c r="M30" s="3735">
        <f t="shared" si="6"/>
        <v>21</v>
      </c>
      <c r="N30" s="3734">
        <f>IFERROR(__xludf.DUMMYFUNCTION("VALUE(IFERROR(VLOOKUP($Y30, IMPORTRANGE(""https://docs.google.com/spreadsheets/d/1UdH2L0xi8dO6jyPCcO5e5-8j7SGzezxkeZuF1uP8uOw"",""fighter_param (""&amp;TO_TEXT($A$1)&amp;"")!B4:JZ""), 26, FALSE), """"))"),0.114)</f>
        <v>0.114</v>
      </c>
      <c r="O30" s="3735" t="str">
        <f t="shared" si="7"/>
        <v/>
      </c>
      <c r="P30" s="3735" t="s">
        <v>76</v>
      </c>
      <c r="Q30" s="3735">
        <f t="shared" si="8"/>
        <v>58</v>
      </c>
      <c r="R30" s="3734">
        <f>IFERROR(__xludf.DUMMYFUNCTION("VALUE(IFERROR(VLOOKUP($Y30, IMPORTRANGE(""https://docs.google.com/spreadsheets/d/1UdH2L0xi8dO6jyPCcO5e5-8j7SGzezxkeZuF1uP8uOw"",""fighter_param (""&amp;TO_TEXT($A$1)&amp;"")!B4:JZ""), 19, FALSE), """"))"),30.97)</f>
        <v>30.97</v>
      </c>
      <c r="S30" s="3735">
        <f t="shared" si="9"/>
        <v>78</v>
      </c>
      <c r="T30" s="3734">
        <f>IFERROR(__xludf.DUMMYFUNCTION("VALUE(IFERROR(VLOOKUP($Y30, IMPORTRANGE(""https://docs.google.com/spreadsheets/d/1UdH2L0xi8dO6jyPCcO5e5-8j7SGzezxkeZuF1uP8uOw"",""fighter_param (""&amp;TO_TEXT($A$1)&amp;"")!B4:JZ""), 20, FALSE), """"))"),13.0)</f>
        <v>13</v>
      </c>
      <c r="U30" s="3735">
        <f t="shared" si="10"/>
        <v>76</v>
      </c>
      <c r="V30" s="3734">
        <f>IFERROR(__xludf.DUMMYFUNCTION("VALUE(IFERROR(VLOOKUP($Y30, IMPORTRANGE(""https://docs.google.com/spreadsheets/d/1UdH2L0xi8dO6jyPCcO5e5-8j7SGzezxkeZuF1uP8uOw"",""fighter_param (""&amp;TO_TEXT($A$1)&amp;"")!B4:JZ""), 21, FALSE), """"))"),28.0)</f>
        <v>28</v>
      </c>
      <c r="W30" s="3708">
        <f>Fighters!S30</f>
        <v>29</v>
      </c>
      <c r="X30" s="3709">
        <f>Fighters!T30</f>
        <v>75</v>
      </c>
      <c r="Y30" s="3710" t="str">
        <f>Fighters!V30</f>
        <v>chrom</v>
      </c>
    </row>
    <row r="31">
      <c r="A31" s="3700">
        <f>Fighters!$A31</f>
        <v>26</v>
      </c>
      <c r="B31" s="3701" t="str">
        <f>Fighters!$B31</f>
        <v>Mr. ゲーム&amp;ウォッチ</v>
      </c>
      <c r="C31" s="3735">
        <f t="shared" si="1"/>
        <v>30</v>
      </c>
      <c r="D31" s="3734">
        <f>IFERROR(__xludf.DUMMYFUNCTION("VALUE(IFERROR(VLOOKUP($Y31, IMPORTRANGE(""https://docs.google.com/spreadsheets/d/1UdH2L0xi8dO6jyPCcO5e5-8j7SGzezxkeZuF1uP8uOw"",""fighter_param (""&amp;TO_TEXT($A$1)&amp;"")!B4:JZ""), 9, FALSE), """"))"),1.98)</f>
        <v>1.98</v>
      </c>
      <c r="E31" s="3735">
        <f t="shared" si="2"/>
        <v>62</v>
      </c>
      <c r="F31" s="3735">
        <f>IFERROR(__xludf.DUMMYFUNCTION("VALUE(IFERROR(VLOOKUP($Y31, IMPORTRANGE(""https://docs.google.com/spreadsheets/d/1UdH2L0xi8dO6jyPCcO5e5-8j7SGzezxkeZuF1uP8uOw"",""fighter_param (""&amp;TO_TEXT($A$1)&amp;"")!B4:JZ""), 10, FALSE), """")) + VALUE(IFERROR(VLOOKUP($Y31, IMPORTRANGE(""https://docs.goo"&amp;"gle.com/spreadsheets/d/1UdH2L0xi8dO6jyPCcO5e5-8j7SGzezxkeZuF1uP8uOw"",""fighter_param (""&amp;TO_TEXT($A$1)&amp;"")!B4:JZ""), 11, FALSE), """"))"),0.13452999999999998)</f>
        <v>0.13453</v>
      </c>
      <c r="G31" s="3735">
        <f t="shared" si="3"/>
        <v>5</v>
      </c>
      <c r="H31" s="3734">
        <f>IFERROR(__xludf.DUMMYFUNCTION("VALUE(IFERROR(VLOOKUP($Y31, IMPORTRANGE(""https://docs.google.com/spreadsheets/d/1UdH2L0xi8dO6jyPCcO5e5-8j7SGzezxkeZuF1uP8uOw"",""fighter_param (""&amp;TO_TEXT($A$1)&amp;"")!B4:JZ""), 8, FALSE), """"))"),0.131)</f>
        <v>0.131</v>
      </c>
      <c r="I31" s="3735">
        <f t="shared" si="4"/>
        <v>9</v>
      </c>
      <c r="J31" s="3735">
        <f>IFERROR(__xludf.DUMMYFUNCTION("VALUE(IFERROR(VLOOKUP($Y31, IMPORTRANGE(""https://docs.google.com/spreadsheets/d/1UdH2L0xi8dO6jyPCcO5e5-8j7SGzezxkeZuF1uP8uOw"",""fighter_param (""&amp;TO_TEXT($A$1)&amp;"")!B4:JZ""), 22, FALSE), """")) + VALUE(IFERROR(VLOOKUP($Y31, IMPORTRANGE(""https://docs.goo"&amp;"gle.com/spreadsheets/d/1UdH2L0xi8dO6jyPCcO5e5-8j7SGzezxkeZuF1uP8uOw"",""fighter_param (""&amp;TO_TEXT($A$1)&amp;"")!B4:JZ""), 23, FALSE), """"))"),0.1)</f>
        <v>0.1</v>
      </c>
      <c r="K31" s="3735">
        <f t="shared" si="5"/>
        <v>33</v>
      </c>
      <c r="L31" s="3734">
        <f>IFERROR(__xludf.DUMMYFUNCTION("VALUE(IFERROR(VLOOKUP($Y31, IMPORTRANGE(""https://docs.google.com/spreadsheets/d/1UdH2L0xi8dO6jyPCcO5e5-8j7SGzezxkeZuF1uP8uOw"",""fighter_param (""&amp;TO_TEXT($A$1)&amp;"")!B4:JZ""), 25, FALSE), """"))"),0.012)</f>
        <v>0.012</v>
      </c>
      <c r="M31" s="3735">
        <f t="shared" si="6"/>
        <v>68</v>
      </c>
      <c r="N31" s="3734">
        <f>IFERROR(__xludf.DUMMYFUNCTION("VALUE(IFERROR(VLOOKUP($Y31, IMPORTRANGE(""https://docs.google.com/spreadsheets/d/1UdH2L0xi8dO6jyPCcO5e5-8j7SGzezxkeZuF1uP8uOw"",""fighter_param (""&amp;TO_TEXT($A$1)&amp;"")!B4:JZ""), 26, FALSE), """"))"),0.08)</f>
        <v>0.08</v>
      </c>
      <c r="O31" s="3735" t="str">
        <f t="shared" si="7"/>
        <v/>
      </c>
      <c r="P31" s="3735" t="s">
        <v>76</v>
      </c>
      <c r="Q31" s="3735">
        <f t="shared" si="8"/>
        <v>77</v>
      </c>
      <c r="R31" s="3734">
        <f>IFERROR(__xludf.DUMMYFUNCTION("VALUE(IFERROR(VLOOKUP($Y31, IMPORTRANGE(""https://docs.google.com/spreadsheets/d/1UdH2L0xi8dO6jyPCcO5e5-8j7SGzezxkeZuF1uP8uOw"",""fighter_param (""&amp;TO_TEXT($A$1)&amp;"")!B4:JZ""), 19, FALSE), """"))"),27.51)</f>
        <v>27.51</v>
      </c>
      <c r="S31" s="3735">
        <f t="shared" si="9"/>
        <v>77</v>
      </c>
      <c r="T31" s="3734">
        <f>IFERROR(__xludf.DUMMYFUNCTION("VALUE(IFERROR(VLOOKUP($Y31, IMPORTRANGE(""https://docs.google.com/spreadsheets/d/1UdH2L0xi8dO6jyPCcO5e5-8j7SGzezxkeZuF1uP8uOw"",""fighter_param (""&amp;TO_TEXT($A$1)&amp;"")!B4:JZ""), 20, FALSE), """"))"),13.26)</f>
        <v>13.26</v>
      </c>
      <c r="U31" s="3735">
        <f t="shared" si="10"/>
        <v>79</v>
      </c>
      <c r="V31" s="3734">
        <f>IFERROR(__xludf.DUMMYFUNCTION("VALUE(IFERROR(VLOOKUP($Y31, IMPORTRANGE(""https://docs.google.com/spreadsheets/d/1UdH2L0xi8dO6jyPCcO5e5-8j7SGzezxkeZuF1uP8uOw"",""fighter_param (""&amp;TO_TEXT($A$1)&amp;"")!B4:JZ""), 21, FALSE), """"))"),27.51)</f>
        <v>27.51</v>
      </c>
      <c r="W31" s="3708">
        <f>Fighters!S31</f>
        <v>30</v>
      </c>
      <c r="X31" s="3709">
        <f>Fighters!T31</f>
        <v>26</v>
      </c>
      <c r="Y31" s="3710" t="str">
        <f>Fighters!V31</f>
        <v>gamewatch</v>
      </c>
    </row>
    <row r="32">
      <c r="A32" s="3700">
        <f>Fighters!$A32</f>
        <v>27</v>
      </c>
      <c r="B32" s="3701" t="str">
        <f>Fighters!$B32</f>
        <v>メタナイト</v>
      </c>
      <c r="C32" s="3735">
        <f t="shared" si="1"/>
        <v>11</v>
      </c>
      <c r="D32" s="3734">
        <f>IFERROR(__xludf.DUMMYFUNCTION("VALUE(IFERROR(VLOOKUP($Y32, IMPORTRANGE(""https://docs.google.com/spreadsheets/d/1UdH2L0xi8dO6jyPCcO5e5-8j7SGzezxkeZuF1uP8uOw"",""fighter_param (""&amp;TO_TEXT($A$1)&amp;"")!B4:JZ""), 9, FALSE), """"))"),2.211)</f>
        <v>2.211</v>
      </c>
      <c r="E32" s="3735">
        <f t="shared" si="2"/>
        <v>48</v>
      </c>
      <c r="F32" s="3735">
        <f>IFERROR(__xludf.DUMMYFUNCTION("VALUE(IFERROR(VLOOKUP($Y32, IMPORTRANGE(""https://docs.google.com/spreadsheets/d/1UdH2L0xi8dO6jyPCcO5e5-8j7SGzezxkeZuF1uP8uOw"",""fighter_param (""&amp;TO_TEXT($A$1)&amp;"")!B4:JZ""), 10, FALSE), """")) + VALUE(IFERROR(VLOOKUP($Y32, IMPORTRANGE(""https://docs.goo"&amp;"gle.com/spreadsheets/d/1UdH2L0xi8dO6jyPCcO5e5-8j7SGzezxkeZuF1uP8uOw"",""fighter_param (""&amp;TO_TEXT($A$1)&amp;"")!B4:JZ""), 11, FALSE), """"))"),0.14828)</f>
        <v>0.14828</v>
      </c>
      <c r="G32" s="3735">
        <f t="shared" si="3"/>
        <v>64</v>
      </c>
      <c r="H32" s="3734">
        <f>IFERROR(__xludf.DUMMYFUNCTION("VALUE(IFERROR(VLOOKUP($Y32, IMPORTRANGE(""https://docs.google.com/spreadsheets/d/1UdH2L0xi8dO6jyPCcO5e5-8j7SGzezxkeZuF1uP8uOw"",""fighter_param (""&amp;TO_TEXT($A$1)&amp;"")!B4:JZ""), 8, FALSE), """"))"),0.097)</f>
        <v>0.097</v>
      </c>
      <c r="I32" s="3735">
        <f t="shared" si="4"/>
        <v>43</v>
      </c>
      <c r="J32" s="3735">
        <f>IFERROR(__xludf.DUMMYFUNCTION("VALUE(IFERROR(VLOOKUP($Y32, IMPORTRANGE(""https://docs.google.com/spreadsheets/d/1UdH2L0xi8dO6jyPCcO5e5-8j7SGzezxkeZuF1uP8uOw"",""fighter_param (""&amp;TO_TEXT($A$1)&amp;"")!B4:JZ""), 22, FALSE), """")) + VALUE(IFERROR(VLOOKUP($Y32, IMPORTRANGE(""https://docs.goo"&amp;"gle.com/spreadsheets/d/1UdH2L0xi8dO6jyPCcO5e5-8j7SGzezxkeZuF1uP8uOw"",""fighter_param (""&amp;TO_TEXT($A$1)&amp;"")!B4:JZ""), 23, FALSE), """"))"),0.075)</f>
        <v>0.075</v>
      </c>
      <c r="K32" s="3735">
        <f t="shared" si="5"/>
        <v>33</v>
      </c>
      <c r="L32" s="3734">
        <f>IFERROR(__xludf.DUMMYFUNCTION("VALUE(IFERROR(VLOOKUP($Y32, IMPORTRANGE(""https://docs.google.com/spreadsheets/d/1UdH2L0xi8dO6jyPCcO5e5-8j7SGzezxkeZuF1uP8uOw"",""fighter_param (""&amp;TO_TEXT($A$1)&amp;"")!B4:JZ""), 25, FALSE), """"))"),0.012)</f>
        <v>0.012</v>
      </c>
      <c r="M32" s="3735">
        <f t="shared" si="6"/>
        <v>23</v>
      </c>
      <c r="N32" s="3734">
        <f>IFERROR(__xludf.DUMMYFUNCTION("VALUE(IFERROR(VLOOKUP($Y32, IMPORTRANGE(""https://docs.google.com/spreadsheets/d/1UdH2L0xi8dO6jyPCcO5e5-8j7SGzezxkeZuF1uP8uOw"",""fighter_param (""&amp;TO_TEXT($A$1)&amp;"")!B4:JZ""), 26, FALSE), """"))"),0.11)</f>
        <v>0.11</v>
      </c>
      <c r="O32" s="3735" t="str">
        <f t="shared" si="7"/>
        <v/>
      </c>
      <c r="P32" s="3735" t="s">
        <v>76</v>
      </c>
      <c r="Q32" s="3735">
        <f t="shared" si="8"/>
        <v>51</v>
      </c>
      <c r="R32" s="3734">
        <f>IFERROR(__xludf.DUMMYFUNCTION("VALUE(IFERROR(VLOOKUP($Y32, IMPORTRANGE(""https://docs.google.com/spreadsheets/d/1UdH2L0xi8dO6jyPCcO5e5-8j7SGzezxkeZuF1uP8uOw"",""fighter_param (""&amp;TO_TEXT($A$1)&amp;"")!B4:JZ""), 19, FALSE), """"))"),32.0)</f>
        <v>32</v>
      </c>
      <c r="S32" s="3735">
        <f t="shared" si="9"/>
        <v>73</v>
      </c>
      <c r="T32" s="3734">
        <f>IFERROR(__xludf.DUMMYFUNCTION("VALUE(IFERROR(VLOOKUP($Y32, IMPORTRANGE(""https://docs.google.com/spreadsheets/d/1UdH2L0xi8dO6jyPCcO5e5-8j7SGzezxkeZuF1uP8uOw"",""fighter_param (""&amp;TO_TEXT($A$1)&amp;"")!B4:JZ""), 20, FALSE), """"))"),13.92)</f>
        <v>13.92</v>
      </c>
      <c r="U32" s="3735">
        <f t="shared" si="10"/>
        <v>88</v>
      </c>
      <c r="V32" s="3736">
        <v>20.91</v>
      </c>
      <c r="W32" s="3708">
        <f>Fighters!S32</f>
        <v>31</v>
      </c>
      <c r="X32" s="3709">
        <f>Fighters!T32</f>
        <v>27</v>
      </c>
      <c r="Y32" s="3710" t="str">
        <f>Fighters!V32</f>
        <v>metaknight</v>
      </c>
    </row>
    <row r="33">
      <c r="A33" s="3700">
        <f>Fighters!$A33</f>
        <v>28</v>
      </c>
      <c r="B33" s="3701" t="str">
        <f>Fighters!$B33</f>
        <v>ピット</v>
      </c>
      <c r="C33" s="3735">
        <f t="shared" si="1"/>
        <v>18</v>
      </c>
      <c r="D33" s="3734">
        <f>IFERROR(__xludf.DUMMYFUNCTION("VALUE(IFERROR(VLOOKUP($Y33, IMPORTRANGE(""https://docs.google.com/spreadsheets/d/1UdH2L0xi8dO6jyPCcO5e5-8j7SGzezxkeZuF1uP8uOw"",""fighter_param (""&amp;TO_TEXT($A$1)&amp;"")!B4:JZ""), 9, FALSE), """"))"),2.09)</f>
        <v>2.09</v>
      </c>
      <c r="E33" s="3735">
        <f t="shared" si="2"/>
        <v>19</v>
      </c>
      <c r="F33" s="3735">
        <f>IFERROR(__xludf.DUMMYFUNCTION("VALUE(IFERROR(VLOOKUP($Y33, IMPORTRANGE(""https://docs.google.com/spreadsheets/d/1UdH2L0xi8dO6jyPCcO5e5-8j7SGzezxkeZuF1uP8uOw"",""fighter_param (""&amp;TO_TEXT($A$1)&amp;"")!B4:JZ""), 10, FALSE), """")) + VALUE(IFERROR(VLOOKUP($Y33, IMPORTRANGE(""https://docs.goo"&amp;"gle.com/spreadsheets/d/1UdH2L0xi8dO6jyPCcO5e5-8j7SGzezxkeZuF1uP8uOw"",""fighter_param (""&amp;TO_TEXT($A$1)&amp;"")!B4:JZ""), 11, FALSE), """"))"),0.16874)</f>
        <v>0.16874</v>
      </c>
      <c r="G33" s="3735">
        <f t="shared" si="3"/>
        <v>2</v>
      </c>
      <c r="H33" s="3734">
        <f>IFERROR(__xludf.DUMMYFUNCTION("VALUE(IFERROR(VLOOKUP($Y33, IMPORTRANGE(""https://docs.google.com/spreadsheets/d/1UdH2L0xi8dO6jyPCcO5e5-8j7SGzezxkeZuF1uP8uOw"",""fighter_param (""&amp;TO_TEXT($A$1)&amp;"")!B4:JZ""), 8, FALSE), """"))"),0.135)</f>
        <v>0.135</v>
      </c>
      <c r="I33" s="3735">
        <f t="shared" si="4"/>
        <v>43</v>
      </c>
      <c r="J33" s="3735">
        <f>IFERROR(__xludf.DUMMYFUNCTION("VALUE(IFERROR(VLOOKUP($Y33, IMPORTRANGE(""https://docs.google.com/spreadsheets/d/1UdH2L0xi8dO6jyPCcO5e5-8j7SGzezxkeZuF1uP8uOw"",""fighter_param (""&amp;TO_TEXT($A$1)&amp;"")!B4:JZ""), 22, FALSE), """")) + VALUE(IFERROR(VLOOKUP($Y33, IMPORTRANGE(""https://docs.goo"&amp;"gle.com/spreadsheets/d/1UdH2L0xi8dO6jyPCcO5e5-8j7SGzezxkeZuF1uP8uOw"",""fighter_param (""&amp;TO_TEXT($A$1)&amp;"")!B4:JZ""), 23, FALSE), """"))"),0.075)</f>
        <v>0.075</v>
      </c>
      <c r="K33" s="3735">
        <f t="shared" si="5"/>
        <v>57</v>
      </c>
      <c r="L33" s="3734">
        <f>IFERROR(__xludf.DUMMYFUNCTION("VALUE(IFERROR(VLOOKUP($Y33, IMPORTRANGE(""https://docs.google.com/spreadsheets/d/1UdH2L0xi8dO6jyPCcO5e5-8j7SGzezxkeZuF1uP8uOw"",""fighter_param (""&amp;TO_TEXT($A$1)&amp;"")!B4:JZ""), 25, FALSE), """"))"),0.008)</f>
        <v>0.008</v>
      </c>
      <c r="M33" s="3735">
        <f t="shared" si="6"/>
        <v>65</v>
      </c>
      <c r="N33" s="3734">
        <f>IFERROR(__xludf.DUMMYFUNCTION("VALUE(IFERROR(VLOOKUP($Y33, IMPORTRANGE(""https://docs.google.com/spreadsheets/d/1UdH2L0xi8dO6jyPCcO5e5-8j7SGzezxkeZuF1uP8uOw"",""fighter_param (""&amp;TO_TEXT($A$1)&amp;"")!B4:JZ""), 26, FALSE), """"))"),0.081)</f>
        <v>0.081</v>
      </c>
      <c r="O33" s="3735" t="str">
        <f t="shared" si="7"/>
        <v/>
      </c>
      <c r="P33" s="3735" t="s">
        <v>76</v>
      </c>
      <c r="Q33" s="3735">
        <f t="shared" si="8"/>
        <v>56</v>
      </c>
      <c r="R33" s="3734">
        <f>IFERROR(__xludf.DUMMYFUNCTION("VALUE(IFERROR(VLOOKUP($Y33, IMPORTRANGE(""https://docs.google.com/spreadsheets/d/1UdH2L0xi8dO6jyPCcO5e5-8j7SGzezxkeZuF1uP8uOw"",""fighter_param (""&amp;TO_TEXT($A$1)&amp;"")!B4:JZ""), 19, FALSE), """"))"),31.0)</f>
        <v>31</v>
      </c>
      <c r="S33" s="3735">
        <f t="shared" si="9"/>
        <v>62</v>
      </c>
      <c r="T33" s="3734">
        <f>IFERROR(__xludf.DUMMYFUNCTION("VALUE(IFERROR(VLOOKUP($Y33, IMPORTRANGE(""https://docs.google.com/spreadsheets/d/1UdH2L0xi8dO6jyPCcO5e5-8j7SGzezxkeZuF1uP8uOw"",""fighter_param (""&amp;TO_TEXT($A$1)&amp;"")!B4:JZ""), 20, FALSE), """"))"),14.96)</f>
        <v>14.96</v>
      </c>
      <c r="U33" s="3735">
        <f t="shared" si="10"/>
        <v>84</v>
      </c>
      <c r="V33" s="3736">
        <v>23.7</v>
      </c>
      <c r="W33" s="3708">
        <f>Fighters!S33</f>
        <v>32</v>
      </c>
      <c r="X33" s="3709">
        <f>Fighters!T33</f>
        <v>28</v>
      </c>
      <c r="Y33" s="3710" t="str">
        <f>Fighters!V33</f>
        <v>pit</v>
      </c>
    </row>
    <row r="34">
      <c r="A34" s="3700" t="str">
        <f>Fighters!$A34</f>
        <v>28'</v>
      </c>
      <c r="B34" s="3701" t="str">
        <f>Fighters!$B34</f>
        <v>ブラックピット</v>
      </c>
      <c r="C34" s="3735">
        <f t="shared" si="1"/>
        <v>18</v>
      </c>
      <c r="D34" s="3734">
        <f>IFERROR(__xludf.DUMMYFUNCTION("VALUE(IFERROR(VLOOKUP($Y34, IMPORTRANGE(""https://docs.google.com/spreadsheets/d/1UdH2L0xi8dO6jyPCcO5e5-8j7SGzezxkeZuF1uP8uOw"",""fighter_param (""&amp;TO_TEXT($A$1)&amp;"")!B4:JZ""), 9, FALSE), """"))"),2.09)</f>
        <v>2.09</v>
      </c>
      <c r="E34" s="3735">
        <f t="shared" si="2"/>
        <v>19</v>
      </c>
      <c r="F34" s="3735">
        <f>IFERROR(__xludf.DUMMYFUNCTION("VALUE(IFERROR(VLOOKUP($Y34, IMPORTRANGE(""https://docs.google.com/spreadsheets/d/1UdH2L0xi8dO6jyPCcO5e5-8j7SGzezxkeZuF1uP8uOw"",""fighter_param (""&amp;TO_TEXT($A$1)&amp;"")!B4:JZ""), 10, FALSE), """")) + VALUE(IFERROR(VLOOKUP($Y34, IMPORTRANGE(""https://docs.goo"&amp;"gle.com/spreadsheets/d/1UdH2L0xi8dO6jyPCcO5e5-8j7SGzezxkeZuF1uP8uOw"",""fighter_param (""&amp;TO_TEXT($A$1)&amp;"")!B4:JZ""), 11, FALSE), """"))"),0.16874)</f>
        <v>0.16874</v>
      </c>
      <c r="G34" s="3735">
        <f t="shared" si="3"/>
        <v>2</v>
      </c>
      <c r="H34" s="3734">
        <f>IFERROR(__xludf.DUMMYFUNCTION("VALUE(IFERROR(VLOOKUP($Y34, IMPORTRANGE(""https://docs.google.com/spreadsheets/d/1UdH2L0xi8dO6jyPCcO5e5-8j7SGzezxkeZuF1uP8uOw"",""fighter_param (""&amp;TO_TEXT($A$1)&amp;"")!B4:JZ""), 8, FALSE), """"))"),0.135)</f>
        <v>0.135</v>
      </c>
      <c r="I34" s="3735">
        <f t="shared" si="4"/>
        <v>43</v>
      </c>
      <c r="J34" s="3735">
        <f>IFERROR(__xludf.DUMMYFUNCTION("VALUE(IFERROR(VLOOKUP($Y34, IMPORTRANGE(""https://docs.google.com/spreadsheets/d/1UdH2L0xi8dO6jyPCcO5e5-8j7SGzezxkeZuF1uP8uOw"",""fighter_param (""&amp;TO_TEXT($A$1)&amp;"")!B4:JZ""), 22, FALSE), """")) + VALUE(IFERROR(VLOOKUP($Y34, IMPORTRANGE(""https://docs.goo"&amp;"gle.com/spreadsheets/d/1UdH2L0xi8dO6jyPCcO5e5-8j7SGzezxkeZuF1uP8uOw"",""fighter_param (""&amp;TO_TEXT($A$1)&amp;"")!B4:JZ""), 23, FALSE), """"))"),0.075)</f>
        <v>0.075</v>
      </c>
      <c r="K34" s="3735">
        <f t="shared" si="5"/>
        <v>57</v>
      </c>
      <c r="L34" s="3734">
        <f>IFERROR(__xludf.DUMMYFUNCTION("VALUE(IFERROR(VLOOKUP($Y34, IMPORTRANGE(""https://docs.google.com/spreadsheets/d/1UdH2L0xi8dO6jyPCcO5e5-8j7SGzezxkeZuF1uP8uOw"",""fighter_param (""&amp;TO_TEXT($A$1)&amp;"")!B4:JZ""), 25, FALSE), """"))"),0.008)</f>
        <v>0.008</v>
      </c>
      <c r="M34" s="3735">
        <f t="shared" si="6"/>
        <v>65</v>
      </c>
      <c r="N34" s="3734">
        <f>IFERROR(__xludf.DUMMYFUNCTION("VALUE(IFERROR(VLOOKUP($Y34, IMPORTRANGE(""https://docs.google.com/spreadsheets/d/1UdH2L0xi8dO6jyPCcO5e5-8j7SGzezxkeZuF1uP8uOw"",""fighter_param (""&amp;TO_TEXT($A$1)&amp;"")!B4:JZ""), 26, FALSE), """"))"),0.081)</f>
        <v>0.081</v>
      </c>
      <c r="O34" s="3735" t="str">
        <f t="shared" si="7"/>
        <v/>
      </c>
      <c r="P34" s="3735" t="s">
        <v>76</v>
      </c>
      <c r="Q34" s="3735">
        <f t="shared" si="8"/>
        <v>56</v>
      </c>
      <c r="R34" s="3734">
        <f>IFERROR(__xludf.DUMMYFUNCTION("VALUE(IFERROR(VLOOKUP($Y34, IMPORTRANGE(""https://docs.google.com/spreadsheets/d/1UdH2L0xi8dO6jyPCcO5e5-8j7SGzezxkeZuF1uP8uOw"",""fighter_param (""&amp;TO_TEXT($A$1)&amp;"")!B4:JZ""), 19, FALSE), """"))"),31.0)</f>
        <v>31</v>
      </c>
      <c r="S34" s="3735">
        <f t="shared" si="9"/>
        <v>62</v>
      </c>
      <c r="T34" s="3734">
        <f>IFERROR(__xludf.DUMMYFUNCTION("VALUE(IFERROR(VLOOKUP($Y34, IMPORTRANGE(""https://docs.google.com/spreadsheets/d/1UdH2L0xi8dO6jyPCcO5e5-8j7SGzezxkeZuF1uP8uOw"",""fighter_param (""&amp;TO_TEXT($A$1)&amp;"")!B4:JZ""), 20, FALSE), """"))"),14.96)</f>
        <v>14.96</v>
      </c>
      <c r="U34" s="3735">
        <f t="shared" si="10"/>
        <v>84</v>
      </c>
      <c r="V34" s="3736">
        <v>23.7</v>
      </c>
      <c r="W34" s="3708">
        <f>Fighters!S34</f>
        <v>33</v>
      </c>
      <c r="X34" s="3709">
        <f>Fighters!T34</f>
        <v>76</v>
      </c>
      <c r="Y34" s="3710" t="str">
        <f>Fighters!V34</f>
        <v>pitb</v>
      </c>
    </row>
    <row r="35">
      <c r="A35" s="3700">
        <f>Fighters!$A35</f>
        <v>29</v>
      </c>
      <c r="B35" s="3701" t="str">
        <f>Fighters!$B35</f>
        <v>ゼロスーツサムス</v>
      </c>
      <c r="C35" s="3735">
        <f t="shared" si="1"/>
        <v>2</v>
      </c>
      <c r="D35" s="3734">
        <f>IFERROR(__xludf.DUMMYFUNCTION("VALUE(IFERROR(VLOOKUP($Y35, IMPORTRANGE(""https://docs.google.com/spreadsheets/d/1UdH2L0xi8dO6jyPCcO5e5-8j7SGzezxkeZuF1uP8uOw"",""fighter_param (""&amp;TO_TEXT($A$1)&amp;"")!B4:JZ""), 9, FALSE), """"))"),2.42)</f>
        <v>2.42</v>
      </c>
      <c r="E35" s="3735">
        <f t="shared" si="2"/>
        <v>49</v>
      </c>
      <c r="F35" s="3735">
        <f>IFERROR(__xludf.DUMMYFUNCTION("VALUE(IFERROR(VLOOKUP($Y35, IMPORTRANGE(""https://docs.google.com/spreadsheets/d/1UdH2L0xi8dO6jyPCcO5e5-8j7SGzezxkeZuF1uP8uOw"",""fighter_param (""&amp;TO_TEXT($A$1)&amp;"")!B4:JZ""), 10, FALSE), """")) + VALUE(IFERROR(VLOOKUP($Y35, IMPORTRANGE(""https://docs.goo"&amp;"gle.com/spreadsheets/d/1UdH2L0xi8dO6jyPCcO5e5-8j7SGzezxkeZuF1uP8uOw"",""fighter_param (""&amp;TO_TEXT($A$1)&amp;"")!B4:JZ""), 11, FALSE), """"))"),0.14762)</f>
        <v>0.14762</v>
      </c>
      <c r="G35" s="3735">
        <f t="shared" si="3"/>
        <v>20</v>
      </c>
      <c r="H35" s="3734">
        <f>IFERROR(__xludf.DUMMYFUNCTION("VALUE(IFERROR(VLOOKUP($Y35, IMPORTRANGE(""https://docs.google.com/spreadsheets/d/1UdH2L0xi8dO6jyPCcO5e5-8j7SGzezxkeZuF1uP8uOw"",""fighter_param (""&amp;TO_TEXT($A$1)&amp;"")!B4:JZ""), 8, FALSE), """"))"),0.116)</f>
        <v>0.116</v>
      </c>
      <c r="I35" s="3735">
        <f t="shared" si="4"/>
        <v>16</v>
      </c>
      <c r="J35" s="3735">
        <f>IFERROR(__xludf.DUMMYFUNCTION("VALUE(IFERROR(VLOOKUP($Y35, IMPORTRANGE(""https://docs.google.com/spreadsheets/d/1UdH2L0xi8dO6jyPCcO5e5-8j7SGzezxkeZuF1uP8uOw"",""fighter_param (""&amp;TO_TEXT($A$1)&amp;"")!B4:JZ""), 22, FALSE), """")) + VALUE(IFERROR(VLOOKUP($Y35, IMPORTRANGE(""https://docs.goo"&amp;"gle.com/spreadsheets/d/1UdH2L0xi8dO6jyPCcO5e5-8j7SGzezxkeZuF1uP8uOw"",""fighter_param (""&amp;TO_TEXT($A$1)&amp;"")!B4:JZ""), 23, FALSE), """"))"),0.095)</f>
        <v>0.095</v>
      </c>
      <c r="K35" s="3735">
        <f t="shared" si="5"/>
        <v>57</v>
      </c>
      <c r="L35" s="3734">
        <f>IFERROR(__xludf.DUMMYFUNCTION("VALUE(IFERROR(VLOOKUP($Y35, IMPORTRANGE(""https://docs.google.com/spreadsheets/d/1UdH2L0xi8dO6jyPCcO5e5-8j7SGzezxkeZuF1uP8uOw"",""fighter_param (""&amp;TO_TEXT($A$1)&amp;"")!B4:JZ""), 25, FALSE), """"))"),0.008)</f>
        <v>0.008</v>
      </c>
      <c r="M35" s="3735">
        <f t="shared" si="6"/>
        <v>15</v>
      </c>
      <c r="N35" s="3734">
        <f>IFERROR(__xludf.DUMMYFUNCTION("VALUE(IFERROR(VLOOKUP($Y35, IMPORTRANGE(""https://docs.google.com/spreadsheets/d/1UdH2L0xi8dO6jyPCcO5e5-8j7SGzezxkeZuF1uP8uOw"",""fighter_param (""&amp;TO_TEXT($A$1)&amp;"")!B4:JZ""), 26, FALSE), """"))"),0.12)</f>
        <v>0.12</v>
      </c>
      <c r="O35" s="3735" t="str">
        <f t="shared" si="7"/>
        <v/>
      </c>
      <c r="P35" s="3735" t="s">
        <v>76</v>
      </c>
      <c r="Q35" s="3735">
        <f t="shared" si="8"/>
        <v>3</v>
      </c>
      <c r="R35" s="3734">
        <f>IFERROR(__xludf.DUMMYFUNCTION("VALUE(IFERROR(VLOOKUP($Y35, IMPORTRANGE(""https://docs.google.com/spreadsheets/d/1UdH2L0xi8dO6jyPCcO5e5-8j7SGzezxkeZuF1uP8uOw"",""fighter_param (""&amp;TO_TEXT($A$1)&amp;"")!B4:JZ""), 19, FALSE), """"))"),44.5)</f>
        <v>44.5</v>
      </c>
      <c r="S35" s="3735">
        <f t="shared" si="9"/>
        <v>2</v>
      </c>
      <c r="T35" s="3734">
        <f>IFERROR(__xludf.DUMMYFUNCTION("VALUE(IFERROR(VLOOKUP($Y35, IMPORTRANGE(""https://docs.google.com/spreadsheets/d/1UdH2L0xi8dO6jyPCcO5e5-8j7SGzezxkeZuF1uP8uOw"",""fighter_param (""&amp;TO_TEXT($A$1)&amp;"")!B4:JZ""), 20, FALSE), """"))"),21.35)</f>
        <v>21.35</v>
      </c>
      <c r="U35" s="3735">
        <f t="shared" si="10"/>
        <v>7</v>
      </c>
      <c r="V35" s="3734">
        <f>IFERROR(__xludf.DUMMYFUNCTION("VALUE(IFERROR(VLOOKUP($Y35, IMPORTRANGE(""https://docs.google.com/spreadsheets/d/1UdH2L0xi8dO6jyPCcO5e5-8j7SGzezxkeZuF1uP8uOw"",""fighter_param (""&amp;TO_TEXT($A$1)&amp;"")!B4:JZ""), 21, FALSE), """"))"),44.2)</f>
        <v>44.2</v>
      </c>
      <c r="W35" s="3708">
        <f>Fighters!S35</f>
        <v>34</v>
      </c>
      <c r="X35" s="3709">
        <f>Fighters!T35</f>
        <v>29</v>
      </c>
      <c r="Y35" s="3710" t="str">
        <f>Fighters!V35</f>
        <v>szerosuit</v>
      </c>
    </row>
    <row r="36">
      <c r="A36" s="3700">
        <f>Fighters!$A36</f>
        <v>30</v>
      </c>
      <c r="B36" s="3701" t="str">
        <f>Fighters!$B36</f>
        <v>ワリオ</v>
      </c>
      <c r="C36" s="3735">
        <f t="shared" si="1"/>
        <v>57</v>
      </c>
      <c r="D36" s="3734">
        <f>IFERROR(__xludf.DUMMYFUNCTION("VALUE(IFERROR(VLOOKUP($Y36, IMPORTRANGE(""https://docs.google.com/spreadsheets/d/1UdH2L0xi8dO6jyPCcO5e5-8j7SGzezxkeZuF1uP8uOw"",""fighter_param (""&amp;TO_TEXT($A$1)&amp;"")!B4:JZ""), 9, FALSE), """"))"),1.837)</f>
        <v>1.837</v>
      </c>
      <c r="E36" s="3735">
        <f t="shared" si="2"/>
        <v>46</v>
      </c>
      <c r="F36" s="3735">
        <f>IFERROR(__xludf.DUMMYFUNCTION("VALUE(IFERROR(VLOOKUP($Y36, IMPORTRANGE(""https://docs.google.com/spreadsheets/d/1UdH2L0xi8dO6jyPCcO5e5-8j7SGzezxkeZuF1uP8uOw"",""fighter_param (""&amp;TO_TEXT($A$1)&amp;"")!B4:JZ""), 10, FALSE), """")) + VALUE(IFERROR(VLOOKUP($Y36, IMPORTRANGE(""https://docs.goo"&amp;"gle.com/spreadsheets/d/1UdH2L0xi8dO6jyPCcO5e5-8j7SGzezxkeZuF1uP8uOw"",""fighter_param (""&amp;TO_TEXT($A$1)&amp;"")!B4:JZ""), 11, FALSE), """"))"),0.14894000000000002)</f>
        <v>0.14894</v>
      </c>
      <c r="G36" s="3735">
        <f t="shared" si="3"/>
        <v>50</v>
      </c>
      <c r="H36" s="3734">
        <f>IFERROR(__xludf.DUMMYFUNCTION("VALUE(IFERROR(VLOOKUP($Y36, IMPORTRANGE(""https://docs.google.com/spreadsheets/d/1UdH2L0xi8dO6jyPCcO5e5-8j7SGzezxkeZuF1uP8uOw"",""fighter_param (""&amp;TO_TEXT($A$1)&amp;"")!B4:JZ""), 8, FALSE), """"))"),0.106)</f>
        <v>0.106</v>
      </c>
      <c r="I36" s="3735">
        <f t="shared" si="4"/>
        <v>2</v>
      </c>
      <c r="J36" s="3735">
        <f>IFERROR(__xludf.DUMMYFUNCTION("VALUE(IFERROR(VLOOKUP($Y36, IMPORTRANGE(""https://docs.google.com/spreadsheets/d/1UdH2L0xi8dO6jyPCcO5e5-8j7SGzezxkeZuF1uP8uOw"",""fighter_param (""&amp;TO_TEXT($A$1)&amp;"")!B4:JZ""), 22, FALSE), """")) + VALUE(IFERROR(VLOOKUP($Y36, IMPORTRANGE(""https://docs.goo"&amp;"gle.com/spreadsheets/d/1UdH2L0xi8dO6jyPCcO5e5-8j7SGzezxkeZuF1uP8uOw"",""fighter_param (""&amp;TO_TEXT($A$1)&amp;"")!B4:JZ""), 23, FALSE), """"))"),0.12)</f>
        <v>0.12</v>
      </c>
      <c r="K36" s="3735">
        <f t="shared" si="5"/>
        <v>2</v>
      </c>
      <c r="L36" s="3734">
        <f>IFERROR(__xludf.DUMMYFUNCTION("VALUE(IFERROR(VLOOKUP($Y36, IMPORTRANGE(""https://docs.google.com/spreadsheets/d/1UdH2L0xi8dO6jyPCcO5e5-8j7SGzezxkeZuF1uP8uOw"",""fighter_param (""&amp;TO_TEXT($A$1)&amp;"")!B4:JZ""), 25, FALSE), """"))"),0.04)</f>
        <v>0.04</v>
      </c>
      <c r="M36" s="3735">
        <f t="shared" si="6"/>
        <v>30</v>
      </c>
      <c r="N36" s="3734">
        <f>IFERROR(__xludf.DUMMYFUNCTION("VALUE(IFERROR(VLOOKUP($Y36, IMPORTRANGE(""https://docs.google.com/spreadsheets/d/1UdH2L0xi8dO6jyPCcO5e5-8j7SGzezxkeZuF1uP8uOw"",""fighter_param (""&amp;TO_TEXT($A$1)&amp;"")!B4:JZ""), 26, FALSE), """"))"),0.107)</f>
        <v>0.107</v>
      </c>
      <c r="O36" s="3735" t="str">
        <f t="shared" si="7"/>
        <v/>
      </c>
      <c r="P36" s="3735" t="s">
        <v>76</v>
      </c>
      <c r="Q36" s="3735">
        <f t="shared" si="8"/>
        <v>64</v>
      </c>
      <c r="R36" s="3734">
        <f>IFERROR(__xludf.DUMMYFUNCTION("VALUE(IFERROR(VLOOKUP($Y36, IMPORTRANGE(""https://docs.google.com/spreadsheets/d/1UdH2L0xi8dO6jyPCcO5e5-8j7SGzezxkeZuF1uP8uOw"",""fighter_param (""&amp;TO_TEXT($A$1)&amp;"")!B4:JZ""), 19, FALSE), """"))"),30.5)</f>
        <v>30.5</v>
      </c>
      <c r="S36" s="3735">
        <f t="shared" si="9"/>
        <v>64</v>
      </c>
      <c r="T36" s="3734">
        <f>IFERROR(__xludf.DUMMYFUNCTION("VALUE(IFERROR(VLOOKUP($Y36, IMPORTRANGE(""https://docs.google.com/spreadsheets/d/1UdH2L0xi8dO6jyPCcO5e5-8j7SGzezxkeZuF1uP8uOw"",""fighter_param (""&amp;TO_TEXT($A$1)&amp;"")!B4:JZ""), 20, FALSE), """"))"),14.7)</f>
        <v>14.7</v>
      </c>
      <c r="U36" s="3735">
        <f t="shared" si="10"/>
        <v>62</v>
      </c>
      <c r="V36" s="3734">
        <f>IFERROR(__xludf.DUMMYFUNCTION("VALUE(IFERROR(VLOOKUP($Y36, IMPORTRANGE(""https://docs.google.com/spreadsheets/d/1UdH2L0xi8dO6jyPCcO5e5-8j7SGzezxkeZuF1uP8uOw"",""fighter_param (""&amp;TO_TEXT($A$1)&amp;"")!B4:JZ""), 21, FALSE), """"))"),30.5)</f>
        <v>30.5</v>
      </c>
      <c r="W36" s="3708">
        <f>Fighters!S36</f>
        <v>35</v>
      </c>
      <c r="X36" s="3709">
        <f>Fighters!T36</f>
        <v>30</v>
      </c>
      <c r="Y36" s="3710" t="str">
        <f>Fighters!V36</f>
        <v>wario</v>
      </c>
    </row>
    <row r="37">
      <c r="A37" s="3700">
        <f>Fighters!$A37</f>
        <v>31</v>
      </c>
      <c r="B37" s="3701" t="str">
        <f>Fighters!$B37</f>
        <v>スネーク</v>
      </c>
      <c r="C37" s="3735">
        <f t="shared" si="1"/>
        <v>72</v>
      </c>
      <c r="D37" s="3734">
        <f>IFERROR(__xludf.DUMMYFUNCTION("VALUE(IFERROR(VLOOKUP($Y37, IMPORTRANGE(""https://docs.google.com/spreadsheets/d/1UdH2L0xi8dO6jyPCcO5e5-8j7SGzezxkeZuF1uP8uOw"",""fighter_param (""&amp;TO_TEXT($A$1)&amp;"")!B4:JZ""), 9, FALSE), """"))"),1.76)</f>
        <v>1.76</v>
      </c>
      <c r="E37" s="3735">
        <f t="shared" si="2"/>
        <v>18</v>
      </c>
      <c r="F37" s="3735">
        <f>IFERROR(__xludf.DUMMYFUNCTION("VALUE(IFERROR(VLOOKUP($Y37, IMPORTRANGE(""https://docs.google.com/spreadsheets/d/1UdH2L0xi8dO6jyPCcO5e5-8j7SGzezxkeZuF1uP8uOw"",""fighter_param (""&amp;TO_TEXT($A$1)&amp;"")!B4:JZ""), 10, FALSE), """")) + VALUE(IFERROR(VLOOKUP($Y37, IMPORTRANGE(""https://docs.goo"&amp;"gle.com/spreadsheets/d/1UdH2L0xi8dO6jyPCcO5e5-8j7SGzezxkeZuF1uP8uOw"",""fighter_param (""&amp;TO_TEXT($A$1)&amp;"")!B4:JZ""), 11, FALSE), """"))"),0.17093999999999998)</f>
        <v>0.17094</v>
      </c>
      <c r="G37" s="3735">
        <f t="shared" si="3"/>
        <v>20</v>
      </c>
      <c r="H37" s="3734">
        <f>IFERROR(__xludf.DUMMYFUNCTION("VALUE(IFERROR(VLOOKUP($Y37, IMPORTRANGE(""https://docs.google.com/spreadsheets/d/1UdH2L0xi8dO6jyPCcO5e5-8j7SGzezxkeZuF1uP8uOw"",""fighter_param (""&amp;TO_TEXT($A$1)&amp;"")!B4:JZ""), 8, FALSE), """"))"),0.116)</f>
        <v>0.116</v>
      </c>
      <c r="I37" s="3735">
        <f t="shared" si="4"/>
        <v>87</v>
      </c>
      <c r="J37" s="3735">
        <f>IFERROR(__xludf.DUMMYFUNCTION("VALUE(IFERROR(VLOOKUP($Y37, IMPORTRANGE(""https://docs.google.com/spreadsheets/d/1UdH2L0xi8dO6jyPCcO5e5-8j7SGzezxkeZuF1uP8uOw"",""fighter_param (""&amp;TO_TEXT($A$1)&amp;"")!B4:JZ""), 22, FALSE), """")) + VALUE(IFERROR(VLOOKUP($Y37, IMPORTRANGE(""https://docs.goo"&amp;"gle.com/spreadsheets/d/1UdH2L0xi8dO6jyPCcO5e5-8j7SGzezxkeZuF1uP8uOw"",""fighter_param (""&amp;TO_TEXT($A$1)&amp;"")!B4:JZ""), 23, FALSE), """"))"),0.03)</f>
        <v>0.03</v>
      </c>
      <c r="K37" s="3735">
        <f t="shared" si="5"/>
        <v>79</v>
      </c>
      <c r="L37" s="3734">
        <f>IFERROR(__xludf.DUMMYFUNCTION("VALUE(IFERROR(VLOOKUP($Y37, IMPORTRANGE(""https://docs.google.com/spreadsheets/d/1UdH2L0xi8dO6jyPCcO5e5-8j7SGzezxkeZuF1uP8uOw"",""fighter_param (""&amp;TO_TEXT($A$1)&amp;"")!B4:JZ""), 25, FALSE), """"))"),0.005)</f>
        <v>0.005</v>
      </c>
      <c r="M37" s="3735">
        <f t="shared" si="6"/>
        <v>68</v>
      </c>
      <c r="N37" s="3734">
        <f>IFERROR(__xludf.DUMMYFUNCTION("VALUE(IFERROR(VLOOKUP($Y37, IMPORTRANGE(""https://docs.google.com/spreadsheets/d/1UdH2L0xi8dO6jyPCcO5e5-8j7SGzezxkeZuF1uP8uOw"",""fighter_param (""&amp;TO_TEXT($A$1)&amp;"")!B4:JZ""), 26, FALSE), """"))"),0.08)</f>
        <v>0.08</v>
      </c>
      <c r="O37" s="3735" t="str">
        <f t="shared" si="7"/>
        <v/>
      </c>
      <c r="P37" s="3735" t="s">
        <v>76</v>
      </c>
      <c r="Q37" s="3735">
        <f t="shared" si="8"/>
        <v>86</v>
      </c>
      <c r="R37" s="3734">
        <f>IFERROR(__xludf.DUMMYFUNCTION("VALUE(IFERROR(VLOOKUP($Y37, IMPORTRANGE(""https://docs.google.com/spreadsheets/d/1UdH2L0xi8dO6jyPCcO5e5-8j7SGzezxkeZuF1uP8uOw"",""fighter_param (""&amp;TO_TEXT($A$1)&amp;"")!B4:JZ""), 19, FALSE), """"))"),21.62)</f>
        <v>21.62</v>
      </c>
      <c r="S37" s="3735">
        <f t="shared" si="9"/>
        <v>74</v>
      </c>
      <c r="T37" s="3734">
        <f>IFERROR(__xludf.DUMMYFUNCTION("VALUE(IFERROR(VLOOKUP($Y37, IMPORTRANGE(""https://docs.google.com/spreadsheets/d/1UdH2L0xi8dO6jyPCcO5e5-8j7SGzezxkeZuF1uP8uOw"",""fighter_param (""&amp;TO_TEXT($A$1)&amp;"")!B4:JZ""), 20, FALSE), """"))"),13.69)</f>
        <v>13.69</v>
      </c>
      <c r="U37" s="3735">
        <f t="shared" si="10"/>
        <v>35</v>
      </c>
      <c r="V37" s="3734">
        <f>IFERROR(__xludf.DUMMYFUNCTION("VALUE(IFERROR(VLOOKUP($Y37, IMPORTRANGE(""https://docs.google.com/spreadsheets/d/1UdH2L0xi8dO6jyPCcO5e5-8j7SGzezxkeZuF1uP8uOw"",""fighter_param (""&amp;TO_TEXT($A$1)&amp;"")!B4:JZ""), 21, FALSE), """"))"),34.07)</f>
        <v>34.07</v>
      </c>
      <c r="W37" s="3708">
        <f>Fighters!S37</f>
        <v>36</v>
      </c>
      <c r="X37" s="3709">
        <f>Fighters!T37</f>
        <v>31</v>
      </c>
      <c r="Y37" s="3710" t="str">
        <f>Fighters!V37</f>
        <v>snake</v>
      </c>
    </row>
    <row r="38">
      <c r="A38" s="3700">
        <f>Fighters!$A38</f>
        <v>32</v>
      </c>
      <c r="B38" s="3701" t="str">
        <f>Fighters!$B38</f>
        <v>アイク</v>
      </c>
      <c r="C38" s="3735">
        <f t="shared" si="1"/>
        <v>62</v>
      </c>
      <c r="D38" s="3734">
        <f>IFERROR(__xludf.DUMMYFUNCTION("VALUE(IFERROR(VLOOKUP($Y38, IMPORTRANGE(""https://docs.google.com/spreadsheets/d/1UdH2L0xi8dO6jyPCcO5e5-8j7SGzezxkeZuF1uP8uOw"",""fighter_param (""&amp;TO_TEXT($A$1)&amp;"")!B4:JZ""), 9, FALSE), """"))"),1.815)</f>
        <v>1.815</v>
      </c>
      <c r="E38" s="3735">
        <f t="shared" si="2"/>
        <v>87</v>
      </c>
      <c r="F38" s="3735">
        <f>IFERROR(__xludf.DUMMYFUNCTION("VALUE(IFERROR(VLOOKUP($Y38, IMPORTRANGE(""https://docs.google.com/spreadsheets/d/1UdH2L0xi8dO6jyPCcO5e5-8j7SGzezxkeZuF1uP8uOw"",""fighter_param (""&amp;TO_TEXT($A$1)&amp;"")!B4:JZ""), 10, FALSE), """")) + VALUE(IFERROR(VLOOKUP($Y38, IMPORTRANGE(""https://docs.goo"&amp;"gle.com/spreadsheets/d/1UdH2L0xi8dO6jyPCcO5e5-8j7SGzezxkeZuF1uP8uOw"",""fighter_param (""&amp;TO_TEXT($A$1)&amp;"")!B4:JZ""), 11, FALSE), """"))"),0.09240000000000001)</f>
        <v>0.0924</v>
      </c>
      <c r="G38" s="3735">
        <f t="shared" si="3"/>
        <v>35</v>
      </c>
      <c r="H38" s="3734">
        <f>IFERROR(__xludf.DUMMYFUNCTION("VALUE(IFERROR(VLOOKUP($Y38, IMPORTRANGE(""https://docs.google.com/spreadsheets/d/1UdH2L0xi8dO6jyPCcO5e5-8j7SGzezxkeZuF1uP8uOw"",""fighter_param (""&amp;TO_TEXT($A$1)&amp;"")!B4:JZ""), 8, FALSE), """"))"),0.112)</f>
        <v>0.112</v>
      </c>
      <c r="I38" s="3735">
        <f t="shared" si="4"/>
        <v>70</v>
      </c>
      <c r="J38" s="3735">
        <f>IFERROR(__xludf.DUMMYFUNCTION("VALUE(IFERROR(VLOOKUP($Y38, IMPORTRANGE(""https://docs.google.com/spreadsheets/d/1UdH2L0xi8dO6jyPCcO5e5-8j7SGzezxkeZuF1uP8uOw"",""fighter_param (""&amp;TO_TEXT($A$1)&amp;"")!B4:JZ""), 22, FALSE), """")) + VALUE(IFERROR(VLOOKUP($Y38, IMPORTRANGE(""https://docs.goo"&amp;"gle.com/spreadsheets/d/1UdH2L0xi8dO6jyPCcO5e5-8j7SGzezxkeZuF1uP8uOw"",""fighter_param (""&amp;TO_TEXT($A$1)&amp;"")!B4:JZ""), 23, FALSE), """"))"),0.05)</f>
        <v>0.05</v>
      </c>
      <c r="K38" s="3735">
        <f t="shared" si="5"/>
        <v>52</v>
      </c>
      <c r="L38" s="3734">
        <f>IFERROR(__xludf.DUMMYFUNCTION("VALUE(IFERROR(VLOOKUP($Y38, IMPORTRANGE(""https://docs.google.com/spreadsheets/d/1UdH2L0xi8dO6jyPCcO5e5-8j7SGzezxkeZuF1uP8uOw"",""fighter_param (""&amp;TO_TEXT($A$1)&amp;"")!B4:JZ""), 25, FALSE), """"))"),0.009)</f>
        <v>0.009</v>
      </c>
      <c r="M38" s="3735">
        <f t="shared" si="6"/>
        <v>42</v>
      </c>
      <c r="N38" s="3734">
        <f>IFERROR(__xludf.DUMMYFUNCTION("VALUE(IFERROR(VLOOKUP($Y38, IMPORTRANGE(""https://docs.google.com/spreadsheets/d/1UdH2L0xi8dO6jyPCcO5e5-8j7SGzezxkeZuF1uP8uOw"",""fighter_param (""&amp;TO_TEXT($A$1)&amp;"")!B4:JZ""), 26, FALSE), """"))"),0.092)</f>
        <v>0.092</v>
      </c>
      <c r="O38" s="3735" t="str">
        <f t="shared" si="7"/>
        <v/>
      </c>
      <c r="P38" s="3735" t="s">
        <v>76</v>
      </c>
      <c r="Q38" s="3735">
        <f t="shared" si="8"/>
        <v>71</v>
      </c>
      <c r="R38" s="3734">
        <f>IFERROR(__xludf.DUMMYFUNCTION("VALUE(IFERROR(VLOOKUP($Y38, IMPORTRANGE(""https://docs.google.com/spreadsheets/d/1UdH2L0xi8dO6jyPCcO5e5-8j7SGzezxkeZuF1uP8uOw"",""fighter_param (""&amp;TO_TEXT($A$1)&amp;"")!B4:JZ""), 19, FALSE), """"))"),29.9)</f>
        <v>29.9</v>
      </c>
      <c r="S38" s="3735">
        <f t="shared" si="9"/>
        <v>45</v>
      </c>
      <c r="T38" s="3734">
        <f>IFERROR(__xludf.DUMMYFUNCTION("VALUE(IFERROR(VLOOKUP($Y38, IMPORTRANGE(""https://docs.google.com/spreadsheets/d/1UdH2L0xi8dO6jyPCcO5e5-8j7SGzezxkeZuF1uP8uOw"",""fighter_param (""&amp;TO_TEXT($A$1)&amp;"")!B4:JZ""), 20, FALSE), """"))"),16.0)</f>
        <v>16</v>
      </c>
      <c r="U38" s="3735">
        <f t="shared" si="10"/>
        <v>58</v>
      </c>
      <c r="V38" s="3734">
        <f>IFERROR(__xludf.DUMMYFUNCTION("VALUE(IFERROR(VLOOKUP($Y38, IMPORTRANGE(""https://docs.google.com/spreadsheets/d/1UdH2L0xi8dO6jyPCcO5e5-8j7SGzezxkeZuF1uP8uOw"",""fighter_param (""&amp;TO_TEXT($A$1)&amp;"")!B4:JZ""), 21, FALSE), """"))"),31.0)</f>
        <v>31</v>
      </c>
      <c r="W38" s="3708">
        <f>Fighters!S38</f>
        <v>37</v>
      </c>
      <c r="X38" s="3709">
        <f>Fighters!T38</f>
        <v>32</v>
      </c>
      <c r="Y38" s="3710" t="str">
        <f>Fighters!V38</f>
        <v>ike</v>
      </c>
    </row>
    <row r="39">
      <c r="A39" s="3700">
        <f>Fighters!$A39</f>
        <v>33</v>
      </c>
      <c r="B39" s="3701" t="str">
        <f>Fighters!$B39</f>
        <v>ゼニガメ</v>
      </c>
      <c r="C39" s="3735">
        <f t="shared" si="1"/>
        <v>38</v>
      </c>
      <c r="D39" s="3734">
        <f>IFERROR(__xludf.DUMMYFUNCTION("VALUE(IFERROR(VLOOKUP($Y39, IMPORTRANGE(""https://docs.google.com/spreadsheets/d/1UdH2L0xi8dO6jyPCcO5e5-8j7SGzezxkeZuF1uP8uOw"",""fighter_param (""&amp;TO_TEXT($A$1)&amp;"")!B4:JZ""), 9, FALSE), """"))"),1.936)</f>
        <v>1.936</v>
      </c>
      <c r="E39" s="3735">
        <f t="shared" si="2"/>
        <v>66</v>
      </c>
      <c r="F39" s="3735">
        <f>IFERROR(__xludf.DUMMYFUNCTION("VALUE(IFERROR(VLOOKUP($Y39, IMPORTRANGE(""https://docs.google.com/spreadsheets/d/1UdH2L0xi8dO6jyPCcO5e5-8j7SGzezxkeZuF1uP8uOw"",""fighter_param (""&amp;TO_TEXT($A$1)&amp;"")!B4:JZ""), 10, FALSE), """")) + VALUE(IFERROR(VLOOKUP($Y39, IMPORTRANGE(""https://docs.goo"&amp;"gle.com/spreadsheets/d/1UdH2L0xi8dO6jyPCcO5e5-8j7SGzezxkeZuF1uP8uOw"",""fighter_param (""&amp;TO_TEXT($A$1)&amp;"")!B4:JZ""), 11, FALSE), """"))"),0.132)</f>
        <v>0.132</v>
      </c>
      <c r="G39" s="3735">
        <f t="shared" si="3"/>
        <v>73</v>
      </c>
      <c r="H39" s="3734">
        <f>IFERROR(__xludf.DUMMYFUNCTION("VALUE(IFERROR(VLOOKUP($Y39, IMPORTRANGE(""https://docs.google.com/spreadsheets/d/1UdH2L0xi8dO6jyPCcO5e5-8j7SGzezxkeZuF1uP8uOw"",""fighter_param (""&amp;TO_TEXT($A$1)&amp;"")!B4:JZ""), 8, FALSE), """"))"),0.088)</f>
        <v>0.088</v>
      </c>
      <c r="I39" s="3735">
        <f t="shared" si="4"/>
        <v>8</v>
      </c>
      <c r="J39" s="3735">
        <f>IFERROR(__xludf.DUMMYFUNCTION("VALUE(IFERROR(VLOOKUP($Y39, IMPORTRANGE(""https://docs.google.com/spreadsheets/d/1UdH2L0xi8dO6jyPCcO5e5-8j7SGzezxkeZuF1uP8uOw"",""fighter_param (""&amp;TO_TEXT($A$1)&amp;"")!B4:JZ""), 22, FALSE), """")) + VALUE(IFERROR(VLOOKUP($Y39, IMPORTRANGE(""https://docs.goo"&amp;"gle.com/spreadsheets/d/1UdH2L0xi8dO6jyPCcO5e5-8j7SGzezxkeZuF1uP8uOw"",""fighter_param (""&amp;TO_TEXT($A$1)&amp;"")!B4:JZ""), 23, FALSE), """"))"),0.105)</f>
        <v>0.105</v>
      </c>
      <c r="K39" s="3735">
        <f t="shared" si="5"/>
        <v>7</v>
      </c>
      <c r="L39" s="3734">
        <f>IFERROR(__xludf.DUMMYFUNCTION("VALUE(IFERROR(VLOOKUP($Y39, IMPORTRANGE(""https://docs.google.com/spreadsheets/d/1UdH2L0xi8dO6jyPCcO5e5-8j7SGzezxkeZuF1uP8uOw"",""fighter_param (""&amp;TO_TEXT($A$1)&amp;"")!B4:JZ""), 25, FALSE), """"))"),0.018)</f>
        <v>0.018</v>
      </c>
      <c r="M39" s="3735">
        <f t="shared" si="6"/>
        <v>10</v>
      </c>
      <c r="N39" s="3734">
        <f>IFERROR(__xludf.DUMMYFUNCTION("VALUE(IFERROR(VLOOKUP($Y39, IMPORTRANGE(""https://docs.google.com/spreadsheets/d/1UdH2L0xi8dO6jyPCcO5e5-8j7SGzezxkeZuF1uP8uOw"",""fighter_param (""&amp;TO_TEXT($A$1)&amp;"")!B4:JZ""), 26, FALSE), """"))"),0.128)</f>
        <v>0.128</v>
      </c>
      <c r="O39" s="3735" t="str">
        <f t="shared" si="7"/>
        <v/>
      </c>
      <c r="P39" s="3735" t="s">
        <v>76</v>
      </c>
      <c r="Q39" s="3735">
        <f t="shared" si="8"/>
        <v>21</v>
      </c>
      <c r="R39" s="3734">
        <f>IFERROR(__xludf.DUMMYFUNCTION("VALUE(IFERROR(VLOOKUP($Y39, IMPORTRANGE(""https://docs.google.com/spreadsheets/d/1UdH2L0xi8dO6jyPCcO5e5-8j7SGzezxkeZuF1uP8uOw"",""fighter_param (""&amp;TO_TEXT($A$1)&amp;"")!B4:JZ""), 19, FALSE), """"))"),35.35)</f>
        <v>35.35</v>
      </c>
      <c r="S39" s="3735">
        <f t="shared" si="9"/>
        <v>27</v>
      </c>
      <c r="T39" s="3734">
        <f>IFERROR(__xludf.DUMMYFUNCTION("VALUE(IFERROR(VLOOKUP($Y39, IMPORTRANGE(""https://docs.google.com/spreadsheets/d/1UdH2L0xi8dO6jyPCcO5e5-8j7SGzezxkeZuF1uP8uOw"",""fighter_param (""&amp;TO_TEXT($A$1)&amp;"")!B4:JZ""), 20, FALSE), """"))"),17.03)</f>
        <v>17.03</v>
      </c>
      <c r="U39" s="3735">
        <f t="shared" si="10"/>
        <v>30</v>
      </c>
      <c r="V39" s="3734">
        <f>IFERROR(__xludf.DUMMYFUNCTION("VALUE(IFERROR(VLOOKUP($Y39, IMPORTRANGE(""https://docs.google.com/spreadsheets/d/1UdH2L0xi8dO6jyPCcO5e5-8j7SGzezxkeZuF1uP8uOw"",""fighter_param (""&amp;TO_TEXT($A$1)&amp;"")!B4:JZ""), 21, FALSE), """"))"),35.35)</f>
        <v>35.35</v>
      </c>
      <c r="W39" s="3708">
        <f>Fighters!S39</f>
        <v>38</v>
      </c>
      <c r="X39" s="3709">
        <f>Fighters!T39</f>
        <v>33</v>
      </c>
      <c r="Y39" s="3710" t="str">
        <f>Fighters!V39</f>
        <v>pzenigame</v>
      </c>
    </row>
    <row r="40">
      <c r="A40" s="3700">
        <f>Fighters!$A40</f>
        <v>34</v>
      </c>
      <c r="B40" s="3701" t="str">
        <f>Fighters!$B40</f>
        <v>フシギソウ</v>
      </c>
      <c r="C40" s="3735">
        <f t="shared" si="1"/>
        <v>45</v>
      </c>
      <c r="D40" s="3734">
        <f>IFERROR(__xludf.DUMMYFUNCTION("VALUE(IFERROR(VLOOKUP($Y40, IMPORTRANGE(""https://docs.google.com/spreadsheets/d/1UdH2L0xi8dO6jyPCcO5e5-8j7SGzezxkeZuF1uP8uOw"",""fighter_param (""&amp;TO_TEXT($A$1)&amp;"")!B4:JZ""), 9, FALSE), """"))"),1.903)</f>
        <v>1.903</v>
      </c>
      <c r="E40" s="3735">
        <f t="shared" si="2"/>
        <v>51</v>
      </c>
      <c r="F40" s="3735">
        <f>IFERROR(__xludf.DUMMYFUNCTION("VALUE(IFERROR(VLOOKUP($Y40, IMPORTRANGE(""https://docs.google.com/spreadsheets/d/1UdH2L0xi8dO6jyPCcO5e5-8j7SGzezxkeZuF1uP8uOw"",""fighter_param (""&amp;TO_TEXT($A$1)&amp;"")!B4:JZ""), 10, FALSE), """")) + VALUE(IFERROR(VLOOKUP($Y40, IMPORTRANGE(""https://docs.goo"&amp;"gle.com/spreadsheets/d/1UdH2L0xi8dO6jyPCcO5e5-8j7SGzezxkeZuF1uP8uOw"",""fighter_param (""&amp;TO_TEXT($A$1)&amp;"")!B4:JZ""), 11, FALSE), """"))"),0.14300000000000002)</f>
        <v>0.143</v>
      </c>
      <c r="G40" s="3735">
        <f t="shared" si="3"/>
        <v>17</v>
      </c>
      <c r="H40" s="3734">
        <f>IFERROR(__xludf.DUMMYFUNCTION("VALUE(IFERROR(VLOOKUP($Y40, IMPORTRANGE(""https://docs.google.com/spreadsheets/d/1UdH2L0xi8dO6jyPCcO5e5-8j7SGzezxkeZuF1uP8uOw"",""fighter_param (""&amp;TO_TEXT($A$1)&amp;"")!B4:JZ""), 8, FALSE), """"))"),0.121)</f>
        <v>0.121</v>
      </c>
      <c r="I40" s="3735">
        <f t="shared" si="4"/>
        <v>16</v>
      </c>
      <c r="J40" s="3735">
        <f>IFERROR(__xludf.DUMMYFUNCTION("VALUE(IFERROR(VLOOKUP($Y40, IMPORTRANGE(""https://docs.google.com/spreadsheets/d/1UdH2L0xi8dO6jyPCcO5e5-8j7SGzezxkeZuF1uP8uOw"",""fighter_param (""&amp;TO_TEXT($A$1)&amp;"")!B4:JZ""), 22, FALSE), """")) + VALUE(IFERROR(VLOOKUP($Y40, IMPORTRANGE(""https://docs.goo"&amp;"gle.com/spreadsheets/d/1UdH2L0xi8dO6jyPCcO5e5-8j7SGzezxkeZuF1uP8uOw"",""fighter_param (""&amp;TO_TEXT($A$1)&amp;"")!B4:JZ""), 23, FALSE), """"))"),0.095)</f>
        <v>0.095</v>
      </c>
      <c r="K40" s="3735">
        <f t="shared" si="5"/>
        <v>30</v>
      </c>
      <c r="L40" s="3734">
        <f>IFERROR(__xludf.DUMMYFUNCTION("VALUE(IFERROR(VLOOKUP($Y40, IMPORTRANGE(""https://docs.google.com/spreadsheets/d/1UdH2L0xi8dO6jyPCcO5e5-8j7SGzezxkeZuF1uP8uOw"",""fighter_param (""&amp;TO_TEXT($A$1)&amp;"")!B4:JZ""), 25, FALSE), """"))"),0.014)</f>
        <v>0.014</v>
      </c>
      <c r="M40" s="3735">
        <f t="shared" si="6"/>
        <v>62</v>
      </c>
      <c r="N40" s="3734">
        <f>IFERROR(__xludf.DUMMYFUNCTION("VALUE(IFERROR(VLOOKUP($Y40, IMPORTRANGE(""https://docs.google.com/spreadsheets/d/1UdH2L0xi8dO6jyPCcO5e5-8j7SGzezxkeZuF1uP8uOw"",""fighter_param (""&amp;TO_TEXT($A$1)&amp;"")!B4:JZ""), 26, FALSE), """"))"),0.082)</f>
        <v>0.082</v>
      </c>
      <c r="O40" s="3735" t="str">
        <f t="shared" si="7"/>
        <v/>
      </c>
      <c r="P40" s="3735" t="s">
        <v>76</v>
      </c>
      <c r="Q40" s="3735">
        <f t="shared" si="8"/>
        <v>49</v>
      </c>
      <c r="R40" s="3734">
        <f>IFERROR(__xludf.DUMMYFUNCTION("VALUE(IFERROR(VLOOKUP($Y40, IMPORTRANGE(""https://docs.google.com/spreadsheets/d/1UdH2L0xi8dO6jyPCcO5e5-8j7SGzezxkeZuF1uP8uOw"",""fighter_param (""&amp;TO_TEXT($A$1)&amp;"")!B4:JZ""), 19, FALSE), """"))"),32.25)</f>
        <v>32.25</v>
      </c>
      <c r="S40" s="3735">
        <f t="shared" si="9"/>
        <v>52</v>
      </c>
      <c r="T40" s="3734">
        <f>IFERROR(__xludf.DUMMYFUNCTION("VALUE(IFERROR(VLOOKUP($Y40, IMPORTRANGE(""https://docs.google.com/spreadsheets/d/1UdH2L0xi8dO6jyPCcO5e5-8j7SGzezxkeZuF1uP8uOw"",""fighter_param (""&amp;TO_TEXT($A$1)&amp;"")!B4:JZ""), 20, FALSE), """"))"),15.58)</f>
        <v>15.58</v>
      </c>
      <c r="U40" s="3735">
        <f t="shared" si="10"/>
        <v>54</v>
      </c>
      <c r="V40" s="3734">
        <f>IFERROR(__xludf.DUMMYFUNCTION("VALUE(IFERROR(VLOOKUP($Y40, IMPORTRANGE(""https://docs.google.com/spreadsheets/d/1UdH2L0xi8dO6jyPCcO5e5-8j7SGzezxkeZuF1uP8uOw"",""fighter_param (""&amp;TO_TEXT($A$1)&amp;"")!B4:JZ""), 21, FALSE), """"))"),32.25)</f>
        <v>32.25</v>
      </c>
      <c r="W40" s="3708">
        <f>Fighters!S40</f>
        <v>39</v>
      </c>
      <c r="X40" s="3709">
        <f>Fighters!T40</f>
        <v>34</v>
      </c>
      <c r="Y40" s="3710" t="str">
        <f>Fighters!V40</f>
        <v>pfushigisou</v>
      </c>
    </row>
    <row r="41">
      <c r="A41" s="3700">
        <f>Fighters!$A41</f>
        <v>35</v>
      </c>
      <c r="B41" s="3701" t="str">
        <f>Fighters!$B41</f>
        <v>リザードン</v>
      </c>
      <c r="C41" s="3735">
        <f t="shared" si="1"/>
        <v>5</v>
      </c>
      <c r="D41" s="3734">
        <f>IFERROR(__xludf.DUMMYFUNCTION("VALUE(IFERROR(VLOOKUP($Y41, IMPORTRANGE(""https://docs.google.com/spreadsheets/d/1UdH2L0xi8dO6jyPCcO5e5-8j7SGzezxkeZuF1uP8uOw"",""fighter_param (""&amp;TO_TEXT($A$1)&amp;"")!B4:JZ""), 9, FALSE), """"))"),2.288)</f>
        <v>2.288</v>
      </c>
      <c r="E41" s="3735">
        <f t="shared" si="2"/>
        <v>70</v>
      </c>
      <c r="F41" s="3735">
        <f>IFERROR(__xludf.DUMMYFUNCTION("VALUE(IFERROR(VLOOKUP($Y41, IMPORTRANGE(""https://docs.google.com/spreadsheets/d/1UdH2L0xi8dO6jyPCcO5e5-8j7SGzezxkeZuF1uP8uOw"",""fighter_param (""&amp;TO_TEXT($A$1)&amp;"")!B4:JZ""), 10, FALSE), """")) + VALUE(IFERROR(VLOOKUP($Y41, IMPORTRANGE(""https://docs.goo"&amp;"gle.com/spreadsheets/d/1UdH2L0xi8dO6jyPCcO5e5-8j7SGzezxkeZuF1uP8uOw"",""fighter_param (""&amp;TO_TEXT($A$1)&amp;"")!B4:JZ""), 11, FALSE), """"))"),0.12243)</f>
        <v>0.12243</v>
      </c>
      <c r="G41" s="3735">
        <f t="shared" si="3"/>
        <v>39</v>
      </c>
      <c r="H41" s="3734">
        <f>IFERROR(__xludf.DUMMYFUNCTION("VALUE(IFERROR(VLOOKUP($Y41, IMPORTRANGE(""https://docs.google.com/spreadsheets/d/1UdH2L0xi8dO6jyPCcO5e5-8j7SGzezxkeZuF1uP8uOw"",""fighter_param (""&amp;TO_TEXT($A$1)&amp;"")!B4:JZ""), 8, FALSE), """"))"),0.11)</f>
        <v>0.11</v>
      </c>
      <c r="I41" s="3735">
        <f t="shared" si="4"/>
        <v>58</v>
      </c>
      <c r="J41" s="3735">
        <f>IFERROR(__xludf.DUMMYFUNCTION("VALUE(IFERROR(VLOOKUP($Y41, IMPORTRANGE(""https://docs.google.com/spreadsheets/d/1UdH2L0xi8dO6jyPCcO5e5-8j7SGzezxkeZuF1uP8uOw"",""fighter_param (""&amp;TO_TEXT($A$1)&amp;"")!B4:JZ""), 22, FALSE), """")) + VALUE(IFERROR(VLOOKUP($Y41, IMPORTRANGE(""https://docs.goo"&amp;"gle.com/spreadsheets/d/1UdH2L0xi8dO6jyPCcO5e5-8j7SGzezxkeZuF1uP8uOw"",""fighter_param (""&amp;TO_TEXT($A$1)&amp;"")!B4:JZ""), 23, FALSE), """"))"),0.060000000000000005)</f>
        <v>0.06</v>
      </c>
      <c r="K41" s="3735">
        <f t="shared" si="5"/>
        <v>57</v>
      </c>
      <c r="L41" s="3734">
        <f>IFERROR(__xludf.DUMMYFUNCTION("VALUE(IFERROR(VLOOKUP($Y41, IMPORTRANGE(""https://docs.google.com/spreadsheets/d/1UdH2L0xi8dO6jyPCcO5e5-8j7SGzezxkeZuF1uP8uOw"",""fighter_param (""&amp;TO_TEXT($A$1)&amp;"")!B4:JZ""), 25, FALSE), """"))"),0.008)</f>
        <v>0.008</v>
      </c>
      <c r="M41" s="3735">
        <f t="shared" si="6"/>
        <v>23</v>
      </c>
      <c r="N41" s="3734">
        <f>IFERROR(__xludf.DUMMYFUNCTION("VALUE(IFERROR(VLOOKUP($Y41, IMPORTRANGE(""https://docs.google.com/spreadsheets/d/1UdH2L0xi8dO6jyPCcO5e5-8j7SGzezxkeZuF1uP8uOw"",""fighter_param (""&amp;TO_TEXT($A$1)&amp;"")!B4:JZ""), 26, FALSE), """"))"),0.11)</f>
        <v>0.11</v>
      </c>
      <c r="O41" s="3735" t="str">
        <f t="shared" si="7"/>
        <v/>
      </c>
      <c r="P41" s="3735" t="s">
        <v>76</v>
      </c>
      <c r="Q41" s="3735">
        <f t="shared" si="8"/>
        <v>51</v>
      </c>
      <c r="R41" s="3734">
        <f>IFERROR(__xludf.DUMMYFUNCTION("VALUE(IFERROR(VLOOKUP($Y41, IMPORTRANGE(""https://docs.google.com/spreadsheets/d/1UdH2L0xi8dO6jyPCcO5e5-8j7SGzezxkeZuF1uP8uOw"",""fighter_param (""&amp;TO_TEXT($A$1)&amp;"")!B4:JZ""), 19, FALSE), """"))"),32.0)</f>
        <v>32</v>
      </c>
      <c r="S41" s="3735">
        <f t="shared" si="9"/>
        <v>54</v>
      </c>
      <c r="T41" s="3734">
        <f>IFERROR(__xludf.DUMMYFUNCTION("VALUE(IFERROR(VLOOKUP($Y41, IMPORTRANGE(""https://docs.google.com/spreadsheets/d/1UdH2L0xi8dO6jyPCcO5e5-8j7SGzezxkeZuF1uP8uOw"",""fighter_param (""&amp;TO_TEXT($A$1)&amp;"")!B4:JZ""), 20, FALSE), """"))"),15.43)</f>
        <v>15.43</v>
      </c>
      <c r="U41" s="3735">
        <f t="shared" si="10"/>
        <v>76</v>
      </c>
      <c r="V41" s="3736">
        <v>28.0</v>
      </c>
      <c r="W41" s="3708">
        <f>Fighters!S41</f>
        <v>40</v>
      </c>
      <c r="X41" s="3709">
        <f>Fighters!T41</f>
        <v>35</v>
      </c>
      <c r="Y41" s="3710" t="str">
        <f>Fighters!V41</f>
        <v>plizardon</v>
      </c>
    </row>
    <row r="42">
      <c r="A42" s="3700">
        <f>Fighters!$A42</f>
        <v>36</v>
      </c>
      <c r="B42" s="3701" t="str">
        <f>Fighters!$B42</f>
        <v>ディディーコング</v>
      </c>
      <c r="C42" s="3735">
        <f t="shared" si="1"/>
        <v>18</v>
      </c>
      <c r="D42" s="3734">
        <f>IFERROR(__xludf.DUMMYFUNCTION("VALUE(IFERROR(VLOOKUP($Y42, IMPORTRANGE(""https://docs.google.com/spreadsheets/d/1UdH2L0xi8dO6jyPCcO5e5-8j7SGzezxkeZuF1uP8uOw"",""fighter_param (""&amp;TO_TEXT($A$1)&amp;"")!B4:JZ""), 9, FALSE), """"))"),2.09)</f>
        <v>2.09</v>
      </c>
      <c r="E42" s="3735">
        <f t="shared" si="2"/>
        <v>2</v>
      </c>
      <c r="F42" s="3735">
        <f>IFERROR(__xludf.DUMMYFUNCTION("VALUE(IFERROR(VLOOKUP($Y42, IMPORTRANGE(""https://docs.google.com/spreadsheets/d/1UdH2L0xi8dO6jyPCcO5e5-8j7SGzezxkeZuF1uP8uOw"",""fighter_param (""&amp;TO_TEXT($A$1)&amp;"")!B4:JZ""), 10, FALSE), """")) + VALUE(IFERROR(VLOOKUP($Y42, IMPORTRANGE(""https://docs.goo"&amp;"gle.com/spreadsheets/d/1UdH2L0xi8dO6jyPCcO5e5-8j7SGzezxkeZuF1uP8uOw"",""fighter_param (""&amp;TO_TEXT($A$1)&amp;"")!B4:JZ""), 11, FALSE), """"))"),0.20900000000000002)</f>
        <v>0.209</v>
      </c>
      <c r="G42" s="3735">
        <f t="shared" si="3"/>
        <v>70</v>
      </c>
      <c r="H42" s="3734">
        <f>IFERROR(__xludf.DUMMYFUNCTION("VALUE(IFERROR(VLOOKUP($Y42, IMPORTRANGE(""https://docs.google.com/spreadsheets/d/1UdH2L0xi8dO6jyPCcO5e5-8j7SGzezxkeZuF1uP8uOw"",""fighter_param (""&amp;TO_TEXT($A$1)&amp;"")!B4:JZ""), 8, FALSE), """"))"),0.093)</f>
        <v>0.093</v>
      </c>
      <c r="I42" s="3735">
        <f t="shared" si="4"/>
        <v>70</v>
      </c>
      <c r="J42" s="3735">
        <f>IFERROR(__xludf.DUMMYFUNCTION("VALUE(IFERROR(VLOOKUP($Y42, IMPORTRANGE(""https://docs.google.com/spreadsheets/d/1UdH2L0xi8dO6jyPCcO5e5-8j7SGzezxkeZuF1uP8uOw"",""fighter_param (""&amp;TO_TEXT($A$1)&amp;"")!B4:JZ""), 22, FALSE), """")) + VALUE(IFERROR(VLOOKUP($Y42, IMPORTRANGE(""https://docs.goo"&amp;"gle.com/spreadsheets/d/1UdH2L0xi8dO6jyPCcO5e5-8j7SGzezxkeZuF1uP8uOw"",""fighter_param (""&amp;TO_TEXT($A$1)&amp;"")!B4:JZ""), 23, FALSE), """"))"),0.05)</f>
        <v>0.05</v>
      </c>
      <c r="K42" s="3735">
        <f t="shared" si="5"/>
        <v>57</v>
      </c>
      <c r="L42" s="3734">
        <f>IFERROR(__xludf.DUMMYFUNCTION("VALUE(IFERROR(VLOOKUP($Y42, IMPORTRANGE(""https://docs.google.com/spreadsheets/d/1UdH2L0xi8dO6jyPCcO5e5-8j7SGzezxkeZuF1uP8uOw"",""fighter_param (""&amp;TO_TEXT($A$1)&amp;"")!B4:JZ""), 25, FALSE), """"))"),0.008)</f>
        <v>0.008</v>
      </c>
      <c r="M42" s="3735">
        <f t="shared" si="6"/>
        <v>13</v>
      </c>
      <c r="N42" s="3734">
        <f>IFERROR(__xludf.DUMMYFUNCTION("VALUE(IFERROR(VLOOKUP($Y42, IMPORTRANGE(""https://docs.google.com/spreadsheets/d/1UdH2L0xi8dO6jyPCcO5e5-8j7SGzezxkeZuF1uP8uOw"",""fighter_param (""&amp;TO_TEXT($A$1)&amp;"")!B4:JZ""), 26, FALSE), """"))"),0.125)</f>
        <v>0.125</v>
      </c>
      <c r="O42" s="3735" t="str">
        <f t="shared" si="7"/>
        <v/>
      </c>
      <c r="P42" s="3735" t="s">
        <v>76</v>
      </c>
      <c r="Q42" s="3735">
        <f t="shared" si="8"/>
        <v>5</v>
      </c>
      <c r="R42" s="3734">
        <f>IFERROR(__xludf.DUMMYFUNCTION("VALUE(IFERROR(VLOOKUP($Y42, IMPORTRANGE(""https://docs.google.com/spreadsheets/d/1UdH2L0xi8dO6jyPCcO5e5-8j7SGzezxkeZuF1uP8uOw"",""fighter_param (""&amp;TO_TEXT($A$1)&amp;"")!B4:JZ""), 19, FALSE), """"))"),41.21)</f>
        <v>41.21</v>
      </c>
      <c r="S42" s="3735">
        <f t="shared" si="9"/>
        <v>5</v>
      </c>
      <c r="T42" s="3734">
        <f>IFERROR(__xludf.DUMMYFUNCTION("VALUE(IFERROR(VLOOKUP($Y42, IMPORTRANGE(""https://docs.google.com/spreadsheets/d/1UdH2L0xi8dO6jyPCcO5e5-8j7SGzezxkeZuF1uP8uOw"",""fighter_param (""&amp;TO_TEXT($A$1)&amp;"")!B4:JZ""), 20, FALSE), """"))"),19.9)</f>
        <v>19.9</v>
      </c>
      <c r="U42" s="3735">
        <f t="shared" si="10"/>
        <v>11</v>
      </c>
      <c r="V42" s="3734">
        <f>IFERROR(__xludf.DUMMYFUNCTION("VALUE(IFERROR(VLOOKUP($Y42, IMPORTRANGE(""https://docs.google.com/spreadsheets/d/1UdH2L0xi8dO6jyPCcO5e5-8j7SGzezxkeZuF1uP8uOw"",""fighter_param (""&amp;TO_TEXT($A$1)&amp;"")!B4:JZ""), 21, FALSE), """"))"),41.21)</f>
        <v>41.21</v>
      </c>
      <c r="W42" s="3708">
        <f>Fighters!S42</f>
        <v>41</v>
      </c>
      <c r="X42" s="3709">
        <f>Fighters!T42</f>
        <v>36</v>
      </c>
      <c r="Y42" s="3710" t="str">
        <f>Fighters!V42</f>
        <v>diddy</v>
      </c>
    </row>
    <row r="43">
      <c r="A43" s="3700">
        <f>Fighters!$A43</f>
        <v>37</v>
      </c>
      <c r="B43" s="3701" t="str">
        <f>Fighters!$B43</f>
        <v>リュカ</v>
      </c>
      <c r="C43" s="3735">
        <f t="shared" si="1"/>
        <v>62</v>
      </c>
      <c r="D43" s="3734">
        <f>IFERROR(__xludf.DUMMYFUNCTION("VALUE(IFERROR(VLOOKUP($Y43, IMPORTRANGE(""https://docs.google.com/spreadsheets/d/1UdH2L0xi8dO6jyPCcO5e5-8j7SGzezxkeZuF1uP8uOw"",""fighter_param (""&amp;TO_TEXT($A$1)&amp;"")!B4:JZ""), 9, FALSE), """"))"),1.815)</f>
        <v>1.815</v>
      </c>
      <c r="E43" s="3735">
        <f t="shared" si="2"/>
        <v>84</v>
      </c>
      <c r="F43" s="3735">
        <f>IFERROR(__xludf.DUMMYFUNCTION("VALUE(IFERROR(VLOOKUP($Y43, IMPORTRANGE(""https://docs.google.com/spreadsheets/d/1UdH2L0xi8dO6jyPCcO5e5-8j7SGzezxkeZuF1uP8uOw"",""fighter_param (""&amp;TO_TEXT($A$1)&amp;"")!B4:JZ""), 10, FALSE), """")) + VALUE(IFERROR(VLOOKUP($Y43, IMPORTRANGE(""https://docs.goo"&amp;"gle.com/spreadsheets/d/1UdH2L0xi8dO6jyPCcO5e5-8j7SGzezxkeZuF1uP8uOw"",""fighter_param (""&amp;TO_TEXT($A$1)&amp;"")!B4:JZ""), 11, FALSE), """"))"),0.10999999999999999)</f>
        <v>0.11</v>
      </c>
      <c r="G43" s="3735">
        <f t="shared" si="3"/>
        <v>20</v>
      </c>
      <c r="H43" s="3734">
        <f>IFERROR(__xludf.DUMMYFUNCTION("VALUE(IFERROR(VLOOKUP($Y43, IMPORTRANGE(""https://docs.google.com/spreadsheets/d/1UdH2L0xi8dO6jyPCcO5e5-8j7SGzezxkeZuF1uP8uOw"",""fighter_param (""&amp;TO_TEXT($A$1)&amp;"")!B4:JZ""), 8, FALSE), """"))"),0.116)</f>
        <v>0.116</v>
      </c>
      <c r="I43" s="3735">
        <f t="shared" si="4"/>
        <v>16</v>
      </c>
      <c r="J43" s="3735">
        <f>IFERROR(__xludf.DUMMYFUNCTION("VALUE(IFERROR(VLOOKUP($Y43, IMPORTRANGE(""https://docs.google.com/spreadsheets/d/1UdH2L0xi8dO6jyPCcO5e5-8j7SGzezxkeZuF1uP8uOw"",""fighter_param (""&amp;TO_TEXT($A$1)&amp;"")!B4:JZ""), 22, FALSE), """")) + VALUE(IFERROR(VLOOKUP($Y43, IMPORTRANGE(""https://docs.goo"&amp;"gle.com/spreadsheets/d/1UdH2L0xi8dO6jyPCcO5e5-8j7SGzezxkeZuF1uP8uOw"",""fighter_param (""&amp;TO_TEXT($A$1)&amp;"")!B4:JZ""), 23, FALSE), """"))"),0.095)</f>
        <v>0.095</v>
      </c>
      <c r="K43" s="3735">
        <f t="shared" si="5"/>
        <v>30</v>
      </c>
      <c r="L43" s="3734">
        <f>IFERROR(__xludf.DUMMYFUNCTION("VALUE(IFERROR(VLOOKUP($Y43, IMPORTRANGE(""https://docs.google.com/spreadsheets/d/1UdH2L0xi8dO6jyPCcO5e5-8j7SGzezxkeZuF1uP8uOw"",""fighter_param (""&amp;TO_TEXT($A$1)&amp;"")!B4:JZ""), 25, FALSE), """"))"),0.014)</f>
        <v>0.014</v>
      </c>
      <c r="M43" s="3735">
        <f t="shared" si="6"/>
        <v>45</v>
      </c>
      <c r="N43" s="3734">
        <f>IFERROR(__xludf.DUMMYFUNCTION("VALUE(IFERROR(VLOOKUP($Y43, IMPORTRANGE(""https://docs.google.com/spreadsheets/d/1UdH2L0xi8dO6jyPCcO5e5-8j7SGzezxkeZuF1uP8uOw"",""fighter_param (""&amp;TO_TEXT($A$1)&amp;"")!B4:JZ""), 26, FALSE), """"))"),0.09)</f>
        <v>0.09</v>
      </c>
      <c r="O43" s="3735" t="str">
        <f t="shared" si="7"/>
        <v/>
      </c>
      <c r="P43" s="3735" t="s">
        <v>76</v>
      </c>
      <c r="Q43" s="3735">
        <f t="shared" si="8"/>
        <v>73</v>
      </c>
      <c r="R43" s="3734">
        <f>IFERROR(__xludf.DUMMYFUNCTION("VALUE(IFERROR(VLOOKUP($Y43, IMPORTRANGE(""https://docs.google.com/spreadsheets/d/1UdH2L0xi8dO6jyPCcO5e5-8j7SGzezxkeZuF1uP8uOw"",""fighter_param (""&amp;TO_TEXT($A$1)&amp;"")!B4:JZ""), 19, FALSE), """"))"),29.41)</f>
        <v>29.41</v>
      </c>
      <c r="S43" s="3735">
        <f t="shared" si="9"/>
        <v>78</v>
      </c>
      <c r="T43" s="3734">
        <f>IFERROR(__xludf.DUMMYFUNCTION("VALUE(IFERROR(VLOOKUP($Y43, IMPORTRANGE(""https://docs.google.com/spreadsheets/d/1UdH2L0xi8dO6jyPCcO5e5-8j7SGzezxkeZuF1uP8uOw"",""fighter_param (""&amp;TO_TEXT($A$1)&amp;"")!B4:JZ""), 20, FALSE), """"))"),13.0)</f>
        <v>13</v>
      </c>
      <c r="U43" s="3735">
        <f t="shared" si="10"/>
        <v>8</v>
      </c>
      <c r="V43" s="3734">
        <f>IFERROR(__xludf.DUMMYFUNCTION("VALUE(IFERROR(VLOOKUP($Y43, IMPORTRANGE(""https://docs.google.com/spreadsheets/d/1UdH2L0xi8dO6jyPCcO5e5-8j7SGzezxkeZuF1uP8uOw"",""fighter_param (""&amp;TO_TEXT($A$1)&amp;"")!B4:JZ""), 21, FALSE), """"))"),44.13)</f>
        <v>44.13</v>
      </c>
      <c r="W43" s="3708">
        <f>Fighters!S43</f>
        <v>42</v>
      </c>
      <c r="X43" s="3709">
        <f>Fighters!T43</f>
        <v>37</v>
      </c>
      <c r="Y43" s="3710" t="str">
        <f>Fighters!V43</f>
        <v>lucas</v>
      </c>
    </row>
    <row r="44">
      <c r="A44" s="3700">
        <f>Fighters!$A44</f>
        <v>38</v>
      </c>
      <c r="B44" s="3701" t="str">
        <f>Fighters!$B44</f>
        <v>ソニック</v>
      </c>
      <c r="C44" s="3735">
        <f t="shared" si="1"/>
        <v>4</v>
      </c>
      <c r="D44" s="3734">
        <f>IFERROR(__xludf.DUMMYFUNCTION("VALUE(IFERROR(VLOOKUP($Y44, IMPORTRANGE(""https://docs.google.com/spreadsheets/d/1UdH2L0xi8dO6jyPCcO5e5-8j7SGzezxkeZuF1uP8uOw"",""fighter_param (""&amp;TO_TEXT($A$1)&amp;"")!B4:JZ""), 9, FALSE), """"))"),2.31)</f>
        <v>2.31</v>
      </c>
      <c r="E44" s="3735">
        <f t="shared" si="2"/>
        <v>2</v>
      </c>
      <c r="F44" s="3735">
        <f>IFERROR(__xludf.DUMMYFUNCTION("VALUE(IFERROR(VLOOKUP($Y44, IMPORTRANGE(""https://docs.google.com/spreadsheets/d/1UdH2L0xi8dO6jyPCcO5e5-8j7SGzezxkeZuF1uP8uOw"",""fighter_param (""&amp;TO_TEXT($A$1)&amp;"")!B4:JZ""), 10, FALSE), """")) + VALUE(IFERROR(VLOOKUP($Y44, IMPORTRANGE(""https://docs.goo"&amp;"gle.com/spreadsheets/d/1UdH2L0xi8dO6jyPCcO5e5-8j7SGzezxkeZuF1uP8uOw"",""fighter_param (""&amp;TO_TEXT($A$1)&amp;"")!B4:JZ""), 11, FALSE), """"))"),0.20900000000000002)</f>
        <v>0.209</v>
      </c>
      <c r="G44" s="3735">
        <f t="shared" si="3"/>
        <v>1</v>
      </c>
      <c r="H44" s="3734">
        <f>IFERROR(__xludf.DUMMYFUNCTION("VALUE(IFERROR(VLOOKUP($Y44, IMPORTRANGE(""https://docs.google.com/spreadsheets/d/1UdH2L0xi8dO6jyPCcO5e5-8j7SGzezxkeZuF1uP8uOw"",""fighter_param (""&amp;TO_TEXT($A$1)&amp;"")!B4:JZ""), 8, FALSE), """"))"),0.138)</f>
        <v>0.138</v>
      </c>
      <c r="I44" s="3735">
        <f t="shared" si="4"/>
        <v>70</v>
      </c>
      <c r="J44" s="3735">
        <f>IFERROR(__xludf.DUMMYFUNCTION("VALUE(IFERROR(VLOOKUP($Y44, IMPORTRANGE(""https://docs.google.com/spreadsheets/d/1UdH2L0xi8dO6jyPCcO5e5-8j7SGzezxkeZuF1uP8uOw"",""fighter_param (""&amp;TO_TEXT($A$1)&amp;"")!B4:JZ""), 22, FALSE), """")) + VALUE(IFERROR(VLOOKUP($Y44, IMPORTRANGE(""https://docs.goo"&amp;"gle.com/spreadsheets/d/1UdH2L0xi8dO6jyPCcO5e5-8j7SGzezxkeZuF1uP8uOw"",""fighter_param (""&amp;TO_TEXT($A$1)&amp;"")!B4:JZ""), 23, FALSE), """"))"),0.05)</f>
        <v>0.05</v>
      </c>
      <c r="K44" s="3735">
        <f t="shared" si="5"/>
        <v>40</v>
      </c>
      <c r="L44" s="3734">
        <f>IFERROR(__xludf.DUMMYFUNCTION("VALUE(IFERROR(VLOOKUP($Y44, IMPORTRANGE(""https://docs.google.com/spreadsheets/d/1UdH2L0xi8dO6jyPCcO5e5-8j7SGzezxkeZuF1uP8uOw"",""fighter_param (""&amp;TO_TEXT($A$1)&amp;"")!B4:JZ""), 25, FALSE), """"))"),0.01)</f>
        <v>0.01</v>
      </c>
      <c r="M44" s="3735">
        <f t="shared" si="6"/>
        <v>45</v>
      </c>
      <c r="N44" s="3734">
        <f>IFERROR(__xludf.DUMMYFUNCTION("VALUE(IFERROR(VLOOKUP($Y44, IMPORTRANGE(""https://docs.google.com/spreadsheets/d/1UdH2L0xi8dO6jyPCcO5e5-8j7SGzezxkeZuF1uP8uOw"",""fighter_param (""&amp;TO_TEXT($A$1)&amp;"")!B4:JZ""), 26, FALSE), """"))"),0.09)</f>
        <v>0.09</v>
      </c>
      <c r="O44" s="3735" t="str">
        <f t="shared" si="7"/>
        <v/>
      </c>
      <c r="P44" s="3735" t="s">
        <v>76</v>
      </c>
      <c r="Q44" s="3735">
        <f t="shared" si="8"/>
        <v>22</v>
      </c>
      <c r="R44" s="3734">
        <f>IFERROR(__xludf.DUMMYFUNCTION("VALUE(IFERROR(VLOOKUP($Y44, IMPORTRANGE(""https://docs.google.com/spreadsheets/d/1UdH2L0xi8dO6jyPCcO5e5-8j7SGzezxkeZuF1uP8uOw"",""fighter_param (""&amp;TO_TEXT($A$1)&amp;"")!B4:JZ""), 19, FALSE), """"))"),35.0)</f>
        <v>35</v>
      </c>
      <c r="S44" s="3735">
        <f t="shared" si="9"/>
        <v>30</v>
      </c>
      <c r="T44" s="3734">
        <f>IFERROR(__xludf.DUMMYFUNCTION("VALUE(IFERROR(VLOOKUP($Y44, IMPORTRANGE(""https://docs.google.com/spreadsheets/d/1UdH2L0xi8dO6jyPCcO5e5-8j7SGzezxkeZuF1uP8uOw"",""fighter_param (""&amp;TO_TEXT($A$1)&amp;"")!B4:JZ""), 20, FALSE), """"))"),16.89)</f>
        <v>16.89</v>
      </c>
      <c r="U44" s="3735">
        <f t="shared" si="10"/>
        <v>31</v>
      </c>
      <c r="V44" s="3734">
        <f>IFERROR(__xludf.DUMMYFUNCTION("VALUE(IFERROR(VLOOKUP($Y44, IMPORTRANGE(""https://docs.google.com/spreadsheets/d/1UdH2L0xi8dO6jyPCcO5e5-8j7SGzezxkeZuF1uP8uOw"",""fighter_param (""&amp;TO_TEXT($A$1)&amp;"")!B4:JZ""), 21, FALSE), """"))"),35.0)</f>
        <v>35</v>
      </c>
      <c r="W44" s="3708">
        <f>Fighters!S44</f>
        <v>43</v>
      </c>
      <c r="X44" s="3709">
        <f>Fighters!T44</f>
        <v>38</v>
      </c>
      <c r="Y44" s="3710" t="str">
        <f>Fighters!V44</f>
        <v>sonic</v>
      </c>
    </row>
    <row r="45">
      <c r="A45" s="3700">
        <f>Fighters!$A45</f>
        <v>39</v>
      </c>
      <c r="B45" s="3701" t="str">
        <f>Fighters!$B45</f>
        <v>デデデ</v>
      </c>
      <c r="C45" s="3735">
        <f t="shared" si="1"/>
        <v>62</v>
      </c>
      <c r="D45" s="3734">
        <f>IFERROR(__xludf.DUMMYFUNCTION("VALUE(IFERROR(VLOOKUP($Y45, IMPORTRANGE(""https://docs.google.com/spreadsheets/d/1UdH2L0xi8dO6jyPCcO5e5-8j7SGzezxkeZuF1uP8uOw"",""fighter_param (""&amp;TO_TEXT($A$1)&amp;"")!B4:JZ""), 9, FALSE), """"))"),1.815)</f>
        <v>1.815</v>
      </c>
      <c r="E45" s="3735">
        <f t="shared" si="2"/>
        <v>60</v>
      </c>
      <c r="F45" s="3735">
        <f>IFERROR(__xludf.DUMMYFUNCTION("VALUE(IFERROR(VLOOKUP($Y45, IMPORTRANGE(""https://docs.google.com/spreadsheets/d/1UdH2L0xi8dO6jyPCcO5e5-8j7SGzezxkeZuF1uP8uOw"",""fighter_param (""&amp;TO_TEXT($A$1)&amp;"")!B4:JZ""), 10, FALSE), """")) + VALUE(IFERROR(VLOOKUP($Y45, IMPORTRANGE(""https://docs.goo"&amp;"gle.com/spreadsheets/d/1UdH2L0xi8dO6jyPCcO5e5-8j7SGzezxkeZuF1uP8uOw"",""fighter_param (""&amp;TO_TEXT($A$1)&amp;"")!B4:JZ""), 11, FALSE), """"))"),0.13838)</f>
        <v>0.13838</v>
      </c>
      <c r="G45" s="3735">
        <f t="shared" si="3"/>
        <v>79</v>
      </c>
      <c r="H45" s="3734">
        <f>IFERROR(__xludf.DUMMYFUNCTION("VALUE(IFERROR(VLOOKUP($Y45, IMPORTRANGE(""https://docs.google.com/spreadsheets/d/1UdH2L0xi8dO6jyPCcO5e5-8j7SGzezxkeZuF1uP8uOw"",""fighter_param (""&amp;TO_TEXT($A$1)&amp;"")!B4:JZ""), 8, FALSE), """"))"),0.085)</f>
        <v>0.085</v>
      </c>
      <c r="I45" s="3735">
        <f t="shared" si="4"/>
        <v>70</v>
      </c>
      <c r="J45" s="3735">
        <f>IFERROR(__xludf.DUMMYFUNCTION("VALUE(IFERROR(VLOOKUP($Y45, IMPORTRANGE(""https://docs.google.com/spreadsheets/d/1UdH2L0xi8dO6jyPCcO5e5-8j7SGzezxkeZuF1uP8uOw"",""fighter_param (""&amp;TO_TEXT($A$1)&amp;"")!B4:JZ""), 22, FALSE), """")) + VALUE(IFERROR(VLOOKUP($Y45, IMPORTRANGE(""https://docs.goo"&amp;"gle.com/spreadsheets/d/1UdH2L0xi8dO6jyPCcO5e5-8j7SGzezxkeZuF1uP8uOw"",""fighter_param (""&amp;TO_TEXT($A$1)&amp;"")!B4:JZ""), 23, FALSE), """"))"),0.05)</f>
        <v>0.05</v>
      </c>
      <c r="K45" s="3735">
        <f t="shared" si="5"/>
        <v>77</v>
      </c>
      <c r="L45" s="3734">
        <f>IFERROR(__xludf.DUMMYFUNCTION("VALUE(IFERROR(VLOOKUP($Y45, IMPORTRANGE(""https://docs.google.com/spreadsheets/d/1UdH2L0xi8dO6jyPCcO5e5-8j7SGzezxkeZuF1uP8uOw"",""fighter_param (""&amp;TO_TEXT($A$1)&amp;"")!B4:JZ""), 25, FALSE), """"))"),0.006)</f>
        <v>0.006</v>
      </c>
      <c r="M45" s="3735">
        <f t="shared" si="6"/>
        <v>37</v>
      </c>
      <c r="N45" s="3734">
        <f>IFERROR(__xludf.DUMMYFUNCTION("VALUE(IFERROR(VLOOKUP($Y45, IMPORTRANGE(""https://docs.google.com/spreadsheets/d/1UdH2L0xi8dO6jyPCcO5e5-8j7SGzezxkeZuF1uP8uOw"",""fighter_param (""&amp;TO_TEXT($A$1)&amp;"")!B4:JZ""), 26, FALSE), """"))"),0.097)</f>
        <v>0.097</v>
      </c>
      <c r="O45" s="3735" t="str">
        <f t="shared" si="7"/>
        <v/>
      </c>
      <c r="P45" s="3735" t="s">
        <v>76</v>
      </c>
      <c r="Q45" s="3735">
        <f t="shared" si="8"/>
        <v>43</v>
      </c>
      <c r="R45" s="3734">
        <f>IFERROR(__xludf.DUMMYFUNCTION("VALUE(IFERROR(VLOOKUP($Y45, IMPORTRANGE(""https://docs.google.com/spreadsheets/d/1UdH2L0xi8dO6jyPCcO5e5-8j7SGzezxkeZuF1uP8uOw"",""fighter_param (""&amp;TO_TEXT($A$1)&amp;"")!B4:JZ""), 19, FALSE), """"))"),32.85)</f>
        <v>32.85</v>
      </c>
      <c r="S45" s="3735">
        <f t="shared" si="9"/>
        <v>43</v>
      </c>
      <c r="T45" s="3734">
        <f>IFERROR(__xludf.DUMMYFUNCTION("VALUE(IFERROR(VLOOKUP($Y45, IMPORTRANGE(""https://docs.google.com/spreadsheets/d/1UdH2L0xi8dO6jyPCcO5e5-8j7SGzezxkeZuF1uP8uOw"",""fighter_param (""&amp;TO_TEXT($A$1)&amp;"")!B4:JZ""), 20, FALSE), """"))"),16.02)</f>
        <v>16.02</v>
      </c>
      <c r="U45" s="3735">
        <f t="shared" si="10"/>
        <v>73</v>
      </c>
      <c r="V45" s="3736">
        <v>28.5</v>
      </c>
      <c r="W45" s="3708">
        <f>Fighters!S45</f>
        <v>44</v>
      </c>
      <c r="X45" s="3709">
        <f>Fighters!T45</f>
        <v>39</v>
      </c>
      <c r="Y45" s="3710" t="str">
        <f>Fighters!V45</f>
        <v>dedede</v>
      </c>
    </row>
    <row r="46">
      <c r="A46" s="3700">
        <f>Fighters!$A46</f>
        <v>40</v>
      </c>
      <c r="B46" s="3701" t="str">
        <f>Fighters!$B46</f>
        <v>ピクミン&amp;オリマー</v>
      </c>
      <c r="C46" s="3735">
        <f t="shared" si="1"/>
        <v>86</v>
      </c>
      <c r="D46" s="3734">
        <f>IFERROR(__xludf.DUMMYFUNCTION("VALUE(IFERROR(VLOOKUP($Y46, IMPORTRANGE(""https://docs.google.com/spreadsheets/d/1UdH2L0xi8dO6jyPCcO5e5-8j7SGzezxkeZuF1uP8uOw"",""fighter_param (""&amp;TO_TEXT($A$1)&amp;"")!B4:JZ""), 9, FALSE), """"))"),1.606)</f>
        <v>1.606</v>
      </c>
      <c r="E46" s="3735">
        <f t="shared" si="2"/>
        <v>55</v>
      </c>
      <c r="F46" s="3735">
        <f>IFERROR(__xludf.DUMMYFUNCTION("VALUE(IFERROR(VLOOKUP($Y46, IMPORTRANGE(""https://docs.google.com/spreadsheets/d/1UdH2L0xi8dO6jyPCcO5e5-8j7SGzezxkeZuF1uP8uOw"",""fighter_param (""&amp;TO_TEXT($A$1)&amp;"")!B4:JZ""), 10, FALSE), """")) + VALUE(IFERROR(VLOOKUP($Y46, IMPORTRANGE(""https://docs.goo"&amp;"gle.com/spreadsheets/d/1UdH2L0xi8dO6jyPCcO5e5-8j7SGzezxkeZuF1uP8uOw"",""fighter_param (""&amp;TO_TEXT($A$1)&amp;"")!B4:JZ""), 11, FALSE), """"))"),0.13992)</f>
        <v>0.13992</v>
      </c>
      <c r="G46" s="3735">
        <f t="shared" si="3"/>
        <v>70</v>
      </c>
      <c r="H46" s="3734">
        <f>IFERROR(__xludf.DUMMYFUNCTION("VALUE(IFERROR(VLOOKUP($Y46, IMPORTRANGE(""https://docs.google.com/spreadsheets/d/1UdH2L0xi8dO6jyPCcO5e5-8j7SGzezxkeZuF1uP8uOw"",""fighter_param (""&amp;TO_TEXT($A$1)&amp;"")!B4:JZ""), 8, FALSE), """"))"),0.093)</f>
        <v>0.093</v>
      </c>
      <c r="I46" s="3735">
        <f t="shared" si="4"/>
        <v>31</v>
      </c>
      <c r="J46" s="3735">
        <f>IFERROR(__xludf.DUMMYFUNCTION("VALUE(IFERROR(VLOOKUP($Y46, IMPORTRANGE(""https://docs.google.com/spreadsheets/d/1UdH2L0xi8dO6jyPCcO5e5-8j7SGzezxkeZuF1uP8uOw"",""fighter_param (""&amp;TO_TEXT($A$1)&amp;"")!B4:JZ""), 22, FALSE), """")) + VALUE(IFERROR(VLOOKUP($Y46, IMPORTRANGE(""https://docs.goo"&amp;"gle.com/spreadsheets/d/1UdH2L0xi8dO6jyPCcO5e5-8j7SGzezxkeZuF1uP8uOw"",""fighter_param (""&amp;TO_TEXT($A$1)&amp;"")!B4:JZ""), 23, FALSE), """"))"),0.08)</f>
        <v>0.08</v>
      </c>
      <c r="K46" s="3735">
        <f t="shared" si="5"/>
        <v>9</v>
      </c>
      <c r="L46" s="3734">
        <f>IFERROR(__xludf.DUMMYFUNCTION("VALUE(IFERROR(VLOOKUP($Y46, IMPORTRANGE(""https://docs.google.com/spreadsheets/d/1UdH2L0xi8dO6jyPCcO5e5-8j7SGzezxkeZuF1uP8uOw"",""fighter_param (""&amp;TO_TEXT($A$1)&amp;"")!B4:JZ""), 25, FALSE), """"))"),0.015)</f>
        <v>0.015</v>
      </c>
      <c r="M46" s="3735">
        <f t="shared" si="6"/>
        <v>85</v>
      </c>
      <c r="N46" s="3734">
        <f>IFERROR(__xludf.DUMMYFUNCTION("VALUE(IFERROR(VLOOKUP($Y46, IMPORTRANGE(""https://docs.google.com/spreadsheets/d/1UdH2L0xi8dO6jyPCcO5e5-8j7SGzezxkeZuF1uP8uOw"",""fighter_param (""&amp;TO_TEXT($A$1)&amp;"")!B4:JZ""), 26, FALSE), """"))"),0.068)</f>
        <v>0.068</v>
      </c>
      <c r="O46" s="3735" t="str">
        <f t="shared" si="7"/>
        <v/>
      </c>
      <c r="P46" s="3735" t="s">
        <v>76</v>
      </c>
      <c r="Q46" s="3735">
        <f t="shared" si="8"/>
        <v>36</v>
      </c>
      <c r="R46" s="3734">
        <f>IFERROR(__xludf.DUMMYFUNCTION("VALUE(IFERROR(VLOOKUP($Y46, IMPORTRANGE(""https://docs.google.com/spreadsheets/d/1UdH2L0xi8dO6jyPCcO5e5-8j7SGzezxkeZuF1uP8uOw"",""fighter_param (""&amp;TO_TEXT($A$1)&amp;"")!B4:JZ""), 19, FALSE), """"))"),33.5)</f>
        <v>33.5</v>
      </c>
      <c r="S46" s="3735">
        <f t="shared" si="9"/>
        <v>42</v>
      </c>
      <c r="T46" s="3734">
        <f>IFERROR(__xludf.DUMMYFUNCTION("VALUE(IFERROR(VLOOKUP($Y46, IMPORTRANGE(""https://docs.google.com/spreadsheets/d/1UdH2L0xi8dO6jyPCcO5e5-8j7SGzezxkeZuF1uP8uOw"",""fighter_param (""&amp;TO_TEXT($A$1)&amp;"")!B4:JZ""), 20, FALSE), """"))"),16.19)</f>
        <v>16.19</v>
      </c>
      <c r="U46" s="3735">
        <f t="shared" si="10"/>
        <v>42</v>
      </c>
      <c r="V46" s="3734">
        <f>IFERROR(__xludf.DUMMYFUNCTION("VALUE(IFERROR(VLOOKUP($Y46, IMPORTRANGE(""https://docs.google.com/spreadsheets/d/1UdH2L0xi8dO6jyPCcO5e5-8j7SGzezxkeZuF1uP8uOw"",""fighter_param (""&amp;TO_TEXT($A$1)&amp;"")!B4:JZ""), 21, FALSE), """"))"),33.5)</f>
        <v>33.5</v>
      </c>
      <c r="W46" s="3708">
        <f>Fighters!S46</f>
        <v>45</v>
      </c>
      <c r="X46" s="3709">
        <f>Fighters!T46</f>
        <v>40</v>
      </c>
      <c r="Y46" s="3710" t="str">
        <f>Fighters!V46</f>
        <v>pikmin</v>
      </c>
    </row>
    <row r="47">
      <c r="A47" s="3700">
        <f>Fighters!$A47</f>
        <v>41</v>
      </c>
      <c r="B47" s="3701" t="str">
        <f>Fighters!$B47</f>
        <v>ルカリオ</v>
      </c>
      <c r="C47" s="3735">
        <f t="shared" si="1"/>
        <v>6</v>
      </c>
      <c r="D47" s="3734">
        <f>IFERROR(__xludf.DUMMYFUNCTION("VALUE(IFERROR(VLOOKUP($Y47, IMPORTRANGE(""https://docs.google.com/spreadsheets/d/1UdH2L0xi8dO6jyPCcO5e5-8j7SGzezxkeZuF1uP8uOw"",""fighter_param (""&amp;TO_TEXT($A$1)&amp;"")!B4:JZ""), 9, FALSE), """"))"),2.255)</f>
        <v>2.255</v>
      </c>
      <c r="E47" s="3735">
        <f t="shared" si="2"/>
        <v>2</v>
      </c>
      <c r="F47" s="3735">
        <f>IFERROR(__xludf.DUMMYFUNCTION("VALUE(IFERROR(VLOOKUP($Y47, IMPORTRANGE(""https://docs.google.com/spreadsheets/d/1UdH2L0xi8dO6jyPCcO5e5-8j7SGzezxkeZuF1uP8uOw"",""fighter_param (""&amp;TO_TEXT($A$1)&amp;"")!B4:JZ""), 10, FALSE), """")) + VALUE(IFERROR(VLOOKUP($Y47, IMPORTRANGE(""https://docs.goo"&amp;"gle.com/spreadsheets/d/1UdH2L0xi8dO6jyPCcO5e5-8j7SGzezxkeZuF1uP8uOw"",""fighter_param (""&amp;TO_TEXT($A$1)&amp;"")!B4:JZ""), 11, FALSE), """"))"),0.20900000000000002)</f>
        <v>0.209</v>
      </c>
      <c r="G47" s="3735">
        <f t="shared" si="3"/>
        <v>20</v>
      </c>
      <c r="H47" s="3734">
        <f>IFERROR(__xludf.DUMMYFUNCTION("VALUE(IFERROR(VLOOKUP($Y47, IMPORTRANGE(""https://docs.google.com/spreadsheets/d/1UdH2L0xi8dO6jyPCcO5e5-8j7SGzezxkeZuF1uP8uOw"",""fighter_param (""&amp;TO_TEXT($A$1)&amp;"")!B4:JZ""), 8, FALSE), """"))"),0.116)</f>
        <v>0.116</v>
      </c>
      <c r="I47" s="3735">
        <f t="shared" si="4"/>
        <v>21</v>
      </c>
      <c r="J47" s="3735">
        <f>IFERROR(__xludf.DUMMYFUNCTION("VALUE(IFERROR(VLOOKUP($Y47, IMPORTRANGE(""https://docs.google.com/spreadsheets/d/1UdH2L0xi8dO6jyPCcO5e5-8j7SGzezxkeZuF1uP8uOw"",""fighter_param (""&amp;TO_TEXT($A$1)&amp;"")!B4:JZ""), 22, FALSE), """")) + VALUE(IFERROR(VLOOKUP($Y47, IMPORTRANGE(""https://docs.goo"&amp;"gle.com/spreadsheets/d/1UdH2L0xi8dO6jyPCcO5e5-8j7SGzezxkeZuF1uP8uOw"",""fighter_param (""&amp;TO_TEXT($A$1)&amp;"")!B4:JZ""), 23, FALSE), """"))"),0.09)</f>
        <v>0.09</v>
      </c>
      <c r="K47" s="3735">
        <f t="shared" si="5"/>
        <v>83</v>
      </c>
      <c r="L47" s="3734">
        <f>IFERROR(__xludf.DUMMYFUNCTION("VALUE(IFERROR(VLOOKUP($Y47, IMPORTRANGE(""https://docs.google.com/spreadsheets/d/1UdH2L0xi8dO6jyPCcO5e5-8j7SGzezxkeZuF1uP8uOw"",""fighter_param (""&amp;TO_TEXT($A$1)&amp;"")!B4:JZ""), 25, FALSE), """"))"),0.004)</f>
        <v>0.004</v>
      </c>
      <c r="M47" s="3735">
        <f t="shared" si="6"/>
        <v>60</v>
      </c>
      <c r="N47" s="3734">
        <f>IFERROR(__xludf.DUMMYFUNCTION("VALUE(IFERROR(VLOOKUP($Y47, IMPORTRANGE(""https://docs.google.com/spreadsheets/d/1UdH2L0xi8dO6jyPCcO5e5-8j7SGzezxkeZuF1uP8uOw"",""fighter_param (""&amp;TO_TEXT($A$1)&amp;"")!B4:JZ""), 26, FALSE), """"))"),0.084)</f>
        <v>0.084</v>
      </c>
      <c r="O47" s="3735" t="str">
        <f t="shared" si="7"/>
        <v/>
      </c>
      <c r="P47" s="3735" t="s">
        <v>76</v>
      </c>
      <c r="Q47" s="3735">
        <f t="shared" si="8"/>
        <v>10</v>
      </c>
      <c r="R47" s="3734">
        <f>IFERROR(__xludf.DUMMYFUNCTION("VALUE(IFERROR(VLOOKUP($Y47, IMPORTRANGE(""https://docs.google.com/spreadsheets/d/1UdH2L0xi8dO6jyPCcO5e5-8j7SGzezxkeZuF1uP8uOw"",""fighter_param (""&amp;TO_TEXT($A$1)&amp;"")!B4:JZ""), 19, FALSE), """"))"),37.62)</f>
        <v>37.62</v>
      </c>
      <c r="S47" s="3735">
        <f t="shared" si="9"/>
        <v>9</v>
      </c>
      <c r="T47" s="3734">
        <f>IFERROR(__xludf.DUMMYFUNCTION("VALUE(IFERROR(VLOOKUP($Y47, IMPORTRANGE(""https://docs.google.com/spreadsheets/d/1UdH2L0xi8dO6jyPCcO5e5-8j7SGzezxkeZuF1uP8uOw"",""fighter_param (""&amp;TO_TEXT($A$1)&amp;"")!B4:JZ""), 20, FALSE), """"))"),18.19)</f>
        <v>18.19</v>
      </c>
      <c r="U47" s="3735">
        <f t="shared" si="10"/>
        <v>17</v>
      </c>
      <c r="V47" s="3734">
        <f>IFERROR(__xludf.DUMMYFUNCTION("VALUE(IFERROR(VLOOKUP($Y47, IMPORTRANGE(""https://docs.google.com/spreadsheets/d/1UdH2L0xi8dO6jyPCcO5e5-8j7SGzezxkeZuF1uP8uOw"",""fighter_param (""&amp;TO_TEXT($A$1)&amp;"")!B4:JZ""), 21, FALSE), """"))"),37.62)</f>
        <v>37.62</v>
      </c>
      <c r="W47" s="3708">
        <f>Fighters!S47</f>
        <v>46</v>
      </c>
      <c r="X47" s="3709">
        <f>Fighters!T47</f>
        <v>41</v>
      </c>
      <c r="Y47" s="3710" t="str">
        <f>Fighters!V47</f>
        <v>lucario</v>
      </c>
    </row>
    <row r="48">
      <c r="A48" s="3700">
        <f>Fighters!$A48</f>
        <v>42</v>
      </c>
      <c r="B48" s="3701" t="str">
        <f>Fighters!$B48</f>
        <v>ロボット</v>
      </c>
      <c r="C48" s="3735">
        <f t="shared" si="1"/>
        <v>29</v>
      </c>
      <c r="D48" s="3734">
        <f>IFERROR(__xludf.DUMMYFUNCTION("VALUE(IFERROR(VLOOKUP($Y48, IMPORTRANGE(""https://docs.google.com/spreadsheets/d/1UdH2L0xi8dO6jyPCcO5e5-8j7SGzezxkeZuF1uP8uOw"",""fighter_param (""&amp;TO_TEXT($A$1)&amp;"")!B4:JZ""), 9, FALSE), """"))"),2.002)</f>
        <v>2.002</v>
      </c>
      <c r="E48" s="3735">
        <f t="shared" si="2"/>
        <v>21</v>
      </c>
      <c r="F48" s="3735">
        <f>IFERROR(__xludf.DUMMYFUNCTION("VALUE(IFERROR(VLOOKUP($Y48, IMPORTRANGE(""https://docs.google.com/spreadsheets/d/1UdH2L0xi8dO6jyPCcO5e5-8j7SGzezxkeZuF1uP8uOw"",""fighter_param (""&amp;TO_TEXT($A$1)&amp;"")!B4:JZ""), 10, FALSE), """")) + VALUE(IFERROR(VLOOKUP($Y48, IMPORTRANGE(""https://docs.goo"&amp;"gle.com/spreadsheets/d/1UdH2L0xi8dO6jyPCcO5e5-8j7SGzezxkeZuF1uP8uOw"",""fighter_param (""&amp;TO_TEXT($A$1)&amp;"")!B4:JZ""), 11, FALSE), """"))"),0.16808)</f>
        <v>0.16808</v>
      </c>
      <c r="G48" s="3735">
        <f t="shared" si="3"/>
        <v>55</v>
      </c>
      <c r="H48" s="3734">
        <f>IFERROR(__xludf.DUMMYFUNCTION("VALUE(IFERROR(VLOOKUP($Y48, IMPORTRANGE(""https://docs.google.com/spreadsheets/d/1UdH2L0xi8dO6jyPCcO5e5-8j7SGzezxkeZuF1uP8uOw"",""fighter_param (""&amp;TO_TEXT($A$1)&amp;"")!B4:JZ""), 8, FALSE), """"))"),0.105)</f>
        <v>0.105</v>
      </c>
      <c r="I48" s="3735">
        <f t="shared" si="4"/>
        <v>30</v>
      </c>
      <c r="J48" s="3735">
        <f>IFERROR(__xludf.DUMMYFUNCTION("VALUE(IFERROR(VLOOKUP($Y48, IMPORTRANGE(""https://docs.google.com/spreadsheets/d/1UdH2L0xi8dO6jyPCcO5e5-8j7SGzezxkeZuF1uP8uOw"",""fighter_param (""&amp;TO_TEXT($A$1)&amp;"")!B4:JZ""), 22, FALSE), """")) + VALUE(IFERROR(VLOOKUP($Y48, IMPORTRANGE(""https://docs.goo"&amp;"gle.com/spreadsheets/d/1UdH2L0xi8dO6jyPCcO5e5-8j7SGzezxkeZuF1uP8uOw"",""fighter_param (""&amp;TO_TEXT($A$1)&amp;"")!B4:JZ""), 23, FALSE), """"))"),0.08499999999999999)</f>
        <v>0.085</v>
      </c>
      <c r="K48" s="3735">
        <f t="shared" si="5"/>
        <v>9</v>
      </c>
      <c r="L48" s="3734">
        <f>IFERROR(__xludf.DUMMYFUNCTION("VALUE(IFERROR(VLOOKUP($Y48, IMPORTRANGE(""https://docs.google.com/spreadsheets/d/1UdH2L0xi8dO6jyPCcO5e5-8j7SGzezxkeZuF1uP8uOw"",""fighter_param (""&amp;TO_TEXT($A$1)&amp;"")!B4:JZ""), 25, FALSE), """"))"),0.015)</f>
        <v>0.015</v>
      </c>
      <c r="M48" s="3735">
        <f t="shared" si="6"/>
        <v>45</v>
      </c>
      <c r="N48" s="3734">
        <f>IFERROR(__xludf.DUMMYFUNCTION("VALUE(IFERROR(VLOOKUP($Y48, IMPORTRANGE(""https://docs.google.com/spreadsheets/d/1UdH2L0xi8dO6jyPCcO5e5-8j7SGzezxkeZuF1uP8uOw"",""fighter_param (""&amp;TO_TEXT($A$1)&amp;"")!B4:JZ""), 26, FALSE), """"))"),0.09)</f>
        <v>0.09</v>
      </c>
      <c r="O48" s="3735" t="str">
        <f t="shared" si="7"/>
        <v/>
      </c>
      <c r="P48" s="3735" t="s">
        <v>76</v>
      </c>
      <c r="Q48" s="3735">
        <f t="shared" si="8"/>
        <v>9</v>
      </c>
      <c r="R48" s="3734">
        <f>IFERROR(__xludf.DUMMYFUNCTION("VALUE(IFERROR(VLOOKUP($Y48, IMPORTRANGE(""https://docs.google.com/spreadsheets/d/1UdH2L0xi8dO6jyPCcO5e5-8j7SGzezxkeZuF1uP8uOw"",""fighter_param (""&amp;TO_TEXT($A$1)&amp;"")!B4:JZ""), 19, FALSE), """"))"),38.0)</f>
        <v>38</v>
      </c>
      <c r="S48" s="3735">
        <f t="shared" si="9"/>
        <v>8</v>
      </c>
      <c r="T48" s="3734">
        <f>IFERROR(__xludf.DUMMYFUNCTION("VALUE(IFERROR(VLOOKUP($Y48, IMPORTRANGE(""https://docs.google.com/spreadsheets/d/1UdH2L0xi8dO6jyPCcO5e5-8j7SGzezxkeZuF1uP8uOw"",""fighter_param (""&amp;TO_TEXT($A$1)&amp;"")!B4:JZ""), 20, FALSE), """"))"),18.38)</f>
        <v>18.38</v>
      </c>
      <c r="U48" s="3735">
        <f t="shared" si="10"/>
        <v>16</v>
      </c>
      <c r="V48" s="3734">
        <f>IFERROR(__xludf.DUMMYFUNCTION("VALUE(IFERROR(VLOOKUP($Y48, IMPORTRANGE(""https://docs.google.com/spreadsheets/d/1UdH2L0xi8dO6jyPCcO5e5-8j7SGzezxkeZuF1uP8uOw"",""fighter_param (""&amp;TO_TEXT($A$1)&amp;"")!B4:JZ""), 21, FALSE), """"))"),38.0)</f>
        <v>38</v>
      </c>
      <c r="W48" s="3708">
        <f>Fighters!S48</f>
        <v>47</v>
      </c>
      <c r="X48" s="3709">
        <f>Fighters!T48</f>
        <v>42</v>
      </c>
      <c r="Y48" s="3710" t="str">
        <f>Fighters!V48</f>
        <v>robot</v>
      </c>
    </row>
    <row r="49">
      <c r="A49" s="3700">
        <f>Fighters!$A49</f>
        <v>43</v>
      </c>
      <c r="B49" s="3701" t="str">
        <f>Fighters!$B49</f>
        <v>トゥーンリンク</v>
      </c>
      <c r="C49" s="3735">
        <f t="shared" si="1"/>
        <v>44</v>
      </c>
      <c r="D49" s="3734">
        <f>IFERROR(__xludf.DUMMYFUNCTION("VALUE(IFERROR(VLOOKUP($Y49, IMPORTRANGE(""https://docs.google.com/spreadsheets/d/1UdH2L0xi8dO6jyPCcO5e5-8j7SGzezxkeZuF1uP8uOw"",""fighter_param (""&amp;TO_TEXT($A$1)&amp;"")!B4:JZ""), 9, FALSE), """"))"),1.914)</f>
        <v>1.914</v>
      </c>
      <c r="E49" s="3735">
        <f t="shared" si="2"/>
        <v>27</v>
      </c>
      <c r="F49" s="3735">
        <f>IFERROR(__xludf.DUMMYFUNCTION("VALUE(IFERROR(VLOOKUP($Y49, IMPORTRANGE(""https://docs.google.com/spreadsheets/d/1UdH2L0xi8dO6jyPCcO5e5-8j7SGzezxkeZuF1uP8uOw"",""fighter_param (""&amp;TO_TEXT($A$1)&amp;"")!B4:JZ""), 10, FALSE), """")) + VALUE(IFERROR(VLOOKUP($Y49, IMPORTRANGE(""https://docs.goo"&amp;"gle.com/spreadsheets/d/1UdH2L0xi8dO6jyPCcO5e5-8j7SGzezxkeZuF1uP8uOw"",""fighter_param (""&amp;TO_TEXT($A$1)&amp;"")!B4:JZ""), 11, FALSE), """"))"),0.15378)</f>
        <v>0.15378</v>
      </c>
      <c r="G49" s="3735">
        <f t="shared" si="3"/>
        <v>77</v>
      </c>
      <c r="H49" s="3734">
        <f>IFERROR(__xludf.DUMMYFUNCTION("VALUE(IFERROR(VLOOKUP($Y49, IMPORTRANGE(""https://docs.google.com/spreadsheets/d/1UdH2L0xi8dO6jyPCcO5e5-8j7SGzezxkeZuF1uP8uOw"",""fighter_param (""&amp;TO_TEXT($A$1)&amp;"")!B4:JZ""), 8, FALSE), """"))"),0.086)</f>
        <v>0.086</v>
      </c>
      <c r="I49" s="3735">
        <f t="shared" si="4"/>
        <v>21</v>
      </c>
      <c r="J49" s="3735">
        <f>IFERROR(__xludf.DUMMYFUNCTION("VALUE(IFERROR(VLOOKUP($Y49, IMPORTRANGE(""https://docs.google.com/spreadsheets/d/1UdH2L0xi8dO6jyPCcO5e5-8j7SGzezxkeZuF1uP8uOw"",""fighter_param (""&amp;TO_TEXT($A$1)&amp;"")!B4:JZ""), 22, FALSE), """")) + VALUE(IFERROR(VLOOKUP($Y49, IMPORTRANGE(""https://docs.goo"&amp;"gle.com/spreadsheets/d/1UdH2L0xi8dO6jyPCcO5e5-8j7SGzezxkeZuF1uP8uOw"",""fighter_param (""&amp;TO_TEXT($A$1)&amp;"")!B4:JZ""), 23, FALSE), """"))"),0.09)</f>
        <v>0.09</v>
      </c>
      <c r="K49" s="3735">
        <f t="shared" si="5"/>
        <v>40</v>
      </c>
      <c r="L49" s="3734">
        <f>IFERROR(__xludf.DUMMYFUNCTION("VALUE(IFERROR(VLOOKUP($Y49, IMPORTRANGE(""https://docs.google.com/spreadsheets/d/1UdH2L0xi8dO6jyPCcO5e5-8j7SGzezxkeZuF1uP8uOw"",""fighter_param (""&amp;TO_TEXT($A$1)&amp;"")!B4:JZ""), 25, FALSE), """"))"),0.01)</f>
        <v>0.01</v>
      </c>
      <c r="M49" s="3735">
        <f t="shared" si="6"/>
        <v>65</v>
      </c>
      <c r="N49" s="3734">
        <f>IFERROR(__xludf.DUMMYFUNCTION("VALUE(IFERROR(VLOOKUP($Y49, IMPORTRANGE(""https://docs.google.com/spreadsheets/d/1UdH2L0xi8dO6jyPCcO5e5-8j7SGzezxkeZuF1uP8uOw"",""fighter_param (""&amp;TO_TEXT($A$1)&amp;"")!B4:JZ""), 26, FALSE), """"))"),0.081)</f>
        <v>0.081</v>
      </c>
      <c r="O49" s="3735" t="str">
        <f t="shared" si="7"/>
        <v/>
      </c>
      <c r="P49" s="3735" t="s">
        <v>76</v>
      </c>
      <c r="Q49" s="3735">
        <f t="shared" si="8"/>
        <v>32</v>
      </c>
      <c r="R49" s="3734">
        <f>IFERROR(__xludf.DUMMYFUNCTION("VALUE(IFERROR(VLOOKUP($Y49, IMPORTRANGE(""https://docs.google.com/spreadsheets/d/1UdH2L0xi8dO6jyPCcO5e5-8j7SGzezxkeZuF1uP8uOw"",""fighter_param (""&amp;TO_TEXT($A$1)&amp;"")!B4:JZ""), 19, FALSE), """"))"),33.8)</f>
        <v>33.8</v>
      </c>
      <c r="S49" s="3735">
        <f t="shared" si="9"/>
        <v>38</v>
      </c>
      <c r="T49" s="3734">
        <f>IFERROR(__xludf.DUMMYFUNCTION("VALUE(IFERROR(VLOOKUP($Y49, IMPORTRANGE(""https://docs.google.com/spreadsheets/d/1UdH2L0xi8dO6jyPCcO5e5-8j7SGzezxkeZuF1uP8uOw"",""fighter_param (""&amp;TO_TEXT($A$1)&amp;"")!B4:JZ""), 20, FALSE), """"))"),16.32)</f>
        <v>16.32</v>
      </c>
      <c r="U49" s="3735">
        <f t="shared" si="10"/>
        <v>37</v>
      </c>
      <c r="V49" s="3734">
        <f>IFERROR(__xludf.DUMMYFUNCTION("VALUE(IFERROR(VLOOKUP($Y49, IMPORTRANGE(""https://docs.google.com/spreadsheets/d/1UdH2L0xi8dO6jyPCcO5e5-8j7SGzezxkeZuF1uP8uOw"",""fighter_param (""&amp;TO_TEXT($A$1)&amp;"")!B4:JZ""), 21, FALSE), """"))"),33.8)</f>
        <v>33.8</v>
      </c>
      <c r="W49" s="3708">
        <f>Fighters!S49</f>
        <v>48</v>
      </c>
      <c r="X49" s="3709">
        <f>Fighters!T49</f>
        <v>43</v>
      </c>
      <c r="Y49" s="3710" t="str">
        <f>Fighters!V49</f>
        <v>toonlink</v>
      </c>
    </row>
    <row r="50">
      <c r="A50" s="3700">
        <f>Fighters!$A50</f>
        <v>44</v>
      </c>
      <c r="B50" s="3701" t="str">
        <f>Fighters!$B50</f>
        <v>ウルフ</v>
      </c>
      <c r="C50" s="3735">
        <f t="shared" si="1"/>
        <v>18</v>
      </c>
      <c r="D50" s="3734">
        <f>IFERROR(__xludf.DUMMYFUNCTION("VALUE(IFERROR(VLOOKUP($Y50, IMPORTRANGE(""https://docs.google.com/spreadsheets/d/1UdH2L0xi8dO6jyPCcO5e5-8j7SGzezxkeZuF1uP8uOw"",""fighter_param (""&amp;TO_TEXT($A$1)&amp;"")!B4:JZ""), 9, FALSE), """"))"),2.09)</f>
        <v>2.09</v>
      </c>
      <c r="E50" s="3735">
        <f t="shared" si="2"/>
        <v>27</v>
      </c>
      <c r="F50" s="3735">
        <f>IFERROR(__xludf.DUMMYFUNCTION("VALUE(IFERROR(VLOOKUP($Y50, IMPORTRANGE(""https://docs.google.com/spreadsheets/d/1UdH2L0xi8dO6jyPCcO5e5-8j7SGzezxkeZuF1uP8uOw"",""fighter_param (""&amp;TO_TEXT($A$1)&amp;"")!B4:JZ""), 10, FALSE), """")) + VALUE(IFERROR(VLOOKUP($Y50, IMPORTRANGE(""https://docs.goo"&amp;"gle.com/spreadsheets/d/1UdH2L0xi8dO6jyPCcO5e5-8j7SGzezxkeZuF1uP8uOw"",""fighter_param (""&amp;TO_TEXT($A$1)&amp;"")!B4:JZ""), 11, FALSE), """"))"),0.15378)</f>
        <v>0.15378</v>
      </c>
      <c r="G50" s="3735">
        <f t="shared" si="3"/>
        <v>39</v>
      </c>
      <c r="H50" s="3734">
        <f>IFERROR(__xludf.DUMMYFUNCTION("VALUE(IFERROR(VLOOKUP($Y50, IMPORTRANGE(""https://docs.google.com/spreadsheets/d/1UdH2L0xi8dO6jyPCcO5e5-8j7SGzezxkeZuF1uP8uOw"",""fighter_param (""&amp;TO_TEXT($A$1)&amp;"")!B4:JZ""), 8, FALSE), """"))"),0.11)</f>
        <v>0.11</v>
      </c>
      <c r="I50" s="3735">
        <f t="shared" si="4"/>
        <v>21</v>
      </c>
      <c r="J50" s="3735">
        <f>IFERROR(__xludf.DUMMYFUNCTION("VALUE(IFERROR(VLOOKUP($Y50, IMPORTRANGE(""https://docs.google.com/spreadsheets/d/1UdH2L0xi8dO6jyPCcO5e5-8j7SGzezxkeZuF1uP8uOw"",""fighter_param (""&amp;TO_TEXT($A$1)&amp;"")!B4:JZ""), 22, FALSE), """")) + VALUE(IFERROR(VLOOKUP($Y50, IMPORTRANGE(""https://docs.goo"&amp;"gle.com/spreadsheets/d/1UdH2L0xi8dO6jyPCcO5e5-8j7SGzezxkeZuF1uP8uOw"",""fighter_param (""&amp;TO_TEXT($A$1)&amp;"")!B4:JZ""), 23, FALSE), """"))"),0.09)</f>
        <v>0.09</v>
      </c>
      <c r="K50" s="3735">
        <f t="shared" si="5"/>
        <v>83</v>
      </c>
      <c r="L50" s="3734">
        <f>IFERROR(__xludf.DUMMYFUNCTION("VALUE(IFERROR(VLOOKUP($Y50, IMPORTRANGE(""https://docs.google.com/spreadsheets/d/1UdH2L0xi8dO6jyPCcO5e5-8j7SGzezxkeZuF1uP8uOw"",""fighter_param (""&amp;TO_TEXT($A$1)&amp;"")!B4:JZ""), 25, FALSE), """"))"),0.004)</f>
        <v>0.004</v>
      </c>
      <c r="M50" s="3735">
        <f t="shared" si="6"/>
        <v>8</v>
      </c>
      <c r="N50" s="3734">
        <f>IFERROR(__xludf.DUMMYFUNCTION("VALUE(IFERROR(VLOOKUP($Y50, IMPORTRANGE(""https://docs.google.com/spreadsheets/d/1UdH2L0xi8dO6jyPCcO5e5-8j7SGzezxkeZuF1uP8uOw"",""fighter_param (""&amp;TO_TEXT($A$1)&amp;"")!B4:JZ""), 26, FALSE), """"))"),0.13)</f>
        <v>0.13</v>
      </c>
      <c r="O50" s="3735" t="str">
        <f t="shared" si="7"/>
        <v/>
      </c>
      <c r="P50" s="3735" t="s">
        <v>76</v>
      </c>
      <c r="Q50" s="3735">
        <f t="shared" si="8"/>
        <v>50</v>
      </c>
      <c r="R50" s="3734">
        <f>IFERROR(__xludf.DUMMYFUNCTION("VALUE(IFERROR(VLOOKUP($Y50, IMPORTRANGE(""https://docs.google.com/spreadsheets/d/1UdH2L0xi8dO6jyPCcO5e5-8j7SGzezxkeZuF1uP8uOw"",""fighter_param (""&amp;TO_TEXT($A$1)&amp;"")!B4:JZ""), 19, FALSE), """"))"),32.02)</f>
        <v>32.02</v>
      </c>
      <c r="S50" s="3735">
        <f t="shared" si="9"/>
        <v>55</v>
      </c>
      <c r="T50" s="3734">
        <f>IFERROR(__xludf.DUMMYFUNCTION("VALUE(IFERROR(VLOOKUP($Y50, IMPORTRANGE(""https://docs.google.com/spreadsheets/d/1UdH2L0xi8dO6jyPCcO5e5-8j7SGzezxkeZuF1uP8uOw"",""fighter_param (""&amp;TO_TEXT($A$1)&amp;"")!B4:JZ""), 20, FALSE), """"))"),15.38)</f>
        <v>15.38</v>
      </c>
      <c r="U50" s="3735">
        <f t="shared" si="10"/>
        <v>61</v>
      </c>
      <c r="V50" s="3734">
        <f>IFERROR(__xludf.DUMMYFUNCTION("VALUE(IFERROR(VLOOKUP($Y50, IMPORTRANGE(""https://docs.google.com/spreadsheets/d/1UdH2L0xi8dO6jyPCcO5e5-8j7SGzezxkeZuF1uP8uOw"",""fighter_param (""&amp;TO_TEXT($A$1)&amp;"")!B4:JZ""), 21, FALSE), """"))"),30.71)</f>
        <v>30.71</v>
      </c>
      <c r="W50" s="3708">
        <f>Fighters!S50</f>
        <v>49</v>
      </c>
      <c r="X50" s="3709">
        <f>Fighters!T50</f>
        <v>44</v>
      </c>
      <c r="Y50" s="3710" t="str">
        <f>Fighters!V50</f>
        <v>wolf</v>
      </c>
    </row>
    <row r="51">
      <c r="A51" s="3700">
        <f>Fighters!$A51</f>
        <v>45</v>
      </c>
      <c r="B51" s="3701" t="str">
        <f>Fighters!$B51</f>
        <v>むらびと</v>
      </c>
      <c r="C51" s="3735">
        <f t="shared" si="1"/>
        <v>62</v>
      </c>
      <c r="D51" s="3734">
        <f>IFERROR(__xludf.DUMMYFUNCTION("VALUE(IFERROR(VLOOKUP($Y51, IMPORTRANGE(""https://docs.google.com/spreadsheets/d/1UdH2L0xi8dO6jyPCcO5e5-8j7SGzezxkeZuF1uP8uOw"",""fighter_param (""&amp;TO_TEXT($A$1)&amp;"")!B4:JZ""), 9, FALSE), """"))"),1.815)</f>
        <v>1.815</v>
      </c>
      <c r="E51" s="3735">
        <f t="shared" si="2"/>
        <v>27</v>
      </c>
      <c r="F51" s="3735">
        <f>IFERROR(__xludf.DUMMYFUNCTION("VALUE(IFERROR(VLOOKUP($Y51, IMPORTRANGE(""https://docs.google.com/spreadsheets/d/1UdH2L0xi8dO6jyPCcO5e5-8j7SGzezxkeZuF1uP8uOw"",""fighter_param (""&amp;TO_TEXT($A$1)&amp;"")!B4:JZ""), 10, FALSE), """")) + VALUE(IFERROR(VLOOKUP($Y51, IMPORTRANGE(""https://docs.goo"&amp;"gle.com/spreadsheets/d/1UdH2L0xi8dO6jyPCcO5e5-8j7SGzezxkeZuF1uP8uOw"",""fighter_param (""&amp;TO_TEXT($A$1)&amp;"")!B4:JZ""), 11, FALSE), """"))"),0.15378)</f>
        <v>0.15378</v>
      </c>
      <c r="G51" s="3735">
        <f t="shared" si="3"/>
        <v>5</v>
      </c>
      <c r="H51" s="3734">
        <f>IFERROR(__xludf.DUMMYFUNCTION("VALUE(IFERROR(VLOOKUP($Y51, IMPORTRANGE(""https://docs.google.com/spreadsheets/d/1UdH2L0xi8dO6jyPCcO5e5-8j7SGzezxkeZuF1uP8uOw"",""fighter_param (""&amp;TO_TEXT($A$1)&amp;"")!B4:JZ""), 8, FALSE), """"))"),0.131)</f>
        <v>0.131</v>
      </c>
      <c r="I51" s="3735">
        <f t="shared" si="4"/>
        <v>58</v>
      </c>
      <c r="J51" s="3735">
        <f>IFERROR(__xludf.DUMMYFUNCTION("VALUE(IFERROR(VLOOKUP($Y51, IMPORTRANGE(""https://docs.google.com/spreadsheets/d/1UdH2L0xi8dO6jyPCcO5e5-8j7SGzezxkeZuF1uP8uOw"",""fighter_param (""&amp;TO_TEXT($A$1)&amp;"")!B4:JZ""), 22, FALSE), """")) + VALUE(IFERROR(VLOOKUP($Y51, IMPORTRANGE(""https://docs.goo"&amp;"gle.com/spreadsheets/d/1UdH2L0xi8dO6jyPCcO5e5-8j7SGzezxkeZuF1uP8uOw"",""fighter_param (""&amp;TO_TEXT($A$1)&amp;"")!B4:JZ""), 23, FALSE), """"))"),0.060000000000000005)</f>
        <v>0.06</v>
      </c>
      <c r="K51" s="3735">
        <f t="shared" si="5"/>
        <v>40</v>
      </c>
      <c r="L51" s="3734">
        <f>IFERROR(__xludf.DUMMYFUNCTION("VALUE(IFERROR(VLOOKUP($Y51, IMPORTRANGE(""https://docs.google.com/spreadsheets/d/1UdH2L0xi8dO6jyPCcO5e5-8j7SGzezxkeZuF1uP8uOw"",""fighter_param (""&amp;TO_TEXT($A$1)&amp;"")!B4:JZ""), 25, FALSE), """"))"),0.01)</f>
        <v>0.01</v>
      </c>
      <c r="M51" s="3735">
        <f t="shared" si="6"/>
        <v>71</v>
      </c>
      <c r="N51" s="3734">
        <f>IFERROR(__xludf.DUMMYFUNCTION("VALUE(IFERROR(VLOOKUP($Y51, IMPORTRANGE(""https://docs.google.com/spreadsheets/d/1UdH2L0xi8dO6jyPCcO5e5-8j7SGzezxkeZuF1uP8uOw"",""fighter_param (""&amp;TO_TEXT($A$1)&amp;"")!B4:JZ""), 26, FALSE), """"))"),0.078)</f>
        <v>0.078</v>
      </c>
      <c r="O51" s="3735" t="str">
        <f t="shared" si="7"/>
        <v/>
      </c>
      <c r="P51" s="3735" t="s">
        <v>76</v>
      </c>
      <c r="Q51" s="3735">
        <f t="shared" si="8"/>
        <v>45</v>
      </c>
      <c r="R51" s="3734">
        <f>IFERROR(__xludf.DUMMYFUNCTION("VALUE(IFERROR(VLOOKUP($Y51, IMPORTRANGE(""https://docs.google.com/spreadsheets/d/1UdH2L0xi8dO6jyPCcO5e5-8j7SGzezxkeZuF1uP8uOw"",""fighter_param (""&amp;TO_TEXT($A$1)&amp;"")!B4:JZ""), 19, FALSE), """"))"),32.5)</f>
        <v>32.5</v>
      </c>
      <c r="S51" s="3735">
        <f t="shared" si="9"/>
        <v>49</v>
      </c>
      <c r="T51" s="3734">
        <f>IFERROR(__xludf.DUMMYFUNCTION("VALUE(IFERROR(VLOOKUP($Y51, IMPORTRANGE(""https://docs.google.com/spreadsheets/d/1UdH2L0xi8dO6jyPCcO5e5-8j7SGzezxkeZuF1uP8uOw"",""fighter_param (""&amp;TO_TEXT($A$1)&amp;"")!B4:JZ""), 20, FALSE), """"))"),15.69)</f>
        <v>15.69</v>
      </c>
      <c r="U51" s="3735">
        <f t="shared" si="10"/>
        <v>50</v>
      </c>
      <c r="V51" s="3734">
        <f>IFERROR(__xludf.DUMMYFUNCTION("VALUE(IFERROR(VLOOKUP($Y51, IMPORTRANGE(""https://docs.google.com/spreadsheets/d/1UdH2L0xi8dO6jyPCcO5e5-8j7SGzezxkeZuF1uP8uOw"",""fighter_param (""&amp;TO_TEXT($A$1)&amp;"")!B4:JZ""), 21, FALSE), """"))"),32.5)</f>
        <v>32.5</v>
      </c>
      <c r="W51" s="3708">
        <f>Fighters!S51</f>
        <v>50</v>
      </c>
      <c r="X51" s="3709">
        <f>Fighters!T51</f>
        <v>45</v>
      </c>
      <c r="Y51" s="3710" t="str">
        <f>Fighters!V51</f>
        <v>murabito</v>
      </c>
    </row>
    <row r="52">
      <c r="A52" s="3700">
        <f>Fighters!$A52</f>
        <v>46</v>
      </c>
      <c r="B52" s="3701" t="str">
        <f>Fighters!$B52</f>
        <v>ロックマン</v>
      </c>
      <c r="C52" s="3735">
        <f t="shared" si="1"/>
        <v>36</v>
      </c>
      <c r="D52" s="3734">
        <f>IFERROR(__xludf.DUMMYFUNCTION("VALUE(IFERROR(VLOOKUP($Y52, IMPORTRANGE(""https://docs.google.com/spreadsheets/d/1UdH2L0xi8dO6jyPCcO5e5-8j7SGzezxkeZuF1uP8uOw"",""fighter_param (""&amp;TO_TEXT($A$1)&amp;"")!B4:JZ""), 9, FALSE), """"))"),1.958)</f>
        <v>1.958</v>
      </c>
      <c r="E52" s="3735">
        <f t="shared" si="2"/>
        <v>27</v>
      </c>
      <c r="F52" s="3735">
        <f>IFERROR(__xludf.DUMMYFUNCTION("VALUE(IFERROR(VLOOKUP($Y52, IMPORTRANGE(""https://docs.google.com/spreadsheets/d/1UdH2L0xi8dO6jyPCcO5e5-8j7SGzezxkeZuF1uP8uOw"",""fighter_param (""&amp;TO_TEXT($A$1)&amp;"")!B4:JZ""), 10, FALSE), """")) + VALUE(IFERROR(VLOOKUP($Y52, IMPORTRANGE(""https://docs.goo"&amp;"gle.com/spreadsheets/d/1UdH2L0xi8dO6jyPCcO5e5-8j7SGzezxkeZuF1uP8uOw"",""fighter_param (""&amp;TO_TEXT($A$1)&amp;"")!B4:JZ""), 11, FALSE), """"))"),0.15378)</f>
        <v>0.15378</v>
      </c>
      <c r="G52" s="3735">
        <f t="shared" si="3"/>
        <v>68</v>
      </c>
      <c r="H52" s="3734">
        <f>IFERROR(__xludf.DUMMYFUNCTION("VALUE(IFERROR(VLOOKUP($Y52, IMPORTRANGE(""https://docs.google.com/spreadsheets/d/1UdH2L0xi8dO6jyPCcO5e5-8j7SGzezxkeZuF1uP8uOw"",""fighter_param (""&amp;TO_TEXT($A$1)&amp;"")!B4:JZ""), 8, FALSE), """"))"),0.094)</f>
        <v>0.094</v>
      </c>
      <c r="I52" s="3735">
        <f t="shared" si="4"/>
        <v>6</v>
      </c>
      <c r="J52" s="3735">
        <f>IFERROR(__xludf.DUMMYFUNCTION("VALUE(IFERROR(VLOOKUP($Y52, IMPORTRANGE(""https://docs.google.com/spreadsheets/d/1UdH2L0xi8dO6jyPCcO5e5-8j7SGzezxkeZuF1uP8uOw"",""fighter_param (""&amp;TO_TEXT($A$1)&amp;"")!B4:JZ""), 22, FALSE), """")) + VALUE(IFERROR(VLOOKUP($Y52, IMPORTRANGE(""https://docs.goo"&amp;"gle.com/spreadsheets/d/1UdH2L0xi8dO6jyPCcO5e5-8j7SGzezxkeZuF1uP8uOw"",""fighter_param (""&amp;TO_TEXT($A$1)&amp;"")!B4:JZ""), 23, FALSE), """"))"),0.11)</f>
        <v>0.11</v>
      </c>
      <c r="K52" s="3735">
        <f t="shared" si="5"/>
        <v>1</v>
      </c>
      <c r="L52" s="3734">
        <f>IFERROR(__xludf.DUMMYFUNCTION("VALUE(IFERROR(VLOOKUP($Y52, IMPORTRANGE(""https://docs.google.com/spreadsheets/d/1UdH2L0xi8dO6jyPCcO5e5-8j7SGzezxkeZuF1uP8uOw"",""fighter_param (""&amp;TO_TEXT($A$1)&amp;"")!B4:JZ""), 25, FALSE), """"))"),0.05)</f>
        <v>0.05</v>
      </c>
      <c r="M52" s="3735">
        <f t="shared" si="6"/>
        <v>30</v>
      </c>
      <c r="N52" s="3734">
        <f>IFERROR(__xludf.DUMMYFUNCTION("VALUE(IFERROR(VLOOKUP($Y52, IMPORTRANGE(""https://docs.google.com/spreadsheets/d/1UdH2L0xi8dO6jyPCcO5e5-8j7SGzezxkeZuF1uP8uOw"",""fighter_param (""&amp;TO_TEXT($A$1)&amp;"")!B4:JZ""), 26, FALSE), """"))"),0.107)</f>
        <v>0.107</v>
      </c>
      <c r="O52" s="3735" t="str">
        <f t="shared" si="7"/>
        <v/>
      </c>
      <c r="P52" s="3735" t="s">
        <v>76</v>
      </c>
      <c r="Q52" s="3735">
        <f t="shared" si="8"/>
        <v>44</v>
      </c>
      <c r="R52" s="3734">
        <f>IFERROR(__xludf.DUMMYFUNCTION("VALUE(IFERROR(VLOOKUP($Y52, IMPORTRANGE(""https://docs.google.com/spreadsheets/d/1UdH2L0xi8dO6jyPCcO5e5-8j7SGzezxkeZuF1uP8uOw"",""fighter_param (""&amp;TO_TEXT($A$1)&amp;"")!B4:JZ""), 19, FALSE), """"))"),32.8)</f>
        <v>32.8</v>
      </c>
      <c r="S52" s="3735">
        <f t="shared" si="9"/>
        <v>86</v>
      </c>
      <c r="T52" s="3734">
        <f>IFERROR(__xludf.DUMMYFUNCTION("VALUE(IFERROR(VLOOKUP($Y52, IMPORTRANGE(""https://docs.google.com/spreadsheets/d/1UdH2L0xi8dO6jyPCcO5e5-8j7SGzezxkeZuF1uP8uOw"",""fighter_param (""&amp;TO_TEXT($A$1)&amp;"")!B4:JZ""), 20, FALSE), """"))"),11.49)</f>
        <v>11.49</v>
      </c>
      <c r="U52" s="3735">
        <f t="shared" si="10"/>
        <v>46</v>
      </c>
      <c r="V52" s="3734">
        <f>IFERROR(__xludf.DUMMYFUNCTION("VALUE(IFERROR(VLOOKUP($Y52, IMPORTRANGE(""https://docs.google.com/spreadsheets/d/1UdH2L0xi8dO6jyPCcO5e5-8j7SGzezxkeZuF1uP8uOw"",""fighter_param (""&amp;TO_TEXT($A$1)&amp;"")!B4:JZ""), 21, FALSE), """"))"),32.8)</f>
        <v>32.8</v>
      </c>
      <c r="W52" s="3708">
        <f>Fighters!S52</f>
        <v>51</v>
      </c>
      <c r="X52" s="3709">
        <f>Fighters!T52</f>
        <v>46</v>
      </c>
      <c r="Y52" s="3710" t="str">
        <f>Fighters!V52</f>
        <v>rockman</v>
      </c>
    </row>
    <row r="53">
      <c r="A53" s="3700">
        <f>Fighters!$A53</f>
        <v>47</v>
      </c>
      <c r="B53" s="3701" t="str">
        <f>Fighters!$B53</f>
        <v>Wii Fit トレーナー</v>
      </c>
      <c r="C53" s="3735">
        <f t="shared" si="1"/>
        <v>28</v>
      </c>
      <c r="D53" s="3734">
        <f>IFERROR(__xludf.DUMMYFUNCTION("VALUE(IFERROR(VLOOKUP($Y53, IMPORTRANGE(""https://docs.google.com/spreadsheets/d/1UdH2L0xi8dO6jyPCcO5e5-8j7SGzezxkeZuF1uP8uOw"",""fighter_param (""&amp;TO_TEXT($A$1)&amp;"")!B4:JZ""), 9, FALSE), """"))"),2.024)</f>
        <v>2.024</v>
      </c>
      <c r="E53" s="3735">
        <f t="shared" si="2"/>
        <v>27</v>
      </c>
      <c r="F53" s="3735">
        <f>IFERROR(__xludf.DUMMYFUNCTION("VALUE(IFERROR(VLOOKUP($Y53, IMPORTRANGE(""https://docs.google.com/spreadsheets/d/1UdH2L0xi8dO6jyPCcO5e5-8j7SGzezxkeZuF1uP8uOw"",""fighter_param (""&amp;TO_TEXT($A$1)&amp;"")!B4:JZ""), 10, FALSE), """")) + VALUE(IFERROR(VLOOKUP($Y53, IMPORTRANGE(""https://docs.goo"&amp;"gle.com/spreadsheets/d/1UdH2L0xi8dO6jyPCcO5e5-8j7SGzezxkeZuF1uP8uOw"",""fighter_param (""&amp;TO_TEXT($A$1)&amp;"")!B4:JZ""), 11, FALSE), """"))"),0.15378)</f>
        <v>0.15378</v>
      </c>
      <c r="G53" s="3735">
        <f t="shared" si="3"/>
        <v>12</v>
      </c>
      <c r="H53" s="3734">
        <f>IFERROR(__xludf.DUMMYFUNCTION("VALUE(IFERROR(VLOOKUP($Y53, IMPORTRANGE(""https://docs.google.com/spreadsheets/d/1UdH2L0xi8dO6jyPCcO5e5-8j7SGzezxkeZuF1uP8uOw"",""fighter_param (""&amp;TO_TEXT($A$1)&amp;"")!B4:JZ""), 8, FALSE), """"))"),0.128)</f>
        <v>0.128</v>
      </c>
      <c r="I53" s="3735">
        <f t="shared" si="4"/>
        <v>21</v>
      </c>
      <c r="J53" s="3735">
        <f>IFERROR(__xludf.DUMMYFUNCTION("VALUE(IFERROR(VLOOKUP($Y53, IMPORTRANGE(""https://docs.google.com/spreadsheets/d/1UdH2L0xi8dO6jyPCcO5e5-8j7SGzezxkeZuF1uP8uOw"",""fighter_param (""&amp;TO_TEXT($A$1)&amp;"")!B4:JZ""), 22, FALSE), """")) + VALUE(IFERROR(VLOOKUP($Y53, IMPORTRANGE(""https://docs.goo"&amp;"gle.com/spreadsheets/d/1UdH2L0xi8dO6jyPCcO5e5-8j7SGzezxkeZuF1uP8uOw"",""fighter_param (""&amp;TO_TEXT($A$1)&amp;"")!B4:JZ""), 23, FALSE), """"))"),0.09)</f>
        <v>0.09</v>
      </c>
      <c r="K53" s="3735">
        <f t="shared" si="5"/>
        <v>40</v>
      </c>
      <c r="L53" s="3734">
        <f>IFERROR(__xludf.DUMMYFUNCTION("VALUE(IFERROR(VLOOKUP($Y53, IMPORTRANGE(""https://docs.google.com/spreadsheets/d/1UdH2L0xi8dO6jyPCcO5e5-8j7SGzezxkeZuF1uP8uOw"",""fighter_param (""&amp;TO_TEXT($A$1)&amp;"")!B4:JZ""), 25, FALSE), """"))"),0.01)</f>
        <v>0.01</v>
      </c>
      <c r="M53" s="3735">
        <f t="shared" si="6"/>
        <v>45</v>
      </c>
      <c r="N53" s="3734">
        <f>IFERROR(__xludf.DUMMYFUNCTION("VALUE(IFERROR(VLOOKUP($Y53, IMPORTRANGE(""https://docs.google.com/spreadsheets/d/1UdH2L0xi8dO6jyPCcO5e5-8j7SGzezxkeZuF1uP8uOw"",""fighter_param (""&amp;TO_TEXT($A$1)&amp;"")!B4:JZ""), 26, FALSE), """"))"),0.09)</f>
        <v>0.09</v>
      </c>
      <c r="O53" s="3735" t="str">
        <f t="shared" si="7"/>
        <v/>
      </c>
      <c r="P53" s="3735" t="s">
        <v>76</v>
      </c>
      <c r="Q53" s="3735">
        <f t="shared" si="8"/>
        <v>19</v>
      </c>
      <c r="R53" s="3734">
        <f>IFERROR(__xludf.DUMMYFUNCTION("VALUE(IFERROR(VLOOKUP($Y53, IMPORTRANGE(""https://docs.google.com/spreadsheets/d/1UdH2L0xi8dO6jyPCcO5e5-8j7SGzezxkeZuF1uP8uOw"",""fighter_param (""&amp;TO_TEXT($A$1)&amp;"")!B4:JZ""), 19, FALSE), """"))"),35.6)</f>
        <v>35.6</v>
      </c>
      <c r="S53" s="3735">
        <f t="shared" si="9"/>
        <v>25</v>
      </c>
      <c r="T53" s="3734">
        <f>IFERROR(__xludf.DUMMYFUNCTION("VALUE(IFERROR(VLOOKUP($Y53, IMPORTRANGE(""https://docs.google.com/spreadsheets/d/1UdH2L0xi8dO6jyPCcO5e5-8j7SGzezxkeZuF1uP8uOw"",""fighter_param (""&amp;TO_TEXT($A$1)&amp;"")!B4:JZ""), 20, FALSE), """"))"),17.18)</f>
        <v>17.18</v>
      </c>
      <c r="U53" s="3735">
        <f t="shared" si="10"/>
        <v>26</v>
      </c>
      <c r="V53" s="3734">
        <f>IFERROR(__xludf.DUMMYFUNCTION("VALUE(IFERROR(VLOOKUP($Y53, IMPORTRANGE(""https://docs.google.com/spreadsheets/d/1UdH2L0xi8dO6jyPCcO5e5-8j7SGzezxkeZuF1uP8uOw"",""fighter_param (""&amp;TO_TEXT($A$1)&amp;"")!B4:JZ""), 21, FALSE), """"))"),35.6)</f>
        <v>35.6</v>
      </c>
      <c r="W53" s="3708">
        <f>Fighters!S53</f>
        <v>52</v>
      </c>
      <c r="X53" s="3709">
        <f>Fighters!T53</f>
        <v>47</v>
      </c>
      <c r="Y53" s="3710" t="str">
        <f>Fighters!V53</f>
        <v>wiifit</v>
      </c>
    </row>
    <row r="54">
      <c r="A54" s="3700">
        <f>Fighters!$A54</f>
        <v>48</v>
      </c>
      <c r="B54" s="3701" t="str">
        <f>Fighters!$B54</f>
        <v>ロゼッタ&amp;チコ</v>
      </c>
      <c r="C54" s="3735">
        <f t="shared" si="1"/>
        <v>25</v>
      </c>
      <c r="D54" s="3734">
        <f>IFERROR(__xludf.DUMMYFUNCTION("VALUE(IFERROR(VLOOKUP($Y54, IMPORTRANGE(""https://docs.google.com/spreadsheets/d/1UdH2L0xi8dO6jyPCcO5e5-8j7SGzezxkeZuF1uP8uOw"",""fighter_param (""&amp;TO_TEXT($A$1)&amp;"")!B4:JZ""), 9, FALSE), """"))"),2.035)</f>
        <v>2.035</v>
      </c>
      <c r="E54" s="3735">
        <f t="shared" si="2"/>
        <v>13</v>
      </c>
      <c r="F54" s="3735">
        <f>IFERROR(__xludf.DUMMYFUNCTION("VALUE(IFERROR(VLOOKUP($Y54, IMPORTRANGE(""https://docs.google.com/spreadsheets/d/1UdH2L0xi8dO6jyPCcO5e5-8j7SGzezxkeZuF1uP8uOw"",""fighter_param (""&amp;TO_TEXT($A$1)&amp;"")!B4:JZ""), 10, FALSE), """")) + VALUE(IFERROR(VLOOKUP($Y54, IMPORTRANGE(""https://docs.goo"&amp;"gle.com/spreadsheets/d/1UdH2L0xi8dO6jyPCcO5e5-8j7SGzezxkeZuF1uP8uOw"",""fighter_param (""&amp;TO_TEXT($A$1)&amp;"")!B4:JZ""), 11, FALSE), """"))"),0.17391)</f>
        <v>0.17391</v>
      </c>
      <c r="G54" s="3735">
        <f t="shared" si="3"/>
        <v>63</v>
      </c>
      <c r="H54" s="3734">
        <f>IFERROR(__xludf.DUMMYFUNCTION("VALUE(IFERROR(VLOOKUP($Y54, IMPORTRANGE(""https://docs.google.com/spreadsheets/d/1UdH2L0xi8dO6jyPCcO5e5-8j7SGzezxkeZuF1uP8uOw"",""fighter_param (""&amp;TO_TEXT($A$1)&amp;"")!B4:JZ""), 8, FALSE), """"))"),0.099)</f>
        <v>0.099</v>
      </c>
      <c r="I54" s="3735">
        <f t="shared" si="4"/>
        <v>6</v>
      </c>
      <c r="J54" s="3735">
        <f>IFERROR(__xludf.DUMMYFUNCTION("VALUE(IFERROR(VLOOKUP($Y54, IMPORTRANGE(""https://docs.google.com/spreadsheets/d/1UdH2L0xi8dO6jyPCcO5e5-8j7SGzezxkeZuF1uP8uOw"",""fighter_param (""&amp;TO_TEXT($A$1)&amp;"")!B4:JZ""), 22, FALSE), """")) + VALUE(IFERROR(VLOOKUP($Y54, IMPORTRANGE(""https://docs.goo"&amp;"gle.com/spreadsheets/d/1UdH2L0xi8dO6jyPCcO5e5-8j7SGzezxkeZuF1uP8uOw"",""fighter_param (""&amp;TO_TEXT($A$1)&amp;"")!B4:JZ""), 23, FALSE), """"))"),0.11)</f>
        <v>0.11</v>
      </c>
      <c r="K54" s="3735">
        <f t="shared" si="5"/>
        <v>40</v>
      </c>
      <c r="L54" s="3734">
        <f>IFERROR(__xludf.DUMMYFUNCTION("VALUE(IFERROR(VLOOKUP($Y54, IMPORTRANGE(""https://docs.google.com/spreadsheets/d/1UdH2L0xi8dO6jyPCcO5e5-8j7SGzezxkeZuF1uP8uOw"",""fighter_param (""&amp;TO_TEXT($A$1)&amp;"")!B4:JZ""), 25, FALSE), """"))"),0.01)</f>
        <v>0.01</v>
      </c>
      <c r="M54" s="3735">
        <f t="shared" si="6"/>
        <v>88</v>
      </c>
      <c r="N54" s="3734">
        <f>IFERROR(__xludf.DUMMYFUNCTION("VALUE(IFERROR(VLOOKUP($Y54, IMPORTRANGE(""https://docs.google.com/spreadsheets/d/1UdH2L0xi8dO6jyPCcO5e5-8j7SGzezxkeZuF1uP8uOw"",""fighter_param (""&amp;TO_TEXT($A$1)&amp;"")!B4:JZ""), 26, FALSE), """"))"),0.062)</f>
        <v>0.062</v>
      </c>
      <c r="O54" s="3735" t="str">
        <f t="shared" si="7"/>
        <v/>
      </c>
      <c r="P54" s="3735" t="s">
        <v>76</v>
      </c>
      <c r="Q54" s="3735">
        <f t="shared" si="8"/>
        <v>6</v>
      </c>
      <c r="R54" s="3734">
        <f>IFERROR(__xludf.DUMMYFUNCTION("VALUE(IFERROR(VLOOKUP($Y54, IMPORTRANGE(""https://docs.google.com/spreadsheets/d/1UdH2L0xi8dO6jyPCcO5e5-8j7SGzezxkeZuF1uP8uOw"",""fighter_param (""&amp;TO_TEXT($A$1)&amp;"")!B4:JZ""), 19, FALSE), """"))"),40.0)</f>
        <v>40</v>
      </c>
      <c r="S54" s="3735">
        <f t="shared" si="9"/>
        <v>6</v>
      </c>
      <c r="T54" s="3734">
        <f>IFERROR(__xludf.DUMMYFUNCTION("VALUE(IFERROR(VLOOKUP($Y54, IMPORTRANGE(""https://docs.google.com/spreadsheets/d/1UdH2L0xi8dO6jyPCcO5e5-8j7SGzezxkeZuF1uP8uOw"",""fighter_param (""&amp;TO_TEXT($A$1)&amp;"")!B4:JZ""), 20, FALSE), """"))"),19.37)</f>
        <v>19.37</v>
      </c>
      <c r="U54" s="3735">
        <f t="shared" si="10"/>
        <v>12</v>
      </c>
      <c r="V54" s="3734">
        <f>IFERROR(__xludf.DUMMYFUNCTION("VALUE(IFERROR(VLOOKUP($Y54, IMPORTRANGE(""https://docs.google.com/spreadsheets/d/1UdH2L0xi8dO6jyPCcO5e5-8j7SGzezxkeZuF1uP8uOw"",""fighter_param (""&amp;TO_TEXT($A$1)&amp;"")!B4:JZ""), 21, FALSE), """"))"),40.0)</f>
        <v>40</v>
      </c>
      <c r="W54" s="3708">
        <f>Fighters!S54</f>
        <v>53</v>
      </c>
      <c r="X54" s="3709">
        <f>Fighters!T54</f>
        <v>48</v>
      </c>
      <c r="Y54" s="3710" t="str">
        <f>Fighters!V54</f>
        <v>rosetta</v>
      </c>
    </row>
    <row r="55">
      <c r="A55" s="3700">
        <f>Fighters!$A55</f>
        <v>49</v>
      </c>
      <c r="B55" s="3701" t="str">
        <f>Fighters!$B55</f>
        <v>リトル・マック</v>
      </c>
      <c r="C55" s="3735">
        <f t="shared" si="1"/>
        <v>3</v>
      </c>
      <c r="D55" s="3734">
        <f>IFERROR(__xludf.DUMMYFUNCTION("VALUE(IFERROR(VLOOKUP($Y55, IMPORTRANGE(""https://docs.google.com/spreadsheets/d/1UdH2L0xi8dO6jyPCcO5e5-8j7SGzezxkeZuF1uP8uOw"",""fighter_param (""&amp;TO_TEXT($A$1)&amp;"")!B4:JZ""), 9, FALSE), """"))"),2.365)</f>
        <v>2.365</v>
      </c>
      <c r="E55" s="3735">
        <f t="shared" si="2"/>
        <v>1</v>
      </c>
      <c r="F55" s="3735">
        <f>IFERROR(__xludf.DUMMYFUNCTION("VALUE(IFERROR(VLOOKUP($Y55, IMPORTRANGE(""https://docs.google.com/spreadsheets/d/1UdH2L0xi8dO6jyPCcO5e5-8j7SGzezxkeZuF1uP8uOw"",""fighter_param (""&amp;TO_TEXT($A$1)&amp;"")!B4:JZ""), 10, FALSE), """")) + VALUE(IFERROR(VLOOKUP($Y55, IMPORTRANGE(""https://docs.goo"&amp;"gle.com/spreadsheets/d/1UdH2L0xi8dO6jyPCcO5e5-8j7SGzezxkeZuF1uP8uOw"",""fighter_param (""&amp;TO_TEXT($A$1)&amp;"")!B4:JZ""), 11, FALSE), """"))"),0.21098)</f>
        <v>0.21098</v>
      </c>
      <c r="G55" s="3735">
        <f t="shared" si="3"/>
        <v>20</v>
      </c>
      <c r="H55" s="3734">
        <f>IFERROR(__xludf.DUMMYFUNCTION("VALUE(IFERROR(VLOOKUP($Y55, IMPORTRANGE(""https://docs.google.com/spreadsheets/d/1UdH2L0xi8dO6jyPCcO5e5-8j7SGzezxkeZuF1uP8uOw"",""fighter_param (""&amp;TO_TEXT($A$1)&amp;"")!B4:JZ""), 8, FALSE), """"))"),0.116)</f>
        <v>0.116</v>
      </c>
      <c r="I55" s="3735">
        <f t="shared" si="4"/>
        <v>82</v>
      </c>
      <c r="J55" s="3735">
        <f>IFERROR(__xludf.DUMMYFUNCTION("VALUE(IFERROR(VLOOKUP($Y55, IMPORTRANGE(""https://docs.google.com/spreadsheets/d/1UdH2L0xi8dO6jyPCcO5e5-8j7SGzezxkeZuF1uP8uOw"",""fighter_param (""&amp;TO_TEXT($A$1)&amp;"")!B4:JZ""), 22, FALSE), """")) + VALUE(IFERROR(VLOOKUP($Y55, IMPORTRANGE(""https://docs.goo"&amp;"gle.com/spreadsheets/d/1UdH2L0xi8dO6jyPCcO5e5-8j7SGzezxkeZuF1uP8uOw"",""fighter_param (""&amp;TO_TEXT($A$1)&amp;"")!B4:JZ""), 23, FALSE), """"))"),0.04)</f>
        <v>0.04</v>
      </c>
      <c r="K55" s="3735">
        <f t="shared" si="5"/>
        <v>67</v>
      </c>
      <c r="L55" s="3734">
        <f>IFERROR(__xludf.DUMMYFUNCTION("VALUE(IFERROR(VLOOKUP($Y55, IMPORTRANGE(""https://docs.google.com/spreadsheets/d/1UdH2L0xi8dO6jyPCcO5e5-8j7SGzezxkeZuF1uP8uOw"",""fighter_param (""&amp;TO_TEXT($A$1)&amp;"")!B4:JZ""), 25, FALSE), """"))"),0.0075)</f>
        <v>0.0075</v>
      </c>
      <c r="M55" s="3735">
        <f t="shared" si="6"/>
        <v>45</v>
      </c>
      <c r="N55" s="3734">
        <f>IFERROR(__xludf.DUMMYFUNCTION("VALUE(IFERROR(VLOOKUP($Y55, IMPORTRANGE(""https://docs.google.com/spreadsheets/d/1UdH2L0xi8dO6jyPCcO5e5-8j7SGzezxkeZuF1uP8uOw"",""fighter_param (""&amp;TO_TEXT($A$1)&amp;"")!B4:JZ""), 26, FALSE), """"))"),0.09)</f>
        <v>0.09</v>
      </c>
      <c r="O55" s="3735" t="str">
        <f t="shared" si="7"/>
        <v/>
      </c>
      <c r="P55" s="3735" t="s">
        <v>76</v>
      </c>
      <c r="Q55" s="3735">
        <f t="shared" si="8"/>
        <v>81</v>
      </c>
      <c r="R55" s="3734">
        <f>IFERROR(__xludf.DUMMYFUNCTION("VALUE(IFERROR(VLOOKUP($Y55, IMPORTRANGE(""https://docs.google.com/spreadsheets/d/1UdH2L0xi8dO6jyPCcO5e5-8j7SGzezxkeZuF1uP8uOw"",""fighter_param (""&amp;TO_TEXT($A$1)&amp;"")!B4:JZ""), 19, FALSE), """"))"),26.0)</f>
        <v>26</v>
      </c>
      <c r="S55" s="3735">
        <f t="shared" si="9"/>
        <v>81</v>
      </c>
      <c r="T55" s="3734">
        <f>IFERROR(__xludf.DUMMYFUNCTION("VALUE(IFERROR(VLOOKUP($Y55, IMPORTRANGE(""https://docs.google.com/spreadsheets/d/1UdH2L0xi8dO6jyPCcO5e5-8j7SGzezxkeZuF1uP8uOw"",""fighter_param (""&amp;TO_TEXT($A$1)&amp;"")!B4:JZ""), 20, FALSE), """"))"),12.53)</f>
        <v>12.53</v>
      </c>
      <c r="U55" s="3735">
        <f t="shared" si="10"/>
        <v>80</v>
      </c>
      <c r="V55" s="3734">
        <f>IFERROR(__xludf.DUMMYFUNCTION("VALUE(IFERROR(VLOOKUP($Y55, IMPORTRANGE(""https://docs.google.com/spreadsheets/d/1UdH2L0xi8dO6jyPCcO5e5-8j7SGzezxkeZuF1uP8uOw"",""fighter_param (""&amp;TO_TEXT($A$1)&amp;"")!B4:JZ""), 21, FALSE), """"))"),26.0)</f>
        <v>26</v>
      </c>
      <c r="W55" s="3708">
        <f>Fighters!S55</f>
        <v>54</v>
      </c>
      <c r="X55" s="3709">
        <f>Fighters!T55</f>
        <v>49</v>
      </c>
      <c r="Y55" s="3710" t="str">
        <f>Fighters!V55</f>
        <v>littlemac</v>
      </c>
    </row>
    <row r="56">
      <c r="A56" s="3700">
        <f>Fighters!$A56</f>
        <v>50</v>
      </c>
      <c r="B56" s="3701" t="str">
        <f>Fighters!$B56</f>
        <v>ゲッコウガ</v>
      </c>
      <c r="C56" s="3735">
        <f t="shared" si="1"/>
        <v>14</v>
      </c>
      <c r="D56" s="3734">
        <f>IFERROR(__xludf.DUMMYFUNCTION("VALUE(IFERROR(VLOOKUP($Y56, IMPORTRANGE(""https://docs.google.com/spreadsheets/d/1UdH2L0xi8dO6jyPCcO5e5-8j7SGzezxkeZuF1uP8uOw"",""fighter_param (""&amp;TO_TEXT($A$1)&amp;"")!B4:JZ""), 9, FALSE), """"))"),2.178)</f>
        <v>2.178</v>
      </c>
      <c r="E56" s="3735">
        <f t="shared" si="2"/>
        <v>6</v>
      </c>
      <c r="F56" s="3735">
        <f>IFERROR(__xludf.DUMMYFUNCTION("VALUE(IFERROR(VLOOKUP($Y56, IMPORTRANGE(""https://docs.google.com/spreadsheets/d/1UdH2L0xi8dO6jyPCcO5e5-8j7SGzezxkeZuF1uP8uOw"",""fighter_param (""&amp;TO_TEXT($A$1)&amp;"")!B4:JZ""), 10, FALSE), """")) + VALUE(IFERROR(VLOOKUP($Y56, IMPORTRANGE(""https://docs.goo"&amp;"gle.com/spreadsheets/d/1UdH2L0xi8dO6jyPCcO5e5-8j7SGzezxkeZuF1uP8uOw"",""fighter_param (""&amp;TO_TEXT($A$1)&amp;"")!B4:JZ""), 11, FALSE), """"))"),0.187)</f>
        <v>0.187</v>
      </c>
      <c r="G56" s="3735">
        <f t="shared" si="3"/>
        <v>75</v>
      </c>
      <c r="H56" s="3734">
        <f>IFERROR(__xludf.DUMMYFUNCTION("VALUE(IFERROR(VLOOKUP($Y56, IMPORTRANGE(""https://docs.google.com/spreadsheets/d/1UdH2L0xi8dO6jyPCcO5e5-8j7SGzezxkeZuF1uP8uOw"",""fighter_param (""&amp;TO_TEXT($A$1)&amp;"")!B4:JZ""), 8, FALSE), """"))"),0.087)</f>
        <v>0.087</v>
      </c>
      <c r="I56" s="3735">
        <f t="shared" si="4"/>
        <v>31</v>
      </c>
      <c r="J56" s="3735">
        <f>IFERROR(__xludf.DUMMYFUNCTION("VALUE(IFERROR(VLOOKUP($Y56, IMPORTRANGE(""https://docs.google.com/spreadsheets/d/1UdH2L0xi8dO6jyPCcO5e5-8j7SGzezxkeZuF1uP8uOw"",""fighter_param (""&amp;TO_TEXT($A$1)&amp;"")!B4:JZ""), 22, FALSE), """")) + VALUE(IFERROR(VLOOKUP($Y56, IMPORTRANGE(""https://docs.goo"&amp;"gle.com/spreadsheets/d/1UdH2L0xi8dO6jyPCcO5e5-8j7SGzezxkeZuF1uP8uOw"",""fighter_param (""&amp;TO_TEXT($A$1)&amp;"")!B4:JZ""), 23, FALSE), """"))"),0.08)</f>
        <v>0.08</v>
      </c>
      <c r="K56" s="3735">
        <f t="shared" si="5"/>
        <v>9</v>
      </c>
      <c r="L56" s="3734">
        <f>IFERROR(__xludf.DUMMYFUNCTION("VALUE(IFERROR(VLOOKUP($Y56, IMPORTRANGE(""https://docs.google.com/spreadsheets/d/1UdH2L0xi8dO6jyPCcO5e5-8j7SGzezxkeZuF1uP8uOw"",""fighter_param (""&amp;TO_TEXT($A$1)&amp;"")!B4:JZ""), 25, FALSE), """"))"),0.015)</f>
        <v>0.015</v>
      </c>
      <c r="M56" s="3735">
        <f t="shared" si="6"/>
        <v>2</v>
      </c>
      <c r="N56" s="3734">
        <f>IFERROR(__xludf.DUMMYFUNCTION("VALUE(IFERROR(VLOOKUP($Y56, IMPORTRANGE(""https://docs.google.com/spreadsheets/d/1UdH2L0xi8dO6jyPCcO5e5-8j7SGzezxkeZuF1uP8uOw"",""fighter_param (""&amp;TO_TEXT($A$1)&amp;"")!B4:JZ""), 26, FALSE), """"))"),0.18)</f>
        <v>0.18</v>
      </c>
      <c r="O56" s="3735" t="str">
        <f t="shared" si="7"/>
        <v/>
      </c>
      <c r="P56" s="3735" t="s">
        <v>76</v>
      </c>
      <c r="Q56" s="3735">
        <f t="shared" si="8"/>
        <v>2</v>
      </c>
      <c r="R56" s="3734">
        <f>IFERROR(__xludf.DUMMYFUNCTION("VALUE(IFERROR(VLOOKUP($Y56, IMPORTRANGE(""https://docs.google.com/spreadsheets/d/1UdH2L0xi8dO6jyPCcO5e5-8j7SGzezxkeZuF1uP8uOw"",""fighter_param (""&amp;TO_TEXT($A$1)&amp;"")!B4:JZ""), 19, FALSE), """"))"),46.0)</f>
        <v>46</v>
      </c>
      <c r="S56" s="3735">
        <f t="shared" si="9"/>
        <v>1</v>
      </c>
      <c r="T56" s="3734">
        <f>IFERROR(__xludf.DUMMYFUNCTION("VALUE(IFERROR(VLOOKUP($Y56, IMPORTRANGE(""https://docs.google.com/spreadsheets/d/1UdH2L0xi8dO6jyPCcO5e5-8j7SGzezxkeZuF1uP8uOw"",""fighter_param (""&amp;TO_TEXT($A$1)&amp;"")!B4:JZ""), 20, FALSE), """"))"),22.11)</f>
        <v>22.11</v>
      </c>
      <c r="U56" s="3735">
        <f t="shared" si="10"/>
        <v>5</v>
      </c>
      <c r="V56" s="3734">
        <f>IFERROR(__xludf.DUMMYFUNCTION("VALUE(IFERROR(VLOOKUP($Y56, IMPORTRANGE(""https://docs.google.com/spreadsheets/d/1UdH2L0xi8dO6jyPCcO5e5-8j7SGzezxkeZuF1uP8uOw"",""fighter_param (""&amp;TO_TEXT($A$1)&amp;"")!B4:JZ""), 21, FALSE), """"))"),46.0)</f>
        <v>46</v>
      </c>
      <c r="W56" s="3708">
        <f>Fighters!S56</f>
        <v>55</v>
      </c>
      <c r="X56" s="3709">
        <f>Fighters!T56</f>
        <v>50</v>
      </c>
      <c r="Y56" s="3710" t="str">
        <f>Fighters!V56</f>
        <v>gekkouga</v>
      </c>
    </row>
    <row r="57">
      <c r="A57" s="3700">
        <f>Fighters!$A57</f>
        <v>51</v>
      </c>
      <c r="B57" s="3701" t="str">
        <f>Fighters!$B57</f>
        <v>格闘Mii</v>
      </c>
      <c r="C57" s="3735">
        <f t="shared" si="1"/>
        <v>51</v>
      </c>
      <c r="D57" s="3734">
        <f>IFERROR(__xludf.DUMMYFUNCTION("VALUE(IFERROR(VLOOKUP($Y57, IMPORTRANGE(""https://docs.google.com/spreadsheets/d/1UdH2L0xi8dO6jyPCcO5e5-8j7SGzezxkeZuF1uP8uOw"",""fighter_param (""&amp;TO_TEXT($A$1)&amp;"")!B4:JZ""), 9, FALSE), """"))"),1.87)</f>
        <v>1.87</v>
      </c>
      <c r="E57" s="3735">
        <f t="shared" si="2"/>
        <v>27</v>
      </c>
      <c r="F57" s="3735">
        <f>IFERROR(__xludf.DUMMYFUNCTION("VALUE(IFERROR(VLOOKUP($Y57, IMPORTRANGE(""https://docs.google.com/spreadsheets/d/1UdH2L0xi8dO6jyPCcO5e5-8j7SGzezxkeZuF1uP8uOw"",""fighter_param (""&amp;TO_TEXT($A$1)&amp;"")!B4:JZ""), 10, FALSE), """")) + VALUE(IFERROR(VLOOKUP($Y57, IMPORTRANGE(""https://docs.goo"&amp;"gle.com/spreadsheets/d/1UdH2L0xi8dO6jyPCcO5e5-8j7SGzezxkeZuF1uP8uOw"",""fighter_param (""&amp;TO_TEXT($A$1)&amp;"")!B4:JZ""), 11, FALSE), """"))"),0.15378)</f>
        <v>0.15378</v>
      </c>
      <c r="G57" s="3735">
        <f t="shared" si="3"/>
        <v>19</v>
      </c>
      <c r="H57" s="3734">
        <f>IFERROR(__xludf.DUMMYFUNCTION("VALUE(IFERROR(VLOOKUP($Y57, IMPORTRANGE(""https://docs.google.com/spreadsheets/d/1UdH2L0xi8dO6jyPCcO5e5-8j7SGzezxkeZuF1uP8uOw"",""fighter_param (""&amp;TO_TEXT($A$1)&amp;"")!B4:JZ""), 8, FALSE), """"))"),0.12)</f>
        <v>0.12</v>
      </c>
      <c r="I57" s="3735">
        <f t="shared" si="4"/>
        <v>54</v>
      </c>
      <c r="J57" s="3735">
        <f>IFERROR(__xludf.DUMMYFUNCTION("VALUE(IFERROR(VLOOKUP($Y57, IMPORTRANGE(""https://docs.google.com/spreadsheets/d/1UdH2L0xi8dO6jyPCcO5e5-8j7SGzezxkeZuF1uP8uOw"",""fighter_param (""&amp;TO_TEXT($A$1)&amp;"")!B4:JZ""), 22, FALSE), """")) + VALUE(IFERROR(VLOOKUP($Y57, IMPORTRANGE(""https://docs.goo"&amp;"gle.com/spreadsheets/d/1UdH2L0xi8dO6jyPCcO5e5-8j7SGzezxkeZuF1uP8uOw"",""fighter_param (""&amp;TO_TEXT($A$1)&amp;"")!B4:JZ""), 23, FALSE), """"))"),0.068)</f>
        <v>0.068</v>
      </c>
      <c r="K57" s="3735">
        <f t="shared" si="5"/>
        <v>9</v>
      </c>
      <c r="L57" s="3734">
        <f>IFERROR(__xludf.DUMMYFUNCTION("VALUE(IFERROR(VLOOKUP($Y57, IMPORTRANGE(""https://docs.google.com/spreadsheets/d/1UdH2L0xi8dO6jyPCcO5e5-8j7SGzezxkeZuF1uP8uOw"",""fighter_param (""&amp;TO_TEXT($A$1)&amp;"")!B4:JZ""), 25, FALSE), """"))"),0.015)</f>
        <v>0.015</v>
      </c>
      <c r="M57" s="3735">
        <f t="shared" si="6"/>
        <v>3</v>
      </c>
      <c r="N57" s="3734">
        <f>IFERROR(__xludf.DUMMYFUNCTION("VALUE(IFERROR(VLOOKUP($Y57, IMPORTRANGE(""https://docs.google.com/spreadsheets/d/1UdH2L0xi8dO6jyPCcO5e5-8j7SGzezxkeZuF1uP8uOw"",""fighter_param (""&amp;TO_TEXT($A$1)&amp;"")!B4:JZ""), 26, FALSE), """"))"),0.169)</f>
        <v>0.169</v>
      </c>
      <c r="O57" s="3735" t="str">
        <f t="shared" si="7"/>
        <v/>
      </c>
      <c r="P57" s="3735" t="s">
        <v>76</v>
      </c>
      <c r="Q57" s="3735">
        <f t="shared" si="8"/>
        <v>22</v>
      </c>
      <c r="R57" s="3734">
        <f>IFERROR(__xludf.DUMMYFUNCTION("VALUE(IFERROR(VLOOKUP($Y57, IMPORTRANGE(""https://docs.google.com/spreadsheets/d/1UdH2L0xi8dO6jyPCcO5e5-8j7SGzezxkeZuF1uP8uOw"",""fighter_param (""&amp;TO_TEXT($A$1)&amp;"")!B4:JZ""), 19, FALSE), """"))"),35.0)</f>
        <v>35</v>
      </c>
      <c r="S57" s="3735">
        <f t="shared" si="9"/>
        <v>28</v>
      </c>
      <c r="T57" s="3734">
        <f>IFERROR(__xludf.DUMMYFUNCTION("VALUE(IFERROR(VLOOKUP($Y57, IMPORTRANGE(""https://docs.google.com/spreadsheets/d/1UdH2L0xi8dO6jyPCcO5e5-8j7SGzezxkeZuF1uP8uOw"",""fighter_param (""&amp;TO_TEXT($A$1)&amp;"")!B4:JZ""), 20, FALSE), """"))"),17.0)</f>
        <v>17</v>
      </c>
      <c r="U57" s="3735">
        <f t="shared" si="10"/>
        <v>27</v>
      </c>
      <c r="V57" s="3734">
        <f>IFERROR(__xludf.DUMMYFUNCTION("VALUE(IFERROR(VLOOKUP($Y57, IMPORTRANGE(""https://docs.google.com/spreadsheets/d/1UdH2L0xi8dO6jyPCcO5e5-8j7SGzezxkeZuF1uP8uOw"",""fighter_param (""&amp;TO_TEXT($A$1)&amp;"")!B4:JZ""), 21, FALSE), """"))"),35.5)</f>
        <v>35.5</v>
      </c>
      <c r="W57" s="3708">
        <f>Fighters!S57</f>
        <v>56</v>
      </c>
      <c r="X57" s="3709">
        <f>Fighters!T57</f>
        <v>73</v>
      </c>
      <c r="Y57" s="3710" t="str">
        <f>Fighters!V57</f>
        <v>miifighter</v>
      </c>
    </row>
    <row r="58">
      <c r="A58" s="3700">
        <f>Fighters!$A58</f>
        <v>52</v>
      </c>
      <c r="B58" s="3701" t="str">
        <f>Fighters!$B58</f>
        <v>剣術Mii</v>
      </c>
      <c r="C58" s="3735">
        <f t="shared" si="1"/>
        <v>77</v>
      </c>
      <c r="D58" s="3734">
        <f>IFERROR(__xludf.DUMMYFUNCTION("VALUE(IFERROR(VLOOKUP($Y58, IMPORTRANGE(""https://docs.google.com/spreadsheets/d/1UdH2L0xi8dO6jyPCcO5e5-8j7SGzezxkeZuF1uP8uOw"",""fighter_param (""&amp;TO_TEXT($A$1)&amp;"")!B4:JZ""), 9, FALSE), """"))"),1.74)</f>
        <v>1.74</v>
      </c>
      <c r="E58" s="3735">
        <f t="shared" si="2"/>
        <v>11</v>
      </c>
      <c r="F58" s="3735">
        <f>IFERROR(__xludf.DUMMYFUNCTION("VALUE(IFERROR(VLOOKUP($Y58, IMPORTRANGE(""https://docs.google.com/spreadsheets/d/1UdH2L0xi8dO6jyPCcO5e5-8j7SGzezxkeZuF1uP8uOw"",""fighter_param (""&amp;TO_TEXT($A$1)&amp;"")!B4:JZ""), 10, FALSE), """")) + VALUE(IFERROR(VLOOKUP($Y58, IMPORTRANGE(""https://docs.goo"&amp;"gle.com/spreadsheets/d/1UdH2L0xi8dO6jyPCcO5e5-8j7SGzezxkeZuF1uP8uOw"",""fighter_param (""&amp;TO_TEXT($A$1)&amp;"")!B4:JZ""), 11, FALSE), """"))"),0.17567)</f>
        <v>0.17567</v>
      </c>
      <c r="G58" s="3735">
        <f t="shared" si="3"/>
        <v>39</v>
      </c>
      <c r="H58" s="3734">
        <f>IFERROR(__xludf.DUMMYFUNCTION("VALUE(IFERROR(VLOOKUP($Y58, IMPORTRANGE(""https://docs.google.com/spreadsheets/d/1UdH2L0xi8dO6jyPCcO5e5-8j7SGzezxkeZuF1uP8uOw"",""fighter_param (""&amp;TO_TEXT($A$1)&amp;"")!B4:JZ""), 8, FALSE), """"))"),0.11)</f>
        <v>0.11</v>
      </c>
      <c r="I58" s="3735">
        <f t="shared" si="4"/>
        <v>58</v>
      </c>
      <c r="J58" s="3735">
        <f>IFERROR(__xludf.DUMMYFUNCTION("VALUE(IFERROR(VLOOKUP($Y58, IMPORTRANGE(""https://docs.google.com/spreadsheets/d/1UdH2L0xi8dO6jyPCcO5e5-8j7SGzezxkeZuF1uP8uOw"",""fighter_param (""&amp;TO_TEXT($A$1)&amp;"")!B4:JZ""), 22, FALSE), """")) + VALUE(IFERROR(VLOOKUP($Y58, IMPORTRANGE(""https://docs.goo"&amp;"gle.com/spreadsheets/d/1UdH2L0xi8dO6jyPCcO5e5-8j7SGzezxkeZuF1uP8uOw"",""fighter_param (""&amp;TO_TEXT($A$1)&amp;"")!B4:JZ""), 23, FALSE), """"))"),0.060000000000000005)</f>
        <v>0.06</v>
      </c>
      <c r="K58" s="3735">
        <f t="shared" si="5"/>
        <v>85</v>
      </c>
      <c r="L58" s="3734">
        <f>IFERROR(__xludf.DUMMYFUNCTION("VALUE(IFERROR(VLOOKUP($Y58, IMPORTRANGE(""https://docs.google.com/spreadsheets/d/1UdH2L0xi8dO6jyPCcO5e5-8j7SGzezxkeZuF1uP8uOw"",""fighter_param (""&amp;TO_TEXT($A$1)&amp;"")!B4:JZ""), 25, FALSE), """"))"),0.0038)</f>
        <v>0.0038</v>
      </c>
      <c r="M58" s="3735">
        <f t="shared" si="6"/>
        <v>32</v>
      </c>
      <c r="N58" s="3734">
        <f>IFERROR(__xludf.DUMMYFUNCTION("VALUE(IFERROR(VLOOKUP($Y58, IMPORTRANGE(""https://docs.google.com/spreadsheets/d/1UdH2L0xi8dO6jyPCcO5e5-8j7SGzezxkeZuF1uP8uOw"",""fighter_param (""&amp;TO_TEXT($A$1)&amp;"")!B4:JZ""), 26, FALSE), """"))"),0.106)</f>
        <v>0.106</v>
      </c>
      <c r="O58" s="3735" t="str">
        <f t="shared" si="7"/>
        <v/>
      </c>
      <c r="P58" s="3735" t="s">
        <v>76</v>
      </c>
      <c r="Q58" s="3735">
        <f t="shared" si="8"/>
        <v>75</v>
      </c>
      <c r="R58" s="3734">
        <f>IFERROR(__xludf.DUMMYFUNCTION("VALUE(IFERROR(VLOOKUP($Y58, IMPORTRANGE(""https://docs.google.com/spreadsheets/d/1UdH2L0xi8dO6jyPCcO5e5-8j7SGzezxkeZuF1uP8uOw"",""fighter_param (""&amp;TO_TEXT($A$1)&amp;"")!B4:JZ""), 19, FALSE), """"))"),28.3)</f>
        <v>28.3</v>
      </c>
      <c r="S58" s="3735">
        <f t="shared" si="9"/>
        <v>82</v>
      </c>
      <c r="T58" s="3734">
        <f>IFERROR(__xludf.DUMMYFUNCTION("VALUE(IFERROR(VLOOKUP($Y58, IMPORTRANGE(""https://docs.google.com/spreadsheets/d/1UdH2L0xi8dO6jyPCcO5e5-8j7SGzezxkeZuF1uP8uOw"",""fighter_param (""&amp;TO_TEXT($A$1)&amp;"")!B4:JZ""), 20, FALSE), """"))"),12.3)</f>
        <v>12.3</v>
      </c>
      <c r="U58" s="3735">
        <f t="shared" si="10"/>
        <v>75</v>
      </c>
      <c r="V58" s="3734">
        <f>IFERROR(__xludf.DUMMYFUNCTION("VALUE(IFERROR(VLOOKUP($Y58, IMPORTRANGE(""https://docs.google.com/spreadsheets/d/1UdH2L0xi8dO6jyPCcO5e5-8j7SGzezxkeZuF1uP8uOw"",""fighter_param (""&amp;TO_TEXT($A$1)&amp;"")!B4:JZ""), 21, FALSE), """"))"),28.3)</f>
        <v>28.3</v>
      </c>
      <c r="W58" s="3708">
        <f>Fighters!S58</f>
        <v>57</v>
      </c>
      <c r="X58" s="3709">
        <f>Fighters!T58</f>
        <v>74</v>
      </c>
      <c r="Y58" s="3710" t="str">
        <f>Fighters!V58</f>
        <v>miiswordsman</v>
      </c>
    </row>
    <row r="59">
      <c r="A59" s="3700">
        <f>Fighters!$A59</f>
        <v>53</v>
      </c>
      <c r="B59" s="3701" t="str">
        <f>Fighters!$B59</f>
        <v>射撃Mii</v>
      </c>
      <c r="C59" s="3735">
        <f t="shared" si="1"/>
        <v>85</v>
      </c>
      <c r="D59" s="3734">
        <f>IFERROR(__xludf.DUMMYFUNCTION("VALUE(IFERROR(VLOOKUP($Y59, IMPORTRANGE(""https://docs.google.com/spreadsheets/d/1UdH2L0xi8dO6jyPCcO5e5-8j7SGzezxkeZuF1uP8uOw"",""fighter_param (""&amp;TO_TEXT($A$1)&amp;"")!B4:JZ""), 9, FALSE), """"))"),1.63)</f>
        <v>1.63</v>
      </c>
      <c r="E59" s="3735">
        <f t="shared" si="2"/>
        <v>27</v>
      </c>
      <c r="F59" s="3735">
        <f>IFERROR(__xludf.DUMMYFUNCTION("VALUE(IFERROR(VLOOKUP($Y59, IMPORTRANGE(""https://docs.google.com/spreadsheets/d/1UdH2L0xi8dO6jyPCcO5e5-8j7SGzezxkeZuF1uP8uOw"",""fighter_param (""&amp;TO_TEXT($A$1)&amp;"")!B4:JZ""), 10, FALSE), """")) + VALUE(IFERROR(VLOOKUP($Y59, IMPORTRANGE(""https://docs.goo"&amp;"gle.com/spreadsheets/d/1UdH2L0xi8dO6jyPCcO5e5-8j7SGzezxkeZuF1uP8uOw"",""fighter_param (""&amp;TO_TEXT($A$1)&amp;"")!B4:JZ""), 11, FALSE), """"))"),0.15378)</f>
        <v>0.15378</v>
      </c>
      <c r="G59" s="3735">
        <f t="shared" si="3"/>
        <v>88</v>
      </c>
      <c r="H59" s="3734">
        <f>IFERROR(__xludf.DUMMYFUNCTION("VALUE(IFERROR(VLOOKUP($Y59, IMPORTRANGE(""https://docs.google.com/spreadsheets/d/1UdH2L0xi8dO6jyPCcO5e5-8j7SGzezxkeZuF1uP8uOw"",""fighter_param (""&amp;TO_TEXT($A$1)&amp;"")!B4:JZ""), 8, FALSE), """"))"),0.076)</f>
        <v>0.076</v>
      </c>
      <c r="I59" s="3735">
        <f t="shared" si="4"/>
        <v>68</v>
      </c>
      <c r="J59" s="3735">
        <f>IFERROR(__xludf.DUMMYFUNCTION("VALUE(IFERROR(VLOOKUP($Y59, IMPORTRANGE(""https://docs.google.com/spreadsheets/d/1UdH2L0xi8dO6jyPCcO5e5-8j7SGzezxkeZuF1uP8uOw"",""fighter_param (""&amp;TO_TEXT($A$1)&amp;"")!B4:JZ""), 22, FALSE), """")) + VALUE(IFERROR(VLOOKUP($Y59, IMPORTRANGE(""https://docs.goo"&amp;"gle.com/spreadsheets/d/1UdH2L0xi8dO6jyPCcO5e5-8j7SGzezxkeZuF1uP8uOw"",""fighter_param (""&amp;TO_TEXT($A$1)&amp;"")!B4:JZ""), 23, FALSE), """"))"),0.053)</f>
        <v>0.053</v>
      </c>
      <c r="K59" s="3735">
        <f t="shared" si="5"/>
        <v>33</v>
      </c>
      <c r="L59" s="3734">
        <f>IFERROR(__xludf.DUMMYFUNCTION("VALUE(IFERROR(VLOOKUP($Y59, IMPORTRANGE(""https://docs.google.com/spreadsheets/d/1UdH2L0xi8dO6jyPCcO5e5-8j7SGzezxkeZuF1uP8uOw"",""fighter_param (""&amp;TO_TEXT($A$1)&amp;"")!B4:JZ""), 25, FALSE), """"))"),0.012)</f>
        <v>0.012</v>
      </c>
      <c r="M59" s="3735">
        <f t="shared" si="6"/>
        <v>34</v>
      </c>
      <c r="N59" s="3734">
        <f>IFERROR(__xludf.DUMMYFUNCTION("VALUE(IFERROR(VLOOKUP($Y59, IMPORTRANGE(""https://docs.google.com/spreadsheets/d/1UdH2L0xi8dO6jyPCcO5e5-8j7SGzezxkeZuF1uP8uOw"",""fighter_param (""&amp;TO_TEXT($A$1)&amp;"")!B4:JZ""), 26, FALSE), """"))"),0.098)</f>
        <v>0.098</v>
      </c>
      <c r="O59" s="3735" t="str">
        <f t="shared" si="7"/>
        <v/>
      </c>
      <c r="P59" s="3735" t="s">
        <v>76</v>
      </c>
      <c r="Q59" s="3735">
        <f t="shared" si="8"/>
        <v>60</v>
      </c>
      <c r="R59" s="3734">
        <f>IFERROR(__xludf.DUMMYFUNCTION("VALUE(IFERROR(VLOOKUP($Y59, IMPORTRANGE(""https://docs.google.com/spreadsheets/d/1UdH2L0xi8dO6jyPCcO5e5-8j7SGzezxkeZuF1uP8uOw"",""fighter_param (""&amp;TO_TEXT($A$1)&amp;"")!B4:JZ""), 19, FALSE), """"))"),30.9)</f>
        <v>30.9</v>
      </c>
      <c r="S59" s="3735">
        <f t="shared" si="9"/>
        <v>65</v>
      </c>
      <c r="T59" s="3734">
        <f>IFERROR(__xludf.DUMMYFUNCTION("VALUE(IFERROR(VLOOKUP($Y59, IMPORTRANGE(""https://docs.google.com/spreadsheets/d/1UdH2L0xi8dO6jyPCcO5e5-8j7SGzezxkeZuF1uP8uOw"",""fighter_param (""&amp;TO_TEXT($A$1)&amp;"")!B4:JZ""), 20, FALSE), """"))"),14.6)</f>
        <v>14.6</v>
      </c>
      <c r="U59" s="3735">
        <f t="shared" si="10"/>
        <v>53</v>
      </c>
      <c r="V59" s="3734">
        <f>IFERROR(__xludf.DUMMYFUNCTION("VALUE(IFERROR(VLOOKUP($Y59, IMPORTRANGE(""https://docs.google.com/spreadsheets/d/1UdH2L0xi8dO6jyPCcO5e5-8j7SGzezxkeZuF1uP8uOw"",""fighter_param (""&amp;TO_TEXT($A$1)&amp;"")!B4:JZ""), 21, FALSE), """"))"),32.3)</f>
        <v>32.3</v>
      </c>
      <c r="W59" s="3708">
        <f>Fighters!S59</f>
        <v>58</v>
      </c>
      <c r="X59" s="3709">
        <f>Fighters!T59</f>
        <v>75</v>
      </c>
      <c r="Y59" s="3710" t="str">
        <f>Fighters!V59</f>
        <v>miigunner</v>
      </c>
    </row>
    <row r="60">
      <c r="A60" s="3700">
        <f>Fighters!$A60</f>
        <v>54</v>
      </c>
      <c r="B60" s="3701" t="str">
        <f>Fighters!$B60</f>
        <v>パルテナ</v>
      </c>
      <c r="C60" s="3735">
        <f t="shared" si="1"/>
        <v>25</v>
      </c>
      <c r="D60" s="3734">
        <f>IFERROR(__xludf.DUMMYFUNCTION("VALUE(IFERROR(VLOOKUP($Y60, IMPORTRANGE(""https://docs.google.com/spreadsheets/d/1UdH2L0xi8dO6jyPCcO5e5-8j7SGzezxkeZuF1uP8uOw"",""fighter_param (""&amp;TO_TEXT($A$1)&amp;"")!B4:JZ""), 9, FALSE), """"))"),2.035)</f>
        <v>2.035</v>
      </c>
      <c r="E60" s="3735">
        <f t="shared" si="2"/>
        <v>13</v>
      </c>
      <c r="F60" s="3735">
        <f>IFERROR(__xludf.DUMMYFUNCTION("VALUE(IFERROR(VLOOKUP($Y60, IMPORTRANGE(""https://docs.google.com/spreadsheets/d/1UdH2L0xi8dO6jyPCcO5e5-8j7SGzezxkeZuF1uP8uOw"",""fighter_param (""&amp;TO_TEXT($A$1)&amp;"")!B4:JZ""), 10, FALSE), """")) + VALUE(IFERROR(VLOOKUP($Y60, IMPORTRANGE(""https://docs.goo"&amp;"gle.com/spreadsheets/d/1UdH2L0xi8dO6jyPCcO5e5-8j7SGzezxkeZuF1uP8uOw"",""fighter_param (""&amp;TO_TEXT($A$1)&amp;"")!B4:JZ""), 11, FALSE), """"))"),0.17391)</f>
        <v>0.17391</v>
      </c>
      <c r="G60" s="3735">
        <f t="shared" si="3"/>
        <v>50</v>
      </c>
      <c r="H60" s="3734">
        <f>IFERROR(__xludf.DUMMYFUNCTION("VALUE(IFERROR(VLOOKUP($Y60, IMPORTRANGE(""https://docs.google.com/spreadsheets/d/1UdH2L0xi8dO6jyPCcO5e5-8j7SGzezxkeZuF1uP8uOw"",""fighter_param (""&amp;TO_TEXT($A$1)&amp;"")!B4:JZ""), 8, FALSE), """"))"),0.106)</f>
        <v>0.106</v>
      </c>
      <c r="I60" s="3735">
        <f t="shared" si="4"/>
        <v>5</v>
      </c>
      <c r="J60" s="3735">
        <f>IFERROR(__xludf.DUMMYFUNCTION("VALUE(IFERROR(VLOOKUP($Y60, IMPORTRANGE(""https://docs.google.com/spreadsheets/d/1UdH2L0xi8dO6jyPCcO5e5-8j7SGzezxkeZuF1uP8uOw"",""fighter_param (""&amp;TO_TEXT($A$1)&amp;"")!B4:JZ""), 22, FALSE), """")) + VALUE(IFERROR(VLOOKUP($Y60, IMPORTRANGE(""https://docs.goo"&amp;"gle.com/spreadsheets/d/1UdH2L0xi8dO6jyPCcO5e5-8j7SGzezxkeZuF1uP8uOw"",""fighter_param (""&amp;TO_TEXT($A$1)&amp;"")!B4:JZ""), 23, FALSE), """"))"),0.11499999999999999)</f>
        <v>0.115</v>
      </c>
      <c r="K60" s="3735">
        <f t="shared" si="5"/>
        <v>40</v>
      </c>
      <c r="L60" s="3734">
        <f>IFERROR(__xludf.DUMMYFUNCTION("VALUE(IFERROR(VLOOKUP($Y60, IMPORTRANGE(""https://docs.google.com/spreadsheets/d/1UdH2L0xi8dO6jyPCcO5e5-8j7SGzezxkeZuF1uP8uOw"",""fighter_param (""&amp;TO_TEXT($A$1)&amp;"")!B4:JZ""), 25, FALSE), """"))"),0.01)</f>
        <v>0.01</v>
      </c>
      <c r="M60" s="3735">
        <f t="shared" si="6"/>
        <v>15</v>
      </c>
      <c r="N60" s="3734">
        <f>IFERROR(__xludf.DUMMYFUNCTION("VALUE(IFERROR(VLOOKUP($Y60, IMPORTRANGE(""https://docs.google.com/spreadsheets/d/1UdH2L0xi8dO6jyPCcO5e5-8j7SGzezxkeZuF1uP8uOw"",""fighter_param (""&amp;TO_TEXT($A$1)&amp;"")!B4:JZ""), 26, FALSE), """"))"),0.12)</f>
        <v>0.12</v>
      </c>
      <c r="O60" s="3735" t="str">
        <f t="shared" si="7"/>
        <v/>
      </c>
      <c r="P60" s="3735" t="s">
        <v>76</v>
      </c>
      <c r="Q60" s="3735">
        <f t="shared" si="8"/>
        <v>18</v>
      </c>
      <c r="R60" s="3734">
        <f>IFERROR(__xludf.DUMMYFUNCTION("VALUE(IFERROR(VLOOKUP($Y60, IMPORTRANGE(""https://docs.google.com/spreadsheets/d/1UdH2L0xi8dO6jyPCcO5e5-8j7SGzezxkeZuF1uP8uOw"",""fighter_param (""&amp;TO_TEXT($A$1)&amp;"")!B4:JZ""), 19, FALSE), """"))"),35.9)</f>
        <v>35.9</v>
      </c>
      <c r="S60" s="3735">
        <f t="shared" si="9"/>
        <v>22</v>
      </c>
      <c r="T60" s="3734">
        <f>IFERROR(__xludf.DUMMYFUNCTION("VALUE(IFERROR(VLOOKUP($Y60, IMPORTRANGE(""https://docs.google.com/spreadsheets/d/1UdH2L0xi8dO6jyPCcO5e5-8j7SGzezxkeZuF1uP8uOw"",""fighter_param (""&amp;TO_TEXT($A$1)&amp;"")!B4:JZ""), 20, FALSE), """"))"),17.3)</f>
        <v>17.3</v>
      </c>
      <c r="U60" s="3735">
        <f t="shared" si="10"/>
        <v>25</v>
      </c>
      <c r="V60" s="3734">
        <f>IFERROR(__xludf.DUMMYFUNCTION("VALUE(IFERROR(VLOOKUP($Y60, IMPORTRANGE(""https://docs.google.com/spreadsheets/d/1UdH2L0xi8dO6jyPCcO5e5-8j7SGzezxkeZuF1uP8uOw"",""fighter_param (""&amp;TO_TEXT($A$1)&amp;"")!B4:JZ""), 21, FALSE), """"))"),35.9)</f>
        <v>35.9</v>
      </c>
      <c r="W60" s="3708">
        <f>Fighters!S60</f>
        <v>59</v>
      </c>
      <c r="X60" s="3709">
        <f>Fighters!T60</f>
        <v>51</v>
      </c>
      <c r="Y60" s="3710" t="str">
        <f>Fighters!V60</f>
        <v>palutena</v>
      </c>
    </row>
    <row r="61">
      <c r="A61" s="3700">
        <f>Fighters!$A61</f>
        <v>55</v>
      </c>
      <c r="B61" s="3701" t="str">
        <f>Fighters!$B61</f>
        <v>パックマン</v>
      </c>
      <c r="C61" s="3735">
        <f t="shared" si="1"/>
        <v>51</v>
      </c>
      <c r="D61" s="3734">
        <f>IFERROR(__xludf.DUMMYFUNCTION("VALUE(IFERROR(VLOOKUP($Y61, IMPORTRANGE(""https://docs.google.com/spreadsheets/d/1UdH2L0xi8dO6jyPCcO5e5-8j7SGzezxkeZuF1uP8uOw"",""fighter_param (""&amp;TO_TEXT($A$1)&amp;"")!B4:JZ""), 9, FALSE), """"))"),1.87)</f>
        <v>1.87</v>
      </c>
      <c r="E61" s="3735">
        <f t="shared" si="2"/>
        <v>27</v>
      </c>
      <c r="F61" s="3735">
        <f>IFERROR(__xludf.DUMMYFUNCTION("VALUE(IFERROR(VLOOKUP($Y61, IMPORTRANGE(""https://docs.google.com/spreadsheets/d/1UdH2L0xi8dO6jyPCcO5e5-8j7SGzezxkeZuF1uP8uOw"",""fighter_param (""&amp;TO_TEXT($A$1)&amp;"")!B4:JZ""), 10, FALSE), """")) + VALUE(IFERROR(VLOOKUP($Y61, IMPORTRANGE(""https://docs.goo"&amp;"gle.com/spreadsheets/d/1UdH2L0xi8dO6jyPCcO5e5-8j7SGzezxkeZuF1uP8uOw"",""fighter_param (""&amp;TO_TEXT($A$1)&amp;"")!B4:JZ""), 11, FALSE), """"))"),0.15378)</f>
        <v>0.15378</v>
      </c>
      <c r="G61" s="3735">
        <f t="shared" si="3"/>
        <v>20</v>
      </c>
      <c r="H61" s="3734">
        <f>IFERROR(__xludf.DUMMYFUNCTION("VALUE(IFERROR(VLOOKUP($Y61, IMPORTRANGE(""https://docs.google.com/spreadsheets/d/1UdH2L0xi8dO6jyPCcO5e5-8j7SGzezxkeZuF1uP8uOw"",""fighter_param (""&amp;TO_TEXT($A$1)&amp;"")!B4:JZ""), 8, FALSE), """"))"),0.116)</f>
        <v>0.116</v>
      </c>
      <c r="I61" s="3735">
        <f t="shared" si="4"/>
        <v>31</v>
      </c>
      <c r="J61" s="3735">
        <f>IFERROR(__xludf.DUMMYFUNCTION("VALUE(IFERROR(VLOOKUP($Y61, IMPORTRANGE(""https://docs.google.com/spreadsheets/d/1UdH2L0xi8dO6jyPCcO5e5-8j7SGzezxkeZuF1uP8uOw"",""fighter_param (""&amp;TO_TEXT($A$1)&amp;"")!B4:JZ""), 22, FALSE), """")) + VALUE(IFERROR(VLOOKUP($Y61, IMPORTRANGE(""https://docs.goo"&amp;"gle.com/spreadsheets/d/1UdH2L0xi8dO6jyPCcO5e5-8j7SGzezxkeZuF1uP8uOw"",""fighter_param (""&amp;TO_TEXT($A$1)&amp;"")!B4:JZ""), 23, FALSE), """"))"),0.08)</f>
        <v>0.08</v>
      </c>
      <c r="K61" s="3735">
        <f t="shared" si="5"/>
        <v>9</v>
      </c>
      <c r="L61" s="3734">
        <f>IFERROR(__xludf.DUMMYFUNCTION("VALUE(IFERROR(VLOOKUP($Y61, IMPORTRANGE(""https://docs.google.com/spreadsheets/d/1UdH2L0xi8dO6jyPCcO5e5-8j7SGzezxkeZuF1uP8uOw"",""fighter_param (""&amp;TO_TEXT($A$1)&amp;"")!B4:JZ""), 25, FALSE), """"))"),0.015)</f>
        <v>0.015</v>
      </c>
      <c r="M61" s="3735">
        <f t="shared" si="6"/>
        <v>79</v>
      </c>
      <c r="N61" s="3734">
        <f>IFERROR(__xludf.DUMMYFUNCTION("VALUE(IFERROR(VLOOKUP($Y61, IMPORTRANGE(""https://docs.google.com/spreadsheets/d/1UdH2L0xi8dO6jyPCcO5e5-8j7SGzezxkeZuF1uP8uOw"",""fighter_param (""&amp;TO_TEXT($A$1)&amp;"")!B4:JZ""), 26, FALSE), """"))"),0.072)</f>
        <v>0.072</v>
      </c>
      <c r="O61" s="3735" t="str">
        <f t="shared" si="7"/>
        <v/>
      </c>
      <c r="P61" s="3735" t="s">
        <v>76</v>
      </c>
      <c r="Q61" s="3735">
        <f t="shared" si="8"/>
        <v>28</v>
      </c>
      <c r="R61" s="3734">
        <f>IFERROR(__xludf.DUMMYFUNCTION("VALUE(IFERROR(VLOOKUP($Y61, IMPORTRANGE(""https://docs.google.com/spreadsheets/d/1UdH2L0xi8dO6jyPCcO5e5-8j7SGzezxkeZuF1uP8uOw"",""fighter_param (""&amp;TO_TEXT($A$1)&amp;"")!B4:JZ""), 19, FALSE), """"))"),34.1)</f>
        <v>34.1</v>
      </c>
      <c r="S61" s="3735">
        <f t="shared" si="9"/>
        <v>35</v>
      </c>
      <c r="T61" s="3734">
        <f>IFERROR(__xludf.DUMMYFUNCTION("VALUE(IFERROR(VLOOKUP($Y61, IMPORTRANGE(""https://docs.google.com/spreadsheets/d/1UdH2L0xi8dO6jyPCcO5e5-8j7SGzezxkeZuF1uP8uOw"",""fighter_param (""&amp;TO_TEXT($A$1)&amp;"")!B4:JZ""), 20, FALSE), """"))"),16.48)</f>
        <v>16.48</v>
      </c>
      <c r="U61" s="3735">
        <f t="shared" si="10"/>
        <v>34</v>
      </c>
      <c r="V61" s="3734">
        <f>IFERROR(__xludf.DUMMYFUNCTION("VALUE(IFERROR(VLOOKUP($Y61, IMPORTRANGE(""https://docs.google.com/spreadsheets/d/1UdH2L0xi8dO6jyPCcO5e5-8j7SGzezxkeZuF1uP8uOw"",""fighter_param (""&amp;TO_TEXT($A$1)&amp;"")!B4:JZ""), 21, FALSE), """"))"),34.1)</f>
        <v>34.1</v>
      </c>
      <c r="W61" s="3708">
        <f>Fighters!S61</f>
        <v>60</v>
      </c>
      <c r="X61" s="3709">
        <f>Fighters!T61</f>
        <v>52</v>
      </c>
      <c r="Y61" s="3710" t="str">
        <f>Fighters!V61</f>
        <v>pacman</v>
      </c>
    </row>
    <row r="62">
      <c r="A62" s="3700">
        <f>Fighters!$A62</f>
        <v>56</v>
      </c>
      <c r="B62" s="3701" t="str">
        <f>Fighters!$B62</f>
        <v>ルフレ</v>
      </c>
      <c r="C62" s="3735">
        <f t="shared" si="1"/>
        <v>62</v>
      </c>
      <c r="D62" s="3734">
        <f>IFERROR(__xludf.DUMMYFUNCTION("VALUE(IFERROR(VLOOKUP($Y62, IMPORTRANGE(""https://docs.google.com/spreadsheets/d/1UdH2L0xi8dO6jyPCcO5e5-8j7SGzezxkeZuF1uP8uOw"",""fighter_param (""&amp;TO_TEXT($A$1)&amp;"")!B4:JZ""), 9, FALSE), """"))"),1.815)</f>
        <v>1.815</v>
      </c>
      <c r="E62" s="3735">
        <f t="shared" si="2"/>
        <v>85</v>
      </c>
      <c r="F62" s="3735">
        <f>IFERROR(__xludf.DUMMYFUNCTION("VALUE(IFERROR(VLOOKUP($Y62, IMPORTRANGE(""https://docs.google.com/spreadsheets/d/1UdH2L0xi8dO6jyPCcO5e5-8j7SGzezxkeZuF1uP8uOw"",""fighter_param (""&amp;TO_TEXT($A$1)&amp;"")!B4:JZ""), 10, FALSE), """")) + VALUE(IFERROR(VLOOKUP($Y62, IMPORTRANGE(""https://docs.goo"&amp;"gle.com/spreadsheets/d/1UdH2L0xi8dO6jyPCcO5e5-8j7SGzezxkeZuF1uP8uOw"",""fighter_param (""&amp;TO_TEXT($A$1)&amp;"")!B4:JZ""), 11, FALSE), """"))"),0.1012)</f>
        <v>0.1012</v>
      </c>
      <c r="G62" s="3735">
        <f t="shared" si="3"/>
        <v>55</v>
      </c>
      <c r="H62" s="3734">
        <f>IFERROR(__xludf.DUMMYFUNCTION("VALUE(IFERROR(VLOOKUP($Y62, IMPORTRANGE(""https://docs.google.com/spreadsheets/d/1UdH2L0xi8dO6jyPCcO5e5-8j7SGzezxkeZuF1uP8uOw"",""fighter_param (""&amp;TO_TEXT($A$1)&amp;"")!B4:JZ""), 8, FALSE), """"))"),0.105)</f>
        <v>0.105</v>
      </c>
      <c r="I62" s="3735">
        <f t="shared" si="4"/>
        <v>31</v>
      </c>
      <c r="J62" s="3735">
        <f>IFERROR(__xludf.DUMMYFUNCTION("VALUE(IFERROR(VLOOKUP($Y62, IMPORTRANGE(""https://docs.google.com/spreadsheets/d/1UdH2L0xi8dO6jyPCcO5e5-8j7SGzezxkeZuF1uP8uOw"",""fighter_param (""&amp;TO_TEXT($A$1)&amp;"")!B4:JZ""), 22, FALSE), """")) + VALUE(IFERROR(VLOOKUP($Y62, IMPORTRANGE(""https://docs.goo"&amp;"gle.com/spreadsheets/d/1UdH2L0xi8dO6jyPCcO5e5-8j7SGzezxkeZuF1uP8uOw"",""fighter_param (""&amp;TO_TEXT($A$1)&amp;"")!B4:JZ""), 23, FALSE), """"))"),0.08)</f>
        <v>0.08</v>
      </c>
      <c r="K62" s="3735">
        <f t="shared" si="5"/>
        <v>76</v>
      </c>
      <c r="L62" s="3734">
        <f>IFERROR(__xludf.DUMMYFUNCTION("VALUE(IFERROR(VLOOKUP($Y62, IMPORTRANGE(""https://docs.google.com/spreadsheets/d/1UdH2L0xi8dO6jyPCcO5e5-8j7SGzezxkeZuF1uP8uOw"",""fighter_param (""&amp;TO_TEXT($A$1)&amp;"")!B4:JZ""), 25, FALSE), """"))"),0.007)</f>
        <v>0.007</v>
      </c>
      <c r="M62" s="3735">
        <f t="shared" si="6"/>
        <v>52</v>
      </c>
      <c r="N62" s="3734">
        <f>IFERROR(__xludf.DUMMYFUNCTION("VALUE(IFERROR(VLOOKUP($Y62, IMPORTRANGE(""https://docs.google.com/spreadsheets/d/1UdH2L0xi8dO6jyPCcO5e5-8j7SGzezxkeZuF1uP8uOw"",""fighter_param (""&amp;TO_TEXT($A$1)&amp;"")!B4:JZ""), 26, FALSE), """"))"),0.089)</f>
        <v>0.089</v>
      </c>
      <c r="O62" s="3735" t="str">
        <f t="shared" si="7"/>
        <v/>
      </c>
      <c r="P62" s="3735" t="s">
        <v>76</v>
      </c>
      <c r="Q62" s="3735">
        <f t="shared" si="8"/>
        <v>38</v>
      </c>
      <c r="R62" s="3734">
        <f>IFERROR(__xludf.DUMMYFUNCTION("VALUE(IFERROR(VLOOKUP($Y62, IMPORTRANGE(""https://docs.google.com/spreadsheets/d/1UdH2L0xi8dO6jyPCcO5e5-8j7SGzezxkeZuF1uP8uOw"",""fighter_param (""&amp;TO_TEXT($A$1)&amp;"")!B4:JZ""), 19, FALSE), """"))"),33.21)</f>
        <v>33.21</v>
      </c>
      <c r="S62" s="3735">
        <f t="shared" si="9"/>
        <v>43</v>
      </c>
      <c r="T62" s="3734">
        <f>IFERROR(__xludf.DUMMYFUNCTION("VALUE(IFERROR(VLOOKUP($Y62, IMPORTRANGE(""https://docs.google.com/spreadsheets/d/1UdH2L0xi8dO6jyPCcO5e5-8j7SGzezxkeZuF1uP8uOw"",""fighter_param (""&amp;TO_TEXT($A$1)&amp;"")!B4:JZ""), 20, FALSE), """"))"),16.02)</f>
        <v>16.02</v>
      </c>
      <c r="U62" s="3735">
        <f t="shared" si="10"/>
        <v>44</v>
      </c>
      <c r="V62" s="3734">
        <f>IFERROR(__xludf.DUMMYFUNCTION("VALUE(IFERROR(VLOOKUP($Y62, IMPORTRANGE(""https://docs.google.com/spreadsheets/d/1UdH2L0xi8dO6jyPCcO5e5-8j7SGzezxkeZuF1uP8uOw"",""fighter_param (""&amp;TO_TEXT($A$1)&amp;"")!B4:JZ""), 21, FALSE), """"))"),33.21)</f>
        <v>33.21</v>
      </c>
      <c r="W62" s="3708">
        <f>Fighters!S62</f>
        <v>61</v>
      </c>
      <c r="X62" s="3709">
        <f>Fighters!T62</f>
        <v>53</v>
      </c>
      <c r="Y62" s="3710" t="str">
        <f>Fighters!V62</f>
        <v>reflet</v>
      </c>
    </row>
    <row r="63">
      <c r="A63" s="3700">
        <f>Fighters!$A63</f>
        <v>57</v>
      </c>
      <c r="B63" s="3701" t="str">
        <f>Fighters!$B63</f>
        <v>シュルク</v>
      </c>
      <c r="C63" s="3735">
        <f t="shared" si="1"/>
        <v>51</v>
      </c>
      <c r="D63" s="3734">
        <f>IFERROR(__xludf.DUMMYFUNCTION("VALUE(IFERROR(VLOOKUP($Y63, IMPORTRANGE(""https://docs.google.com/spreadsheets/d/1UdH2L0xi8dO6jyPCcO5e5-8j7SGzezxkeZuF1uP8uOw"",""fighter_param (""&amp;TO_TEXT($A$1)&amp;"")!B4:JZ""), 9, FALSE), """"))"),1.87)</f>
        <v>1.87</v>
      </c>
      <c r="E63" s="3735">
        <f t="shared" si="2"/>
        <v>88</v>
      </c>
      <c r="F63" s="3735">
        <f>IFERROR(__xludf.DUMMYFUNCTION("VALUE(IFERROR(VLOOKUP($Y63, IMPORTRANGE(""https://docs.google.com/spreadsheets/d/1UdH2L0xi8dO6jyPCcO5e5-8j7SGzezxkeZuF1uP8uOw"",""fighter_param (""&amp;TO_TEXT($A$1)&amp;"")!B4:JZ""), 10, FALSE), """")) + VALUE(IFERROR(VLOOKUP($Y63, IMPORTRANGE(""https://docs.goo"&amp;"gle.com/spreadsheets/d/1UdH2L0xi8dO6jyPCcO5e5-8j7SGzezxkeZuF1uP8uOw"",""fighter_param (""&amp;TO_TEXT($A$1)&amp;"")!B4:JZ""), 11, FALSE), """"))"),0.09064)</f>
        <v>0.09064</v>
      </c>
      <c r="G63" s="3735">
        <f t="shared" si="3"/>
        <v>68</v>
      </c>
      <c r="H63" s="3734">
        <f>IFERROR(__xludf.DUMMYFUNCTION("VALUE(IFERROR(VLOOKUP($Y63, IMPORTRANGE(""https://docs.google.com/spreadsheets/d/1UdH2L0xi8dO6jyPCcO5e5-8j7SGzezxkeZuF1uP8uOw"",""fighter_param (""&amp;TO_TEXT($A$1)&amp;"")!B4:JZ""), 8, FALSE), """"))"),0.094)</f>
        <v>0.094</v>
      </c>
      <c r="I63" s="3735">
        <f t="shared" si="4"/>
        <v>70</v>
      </c>
      <c r="J63" s="3735">
        <f>IFERROR(__xludf.DUMMYFUNCTION("VALUE(IFERROR(VLOOKUP($Y63, IMPORTRANGE(""https://docs.google.com/spreadsheets/d/1UdH2L0xi8dO6jyPCcO5e5-8j7SGzezxkeZuF1uP8uOw"",""fighter_param (""&amp;TO_TEXT($A$1)&amp;"")!B4:JZ""), 22, FALSE), """")) + VALUE(IFERROR(VLOOKUP($Y63, IMPORTRANGE(""https://docs.goo"&amp;"gle.com/spreadsheets/d/1UdH2L0xi8dO6jyPCcO5e5-8j7SGzezxkeZuF1uP8uOw"",""fighter_param (""&amp;TO_TEXT($A$1)&amp;"")!B4:JZ""), 23, FALSE), """"))"),0.05)</f>
        <v>0.05</v>
      </c>
      <c r="K63" s="3735">
        <f t="shared" si="5"/>
        <v>52</v>
      </c>
      <c r="L63" s="3734">
        <f>IFERROR(__xludf.DUMMYFUNCTION("VALUE(IFERROR(VLOOKUP($Y63, IMPORTRANGE(""https://docs.google.com/spreadsheets/d/1UdH2L0xi8dO6jyPCcO5e5-8j7SGzezxkeZuF1uP8uOw"",""fighter_param (""&amp;TO_TEXT($A$1)&amp;"")!B4:JZ""), 25, FALSE), """"))"),0.009)</f>
        <v>0.009</v>
      </c>
      <c r="M63" s="3735">
        <f t="shared" si="6"/>
        <v>34</v>
      </c>
      <c r="N63" s="3734">
        <f>IFERROR(__xludf.DUMMYFUNCTION("VALUE(IFERROR(VLOOKUP($Y63, IMPORTRANGE(""https://docs.google.com/spreadsheets/d/1UdH2L0xi8dO6jyPCcO5e5-8j7SGzezxkeZuF1uP8uOw"",""fighter_param (""&amp;TO_TEXT($A$1)&amp;"")!B4:JZ""), 26, FALSE), """"))"),0.098)</f>
        <v>0.098</v>
      </c>
      <c r="O63" s="3735" t="str">
        <f t="shared" si="7"/>
        <v/>
      </c>
      <c r="P63" s="3735" t="s">
        <v>76</v>
      </c>
      <c r="Q63" s="3735">
        <f t="shared" si="8"/>
        <v>36</v>
      </c>
      <c r="R63" s="3734">
        <f>IFERROR(__xludf.DUMMYFUNCTION("VALUE(IFERROR(VLOOKUP($Y63, IMPORTRANGE(""https://docs.google.com/spreadsheets/d/1UdH2L0xi8dO6jyPCcO5e5-8j7SGzezxkeZuF1uP8uOw"",""fighter_param (""&amp;TO_TEXT($A$1)&amp;"")!B4:JZ""), 19, FALSE), """"))"),33.5)</f>
        <v>33.5</v>
      </c>
      <c r="S63" s="3735">
        <f t="shared" si="9"/>
        <v>31</v>
      </c>
      <c r="T63" s="3734">
        <f>IFERROR(__xludf.DUMMYFUNCTION("VALUE(IFERROR(VLOOKUP($Y63, IMPORTRANGE(""https://docs.google.com/spreadsheets/d/1UdH2L0xi8dO6jyPCcO5e5-8j7SGzezxkeZuF1uP8uOw"",""fighter_param (""&amp;TO_TEXT($A$1)&amp;"")!B4:JZ""), 20, FALSE), """"))"),16.8)</f>
        <v>16.8</v>
      </c>
      <c r="U63" s="3735">
        <f t="shared" si="10"/>
        <v>42</v>
      </c>
      <c r="V63" s="3734">
        <f>IFERROR(__xludf.DUMMYFUNCTION("VALUE(IFERROR(VLOOKUP($Y63, IMPORTRANGE(""https://docs.google.com/spreadsheets/d/1UdH2L0xi8dO6jyPCcO5e5-8j7SGzezxkeZuF1uP8uOw"",""fighter_param (""&amp;TO_TEXT($A$1)&amp;"")!B4:JZ""), 21, FALSE), """"))"),33.5)</f>
        <v>33.5</v>
      </c>
      <c r="W63" s="3708">
        <f>Fighters!S63</f>
        <v>62</v>
      </c>
      <c r="X63" s="3709">
        <f>Fighters!T63</f>
        <v>54</v>
      </c>
      <c r="Y63" s="3710" t="str">
        <f>Fighters!V63</f>
        <v>shulk</v>
      </c>
    </row>
    <row r="64">
      <c r="A64" s="3700">
        <f>Fighters!$A64</f>
        <v>58</v>
      </c>
      <c r="B64" s="3701" t="str">
        <f>Fighters!$B64</f>
        <v>クッパ Jr.</v>
      </c>
      <c r="C64" s="3735">
        <f t="shared" si="1"/>
        <v>72</v>
      </c>
      <c r="D64" s="3734">
        <f>IFERROR(__xludf.DUMMYFUNCTION("VALUE(IFERROR(VLOOKUP($Y64, IMPORTRANGE(""https://docs.google.com/spreadsheets/d/1UdH2L0xi8dO6jyPCcO5e5-8j7SGzezxkeZuF1uP8uOw"",""fighter_param (""&amp;TO_TEXT($A$1)&amp;"")!B4:JZ""), 9, FALSE), """"))"),1.76)</f>
        <v>1.76</v>
      </c>
      <c r="E64" s="3735">
        <f t="shared" si="2"/>
        <v>27</v>
      </c>
      <c r="F64" s="3735">
        <f>IFERROR(__xludf.DUMMYFUNCTION("VALUE(IFERROR(VLOOKUP($Y64, IMPORTRANGE(""https://docs.google.com/spreadsheets/d/1UdH2L0xi8dO6jyPCcO5e5-8j7SGzezxkeZuF1uP8uOw"",""fighter_param (""&amp;TO_TEXT($A$1)&amp;"")!B4:JZ""), 10, FALSE), """")) + VALUE(IFERROR(VLOOKUP($Y64, IMPORTRANGE(""https://docs.goo"&amp;"gle.com/spreadsheets/d/1UdH2L0xi8dO6jyPCcO5e5-8j7SGzezxkeZuF1uP8uOw"",""fighter_param (""&amp;TO_TEXT($A$1)&amp;"")!B4:JZ""), 11, FALSE), """"))"),0.15378)</f>
        <v>0.15378</v>
      </c>
      <c r="G64" s="3735">
        <f t="shared" si="3"/>
        <v>79</v>
      </c>
      <c r="H64" s="3734">
        <f>IFERROR(__xludf.DUMMYFUNCTION("VALUE(IFERROR(VLOOKUP($Y64, IMPORTRANGE(""https://docs.google.com/spreadsheets/d/1UdH2L0xi8dO6jyPCcO5e5-8j7SGzezxkeZuF1uP8uOw"",""fighter_param (""&amp;TO_TEXT($A$1)&amp;"")!B4:JZ""), 8, FALSE), """"))"),0.085)</f>
        <v>0.085</v>
      </c>
      <c r="I64" s="3735">
        <f t="shared" si="4"/>
        <v>31</v>
      </c>
      <c r="J64" s="3735">
        <f>IFERROR(__xludf.DUMMYFUNCTION("VALUE(IFERROR(VLOOKUP($Y64, IMPORTRANGE(""https://docs.google.com/spreadsheets/d/1UdH2L0xi8dO6jyPCcO5e5-8j7SGzezxkeZuF1uP8uOw"",""fighter_param (""&amp;TO_TEXT($A$1)&amp;"")!B4:JZ""), 22, FALSE), """")) + VALUE(IFERROR(VLOOKUP($Y64, IMPORTRANGE(""https://docs.goo"&amp;"gle.com/spreadsheets/d/1UdH2L0xi8dO6jyPCcO5e5-8j7SGzezxkeZuF1uP8uOw"",""fighter_param (""&amp;TO_TEXT($A$1)&amp;"")!B4:JZ""), 23, FALSE), """"))"),0.08)</f>
        <v>0.08</v>
      </c>
      <c r="K64" s="3735">
        <f t="shared" si="5"/>
        <v>9</v>
      </c>
      <c r="L64" s="3734">
        <f>IFERROR(__xludf.DUMMYFUNCTION("VALUE(IFERROR(VLOOKUP($Y64, IMPORTRANGE(""https://docs.google.com/spreadsheets/d/1UdH2L0xi8dO6jyPCcO5e5-8j7SGzezxkeZuF1uP8uOw"",""fighter_param (""&amp;TO_TEXT($A$1)&amp;"")!B4:JZ""), 25, FALSE), """"))"),0.015)</f>
        <v>0.015</v>
      </c>
      <c r="M64" s="3735">
        <f t="shared" si="6"/>
        <v>42</v>
      </c>
      <c r="N64" s="3734">
        <f>IFERROR(__xludf.DUMMYFUNCTION("VALUE(IFERROR(VLOOKUP($Y64, IMPORTRANGE(""https://docs.google.com/spreadsheets/d/1UdH2L0xi8dO6jyPCcO5e5-8j7SGzezxkeZuF1uP8uOw"",""fighter_param (""&amp;TO_TEXT($A$1)&amp;"")!B4:JZ""), 26, FALSE), """"))"),0.092)</f>
        <v>0.092</v>
      </c>
      <c r="O64" s="3735" t="str">
        <f t="shared" si="7"/>
        <v/>
      </c>
      <c r="P64" s="3735" t="s">
        <v>76</v>
      </c>
      <c r="Q64" s="3735">
        <f t="shared" si="8"/>
        <v>27</v>
      </c>
      <c r="R64" s="3734">
        <f>IFERROR(__xludf.DUMMYFUNCTION("VALUE(IFERROR(VLOOKUP($Y64, IMPORTRANGE(""https://docs.google.com/spreadsheets/d/1UdH2L0xi8dO6jyPCcO5e5-8j7SGzezxkeZuF1uP8uOw"",""fighter_param (""&amp;TO_TEXT($A$1)&amp;"")!B4:JZ""), 19, FALSE), """"))"),34.4)</f>
        <v>34.4</v>
      </c>
      <c r="S64" s="3735">
        <f t="shared" si="9"/>
        <v>34</v>
      </c>
      <c r="T64" s="3734">
        <f>IFERROR(__xludf.DUMMYFUNCTION("VALUE(IFERROR(VLOOKUP($Y64, IMPORTRANGE(""https://docs.google.com/spreadsheets/d/1UdH2L0xi8dO6jyPCcO5e5-8j7SGzezxkeZuF1uP8uOw"",""fighter_param (""&amp;TO_TEXT($A$1)&amp;"")!B4:JZ""), 20, FALSE), """"))"),16.59)</f>
        <v>16.59</v>
      </c>
      <c r="U64" s="3735">
        <f t="shared" si="10"/>
        <v>33</v>
      </c>
      <c r="V64" s="3734">
        <f>IFERROR(__xludf.DUMMYFUNCTION("VALUE(IFERROR(VLOOKUP($Y64, IMPORTRANGE(""https://docs.google.com/spreadsheets/d/1UdH2L0xi8dO6jyPCcO5e5-8j7SGzezxkeZuF1uP8uOw"",""fighter_param (""&amp;TO_TEXT($A$1)&amp;"")!B4:JZ""), 21, FALSE), """"))"),34.4)</f>
        <v>34.4</v>
      </c>
      <c r="W64" s="3708">
        <f>Fighters!S64</f>
        <v>63</v>
      </c>
      <c r="X64" s="3709">
        <f>Fighters!T64</f>
        <v>55</v>
      </c>
      <c r="Y64" s="3710" t="str">
        <f>Fighters!V64</f>
        <v>koopajr</v>
      </c>
    </row>
    <row r="65">
      <c r="A65" s="3700">
        <f>Fighters!$A65</f>
        <v>59</v>
      </c>
      <c r="B65" s="3701" t="str">
        <f>Fighters!$B65</f>
        <v>ダックハント</v>
      </c>
      <c r="C65" s="3735">
        <f t="shared" si="1"/>
        <v>72</v>
      </c>
      <c r="D65" s="3734">
        <f>IFERROR(__xludf.DUMMYFUNCTION("VALUE(IFERROR(VLOOKUP($Y65, IMPORTRANGE(""https://docs.google.com/spreadsheets/d/1UdH2L0xi8dO6jyPCcO5e5-8j7SGzezxkeZuF1uP8uOw"",""fighter_param (""&amp;TO_TEXT($A$1)&amp;"")!B4:JZ""), 9, FALSE), """"))"),1.76)</f>
        <v>1.76</v>
      </c>
      <c r="E65" s="3735">
        <f t="shared" si="2"/>
        <v>27</v>
      </c>
      <c r="F65" s="3735">
        <f>IFERROR(__xludf.DUMMYFUNCTION("VALUE(IFERROR(VLOOKUP($Y65, IMPORTRANGE(""https://docs.google.com/spreadsheets/d/1UdH2L0xi8dO6jyPCcO5e5-8j7SGzezxkeZuF1uP8uOw"",""fighter_param (""&amp;TO_TEXT($A$1)&amp;"")!B4:JZ""), 10, FALSE), """")) + VALUE(IFERROR(VLOOKUP($Y65, IMPORTRANGE(""https://docs.goo"&amp;"gle.com/spreadsheets/d/1UdH2L0xi8dO6jyPCcO5e5-8j7SGzezxkeZuF1uP8uOw"",""fighter_param (""&amp;TO_TEXT($A$1)&amp;"")!B4:JZ""), 11, FALSE), """"))"),0.15378)</f>
        <v>0.15378</v>
      </c>
      <c r="G65" s="3735">
        <f t="shared" si="3"/>
        <v>72</v>
      </c>
      <c r="H65" s="3734">
        <f>IFERROR(__xludf.DUMMYFUNCTION("VALUE(IFERROR(VLOOKUP($Y65, IMPORTRANGE(""https://docs.google.com/spreadsheets/d/1UdH2L0xi8dO6jyPCcO5e5-8j7SGzezxkeZuF1uP8uOw"",""fighter_param (""&amp;TO_TEXT($A$1)&amp;"")!B4:JZ""), 8, FALSE), """"))"),0.09)</f>
        <v>0.09</v>
      </c>
      <c r="I65" s="3735">
        <f t="shared" si="4"/>
        <v>31</v>
      </c>
      <c r="J65" s="3735">
        <f>IFERROR(__xludf.DUMMYFUNCTION("VALUE(IFERROR(VLOOKUP($Y65, IMPORTRANGE(""https://docs.google.com/spreadsheets/d/1UdH2L0xi8dO6jyPCcO5e5-8j7SGzezxkeZuF1uP8uOw"",""fighter_param (""&amp;TO_TEXT($A$1)&amp;"")!B4:JZ""), 22, FALSE), """")) + VALUE(IFERROR(VLOOKUP($Y65, IMPORTRANGE(""https://docs.goo"&amp;"gle.com/spreadsheets/d/1UdH2L0xi8dO6jyPCcO5e5-8j7SGzezxkeZuF1uP8uOw"",""fighter_param (""&amp;TO_TEXT($A$1)&amp;"")!B4:JZ""), 23, FALSE), """"))"),0.08)</f>
        <v>0.08</v>
      </c>
      <c r="K65" s="3735">
        <f t="shared" si="5"/>
        <v>9</v>
      </c>
      <c r="L65" s="3734">
        <f>IFERROR(__xludf.DUMMYFUNCTION("VALUE(IFERROR(VLOOKUP($Y65, IMPORTRANGE(""https://docs.google.com/spreadsheets/d/1UdH2L0xi8dO6jyPCcO5e5-8j7SGzezxkeZuF1uP8uOw"",""fighter_param (""&amp;TO_TEXT($A$1)&amp;"")!B4:JZ""), 25, FALSE), """"))"),0.015)</f>
        <v>0.015</v>
      </c>
      <c r="M65" s="3735">
        <f t="shared" si="6"/>
        <v>74</v>
      </c>
      <c r="N65" s="3734">
        <f>IFERROR(__xludf.DUMMYFUNCTION("VALUE(IFERROR(VLOOKUP($Y65, IMPORTRANGE(""https://docs.google.com/spreadsheets/d/1UdH2L0xi8dO6jyPCcO5e5-8j7SGzezxkeZuF1uP8uOw"",""fighter_param (""&amp;TO_TEXT($A$1)&amp;"")!B4:JZ""), 26, FALSE), """"))"),0.076)</f>
        <v>0.076</v>
      </c>
      <c r="O65" s="3735" t="str">
        <f t="shared" si="7"/>
        <v/>
      </c>
      <c r="P65" s="3735" t="s">
        <v>76</v>
      </c>
      <c r="Q65" s="3735">
        <f t="shared" si="8"/>
        <v>29</v>
      </c>
      <c r="R65" s="3734">
        <f>IFERROR(__xludf.DUMMYFUNCTION("VALUE(IFERROR(VLOOKUP($Y65, IMPORTRANGE(""https://docs.google.com/spreadsheets/d/1UdH2L0xi8dO6jyPCcO5e5-8j7SGzezxkeZuF1uP8uOw"",""fighter_param (""&amp;TO_TEXT($A$1)&amp;"")!B4:JZ""), 19, FALSE), """"))"),34.0)</f>
        <v>34</v>
      </c>
      <c r="S65" s="3735">
        <f t="shared" si="9"/>
        <v>35</v>
      </c>
      <c r="T65" s="3734">
        <f>IFERROR(__xludf.DUMMYFUNCTION("VALUE(IFERROR(VLOOKUP($Y65, IMPORTRANGE(""https://docs.google.com/spreadsheets/d/1UdH2L0xi8dO6jyPCcO5e5-8j7SGzezxkeZuF1uP8uOw"",""fighter_param (""&amp;TO_TEXT($A$1)&amp;"")!B4:JZ""), 20, FALSE), """"))"),16.48)</f>
        <v>16.48</v>
      </c>
      <c r="U65" s="3735">
        <f t="shared" si="10"/>
        <v>37</v>
      </c>
      <c r="V65" s="3734">
        <f>IFERROR(__xludf.DUMMYFUNCTION("VALUE(IFERROR(VLOOKUP($Y65, IMPORTRANGE(""https://docs.google.com/spreadsheets/d/1UdH2L0xi8dO6jyPCcO5e5-8j7SGzezxkeZuF1uP8uOw"",""fighter_param (""&amp;TO_TEXT($A$1)&amp;"")!B4:JZ""), 21, FALSE), """"))"),33.8)</f>
        <v>33.8</v>
      </c>
      <c r="W65" s="3708">
        <f>Fighters!S65</f>
        <v>64</v>
      </c>
      <c r="X65" s="3709">
        <f>Fighters!T65</f>
        <v>56</v>
      </c>
      <c r="Y65" s="3710" t="str">
        <f>Fighters!V65</f>
        <v>duckhunt</v>
      </c>
    </row>
    <row r="66">
      <c r="A66" s="3700">
        <f>Fighters!$A66</f>
        <v>60</v>
      </c>
      <c r="B66" s="3701" t="str">
        <f>Fighters!$B66</f>
        <v>リュウ</v>
      </c>
      <c r="C66" s="3735">
        <f t="shared" si="1"/>
        <v>72</v>
      </c>
      <c r="D66" s="3734">
        <f>IFERROR(__xludf.DUMMYFUNCTION("VALUE(IFERROR(VLOOKUP($Y66, IMPORTRANGE(""https://docs.google.com/spreadsheets/d/1UdH2L0xi8dO6jyPCcO5e5-8j7SGzezxkeZuF1uP8uOw"",""fighter_param (""&amp;TO_TEXT($A$1)&amp;"")!B4:JZ""), 9, FALSE), """"))"),1.76)</f>
        <v>1.76</v>
      </c>
      <c r="E66" s="3735">
        <f t="shared" si="2"/>
        <v>52</v>
      </c>
      <c r="F66" s="3735">
        <f>IFERROR(__xludf.DUMMYFUNCTION("VALUE(IFERROR(VLOOKUP($Y66, IMPORTRANGE(""https://docs.google.com/spreadsheets/d/1UdH2L0xi8dO6jyPCcO5e5-8j7SGzezxkeZuF1uP8uOw"",""fighter_param (""&amp;TO_TEXT($A$1)&amp;"")!B4:JZ""), 10, FALSE), """")) + VALUE(IFERROR(VLOOKUP($Y66, IMPORTRANGE(""https://docs.goo"&amp;"gle.com/spreadsheets/d/1UdH2L0xi8dO6jyPCcO5e5-8j7SGzezxkeZuF1uP8uOw"",""fighter_param (""&amp;TO_TEXT($A$1)&amp;"")!B4:JZ""), 11, FALSE), """"))"),0.14)</f>
        <v>0.14</v>
      </c>
      <c r="G66" s="3735">
        <f t="shared" si="3"/>
        <v>39</v>
      </c>
      <c r="H66" s="3734">
        <f>IFERROR(__xludf.DUMMYFUNCTION("VALUE(IFERROR(VLOOKUP($Y66, IMPORTRANGE(""https://docs.google.com/spreadsheets/d/1UdH2L0xi8dO6jyPCcO5e5-8j7SGzezxkeZuF1uP8uOw"",""fighter_param (""&amp;TO_TEXT($A$1)&amp;"")!B4:JZ""), 8, FALSE), """"))"),0.11)</f>
        <v>0.11</v>
      </c>
      <c r="I66" s="3735">
        <f t="shared" si="4"/>
        <v>85</v>
      </c>
      <c r="J66" s="3735">
        <f>IFERROR(__xludf.DUMMYFUNCTION("VALUE(IFERROR(VLOOKUP($Y66, IMPORTRANGE(""https://docs.google.com/spreadsheets/d/1UdH2L0xi8dO6jyPCcO5e5-8j7SGzezxkeZuF1uP8uOw"",""fighter_param (""&amp;TO_TEXT($A$1)&amp;"")!B4:JZ""), 22, FALSE), """")) + VALUE(IFERROR(VLOOKUP($Y66, IMPORTRANGE(""https://docs.goo"&amp;"gle.com/spreadsheets/d/1UdH2L0xi8dO6jyPCcO5e5-8j7SGzezxkeZuF1uP8uOw"",""fighter_param (""&amp;TO_TEXT($A$1)&amp;"")!B4:JZ""), 23, FALSE), """"))"),0.035)</f>
        <v>0.035</v>
      </c>
      <c r="K66" s="3735">
        <f t="shared" si="5"/>
        <v>9</v>
      </c>
      <c r="L66" s="3734">
        <f>IFERROR(__xludf.DUMMYFUNCTION("VALUE(IFERROR(VLOOKUP($Y66, IMPORTRANGE(""https://docs.google.com/spreadsheets/d/1UdH2L0xi8dO6jyPCcO5e5-8j7SGzezxkeZuF1uP8uOw"",""fighter_param (""&amp;TO_TEXT($A$1)&amp;"")!B4:JZ""), 25, FALSE), """"))"),0.015)</f>
        <v>0.015</v>
      </c>
      <c r="M66" s="3735">
        <f t="shared" si="6"/>
        <v>15</v>
      </c>
      <c r="N66" s="3734">
        <f>IFERROR(__xludf.DUMMYFUNCTION("VALUE(IFERROR(VLOOKUP($Y66, IMPORTRANGE(""https://docs.google.com/spreadsheets/d/1UdH2L0xi8dO6jyPCcO5e5-8j7SGzezxkeZuF1uP8uOw"",""fighter_param (""&amp;TO_TEXT($A$1)&amp;"")!B4:JZ""), 26, FALSE), """"))"),0.12)</f>
        <v>0.12</v>
      </c>
      <c r="O66" s="3735" t="str">
        <f t="shared" si="7"/>
        <v/>
      </c>
      <c r="P66" s="3735" t="s">
        <v>76</v>
      </c>
      <c r="Q66" s="3735">
        <f t="shared" si="8"/>
        <v>81</v>
      </c>
      <c r="R66" s="3734">
        <f>IFERROR(__xludf.DUMMYFUNCTION("VALUE(IFERROR(VLOOKUP($Y66, IMPORTRANGE(""https://docs.google.com/spreadsheets/d/1UdH2L0xi8dO6jyPCcO5e5-8j7SGzezxkeZuF1uP8uOw"",""fighter_param (""&amp;TO_TEXT($A$1)&amp;"")!B4:JZ""), 19, FALSE), """"))"),26.0)</f>
        <v>26</v>
      </c>
      <c r="S66" s="3735">
        <f t="shared" si="9"/>
        <v>60</v>
      </c>
      <c r="T66" s="3734">
        <f>IFERROR(__xludf.DUMMYFUNCTION("VALUE(IFERROR(VLOOKUP($Y66, IMPORTRANGE(""https://docs.google.com/spreadsheets/d/1UdH2L0xi8dO6jyPCcO5e5-8j7SGzezxkeZuF1uP8uOw"",""fighter_param (""&amp;TO_TEXT($A$1)&amp;"")!B4:JZ""), 20, FALSE), """"))"),15.0)</f>
        <v>15</v>
      </c>
      <c r="U66" s="3735">
        <f t="shared" si="10"/>
        <v>65</v>
      </c>
      <c r="V66" s="3734">
        <f>IFERROR(__xludf.DUMMYFUNCTION("VALUE(IFERROR(VLOOKUP($Y66, IMPORTRANGE(""https://docs.google.com/spreadsheets/d/1UdH2L0xi8dO6jyPCcO5e5-8j7SGzezxkeZuF1uP8uOw"",""fighter_param (""&amp;TO_TEXT($A$1)&amp;"")!B4:JZ""), 21, FALSE), """"))"),29.5)</f>
        <v>29.5</v>
      </c>
      <c r="W66" s="3708">
        <f>Fighters!S66</f>
        <v>65</v>
      </c>
      <c r="X66" s="3709">
        <f>Fighters!T66</f>
        <v>57</v>
      </c>
      <c r="Y66" s="3710" t="str">
        <f>Fighters!V66</f>
        <v>ryu</v>
      </c>
    </row>
    <row r="67">
      <c r="A67" s="3700" t="str">
        <f>Fighters!$A67</f>
        <v>60'</v>
      </c>
      <c r="B67" s="3701" t="str">
        <f>Fighters!$B67</f>
        <v>ケン</v>
      </c>
      <c r="C67" s="3735">
        <f t="shared" si="1"/>
        <v>38</v>
      </c>
      <c r="D67" s="3734">
        <f>IFERROR(__xludf.DUMMYFUNCTION("VALUE(IFERROR(VLOOKUP($Y67, IMPORTRANGE(""https://docs.google.com/spreadsheets/d/1UdH2L0xi8dO6jyPCcO5e5-8j7SGzezxkeZuF1uP8uOw"",""fighter_param (""&amp;TO_TEXT($A$1)&amp;"")!B4:JZ""), 9, FALSE), """"))"),1.936)</f>
        <v>1.936</v>
      </c>
      <c r="E67" s="3735">
        <f t="shared" si="2"/>
        <v>26</v>
      </c>
      <c r="F67" s="3735">
        <f>IFERROR(__xludf.DUMMYFUNCTION("VALUE(IFERROR(VLOOKUP($Y67, IMPORTRANGE(""https://docs.google.com/spreadsheets/d/1UdH2L0xi8dO6jyPCcO5e5-8j7SGzezxkeZuF1uP8uOw"",""fighter_param (""&amp;TO_TEXT($A$1)&amp;"")!B4:JZ""), 10, FALSE), """")) + VALUE(IFERROR(VLOOKUP($Y67, IMPORTRANGE(""https://docs.goo"&amp;"gle.com/spreadsheets/d/1UdH2L0xi8dO6jyPCcO5e5-8j7SGzezxkeZuF1uP8uOw"",""fighter_param (""&amp;TO_TEXT($A$1)&amp;"")!B4:JZ""), 11, FALSE), """"))"),0.154)</f>
        <v>0.154</v>
      </c>
      <c r="G67" s="3735">
        <f t="shared" si="3"/>
        <v>39</v>
      </c>
      <c r="H67" s="3734">
        <f>IFERROR(__xludf.DUMMYFUNCTION("VALUE(IFERROR(VLOOKUP($Y67, IMPORTRANGE(""https://docs.google.com/spreadsheets/d/1UdH2L0xi8dO6jyPCcO5e5-8j7SGzezxkeZuF1uP8uOw"",""fighter_param (""&amp;TO_TEXT($A$1)&amp;"")!B4:JZ""), 8, FALSE), """"))"),0.11)</f>
        <v>0.11</v>
      </c>
      <c r="I67" s="3735">
        <f t="shared" si="4"/>
        <v>85</v>
      </c>
      <c r="J67" s="3735">
        <f>IFERROR(__xludf.DUMMYFUNCTION("VALUE(IFERROR(VLOOKUP($Y67, IMPORTRANGE(""https://docs.google.com/spreadsheets/d/1UdH2L0xi8dO6jyPCcO5e5-8j7SGzezxkeZuF1uP8uOw"",""fighter_param (""&amp;TO_TEXT($A$1)&amp;"")!B4:JZ""), 22, FALSE), """")) + VALUE(IFERROR(VLOOKUP($Y67, IMPORTRANGE(""https://docs.goo"&amp;"gle.com/spreadsheets/d/1UdH2L0xi8dO6jyPCcO5e5-8j7SGzezxkeZuF1uP8uOw"",""fighter_param (""&amp;TO_TEXT($A$1)&amp;"")!B4:JZ""), 23, FALSE), """"))"),0.035)</f>
        <v>0.035</v>
      </c>
      <c r="K67" s="3735">
        <f t="shared" si="5"/>
        <v>9</v>
      </c>
      <c r="L67" s="3734">
        <f>IFERROR(__xludf.DUMMYFUNCTION("VALUE(IFERROR(VLOOKUP($Y67, IMPORTRANGE(""https://docs.google.com/spreadsheets/d/1UdH2L0xi8dO6jyPCcO5e5-8j7SGzezxkeZuF1uP8uOw"",""fighter_param (""&amp;TO_TEXT($A$1)&amp;"")!B4:JZ""), 25, FALSE), """"))"),0.015)</f>
        <v>0.015</v>
      </c>
      <c r="M67" s="3735">
        <f t="shared" si="6"/>
        <v>15</v>
      </c>
      <c r="N67" s="3734">
        <f>IFERROR(__xludf.DUMMYFUNCTION("VALUE(IFERROR(VLOOKUP($Y67, IMPORTRANGE(""https://docs.google.com/spreadsheets/d/1UdH2L0xi8dO6jyPCcO5e5-8j7SGzezxkeZuF1uP8uOw"",""fighter_param (""&amp;TO_TEXT($A$1)&amp;"")!B4:JZ""), 26, FALSE), """"))"),0.12)</f>
        <v>0.12</v>
      </c>
      <c r="O67" s="3735" t="str">
        <f t="shared" si="7"/>
        <v/>
      </c>
      <c r="P67" s="3735" t="s">
        <v>76</v>
      </c>
      <c r="Q67" s="3735">
        <f t="shared" si="8"/>
        <v>81</v>
      </c>
      <c r="R67" s="3734">
        <f>IFERROR(__xludf.DUMMYFUNCTION("VALUE(IFERROR(VLOOKUP($Y67, IMPORTRANGE(""https://docs.google.com/spreadsheets/d/1UdH2L0xi8dO6jyPCcO5e5-8j7SGzezxkeZuF1uP8uOw"",""fighter_param (""&amp;TO_TEXT($A$1)&amp;"")!B4:JZ""), 19, FALSE), """"))"),26.0)</f>
        <v>26</v>
      </c>
      <c r="S67" s="3735">
        <f t="shared" si="9"/>
        <v>60</v>
      </c>
      <c r="T67" s="3734">
        <f>IFERROR(__xludf.DUMMYFUNCTION("VALUE(IFERROR(VLOOKUP($Y67, IMPORTRANGE(""https://docs.google.com/spreadsheets/d/1UdH2L0xi8dO6jyPCcO5e5-8j7SGzezxkeZuF1uP8uOw"",""fighter_param (""&amp;TO_TEXT($A$1)&amp;"")!B4:JZ""), 20, FALSE), """"))"),15.0)</f>
        <v>15</v>
      </c>
      <c r="U67" s="3735">
        <f t="shared" si="10"/>
        <v>65</v>
      </c>
      <c r="V67" s="3734">
        <f>IFERROR(__xludf.DUMMYFUNCTION("VALUE(IFERROR(VLOOKUP($Y67, IMPORTRANGE(""https://docs.google.com/spreadsheets/d/1UdH2L0xi8dO6jyPCcO5e5-8j7SGzezxkeZuF1uP8uOw"",""fighter_param (""&amp;TO_TEXT($A$1)&amp;"")!B4:JZ""), 21, FALSE), """"))"),29.5)</f>
        <v>29.5</v>
      </c>
      <c r="W67" s="3708">
        <f>Fighters!S67</f>
        <v>66</v>
      </c>
      <c r="X67" s="3709">
        <f>Fighters!T67</f>
        <v>77</v>
      </c>
      <c r="Y67" s="3710" t="str">
        <f>Fighters!V67</f>
        <v>ken</v>
      </c>
    </row>
    <row r="68">
      <c r="A68" s="3700">
        <f>Fighters!$A68</f>
        <v>61</v>
      </c>
      <c r="B68" s="3701" t="str">
        <f>Fighters!$B68</f>
        <v>クラウド</v>
      </c>
      <c r="C68" s="3735">
        <f t="shared" si="1"/>
        <v>16</v>
      </c>
      <c r="D68" s="3734">
        <f>IFERROR(__xludf.DUMMYFUNCTION("VALUE(IFERROR(VLOOKUP($Y68, IMPORTRANGE(""https://docs.google.com/spreadsheets/d/1UdH2L0xi8dO6jyPCcO5e5-8j7SGzezxkeZuF1uP8uOw"",""fighter_param (""&amp;TO_TEXT($A$1)&amp;"")!B4:JZ""), 9, FALSE), """"))"),2.145)</f>
        <v>2.145</v>
      </c>
      <c r="E68" s="3735">
        <f t="shared" si="2"/>
        <v>77</v>
      </c>
      <c r="F68" s="3735">
        <f>IFERROR(__xludf.DUMMYFUNCTION("VALUE(IFERROR(VLOOKUP($Y68, IMPORTRANGE(""https://docs.google.com/spreadsheets/d/1UdH2L0xi8dO6jyPCcO5e5-8j7SGzezxkeZuF1uP8uOw"",""fighter_param (""&amp;TO_TEXT($A$1)&amp;"")!B4:JZ""), 10, FALSE), """")) + VALUE(IFERROR(VLOOKUP($Y68, IMPORTRANGE(""https://docs.goo"&amp;"gle.com/spreadsheets/d/1UdH2L0xi8dO6jyPCcO5e5-8j7SGzezxkeZuF1uP8uOw"",""fighter_param (""&amp;TO_TEXT($A$1)&amp;"")!B4:JZ""), 11, FALSE), """"))"),0.11)</f>
        <v>0.11</v>
      </c>
      <c r="G68" s="3735">
        <f t="shared" si="3"/>
        <v>50</v>
      </c>
      <c r="H68" s="3734">
        <f>IFERROR(__xludf.DUMMYFUNCTION("VALUE(IFERROR(VLOOKUP($Y68, IMPORTRANGE(""https://docs.google.com/spreadsheets/d/1UdH2L0xi8dO6jyPCcO5e5-8j7SGzezxkeZuF1uP8uOw"",""fighter_param (""&amp;TO_TEXT($A$1)&amp;"")!B4:JZ""), 8, FALSE), """"))"),0.106)</f>
        <v>0.106</v>
      </c>
      <c r="I68" s="3735">
        <f t="shared" si="4"/>
        <v>49</v>
      </c>
      <c r="J68" s="3735">
        <f>IFERROR(__xludf.DUMMYFUNCTION("VALUE(IFERROR(VLOOKUP($Y68, IMPORTRANGE(""https://docs.google.com/spreadsheets/d/1UdH2L0xi8dO6jyPCcO5e5-8j7SGzezxkeZuF1uP8uOw"",""fighter_param (""&amp;TO_TEXT($A$1)&amp;"")!B4:JZ""), 22, FALSE), """")) + VALUE(IFERROR(VLOOKUP($Y68, IMPORTRANGE(""https://docs.goo"&amp;"gle.com/spreadsheets/d/1UdH2L0xi8dO6jyPCcO5e5-8j7SGzezxkeZuF1uP8uOw"",""fighter_param (""&amp;TO_TEXT($A$1)&amp;"")!B4:JZ""), 23, FALSE), """"))"),0.06999999999999999)</f>
        <v>0.07</v>
      </c>
      <c r="K68" s="3735">
        <f t="shared" si="5"/>
        <v>52</v>
      </c>
      <c r="L68" s="3734">
        <f>IFERROR(__xludf.DUMMYFUNCTION("VALUE(IFERROR(VLOOKUP($Y68, IMPORTRANGE(""https://docs.google.com/spreadsheets/d/1UdH2L0xi8dO6jyPCcO5e5-8j7SGzezxkeZuF1uP8uOw"",""fighter_param (""&amp;TO_TEXT($A$1)&amp;"")!B4:JZ""), 25, FALSE), """"))"),0.009)</f>
        <v>0.009</v>
      </c>
      <c r="M68" s="3735">
        <f t="shared" si="6"/>
        <v>34</v>
      </c>
      <c r="N68" s="3734">
        <f>IFERROR(__xludf.DUMMYFUNCTION("VALUE(IFERROR(VLOOKUP($Y68, IMPORTRANGE(""https://docs.google.com/spreadsheets/d/1UdH2L0xi8dO6jyPCcO5e5-8j7SGzezxkeZuF1uP8uOw"",""fighter_param (""&amp;TO_TEXT($A$1)&amp;"")!B4:JZ""), 26, FALSE), """"))"),0.098)</f>
        <v>0.098</v>
      </c>
      <c r="O68" s="3735" t="str">
        <f t="shared" si="7"/>
        <v/>
      </c>
      <c r="P68" s="3735" t="s">
        <v>76</v>
      </c>
      <c r="Q68" s="3735">
        <f t="shared" si="8"/>
        <v>45</v>
      </c>
      <c r="R68" s="3734">
        <f>IFERROR(__xludf.DUMMYFUNCTION("VALUE(IFERROR(VLOOKUP($Y68, IMPORTRANGE(""https://docs.google.com/spreadsheets/d/1UdH2L0xi8dO6jyPCcO5e5-8j7SGzezxkeZuF1uP8uOw"",""fighter_param (""&amp;TO_TEXT($A$1)&amp;"")!B4:JZ""), 19, FALSE), """"))"),32.5)</f>
        <v>32.5</v>
      </c>
      <c r="S68" s="3735">
        <f t="shared" si="9"/>
        <v>28</v>
      </c>
      <c r="T68" s="3734">
        <f>IFERROR(__xludf.DUMMYFUNCTION("VALUE(IFERROR(VLOOKUP($Y68, IMPORTRANGE(""https://docs.google.com/spreadsheets/d/1UdH2L0xi8dO6jyPCcO5e5-8j7SGzezxkeZuF1uP8uOw"",""fighter_param (""&amp;TO_TEXT($A$1)&amp;"")!B4:JZ""), 20, FALSE), """"))"),17.0)</f>
        <v>17</v>
      </c>
      <c r="U68" s="3735">
        <f t="shared" si="10"/>
        <v>50</v>
      </c>
      <c r="V68" s="3734">
        <f>IFERROR(__xludf.DUMMYFUNCTION("VALUE(IFERROR(VLOOKUP($Y68, IMPORTRANGE(""https://docs.google.com/spreadsheets/d/1UdH2L0xi8dO6jyPCcO5e5-8j7SGzezxkeZuF1uP8uOw"",""fighter_param (""&amp;TO_TEXT($A$1)&amp;"")!B4:JZ""), 21, FALSE), """"))"),32.5)</f>
        <v>32.5</v>
      </c>
      <c r="W68" s="3708">
        <f>Fighters!S68</f>
        <v>67</v>
      </c>
      <c r="X68" s="3709">
        <f>Fighters!T68</f>
        <v>58</v>
      </c>
      <c r="Y68" s="3710" t="str">
        <f>Fighters!V68</f>
        <v>cloud</v>
      </c>
    </row>
    <row r="69">
      <c r="A69" s="3700">
        <f>Fighters!$A69</f>
        <v>62</v>
      </c>
      <c r="B69" s="3701" t="str">
        <f>Fighters!$B69</f>
        <v>カムイ</v>
      </c>
      <c r="C69" s="3735">
        <f t="shared" si="1"/>
        <v>49</v>
      </c>
      <c r="D69" s="3734">
        <f>IFERROR(__xludf.DUMMYFUNCTION("VALUE(IFERROR(VLOOKUP($Y69, IMPORTRANGE(""https://docs.google.com/spreadsheets/d/1UdH2L0xi8dO6jyPCcO5e5-8j7SGzezxkeZuF1uP8uOw"",""fighter_param (""&amp;TO_TEXT($A$1)&amp;"")!B4:JZ""), 9, FALSE), """"))"),1.892)</f>
        <v>1.892</v>
      </c>
      <c r="E69" s="3735">
        <f t="shared" si="2"/>
        <v>88</v>
      </c>
      <c r="F69" s="3735">
        <f>IFERROR(__xludf.DUMMYFUNCTION("VALUE(IFERROR(VLOOKUP($Y69, IMPORTRANGE(""https://docs.google.com/spreadsheets/d/1UdH2L0xi8dO6jyPCcO5e5-8j7SGzezxkeZuF1uP8uOw"",""fighter_param (""&amp;TO_TEXT($A$1)&amp;"")!B4:JZ""), 10, FALSE), """")) + VALUE(IFERROR(VLOOKUP($Y69, IMPORTRANGE(""https://docs.goo"&amp;"gle.com/spreadsheets/d/1UdH2L0xi8dO6jyPCcO5e5-8j7SGzezxkeZuF1uP8uOw"",""fighter_param (""&amp;TO_TEXT($A$1)&amp;"")!B4:JZ""), 11, FALSE), """"))"),0.09064)</f>
        <v>0.09064</v>
      </c>
      <c r="G69" s="3735">
        <f t="shared" si="3"/>
        <v>11</v>
      </c>
      <c r="H69" s="3734">
        <f>IFERROR(__xludf.DUMMYFUNCTION("VALUE(IFERROR(VLOOKUP($Y69, IMPORTRANGE(""https://docs.google.com/spreadsheets/d/1UdH2L0xi8dO6jyPCcO5e5-8j7SGzezxkeZuF1uP8uOw"",""fighter_param (""&amp;TO_TEXT($A$1)&amp;"")!B4:JZ""), 8, FALSE), """"))"),0.129)</f>
        <v>0.129</v>
      </c>
      <c r="I69" s="3735">
        <f t="shared" si="4"/>
        <v>70</v>
      </c>
      <c r="J69" s="3735">
        <f>IFERROR(__xludf.DUMMYFUNCTION("VALUE(IFERROR(VLOOKUP($Y69, IMPORTRANGE(""https://docs.google.com/spreadsheets/d/1UdH2L0xi8dO6jyPCcO5e5-8j7SGzezxkeZuF1uP8uOw"",""fighter_param (""&amp;TO_TEXT($A$1)&amp;"")!B4:JZ""), 22, FALSE), """")) + VALUE(IFERROR(VLOOKUP($Y69, IMPORTRANGE(""https://docs.goo"&amp;"gle.com/spreadsheets/d/1UdH2L0xi8dO6jyPCcO5e5-8j7SGzezxkeZuF1uP8uOw"",""fighter_param (""&amp;TO_TEXT($A$1)&amp;"")!B4:JZ""), 23, FALSE), """"))"),0.05)</f>
        <v>0.05</v>
      </c>
      <c r="K69" s="3735">
        <f t="shared" si="5"/>
        <v>52</v>
      </c>
      <c r="L69" s="3734">
        <f>IFERROR(__xludf.DUMMYFUNCTION("VALUE(IFERROR(VLOOKUP($Y69, IMPORTRANGE(""https://docs.google.com/spreadsheets/d/1UdH2L0xi8dO6jyPCcO5e5-8j7SGzezxkeZuF1uP8uOw"",""fighter_param (""&amp;TO_TEXT($A$1)&amp;"")!B4:JZ""), 25, FALSE), """"))"),0.009)</f>
        <v>0.009</v>
      </c>
      <c r="M69" s="3735">
        <f t="shared" si="6"/>
        <v>42</v>
      </c>
      <c r="N69" s="3734">
        <f>IFERROR(__xludf.DUMMYFUNCTION("VALUE(IFERROR(VLOOKUP($Y69, IMPORTRANGE(""https://docs.google.com/spreadsheets/d/1UdH2L0xi8dO6jyPCcO5e5-8j7SGzezxkeZuF1uP8uOw"",""fighter_param (""&amp;TO_TEXT($A$1)&amp;"")!B4:JZ""), 26, FALSE), """"))"),0.092)</f>
        <v>0.092</v>
      </c>
      <c r="O69" s="3735" t="str">
        <f t="shared" si="7"/>
        <v/>
      </c>
      <c r="P69" s="3735" t="s">
        <v>76</v>
      </c>
      <c r="Q69" s="3735">
        <f t="shared" si="8"/>
        <v>39</v>
      </c>
      <c r="R69" s="3734">
        <f>IFERROR(__xludf.DUMMYFUNCTION("VALUE(IFERROR(VLOOKUP($Y69, IMPORTRANGE(""https://docs.google.com/spreadsheets/d/1UdH2L0xi8dO6jyPCcO5e5-8j7SGzezxkeZuF1uP8uOw"",""fighter_param (""&amp;TO_TEXT($A$1)&amp;"")!B4:JZ""), 19, FALSE), """"))"),33.0)</f>
        <v>33</v>
      </c>
      <c r="S69" s="3735">
        <f t="shared" si="9"/>
        <v>45</v>
      </c>
      <c r="T69" s="3734">
        <f>IFERROR(__xludf.DUMMYFUNCTION("VALUE(IFERROR(VLOOKUP($Y69, IMPORTRANGE(""https://docs.google.com/spreadsheets/d/1UdH2L0xi8dO6jyPCcO5e5-8j7SGzezxkeZuF1uP8uOw"",""fighter_param (""&amp;TO_TEXT($A$1)&amp;"")!B4:JZ""), 20, FALSE), """"))"),16.0)</f>
        <v>16</v>
      </c>
      <c r="U69" s="3735">
        <f t="shared" si="10"/>
        <v>58</v>
      </c>
      <c r="V69" s="3734">
        <f>IFERROR(__xludf.DUMMYFUNCTION("VALUE(IFERROR(VLOOKUP($Y69, IMPORTRANGE(""https://docs.google.com/spreadsheets/d/1UdH2L0xi8dO6jyPCcO5e5-8j7SGzezxkeZuF1uP8uOw"",""fighter_param (""&amp;TO_TEXT($A$1)&amp;"")!B4:JZ""), 21, FALSE), """"))"),31.0)</f>
        <v>31</v>
      </c>
      <c r="W69" s="3708">
        <f>Fighters!S69</f>
        <v>68</v>
      </c>
      <c r="X69" s="3709">
        <f>Fighters!T69</f>
        <v>59</v>
      </c>
      <c r="Y69" s="3710" t="str">
        <f>Fighters!V69</f>
        <v>kamui</v>
      </c>
    </row>
    <row r="70">
      <c r="A70" s="3700">
        <f>Fighters!$A70</f>
        <v>63</v>
      </c>
      <c r="B70" s="3701" t="str">
        <f>Fighters!$B70</f>
        <v>ベヨネッタ</v>
      </c>
      <c r="C70" s="3735">
        <f t="shared" si="1"/>
        <v>38</v>
      </c>
      <c r="D70" s="3734">
        <f>IFERROR(__xludf.DUMMYFUNCTION("VALUE(IFERROR(VLOOKUP($Y70, IMPORTRANGE(""https://docs.google.com/spreadsheets/d/1UdH2L0xi8dO6jyPCcO5e5-8j7SGzezxkeZuF1uP8uOw"",""fighter_param (""&amp;TO_TEXT($A$1)&amp;"")!B4:JZ""), 9, FALSE), """"))"),1.936)</f>
        <v>1.936</v>
      </c>
      <c r="E70" s="3735">
        <f t="shared" si="2"/>
        <v>49</v>
      </c>
      <c r="F70" s="3735">
        <f>IFERROR(__xludf.DUMMYFUNCTION("VALUE(IFERROR(VLOOKUP($Y70, IMPORTRANGE(""https://docs.google.com/spreadsheets/d/1UdH2L0xi8dO6jyPCcO5e5-8j7SGzezxkeZuF1uP8uOw"",""fighter_param (""&amp;TO_TEXT($A$1)&amp;"")!B4:JZ""), 10, FALSE), """")) + VALUE(IFERROR(VLOOKUP($Y70, IMPORTRANGE(""https://docs.goo"&amp;"gle.com/spreadsheets/d/1UdH2L0xi8dO6jyPCcO5e5-8j7SGzezxkeZuF1uP8uOw"",""fighter_param (""&amp;TO_TEXT($A$1)&amp;"")!B4:JZ""), 11, FALSE), """"))"),0.14762)</f>
        <v>0.14762</v>
      </c>
      <c r="G70" s="3735">
        <f t="shared" si="3"/>
        <v>39</v>
      </c>
      <c r="H70" s="3734">
        <f>IFERROR(__xludf.DUMMYFUNCTION("VALUE(IFERROR(VLOOKUP($Y70, IMPORTRANGE(""https://docs.google.com/spreadsheets/d/1UdH2L0xi8dO6jyPCcO5e5-8j7SGzezxkeZuF1uP8uOw"",""fighter_param (""&amp;TO_TEXT($A$1)&amp;"")!B4:JZ""), 8, FALSE), """"))"),0.11)</f>
        <v>0.11</v>
      </c>
      <c r="I70" s="3735">
        <f t="shared" si="4"/>
        <v>16</v>
      </c>
      <c r="J70" s="3735">
        <f>IFERROR(__xludf.DUMMYFUNCTION("VALUE(IFERROR(VLOOKUP($Y70, IMPORTRANGE(""https://docs.google.com/spreadsheets/d/1UdH2L0xi8dO6jyPCcO5e5-8j7SGzezxkeZuF1uP8uOw"",""fighter_param (""&amp;TO_TEXT($A$1)&amp;"")!B4:JZ""), 22, FALSE), """")) + VALUE(IFERROR(VLOOKUP($Y70, IMPORTRANGE(""https://docs.goo"&amp;"gle.com/spreadsheets/d/1UdH2L0xi8dO6jyPCcO5e5-8j7SGzezxkeZuF1uP8uOw"",""fighter_param (""&amp;TO_TEXT($A$1)&amp;"")!B4:JZ""), 23, FALSE), """"))"),0.095)</f>
        <v>0.095</v>
      </c>
      <c r="K70" s="3735">
        <f t="shared" si="5"/>
        <v>57</v>
      </c>
      <c r="L70" s="3734">
        <f>IFERROR(__xludf.DUMMYFUNCTION("VALUE(IFERROR(VLOOKUP($Y70, IMPORTRANGE(""https://docs.google.com/spreadsheets/d/1UdH2L0xi8dO6jyPCcO5e5-8j7SGzezxkeZuF1uP8uOw"",""fighter_param (""&amp;TO_TEXT($A$1)&amp;"")!B4:JZ""), 25, FALSE), """"))"),0.008)</f>
        <v>0.008</v>
      </c>
      <c r="M70" s="3735">
        <f t="shared" si="6"/>
        <v>15</v>
      </c>
      <c r="N70" s="3734">
        <f>IFERROR(__xludf.DUMMYFUNCTION("VALUE(IFERROR(VLOOKUP($Y70, IMPORTRANGE(""https://docs.google.com/spreadsheets/d/1UdH2L0xi8dO6jyPCcO5e5-8j7SGzezxkeZuF1uP8uOw"",""fighter_param (""&amp;TO_TEXT($A$1)&amp;"")!B4:JZ""), 26, FALSE), """"))"),0.12)</f>
        <v>0.12</v>
      </c>
      <c r="O70" s="3735" t="str">
        <f t="shared" si="7"/>
        <v/>
      </c>
      <c r="P70" s="3735" t="s">
        <v>76</v>
      </c>
      <c r="Q70" s="3735">
        <f t="shared" si="8"/>
        <v>7</v>
      </c>
      <c r="R70" s="3734">
        <f>IFERROR(__xludf.DUMMYFUNCTION("VALUE(IFERROR(VLOOKUP($Y70, IMPORTRANGE(""https://docs.google.com/spreadsheets/d/1UdH2L0xi8dO6jyPCcO5e5-8j7SGzezxkeZuF1uP8uOw"",""fighter_param (""&amp;TO_TEXT($A$1)&amp;"")!B4:JZ""), 19, FALSE), """"))"),39.0)</f>
        <v>39</v>
      </c>
      <c r="S70" s="3735">
        <f t="shared" si="9"/>
        <v>2</v>
      </c>
      <c r="T70" s="3734">
        <f>IFERROR(__xludf.DUMMYFUNCTION("VALUE(IFERROR(VLOOKUP($Y70, IMPORTRANGE(""https://docs.google.com/spreadsheets/d/1UdH2L0xi8dO6jyPCcO5e5-8j7SGzezxkeZuF1uP8uOw"",""fighter_param (""&amp;TO_TEXT($A$1)&amp;"")!B4:JZ""), 20, FALSE), """"))"),21.35)</f>
        <v>21.35</v>
      </c>
      <c r="U70" s="3735">
        <f t="shared" si="10"/>
        <v>9</v>
      </c>
      <c r="V70" s="3734">
        <f>IFERROR(__xludf.DUMMYFUNCTION("VALUE(IFERROR(VLOOKUP($Y70, IMPORTRANGE(""https://docs.google.com/spreadsheets/d/1UdH2L0xi8dO6jyPCcO5e5-8j7SGzezxkeZuF1uP8uOw"",""fighter_param (""&amp;TO_TEXT($A$1)&amp;"")!B4:JZ""), 21, FALSE), """"))"),42.0)</f>
        <v>42</v>
      </c>
      <c r="W70" s="3708">
        <f>Fighters!S70</f>
        <v>69</v>
      </c>
      <c r="X70" s="3709">
        <f>Fighters!T70</f>
        <v>60</v>
      </c>
      <c r="Y70" s="3710" t="str">
        <f>Fighters!V70</f>
        <v>bayonetta</v>
      </c>
    </row>
    <row r="71">
      <c r="A71" s="3700">
        <f>Fighters!$A71</f>
        <v>64</v>
      </c>
      <c r="B71" s="3701" t="str">
        <f>Fighters!$B71</f>
        <v>インクリング</v>
      </c>
      <c r="C71" s="3735">
        <f t="shared" si="1"/>
        <v>17</v>
      </c>
      <c r="D71" s="3734">
        <f>IFERROR(__xludf.DUMMYFUNCTION("VALUE(IFERROR(VLOOKUP($Y71, IMPORTRANGE(""https://docs.google.com/spreadsheets/d/1UdH2L0xi8dO6jyPCcO5e5-8j7SGzezxkeZuF1uP8uOw"",""fighter_param (""&amp;TO_TEXT($A$1)&amp;"")!B4:JZ""), 9, FALSE), """"))"),2.118)</f>
        <v>2.118</v>
      </c>
      <c r="E71" s="3735">
        <f t="shared" si="2"/>
        <v>27</v>
      </c>
      <c r="F71" s="3735">
        <f>IFERROR(__xludf.DUMMYFUNCTION("VALUE(IFERROR(VLOOKUP($Y71, IMPORTRANGE(""https://docs.google.com/spreadsheets/d/1UdH2L0xi8dO6jyPCcO5e5-8j7SGzezxkeZuF1uP8uOw"",""fighter_param (""&amp;TO_TEXT($A$1)&amp;"")!B4:JZ""), 10, FALSE), """")) + VALUE(IFERROR(VLOOKUP($Y71, IMPORTRANGE(""https://docs.goo"&amp;"gle.com/spreadsheets/d/1UdH2L0xi8dO6jyPCcO5e5-8j7SGzezxkeZuF1uP8uOw"",""fighter_param (""&amp;TO_TEXT($A$1)&amp;"")!B4:JZ""), 11, FALSE), """"))"),0.15378)</f>
        <v>0.15378</v>
      </c>
      <c r="G71" s="3735">
        <f t="shared" si="3"/>
        <v>61</v>
      </c>
      <c r="H71" s="3734">
        <f>IFERROR(__xludf.DUMMYFUNCTION("VALUE(IFERROR(VLOOKUP($Y71, IMPORTRANGE(""https://docs.google.com/spreadsheets/d/1UdH2L0xi8dO6jyPCcO5e5-8j7SGzezxkeZuF1uP8uOw"",""fighter_param (""&amp;TO_TEXT($A$1)&amp;"")!B4:JZ""), 8, FALSE), """"))"),0.102)</f>
        <v>0.102</v>
      </c>
      <c r="I71" s="3735">
        <f t="shared" si="4"/>
        <v>31</v>
      </c>
      <c r="J71" s="3735">
        <f>IFERROR(__xludf.DUMMYFUNCTION("VALUE(IFERROR(VLOOKUP($Y71, IMPORTRANGE(""https://docs.google.com/spreadsheets/d/1UdH2L0xi8dO6jyPCcO5e5-8j7SGzezxkeZuF1uP8uOw"",""fighter_param (""&amp;TO_TEXT($A$1)&amp;"")!B4:JZ""), 22, FALSE), """")) + VALUE(IFERROR(VLOOKUP($Y71, IMPORTRANGE(""https://docs.goo"&amp;"gle.com/spreadsheets/d/1UdH2L0xi8dO6jyPCcO5e5-8j7SGzezxkeZuF1uP8uOw"",""fighter_param (""&amp;TO_TEXT($A$1)&amp;"")!B4:JZ""), 23, FALSE), """"))"),0.08)</f>
        <v>0.08</v>
      </c>
      <c r="K71" s="3735">
        <f t="shared" si="5"/>
        <v>9</v>
      </c>
      <c r="L71" s="3734">
        <f>IFERROR(__xludf.DUMMYFUNCTION("VALUE(IFERROR(VLOOKUP($Y71, IMPORTRANGE(""https://docs.google.com/spreadsheets/d/1UdH2L0xi8dO6jyPCcO5e5-8j7SGzezxkeZuF1uP8uOw"",""fighter_param (""&amp;TO_TEXT($A$1)&amp;"")!B4:JZ""), 25, FALSE), """"))"),0.015)</f>
        <v>0.015</v>
      </c>
      <c r="M71" s="3735">
        <f t="shared" si="6"/>
        <v>54</v>
      </c>
      <c r="N71" s="3734">
        <f>IFERROR(__xludf.DUMMYFUNCTION("VALUE(IFERROR(VLOOKUP($Y71, IMPORTRANGE(""https://docs.google.com/spreadsheets/d/1UdH2L0xi8dO6jyPCcO5e5-8j7SGzezxkeZuF1uP8uOw"",""fighter_param (""&amp;TO_TEXT($A$1)&amp;"")!B4:JZ""), 26, FALSE), """"))"),0.087)</f>
        <v>0.087</v>
      </c>
      <c r="O71" s="3735" t="str">
        <f t="shared" si="7"/>
        <v/>
      </c>
      <c r="P71" s="3735" t="s">
        <v>76</v>
      </c>
      <c r="Q71" s="3735">
        <f t="shared" si="8"/>
        <v>39</v>
      </c>
      <c r="R71" s="3734">
        <f>IFERROR(__xludf.DUMMYFUNCTION("VALUE(IFERROR(VLOOKUP($Y71, IMPORTRANGE(""https://docs.google.com/spreadsheets/d/1UdH2L0xi8dO6jyPCcO5e5-8j7SGzezxkeZuF1uP8uOw"",""fighter_param (""&amp;TO_TEXT($A$1)&amp;"")!B4:JZ""), 19, FALSE), """"))"),33.0)</f>
        <v>33</v>
      </c>
      <c r="S71" s="3735">
        <f t="shared" si="9"/>
        <v>16</v>
      </c>
      <c r="T71" s="3734">
        <f>IFERROR(__xludf.DUMMYFUNCTION("VALUE(IFERROR(VLOOKUP($Y71, IMPORTRANGE(""https://docs.google.com/spreadsheets/d/1UdH2L0xi8dO6jyPCcO5e5-8j7SGzezxkeZuF1uP8uOw"",""fighter_param (""&amp;TO_TEXT($A$1)&amp;"")!B4:JZ""), 20, FALSE), """"))"),17.54)</f>
        <v>17.54</v>
      </c>
      <c r="U71" s="3735">
        <f t="shared" si="10"/>
        <v>22</v>
      </c>
      <c r="V71" s="3734">
        <f>IFERROR(__xludf.DUMMYFUNCTION("VALUE(IFERROR(VLOOKUP($Y71, IMPORTRANGE(""https://docs.google.com/spreadsheets/d/1UdH2L0xi8dO6jyPCcO5e5-8j7SGzezxkeZuF1uP8uOw"",""fighter_param (""&amp;TO_TEXT($A$1)&amp;"")!B4:JZ""), 21, FALSE), """"))"),36.33)</f>
        <v>36.33</v>
      </c>
      <c r="W71" s="3708">
        <f>Fighters!S71</f>
        <v>70</v>
      </c>
      <c r="X71" s="3709">
        <f>Fighters!T71</f>
        <v>61</v>
      </c>
      <c r="Y71" s="3710" t="str">
        <f>Fighters!V71</f>
        <v>inkling</v>
      </c>
    </row>
    <row r="72">
      <c r="A72" s="3700">
        <f>Fighters!$A72</f>
        <v>65</v>
      </c>
      <c r="B72" s="3701" t="str">
        <f>Fighters!$B72</f>
        <v>リドリー</v>
      </c>
      <c r="C72" s="3735">
        <f t="shared" si="1"/>
        <v>69</v>
      </c>
      <c r="D72" s="3734">
        <f>IFERROR(__xludf.DUMMYFUNCTION("VALUE(IFERROR(VLOOKUP($Y72, IMPORTRANGE(""https://docs.google.com/spreadsheets/d/1UdH2L0xi8dO6jyPCcO5e5-8j7SGzezxkeZuF1uP8uOw"",""fighter_param (""&amp;TO_TEXT($A$1)&amp;"")!B4:JZ""), 9, FALSE), """"))"),1.8)</f>
        <v>1.8</v>
      </c>
      <c r="E72" s="3735">
        <f t="shared" si="2"/>
        <v>56</v>
      </c>
      <c r="F72" s="3735">
        <f>IFERROR(__xludf.DUMMYFUNCTION("VALUE(IFERROR(VLOOKUP($Y72, IMPORTRANGE(""https://docs.google.com/spreadsheets/d/1UdH2L0xi8dO6jyPCcO5e5-8j7SGzezxkeZuF1uP8uOw"",""fighter_param (""&amp;TO_TEXT($A$1)&amp;"")!B4:JZ""), 10, FALSE), """")) + VALUE(IFERROR(VLOOKUP($Y72, IMPORTRANGE(""https://docs.goo"&amp;"gle.com/spreadsheets/d/1UdH2L0xi8dO6jyPCcO5e5-8j7SGzezxkeZuF1uP8uOw"",""fighter_param (""&amp;TO_TEXT($A$1)&amp;"")!B4:JZ""), 11, FALSE), """"))"),0.1398)</f>
        <v>0.1398</v>
      </c>
      <c r="G72" s="3735">
        <f t="shared" si="3"/>
        <v>85</v>
      </c>
      <c r="H72" s="3734">
        <f>IFERROR(__xludf.DUMMYFUNCTION("VALUE(IFERROR(VLOOKUP($Y72, IMPORTRANGE(""https://docs.google.com/spreadsheets/d/1UdH2L0xi8dO6jyPCcO5e5-8j7SGzezxkeZuF1uP8uOw"",""fighter_param (""&amp;TO_TEXT($A$1)&amp;"")!B4:JZ""), 8, FALSE), """"))"),0.08)</f>
        <v>0.08</v>
      </c>
      <c r="I72" s="3735">
        <f t="shared" si="4"/>
        <v>49</v>
      </c>
      <c r="J72" s="3735">
        <f>IFERROR(__xludf.DUMMYFUNCTION("VALUE(IFERROR(VLOOKUP($Y72, IMPORTRANGE(""https://docs.google.com/spreadsheets/d/1UdH2L0xi8dO6jyPCcO5e5-8j7SGzezxkeZuF1uP8uOw"",""fighter_param (""&amp;TO_TEXT($A$1)&amp;"")!B4:JZ""), 22, FALSE), """")) + VALUE(IFERROR(VLOOKUP($Y72, IMPORTRANGE(""https://docs.goo"&amp;"gle.com/spreadsheets/d/1UdH2L0xi8dO6jyPCcO5e5-8j7SGzezxkeZuF1uP8uOw"",""fighter_param (""&amp;TO_TEXT($A$1)&amp;"")!B4:JZ""), 23, FALSE), """"))"),0.06999999999999999)</f>
        <v>0.07</v>
      </c>
      <c r="K72" s="3735">
        <f t="shared" si="5"/>
        <v>9</v>
      </c>
      <c r="L72" s="3734">
        <f>IFERROR(__xludf.DUMMYFUNCTION("VALUE(IFERROR(VLOOKUP($Y72, IMPORTRANGE(""https://docs.google.com/spreadsheets/d/1UdH2L0xi8dO6jyPCcO5e5-8j7SGzezxkeZuF1uP8uOw"",""fighter_param (""&amp;TO_TEXT($A$1)&amp;"")!B4:JZ""), 25, FALSE), """"))"),0.015)</f>
        <v>0.015</v>
      </c>
      <c r="M72" s="3735">
        <f t="shared" si="6"/>
        <v>45</v>
      </c>
      <c r="N72" s="3734">
        <f>IFERROR(__xludf.DUMMYFUNCTION("VALUE(IFERROR(VLOOKUP($Y72, IMPORTRANGE(""https://docs.google.com/spreadsheets/d/1UdH2L0xi8dO6jyPCcO5e5-8j7SGzezxkeZuF1uP8uOw"",""fighter_param (""&amp;TO_TEXT($A$1)&amp;"")!B4:JZ""), 26, FALSE), """"))"),0.09)</f>
        <v>0.09</v>
      </c>
      <c r="O72" s="3735" t="str">
        <f t="shared" si="7"/>
        <v/>
      </c>
      <c r="P72" s="3735" t="s">
        <v>76</v>
      </c>
      <c r="Q72" s="3735">
        <f t="shared" si="8"/>
        <v>29</v>
      </c>
      <c r="R72" s="3734">
        <f>IFERROR(__xludf.DUMMYFUNCTION("VALUE(IFERROR(VLOOKUP($Y72, IMPORTRANGE(""https://docs.google.com/spreadsheets/d/1UdH2L0xi8dO6jyPCcO5e5-8j7SGzezxkeZuF1uP8uOw"",""fighter_param (""&amp;TO_TEXT($A$1)&amp;"")!B4:JZ""), 19, FALSE), """"))"),34.0)</f>
        <v>34</v>
      </c>
      <c r="S72" s="3735">
        <f t="shared" si="9"/>
        <v>70</v>
      </c>
      <c r="T72" s="3734">
        <f>IFERROR(__xludf.DUMMYFUNCTION("VALUE(IFERROR(VLOOKUP($Y72, IMPORTRANGE(""https://docs.google.com/spreadsheets/d/1UdH2L0xi8dO6jyPCcO5e5-8j7SGzezxkeZuF1uP8uOw"",""fighter_param (""&amp;TO_TEXT($A$1)&amp;"")!B4:JZ""), 20, FALSE), """"))"),14.2)</f>
        <v>14.2</v>
      </c>
      <c r="U72" s="3735">
        <f t="shared" si="10"/>
        <v>82</v>
      </c>
      <c r="V72" s="3736">
        <v>25.8</v>
      </c>
      <c r="W72" s="3708">
        <f>Fighters!S72</f>
        <v>71</v>
      </c>
      <c r="X72" s="3709">
        <f>Fighters!T72</f>
        <v>62</v>
      </c>
      <c r="Y72" s="3710" t="str">
        <f>Fighters!V72</f>
        <v>ridley</v>
      </c>
    </row>
    <row r="73">
      <c r="A73" s="3700">
        <f>Fighters!$A73</f>
        <v>66</v>
      </c>
      <c r="B73" s="3701" t="str">
        <f>Fighters!$B73</f>
        <v>シモン</v>
      </c>
      <c r="C73" s="3735">
        <f t="shared" si="1"/>
        <v>78</v>
      </c>
      <c r="D73" s="3734">
        <f>IFERROR(__xludf.DUMMYFUNCTION("VALUE(IFERROR(VLOOKUP($Y73, IMPORTRANGE(""https://docs.google.com/spreadsheets/d/1UdH2L0xi8dO6jyPCcO5e5-8j7SGzezxkeZuF1uP8uOw"",""fighter_param (""&amp;TO_TEXT($A$1)&amp;"")!B4:JZ""), 9, FALSE), """"))"),1.73)</f>
        <v>1.73</v>
      </c>
      <c r="E73" s="3735">
        <f t="shared" si="2"/>
        <v>56</v>
      </c>
      <c r="F73" s="3735">
        <f>IFERROR(__xludf.DUMMYFUNCTION("VALUE(IFERROR(VLOOKUP($Y73, IMPORTRANGE(""https://docs.google.com/spreadsheets/d/1UdH2L0xi8dO6jyPCcO5e5-8j7SGzezxkeZuF1uP8uOw"",""fighter_param (""&amp;TO_TEXT($A$1)&amp;"")!B4:JZ""), 10, FALSE), """")) + VALUE(IFERROR(VLOOKUP($Y73, IMPORTRANGE(""https://docs.goo"&amp;"gle.com/spreadsheets/d/1UdH2L0xi8dO6jyPCcO5e5-8j7SGzezxkeZuF1uP8uOw"",""fighter_param (""&amp;TO_TEXT($A$1)&amp;"")!B4:JZ""), 11, FALSE), """"))"),0.1398)</f>
        <v>0.1398</v>
      </c>
      <c r="G73" s="3735">
        <f t="shared" si="3"/>
        <v>79</v>
      </c>
      <c r="H73" s="3734">
        <f>IFERROR(__xludf.DUMMYFUNCTION("VALUE(IFERROR(VLOOKUP($Y73, IMPORTRANGE(""https://docs.google.com/spreadsheets/d/1UdH2L0xi8dO6jyPCcO5e5-8j7SGzezxkeZuF1uP8uOw"",""fighter_param (""&amp;TO_TEXT($A$1)&amp;"")!B4:JZ""), 8, FALSE), """"))"),0.085)</f>
        <v>0.085</v>
      </c>
      <c r="I73" s="3735">
        <f t="shared" si="4"/>
        <v>87</v>
      </c>
      <c r="J73" s="3735">
        <f>IFERROR(__xludf.DUMMYFUNCTION("VALUE(IFERROR(VLOOKUP($Y73, IMPORTRANGE(""https://docs.google.com/spreadsheets/d/1UdH2L0xi8dO6jyPCcO5e5-8j7SGzezxkeZuF1uP8uOw"",""fighter_param (""&amp;TO_TEXT($A$1)&amp;"")!B4:JZ""), 22, FALSE), """")) + VALUE(IFERROR(VLOOKUP($Y73, IMPORTRANGE(""https://docs.goo"&amp;"gle.com/spreadsheets/d/1UdH2L0xi8dO6jyPCcO5e5-8j7SGzezxkeZuF1uP8uOw"",""fighter_param (""&amp;TO_TEXT($A$1)&amp;"")!B4:JZ""), 23, FALSE), """"))"),0.03)</f>
        <v>0.03</v>
      </c>
      <c r="K73" s="3735">
        <f t="shared" si="5"/>
        <v>5</v>
      </c>
      <c r="L73" s="3734">
        <f>IFERROR(__xludf.DUMMYFUNCTION("VALUE(IFERROR(VLOOKUP($Y73, IMPORTRANGE(""https://docs.google.com/spreadsheets/d/1UdH2L0xi8dO6jyPCcO5e5-8j7SGzezxkeZuF1uP8uOw"",""fighter_param (""&amp;TO_TEXT($A$1)&amp;"")!B4:JZ""), 25, FALSE), """"))"),0.02)</f>
        <v>0.02</v>
      </c>
      <c r="M73" s="3735">
        <f t="shared" si="6"/>
        <v>57</v>
      </c>
      <c r="N73" s="3734">
        <f>IFERROR(__xludf.DUMMYFUNCTION("VALUE(IFERROR(VLOOKUP($Y73, IMPORTRANGE(""https://docs.google.com/spreadsheets/d/1UdH2L0xi8dO6jyPCcO5e5-8j7SGzezxkeZuF1uP8uOw"",""fighter_param (""&amp;TO_TEXT($A$1)&amp;"")!B4:JZ""), 26, FALSE), """"))"),0.085)</f>
        <v>0.085</v>
      </c>
      <c r="O73" s="3735" t="str">
        <f t="shared" si="7"/>
        <v/>
      </c>
      <c r="P73" s="3735" t="s">
        <v>76</v>
      </c>
      <c r="Q73" s="3735">
        <f t="shared" si="8"/>
        <v>68</v>
      </c>
      <c r="R73" s="3734">
        <f>IFERROR(__xludf.DUMMYFUNCTION("VALUE(IFERROR(VLOOKUP($Y73, IMPORTRANGE(""https://docs.google.com/spreadsheets/d/1UdH2L0xi8dO6jyPCcO5e5-8j7SGzezxkeZuF1uP8uOw"",""fighter_param (""&amp;TO_TEXT($A$1)&amp;"")!B4:JZ""), 19, FALSE), """"))"),30.0)</f>
        <v>30</v>
      </c>
      <c r="S73" s="3735">
        <f t="shared" si="9"/>
        <v>10</v>
      </c>
      <c r="T73" s="3734">
        <f>IFERROR(__xludf.DUMMYFUNCTION("VALUE(IFERROR(VLOOKUP($Y73, IMPORTRANGE(""https://docs.google.com/spreadsheets/d/1UdH2L0xi8dO6jyPCcO5e5-8j7SGzezxkeZuF1uP8uOw"",""fighter_param (""&amp;TO_TEXT($A$1)&amp;"")!B4:JZ""), 20, FALSE), """"))"),18.0)</f>
        <v>18</v>
      </c>
      <c r="U73" s="3735">
        <f t="shared" si="10"/>
        <v>67</v>
      </c>
      <c r="V73" s="3734">
        <f>IFERROR(__xludf.DUMMYFUNCTION("VALUE(IFERROR(VLOOKUP($Y73, IMPORTRANGE(""https://docs.google.com/spreadsheets/d/1UdH2L0xi8dO6jyPCcO5e5-8j7SGzezxkeZuF1uP8uOw"",""fighter_param (""&amp;TO_TEXT($A$1)&amp;"")!B4:JZ""), 21, FALSE), """"))"),29.0)</f>
        <v>29</v>
      </c>
      <c r="W73" s="3708">
        <f>Fighters!S73</f>
        <v>72</v>
      </c>
      <c r="X73" s="3709">
        <f>Fighters!T73</f>
        <v>63</v>
      </c>
      <c r="Y73" s="3710" t="str">
        <f>Fighters!V73</f>
        <v>simon</v>
      </c>
    </row>
    <row r="74">
      <c r="A74" s="3700" t="str">
        <f>Fighters!$A74</f>
        <v>66'</v>
      </c>
      <c r="B74" s="3701" t="str">
        <f>Fighters!$B74</f>
        <v>リヒター</v>
      </c>
      <c r="C74" s="3735">
        <f t="shared" si="1"/>
        <v>78</v>
      </c>
      <c r="D74" s="3734">
        <f>IFERROR(__xludf.DUMMYFUNCTION("VALUE(IFERROR(VLOOKUP($Y74, IMPORTRANGE(""https://docs.google.com/spreadsheets/d/1UdH2L0xi8dO6jyPCcO5e5-8j7SGzezxkeZuF1uP8uOw"",""fighter_param (""&amp;TO_TEXT($A$1)&amp;"")!B4:JZ""), 9, FALSE), """"))"),1.73)</f>
        <v>1.73</v>
      </c>
      <c r="E74" s="3735">
        <f t="shared" si="2"/>
        <v>56</v>
      </c>
      <c r="F74" s="3735">
        <f>IFERROR(__xludf.DUMMYFUNCTION("VALUE(IFERROR(VLOOKUP($Y74, IMPORTRANGE(""https://docs.google.com/spreadsheets/d/1UdH2L0xi8dO6jyPCcO5e5-8j7SGzezxkeZuF1uP8uOw"",""fighter_param (""&amp;TO_TEXT($A$1)&amp;"")!B4:JZ""), 10, FALSE), """")) + VALUE(IFERROR(VLOOKUP($Y74, IMPORTRANGE(""https://docs.goo"&amp;"gle.com/spreadsheets/d/1UdH2L0xi8dO6jyPCcO5e5-8j7SGzezxkeZuF1uP8uOw"",""fighter_param (""&amp;TO_TEXT($A$1)&amp;"")!B4:JZ""), 11, FALSE), """"))"),0.1398)</f>
        <v>0.1398</v>
      </c>
      <c r="G74" s="3735">
        <f t="shared" si="3"/>
        <v>79</v>
      </c>
      <c r="H74" s="3734">
        <f>IFERROR(__xludf.DUMMYFUNCTION("VALUE(IFERROR(VLOOKUP($Y74, IMPORTRANGE(""https://docs.google.com/spreadsheets/d/1UdH2L0xi8dO6jyPCcO5e5-8j7SGzezxkeZuF1uP8uOw"",""fighter_param (""&amp;TO_TEXT($A$1)&amp;"")!B4:JZ""), 8, FALSE), """"))"),0.085)</f>
        <v>0.085</v>
      </c>
      <c r="I74" s="3735">
        <f t="shared" si="4"/>
        <v>87</v>
      </c>
      <c r="J74" s="3735">
        <f>IFERROR(__xludf.DUMMYFUNCTION("VALUE(IFERROR(VLOOKUP($Y74, IMPORTRANGE(""https://docs.google.com/spreadsheets/d/1UdH2L0xi8dO6jyPCcO5e5-8j7SGzezxkeZuF1uP8uOw"",""fighter_param (""&amp;TO_TEXT($A$1)&amp;"")!B4:JZ""), 22, FALSE), """")) + VALUE(IFERROR(VLOOKUP($Y74, IMPORTRANGE(""https://docs.goo"&amp;"gle.com/spreadsheets/d/1UdH2L0xi8dO6jyPCcO5e5-8j7SGzezxkeZuF1uP8uOw"",""fighter_param (""&amp;TO_TEXT($A$1)&amp;"")!B4:JZ""), 23, FALSE), """"))"),0.03)</f>
        <v>0.03</v>
      </c>
      <c r="K74" s="3735">
        <f t="shared" si="5"/>
        <v>5</v>
      </c>
      <c r="L74" s="3734">
        <f>IFERROR(__xludf.DUMMYFUNCTION("VALUE(IFERROR(VLOOKUP($Y74, IMPORTRANGE(""https://docs.google.com/spreadsheets/d/1UdH2L0xi8dO6jyPCcO5e5-8j7SGzezxkeZuF1uP8uOw"",""fighter_param (""&amp;TO_TEXT($A$1)&amp;"")!B4:JZ""), 25, FALSE), """"))"),0.02)</f>
        <v>0.02</v>
      </c>
      <c r="M74" s="3735">
        <f t="shared" si="6"/>
        <v>57</v>
      </c>
      <c r="N74" s="3734">
        <f>IFERROR(__xludf.DUMMYFUNCTION("VALUE(IFERROR(VLOOKUP($Y74, IMPORTRANGE(""https://docs.google.com/spreadsheets/d/1UdH2L0xi8dO6jyPCcO5e5-8j7SGzezxkeZuF1uP8uOw"",""fighter_param (""&amp;TO_TEXT($A$1)&amp;"")!B4:JZ""), 26, FALSE), """"))"),0.085)</f>
        <v>0.085</v>
      </c>
      <c r="O74" s="3735" t="str">
        <f t="shared" si="7"/>
        <v/>
      </c>
      <c r="P74" s="3735" t="s">
        <v>76</v>
      </c>
      <c r="Q74" s="3735">
        <f t="shared" si="8"/>
        <v>68</v>
      </c>
      <c r="R74" s="3734">
        <f>IFERROR(__xludf.DUMMYFUNCTION("VALUE(IFERROR(VLOOKUP($Y74, IMPORTRANGE(""https://docs.google.com/spreadsheets/d/1UdH2L0xi8dO6jyPCcO5e5-8j7SGzezxkeZuF1uP8uOw"",""fighter_param (""&amp;TO_TEXT($A$1)&amp;"")!B4:JZ""), 19, FALSE), """"))"),30.0)</f>
        <v>30</v>
      </c>
      <c r="S74" s="3735">
        <f t="shared" si="9"/>
        <v>10</v>
      </c>
      <c r="T74" s="3734">
        <f>IFERROR(__xludf.DUMMYFUNCTION("VALUE(IFERROR(VLOOKUP($Y74, IMPORTRANGE(""https://docs.google.com/spreadsheets/d/1UdH2L0xi8dO6jyPCcO5e5-8j7SGzezxkeZuF1uP8uOw"",""fighter_param (""&amp;TO_TEXT($A$1)&amp;"")!B4:JZ""), 20, FALSE), """"))"),18.0)</f>
        <v>18</v>
      </c>
      <c r="U74" s="3735">
        <f t="shared" si="10"/>
        <v>67</v>
      </c>
      <c r="V74" s="3734">
        <f>IFERROR(__xludf.DUMMYFUNCTION("VALUE(IFERROR(VLOOKUP($Y74, IMPORTRANGE(""https://docs.google.com/spreadsheets/d/1UdH2L0xi8dO6jyPCcO5e5-8j7SGzezxkeZuF1uP8uOw"",""fighter_param (""&amp;TO_TEXT($A$1)&amp;"")!B4:JZ""), 21, FALSE), """"))"),29.0)</f>
        <v>29</v>
      </c>
      <c r="W74" s="3708">
        <f>Fighters!S74</f>
        <v>73</v>
      </c>
      <c r="X74" s="3709">
        <f>Fighters!T74</f>
        <v>78</v>
      </c>
      <c r="Y74" s="3710" t="str">
        <f>Fighters!V74</f>
        <v>richter</v>
      </c>
    </row>
    <row r="75">
      <c r="A75" s="3700">
        <f>Fighters!$A75</f>
        <v>67</v>
      </c>
      <c r="B75" s="3701" t="str">
        <f>Fighters!$B75</f>
        <v>キングクルール</v>
      </c>
      <c r="C75" s="3735">
        <f t="shared" si="1"/>
        <v>38</v>
      </c>
      <c r="D75" s="3734">
        <f>IFERROR(__xludf.DUMMYFUNCTION("VALUE(IFERROR(VLOOKUP($Y75, IMPORTRANGE(""https://docs.google.com/spreadsheets/d/1UdH2L0xi8dO6jyPCcO5e5-8j7SGzezxkeZuF1uP8uOw"",""fighter_param (""&amp;TO_TEXT($A$1)&amp;"")!B4:JZ""), 9, FALSE), """"))"),1.936)</f>
        <v>1.936</v>
      </c>
      <c r="E75" s="3735">
        <f t="shared" si="2"/>
        <v>77</v>
      </c>
      <c r="F75" s="3735">
        <f>IFERROR(__xludf.DUMMYFUNCTION("VALUE(IFERROR(VLOOKUP($Y75, IMPORTRANGE(""https://docs.google.com/spreadsheets/d/1UdH2L0xi8dO6jyPCcO5e5-8j7SGzezxkeZuF1uP8uOw"",""fighter_param (""&amp;TO_TEXT($A$1)&amp;"")!B4:JZ""), 10, FALSE), """")) + VALUE(IFERROR(VLOOKUP($Y75, IMPORTRANGE(""https://docs.goo"&amp;"gle.com/spreadsheets/d/1UdH2L0xi8dO6jyPCcO5e5-8j7SGzezxkeZuF1uP8uOw"",""fighter_param (""&amp;TO_TEXT($A$1)&amp;"")!B4:JZ""), 11, FALSE), """"))"),0.11)</f>
        <v>0.11</v>
      </c>
      <c r="G75" s="3735">
        <f t="shared" si="3"/>
        <v>55</v>
      </c>
      <c r="H75" s="3734">
        <f>IFERROR(__xludf.DUMMYFUNCTION("VALUE(IFERROR(VLOOKUP($Y75, IMPORTRANGE(""https://docs.google.com/spreadsheets/d/1UdH2L0xi8dO6jyPCcO5e5-8j7SGzezxkeZuF1uP8uOw"",""fighter_param (""&amp;TO_TEXT($A$1)&amp;"")!B4:JZ""), 8, FALSE), """"))"),0.105)</f>
        <v>0.105</v>
      </c>
      <c r="I75" s="3735">
        <f t="shared" si="4"/>
        <v>70</v>
      </c>
      <c r="J75" s="3735">
        <f>IFERROR(__xludf.DUMMYFUNCTION("VALUE(IFERROR(VLOOKUP($Y75, IMPORTRANGE(""https://docs.google.com/spreadsheets/d/1UdH2L0xi8dO6jyPCcO5e5-8j7SGzezxkeZuF1uP8uOw"",""fighter_param (""&amp;TO_TEXT($A$1)&amp;"")!B4:JZ""), 22, FALSE), """")) + VALUE(IFERROR(VLOOKUP($Y75, IMPORTRANGE(""https://docs.goo"&amp;"gle.com/spreadsheets/d/1UdH2L0xi8dO6jyPCcO5e5-8j7SGzezxkeZuF1uP8uOw"",""fighter_param (""&amp;TO_TEXT($A$1)&amp;"")!B4:JZ""), 23, FALSE), """"))"),0.05)</f>
        <v>0.05</v>
      </c>
      <c r="K75" s="3735">
        <f t="shared" si="5"/>
        <v>9</v>
      </c>
      <c r="L75" s="3734">
        <f>IFERROR(__xludf.DUMMYFUNCTION("VALUE(IFERROR(VLOOKUP($Y75, IMPORTRANGE(""https://docs.google.com/spreadsheets/d/1UdH2L0xi8dO6jyPCcO5e5-8j7SGzezxkeZuF1uP8uOw"",""fighter_param (""&amp;TO_TEXT($A$1)&amp;"")!B4:JZ""), 25, FALSE), """"))"),0.015)</f>
        <v>0.015</v>
      </c>
      <c r="M75" s="3735">
        <f t="shared" si="6"/>
        <v>33</v>
      </c>
      <c r="N75" s="3734">
        <f>IFERROR(__xludf.DUMMYFUNCTION("VALUE(IFERROR(VLOOKUP($Y75, IMPORTRANGE(""https://docs.google.com/spreadsheets/d/1UdH2L0xi8dO6jyPCcO5e5-8j7SGzezxkeZuF1uP8uOw"",""fighter_param (""&amp;TO_TEXT($A$1)&amp;"")!B4:JZ""), 26, FALSE), """"))"),0.105)</f>
        <v>0.105</v>
      </c>
      <c r="O75" s="3735" t="str">
        <f t="shared" si="7"/>
        <v/>
      </c>
      <c r="P75" s="3735" t="s">
        <v>76</v>
      </c>
      <c r="Q75" s="3735">
        <f t="shared" si="8"/>
        <v>39</v>
      </c>
      <c r="R75" s="3734">
        <f>IFERROR(__xludf.DUMMYFUNCTION("VALUE(IFERROR(VLOOKUP($Y75, IMPORTRANGE(""https://docs.google.com/spreadsheets/d/1UdH2L0xi8dO6jyPCcO5e5-8j7SGzezxkeZuF1uP8uOw"",""fighter_param (""&amp;TO_TEXT($A$1)&amp;"")!B4:JZ""), 19, FALSE), """"))"),33.0)</f>
        <v>33</v>
      </c>
      <c r="S75" s="3735">
        <f t="shared" si="9"/>
        <v>75</v>
      </c>
      <c r="T75" s="3734">
        <f>IFERROR(__xludf.DUMMYFUNCTION("VALUE(IFERROR(VLOOKUP($Y75, IMPORTRANGE(""https://docs.google.com/spreadsheets/d/1UdH2L0xi8dO6jyPCcO5e5-8j7SGzezxkeZuF1uP8uOw"",""fighter_param (""&amp;TO_TEXT($A$1)&amp;"")!B4:JZ""), 20, FALSE), """"))"),13.5)</f>
        <v>13.5</v>
      </c>
      <c r="U75" s="3735">
        <f t="shared" si="10"/>
        <v>48</v>
      </c>
      <c r="V75" s="3734">
        <f>IFERROR(__xludf.DUMMYFUNCTION("VALUE(IFERROR(VLOOKUP($Y75, IMPORTRANGE(""https://docs.google.com/spreadsheets/d/1UdH2L0xi8dO6jyPCcO5e5-8j7SGzezxkeZuF1uP8uOw"",""fighter_param (""&amp;TO_TEXT($A$1)&amp;"")!B4:JZ""), 21, FALSE), """"))"),32.61)</f>
        <v>32.61</v>
      </c>
      <c r="W75" s="3708">
        <f>Fighters!S75</f>
        <v>74</v>
      </c>
      <c r="X75" s="3709">
        <f>Fighters!T75</f>
        <v>64</v>
      </c>
      <c r="Y75" s="3710" t="str">
        <f>Fighters!V75</f>
        <v>krool</v>
      </c>
    </row>
    <row r="76">
      <c r="A76" s="3700">
        <f>Fighters!$A76</f>
        <v>68</v>
      </c>
      <c r="B76" s="3701" t="str">
        <f>Fighters!$B76</f>
        <v>しずえ</v>
      </c>
      <c r="C76" s="3735">
        <f t="shared" si="1"/>
        <v>62</v>
      </c>
      <c r="D76" s="3734">
        <f>IFERROR(__xludf.DUMMYFUNCTION("VALUE(IFERROR(VLOOKUP($Y76, IMPORTRANGE(""https://docs.google.com/spreadsheets/d/1UdH2L0xi8dO6jyPCcO5e5-8j7SGzezxkeZuF1uP8uOw"",""fighter_param (""&amp;TO_TEXT($A$1)&amp;"")!B4:JZ""), 9, FALSE), """"))"),1.815)</f>
        <v>1.815</v>
      </c>
      <c r="E76" s="3735">
        <f t="shared" si="2"/>
        <v>27</v>
      </c>
      <c r="F76" s="3735">
        <f>IFERROR(__xludf.DUMMYFUNCTION("VALUE(IFERROR(VLOOKUP($Y76, IMPORTRANGE(""https://docs.google.com/spreadsheets/d/1UdH2L0xi8dO6jyPCcO5e5-8j7SGzezxkeZuF1uP8uOw"",""fighter_param (""&amp;TO_TEXT($A$1)&amp;"")!B4:JZ""), 10, FALSE), """")) + VALUE(IFERROR(VLOOKUP($Y76, IMPORTRANGE(""https://docs.goo"&amp;"gle.com/spreadsheets/d/1UdH2L0xi8dO6jyPCcO5e5-8j7SGzezxkeZuF1uP8uOw"",""fighter_param (""&amp;TO_TEXT($A$1)&amp;"")!B4:JZ""), 11, FALSE), """"))"),0.15378)</f>
        <v>0.15378</v>
      </c>
      <c r="G76" s="3735">
        <f t="shared" si="3"/>
        <v>5</v>
      </c>
      <c r="H76" s="3734">
        <f>IFERROR(__xludf.DUMMYFUNCTION("VALUE(IFERROR(VLOOKUP($Y76, IMPORTRANGE(""https://docs.google.com/spreadsheets/d/1UdH2L0xi8dO6jyPCcO5e5-8j7SGzezxkeZuF1uP8uOw"",""fighter_param (""&amp;TO_TEXT($A$1)&amp;"")!B4:JZ""), 8, FALSE), """"))"),0.131)</f>
        <v>0.131</v>
      </c>
      <c r="I76" s="3735">
        <f t="shared" si="4"/>
        <v>58</v>
      </c>
      <c r="J76" s="3735">
        <f>IFERROR(__xludf.DUMMYFUNCTION("VALUE(IFERROR(VLOOKUP($Y76, IMPORTRANGE(""https://docs.google.com/spreadsheets/d/1UdH2L0xi8dO6jyPCcO5e5-8j7SGzezxkeZuF1uP8uOw"",""fighter_param (""&amp;TO_TEXT($A$1)&amp;"")!B4:JZ""), 22, FALSE), """")) + VALUE(IFERROR(VLOOKUP($Y76, IMPORTRANGE(""https://docs.goo"&amp;"gle.com/spreadsheets/d/1UdH2L0xi8dO6jyPCcO5e5-8j7SGzezxkeZuF1uP8uOw"",""fighter_param (""&amp;TO_TEXT($A$1)&amp;"")!B4:JZ""), 23, FALSE), """"))"),0.060000000000000005)</f>
        <v>0.06</v>
      </c>
      <c r="K76" s="3735">
        <f t="shared" si="5"/>
        <v>40</v>
      </c>
      <c r="L76" s="3734">
        <f>IFERROR(__xludf.DUMMYFUNCTION("VALUE(IFERROR(VLOOKUP($Y76, IMPORTRANGE(""https://docs.google.com/spreadsheets/d/1UdH2L0xi8dO6jyPCcO5e5-8j7SGzezxkeZuF1uP8uOw"",""fighter_param (""&amp;TO_TEXT($A$1)&amp;"")!B4:JZ""), 25, FALSE), """"))"),0.01)</f>
        <v>0.01</v>
      </c>
      <c r="M76" s="3735">
        <f t="shared" si="6"/>
        <v>81</v>
      </c>
      <c r="N76" s="3734">
        <f>IFERROR(__xludf.DUMMYFUNCTION("VALUE(IFERROR(VLOOKUP($Y76, IMPORTRANGE(""https://docs.google.com/spreadsheets/d/1UdH2L0xi8dO6jyPCcO5e5-8j7SGzezxkeZuF1uP8uOw"",""fighter_param (""&amp;TO_TEXT($A$1)&amp;"")!B4:JZ""), 26, FALSE), """"))"),0.07)</f>
        <v>0.07</v>
      </c>
      <c r="O76" s="3735" t="str">
        <f t="shared" si="7"/>
        <v/>
      </c>
      <c r="P76" s="3735" t="s">
        <v>76</v>
      </c>
      <c r="Q76" s="3735">
        <f t="shared" si="8"/>
        <v>45</v>
      </c>
      <c r="R76" s="3734">
        <f>IFERROR(__xludf.DUMMYFUNCTION("VALUE(IFERROR(VLOOKUP($Y76, IMPORTRANGE(""https://docs.google.com/spreadsheets/d/1UdH2L0xi8dO6jyPCcO5e5-8j7SGzezxkeZuF1uP8uOw"",""fighter_param (""&amp;TO_TEXT($A$1)&amp;"")!B4:JZ""), 19, FALSE), """"))"),32.5)</f>
        <v>32.5</v>
      </c>
      <c r="S76" s="3735">
        <f t="shared" si="9"/>
        <v>49</v>
      </c>
      <c r="T76" s="3734">
        <f>IFERROR(__xludf.DUMMYFUNCTION("VALUE(IFERROR(VLOOKUP($Y76, IMPORTRANGE(""https://docs.google.com/spreadsheets/d/1UdH2L0xi8dO6jyPCcO5e5-8j7SGzezxkeZuF1uP8uOw"",""fighter_param (""&amp;TO_TEXT($A$1)&amp;"")!B4:JZ""), 20, FALSE), """"))"),15.69)</f>
        <v>15.69</v>
      </c>
      <c r="U76" s="3735">
        <f t="shared" si="10"/>
        <v>50</v>
      </c>
      <c r="V76" s="3734">
        <f>IFERROR(__xludf.DUMMYFUNCTION("VALUE(IFERROR(VLOOKUP($Y76, IMPORTRANGE(""https://docs.google.com/spreadsheets/d/1UdH2L0xi8dO6jyPCcO5e5-8j7SGzezxkeZuF1uP8uOw"",""fighter_param (""&amp;TO_TEXT($A$1)&amp;"")!B4:JZ""), 21, FALSE), """"))"),32.5)</f>
        <v>32.5</v>
      </c>
      <c r="W76" s="3708">
        <f>Fighters!S76</f>
        <v>75</v>
      </c>
      <c r="X76" s="3709">
        <f>Fighters!T76</f>
        <v>65</v>
      </c>
      <c r="Y76" s="3710" t="str">
        <f>Fighters!V76</f>
        <v>shizue</v>
      </c>
    </row>
    <row r="77">
      <c r="A77" s="3700">
        <f>Fighters!$A77</f>
        <v>69</v>
      </c>
      <c r="B77" s="3701" t="str">
        <f>Fighters!$B77</f>
        <v>ガオガエン</v>
      </c>
      <c r="C77" s="3735">
        <f t="shared" si="1"/>
        <v>72</v>
      </c>
      <c r="D77" s="3734">
        <f>IFERROR(__xludf.DUMMYFUNCTION("VALUE(IFERROR(VLOOKUP($Y77, IMPORTRANGE(""https://docs.google.com/spreadsheets/d/1UdH2L0xi8dO6jyPCcO5e5-8j7SGzezxkeZuF1uP8uOw"",""fighter_param (""&amp;TO_TEXT($A$1)&amp;"")!B4:JZ""), 9, FALSE), """"))"),1.76)</f>
        <v>1.76</v>
      </c>
      <c r="E77" s="3735">
        <f t="shared" si="2"/>
        <v>77</v>
      </c>
      <c r="F77" s="3735">
        <f>IFERROR(__xludf.DUMMYFUNCTION("VALUE(IFERROR(VLOOKUP($Y77, IMPORTRANGE(""https://docs.google.com/spreadsheets/d/1UdH2L0xi8dO6jyPCcO5e5-8j7SGzezxkeZuF1uP8uOw"",""fighter_param (""&amp;TO_TEXT($A$1)&amp;"")!B4:JZ""), 10, FALSE), """")) + VALUE(IFERROR(VLOOKUP($Y77, IMPORTRANGE(""https://docs.goo"&amp;"gle.com/spreadsheets/d/1UdH2L0xi8dO6jyPCcO5e5-8j7SGzezxkeZuF1uP8uOw"",""fighter_param (""&amp;TO_TEXT($A$1)&amp;"")!B4:JZ""), 11, FALSE), """"))"),0.11)</f>
        <v>0.11</v>
      </c>
      <c r="G77" s="3735">
        <f t="shared" si="3"/>
        <v>31</v>
      </c>
      <c r="H77" s="3734">
        <f>IFERROR(__xludf.DUMMYFUNCTION("VALUE(IFERROR(VLOOKUP($Y77, IMPORTRANGE(""https://docs.google.com/spreadsheets/d/1UdH2L0xi8dO6jyPCcO5e5-8j7SGzezxkeZuF1uP8uOw"",""fighter_param (""&amp;TO_TEXT($A$1)&amp;"")!B4:JZ""), 8, FALSE), """"))"),0.114)</f>
        <v>0.114</v>
      </c>
      <c r="I77" s="3735">
        <f t="shared" si="4"/>
        <v>49</v>
      </c>
      <c r="J77" s="3735">
        <f>IFERROR(__xludf.DUMMYFUNCTION("VALUE(IFERROR(VLOOKUP($Y77, IMPORTRANGE(""https://docs.google.com/spreadsheets/d/1UdH2L0xi8dO6jyPCcO5e5-8j7SGzezxkeZuF1uP8uOw"",""fighter_param (""&amp;TO_TEXT($A$1)&amp;"")!B4:JZ""), 22, FALSE), """")) + VALUE(IFERROR(VLOOKUP($Y77, IMPORTRANGE(""https://docs.goo"&amp;"gle.com/spreadsheets/d/1UdH2L0xi8dO6jyPCcO5e5-8j7SGzezxkeZuF1uP8uOw"",""fighter_param (""&amp;TO_TEXT($A$1)&amp;"")!B4:JZ""), 23, FALSE), """"))"),0.06999999999999999)</f>
        <v>0.07</v>
      </c>
      <c r="K77" s="3735">
        <f t="shared" si="5"/>
        <v>9</v>
      </c>
      <c r="L77" s="3734">
        <f>IFERROR(__xludf.DUMMYFUNCTION("VALUE(IFERROR(VLOOKUP($Y77, IMPORTRANGE(""https://docs.google.com/spreadsheets/d/1UdH2L0xi8dO6jyPCcO5e5-8j7SGzezxkeZuF1uP8uOw"",""fighter_param (""&amp;TO_TEXT($A$1)&amp;"")!B4:JZ""), 25, FALSE), """"))"),0.015)</f>
        <v>0.015</v>
      </c>
      <c r="M77" s="3735">
        <f t="shared" si="6"/>
        <v>12</v>
      </c>
      <c r="N77" s="3734">
        <f>IFERROR(__xludf.DUMMYFUNCTION("VALUE(IFERROR(VLOOKUP($Y77, IMPORTRANGE(""https://docs.google.com/spreadsheets/d/1UdH2L0xi8dO6jyPCcO5e5-8j7SGzezxkeZuF1uP8uOw"",""fighter_param (""&amp;TO_TEXT($A$1)&amp;"")!B4:JZ""), 26, FALSE), """"))"),0.126)</f>
        <v>0.126</v>
      </c>
      <c r="O77" s="3735" t="str">
        <f t="shared" si="7"/>
        <v/>
      </c>
      <c r="P77" s="3735" t="s">
        <v>76</v>
      </c>
      <c r="Q77" s="3735">
        <f t="shared" si="8"/>
        <v>53</v>
      </c>
      <c r="R77" s="3734">
        <f>IFERROR(__xludf.DUMMYFUNCTION("VALUE(IFERROR(VLOOKUP($Y77, IMPORTRANGE(""https://docs.google.com/spreadsheets/d/1UdH2L0xi8dO6jyPCcO5e5-8j7SGzezxkeZuF1uP8uOw"",""fighter_param (""&amp;TO_TEXT($A$1)&amp;"")!B4:JZ""), 19, FALSE), """"))"),31.6)</f>
        <v>31.6</v>
      </c>
      <c r="S77" s="3735">
        <f t="shared" si="9"/>
        <v>69</v>
      </c>
      <c r="T77" s="3734">
        <f>IFERROR(__xludf.DUMMYFUNCTION("VALUE(IFERROR(VLOOKUP($Y77, IMPORTRANGE(""https://docs.google.com/spreadsheets/d/1UdH2L0xi8dO6jyPCcO5e5-8j7SGzezxkeZuF1uP8uOw"",""fighter_param (""&amp;TO_TEXT($A$1)&amp;"")!B4:JZ""), 20, FALSE), """"))"),14.4)</f>
        <v>14.4</v>
      </c>
      <c r="U77" s="3735">
        <f t="shared" si="10"/>
        <v>46</v>
      </c>
      <c r="V77" s="3734">
        <f>IFERROR(__xludf.DUMMYFUNCTION("VALUE(IFERROR(VLOOKUP($Y77, IMPORTRANGE(""https://docs.google.com/spreadsheets/d/1UdH2L0xi8dO6jyPCcO5e5-8j7SGzezxkeZuF1uP8uOw"",""fighter_param (""&amp;TO_TEXT($A$1)&amp;"")!B4:JZ""), 21, FALSE), """"))"),32.8)</f>
        <v>32.8</v>
      </c>
      <c r="W77" s="3708">
        <f>Fighters!S77</f>
        <v>76</v>
      </c>
      <c r="X77" s="3709">
        <f>Fighters!T77</f>
        <v>66</v>
      </c>
      <c r="Y77" s="3710" t="str">
        <f>Fighters!V77</f>
        <v>gaogaen</v>
      </c>
    </row>
    <row r="78">
      <c r="A78" s="3700">
        <f>Fighters!$A78</f>
        <v>70</v>
      </c>
      <c r="B78" s="3701" t="str">
        <f>Fighters!$B78</f>
        <v>パックンフラワー</v>
      </c>
      <c r="C78" s="3735">
        <f t="shared" si="1"/>
        <v>61</v>
      </c>
      <c r="D78" s="3734">
        <f>IFERROR(__xludf.DUMMYFUNCTION("VALUE(IFERROR(VLOOKUP($Y78, IMPORTRANGE(""https://docs.google.com/spreadsheets/d/1UdH2L0xi8dO6jyPCcO5e5-8j7SGzezxkeZuF1uP8uOw"",""fighter_param (""&amp;TO_TEXT($A$1)&amp;"")!B4:JZ""), 9, FALSE), """"))"),1.82)</f>
        <v>1.82</v>
      </c>
      <c r="E78" s="3735">
        <f t="shared" si="2"/>
        <v>52</v>
      </c>
      <c r="F78" s="3735">
        <f>IFERROR(__xludf.DUMMYFUNCTION("VALUE(IFERROR(VLOOKUP($Y78, IMPORTRANGE(""https://docs.google.com/spreadsheets/d/1UdH2L0xi8dO6jyPCcO5e5-8j7SGzezxkeZuF1uP8uOw"",""fighter_param (""&amp;TO_TEXT($A$1)&amp;"")!B4:JZ""), 10, FALSE), """")) + VALUE(IFERROR(VLOOKUP($Y78, IMPORTRANGE(""https://docs.goo"&amp;"gle.com/spreadsheets/d/1UdH2L0xi8dO6jyPCcO5e5-8j7SGzezxkeZuF1uP8uOw"",""fighter_param (""&amp;TO_TEXT($A$1)&amp;"")!B4:JZ""), 11, FALSE), """"))"),0.14)</f>
        <v>0.14</v>
      </c>
      <c r="G78" s="3735">
        <f t="shared" si="3"/>
        <v>73</v>
      </c>
      <c r="H78" s="3734">
        <f>IFERROR(__xludf.DUMMYFUNCTION("VALUE(IFERROR(VLOOKUP($Y78, IMPORTRANGE(""https://docs.google.com/spreadsheets/d/1UdH2L0xi8dO6jyPCcO5e5-8j7SGzezxkeZuF1uP8uOw"",""fighter_param (""&amp;TO_TEXT($A$1)&amp;"")!B4:JZ""), 8, FALSE), """"))"),0.088)</f>
        <v>0.088</v>
      </c>
      <c r="I78" s="3735">
        <f t="shared" si="4"/>
        <v>58</v>
      </c>
      <c r="J78" s="3735">
        <f>IFERROR(__xludf.DUMMYFUNCTION("VALUE(IFERROR(VLOOKUP($Y78, IMPORTRANGE(""https://docs.google.com/spreadsheets/d/1UdH2L0xi8dO6jyPCcO5e5-8j7SGzezxkeZuF1uP8uOw"",""fighter_param (""&amp;TO_TEXT($A$1)&amp;"")!B4:JZ""), 22, FALSE), """")) + VALUE(IFERROR(VLOOKUP($Y78, IMPORTRANGE(""https://docs.goo"&amp;"gle.com/spreadsheets/d/1UdH2L0xi8dO6jyPCcO5e5-8j7SGzezxkeZuF1uP8uOw"",""fighter_param (""&amp;TO_TEXT($A$1)&amp;"")!B4:JZ""), 23, FALSE), """"))"),0.060000000000000005)</f>
        <v>0.06</v>
      </c>
      <c r="K78" s="3735">
        <f t="shared" si="5"/>
        <v>57</v>
      </c>
      <c r="L78" s="3734">
        <f>IFERROR(__xludf.DUMMYFUNCTION("VALUE(IFERROR(VLOOKUP($Y78, IMPORTRANGE(""https://docs.google.com/spreadsheets/d/1UdH2L0xi8dO6jyPCcO5e5-8j7SGzezxkeZuF1uP8uOw"",""fighter_param (""&amp;TO_TEXT($A$1)&amp;"")!B4:JZ""), 25, FALSE), """"))"),0.008)</f>
        <v>0.008</v>
      </c>
      <c r="M78" s="3735">
        <f t="shared" si="6"/>
        <v>5</v>
      </c>
      <c r="N78" s="3734">
        <f>IFERROR(__xludf.DUMMYFUNCTION("VALUE(IFERROR(VLOOKUP($Y78, IMPORTRANGE(""https://docs.google.com/spreadsheets/d/1UdH2L0xi8dO6jyPCcO5e5-8j7SGzezxkeZuF1uP8uOw"",""fighter_param (""&amp;TO_TEXT($A$1)&amp;"")!B4:JZ""), 26, FALSE), """"))"),0.14)</f>
        <v>0.14</v>
      </c>
      <c r="O78" s="3735" t="str">
        <f t="shared" si="7"/>
        <v/>
      </c>
      <c r="P78" s="3735" t="s">
        <v>76</v>
      </c>
      <c r="Q78" s="3735">
        <f t="shared" si="8"/>
        <v>11</v>
      </c>
      <c r="R78" s="3734">
        <f>IFERROR(__xludf.DUMMYFUNCTION("VALUE(IFERROR(VLOOKUP($Y78, IMPORTRANGE(""https://docs.google.com/spreadsheets/d/1UdH2L0xi8dO6jyPCcO5e5-8j7SGzezxkeZuF1uP8uOw"",""fighter_param (""&amp;TO_TEXT($A$1)&amp;"")!B4:JZ""), 19, FALSE), """"))"),37.4)</f>
        <v>37.4</v>
      </c>
      <c r="S78" s="3735">
        <f t="shared" si="9"/>
        <v>18</v>
      </c>
      <c r="T78" s="3734">
        <f>IFERROR(__xludf.DUMMYFUNCTION("VALUE(IFERROR(VLOOKUP($Y78, IMPORTRANGE(""https://docs.google.com/spreadsheets/d/1UdH2L0xi8dO6jyPCcO5e5-8j7SGzezxkeZuF1uP8uOw"",""fighter_param (""&amp;TO_TEXT($A$1)&amp;"")!B4:JZ""), 20, FALSE), """"))"),17.5)</f>
        <v>17.5</v>
      </c>
      <c r="U78" s="3735">
        <f t="shared" si="10"/>
        <v>15</v>
      </c>
      <c r="V78" s="3734">
        <f>IFERROR(__xludf.DUMMYFUNCTION("VALUE(IFERROR(VLOOKUP($Y78, IMPORTRANGE(""https://docs.google.com/spreadsheets/d/1UdH2L0xi8dO6jyPCcO5e5-8j7SGzezxkeZuF1uP8uOw"",""fighter_param (""&amp;TO_TEXT($A$1)&amp;"")!B4:JZ""), 21, FALSE), """"))"),38.52)</f>
        <v>38.52</v>
      </c>
      <c r="W78" s="3708">
        <f>Fighters!S78</f>
        <v>77</v>
      </c>
      <c r="X78" s="3709">
        <f>Fighters!T78</f>
        <v>67</v>
      </c>
      <c r="Y78" s="3739" t="str">
        <f>Fighters!V78</f>
        <v>packun</v>
      </c>
    </row>
    <row r="79">
      <c r="A79" s="3700">
        <f>Fighters!$A79</f>
        <v>71</v>
      </c>
      <c r="B79" s="3701" t="str">
        <f>Fighters!$B79</f>
        <v>ジョーカー</v>
      </c>
      <c r="C79" s="3735">
        <f t="shared" si="1"/>
        <v>46</v>
      </c>
      <c r="D79" s="3734">
        <f>IFERROR(__xludf.DUMMYFUNCTION("VALUE(IFERROR(VLOOKUP($Y79, IMPORTRANGE(""https://docs.google.com/spreadsheets/d/1UdH2L0xi8dO6jyPCcO5e5-8j7SGzezxkeZuF1uP8uOw"",""fighter_param (""&amp;TO_TEXT($A$1)&amp;"")!B4:JZ""), 9, FALSE), """"))"),1.9)</f>
        <v>1.9</v>
      </c>
      <c r="E79" s="3735">
        <f t="shared" si="2"/>
        <v>41</v>
      </c>
      <c r="F79" s="3735">
        <f>IFERROR(__xludf.DUMMYFUNCTION("VALUE(IFERROR(VLOOKUP($Y79, IMPORTRANGE(""https://docs.google.com/spreadsheets/d/1UdH2L0xi8dO6jyPCcO5e5-8j7SGzezxkeZuF1uP8uOw"",""fighter_param (""&amp;TO_TEXT($A$1)&amp;"")!B4:JZ""), 10, FALSE), """")) + VALUE(IFERROR(VLOOKUP($Y79, IMPORTRANGE(""https://docs.goo"&amp;"gle.com/spreadsheets/d/1UdH2L0xi8dO6jyPCcO5e5-8j7SGzezxkeZuF1uP8uOw"",""fighter_param (""&amp;TO_TEXT($A$1)&amp;"")!B4:JZ""), 11, FALSE), """"))"),0.15)</f>
        <v>0.15</v>
      </c>
      <c r="G79" s="3735">
        <f t="shared" si="3"/>
        <v>9</v>
      </c>
      <c r="H79" s="3734">
        <f>IFERROR(__xludf.DUMMYFUNCTION("VALUE(IFERROR(VLOOKUP($Y79, IMPORTRANGE(""https://docs.google.com/spreadsheets/d/1UdH2L0xi8dO6jyPCcO5e5-8j7SGzezxkeZuF1uP8uOw"",""fighter_param (""&amp;TO_TEXT($A$1)&amp;"")!B4:JZ""), 8, FALSE), """"))"),0.13)</f>
        <v>0.13</v>
      </c>
      <c r="I79" s="3735">
        <f t="shared" si="4"/>
        <v>31</v>
      </c>
      <c r="J79" s="3735">
        <f>IFERROR(__xludf.DUMMYFUNCTION("VALUE(IFERROR(VLOOKUP($Y79, IMPORTRANGE(""https://docs.google.com/spreadsheets/d/1UdH2L0xi8dO6jyPCcO5e5-8j7SGzezxkeZuF1uP8uOw"",""fighter_param (""&amp;TO_TEXT($A$1)&amp;"")!B4:JZ""), 22, FALSE), """")) + VALUE(IFERROR(VLOOKUP($Y79, IMPORTRANGE(""https://docs.goo"&amp;"gle.com/spreadsheets/d/1UdH2L0xi8dO6jyPCcO5e5-8j7SGzezxkeZuF1uP8uOw"",""fighter_param (""&amp;TO_TEXT($A$1)&amp;"")!B4:JZ""), 23, FALSE), """"))"),0.08)</f>
        <v>0.08</v>
      </c>
      <c r="K79" s="3735">
        <f t="shared" si="5"/>
        <v>40</v>
      </c>
      <c r="L79" s="3734">
        <f>IFERROR(__xludf.DUMMYFUNCTION("VALUE(IFERROR(VLOOKUP($Y79, IMPORTRANGE(""https://docs.google.com/spreadsheets/d/1UdH2L0xi8dO6jyPCcO5e5-8j7SGzezxkeZuF1uP8uOw"",""fighter_param (""&amp;TO_TEXT($A$1)&amp;"")!B4:JZ""), 25, FALSE), """"))"),0.01)</f>
        <v>0.01</v>
      </c>
      <c r="M79" s="3735">
        <f t="shared" si="6"/>
        <v>11</v>
      </c>
      <c r="N79" s="3734">
        <f>IFERROR(__xludf.DUMMYFUNCTION("VALUE(IFERROR(VLOOKUP($Y79, IMPORTRANGE(""https://docs.google.com/spreadsheets/d/1UdH2L0xi8dO6jyPCcO5e5-8j7SGzezxkeZuF1uP8uOw"",""fighter_param (""&amp;TO_TEXT($A$1)&amp;"")!B4:JZ""), 26, FALSE), """"))"),0.127)</f>
        <v>0.127</v>
      </c>
      <c r="O79" s="3735" t="str">
        <f t="shared" si="7"/>
        <v/>
      </c>
      <c r="P79" s="3735" t="s">
        <v>76</v>
      </c>
      <c r="Q79" s="3735">
        <f t="shared" si="8"/>
        <v>45</v>
      </c>
      <c r="R79" s="3734">
        <f>IFERROR(__xludf.DUMMYFUNCTION("VALUE(IFERROR(VLOOKUP($Y79, IMPORTRANGE(""https://docs.google.com/spreadsheets/d/1UdH2L0xi8dO6jyPCcO5e5-8j7SGzezxkeZuF1uP8uOw"",""fighter_param (""&amp;TO_TEXT($A$1)&amp;"")!B4:JZ""), 19, FALSE), """"))"),32.5)</f>
        <v>32.5</v>
      </c>
      <c r="S79" s="3735">
        <f t="shared" si="9"/>
        <v>70</v>
      </c>
      <c r="T79" s="3734">
        <f>IFERROR(__xludf.DUMMYFUNCTION("VALUE(IFERROR(VLOOKUP($Y79, IMPORTRANGE(""https://docs.google.com/spreadsheets/d/1UdH2L0xi8dO6jyPCcO5e5-8j7SGzezxkeZuF1uP8uOw"",""fighter_param (""&amp;TO_TEXT($A$1)&amp;"")!B4:JZ""), 20, FALSE), """"))"),14.2)</f>
        <v>14.2</v>
      </c>
      <c r="U79" s="3735">
        <f t="shared" si="10"/>
        <v>89</v>
      </c>
      <c r="V79" s="3740">
        <v>20.53</v>
      </c>
      <c r="W79" s="3708">
        <f>Fighters!S79</f>
        <v>78</v>
      </c>
      <c r="X79" s="3709">
        <f>Fighters!T79</f>
        <v>68</v>
      </c>
      <c r="Y79" s="3739" t="str">
        <f>Fighters!V79</f>
        <v>jack</v>
      </c>
    </row>
    <row r="80">
      <c r="A80" s="3700">
        <f>Fighters!$A80</f>
        <v>72</v>
      </c>
      <c r="B80" s="3701" t="str">
        <f>Fighters!$B80</f>
        <v>勇者</v>
      </c>
      <c r="C80" s="3735">
        <f t="shared" si="1"/>
        <v>50</v>
      </c>
      <c r="D80" s="3734">
        <f>IFERROR(__xludf.DUMMYFUNCTION("VALUE(IFERROR(VLOOKUP($Y80, IMPORTRANGE(""https://docs.google.com/spreadsheets/d/1UdH2L0xi8dO6jyPCcO5e5-8j7SGzezxkeZuF1uP8uOw"",""fighter_param (""&amp;TO_TEXT($A$1)&amp;"")!B4:JZ""), 9, FALSE), """"))"),1.88)</f>
        <v>1.88</v>
      </c>
      <c r="E80" s="3735">
        <f t="shared" si="2"/>
        <v>77</v>
      </c>
      <c r="F80" s="3735">
        <f>IFERROR(__xludf.DUMMYFUNCTION("VALUE(IFERROR(VLOOKUP($Y80, IMPORTRANGE(""https://docs.google.com/spreadsheets/d/1UdH2L0xi8dO6jyPCcO5e5-8j7SGzezxkeZuF1uP8uOw"",""fighter_param (""&amp;TO_TEXT($A$1)&amp;"")!B4:JZ""), 10, FALSE), """")) + VALUE(IFERROR(VLOOKUP($Y80, IMPORTRANGE(""https://docs.goo"&amp;"gle.com/spreadsheets/d/1UdH2L0xi8dO6jyPCcO5e5-8j7SGzezxkeZuF1uP8uOw"",""fighter_param (""&amp;TO_TEXT($A$1)&amp;"")!B4:JZ""), 11, FALSE), """"))"),0.11)</f>
        <v>0.11</v>
      </c>
      <c r="G80" s="3735">
        <f t="shared" si="3"/>
        <v>39</v>
      </c>
      <c r="H80" s="3734">
        <f>IFERROR(__xludf.DUMMYFUNCTION("VALUE(IFERROR(VLOOKUP($Y80, IMPORTRANGE(""https://docs.google.com/spreadsheets/d/1UdH2L0xi8dO6jyPCcO5e5-8j7SGzezxkeZuF1uP8uOw"",""fighter_param (""&amp;TO_TEXT($A$1)&amp;"")!B4:JZ""), 8, FALSE), """"))"),0.11)</f>
        <v>0.11</v>
      </c>
      <c r="I80" s="3735">
        <f t="shared" si="4"/>
        <v>67</v>
      </c>
      <c r="J80" s="3735">
        <f>IFERROR(__xludf.DUMMYFUNCTION("VALUE(IFERROR(VLOOKUP($Y80, IMPORTRANGE(""https://docs.google.com/spreadsheets/d/1UdH2L0xi8dO6jyPCcO5e5-8j7SGzezxkeZuF1uP8uOw"",""fighter_param (""&amp;TO_TEXT($A$1)&amp;"")!B4:JZ""), 22, FALSE), """")) + VALUE(IFERROR(VLOOKUP($Y80, IMPORTRANGE(""https://docs.goo"&amp;"gle.com/spreadsheets/d/1UdH2L0xi8dO6jyPCcO5e5-8j7SGzezxkeZuF1uP8uOw"",""fighter_param (""&amp;TO_TEXT($A$1)&amp;"")!B4:JZ""), 23, FALSE), """"))"),0.055)</f>
        <v>0.055</v>
      </c>
      <c r="K80" s="3735">
        <f t="shared" si="5"/>
        <v>57</v>
      </c>
      <c r="L80" s="3734">
        <f>IFERROR(__xludf.DUMMYFUNCTION("VALUE(IFERROR(VLOOKUP($Y80, IMPORTRANGE(""https://docs.google.com/spreadsheets/d/1UdH2L0xi8dO6jyPCcO5e5-8j7SGzezxkeZuF1uP8uOw"",""fighter_param (""&amp;TO_TEXT($A$1)&amp;"")!B4:JZ""), 25, FALSE), """"))"),0.008)</f>
        <v>0.008</v>
      </c>
      <c r="M80" s="3735">
        <f t="shared" si="6"/>
        <v>41</v>
      </c>
      <c r="N80" s="3734">
        <f>IFERROR(__xludf.DUMMYFUNCTION("VALUE(IFERROR(VLOOKUP($Y80, IMPORTRANGE(""https://docs.google.com/spreadsheets/d/1UdH2L0xi8dO6jyPCcO5e5-8j7SGzezxkeZuF1uP8uOw"",""fighter_param (""&amp;TO_TEXT($A$1)&amp;"")!B4:JZ""), 26, FALSE), """"))"),0.094)</f>
        <v>0.094</v>
      </c>
      <c r="O80" s="3735" t="str">
        <f t="shared" si="7"/>
        <v/>
      </c>
      <c r="P80" s="3735" t="s">
        <v>76</v>
      </c>
      <c r="Q80" s="3735">
        <f t="shared" si="8"/>
        <v>74</v>
      </c>
      <c r="R80" s="3734">
        <f>IFERROR(__xludf.DUMMYFUNCTION("VALUE(IFERROR(VLOOKUP($Y80, IMPORTRANGE(""https://docs.google.com/spreadsheets/d/1UdH2L0xi8dO6jyPCcO5e5-8j7SGzezxkeZuF1uP8uOw"",""fighter_param (""&amp;TO_TEXT($A$1)&amp;"")!B4:JZ""), 19, FALSE), """"))"),29.0)</f>
        <v>29</v>
      </c>
      <c r="S80" s="3735">
        <f t="shared" si="9"/>
        <v>53</v>
      </c>
      <c r="T80" s="3734">
        <f>IFERROR(__xludf.DUMMYFUNCTION("VALUE(IFERROR(VLOOKUP($Y80, IMPORTRANGE(""https://docs.google.com/spreadsheets/d/1UdH2L0xi8dO6jyPCcO5e5-8j7SGzezxkeZuF1uP8uOw"",""fighter_param (""&amp;TO_TEXT($A$1)&amp;"")!B4:JZ""), 20, FALSE), """"))"),15.5)</f>
        <v>15.5</v>
      </c>
      <c r="U80" s="3735">
        <f t="shared" si="10"/>
        <v>58</v>
      </c>
      <c r="V80" s="3734">
        <f>IFERROR(__xludf.DUMMYFUNCTION("VALUE(IFERROR(VLOOKUP($Y80, IMPORTRANGE(""https://docs.google.com/spreadsheets/d/1UdH2L0xi8dO6jyPCcO5e5-8j7SGzezxkeZuF1uP8uOw"",""fighter_param (""&amp;TO_TEXT($A$1)&amp;"")!B4:JZ""), 21, FALSE), """"))"),31.0)</f>
        <v>31</v>
      </c>
      <c r="W80" s="3708">
        <f>Fighters!S80</f>
        <v>79</v>
      </c>
      <c r="X80" s="3709">
        <f>Fighters!T80</f>
        <v>69</v>
      </c>
      <c r="Y80" s="3739" t="str">
        <f>Fighters!V80</f>
        <v>brave</v>
      </c>
    </row>
    <row r="81">
      <c r="A81" s="3700">
        <f>Fighters!$A81</f>
        <v>73</v>
      </c>
      <c r="B81" s="3701" t="str">
        <f>Fighters!$B81</f>
        <v>バンジョー&amp;カズーイ</v>
      </c>
      <c r="C81" s="3735">
        <f t="shared" si="1"/>
        <v>81</v>
      </c>
      <c r="D81" s="3734">
        <f>IFERROR(__xludf.DUMMYFUNCTION("VALUE(IFERROR(VLOOKUP($Y81, IMPORTRANGE(""https://docs.google.com/spreadsheets/d/1UdH2L0xi8dO6jyPCcO5e5-8j7SGzezxkeZuF1uP8uOw"",""fighter_param (""&amp;TO_TEXT($A$1)&amp;"")!B4:JZ""), 9, FALSE), """"))"),1.68)</f>
        <v>1.68</v>
      </c>
      <c r="E81" s="3735">
        <f t="shared" si="2"/>
        <v>40</v>
      </c>
      <c r="F81" s="3735">
        <f>IFERROR(__xludf.DUMMYFUNCTION("VALUE(IFERROR(VLOOKUP($Y81, IMPORTRANGE(""https://docs.google.com/spreadsheets/d/1UdH2L0xi8dO6jyPCcO5e5-8j7SGzezxkeZuF1uP8uOw"",""fighter_param (""&amp;TO_TEXT($A$1)&amp;"")!B4:JZ""), 10, FALSE), """")) + VALUE(IFERROR(VLOOKUP($Y81, IMPORTRANGE(""https://docs.goo"&amp;"gle.com/spreadsheets/d/1UdH2L0xi8dO6jyPCcO5e5-8j7SGzezxkeZuF1uP8uOw"",""fighter_param (""&amp;TO_TEXT($A$1)&amp;"")!B4:JZ""), 11, FALSE), """"))"),0.15000000000000002)</f>
        <v>0.15</v>
      </c>
      <c r="G81" s="3735">
        <f t="shared" si="3"/>
        <v>88</v>
      </c>
      <c r="H81" s="3734">
        <f>IFERROR(__xludf.DUMMYFUNCTION("VALUE(IFERROR(VLOOKUP($Y81, IMPORTRANGE(""https://docs.google.com/spreadsheets/d/1UdH2L0xi8dO6jyPCcO5e5-8j7SGzezxkeZuF1uP8uOw"",""fighter_param (""&amp;TO_TEXT($A$1)&amp;"")!B4:JZ""), 8, FALSE), """"))"),0.076)</f>
        <v>0.076</v>
      </c>
      <c r="I81" s="3735">
        <f t="shared" si="4"/>
        <v>49</v>
      </c>
      <c r="J81" s="3735">
        <f>IFERROR(__xludf.DUMMYFUNCTION("VALUE(IFERROR(VLOOKUP($Y81, IMPORTRANGE(""https://docs.google.com/spreadsheets/d/1UdH2L0xi8dO6jyPCcO5e5-8j7SGzezxkeZuF1uP8uOw"",""fighter_param (""&amp;TO_TEXT($A$1)&amp;"")!B4:JZ""), 22, FALSE), """")) + VALUE(IFERROR(VLOOKUP($Y81, IMPORTRANGE(""https://docs.goo"&amp;"gle.com/spreadsheets/d/1UdH2L0xi8dO6jyPCcO5e5-8j7SGzezxkeZuF1uP8uOw"",""fighter_param (""&amp;TO_TEXT($A$1)&amp;"")!B4:JZ""), 23, FALSE), """"))"),0.06999999999999999)</f>
        <v>0.07</v>
      </c>
      <c r="K81" s="3735">
        <f t="shared" si="5"/>
        <v>30</v>
      </c>
      <c r="L81" s="3734">
        <f>IFERROR(__xludf.DUMMYFUNCTION("VALUE(IFERROR(VLOOKUP($Y81, IMPORTRANGE(""https://docs.google.com/spreadsheets/d/1UdH2L0xi8dO6jyPCcO5e5-8j7SGzezxkeZuF1uP8uOw"",""fighter_param (""&amp;TO_TEXT($A$1)&amp;"")!B4:JZ""), 25, FALSE), """"))"),0.014)</f>
        <v>0.014</v>
      </c>
      <c r="M81" s="3735">
        <f t="shared" si="6"/>
        <v>23</v>
      </c>
      <c r="N81" s="3734">
        <f>IFERROR(__xludf.DUMMYFUNCTION("VALUE(IFERROR(VLOOKUP($Y81, IMPORTRANGE(""https://docs.google.com/spreadsheets/d/1UdH2L0xi8dO6jyPCcO5e5-8j7SGzezxkeZuF1uP8uOw"",""fighter_param (""&amp;TO_TEXT($A$1)&amp;"")!B4:JZ""), 26, FALSE), """"))"),0.11)</f>
        <v>0.11</v>
      </c>
      <c r="O81" s="3735" t="str">
        <f t="shared" si="7"/>
        <v/>
      </c>
      <c r="P81" s="3735" t="s">
        <v>76</v>
      </c>
      <c r="Q81" s="3735">
        <f t="shared" si="8"/>
        <v>72</v>
      </c>
      <c r="R81" s="3734">
        <f>IFERROR(__xludf.DUMMYFUNCTION("VALUE(IFERROR(VLOOKUP($Y81, IMPORTRANGE(""https://docs.google.com/spreadsheets/d/1UdH2L0xi8dO6jyPCcO5e5-8j7SGzezxkeZuF1uP8uOw"",""fighter_param (""&amp;TO_TEXT($A$1)&amp;"")!B4:JZ""), 19, FALSE), """"))"),29.8)</f>
        <v>29.8</v>
      </c>
      <c r="S81" s="3735">
        <f t="shared" si="9"/>
        <v>15</v>
      </c>
      <c r="T81" s="3734">
        <f>IFERROR(__xludf.DUMMYFUNCTION("VALUE(IFERROR(VLOOKUP($Y81, IMPORTRANGE(""https://docs.google.com/spreadsheets/d/1UdH2L0xi8dO6jyPCcO5e5-8j7SGzezxkeZuF1uP8uOw"",""fighter_param (""&amp;TO_TEXT($A$1)&amp;"")!B4:JZ""), 20, FALSE), """"))"),17.8)</f>
        <v>17.8</v>
      </c>
      <c r="U81" s="3735">
        <f t="shared" si="10"/>
        <v>55</v>
      </c>
      <c r="V81" s="3734">
        <f>IFERROR(__xludf.DUMMYFUNCTION("VALUE(IFERROR(VLOOKUP($Y81, IMPORTRANGE(""https://docs.google.com/spreadsheets/d/1UdH2L0xi8dO6jyPCcO5e5-8j7SGzezxkeZuF1uP8uOw"",""fighter_param (""&amp;TO_TEXT($A$1)&amp;"")!B4:JZ""), 21, FALSE), """"))"),32.0)</f>
        <v>32</v>
      </c>
      <c r="W81" s="3708">
        <f>Fighters!S81</f>
        <v>80</v>
      </c>
      <c r="X81" s="3709">
        <f>Fighters!T81</f>
        <v>70</v>
      </c>
      <c r="Y81" s="3739" t="str">
        <f>Fighters!V81</f>
        <v>buddy</v>
      </c>
    </row>
    <row r="82">
      <c r="A82" s="3700">
        <f>Fighters!$A82</f>
        <v>74</v>
      </c>
      <c r="B82" s="3701" t="str">
        <f>Fighters!$B82</f>
        <v>テリー</v>
      </c>
      <c r="C82" s="3735">
        <f t="shared" si="1"/>
        <v>83</v>
      </c>
      <c r="D82" s="3734">
        <f>IFERROR(__xludf.DUMMYFUNCTION("VALUE(IFERROR(VLOOKUP($Y82, IMPORTRANGE(""https://docs.google.com/spreadsheets/d/1UdH2L0xi8dO6jyPCcO5e5-8j7SGzezxkeZuF1uP8uOw"",""fighter_param (""&amp;TO_TEXT($A$1)&amp;"")!B4:JZ""), 9, FALSE), """"))"),1.65)</f>
        <v>1.65</v>
      </c>
      <c r="E82" s="3735">
        <f t="shared" si="2"/>
        <v>25</v>
      </c>
      <c r="F82" s="3735">
        <f>IFERROR(__xludf.DUMMYFUNCTION("VALUE(IFERROR(VLOOKUP($Y82, IMPORTRANGE(""https://docs.google.com/spreadsheets/d/1UdH2L0xi8dO6jyPCcO5e5-8j7SGzezxkeZuF1uP8uOw"",""fighter_param (""&amp;TO_TEXT($A$1)&amp;"")!B4:JZ""), 10, FALSE), """")) + VALUE(IFERROR(VLOOKUP($Y82, IMPORTRANGE(""https://docs.goo"&amp;"gle.com/spreadsheets/d/1UdH2L0xi8dO6jyPCcO5e5-8j7SGzezxkeZuF1uP8uOw"",""fighter_param (""&amp;TO_TEXT($A$1)&amp;"")!B4:JZ""), 11, FALSE), """"))"),0.16)</f>
        <v>0.16</v>
      </c>
      <c r="G82" s="3735">
        <f t="shared" si="3"/>
        <v>36</v>
      </c>
      <c r="H82" s="3734">
        <f>IFERROR(__xludf.DUMMYFUNCTION("VALUE(IFERROR(VLOOKUP($Y82, IMPORTRANGE(""https://docs.google.com/spreadsheets/d/1UdH2L0xi8dO6jyPCcO5e5-8j7SGzezxkeZuF1uP8uOw"",""fighter_param (""&amp;TO_TEXT($A$1)&amp;"")!B4:JZ""), 8, FALSE), """"))"),0.111)</f>
        <v>0.111</v>
      </c>
      <c r="I82" s="3735">
        <f t="shared" si="4"/>
        <v>58</v>
      </c>
      <c r="J82" s="3735">
        <f>IFERROR(__xludf.DUMMYFUNCTION("VALUE(IFERROR(VLOOKUP($Y82, IMPORTRANGE(""https://docs.google.com/spreadsheets/d/1UdH2L0xi8dO6jyPCcO5e5-8j7SGzezxkeZuF1uP8uOw"",""fighter_param (""&amp;TO_TEXT($A$1)&amp;"")!B4:JZ""), 22, FALSE), """")) + VALUE(IFERROR(VLOOKUP($Y82, IMPORTRANGE(""https://docs.goo"&amp;"gle.com/spreadsheets/d/1UdH2L0xi8dO6jyPCcO5e5-8j7SGzezxkeZuF1uP8uOw"",""fighter_param (""&amp;TO_TEXT($A$1)&amp;"")!B4:JZ""), 23, FALSE), """"))"),0.060000000000000005)</f>
        <v>0.06</v>
      </c>
      <c r="K82" s="3735">
        <f t="shared" si="5"/>
        <v>33</v>
      </c>
      <c r="L82" s="3734">
        <f>IFERROR(__xludf.DUMMYFUNCTION("VALUE(IFERROR(VLOOKUP($Y82, IMPORTRANGE(""https://docs.google.com/spreadsheets/d/1UdH2L0xi8dO6jyPCcO5e5-8j7SGzezxkeZuF1uP8uOw"",""fighter_param (""&amp;TO_TEXT($A$1)&amp;"")!B4:JZ""), 25, FALSE), """"))"),0.012)</f>
        <v>0.012</v>
      </c>
      <c r="M82" s="3735">
        <f t="shared" si="6"/>
        <v>45</v>
      </c>
      <c r="N82" s="3734">
        <f>IFERROR(__xludf.DUMMYFUNCTION("VALUE(IFERROR(VLOOKUP($Y82, IMPORTRANGE(""https://docs.google.com/spreadsheets/d/1UdH2L0xi8dO6jyPCcO5e5-8j7SGzezxkeZuF1uP8uOw"",""fighter_param (""&amp;TO_TEXT($A$1)&amp;"")!B4:JZ""), 26, FALSE), """"))"),0.09)</f>
        <v>0.09</v>
      </c>
      <c r="O82" s="3735" t="str">
        <f t="shared" si="7"/>
        <v/>
      </c>
      <c r="P82" s="3735" t="s">
        <v>76</v>
      </c>
      <c r="Q82" s="3735">
        <f t="shared" si="8"/>
        <v>78</v>
      </c>
      <c r="R82" s="3734">
        <f>IFERROR(__xludf.DUMMYFUNCTION("VALUE(IFERROR(VLOOKUP($Y82, IMPORTRANGE(""https://docs.google.com/spreadsheets/d/1UdH2L0xi8dO6jyPCcO5e5-8j7SGzezxkeZuF1uP8uOw"",""fighter_param (""&amp;TO_TEXT($A$1)&amp;"")!B4:JZ""), 19, FALSE), """"))"),27.0)</f>
        <v>27</v>
      </c>
      <c r="S82" s="3735">
        <f t="shared" si="9"/>
        <v>57</v>
      </c>
      <c r="T82" s="3734">
        <f>IFERROR(__xludf.DUMMYFUNCTION("VALUE(IFERROR(VLOOKUP($Y82, IMPORTRANGE(""https://docs.google.com/spreadsheets/d/1UdH2L0xi8dO6jyPCcO5e5-8j7SGzezxkeZuF1uP8uOw"",""fighter_param (""&amp;TO_TEXT($A$1)&amp;"")!B4:JZ""), 20, FALSE), """"))"),15.2)</f>
        <v>15.2</v>
      </c>
      <c r="U82" s="3735">
        <f t="shared" si="10"/>
        <v>67</v>
      </c>
      <c r="V82" s="3734">
        <f>IFERROR(__xludf.DUMMYFUNCTION("VALUE(IFERROR(VLOOKUP($Y82, IMPORTRANGE(""https://docs.google.com/spreadsheets/d/1UdH2L0xi8dO6jyPCcO5e5-8j7SGzezxkeZuF1uP8uOw"",""fighter_param (""&amp;TO_TEXT($A$1)&amp;"")!B4:JZ""), 21, FALSE), """"))"),29.0)</f>
        <v>29</v>
      </c>
      <c r="W82" s="3708">
        <f>Fighters!S82</f>
        <v>81</v>
      </c>
      <c r="X82" s="3709">
        <f>Fighters!T82</f>
        <v>71</v>
      </c>
      <c r="Y82" s="3739" t="str">
        <f>Fighters!V82</f>
        <v>dolly</v>
      </c>
    </row>
    <row r="83">
      <c r="A83" s="3700">
        <f>Fighters!$A83</f>
        <v>75</v>
      </c>
      <c r="B83" s="3701" t="str">
        <f>Fighters!$B83</f>
        <v>ベレト／ベレス</v>
      </c>
      <c r="C83" s="3735">
        <f t="shared" si="1"/>
        <v>69</v>
      </c>
      <c r="D83" s="3734">
        <f>IFERROR(__xludf.DUMMYFUNCTION("VALUE(IFERROR(VLOOKUP($Y83, IMPORTRANGE(""https://docs.google.com/spreadsheets/d/1UdH2L0xi8dO6jyPCcO5e5-8j7SGzezxkeZuF1uP8uOw"",""fighter_param (""&amp;TO_TEXT($A$1)&amp;"")!B4:JZ""), 9, FALSE), """"))"),1.8)</f>
        <v>1.8</v>
      </c>
      <c r="E83" s="3735">
        <f t="shared" si="2"/>
        <v>41</v>
      </c>
      <c r="F83" s="3735">
        <f>IFERROR(__xludf.DUMMYFUNCTION("VALUE(IFERROR(VLOOKUP($Y83, IMPORTRANGE(""https://docs.google.com/spreadsheets/d/1UdH2L0xi8dO6jyPCcO5e5-8j7SGzezxkeZuF1uP8uOw"",""fighter_param (""&amp;TO_TEXT($A$1)&amp;"")!B4:JZ""), 10, FALSE), """")) + VALUE(IFERROR(VLOOKUP($Y83, IMPORTRANGE(""https://docs.goo"&amp;"gle.com/spreadsheets/d/1UdH2L0xi8dO6jyPCcO5e5-8j7SGzezxkeZuF1uP8uOw"",""fighter_param (""&amp;TO_TEXT($A$1)&amp;"")!B4:JZ""), 11, FALSE), """"))"),0.15)</f>
        <v>0.15</v>
      </c>
      <c r="G83" s="3735">
        <f t="shared" si="3"/>
        <v>14</v>
      </c>
      <c r="H83" s="3734">
        <f>IFERROR(__xludf.DUMMYFUNCTION("VALUE(IFERROR(VLOOKUP($Y83, IMPORTRANGE(""https://docs.google.com/spreadsheets/d/1UdH2L0xi8dO6jyPCcO5e5-8j7SGzezxkeZuF1uP8uOw"",""fighter_param (""&amp;TO_TEXT($A$1)&amp;"")!B4:JZ""), 8, FALSE), """"))"),0.125)</f>
        <v>0.125</v>
      </c>
      <c r="I83" s="3735">
        <f t="shared" si="4"/>
        <v>68</v>
      </c>
      <c r="J83" s="3735">
        <f>IFERROR(__xludf.DUMMYFUNCTION("VALUE(IFERROR(VLOOKUP($Y83, IMPORTRANGE(""https://docs.google.com/spreadsheets/d/1UdH2L0xi8dO6jyPCcO5e5-8j7SGzezxkeZuF1uP8uOw"",""fighter_param (""&amp;TO_TEXT($A$1)&amp;"")!B4:JZ""), 22, FALSE), """")) + VALUE(IFERROR(VLOOKUP($Y83, IMPORTRANGE(""https://docs.goo"&amp;"gle.com/spreadsheets/d/1UdH2L0xi8dO6jyPCcO5e5-8j7SGzezxkeZuF1uP8uOw"",""fighter_param (""&amp;TO_TEXT($A$1)&amp;"")!B4:JZ""), 23, FALSE), """"))"),0.053)</f>
        <v>0.053</v>
      </c>
      <c r="K83" s="3735">
        <f t="shared" si="5"/>
        <v>57</v>
      </c>
      <c r="L83" s="3734">
        <f>IFERROR(__xludf.DUMMYFUNCTION("VALUE(IFERROR(VLOOKUP($Y83, IMPORTRANGE(""https://docs.google.com/spreadsheets/d/1UdH2L0xi8dO6jyPCcO5e5-8j7SGzezxkeZuF1uP8uOw"",""fighter_param (""&amp;TO_TEXT($A$1)&amp;"")!B4:JZ""), 25, FALSE), """"))"),0.008)</f>
        <v>0.008</v>
      </c>
      <c r="M83" s="3735">
        <f t="shared" si="6"/>
        <v>52</v>
      </c>
      <c r="N83" s="3734">
        <f>IFERROR(__xludf.DUMMYFUNCTION("VALUE(IFERROR(VLOOKUP($Y83, IMPORTRANGE(""https://docs.google.com/spreadsheets/d/1UdH2L0xi8dO6jyPCcO5e5-8j7SGzezxkeZuF1uP8uOw"",""fighter_param (""&amp;TO_TEXT($A$1)&amp;"")!B4:JZ""), 26, FALSE), """"))"),0.089)</f>
        <v>0.089</v>
      </c>
      <c r="O83" s="3735" t="str">
        <f t="shared" si="7"/>
        <v/>
      </c>
      <c r="P83" s="3735" t="s">
        <v>76</v>
      </c>
      <c r="Q83" s="3735">
        <f t="shared" si="8"/>
        <v>79</v>
      </c>
      <c r="R83" s="3734">
        <f>IFERROR(__xludf.DUMMYFUNCTION("VALUE(IFERROR(VLOOKUP($Y83, IMPORTRANGE(""https://docs.google.com/spreadsheets/d/1UdH2L0xi8dO6jyPCcO5e5-8j7SGzezxkeZuF1uP8uOw"",""fighter_param (""&amp;TO_TEXT($A$1)&amp;"")!B4:JZ""), 19, FALSE), """"))"),26.5)</f>
        <v>26.5</v>
      </c>
      <c r="S83" s="3735">
        <f t="shared" si="9"/>
        <v>72</v>
      </c>
      <c r="T83" s="3734">
        <f>IFERROR(__xludf.DUMMYFUNCTION("VALUE(IFERROR(VLOOKUP($Y83, IMPORTRANGE(""https://docs.google.com/spreadsheets/d/1UdH2L0xi8dO6jyPCcO5e5-8j7SGzezxkeZuF1uP8uOw"",""fighter_param (""&amp;TO_TEXT($A$1)&amp;"")!B4:JZ""), 20, FALSE), """"))"),14.0)</f>
        <v>14</v>
      </c>
      <c r="U83" s="3735">
        <f t="shared" si="10"/>
        <v>73</v>
      </c>
      <c r="V83" s="3734">
        <f>IFERROR(__xludf.DUMMYFUNCTION("VALUE(IFERROR(VLOOKUP($Y83, IMPORTRANGE(""https://docs.google.com/spreadsheets/d/1UdH2L0xi8dO6jyPCcO5e5-8j7SGzezxkeZuF1uP8uOw"",""fighter_param (""&amp;TO_TEXT($A$1)&amp;"")!B4:JZ""), 21, FALSE), """"))"),28.5)</f>
        <v>28.5</v>
      </c>
      <c r="W83" s="3708">
        <f>Fighters!S83</f>
        <v>82</v>
      </c>
      <c r="X83" s="3709">
        <f>Fighters!T83</f>
        <v>72</v>
      </c>
      <c r="Y83" s="3739" t="str">
        <f>Fighters!V83</f>
        <v>master</v>
      </c>
    </row>
    <row r="84">
      <c r="A84" s="3700">
        <f>Fighters!$A84</f>
        <v>76</v>
      </c>
      <c r="B84" s="3701" t="str">
        <f>Fighters!$B84</f>
        <v>ミェンミェン</v>
      </c>
      <c r="C84" s="3735">
        <f t="shared" si="1"/>
        <v>46</v>
      </c>
      <c r="D84" s="3734">
        <f>IFERROR(__xludf.DUMMYFUNCTION("VALUE(IFERROR(VLOOKUP($Y84, IMPORTRANGE(""https://docs.google.com/spreadsheets/d/1UdH2L0xi8dO6jyPCcO5e5-8j7SGzezxkeZuF1uP8uOw"",""fighter_param (""&amp;TO_TEXT($A$1)&amp;"")!B4:JZ""), 9, FALSE), """"))"),1.9)</f>
        <v>1.9</v>
      </c>
      <c r="E84" s="3735">
        <f t="shared" si="2"/>
        <v>41</v>
      </c>
      <c r="F84" s="3735">
        <f>IFERROR(__xludf.DUMMYFUNCTION("VALUE(IFERROR(VLOOKUP($Y84, IMPORTRANGE(""https://docs.google.com/spreadsheets/d/1UdH2L0xi8dO6jyPCcO5e5-8j7SGzezxkeZuF1uP8uOw"",""fighter_param (""&amp;TO_TEXT($A$1)&amp;"")!B4:JZ""), 10, FALSE), """")) + VALUE(IFERROR(VLOOKUP($Y84, IMPORTRANGE(""https://docs.goo"&amp;"gle.com/spreadsheets/d/1UdH2L0xi8dO6jyPCcO5e5-8j7SGzezxkeZuF1uP8uOw"",""fighter_param (""&amp;TO_TEXT($A$1)&amp;"")!B4:JZ""), 11, FALSE), """"))"),0.15)</f>
        <v>0.15</v>
      </c>
      <c r="G84" s="3735">
        <f t="shared" si="3"/>
        <v>9</v>
      </c>
      <c r="H84" s="3734">
        <f>IFERROR(__xludf.DUMMYFUNCTION("VALUE(IFERROR(VLOOKUP($Y84, IMPORTRANGE(""https://docs.google.com/spreadsheets/d/1UdH2L0xi8dO6jyPCcO5e5-8j7SGzezxkeZuF1uP8uOw"",""fighter_param (""&amp;TO_TEXT($A$1)&amp;"")!B4:JZ""), 8, FALSE), """"))"),0.13)</f>
        <v>0.13</v>
      </c>
      <c r="I84" s="3735">
        <f t="shared" si="4"/>
        <v>58</v>
      </c>
      <c r="J84" s="3735">
        <f>IFERROR(__xludf.DUMMYFUNCTION("VALUE(IFERROR(VLOOKUP($Y84, IMPORTRANGE(""https://docs.google.com/spreadsheets/d/1UdH2L0xi8dO6jyPCcO5e5-8j7SGzezxkeZuF1uP8uOw"",""fighter_param (""&amp;TO_TEXT($A$1)&amp;"")!B4:JZ""), 22, FALSE), """")) + VALUE(IFERROR(VLOOKUP($Y84, IMPORTRANGE(""https://docs.goo"&amp;"gle.com/spreadsheets/d/1UdH2L0xi8dO6jyPCcO5e5-8j7SGzezxkeZuF1uP8uOw"",""fighter_param (""&amp;TO_TEXT($A$1)&amp;"")!B4:JZ""), 23, FALSE), """"))"),0.060000000000000005)</f>
        <v>0.06</v>
      </c>
      <c r="K84" s="3735">
        <f t="shared" si="5"/>
        <v>9</v>
      </c>
      <c r="L84" s="3734">
        <f>IFERROR(__xludf.DUMMYFUNCTION("VALUE(IFERROR(VLOOKUP($Y84, IMPORTRANGE(""https://docs.google.com/spreadsheets/d/1UdH2L0xi8dO6jyPCcO5e5-8j7SGzezxkeZuF1uP8uOw"",""fighter_param (""&amp;TO_TEXT($A$1)&amp;"")!B4:JZ""), 25, FALSE), """"))"),0.015)</f>
        <v>0.015</v>
      </c>
      <c r="M84" s="3735">
        <f t="shared" si="6"/>
        <v>23</v>
      </c>
      <c r="N84" s="3734">
        <f>IFERROR(__xludf.DUMMYFUNCTION("VALUE(IFERROR(VLOOKUP($Y84, IMPORTRANGE(""https://docs.google.com/spreadsheets/d/1UdH2L0xi8dO6jyPCcO5e5-8j7SGzezxkeZuF1uP8uOw"",""fighter_param (""&amp;TO_TEXT($A$1)&amp;"")!B4:JZ""), 26, FALSE), """"))"),0.11)</f>
        <v>0.11</v>
      </c>
      <c r="O84" s="3735" t="str">
        <f t="shared" si="7"/>
        <v/>
      </c>
      <c r="P84" s="3735" t="s">
        <v>76</v>
      </c>
      <c r="Q84" s="3735">
        <f t="shared" si="8"/>
        <v>63</v>
      </c>
      <c r="R84" s="3734">
        <f>IFERROR(__xludf.DUMMYFUNCTION("VALUE(IFERROR(VLOOKUP($Y84, IMPORTRANGE(""https://docs.google.com/spreadsheets/d/1UdH2L0xi8dO6jyPCcO5e5-8j7SGzezxkeZuF1uP8uOw"",""fighter_param (""&amp;TO_TEXT($A$1)&amp;"")!B4:JZ""), 19, FALSE), """"))"),30.7)</f>
        <v>30.7</v>
      </c>
      <c r="S84" s="3735">
        <f t="shared" si="9"/>
        <v>45</v>
      </c>
      <c r="T84" s="3734">
        <f>IFERROR(__xludf.DUMMYFUNCTION("VALUE(IFERROR(VLOOKUP($Y84, IMPORTRANGE(""https://docs.google.com/spreadsheets/d/1UdH2L0xi8dO6jyPCcO5e5-8j7SGzezxkeZuF1uP8uOw"",""fighter_param (""&amp;TO_TEXT($A$1)&amp;"")!B4:JZ""), 20, FALSE), """"))"),16.0)</f>
        <v>16</v>
      </c>
      <c r="U84" s="3735">
        <f t="shared" si="10"/>
        <v>67</v>
      </c>
      <c r="V84" s="3734">
        <f>IFERROR(__xludf.DUMMYFUNCTION("VALUE(IFERROR(VLOOKUP($Y84, IMPORTRANGE(""https://docs.google.com/spreadsheets/d/1UdH2L0xi8dO6jyPCcO5e5-8j7SGzezxkeZuF1uP8uOw"",""fighter_param (""&amp;TO_TEXT($A$1)&amp;"")!B4:JZ""), 21, FALSE), """"))"),29.0)</f>
        <v>29</v>
      </c>
      <c r="W84" s="3708">
        <f>Fighters!S84</f>
        <v>83</v>
      </c>
      <c r="X84" s="3709">
        <f>Fighters!T84</f>
        <v>73</v>
      </c>
      <c r="Y84" s="3739" t="str">
        <f>Fighters!V84</f>
        <v>tantan</v>
      </c>
    </row>
    <row r="85">
      <c r="A85" s="3700">
        <f>Fighters!$A85</f>
        <v>77</v>
      </c>
      <c r="B85" s="3701" t="str">
        <f>Fighters!$B85</f>
        <v>スティーブ／アレックス</v>
      </c>
      <c r="C85" s="3735">
        <f t="shared" si="1"/>
        <v>89</v>
      </c>
      <c r="D85" s="3734">
        <f>IFERROR(__xludf.DUMMYFUNCTION("VALUE(IFERROR(VLOOKUP($Y85, IMPORTRANGE(""https://docs.google.com/spreadsheets/d/1UdH2L0xi8dO6jyPCcO5e5-8j7SGzezxkeZuF1uP8uOw"",""fighter_param (""&amp;TO_TEXT($A$1)&amp;"")!B4:JZ""), 9, FALSE), """"))"),1.45)</f>
        <v>1.45</v>
      </c>
      <c r="E85" s="3735">
        <f t="shared" si="2"/>
        <v>76</v>
      </c>
      <c r="F85" s="3735">
        <f>IFERROR(__xludf.DUMMYFUNCTION("VALUE(IFERROR(VLOOKUP($Y85, IMPORTRANGE(""https://docs.google.com/spreadsheets/d/1UdH2L0xi8dO6jyPCcO5e5-8j7SGzezxkeZuF1uP8uOw"",""fighter_param (""&amp;TO_TEXT($A$1)&amp;"")!B4:JZ""), 10, FALSE), """")) + VALUE(IFERROR(VLOOKUP($Y85, IMPORTRANGE(""https://docs.goo"&amp;"gle.com/spreadsheets/d/1UdH2L0xi8dO6jyPCcO5e5-8j7SGzezxkeZuF1uP8uOw"",""fighter_param (""&amp;TO_TEXT($A$1)&amp;"")!B4:JZ""), 11, FALSE), """"))"),0.115)</f>
        <v>0.115</v>
      </c>
      <c r="G85" s="3735">
        <f t="shared" si="3"/>
        <v>66</v>
      </c>
      <c r="H85" s="3734">
        <f>IFERROR(__xludf.DUMMYFUNCTION("VALUE(IFERROR(VLOOKUP($Y85, IMPORTRANGE(""https://docs.google.com/spreadsheets/d/1UdH2L0xi8dO6jyPCcO5e5-8j7SGzezxkeZuF1uP8uOw"",""fighter_param (""&amp;TO_TEXT($A$1)&amp;"")!B4:JZ""), 8, FALSE), """"))"),0.095)</f>
        <v>0.095</v>
      </c>
      <c r="I85" s="3735">
        <f t="shared" si="4"/>
        <v>70</v>
      </c>
      <c r="J85" s="3735">
        <f>IFERROR(__xludf.DUMMYFUNCTION("VALUE(IFERROR(VLOOKUP($Y85, IMPORTRANGE(""https://docs.google.com/spreadsheets/d/1UdH2L0xi8dO6jyPCcO5e5-8j7SGzezxkeZuF1uP8uOw"",""fighter_param (""&amp;TO_TEXT($A$1)&amp;"")!B4:JZ""), 22, FALSE), """")) + VALUE(IFERROR(VLOOKUP($Y85, IMPORTRANGE(""https://docs.goo"&amp;"gle.com/spreadsheets/d/1UdH2L0xi8dO6jyPCcO5e5-8j7SGzezxkeZuF1uP8uOw"",""fighter_param (""&amp;TO_TEXT($A$1)&amp;"")!B4:JZ""), 23, FALSE), """"))"),0.05)</f>
        <v>0.05</v>
      </c>
      <c r="K85" s="3735">
        <f t="shared" si="5"/>
        <v>67</v>
      </c>
      <c r="L85" s="3734">
        <f>IFERROR(__xludf.DUMMYFUNCTION("VALUE(IFERROR(VLOOKUP($Y85, IMPORTRANGE(""https://docs.google.com/spreadsheets/d/1UdH2L0xi8dO6jyPCcO5e5-8j7SGzezxkeZuF1uP8uOw"",""fighter_param (""&amp;TO_TEXT($A$1)&amp;"")!B4:JZ""), 25, FALSE), """"))"),0.0075)</f>
        <v>0.0075</v>
      </c>
      <c r="M85" s="3735">
        <f t="shared" si="6"/>
        <v>81</v>
      </c>
      <c r="N85" s="3734">
        <f>IFERROR(__xludf.DUMMYFUNCTION("VALUE(IFERROR(VLOOKUP($Y85, IMPORTRANGE(""https://docs.google.com/spreadsheets/d/1UdH2L0xi8dO6jyPCcO5e5-8j7SGzezxkeZuF1uP8uOw"",""fighter_param (""&amp;TO_TEXT($A$1)&amp;"")!B4:JZ""), 26, FALSE), """"))"),0.07)</f>
        <v>0.07</v>
      </c>
      <c r="O85" s="3735" t="str">
        <f t="shared" si="7"/>
        <v/>
      </c>
      <c r="P85" s="3735" t="s">
        <v>76</v>
      </c>
      <c r="Q85" s="3735">
        <f t="shared" si="8"/>
        <v>89</v>
      </c>
      <c r="R85" s="3734">
        <f>IFERROR(__xludf.DUMMYFUNCTION("VALUE(IFERROR(VLOOKUP($Y85, IMPORTRANGE(""https://docs.google.com/spreadsheets/d/1UdH2L0xi8dO6jyPCcO5e5-8j7SGzezxkeZuF1uP8uOw"",""fighter_param (""&amp;TO_TEXT($A$1)&amp;"")!B4:JZ""), 19, FALSE), """"))"),16.5)</f>
        <v>16.5</v>
      </c>
      <c r="S85" s="3735">
        <f t="shared" si="9"/>
        <v>88</v>
      </c>
      <c r="T85" s="3734">
        <f>IFERROR(__xludf.DUMMYFUNCTION("VALUE(IFERROR(VLOOKUP($Y85, IMPORTRANGE(""https://docs.google.com/spreadsheets/d/1UdH2L0xi8dO6jyPCcO5e5-8j7SGzezxkeZuF1uP8uOw"",""fighter_param (""&amp;TO_TEXT($A$1)&amp;"")!B4:JZ""), 20, FALSE), """"))"),10.0)</f>
        <v>10</v>
      </c>
      <c r="U85" s="3735">
        <f t="shared" si="10"/>
        <v>86</v>
      </c>
      <c r="V85" s="3734">
        <f>IFERROR(__xludf.DUMMYFUNCTION("VALUE(IFERROR(VLOOKUP($Y85, IMPORTRANGE(""https://docs.google.com/spreadsheets/d/1UdH2L0xi8dO6jyPCcO5e5-8j7SGzezxkeZuF1uP8uOw"",""fighter_param (""&amp;TO_TEXT($A$1)&amp;"")!B4:JZ""), 21, FALSE), """"))"),22.5)</f>
        <v>22.5</v>
      </c>
      <c r="W85" s="3708">
        <f>Fighters!S85</f>
        <v>84</v>
      </c>
      <c r="X85" s="3709">
        <f>Fighters!T85</f>
        <v>74</v>
      </c>
      <c r="Y85" s="3739" t="str">
        <f>Fighters!V85</f>
        <v>pickel</v>
      </c>
    </row>
    <row r="86">
      <c r="A86" s="3700">
        <f>Fighters!$A86</f>
        <v>78</v>
      </c>
      <c r="B86" s="3701" t="str">
        <f>Fighters!$B86</f>
        <v>セフィロス</v>
      </c>
      <c r="C86" s="3735">
        <f t="shared" si="1"/>
        <v>43</v>
      </c>
      <c r="D86" s="3734">
        <f>IFERROR(__xludf.DUMMYFUNCTION("VALUE(IFERROR(VLOOKUP($Y86, IMPORTRANGE(""https://docs.google.com/spreadsheets/d/1UdH2L0xi8dO6jyPCcO5e5-8j7SGzezxkeZuF1uP8uOw"",""fighter_param (""&amp;TO_TEXT($A$1)&amp;"")!B4:JZ""), 9, FALSE), """"))"),1.92)</f>
        <v>1.92</v>
      </c>
      <c r="E86" s="3735">
        <f t="shared" si="2"/>
        <v>72</v>
      </c>
      <c r="F86" s="3735">
        <f>IFERROR(__xludf.DUMMYFUNCTION("VALUE(IFERROR(VLOOKUP($Y86, IMPORTRANGE(""https://docs.google.com/spreadsheets/d/1UdH2L0xi8dO6jyPCcO5e5-8j7SGzezxkeZuF1uP8uOw"",""fighter_param (""&amp;TO_TEXT($A$1)&amp;"")!B4:JZ""), 10, FALSE), """")) + VALUE(IFERROR(VLOOKUP($Y86, IMPORTRANGE(""https://docs.goo"&amp;"gle.com/spreadsheets/d/1UdH2L0xi8dO6jyPCcO5e5-8j7SGzezxkeZuF1uP8uOw"",""fighter_param (""&amp;TO_TEXT($A$1)&amp;"")!B4:JZ""), 11, FALSE), """"))"),0.12)</f>
        <v>0.12</v>
      </c>
      <c r="G86" s="3735">
        <f t="shared" si="3"/>
        <v>39</v>
      </c>
      <c r="H86" s="3734">
        <f>IFERROR(__xludf.DUMMYFUNCTION("VALUE(IFERROR(VLOOKUP($Y86, IMPORTRANGE(""https://docs.google.com/spreadsheets/d/1UdH2L0xi8dO6jyPCcO5e5-8j7SGzezxkeZuF1uP8uOw"",""fighter_param (""&amp;TO_TEXT($A$1)&amp;"")!B4:JZ""), 8, FALSE), """"))"),0.11)</f>
        <v>0.11</v>
      </c>
      <c r="I86" s="3735">
        <f t="shared" si="4"/>
        <v>31</v>
      </c>
      <c r="J86" s="3735">
        <f>IFERROR(__xludf.DUMMYFUNCTION("VALUE(IFERROR(VLOOKUP($Y86, IMPORTRANGE(""https://docs.google.com/spreadsheets/d/1UdH2L0xi8dO6jyPCcO5e5-8j7SGzezxkeZuF1uP8uOw"",""fighter_param (""&amp;TO_TEXT($A$1)&amp;"")!B4:JZ""), 22, FALSE), """")) + VALUE(IFERROR(VLOOKUP($Y86, IMPORTRANGE(""https://docs.goo"&amp;"gle.com/spreadsheets/d/1UdH2L0xi8dO6jyPCcO5e5-8j7SGzezxkeZuF1uP8uOw"",""fighter_param (""&amp;TO_TEXT($A$1)&amp;"")!B4:JZ""), 23, FALSE), """"))"),0.08)</f>
        <v>0.08</v>
      </c>
      <c r="K86" s="3735">
        <f t="shared" si="5"/>
        <v>57</v>
      </c>
      <c r="L86" s="3734">
        <f>IFERROR(__xludf.DUMMYFUNCTION("VALUE(IFERROR(VLOOKUP($Y86, IMPORTRANGE(""https://docs.google.com/spreadsheets/d/1UdH2L0xi8dO6jyPCcO5e5-8j7SGzezxkeZuF1uP8uOw"",""fighter_param (""&amp;TO_TEXT($A$1)&amp;"")!B4:JZ""), 25, FALSE), """"))"),0.008)</f>
        <v>0.008</v>
      </c>
      <c r="M86" s="3735">
        <f t="shared" si="6"/>
        <v>27</v>
      </c>
      <c r="N86" s="3734">
        <f>IFERROR(__xludf.DUMMYFUNCTION("VALUE(IFERROR(VLOOKUP($Y86, IMPORTRANGE(""https://docs.google.com/spreadsheets/d/1UdH2L0xi8dO6jyPCcO5e5-8j7SGzezxkeZuF1uP8uOw"",""fighter_param (""&amp;TO_TEXT($A$1)&amp;"")!B4:JZ""), 26, FALSE), """"))"),0.108)</f>
        <v>0.108</v>
      </c>
      <c r="O86" s="3735" t="str">
        <f t="shared" si="7"/>
        <v/>
      </c>
      <c r="P86" s="3735" t="s">
        <v>76</v>
      </c>
      <c r="Q86" s="3735">
        <f t="shared" si="8"/>
        <v>64</v>
      </c>
      <c r="R86" s="3734">
        <f>IFERROR(__xludf.DUMMYFUNCTION("VALUE(IFERROR(VLOOKUP($Y86, IMPORTRANGE(""https://docs.google.com/spreadsheets/d/1UdH2L0xi8dO6jyPCcO5e5-8j7SGzezxkeZuF1uP8uOw"",""fighter_param (""&amp;TO_TEXT($A$1)&amp;"")!B4:JZ""), 19, FALSE), """"))"),30.5)</f>
        <v>30.5</v>
      </c>
      <c r="S86" s="3735">
        <f t="shared" si="9"/>
        <v>88</v>
      </c>
      <c r="T86" s="3734">
        <f>IFERROR(__xludf.DUMMYFUNCTION("VALUE(IFERROR(VLOOKUP($Y86, IMPORTRANGE(""https://docs.google.com/spreadsheets/d/1UdH2L0xi8dO6jyPCcO5e5-8j7SGzezxkeZuF1uP8uOw"",""fighter_param (""&amp;TO_TEXT($A$1)&amp;"")!B4:JZ""), 20, FALSE), """"))"),10.0)</f>
        <v>10</v>
      </c>
      <c r="U86" s="3735">
        <f t="shared" si="10"/>
        <v>36</v>
      </c>
      <c r="V86" s="3734">
        <f>IFERROR(__xludf.DUMMYFUNCTION("VALUE(IFERROR(VLOOKUP($Y86, IMPORTRANGE(""https://docs.google.com/spreadsheets/d/1UdH2L0xi8dO6jyPCcO5e5-8j7SGzezxkeZuF1uP8uOw"",""fighter_param (""&amp;TO_TEXT($A$1)&amp;"")!B4:JZ""), 21, FALSE), """"))"),34.0)</f>
        <v>34</v>
      </c>
      <c r="W86" s="3708">
        <f>Fighters!S86</f>
        <v>85</v>
      </c>
      <c r="X86" s="3709">
        <f>Fighters!T86</f>
        <v>75</v>
      </c>
      <c r="Y86" s="3739" t="str">
        <f>Fighters!V86</f>
        <v>edge</v>
      </c>
    </row>
    <row r="87">
      <c r="A87" s="3700">
        <f>Fighters!$A87</f>
        <v>79</v>
      </c>
      <c r="B87" s="3701" t="str">
        <f>Fighters!$B87</f>
        <v>ホムラ</v>
      </c>
      <c r="C87" s="3735">
        <f t="shared" si="1"/>
        <v>80</v>
      </c>
      <c r="D87" s="3734">
        <f>IFERROR(__xludf.DUMMYFUNCTION("VALUE(IFERROR(VLOOKUP($Y87, IMPORTRANGE(""https://docs.google.com/spreadsheets/d/1UdH2L0xi8dO6jyPCcO5e5-8j7SGzezxkeZuF1uP8uOw"",""fighter_param (""&amp;TO_TEXT($A$1)&amp;"")!B4:JZ""), 9, FALSE), """"))"),1.69)</f>
        <v>1.69</v>
      </c>
      <c r="E87" s="3735">
        <f t="shared" si="2"/>
        <v>68</v>
      </c>
      <c r="F87" s="3735">
        <f>IFERROR(__xludf.DUMMYFUNCTION("VALUE(IFERROR(VLOOKUP($Y87, IMPORTRANGE(""https://docs.google.com/spreadsheets/d/1UdH2L0xi8dO6jyPCcO5e5-8j7SGzezxkeZuF1uP8uOw"",""fighter_param (""&amp;TO_TEXT($A$1)&amp;"")!B4:JZ""), 10, FALSE), """")) + VALUE(IFERROR(VLOOKUP($Y87, IMPORTRANGE(""https://docs.goo"&amp;"gle.com/spreadsheets/d/1UdH2L0xi8dO6jyPCcO5e5-8j7SGzezxkeZuF1uP8uOw"",""fighter_param (""&amp;TO_TEXT($A$1)&amp;"")!B4:JZ""), 11, FALSE), """"))"),0.125)</f>
        <v>0.125</v>
      </c>
      <c r="G87" s="3735">
        <f t="shared" si="3"/>
        <v>85</v>
      </c>
      <c r="H87" s="3734">
        <f>IFERROR(__xludf.DUMMYFUNCTION("VALUE(IFERROR(VLOOKUP($Y87, IMPORTRANGE(""https://docs.google.com/spreadsheets/d/1UdH2L0xi8dO6jyPCcO5e5-8j7SGzezxkeZuF1uP8uOw"",""fighter_param (""&amp;TO_TEXT($A$1)&amp;"")!B4:JZ""), 8, FALSE), """"))"),0.08)</f>
        <v>0.08</v>
      </c>
      <c r="I87" s="3735">
        <f t="shared" si="4"/>
        <v>55</v>
      </c>
      <c r="J87" s="3735">
        <f>IFERROR(__xludf.DUMMYFUNCTION("VALUE(IFERROR(VLOOKUP($Y87, IMPORTRANGE(""https://docs.google.com/spreadsheets/d/1UdH2L0xi8dO6jyPCcO5e5-8j7SGzezxkeZuF1uP8uOw"",""fighter_param (""&amp;TO_TEXT($A$1)&amp;"")!B4:JZ""), 22, FALSE), """")) + VALUE(IFERROR(VLOOKUP($Y87, IMPORTRANGE(""https://docs.goo"&amp;"gle.com/spreadsheets/d/1UdH2L0xi8dO6jyPCcO5e5-8j7SGzezxkeZuF1uP8uOw"",""fighter_param (""&amp;TO_TEXT($A$1)&amp;"")!B4:JZ""), 23, FALSE), """"))"),0.065)</f>
        <v>0.065</v>
      </c>
      <c r="K87" s="3735">
        <f t="shared" si="5"/>
        <v>52</v>
      </c>
      <c r="L87" s="3734">
        <f>IFERROR(__xludf.DUMMYFUNCTION("VALUE(IFERROR(VLOOKUP($Y87, IMPORTRANGE(""https://docs.google.com/spreadsheets/d/1UdH2L0xi8dO6jyPCcO5e5-8j7SGzezxkeZuF1uP8uOw"",""fighter_param (""&amp;TO_TEXT($A$1)&amp;"")!B4:JZ""), 25, FALSE), """"))"),0.009)</f>
        <v>0.009</v>
      </c>
      <c r="M87" s="3735">
        <f t="shared" si="6"/>
        <v>71</v>
      </c>
      <c r="N87" s="3734">
        <f>IFERROR(__xludf.DUMMYFUNCTION("VALUE(IFERROR(VLOOKUP($Y87, IMPORTRANGE(""https://docs.google.com/spreadsheets/d/1UdH2L0xi8dO6jyPCcO5e5-8j7SGzezxkeZuF1uP8uOw"",""fighter_param (""&amp;TO_TEXT($A$1)&amp;"")!B4:JZ""), 26, FALSE), """"))"),0.078)</f>
        <v>0.078</v>
      </c>
      <c r="O87" s="3735" t="str">
        <f t="shared" si="7"/>
        <v/>
      </c>
      <c r="P87" s="3735" t="s">
        <v>76</v>
      </c>
      <c r="Q87" s="3735">
        <f t="shared" si="8"/>
        <v>80</v>
      </c>
      <c r="R87" s="3734">
        <f>IFERROR(__xludf.DUMMYFUNCTION("VALUE(IFERROR(VLOOKUP($Y87, IMPORTRANGE(""https://docs.google.com/spreadsheets/d/1UdH2L0xi8dO6jyPCcO5e5-8j7SGzezxkeZuF1uP8uOw"",""fighter_param (""&amp;TO_TEXT($A$1)&amp;"")!B4:JZ""), 19, FALSE), """"))"),26.3)</f>
        <v>26.3</v>
      </c>
      <c r="S87" s="3735">
        <f t="shared" si="9"/>
        <v>57</v>
      </c>
      <c r="T87" s="3734">
        <f>IFERROR(__xludf.DUMMYFUNCTION("VALUE(IFERROR(VLOOKUP($Y87, IMPORTRANGE(""https://docs.google.com/spreadsheets/d/1UdH2L0xi8dO6jyPCcO5e5-8j7SGzezxkeZuF1uP8uOw"",""fighter_param (""&amp;TO_TEXT($A$1)&amp;"")!B4:JZ""), 20, FALSE), """"))"),15.2)</f>
        <v>15.2</v>
      </c>
      <c r="U87" s="3735">
        <f t="shared" si="10"/>
        <v>67</v>
      </c>
      <c r="V87" s="3734">
        <f>IFERROR(__xludf.DUMMYFUNCTION("VALUE(IFERROR(VLOOKUP($Y87, IMPORTRANGE(""https://docs.google.com/spreadsheets/d/1UdH2L0xi8dO6jyPCcO5e5-8j7SGzezxkeZuF1uP8uOw"",""fighter_param (""&amp;TO_TEXT($A$1)&amp;"")!B4:JZ""), 21, FALSE), """"))"),29.0)</f>
        <v>29</v>
      </c>
      <c r="W87" s="3708">
        <f>Fighters!S87</f>
        <v>86</v>
      </c>
      <c r="X87" s="3709">
        <f>Fighters!T87</f>
        <v>76</v>
      </c>
      <c r="Y87" s="3739" t="str">
        <f>Fighters!V87</f>
        <v>eflame</v>
      </c>
    </row>
    <row r="88">
      <c r="A88" s="3700">
        <f>Fighters!$A88</f>
        <v>80</v>
      </c>
      <c r="B88" s="3701" t="str">
        <f>Fighters!$B88</f>
        <v>ヒカリ</v>
      </c>
      <c r="C88" s="3735">
        <f t="shared" si="1"/>
        <v>1</v>
      </c>
      <c r="D88" s="3734">
        <f>IFERROR(__xludf.DUMMYFUNCTION("VALUE(IFERROR(VLOOKUP($Y88, IMPORTRANGE(""https://docs.google.com/spreadsheets/d/1UdH2L0xi8dO6jyPCcO5e5-8j7SGzezxkeZuF1uP8uOw"",""fighter_param (""&amp;TO_TEXT($A$1)&amp;"")!B4:JZ""), 9, FALSE), """"))"),2.45)</f>
        <v>2.45</v>
      </c>
      <c r="E88" s="3735">
        <f t="shared" si="2"/>
        <v>54</v>
      </c>
      <c r="F88" s="3735">
        <f>IFERROR(__xludf.DUMMYFUNCTION("VALUE(IFERROR(VLOOKUP($Y88, IMPORTRANGE(""https://docs.google.com/spreadsheets/d/1UdH2L0xi8dO6jyPCcO5e5-8j7SGzezxkeZuF1uP8uOw"",""fighter_param (""&amp;TO_TEXT($A$1)&amp;"")!B4:JZ""), 10, FALSE), """")) + VALUE(IFERROR(VLOOKUP($Y88, IMPORTRANGE(""https://docs.goo"&amp;"gle.com/spreadsheets/d/1UdH2L0xi8dO6jyPCcO5e5-8j7SGzezxkeZuF1uP8uOw"",""fighter_param (""&amp;TO_TEXT($A$1)&amp;"")!B4:JZ""), 11, FALSE), """"))"),0.13999999999999999)</f>
        <v>0.14</v>
      </c>
      <c r="G88" s="3735">
        <f t="shared" si="3"/>
        <v>17</v>
      </c>
      <c r="H88" s="3734">
        <f>IFERROR(__xludf.DUMMYFUNCTION("VALUE(IFERROR(VLOOKUP($Y88, IMPORTRANGE(""https://docs.google.com/spreadsheets/d/1UdH2L0xi8dO6jyPCcO5e5-8j7SGzezxkeZuF1uP8uOw"",""fighter_param (""&amp;TO_TEXT($A$1)&amp;"")!B4:JZ""), 8, FALSE), """"))"),0.121)</f>
        <v>0.121</v>
      </c>
      <c r="I88" s="3735">
        <f t="shared" si="4"/>
        <v>49</v>
      </c>
      <c r="J88" s="3735">
        <f>IFERROR(__xludf.DUMMYFUNCTION("VALUE(IFERROR(VLOOKUP($Y88, IMPORTRANGE(""https://docs.google.com/spreadsheets/d/1UdH2L0xi8dO6jyPCcO5e5-8j7SGzezxkeZuF1uP8uOw"",""fighter_param (""&amp;TO_TEXT($A$1)&amp;"")!B4:JZ""), 22, FALSE), """")) + VALUE(IFERROR(VLOOKUP($Y88, IMPORTRANGE(""https://docs.goo"&amp;"gle.com/spreadsheets/d/1UdH2L0xi8dO6jyPCcO5e5-8j7SGzezxkeZuF1uP8uOw"",""fighter_param (""&amp;TO_TEXT($A$1)&amp;"")!B4:JZ""), 23, FALSE), """"))"),0.06999999999999999)</f>
        <v>0.07</v>
      </c>
      <c r="K88" s="3735">
        <f t="shared" si="5"/>
        <v>33</v>
      </c>
      <c r="L88" s="3734">
        <f>IFERROR(__xludf.DUMMYFUNCTION("VALUE(IFERROR(VLOOKUP($Y88, IMPORTRANGE(""https://docs.google.com/spreadsheets/d/1UdH2L0xi8dO6jyPCcO5e5-8j7SGzezxkeZuF1uP8uOw"",""fighter_param (""&amp;TO_TEXT($A$1)&amp;"")!B4:JZ""), 25, FALSE), """"))"),0.012)</f>
        <v>0.012</v>
      </c>
      <c r="M88" s="3735">
        <f t="shared" si="6"/>
        <v>7</v>
      </c>
      <c r="N88" s="3734">
        <f>IFERROR(__xludf.DUMMYFUNCTION("VALUE(IFERROR(VLOOKUP($Y88, IMPORTRANGE(""https://docs.google.com/spreadsheets/d/1UdH2L0xi8dO6jyPCcO5e5-8j7SGzezxkeZuF1uP8uOw"",""fighter_param (""&amp;TO_TEXT($A$1)&amp;"")!B4:JZ""), 26, FALSE), """"))"),0.137)</f>
        <v>0.137</v>
      </c>
      <c r="O88" s="3735" t="str">
        <f t="shared" si="7"/>
        <v/>
      </c>
      <c r="P88" s="3735" t="s">
        <v>76</v>
      </c>
      <c r="Q88" s="3735">
        <f t="shared" si="8"/>
        <v>62</v>
      </c>
      <c r="R88" s="3734">
        <f>IFERROR(__xludf.DUMMYFUNCTION("VALUE(IFERROR(VLOOKUP($Y88, IMPORTRANGE(""https://docs.google.com/spreadsheets/d/1UdH2L0xi8dO6jyPCcO5e5-8j7SGzezxkeZuF1uP8uOw"",""fighter_param (""&amp;TO_TEXT($A$1)&amp;"")!B4:JZ""), 19, FALSE), """"))"),30.8)</f>
        <v>30.8</v>
      </c>
      <c r="S88" s="3735">
        <f t="shared" si="9"/>
        <v>51</v>
      </c>
      <c r="T88" s="3734">
        <f>IFERROR(__xludf.DUMMYFUNCTION("VALUE(IFERROR(VLOOKUP($Y88, IMPORTRANGE(""https://docs.google.com/spreadsheets/d/1UdH2L0xi8dO6jyPCcO5e5-8j7SGzezxkeZuF1uP8uOw"",""fighter_param (""&amp;TO_TEXT($A$1)&amp;"")!B4:JZ""), 20, FALSE), """"))"),15.6)</f>
        <v>15.6</v>
      </c>
      <c r="U88" s="3735">
        <f t="shared" si="10"/>
        <v>45</v>
      </c>
      <c r="V88" s="3734">
        <f>IFERROR(__xludf.DUMMYFUNCTION("VALUE(IFERROR(VLOOKUP($Y88, IMPORTRANGE(""https://docs.google.com/spreadsheets/d/1UdH2L0xi8dO6jyPCcO5e5-8j7SGzezxkeZuF1uP8uOw"",""fighter_param (""&amp;TO_TEXT($A$1)&amp;"")!B4:JZ""), 21, FALSE), """"))"),33.0)</f>
        <v>33</v>
      </c>
      <c r="W88" s="3708">
        <f>Fighters!S88</f>
        <v>87</v>
      </c>
      <c r="X88" s="3709">
        <f>Fighters!T88</f>
        <v>77</v>
      </c>
      <c r="Y88" s="3739" t="str">
        <f>Fighters!V88</f>
        <v>elight</v>
      </c>
    </row>
    <row r="89">
      <c r="A89" s="3700">
        <f>Fighters!$A89</f>
        <v>81</v>
      </c>
      <c r="B89" s="3701" t="str">
        <f>Fighters!$B89</f>
        <v>カズヤ</v>
      </c>
      <c r="C89" s="3735">
        <f t="shared" si="1"/>
        <v>87</v>
      </c>
      <c r="D89" s="3734">
        <f>IFERROR(__xludf.DUMMYFUNCTION("VALUE(IFERROR(VLOOKUP($Y89, IMPORTRANGE(""https://docs.google.com/spreadsheets/d/1UdH2L0xi8dO6jyPCcO5e5-8j7SGzezxkeZuF1uP8uOw"",""fighter_param (""&amp;TO_TEXT($A$1)&amp;"")!B4:JZ""), 9, FALSE), """"))"),1.58)</f>
        <v>1.58</v>
      </c>
      <c r="E89" s="3735">
        <f t="shared" si="2"/>
        <v>41</v>
      </c>
      <c r="F89" s="3735">
        <f>IFERROR(__xludf.DUMMYFUNCTION("VALUE(IFERROR(VLOOKUP($Y89, IMPORTRANGE(""https://docs.google.com/spreadsheets/d/1UdH2L0xi8dO6jyPCcO5e5-8j7SGzezxkeZuF1uP8uOw"",""fighter_param (""&amp;TO_TEXT($A$1)&amp;"")!B4:JZ""), 10, FALSE), """")) + VALUE(IFERROR(VLOOKUP($Y89, IMPORTRANGE(""https://docs.goo"&amp;"gle.com/spreadsheets/d/1UdH2L0xi8dO6jyPCcO5e5-8j7SGzezxkeZuF1uP8uOw"",""fighter_param (""&amp;TO_TEXT($A$1)&amp;"")!B4:JZ""), 11, FALSE), """"))"),0.15)</f>
        <v>0.15</v>
      </c>
      <c r="G89" s="3735">
        <f t="shared" si="3"/>
        <v>29</v>
      </c>
      <c r="H89" s="3734">
        <f>IFERROR(__xludf.DUMMYFUNCTION("VALUE(IFERROR(VLOOKUP($Y89, IMPORTRANGE(""https://docs.google.com/spreadsheets/d/1UdH2L0xi8dO6jyPCcO5e5-8j7SGzezxkeZuF1uP8uOw"",""fighter_param (""&amp;TO_TEXT($A$1)&amp;"")!B4:JZ""), 8, FALSE), """"))"),0.115)</f>
        <v>0.115</v>
      </c>
      <c r="I89" s="3735">
        <f t="shared" si="4"/>
        <v>82</v>
      </c>
      <c r="J89" s="3735">
        <f>IFERROR(__xludf.DUMMYFUNCTION("VALUE(IFERROR(VLOOKUP($Y89, IMPORTRANGE(""https://docs.google.com/spreadsheets/d/1UdH2L0xi8dO6jyPCcO5e5-8j7SGzezxkeZuF1uP8uOw"",""fighter_param (""&amp;TO_TEXT($A$1)&amp;"")!B4:JZ""), 22, FALSE), """")) + VALUE(IFERROR(VLOOKUP($Y89, IMPORTRANGE(""https://docs.goo"&amp;"gle.com/spreadsheets/d/1UdH2L0xi8dO6jyPCcO5e5-8j7SGzezxkeZuF1uP8uOw"",""fighter_param (""&amp;TO_TEXT($A$1)&amp;"")!B4:JZ""), 23, FALSE), """"))"),0.04)</f>
        <v>0.04</v>
      </c>
      <c r="K89" s="3735">
        <f t="shared" si="5"/>
        <v>40</v>
      </c>
      <c r="L89" s="3734">
        <f>IFERROR(__xludf.DUMMYFUNCTION("VALUE(IFERROR(VLOOKUP($Y89, IMPORTRANGE(""https://docs.google.com/spreadsheets/d/1UdH2L0xi8dO6jyPCcO5e5-8j7SGzezxkeZuF1uP8uOw"",""fighter_param (""&amp;TO_TEXT($A$1)&amp;"")!B4:JZ""), 25, FALSE), """"))"),0.01)</f>
        <v>0.01</v>
      </c>
      <c r="M89" s="3735">
        <f t="shared" si="6"/>
        <v>27</v>
      </c>
      <c r="N89" s="3734">
        <f>IFERROR(__xludf.DUMMYFUNCTION("VALUE(IFERROR(VLOOKUP($Y89, IMPORTRANGE(""https://docs.google.com/spreadsheets/d/1UdH2L0xi8dO6jyPCcO5e5-8j7SGzezxkeZuF1uP8uOw"",""fighter_param (""&amp;TO_TEXT($A$1)&amp;"")!B4:JZ""), 26, FALSE), """"))"),0.108)</f>
        <v>0.108</v>
      </c>
      <c r="O89" s="3735" t="str">
        <f t="shared" si="7"/>
        <v/>
      </c>
      <c r="P89" s="3735" t="s">
        <v>76</v>
      </c>
      <c r="Q89" s="3735">
        <f t="shared" si="8"/>
        <v>88</v>
      </c>
      <c r="R89" s="3734">
        <f>IFERROR(__xludf.DUMMYFUNCTION("VALUE(IFERROR(VLOOKUP($Y89, IMPORTRANGE(""https://docs.google.com/spreadsheets/d/1UdH2L0xi8dO6jyPCcO5e5-8j7SGzezxkeZuF1uP8uOw"",""fighter_param (""&amp;TO_TEXT($A$1)&amp;"")!B4:JZ""), 19, FALSE), """"))"),18.0)</f>
        <v>18</v>
      </c>
      <c r="S89" s="3735">
        <f t="shared" si="9"/>
        <v>85</v>
      </c>
      <c r="T89" s="3734">
        <f>IFERROR(__xludf.DUMMYFUNCTION("VALUE(IFERROR(VLOOKUP($Y89, IMPORTRANGE(""https://docs.google.com/spreadsheets/d/1UdH2L0xi8dO6jyPCcO5e5-8j7SGzezxkeZuF1uP8uOw"",""fighter_param (""&amp;TO_TEXT($A$1)&amp;"")!B4:JZ""), 20, FALSE), """"))"),12.0)</f>
        <v>12</v>
      </c>
      <c r="U89" s="3735">
        <f t="shared" si="10"/>
        <v>4</v>
      </c>
      <c r="V89" s="3734">
        <f>IFERROR(__xludf.DUMMYFUNCTION("VALUE(IFERROR(VLOOKUP($Y89, IMPORTRANGE(""https://docs.google.com/spreadsheets/d/1UdH2L0xi8dO6jyPCcO5e5-8j7SGzezxkeZuF1uP8uOw"",""fighter_param (""&amp;TO_TEXT($A$1)&amp;"")!B4:JZ""), 21, FALSE), """"))"),49.0)</f>
        <v>49</v>
      </c>
      <c r="W89" s="3708">
        <f>Fighters!S89</f>
        <v>88</v>
      </c>
      <c r="X89" s="3709">
        <f>Fighters!T89</f>
        <v>78</v>
      </c>
      <c r="Y89" s="3739" t="str">
        <f>Fighters!V89</f>
        <v>demon</v>
      </c>
    </row>
    <row r="90">
      <c r="A90" s="3700">
        <f>Fighters!$A90</f>
        <v>82</v>
      </c>
      <c r="B90" s="3701" t="str">
        <f>Fighters!$B90</f>
        <v>ソラ</v>
      </c>
      <c r="C90" s="3735">
        <f t="shared" si="1"/>
        <v>71</v>
      </c>
      <c r="D90" s="3734">
        <f>IFERROR(__xludf.DUMMYFUNCTION("VALUE(IFERROR(VLOOKUP($Y90, IMPORTRANGE(""https://docs.google.com/spreadsheets/d/1UdH2L0xi8dO6jyPCcO5e5-8j7SGzezxkeZuF1uP8uOw"",""fighter_param (""&amp;TO_TEXT($A$1)&amp;"")!B4:JZ""), 9, FALSE), """"))"),1.78)</f>
        <v>1.78</v>
      </c>
      <c r="E90" s="3735">
        <f t="shared" si="2"/>
        <v>86</v>
      </c>
      <c r="F90" s="3735">
        <f>IFERROR(__xludf.DUMMYFUNCTION("VALUE(IFERROR(VLOOKUP($Y90, IMPORTRANGE(""https://docs.google.com/spreadsheets/d/1UdH2L0xi8dO6jyPCcO5e5-8j7SGzezxkeZuF1uP8uOw"",""fighter_param (""&amp;TO_TEXT($A$1)&amp;"")!B4:JZ""), 10, FALSE), """")) + VALUE(IFERROR(VLOOKUP($Y90, IMPORTRANGE(""https://docs.goo"&amp;"gle.com/spreadsheets/d/1UdH2L0xi8dO6jyPCcO5e5-8j7SGzezxkeZuF1uP8uOw"",""fighter_param (""&amp;TO_TEXT($A$1)&amp;"")!B4:JZ""), 11, FALSE), """"))"),0.1)</f>
        <v>0.1</v>
      </c>
      <c r="G90" s="3735">
        <f t="shared" si="3"/>
        <v>77</v>
      </c>
      <c r="H90" s="3734">
        <f>IFERROR(__xludf.DUMMYFUNCTION("VALUE(IFERROR(VLOOKUP($Y90, IMPORTRANGE(""https://docs.google.com/spreadsheets/d/1UdH2L0xi8dO6jyPCcO5e5-8j7SGzezxkeZuF1uP8uOw"",""fighter_param (""&amp;TO_TEXT($A$1)&amp;"")!B4:JZ""), 8, FALSE), """"))"),0.086)</f>
        <v>0.086</v>
      </c>
      <c r="I90" s="3735">
        <f t="shared" si="4"/>
        <v>15</v>
      </c>
      <c r="J90" s="3735">
        <f>IFERROR(__xludf.DUMMYFUNCTION("VALUE(IFERROR(VLOOKUP($Y90, IMPORTRANGE(""https://docs.google.com/spreadsheets/d/1UdH2L0xi8dO6jyPCcO5e5-8j7SGzezxkeZuF1uP8uOw"",""fighter_param (""&amp;TO_TEXT($A$1)&amp;"")!B4:JZ""), 22, FALSE), """")) + VALUE(IFERROR(VLOOKUP($Y90, IMPORTRANGE(""https://docs.goo"&amp;"gle.com/spreadsheets/d/1UdH2L0xi8dO6jyPCcO5e5-8j7SGzezxkeZuF1uP8uOw"",""fighter_param (""&amp;TO_TEXT($A$1)&amp;"")!B4:JZ""), 23, FALSE), """"))"),0.09599999999999999)</f>
        <v>0.096</v>
      </c>
      <c r="K90" s="3735">
        <f t="shared" si="5"/>
        <v>33</v>
      </c>
      <c r="L90" s="3734">
        <f>IFERROR(__xludf.DUMMYFUNCTION("VALUE(IFERROR(VLOOKUP($Y90, IMPORTRANGE(""https://docs.google.com/spreadsheets/d/1UdH2L0xi8dO6jyPCcO5e5-8j7SGzezxkeZuF1uP8uOw"",""fighter_param (""&amp;TO_TEXT($A$1)&amp;"")!B4:JZ""), 25, FALSE), """"))"),0.012)</f>
        <v>0.012</v>
      </c>
      <c r="M90" s="3735">
        <f t="shared" si="6"/>
        <v>86</v>
      </c>
      <c r="N90" s="3734">
        <f>IFERROR(__xludf.DUMMYFUNCTION("VALUE(IFERROR(VLOOKUP($Y90, IMPORTRANGE(""https://docs.google.com/spreadsheets/d/1UdH2L0xi8dO6jyPCcO5e5-8j7SGzezxkeZuF1uP8uOw"",""fighter_param (""&amp;TO_TEXT($A$1)&amp;"")!B4:JZ""), 26, FALSE), """"))"),0.064)</f>
        <v>0.064</v>
      </c>
      <c r="O90" s="3735" t="str">
        <f t="shared" si="7"/>
        <v/>
      </c>
      <c r="P90" s="3735" t="s">
        <v>76</v>
      </c>
      <c r="Q90" s="3735">
        <f t="shared" si="8"/>
        <v>68</v>
      </c>
      <c r="R90" s="3734">
        <f>IFERROR(__xludf.DUMMYFUNCTION("VALUE(IFERROR(VLOOKUP($Y90, IMPORTRANGE(""https://docs.google.com/spreadsheets/d/1UdH2L0xi8dO6jyPCcO5e5-8j7SGzezxkeZuF1uP8uOw"",""fighter_param (""&amp;TO_TEXT($A$1)&amp;"")!B4:JZ""), 19, FALSE), """"))"),30.0)</f>
        <v>30</v>
      </c>
      <c r="S90" s="3735">
        <f t="shared" si="9"/>
        <v>24</v>
      </c>
      <c r="T90" s="3734">
        <f>IFERROR(__xludf.DUMMYFUNCTION("VALUE(IFERROR(VLOOKUP($Y90, IMPORTRANGE(""https://docs.google.com/spreadsheets/d/1UdH2L0xi8dO6jyPCcO5e5-8j7SGzezxkeZuF1uP8uOw"",""fighter_param (""&amp;TO_TEXT($A$1)&amp;"")!B4:JZ""), 20, FALSE), """"))"),17.2)</f>
        <v>17.2</v>
      </c>
      <c r="U90" s="3735">
        <f t="shared" si="10"/>
        <v>12</v>
      </c>
      <c r="V90" s="3734">
        <f>IFERROR(__xludf.DUMMYFUNCTION("VALUE(IFERROR(VLOOKUP($Y90, IMPORTRANGE(""https://docs.google.com/spreadsheets/d/1UdH2L0xi8dO6jyPCcO5e5-8j7SGzezxkeZuF1uP8uOw"",""fighter_param (""&amp;TO_TEXT($A$1)&amp;"")!B4:JZ""), 21, FALSE), """"))"),40.0)</f>
        <v>40</v>
      </c>
      <c r="W90" s="3708">
        <f>Fighters!S90</f>
        <v>89</v>
      </c>
      <c r="X90" s="3709">
        <f>Fighters!T90</f>
        <v>79</v>
      </c>
      <c r="Y90" s="3739" t="str">
        <f>Fighters!V90</f>
        <v>trail</v>
      </c>
    </row>
  </sheetData>
  <conditionalFormatting sqref="D2:D90 F2:F90 H2:H90 J2:J90 L2:L90 N2:N90 P2:P90 R2:R90 T2:T90 V2:V90">
    <cfRule type="containsBlanks" dxfId="8" priority="1">
      <formula>LEN(TRIM(D2))=0</formula>
    </cfRule>
  </conditionalFormatting>
  <drawing r:id="rId1"/>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18.88"/>
    <col customWidth="1" min="3" max="21" width="8.0"/>
    <col customWidth="1" min="22" max="24" width="9.25"/>
  </cols>
  <sheetData>
    <row r="1">
      <c r="A1" s="3741"/>
      <c r="B1" s="3699"/>
      <c r="C1" s="3742" t="s">
        <v>7294</v>
      </c>
      <c r="D1" s="110"/>
      <c r="E1" s="110"/>
      <c r="F1" s="110"/>
      <c r="G1" s="3742" t="s">
        <v>7295</v>
      </c>
      <c r="H1" s="110"/>
      <c r="I1" s="110"/>
      <c r="J1" s="110"/>
      <c r="K1" s="3742" t="s">
        <v>7296</v>
      </c>
      <c r="L1" s="110"/>
      <c r="M1" s="110"/>
      <c r="N1" s="110"/>
      <c r="O1" s="3742" t="s">
        <v>7297</v>
      </c>
      <c r="P1" s="110"/>
      <c r="Q1" s="110"/>
      <c r="R1" s="110"/>
      <c r="S1" s="3743" t="s">
        <v>7298</v>
      </c>
      <c r="T1" s="110"/>
      <c r="U1" s="3744"/>
      <c r="V1" s="3745"/>
      <c r="W1" s="3745"/>
      <c r="X1" s="3746"/>
    </row>
    <row r="2">
      <c r="A2" s="3747" t="str">
        <f>Fighters!C$1</f>
        <v>13.0.1</v>
      </c>
      <c r="B2" s="3688" t="s">
        <v>7272</v>
      </c>
      <c r="C2" s="3748" t="s">
        <v>235</v>
      </c>
      <c r="D2" s="3749" t="s">
        <v>236</v>
      </c>
      <c r="E2" s="3749" t="s">
        <v>49</v>
      </c>
      <c r="F2" s="3749" t="s">
        <v>237</v>
      </c>
      <c r="G2" s="3748" t="s">
        <v>235</v>
      </c>
      <c r="H2" s="3749" t="s">
        <v>236</v>
      </c>
      <c r="I2" s="3749" t="s">
        <v>49</v>
      </c>
      <c r="J2" s="3749" t="s">
        <v>237</v>
      </c>
      <c r="K2" s="3748" t="s">
        <v>235</v>
      </c>
      <c r="L2" s="3749" t="s">
        <v>236</v>
      </c>
      <c r="M2" s="3749" t="s">
        <v>49</v>
      </c>
      <c r="N2" s="3749" t="s">
        <v>237</v>
      </c>
      <c r="O2" s="3748" t="s">
        <v>235</v>
      </c>
      <c r="P2" s="3749" t="s">
        <v>236</v>
      </c>
      <c r="Q2" s="3749" t="s">
        <v>49</v>
      </c>
      <c r="R2" s="3749" t="s">
        <v>237</v>
      </c>
      <c r="S2" s="3750" t="s">
        <v>235</v>
      </c>
      <c r="T2" s="3751" t="s">
        <v>236</v>
      </c>
      <c r="U2" s="3752" t="s">
        <v>49</v>
      </c>
      <c r="V2" s="3698" t="s">
        <v>6515</v>
      </c>
      <c r="W2" s="3698" t="s">
        <v>6516</v>
      </c>
      <c r="X2" s="3699" t="s">
        <v>6517</v>
      </c>
    </row>
    <row r="3">
      <c r="A3" s="3700">
        <f>Fighters!$A2</f>
        <v>1</v>
      </c>
      <c r="B3" s="3701" t="str">
        <f>Fighters!$B2</f>
        <v>マリオ</v>
      </c>
      <c r="C3" s="239" t="s">
        <v>799</v>
      </c>
      <c r="D3" s="239" t="s">
        <v>5521</v>
      </c>
      <c r="E3" s="239" t="s">
        <v>5733</v>
      </c>
      <c r="F3" s="239" t="str">
        <f t="shared" ref="F3:F80" si="1">INT(((LEFT(E3, 2) + 1) * (1 + 0.3)) - 0.01)&amp;" ("&amp;INT(((LEFT(E3, 2) - 5 + 1) * (1 + 0.3)) - 0.01)&amp;")"</f>
        <v>33 (27)</v>
      </c>
      <c r="G3" s="239" t="s">
        <v>5736</v>
      </c>
      <c r="H3" s="239" t="s">
        <v>2218</v>
      </c>
      <c r="I3" s="239" t="s">
        <v>99</v>
      </c>
      <c r="J3" s="239">
        <f t="shared" ref="J3:J80" si="2">INT(((I3 + 1) * (1 + 0.3)) - 0.01)</f>
        <v>38</v>
      </c>
      <c r="K3" s="239" t="s">
        <v>5737</v>
      </c>
      <c r="L3" s="239" t="s">
        <v>1886</v>
      </c>
      <c r="M3" s="239" t="s">
        <v>218</v>
      </c>
      <c r="N3" s="239" t="s">
        <v>455</v>
      </c>
      <c r="O3" s="239" t="s">
        <v>3250</v>
      </c>
      <c r="P3" s="239" t="s">
        <v>149</v>
      </c>
      <c r="Q3" s="239" t="s">
        <v>634</v>
      </c>
      <c r="R3" s="239"/>
      <c r="S3" s="239" t="s">
        <v>5738</v>
      </c>
      <c r="T3" s="239" t="s">
        <v>5739</v>
      </c>
      <c r="U3" s="239" t="s">
        <v>7299</v>
      </c>
      <c r="V3" s="3708">
        <f>Fighters!$S2</f>
        <v>1</v>
      </c>
      <c r="W3" s="3708">
        <f>Fighters!$T2</f>
        <v>0</v>
      </c>
      <c r="X3" s="3710" t="str">
        <f>Fighters!$V2</f>
        <v>mario</v>
      </c>
    </row>
    <row r="4">
      <c r="A4" s="3700">
        <f>Fighters!$A3</f>
        <v>2</v>
      </c>
      <c r="B4" s="3701" t="str">
        <f>Fighters!$B3</f>
        <v>ドンキーコング</v>
      </c>
      <c r="C4" s="239" t="s">
        <v>799</v>
      </c>
      <c r="D4" s="239" t="s">
        <v>5521</v>
      </c>
      <c r="E4" s="239" t="s">
        <v>7300</v>
      </c>
      <c r="F4" s="239" t="str">
        <f t="shared" si="1"/>
        <v>35 (28)</v>
      </c>
      <c r="G4" s="239" t="s">
        <v>5736</v>
      </c>
      <c r="H4" s="239" t="s">
        <v>2218</v>
      </c>
      <c r="I4" s="239" t="s">
        <v>164</v>
      </c>
      <c r="J4" s="239">
        <f t="shared" si="2"/>
        <v>40</v>
      </c>
      <c r="K4" s="239" t="s">
        <v>5737</v>
      </c>
      <c r="L4" s="239" t="s">
        <v>1886</v>
      </c>
      <c r="M4" s="239" t="s">
        <v>193</v>
      </c>
      <c r="N4" s="239" t="s">
        <v>892</v>
      </c>
      <c r="O4" s="239" t="s">
        <v>7301</v>
      </c>
      <c r="P4" s="239" t="s">
        <v>4832</v>
      </c>
      <c r="Q4" s="239" t="s">
        <v>541</v>
      </c>
      <c r="R4" s="239"/>
      <c r="S4" s="239" t="s">
        <v>1682</v>
      </c>
      <c r="T4" s="239" t="s">
        <v>1961</v>
      </c>
      <c r="U4" s="239" t="s">
        <v>7302</v>
      </c>
      <c r="V4" s="3708">
        <f>Fighters!$S3</f>
        <v>2</v>
      </c>
      <c r="W4" s="3708">
        <f>Fighters!$T3</f>
        <v>1</v>
      </c>
      <c r="X4" s="3710" t="str">
        <f>Fighters!$V3</f>
        <v>donkey</v>
      </c>
    </row>
    <row r="5">
      <c r="A5" s="3700">
        <f>Fighters!$A4</f>
        <v>3</v>
      </c>
      <c r="B5" s="3701" t="str">
        <f>Fighters!$B4</f>
        <v>リンク</v>
      </c>
      <c r="C5" s="239" t="s">
        <v>799</v>
      </c>
      <c r="D5" s="239" t="s">
        <v>5521</v>
      </c>
      <c r="E5" s="239" t="s">
        <v>7300</v>
      </c>
      <c r="F5" s="239" t="str">
        <f t="shared" si="1"/>
        <v>35 (28)</v>
      </c>
      <c r="G5" s="239" t="s">
        <v>5736</v>
      </c>
      <c r="H5" s="239" t="s">
        <v>2218</v>
      </c>
      <c r="I5" s="239" t="s">
        <v>164</v>
      </c>
      <c r="J5" s="239">
        <f t="shared" si="2"/>
        <v>40</v>
      </c>
      <c r="K5" s="239" t="s">
        <v>5737</v>
      </c>
      <c r="L5" s="239" t="s">
        <v>1886</v>
      </c>
      <c r="M5" s="239" t="s">
        <v>193</v>
      </c>
      <c r="N5" s="239" t="s">
        <v>892</v>
      </c>
      <c r="O5" s="239" t="s">
        <v>1324</v>
      </c>
      <c r="P5" s="239" t="s">
        <v>149</v>
      </c>
      <c r="Q5" s="239" t="s">
        <v>185</v>
      </c>
      <c r="R5" s="239"/>
      <c r="S5" s="239" t="s">
        <v>5738</v>
      </c>
      <c r="T5" s="239" t="s">
        <v>5739</v>
      </c>
      <c r="U5" s="239" t="s">
        <v>7303</v>
      </c>
      <c r="V5" s="3708">
        <f>Fighters!$S4</f>
        <v>3</v>
      </c>
      <c r="W5" s="3708">
        <f>Fighters!$T4</f>
        <v>2</v>
      </c>
      <c r="X5" s="3710" t="str">
        <f>Fighters!$V4</f>
        <v>link</v>
      </c>
    </row>
    <row r="6">
      <c r="A6" s="3700">
        <f>Fighters!$A5</f>
        <v>4</v>
      </c>
      <c r="B6" s="3701" t="str">
        <f>Fighters!$B5</f>
        <v>サムス</v>
      </c>
      <c r="C6" s="239" t="s">
        <v>799</v>
      </c>
      <c r="D6" s="239" t="s">
        <v>5521</v>
      </c>
      <c r="E6" s="239" t="s">
        <v>7300</v>
      </c>
      <c r="F6" s="239" t="str">
        <f t="shared" si="1"/>
        <v>35 (28)</v>
      </c>
      <c r="G6" s="239" t="s">
        <v>7304</v>
      </c>
      <c r="H6" s="239" t="s">
        <v>2389</v>
      </c>
      <c r="I6" s="239" t="s">
        <v>218</v>
      </c>
      <c r="J6" s="239">
        <f t="shared" si="2"/>
        <v>45</v>
      </c>
      <c r="K6" s="239" t="s">
        <v>5980</v>
      </c>
      <c r="L6" s="239" t="s">
        <v>321</v>
      </c>
      <c r="M6" s="239" t="s">
        <v>118</v>
      </c>
      <c r="N6" s="239" t="s">
        <v>462</v>
      </c>
      <c r="O6" s="239" t="s">
        <v>3250</v>
      </c>
      <c r="P6" s="239" t="s">
        <v>149</v>
      </c>
      <c r="Q6" s="239" t="s">
        <v>402</v>
      </c>
      <c r="R6" s="239"/>
      <c r="S6" s="239" t="s">
        <v>5738</v>
      </c>
      <c r="T6" s="239" t="s">
        <v>5739</v>
      </c>
      <c r="U6" s="239" t="s">
        <v>7305</v>
      </c>
      <c r="V6" s="3708">
        <f>Fighters!$S5</f>
        <v>4</v>
      </c>
      <c r="W6" s="3708">
        <f>Fighters!$T5</f>
        <v>3</v>
      </c>
      <c r="X6" s="3710" t="str">
        <f>Fighters!$V5</f>
        <v>samus</v>
      </c>
    </row>
    <row r="7">
      <c r="A7" s="3700" t="str">
        <f>Fighters!$A6</f>
        <v>4'</v>
      </c>
      <c r="B7" s="3701" t="str">
        <f>Fighters!$B6</f>
        <v>ダークサムス</v>
      </c>
      <c r="C7" s="239" t="s">
        <v>799</v>
      </c>
      <c r="D7" s="239" t="s">
        <v>5521</v>
      </c>
      <c r="E7" s="239" t="s">
        <v>7300</v>
      </c>
      <c r="F7" s="239" t="str">
        <f t="shared" si="1"/>
        <v>35 (28)</v>
      </c>
      <c r="G7" s="239" t="s">
        <v>7304</v>
      </c>
      <c r="H7" s="239" t="s">
        <v>2389</v>
      </c>
      <c r="I7" s="239" t="s">
        <v>271</v>
      </c>
      <c r="J7" s="239">
        <f t="shared" si="2"/>
        <v>41</v>
      </c>
      <c r="K7" s="239" t="s">
        <v>5980</v>
      </c>
      <c r="L7" s="239" t="s">
        <v>321</v>
      </c>
      <c r="M7" s="239" t="s">
        <v>224</v>
      </c>
      <c r="N7" s="239" t="s">
        <v>289</v>
      </c>
      <c r="O7" s="239" t="s">
        <v>3250</v>
      </c>
      <c r="P7" s="239" t="s">
        <v>149</v>
      </c>
      <c r="Q7" s="239" t="s">
        <v>402</v>
      </c>
      <c r="R7" s="239"/>
      <c r="S7" s="239" t="s">
        <v>5738</v>
      </c>
      <c r="T7" s="239" t="s">
        <v>5739</v>
      </c>
      <c r="U7" s="239" t="s">
        <v>7305</v>
      </c>
      <c r="V7" s="3708">
        <f>Fighters!$S6</f>
        <v>5</v>
      </c>
      <c r="W7" s="3708">
        <f>Fighters!$T6</f>
        <v>72</v>
      </c>
      <c r="X7" s="3710" t="str">
        <f>Fighters!$V6</f>
        <v>samusd</v>
      </c>
    </row>
    <row r="8">
      <c r="A8" s="3700">
        <f>Fighters!$A7</f>
        <v>5</v>
      </c>
      <c r="B8" s="3701" t="str">
        <f>Fighters!$B7</f>
        <v>ヨッシー</v>
      </c>
      <c r="C8" s="239" t="s">
        <v>799</v>
      </c>
      <c r="D8" s="239" t="s">
        <v>5521</v>
      </c>
      <c r="E8" s="239" t="s">
        <v>7300</v>
      </c>
      <c r="F8" s="239" t="str">
        <f t="shared" si="1"/>
        <v>35 (28)</v>
      </c>
      <c r="G8" s="239" t="s">
        <v>5736</v>
      </c>
      <c r="H8" s="239" t="s">
        <v>2218</v>
      </c>
      <c r="I8" s="239" t="s">
        <v>164</v>
      </c>
      <c r="J8" s="239">
        <f t="shared" si="2"/>
        <v>40</v>
      </c>
      <c r="K8" s="239" t="s">
        <v>5737</v>
      </c>
      <c r="L8" s="239" t="s">
        <v>1886</v>
      </c>
      <c r="M8" s="239" t="s">
        <v>193</v>
      </c>
      <c r="N8" s="239" t="s">
        <v>892</v>
      </c>
      <c r="O8" s="239" t="s">
        <v>1324</v>
      </c>
      <c r="P8" s="239" t="s">
        <v>149</v>
      </c>
      <c r="Q8" s="239" t="s">
        <v>810</v>
      </c>
      <c r="R8" s="239"/>
      <c r="S8" s="239" t="s">
        <v>5738</v>
      </c>
      <c r="T8" s="239" t="s">
        <v>5739</v>
      </c>
      <c r="U8" s="239" t="s">
        <v>7306</v>
      </c>
      <c r="V8" s="3708">
        <f>Fighters!$S7</f>
        <v>6</v>
      </c>
      <c r="W8" s="3708">
        <f>Fighters!$T7</f>
        <v>4</v>
      </c>
      <c r="X8" s="3710" t="str">
        <f>Fighters!$V7</f>
        <v>younglink</v>
      </c>
    </row>
    <row r="9">
      <c r="A9" s="3700">
        <f>Fighters!$A8</f>
        <v>6</v>
      </c>
      <c r="B9" s="3701" t="str">
        <f>Fighters!$B8</f>
        <v>カービィ</v>
      </c>
      <c r="C9" s="239" t="s">
        <v>799</v>
      </c>
      <c r="D9" s="239" t="s">
        <v>5521</v>
      </c>
      <c r="E9" s="239" t="s">
        <v>7300</v>
      </c>
      <c r="F9" s="239" t="str">
        <f t="shared" si="1"/>
        <v>35 (28)</v>
      </c>
      <c r="G9" s="239" t="s">
        <v>5736</v>
      </c>
      <c r="H9" s="239" t="s">
        <v>2218</v>
      </c>
      <c r="I9" s="239" t="s">
        <v>164</v>
      </c>
      <c r="J9" s="239">
        <f t="shared" si="2"/>
        <v>40</v>
      </c>
      <c r="K9" s="239" t="s">
        <v>5737</v>
      </c>
      <c r="L9" s="239" t="s">
        <v>1886</v>
      </c>
      <c r="M9" s="239" t="s">
        <v>193</v>
      </c>
      <c r="N9" s="239" t="s">
        <v>892</v>
      </c>
      <c r="O9" s="239" t="s">
        <v>3250</v>
      </c>
      <c r="P9" s="239" t="s">
        <v>149</v>
      </c>
      <c r="Q9" s="239" t="s">
        <v>335</v>
      </c>
      <c r="R9" s="239"/>
      <c r="S9" s="239" t="s">
        <v>5738</v>
      </c>
      <c r="T9" s="239" t="s">
        <v>5739</v>
      </c>
      <c r="U9" s="239" t="s">
        <v>7307</v>
      </c>
      <c r="V9" s="3708">
        <f>Fighters!$S8</f>
        <v>7</v>
      </c>
      <c r="W9" s="3708">
        <f>Fighters!$T8</f>
        <v>5</v>
      </c>
      <c r="X9" s="3710" t="str">
        <f>Fighters!$V8</f>
        <v>kirby</v>
      </c>
    </row>
    <row r="10">
      <c r="A10" s="3700">
        <f>Fighters!$A9</f>
        <v>7</v>
      </c>
      <c r="B10" s="3701" t="str">
        <f>Fighters!$B9</f>
        <v>フォックス</v>
      </c>
      <c r="C10" s="239" t="s">
        <v>4232</v>
      </c>
      <c r="D10" s="239" t="s">
        <v>7308</v>
      </c>
      <c r="E10" s="239" t="s">
        <v>7309</v>
      </c>
      <c r="F10" s="239" t="str">
        <f t="shared" si="1"/>
        <v>31 (24)</v>
      </c>
      <c r="G10" s="239" t="s">
        <v>2378</v>
      </c>
      <c r="H10" s="239" t="s">
        <v>410</v>
      </c>
      <c r="I10" s="239" t="s">
        <v>876</v>
      </c>
      <c r="J10" s="239">
        <f t="shared" si="2"/>
        <v>35</v>
      </c>
      <c r="K10" s="239" t="s">
        <v>7310</v>
      </c>
      <c r="L10" s="239" t="s">
        <v>741</v>
      </c>
      <c r="M10" s="239" t="s">
        <v>964</v>
      </c>
      <c r="N10" s="239" t="s">
        <v>541</v>
      </c>
      <c r="O10" s="239" t="s">
        <v>4828</v>
      </c>
      <c r="P10" s="239" t="s">
        <v>7311</v>
      </c>
      <c r="Q10" s="239" t="s">
        <v>282</v>
      </c>
      <c r="R10" s="239"/>
      <c r="S10" s="239" t="s">
        <v>2589</v>
      </c>
      <c r="T10" s="239" t="s">
        <v>1127</v>
      </c>
      <c r="U10" s="239" t="s">
        <v>7312</v>
      </c>
      <c r="V10" s="3708">
        <f>Fighters!$S9</f>
        <v>8</v>
      </c>
      <c r="W10" s="3708">
        <f>Fighters!$T9</f>
        <v>6</v>
      </c>
      <c r="X10" s="3710" t="str">
        <f>Fighters!$V9</f>
        <v>fox</v>
      </c>
    </row>
    <row r="11">
      <c r="A11" s="3700">
        <f>Fighters!$A10</f>
        <v>8</v>
      </c>
      <c r="B11" s="3701" t="str">
        <f>Fighters!$B10</f>
        <v>ピカチュウ</v>
      </c>
      <c r="C11" s="3416" t="s">
        <v>7313</v>
      </c>
      <c r="D11" s="239" t="s">
        <v>7314</v>
      </c>
      <c r="E11" s="239" t="s">
        <v>7315</v>
      </c>
      <c r="F11" s="239" t="str">
        <f t="shared" si="1"/>
        <v>32 (25)</v>
      </c>
      <c r="G11" s="239" t="s">
        <v>7310</v>
      </c>
      <c r="H11" s="239" t="s">
        <v>2218</v>
      </c>
      <c r="I11" s="239" t="s">
        <v>593</v>
      </c>
      <c r="J11" s="239">
        <f t="shared" si="2"/>
        <v>37</v>
      </c>
      <c r="K11" s="239" t="s">
        <v>5736</v>
      </c>
      <c r="L11" s="239" t="s">
        <v>741</v>
      </c>
      <c r="M11" s="239" t="s">
        <v>72</v>
      </c>
      <c r="N11" s="239" t="s">
        <v>413</v>
      </c>
      <c r="O11" s="239" t="s">
        <v>4828</v>
      </c>
      <c r="P11" s="239" t="s">
        <v>7311</v>
      </c>
      <c r="Q11" s="239" t="s">
        <v>413</v>
      </c>
      <c r="R11" s="239"/>
      <c r="S11" s="239" t="s">
        <v>2589</v>
      </c>
      <c r="T11" s="239" t="s">
        <v>1127</v>
      </c>
      <c r="U11" s="239" t="s">
        <v>7316</v>
      </c>
      <c r="V11" s="3708">
        <f>Fighters!$S10</f>
        <v>9</v>
      </c>
      <c r="W11" s="3708">
        <f>Fighters!$T10</f>
        <v>7</v>
      </c>
      <c r="X11" s="3710" t="str">
        <f>Fighters!$V10</f>
        <v>pikachu</v>
      </c>
    </row>
    <row r="12">
      <c r="A12" s="3700">
        <f>Fighters!$A11</f>
        <v>9</v>
      </c>
      <c r="B12" s="3701" t="str">
        <f>Fighters!$B11</f>
        <v>ルイージ</v>
      </c>
      <c r="C12" s="3416" t="s">
        <v>799</v>
      </c>
      <c r="D12" s="239" t="s">
        <v>5521</v>
      </c>
      <c r="E12" s="239" t="s">
        <v>5733</v>
      </c>
      <c r="F12" s="239" t="str">
        <f t="shared" si="1"/>
        <v>33 (27)</v>
      </c>
      <c r="G12" s="239" t="s">
        <v>5736</v>
      </c>
      <c r="H12" s="239" t="s">
        <v>2218</v>
      </c>
      <c r="I12" s="239" t="s">
        <v>99</v>
      </c>
      <c r="J12" s="239">
        <f t="shared" si="2"/>
        <v>38</v>
      </c>
      <c r="K12" s="239" t="s">
        <v>5737</v>
      </c>
      <c r="L12" s="239" t="s">
        <v>1886</v>
      </c>
      <c r="M12" s="239" t="s">
        <v>218</v>
      </c>
      <c r="N12" s="239" t="s">
        <v>455</v>
      </c>
      <c r="O12" s="239" t="s">
        <v>3250</v>
      </c>
      <c r="P12" s="239" t="s">
        <v>149</v>
      </c>
      <c r="Q12" s="239" t="s">
        <v>600</v>
      </c>
      <c r="R12" s="239"/>
      <c r="S12" s="239" t="s">
        <v>5738</v>
      </c>
      <c r="T12" s="239" t="s">
        <v>5739</v>
      </c>
      <c r="U12" s="239" t="s">
        <v>7317</v>
      </c>
      <c r="V12" s="3708">
        <f>Fighters!$S11</f>
        <v>10</v>
      </c>
      <c r="W12" s="3708">
        <f>Fighters!$T11</f>
        <v>8</v>
      </c>
      <c r="X12" s="3710" t="str">
        <f>Fighters!$V11</f>
        <v>luigi</v>
      </c>
    </row>
    <row r="13">
      <c r="A13" s="3700">
        <f>Fighters!$A12</f>
        <v>10</v>
      </c>
      <c r="B13" s="3701" t="str">
        <f>Fighters!$B12</f>
        <v>ネス</v>
      </c>
      <c r="C13" s="3416" t="s">
        <v>799</v>
      </c>
      <c r="D13" s="239" t="s">
        <v>5521</v>
      </c>
      <c r="E13" s="239" t="s">
        <v>5733</v>
      </c>
      <c r="F13" s="239" t="str">
        <f t="shared" si="1"/>
        <v>33 (27)</v>
      </c>
      <c r="G13" s="239" t="s">
        <v>5736</v>
      </c>
      <c r="H13" s="239" t="s">
        <v>2218</v>
      </c>
      <c r="I13" s="239" t="s">
        <v>99</v>
      </c>
      <c r="J13" s="239">
        <f t="shared" si="2"/>
        <v>38</v>
      </c>
      <c r="K13" s="239" t="s">
        <v>5737</v>
      </c>
      <c r="L13" s="239" t="s">
        <v>1886</v>
      </c>
      <c r="M13" s="239" t="s">
        <v>218</v>
      </c>
      <c r="N13" s="239" t="s">
        <v>455</v>
      </c>
      <c r="O13" s="239" t="s">
        <v>1324</v>
      </c>
      <c r="P13" s="239" t="s">
        <v>149</v>
      </c>
      <c r="Q13" s="239" t="s">
        <v>462</v>
      </c>
      <c r="R13" s="239"/>
      <c r="S13" s="239" t="s">
        <v>5738</v>
      </c>
      <c r="T13" s="239" t="s">
        <v>5739</v>
      </c>
      <c r="U13" s="239" t="s">
        <v>7318</v>
      </c>
      <c r="V13" s="3708">
        <f>Fighters!$S12</f>
        <v>11</v>
      </c>
      <c r="W13" s="3708">
        <f>Fighters!$T12</f>
        <v>9</v>
      </c>
      <c r="X13" s="3710" t="str">
        <f>Fighters!$V12</f>
        <v>ness</v>
      </c>
    </row>
    <row r="14">
      <c r="A14" s="3700">
        <f>Fighters!$A13</f>
        <v>11</v>
      </c>
      <c r="B14" s="3701" t="str">
        <f>Fighters!$B13</f>
        <v>キャプテン・ファルコン</v>
      </c>
      <c r="C14" s="3416" t="s">
        <v>799</v>
      </c>
      <c r="D14" s="239" t="s">
        <v>5521</v>
      </c>
      <c r="E14" s="239" t="s">
        <v>7300</v>
      </c>
      <c r="F14" s="239" t="str">
        <f t="shared" si="1"/>
        <v>35 (28)</v>
      </c>
      <c r="G14" s="239" t="s">
        <v>5736</v>
      </c>
      <c r="H14" s="239" t="s">
        <v>2218</v>
      </c>
      <c r="I14" s="239" t="s">
        <v>164</v>
      </c>
      <c r="J14" s="239">
        <f t="shared" si="2"/>
        <v>40</v>
      </c>
      <c r="K14" s="239" t="s">
        <v>5737</v>
      </c>
      <c r="L14" s="239" t="s">
        <v>1886</v>
      </c>
      <c r="M14" s="239" t="s">
        <v>193</v>
      </c>
      <c r="N14" s="239" t="s">
        <v>892</v>
      </c>
      <c r="O14" s="239" t="s">
        <v>1324</v>
      </c>
      <c r="P14" s="239" t="s">
        <v>149</v>
      </c>
      <c r="Q14" s="239" t="s">
        <v>221</v>
      </c>
      <c r="R14" s="239"/>
      <c r="S14" s="239" t="s">
        <v>5738</v>
      </c>
      <c r="T14" s="239" t="s">
        <v>5739</v>
      </c>
      <c r="U14" s="239" t="s">
        <v>7319</v>
      </c>
      <c r="V14" s="3708">
        <f>Fighters!$S13</f>
        <v>12</v>
      </c>
      <c r="W14" s="3708">
        <f>Fighters!$T13</f>
        <v>10</v>
      </c>
      <c r="X14" s="3710" t="str">
        <f>Fighters!$V13</f>
        <v>captain</v>
      </c>
    </row>
    <row r="15">
      <c r="A15" s="3700">
        <f>Fighters!$A14</f>
        <v>12</v>
      </c>
      <c r="B15" s="3701" t="str">
        <f>Fighters!$B14</f>
        <v>プリン</v>
      </c>
      <c r="C15" s="3416" t="s">
        <v>799</v>
      </c>
      <c r="D15" s="239" t="s">
        <v>5521</v>
      </c>
      <c r="E15" s="239" t="s">
        <v>7300</v>
      </c>
      <c r="F15" s="239" t="str">
        <f t="shared" si="1"/>
        <v>35 (28)</v>
      </c>
      <c r="G15" s="239" t="s">
        <v>5736</v>
      </c>
      <c r="H15" s="239" t="s">
        <v>2218</v>
      </c>
      <c r="I15" s="239" t="s">
        <v>164</v>
      </c>
      <c r="J15" s="239">
        <f t="shared" si="2"/>
        <v>40</v>
      </c>
      <c r="K15" s="239" t="s">
        <v>5737</v>
      </c>
      <c r="L15" s="239" t="s">
        <v>1886</v>
      </c>
      <c r="M15" s="239" t="s">
        <v>193</v>
      </c>
      <c r="N15" s="239" t="s">
        <v>892</v>
      </c>
      <c r="O15" s="239" t="s">
        <v>7301</v>
      </c>
      <c r="P15" s="239" t="s">
        <v>4832</v>
      </c>
      <c r="Q15" s="365" t="s">
        <v>748</v>
      </c>
      <c r="R15" s="239"/>
      <c r="S15" s="239" t="s">
        <v>1682</v>
      </c>
      <c r="T15" s="239" t="s">
        <v>1961</v>
      </c>
      <c r="U15" s="365" t="s">
        <v>7320</v>
      </c>
      <c r="V15" s="3708">
        <f>Fighters!$S14</f>
        <v>13</v>
      </c>
      <c r="W15" s="3708">
        <f>Fighters!$T14</f>
        <v>11</v>
      </c>
      <c r="X15" s="3710" t="str">
        <f>Fighters!$V14</f>
        <v>purin</v>
      </c>
    </row>
    <row r="16">
      <c r="A16" s="3700">
        <f>Fighters!$A15</f>
        <v>13</v>
      </c>
      <c r="B16" s="3701" t="str">
        <f>Fighters!$B15</f>
        <v>ピーチ</v>
      </c>
      <c r="C16" s="3416" t="s">
        <v>799</v>
      </c>
      <c r="D16" s="239" t="s">
        <v>5521</v>
      </c>
      <c r="E16" s="239" t="s">
        <v>7300</v>
      </c>
      <c r="F16" s="239" t="str">
        <f t="shared" si="1"/>
        <v>35 (28)</v>
      </c>
      <c r="G16" s="239" t="s">
        <v>5736</v>
      </c>
      <c r="H16" s="239" t="s">
        <v>2218</v>
      </c>
      <c r="I16" s="239" t="s">
        <v>164</v>
      </c>
      <c r="J16" s="239">
        <f t="shared" si="2"/>
        <v>40</v>
      </c>
      <c r="K16" s="239" t="s">
        <v>5737</v>
      </c>
      <c r="L16" s="239" t="s">
        <v>1886</v>
      </c>
      <c r="M16" s="239" t="s">
        <v>193</v>
      </c>
      <c r="N16" s="239" t="s">
        <v>892</v>
      </c>
      <c r="O16" s="239" t="s">
        <v>1324</v>
      </c>
      <c r="P16" s="239" t="s">
        <v>149</v>
      </c>
      <c r="Q16" s="239" t="s">
        <v>601</v>
      </c>
      <c r="R16" s="239"/>
      <c r="S16" s="239" t="s">
        <v>5738</v>
      </c>
      <c r="T16" s="239" t="s">
        <v>5739</v>
      </c>
      <c r="U16" s="239" t="s">
        <v>7321</v>
      </c>
      <c r="V16" s="3708">
        <f>Fighters!$S15</f>
        <v>14</v>
      </c>
      <c r="W16" s="3708">
        <f>Fighters!$T15</f>
        <v>12</v>
      </c>
      <c r="X16" s="3710" t="str">
        <f>Fighters!$V15</f>
        <v>peach</v>
      </c>
    </row>
    <row r="17">
      <c r="A17" s="3700" t="str">
        <f>Fighters!$A16</f>
        <v>13'</v>
      </c>
      <c r="B17" s="3701" t="str">
        <f>Fighters!$B16</f>
        <v>デイジー</v>
      </c>
      <c r="C17" s="3416" t="s">
        <v>799</v>
      </c>
      <c r="D17" s="239" t="s">
        <v>5521</v>
      </c>
      <c r="E17" s="239" t="s">
        <v>7300</v>
      </c>
      <c r="F17" s="239" t="str">
        <f t="shared" si="1"/>
        <v>35 (28)</v>
      </c>
      <c r="G17" s="239" t="s">
        <v>5736</v>
      </c>
      <c r="H17" s="239" t="s">
        <v>2218</v>
      </c>
      <c r="I17" s="239" t="s">
        <v>164</v>
      </c>
      <c r="J17" s="239">
        <f t="shared" si="2"/>
        <v>40</v>
      </c>
      <c r="K17" s="239" t="s">
        <v>5737</v>
      </c>
      <c r="L17" s="239" t="s">
        <v>1886</v>
      </c>
      <c r="M17" s="239" t="s">
        <v>193</v>
      </c>
      <c r="N17" s="239" t="s">
        <v>892</v>
      </c>
      <c r="O17" s="239" t="s">
        <v>1324</v>
      </c>
      <c r="P17" s="239" t="s">
        <v>149</v>
      </c>
      <c r="Q17" s="239" t="s">
        <v>601</v>
      </c>
      <c r="R17" s="239"/>
      <c r="S17" s="239" t="s">
        <v>5738</v>
      </c>
      <c r="T17" s="239" t="s">
        <v>5739</v>
      </c>
      <c r="U17" s="239" t="s">
        <v>7321</v>
      </c>
      <c r="V17" s="3708">
        <f>Fighters!$S16</f>
        <v>15</v>
      </c>
      <c r="W17" s="3708">
        <f>Fighters!$T16</f>
        <v>73</v>
      </c>
      <c r="X17" s="3710" t="str">
        <f>Fighters!$V16</f>
        <v>daisy</v>
      </c>
    </row>
    <row r="18">
      <c r="A18" s="3700">
        <f>Fighters!$A17</f>
        <v>14</v>
      </c>
      <c r="B18" s="3701" t="str">
        <f>Fighters!$B17</f>
        <v>クッパ</v>
      </c>
      <c r="C18" s="3416" t="s">
        <v>5971</v>
      </c>
      <c r="D18" s="239" t="s">
        <v>160</v>
      </c>
      <c r="E18" s="239" t="s">
        <v>7322</v>
      </c>
      <c r="F18" s="239" t="str">
        <f t="shared" si="1"/>
        <v>37 (31)</v>
      </c>
      <c r="G18" s="239" t="s">
        <v>7323</v>
      </c>
      <c r="H18" s="239" t="s">
        <v>588</v>
      </c>
      <c r="I18" s="239" t="s">
        <v>964</v>
      </c>
      <c r="J18" s="239">
        <f t="shared" si="2"/>
        <v>42</v>
      </c>
      <c r="K18" s="239" t="s">
        <v>7324</v>
      </c>
      <c r="L18" s="239" t="s">
        <v>5746</v>
      </c>
      <c r="M18" s="239" t="s">
        <v>79</v>
      </c>
      <c r="N18" s="239" t="s">
        <v>402</v>
      </c>
      <c r="O18" s="239" t="s">
        <v>7301</v>
      </c>
      <c r="P18" s="239" t="s">
        <v>4832</v>
      </c>
      <c r="Q18" s="239" t="s">
        <v>374</v>
      </c>
      <c r="R18" s="239"/>
      <c r="S18" s="239" t="s">
        <v>1682</v>
      </c>
      <c r="T18" s="239" t="s">
        <v>1961</v>
      </c>
      <c r="U18" s="239" t="s">
        <v>7325</v>
      </c>
      <c r="V18" s="3708">
        <f>Fighters!$S17</f>
        <v>16</v>
      </c>
      <c r="W18" s="3708">
        <f>Fighters!$T17</f>
        <v>13</v>
      </c>
      <c r="X18" s="3710" t="str">
        <f>Fighters!$V17</f>
        <v>koopa</v>
      </c>
    </row>
    <row r="19">
      <c r="A19" s="3700">
        <f>Fighters!$A18</f>
        <v>15</v>
      </c>
      <c r="B19" s="3701" t="str">
        <f>Fighters!$B18</f>
        <v>アイスクライマー</v>
      </c>
      <c r="C19" s="3416" t="s">
        <v>799</v>
      </c>
      <c r="D19" s="239" t="s">
        <v>5521</v>
      </c>
      <c r="E19" s="239" t="s">
        <v>5733</v>
      </c>
      <c r="F19" s="239" t="str">
        <f t="shared" si="1"/>
        <v>33 (27)</v>
      </c>
      <c r="G19" s="239" t="s">
        <v>5736</v>
      </c>
      <c r="H19" s="239" t="s">
        <v>2218</v>
      </c>
      <c r="I19" s="239" t="s">
        <v>99</v>
      </c>
      <c r="J19" s="239">
        <f t="shared" si="2"/>
        <v>38</v>
      </c>
      <c r="K19" s="239" t="s">
        <v>5737</v>
      </c>
      <c r="L19" s="239" t="s">
        <v>1886</v>
      </c>
      <c r="M19" s="239" t="s">
        <v>218</v>
      </c>
      <c r="N19" s="239" t="s">
        <v>455</v>
      </c>
      <c r="O19" s="239" t="s">
        <v>7326</v>
      </c>
      <c r="P19" s="239" t="s">
        <v>7327</v>
      </c>
      <c r="Q19" s="239" t="s">
        <v>810</v>
      </c>
      <c r="R19" s="239"/>
      <c r="S19" s="239" t="s">
        <v>5738</v>
      </c>
      <c r="T19" s="239" t="s">
        <v>5739</v>
      </c>
      <c r="U19" s="239" t="s">
        <v>7328</v>
      </c>
      <c r="V19" s="3708">
        <f>Fighters!$S18</f>
        <v>17</v>
      </c>
      <c r="W19" s="3708">
        <f>Fighters!$T18</f>
        <v>14</v>
      </c>
      <c r="X19" s="3710" t="str">
        <f>Fighters!$V18</f>
        <v>popo</v>
      </c>
    </row>
    <row r="20">
      <c r="A20" s="3700">
        <f>Fighters!$A19</f>
        <v>16</v>
      </c>
      <c r="B20" s="3701" t="str">
        <f>Fighters!$B19</f>
        <v>シーク</v>
      </c>
      <c r="C20" s="3416" t="s">
        <v>4232</v>
      </c>
      <c r="D20" s="239" t="s">
        <v>7308</v>
      </c>
      <c r="E20" s="239" t="s">
        <v>7309</v>
      </c>
      <c r="F20" s="239" t="str">
        <f t="shared" si="1"/>
        <v>31 (24)</v>
      </c>
      <c r="G20" s="239" t="s">
        <v>2378</v>
      </c>
      <c r="H20" s="239" t="s">
        <v>410</v>
      </c>
      <c r="I20" s="239" t="s">
        <v>876</v>
      </c>
      <c r="J20" s="239">
        <f t="shared" si="2"/>
        <v>35</v>
      </c>
      <c r="K20" s="239" t="s">
        <v>7310</v>
      </c>
      <c r="L20" s="239" t="s">
        <v>741</v>
      </c>
      <c r="M20" s="239" t="s">
        <v>964</v>
      </c>
      <c r="N20" s="239" t="s">
        <v>541</v>
      </c>
      <c r="O20" s="239" t="s">
        <v>4828</v>
      </c>
      <c r="P20" s="239" t="s">
        <v>7311</v>
      </c>
      <c r="Q20" s="239" t="s">
        <v>393</v>
      </c>
      <c r="R20" s="239"/>
      <c r="S20" s="239" t="s">
        <v>2589</v>
      </c>
      <c r="T20" s="239" t="s">
        <v>1127</v>
      </c>
      <c r="U20" s="239" t="s">
        <v>7329</v>
      </c>
      <c r="V20" s="3708">
        <f>Fighters!$S19</f>
        <v>18</v>
      </c>
      <c r="W20" s="3708">
        <f>Fighters!$T19</f>
        <v>16</v>
      </c>
      <c r="X20" s="3710" t="str">
        <f>Fighters!$V19</f>
        <v>sheik</v>
      </c>
    </row>
    <row r="21">
      <c r="A21" s="3700">
        <f>Fighters!$A20</f>
        <v>17</v>
      </c>
      <c r="B21" s="3701" t="str">
        <f>Fighters!$B20</f>
        <v>ゼルダ</v>
      </c>
      <c r="C21" s="3416" t="s">
        <v>799</v>
      </c>
      <c r="D21" s="239" t="s">
        <v>5521</v>
      </c>
      <c r="E21" s="239" t="s">
        <v>7300</v>
      </c>
      <c r="F21" s="239" t="str">
        <f t="shared" si="1"/>
        <v>35 (28)</v>
      </c>
      <c r="G21" s="239" t="s">
        <v>5736</v>
      </c>
      <c r="H21" s="239" t="s">
        <v>2218</v>
      </c>
      <c r="I21" s="239" t="s">
        <v>164</v>
      </c>
      <c r="J21" s="239">
        <f t="shared" si="2"/>
        <v>40</v>
      </c>
      <c r="K21" s="239" t="s">
        <v>5737</v>
      </c>
      <c r="L21" s="239" t="s">
        <v>1886</v>
      </c>
      <c r="M21" s="239" t="s">
        <v>193</v>
      </c>
      <c r="N21" s="239" t="s">
        <v>892</v>
      </c>
      <c r="O21" s="239" t="s">
        <v>1324</v>
      </c>
      <c r="P21" s="239" t="s">
        <v>149</v>
      </c>
      <c r="Q21" s="239" t="s">
        <v>402</v>
      </c>
      <c r="R21" s="239"/>
      <c r="S21" s="239" t="s">
        <v>5738</v>
      </c>
      <c r="T21" s="239" t="s">
        <v>5739</v>
      </c>
      <c r="U21" s="239" t="s">
        <v>7330</v>
      </c>
      <c r="V21" s="3708">
        <f>Fighters!$S20</f>
        <v>19</v>
      </c>
      <c r="W21" s="3708">
        <f>Fighters!$T20</f>
        <v>17</v>
      </c>
      <c r="X21" s="3710" t="str">
        <f>Fighters!$V20</f>
        <v>zelda</v>
      </c>
    </row>
    <row r="22">
      <c r="A22" s="3700">
        <f>Fighters!$A21</f>
        <v>18</v>
      </c>
      <c r="B22" s="3701" t="str">
        <f>Fighters!$B21</f>
        <v>ドクターマリオ</v>
      </c>
      <c r="C22" s="3416" t="s">
        <v>799</v>
      </c>
      <c r="D22" s="239" t="s">
        <v>5521</v>
      </c>
      <c r="E22" s="239" t="s">
        <v>5733</v>
      </c>
      <c r="F22" s="239" t="str">
        <f t="shared" si="1"/>
        <v>33 (27)</v>
      </c>
      <c r="G22" s="239" t="s">
        <v>5736</v>
      </c>
      <c r="H22" s="239" t="s">
        <v>2218</v>
      </c>
      <c r="I22" s="239" t="s">
        <v>99</v>
      </c>
      <c r="J22" s="239">
        <f t="shared" si="2"/>
        <v>38</v>
      </c>
      <c r="K22" s="239" t="s">
        <v>5737</v>
      </c>
      <c r="L22" s="239" t="s">
        <v>1886</v>
      </c>
      <c r="M22" s="239" t="s">
        <v>218</v>
      </c>
      <c r="N22" s="239" t="s">
        <v>455</v>
      </c>
      <c r="O22" s="239" t="s">
        <v>3250</v>
      </c>
      <c r="P22" s="239" t="s">
        <v>149</v>
      </c>
      <c r="Q22" s="239" t="s">
        <v>634</v>
      </c>
      <c r="R22" s="239"/>
      <c r="S22" s="239" t="s">
        <v>5738</v>
      </c>
      <c r="T22" s="239" t="s">
        <v>5739</v>
      </c>
      <c r="U22" s="239" t="s">
        <v>7299</v>
      </c>
      <c r="V22" s="3708">
        <f>Fighters!$S21</f>
        <v>20</v>
      </c>
      <c r="W22" s="3708">
        <f>Fighters!$T21</f>
        <v>18</v>
      </c>
      <c r="X22" s="3710" t="str">
        <f>Fighters!$V21</f>
        <v>mariod</v>
      </c>
    </row>
    <row r="23">
      <c r="A23" s="3700">
        <f>Fighters!$A22</f>
        <v>19</v>
      </c>
      <c r="B23" s="3701" t="str">
        <f>Fighters!$B22</f>
        <v>ピチュー</v>
      </c>
      <c r="C23" s="3416" t="s">
        <v>7313</v>
      </c>
      <c r="D23" s="239" t="s">
        <v>7314</v>
      </c>
      <c r="E23" s="239" t="s">
        <v>7315</v>
      </c>
      <c r="F23" s="239" t="str">
        <f t="shared" si="1"/>
        <v>32 (25)</v>
      </c>
      <c r="G23" s="239" t="s">
        <v>7310</v>
      </c>
      <c r="H23" s="239" t="s">
        <v>2218</v>
      </c>
      <c r="I23" s="239" t="s">
        <v>593</v>
      </c>
      <c r="J23" s="239">
        <f t="shared" si="2"/>
        <v>37</v>
      </c>
      <c r="K23" s="239" t="s">
        <v>5736</v>
      </c>
      <c r="L23" s="239" t="s">
        <v>741</v>
      </c>
      <c r="M23" s="239" t="s">
        <v>72</v>
      </c>
      <c r="N23" s="239" t="s">
        <v>413</v>
      </c>
      <c r="O23" s="239" t="s">
        <v>4828</v>
      </c>
      <c r="P23" s="239" t="s">
        <v>7311</v>
      </c>
      <c r="Q23" s="239" t="s">
        <v>221</v>
      </c>
      <c r="R23" s="239"/>
      <c r="S23" s="239" t="s">
        <v>2589</v>
      </c>
      <c r="T23" s="239" t="s">
        <v>1127</v>
      </c>
      <c r="U23" s="239" t="s">
        <v>7331</v>
      </c>
      <c r="V23" s="3708">
        <f>Fighters!$S22</f>
        <v>21</v>
      </c>
      <c r="W23" s="3708">
        <f>Fighters!$T22</f>
        <v>19</v>
      </c>
      <c r="X23" s="3710" t="str">
        <f>Fighters!$V22</f>
        <v>pichu</v>
      </c>
    </row>
    <row r="24">
      <c r="A24" s="3700">
        <f>Fighters!$A23</f>
        <v>20</v>
      </c>
      <c r="B24" s="3701" t="str">
        <f>Fighters!$B23</f>
        <v>ファルコ</v>
      </c>
      <c r="C24" s="3416" t="s">
        <v>799</v>
      </c>
      <c r="D24" s="239" t="s">
        <v>5521</v>
      </c>
      <c r="E24" s="239" t="s">
        <v>5733</v>
      </c>
      <c r="F24" s="239" t="str">
        <f t="shared" si="1"/>
        <v>33 (27)</v>
      </c>
      <c r="G24" s="239" t="s">
        <v>5736</v>
      </c>
      <c r="H24" s="239" t="s">
        <v>2218</v>
      </c>
      <c r="I24" s="239" t="s">
        <v>99</v>
      </c>
      <c r="J24" s="239">
        <f t="shared" si="2"/>
        <v>38</v>
      </c>
      <c r="K24" s="239" t="s">
        <v>5737</v>
      </c>
      <c r="L24" s="239" t="s">
        <v>1886</v>
      </c>
      <c r="M24" s="239" t="s">
        <v>218</v>
      </c>
      <c r="N24" s="239" t="s">
        <v>455</v>
      </c>
      <c r="O24" s="239" t="s">
        <v>3058</v>
      </c>
      <c r="P24" s="239" t="s">
        <v>1056</v>
      </c>
      <c r="Q24" s="239" t="s">
        <v>127</v>
      </c>
      <c r="R24" s="239"/>
      <c r="S24" s="239" t="s">
        <v>976</v>
      </c>
      <c r="T24" s="239" t="s">
        <v>7332</v>
      </c>
      <c r="U24" s="239" t="s">
        <v>7333</v>
      </c>
      <c r="V24" s="3708">
        <f>Fighters!$S23</f>
        <v>22</v>
      </c>
      <c r="W24" s="3708">
        <f>Fighters!$T23</f>
        <v>20</v>
      </c>
      <c r="X24" s="3710" t="str">
        <f>Fighters!$V23</f>
        <v>falco</v>
      </c>
    </row>
    <row r="25">
      <c r="A25" s="3700">
        <f>Fighters!$A24</f>
        <v>21</v>
      </c>
      <c r="B25" s="3701" t="str">
        <f>Fighters!$B24</f>
        <v>マルス</v>
      </c>
      <c r="C25" s="3416" t="s">
        <v>799</v>
      </c>
      <c r="D25" s="239" t="s">
        <v>5521</v>
      </c>
      <c r="E25" s="239" t="s">
        <v>5733</v>
      </c>
      <c r="F25" s="239" t="str">
        <f t="shared" si="1"/>
        <v>33 (27)</v>
      </c>
      <c r="G25" s="239" t="s">
        <v>5736</v>
      </c>
      <c r="H25" s="239" t="s">
        <v>2218</v>
      </c>
      <c r="I25" s="239" t="s">
        <v>99</v>
      </c>
      <c r="J25" s="239">
        <f t="shared" si="2"/>
        <v>38</v>
      </c>
      <c r="K25" s="239" t="s">
        <v>5737</v>
      </c>
      <c r="L25" s="239" t="s">
        <v>1886</v>
      </c>
      <c r="M25" s="239" t="s">
        <v>218</v>
      </c>
      <c r="N25" s="239" t="s">
        <v>455</v>
      </c>
      <c r="O25" s="239" t="s">
        <v>3250</v>
      </c>
      <c r="P25" s="239" t="s">
        <v>149</v>
      </c>
      <c r="Q25" s="239" t="s">
        <v>634</v>
      </c>
      <c r="R25" s="239"/>
      <c r="S25" s="239" t="s">
        <v>5738</v>
      </c>
      <c r="T25" s="239" t="s">
        <v>5739</v>
      </c>
      <c r="U25" s="239" t="s">
        <v>7334</v>
      </c>
      <c r="V25" s="3708">
        <f>Fighters!$S24</f>
        <v>23</v>
      </c>
      <c r="W25" s="3708">
        <f>Fighters!$T24</f>
        <v>21</v>
      </c>
      <c r="X25" s="3710" t="str">
        <f>Fighters!$V24</f>
        <v>marth</v>
      </c>
    </row>
    <row r="26">
      <c r="A26" s="3700" t="str">
        <f>Fighters!$A25</f>
        <v>21'</v>
      </c>
      <c r="B26" s="3701" t="str">
        <f>Fighters!$B25</f>
        <v>ルキナ</v>
      </c>
      <c r="C26" s="3416" t="s">
        <v>799</v>
      </c>
      <c r="D26" s="239" t="s">
        <v>5521</v>
      </c>
      <c r="E26" s="239" t="s">
        <v>5733</v>
      </c>
      <c r="F26" s="239" t="str">
        <f t="shared" si="1"/>
        <v>33 (27)</v>
      </c>
      <c r="G26" s="239" t="s">
        <v>5736</v>
      </c>
      <c r="H26" s="239" t="s">
        <v>2218</v>
      </c>
      <c r="I26" s="239" t="s">
        <v>99</v>
      </c>
      <c r="J26" s="239">
        <f t="shared" si="2"/>
        <v>38</v>
      </c>
      <c r="K26" s="239" t="s">
        <v>5737</v>
      </c>
      <c r="L26" s="239" t="s">
        <v>1886</v>
      </c>
      <c r="M26" s="239" t="s">
        <v>218</v>
      </c>
      <c r="N26" s="239" t="s">
        <v>455</v>
      </c>
      <c r="O26" s="239" t="s">
        <v>3250</v>
      </c>
      <c r="P26" s="239" t="s">
        <v>149</v>
      </c>
      <c r="Q26" s="239" t="s">
        <v>634</v>
      </c>
      <c r="R26" s="239"/>
      <c r="S26" s="239" t="s">
        <v>5738</v>
      </c>
      <c r="T26" s="239" t="s">
        <v>5739</v>
      </c>
      <c r="U26" s="239" t="s">
        <v>7334</v>
      </c>
      <c r="V26" s="3708">
        <f>Fighters!$S25</f>
        <v>24</v>
      </c>
      <c r="W26" s="3708">
        <f>Fighters!$T25</f>
        <v>74</v>
      </c>
      <c r="X26" s="3710" t="str">
        <f>Fighters!$V25</f>
        <v>lucina</v>
      </c>
    </row>
    <row r="27">
      <c r="A27" s="3700">
        <f>Fighters!$A26</f>
        <v>22</v>
      </c>
      <c r="B27" s="3701" t="str">
        <f>Fighters!$B26</f>
        <v>こどもリンク</v>
      </c>
      <c r="C27" s="3416" t="s">
        <v>7313</v>
      </c>
      <c r="D27" s="239" t="s">
        <v>7314</v>
      </c>
      <c r="E27" s="239" t="s">
        <v>7315</v>
      </c>
      <c r="F27" s="239" t="str">
        <f t="shared" si="1"/>
        <v>32 (25)</v>
      </c>
      <c r="G27" s="239" t="s">
        <v>7310</v>
      </c>
      <c r="H27" s="239" t="s">
        <v>2218</v>
      </c>
      <c r="I27" s="239" t="s">
        <v>593</v>
      </c>
      <c r="J27" s="239">
        <f t="shared" si="2"/>
        <v>37</v>
      </c>
      <c r="K27" s="239" t="s">
        <v>5736</v>
      </c>
      <c r="L27" s="239" t="s">
        <v>741</v>
      </c>
      <c r="M27" s="239" t="s">
        <v>72</v>
      </c>
      <c r="N27" s="239" t="s">
        <v>413</v>
      </c>
      <c r="O27" s="239" t="s">
        <v>4828</v>
      </c>
      <c r="P27" s="239" t="s">
        <v>7311</v>
      </c>
      <c r="Q27" s="239" t="s">
        <v>146</v>
      </c>
      <c r="R27" s="239"/>
      <c r="S27" s="239" t="s">
        <v>2589</v>
      </c>
      <c r="T27" s="239" t="s">
        <v>1127</v>
      </c>
      <c r="U27" s="239" t="s">
        <v>7335</v>
      </c>
      <c r="V27" s="3708">
        <f>Fighters!$S26</f>
        <v>25</v>
      </c>
      <c r="W27" s="3708">
        <f>Fighters!$T26</f>
        <v>22</v>
      </c>
      <c r="X27" s="3710" t="str">
        <f>Fighters!$V26</f>
        <v>yoshi</v>
      </c>
    </row>
    <row r="28">
      <c r="A28" s="3700">
        <f>Fighters!$A27</f>
        <v>23</v>
      </c>
      <c r="B28" s="3701" t="str">
        <f>Fighters!$B27</f>
        <v>ガノンドロフ</v>
      </c>
      <c r="C28" s="3416" t="s">
        <v>5971</v>
      </c>
      <c r="D28" s="239" t="s">
        <v>160</v>
      </c>
      <c r="E28" s="239" t="s">
        <v>7322</v>
      </c>
      <c r="F28" s="239" t="str">
        <f t="shared" si="1"/>
        <v>37 (31)</v>
      </c>
      <c r="G28" s="239" t="s">
        <v>7323</v>
      </c>
      <c r="H28" s="239" t="s">
        <v>588</v>
      </c>
      <c r="I28" s="239" t="s">
        <v>964</v>
      </c>
      <c r="J28" s="239">
        <f t="shared" si="2"/>
        <v>42</v>
      </c>
      <c r="K28" s="239" t="s">
        <v>7324</v>
      </c>
      <c r="L28" s="239" t="s">
        <v>5746</v>
      </c>
      <c r="M28" s="239" t="s">
        <v>79</v>
      </c>
      <c r="N28" s="239" t="s">
        <v>402</v>
      </c>
      <c r="O28" s="239" t="s">
        <v>7301</v>
      </c>
      <c r="P28" s="239" t="s">
        <v>4832</v>
      </c>
      <c r="Q28" s="239" t="s">
        <v>374</v>
      </c>
      <c r="R28" s="239"/>
      <c r="S28" s="239" t="s">
        <v>1682</v>
      </c>
      <c r="T28" s="239" t="s">
        <v>1961</v>
      </c>
      <c r="U28" s="239" t="s">
        <v>7336</v>
      </c>
      <c r="V28" s="3708">
        <f>Fighters!$S27</f>
        <v>26</v>
      </c>
      <c r="W28" s="3708">
        <f>Fighters!$T27</f>
        <v>23</v>
      </c>
      <c r="X28" s="3710" t="str">
        <f>Fighters!$V27</f>
        <v>ganon</v>
      </c>
    </row>
    <row r="29">
      <c r="A29" s="3700">
        <f>Fighters!$A28</f>
        <v>24</v>
      </c>
      <c r="B29" s="3701" t="str">
        <f>Fighters!$B28</f>
        <v>ミュウツー</v>
      </c>
      <c r="C29" s="3416" t="s">
        <v>799</v>
      </c>
      <c r="D29" s="239" t="s">
        <v>5521</v>
      </c>
      <c r="E29" s="239" t="s">
        <v>5733</v>
      </c>
      <c r="F29" s="239" t="str">
        <f t="shared" si="1"/>
        <v>33 (27)</v>
      </c>
      <c r="G29" s="239" t="s">
        <v>5736</v>
      </c>
      <c r="H29" s="239" t="s">
        <v>2218</v>
      </c>
      <c r="I29" s="239" t="s">
        <v>99</v>
      </c>
      <c r="J29" s="239">
        <f t="shared" si="2"/>
        <v>38</v>
      </c>
      <c r="K29" s="239" t="s">
        <v>5737</v>
      </c>
      <c r="L29" s="239" t="s">
        <v>1886</v>
      </c>
      <c r="M29" s="239" t="s">
        <v>218</v>
      </c>
      <c r="N29" s="239" t="s">
        <v>455</v>
      </c>
      <c r="O29" s="239" t="s">
        <v>3248</v>
      </c>
      <c r="P29" s="239" t="s">
        <v>7337</v>
      </c>
      <c r="Q29" s="239" t="s">
        <v>455</v>
      </c>
      <c r="R29" s="239"/>
      <c r="S29" s="239" t="s">
        <v>5738</v>
      </c>
      <c r="T29" s="239" t="s">
        <v>5739</v>
      </c>
      <c r="U29" s="239" t="s">
        <v>7338</v>
      </c>
      <c r="V29" s="3708">
        <f>Fighters!$S28</f>
        <v>27</v>
      </c>
      <c r="W29" s="3708">
        <f>Fighters!$T28</f>
        <v>24</v>
      </c>
      <c r="X29" s="3710" t="str">
        <f>Fighters!$V28</f>
        <v>mewtwo</v>
      </c>
    </row>
    <row r="30">
      <c r="A30" s="3700">
        <f>Fighters!$A29</f>
        <v>25</v>
      </c>
      <c r="B30" s="3701" t="str">
        <f>Fighters!$B29</f>
        <v>ロイ</v>
      </c>
      <c r="C30" s="3416" t="s">
        <v>799</v>
      </c>
      <c r="D30" s="239" t="s">
        <v>5521</v>
      </c>
      <c r="E30" s="239" t="s">
        <v>5733</v>
      </c>
      <c r="F30" s="239" t="str">
        <f t="shared" si="1"/>
        <v>33 (27)</v>
      </c>
      <c r="G30" s="239" t="s">
        <v>5736</v>
      </c>
      <c r="H30" s="239" t="s">
        <v>2218</v>
      </c>
      <c r="I30" s="239" t="s">
        <v>99</v>
      </c>
      <c r="J30" s="239">
        <f t="shared" si="2"/>
        <v>38</v>
      </c>
      <c r="K30" s="239" t="s">
        <v>5737</v>
      </c>
      <c r="L30" s="239" t="s">
        <v>1886</v>
      </c>
      <c r="M30" s="239" t="s">
        <v>218</v>
      </c>
      <c r="N30" s="239" t="s">
        <v>455</v>
      </c>
      <c r="O30" s="239" t="s">
        <v>3250</v>
      </c>
      <c r="P30" s="239" t="s">
        <v>149</v>
      </c>
      <c r="Q30" s="239" t="s">
        <v>393</v>
      </c>
      <c r="R30" s="239"/>
      <c r="S30" s="239" t="s">
        <v>5738</v>
      </c>
      <c r="T30" s="239" t="s">
        <v>5739</v>
      </c>
      <c r="U30" s="239" t="s">
        <v>7339</v>
      </c>
      <c r="V30" s="3708">
        <f>Fighters!$S29</f>
        <v>28</v>
      </c>
      <c r="W30" s="3708">
        <f>Fighters!$T29</f>
        <v>25</v>
      </c>
      <c r="X30" s="3710" t="str">
        <f>Fighters!$V29</f>
        <v>roy</v>
      </c>
    </row>
    <row r="31">
      <c r="A31" s="3700" t="str">
        <f>Fighters!$A30</f>
        <v>25'</v>
      </c>
      <c r="B31" s="3701" t="str">
        <f>Fighters!$B30</f>
        <v>クロム</v>
      </c>
      <c r="C31" s="3416" t="s">
        <v>799</v>
      </c>
      <c r="D31" s="239" t="s">
        <v>5521</v>
      </c>
      <c r="E31" s="239" t="s">
        <v>5733</v>
      </c>
      <c r="F31" s="239" t="str">
        <f t="shared" si="1"/>
        <v>33 (27)</v>
      </c>
      <c r="G31" s="239" t="s">
        <v>5736</v>
      </c>
      <c r="H31" s="239" t="s">
        <v>2218</v>
      </c>
      <c r="I31" s="239" t="s">
        <v>99</v>
      </c>
      <c r="J31" s="239">
        <f t="shared" si="2"/>
        <v>38</v>
      </c>
      <c r="K31" s="239" t="s">
        <v>5737</v>
      </c>
      <c r="L31" s="239" t="s">
        <v>1886</v>
      </c>
      <c r="M31" s="239" t="s">
        <v>218</v>
      </c>
      <c r="N31" s="239" t="s">
        <v>455</v>
      </c>
      <c r="O31" s="239" t="s">
        <v>3250</v>
      </c>
      <c r="P31" s="239" t="s">
        <v>149</v>
      </c>
      <c r="Q31" s="239" t="s">
        <v>393</v>
      </c>
      <c r="R31" s="239"/>
      <c r="S31" s="239" t="s">
        <v>5738</v>
      </c>
      <c r="T31" s="239" t="s">
        <v>5739</v>
      </c>
      <c r="U31" s="239" t="s">
        <v>7339</v>
      </c>
      <c r="V31" s="3708">
        <f>Fighters!$S30</f>
        <v>29</v>
      </c>
      <c r="W31" s="3708">
        <f>Fighters!$T30</f>
        <v>75</v>
      </c>
      <c r="X31" s="3710" t="str">
        <f>Fighters!$V30</f>
        <v>chrom</v>
      </c>
    </row>
    <row r="32">
      <c r="A32" s="3700">
        <f>Fighters!$A31</f>
        <v>26</v>
      </c>
      <c r="B32" s="3701" t="str">
        <f>Fighters!$B31</f>
        <v>Mr. ゲーム&amp;ウォッチ</v>
      </c>
      <c r="C32" s="3416" t="s">
        <v>799</v>
      </c>
      <c r="D32" s="239" t="s">
        <v>5521</v>
      </c>
      <c r="E32" s="239" t="s">
        <v>7300</v>
      </c>
      <c r="F32" s="239" t="str">
        <f t="shared" si="1"/>
        <v>35 (28)</v>
      </c>
      <c r="G32" s="239" t="s">
        <v>5736</v>
      </c>
      <c r="H32" s="239" t="s">
        <v>2218</v>
      </c>
      <c r="I32" s="239" t="s">
        <v>164</v>
      </c>
      <c r="J32" s="239">
        <f t="shared" si="2"/>
        <v>40</v>
      </c>
      <c r="K32" s="239" t="s">
        <v>5737</v>
      </c>
      <c r="L32" s="239" t="s">
        <v>1886</v>
      </c>
      <c r="M32" s="239" t="s">
        <v>193</v>
      </c>
      <c r="N32" s="239" t="s">
        <v>892</v>
      </c>
      <c r="O32" s="239" t="s">
        <v>7326</v>
      </c>
      <c r="P32" s="239" t="s">
        <v>7327</v>
      </c>
      <c r="Q32" s="239" t="s">
        <v>462</v>
      </c>
      <c r="R32" s="239"/>
      <c r="S32" s="239" t="s">
        <v>5738</v>
      </c>
      <c r="T32" s="239" t="s">
        <v>5739</v>
      </c>
      <c r="U32" s="239" t="s">
        <v>7340</v>
      </c>
      <c r="V32" s="3708">
        <f>Fighters!$S31</f>
        <v>30</v>
      </c>
      <c r="W32" s="3708">
        <f>Fighters!$T31</f>
        <v>26</v>
      </c>
      <c r="X32" s="3710" t="str">
        <f>Fighters!$V31</f>
        <v>gamewatch</v>
      </c>
    </row>
    <row r="33">
      <c r="A33" s="3700">
        <f>Fighters!$A32</f>
        <v>27</v>
      </c>
      <c r="B33" s="3701" t="str">
        <f>Fighters!$B32</f>
        <v>メタナイト</v>
      </c>
      <c r="C33" s="3416" t="s">
        <v>7313</v>
      </c>
      <c r="D33" s="239" t="s">
        <v>7314</v>
      </c>
      <c r="E33" s="239" t="s">
        <v>7315</v>
      </c>
      <c r="F33" s="239" t="str">
        <f t="shared" si="1"/>
        <v>32 (25)</v>
      </c>
      <c r="G33" s="239" t="s">
        <v>7310</v>
      </c>
      <c r="H33" s="239" t="s">
        <v>2218</v>
      </c>
      <c r="I33" s="239" t="s">
        <v>593</v>
      </c>
      <c r="J33" s="239">
        <f t="shared" si="2"/>
        <v>37</v>
      </c>
      <c r="K33" s="239" t="s">
        <v>5736</v>
      </c>
      <c r="L33" s="239" t="s">
        <v>741</v>
      </c>
      <c r="M33" s="239" t="s">
        <v>72</v>
      </c>
      <c r="N33" s="239" t="s">
        <v>413</v>
      </c>
      <c r="O33" s="239" t="s">
        <v>4828</v>
      </c>
      <c r="P33" s="239" t="s">
        <v>7311</v>
      </c>
      <c r="Q33" s="239" t="s">
        <v>111</v>
      </c>
      <c r="R33" s="239"/>
      <c r="S33" s="239" t="s">
        <v>2589</v>
      </c>
      <c r="T33" s="239" t="s">
        <v>1127</v>
      </c>
      <c r="U33" s="239" t="s">
        <v>7341</v>
      </c>
      <c r="V33" s="3708">
        <f>Fighters!$S32</f>
        <v>31</v>
      </c>
      <c r="W33" s="3708">
        <f>Fighters!$T32</f>
        <v>27</v>
      </c>
      <c r="X33" s="3710" t="str">
        <f>Fighters!$V32</f>
        <v>metaknight</v>
      </c>
    </row>
    <row r="34">
      <c r="A34" s="3700">
        <f>Fighters!$A33</f>
        <v>28</v>
      </c>
      <c r="B34" s="3701" t="str">
        <f>Fighters!$B33</f>
        <v>ピット</v>
      </c>
      <c r="C34" s="3416" t="s">
        <v>799</v>
      </c>
      <c r="D34" s="239" t="s">
        <v>5521</v>
      </c>
      <c r="E34" s="239" t="s">
        <v>5733</v>
      </c>
      <c r="F34" s="239" t="str">
        <f t="shared" si="1"/>
        <v>33 (27)</v>
      </c>
      <c r="G34" s="239" t="s">
        <v>5736</v>
      </c>
      <c r="H34" s="239" t="s">
        <v>2218</v>
      </c>
      <c r="I34" s="239" t="s">
        <v>99</v>
      </c>
      <c r="J34" s="239">
        <f t="shared" si="2"/>
        <v>38</v>
      </c>
      <c r="K34" s="239" t="s">
        <v>5737</v>
      </c>
      <c r="L34" s="239" t="s">
        <v>1886</v>
      </c>
      <c r="M34" s="239" t="s">
        <v>218</v>
      </c>
      <c r="N34" s="239" t="s">
        <v>455</v>
      </c>
      <c r="O34" s="239" t="s">
        <v>3250</v>
      </c>
      <c r="P34" s="239" t="s">
        <v>149</v>
      </c>
      <c r="Q34" s="239" t="s">
        <v>634</v>
      </c>
      <c r="R34" s="239"/>
      <c r="S34" s="239" t="s">
        <v>5738</v>
      </c>
      <c r="T34" s="239" t="s">
        <v>5739</v>
      </c>
      <c r="U34" s="239" t="s">
        <v>7342</v>
      </c>
      <c r="V34" s="3708">
        <f>Fighters!$S33</f>
        <v>32</v>
      </c>
      <c r="W34" s="3708">
        <f>Fighters!$T33</f>
        <v>28</v>
      </c>
      <c r="X34" s="3710" t="str">
        <f>Fighters!$V33</f>
        <v>pit</v>
      </c>
    </row>
    <row r="35">
      <c r="A35" s="3700" t="str">
        <f>Fighters!$A34</f>
        <v>28'</v>
      </c>
      <c r="B35" s="3701" t="str">
        <f>Fighters!$B34</f>
        <v>ブラックピット</v>
      </c>
      <c r="C35" s="3416" t="s">
        <v>799</v>
      </c>
      <c r="D35" s="239" t="s">
        <v>5521</v>
      </c>
      <c r="E35" s="239" t="s">
        <v>5733</v>
      </c>
      <c r="F35" s="239" t="str">
        <f t="shared" si="1"/>
        <v>33 (27)</v>
      </c>
      <c r="G35" s="239" t="s">
        <v>5736</v>
      </c>
      <c r="H35" s="239" t="s">
        <v>2218</v>
      </c>
      <c r="I35" s="239" t="s">
        <v>99</v>
      </c>
      <c r="J35" s="239">
        <f t="shared" si="2"/>
        <v>38</v>
      </c>
      <c r="K35" s="239" t="s">
        <v>5737</v>
      </c>
      <c r="L35" s="239" t="s">
        <v>1886</v>
      </c>
      <c r="M35" s="239" t="s">
        <v>218</v>
      </c>
      <c r="N35" s="239" t="s">
        <v>455</v>
      </c>
      <c r="O35" s="239" t="s">
        <v>3250</v>
      </c>
      <c r="P35" s="239" t="s">
        <v>149</v>
      </c>
      <c r="Q35" s="239" t="s">
        <v>634</v>
      </c>
      <c r="R35" s="239"/>
      <c r="S35" s="239" t="s">
        <v>5738</v>
      </c>
      <c r="T35" s="239" t="s">
        <v>5739</v>
      </c>
      <c r="U35" s="239" t="s">
        <v>7342</v>
      </c>
      <c r="V35" s="3708">
        <f>Fighters!$S34</f>
        <v>33</v>
      </c>
      <c r="W35" s="3708">
        <f>Fighters!$T34</f>
        <v>76</v>
      </c>
      <c r="X35" s="3710" t="str">
        <f>Fighters!$V34</f>
        <v>pitb</v>
      </c>
    </row>
    <row r="36">
      <c r="A36" s="3700">
        <f>Fighters!$A35</f>
        <v>29</v>
      </c>
      <c r="B36" s="3701" t="str">
        <f>Fighters!$B35</f>
        <v>ゼロスーツサムス</v>
      </c>
      <c r="C36" s="3416" t="s">
        <v>4232</v>
      </c>
      <c r="D36" s="239" t="s">
        <v>7308</v>
      </c>
      <c r="E36" s="239" t="s">
        <v>7309</v>
      </c>
      <c r="F36" s="239" t="str">
        <f t="shared" si="1"/>
        <v>31 (24)</v>
      </c>
      <c r="G36" s="239" t="s">
        <v>2378</v>
      </c>
      <c r="H36" s="239" t="s">
        <v>410</v>
      </c>
      <c r="I36" s="239" t="s">
        <v>876</v>
      </c>
      <c r="J36" s="239">
        <f t="shared" si="2"/>
        <v>35</v>
      </c>
      <c r="K36" s="239" t="s">
        <v>7310</v>
      </c>
      <c r="L36" s="239" t="s">
        <v>741</v>
      </c>
      <c r="M36" s="239" t="s">
        <v>964</v>
      </c>
      <c r="N36" s="239" t="s">
        <v>541</v>
      </c>
      <c r="O36" s="239" t="s">
        <v>4828</v>
      </c>
      <c r="P36" s="239" t="s">
        <v>7311</v>
      </c>
      <c r="Q36" s="239" t="s">
        <v>146</v>
      </c>
      <c r="R36" s="239"/>
      <c r="S36" s="239" t="s">
        <v>2589</v>
      </c>
      <c r="T36" s="239" t="s">
        <v>1127</v>
      </c>
      <c r="U36" s="239" t="s">
        <v>7343</v>
      </c>
      <c r="V36" s="3708">
        <f>Fighters!$S35</f>
        <v>34</v>
      </c>
      <c r="W36" s="3708">
        <f>Fighters!$T35</f>
        <v>29</v>
      </c>
      <c r="X36" s="3710" t="str">
        <f>Fighters!$V35</f>
        <v>szerosuit</v>
      </c>
    </row>
    <row r="37">
      <c r="A37" s="3700">
        <f>Fighters!$A36</f>
        <v>30</v>
      </c>
      <c r="B37" s="3701" t="str">
        <f>Fighters!$B36</f>
        <v>ワリオ</v>
      </c>
      <c r="C37" s="3416" t="s">
        <v>799</v>
      </c>
      <c r="D37" s="239" t="s">
        <v>5521</v>
      </c>
      <c r="E37" s="239" t="s">
        <v>7300</v>
      </c>
      <c r="F37" s="239" t="str">
        <f t="shared" si="1"/>
        <v>35 (28)</v>
      </c>
      <c r="G37" s="239" t="s">
        <v>5736</v>
      </c>
      <c r="H37" s="239" t="s">
        <v>2218</v>
      </c>
      <c r="I37" s="239" t="s">
        <v>164</v>
      </c>
      <c r="J37" s="239">
        <f t="shared" si="2"/>
        <v>40</v>
      </c>
      <c r="K37" s="239" t="s">
        <v>5737</v>
      </c>
      <c r="L37" s="239" t="s">
        <v>1886</v>
      </c>
      <c r="M37" s="239" t="s">
        <v>193</v>
      </c>
      <c r="N37" s="239" t="s">
        <v>892</v>
      </c>
      <c r="O37" s="239" t="s">
        <v>3250</v>
      </c>
      <c r="P37" s="239" t="s">
        <v>149</v>
      </c>
      <c r="Q37" s="239" t="s">
        <v>413</v>
      </c>
      <c r="R37" s="239"/>
      <c r="S37" s="239" t="s">
        <v>5738</v>
      </c>
      <c r="T37" s="239" t="s">
        <v>5739</v>
      </c>
      <c r="U37" s="239" t="s">
        <v>7344</v>
      </c>
      <c r="V37" s="3708">
        <f>Fighters!$S36</f>
        <v>35</v>
      </c>
      <c r="W37" s="3708">
        <f>Fighters!$T36</f>
        <v>30</v>
      </c>
      <c r="X37" s="3710" t="str">
        <f>Fighters!$V36</f>
        <v>wario</v>
      </c>
    </row>
    <row r="38">
      <c r="A38" s="3700">
        <f>Fighters!$A37</f>
        <v>31</v>
      </c>
      <c r="B38" s="3701" t="str">
        <f>Fighters!$B37</f>
        <v>スネーク</v>
      </c>
      <c r="C38" s="3416" t="s">
        <v>799</v>
      </c>
      <c r="D38" s="239" t="s">
        <v>5521</v>
      </c>
      <c r="E38" s="239" t="s">
        <v>7300</v>
      </c>
      <c r="F38" s="239" t="str">
        <f t="shared" si="1"/>
        <v>35 (28)</v>
      </c>
      <c r="G38" s="239" t="s">
        <v>5736</v>
      </c>
      <c r="H38" s="239" t="s">
        <v>2218</v>
      </c>
      <c r="I38" s="239" t="s">
        <v>164</v>
      </c>
      <c r="J38" s="239">
        <f t="shared" si="2"/>
        <v>40</v>
      </c>
      <c r="K38" s="239" t="s">
        <v>5737</v>
      </c>
      <c r="L38" s="239" t="s">
        <v>1886</v>
      </c>
      <c r="M38" s="239" t="s">
        <v>193</v>
      </c>
      <c r="N38" s="239" t="s">
        <v>892</v>
      </c>
      <c r="O38" s="239" t="s">
        <v>7345</v>
      </c>
      <c r="P38" s="239" t="s">
        <v>1385</v>
      </c>
      <c r="Q38" s="239" t="s">
        <v>111</v>
      </c>
      <c r="R38" s="239"/>
      <c r="S38" s="239" t="s">
        <v>1682</v>
      </c>
      <c r="T38" s="239" t="s">
        <v>1961</v>
      </c>
      <c r="U38" s="239" t="s">
        <v>7346</v>
      </c>
      <c r="V38" s="3708">
        <f>Fighters!$S37</f>
        <v>36</v>
      </c>
      <c r="W38" s="3708">
        <f>Fighters!$T37</f>
        <v>31</v>
      </c>
      <c r="X38" s="3710" t="str">
        <f>Fighters!$V37</f>
        <v>snake</v>
      </c>
    </row>
    <row r="39">
      <c r="A39" s="3700">
        <f>Fighters!$A38</f>
        <v>32</v>
      </c>
      <c r="B39" s="3701" t="str">
        <f>Fighters!$B38</f>
        <v>アイク</v>
      </c>
      <c r="C39" s="3416" t="s">
        <v>799</v>
      </c>
      <c r="D39" s="239" t="s">
        <v>5521</v>
      </c>
      <c r="E39" s="239" t="s">
        <v>7300</v>
      </c>
      <c r="F39" s="239" t="str">
        <f t="shared" si="1"/>
        <v>35 (28)</v>
      </c>
      <c r="G39" s="239" t="s">
        <v>5736</v>
      </c>
      <c r="H39" s="239" t="s">
        <v>2218</v>
      </c>
      <c r="I39" s="239" t="s">
        <v>164</v>
      </c>
      <c r="J39" s="239">
        <f t="shared" si="2"/>
        <v>40</v>
      </c>
      <c r="K39" s="239" t="s">
        <v>5737</v>
      </c>
      <c r="L39" s="239" t="s">
        <v>1886</v>
      </c>
      <c r="M39" s="239" t="s">
        <v>193</v>
      </c>
      <c r="N39" s="239" t="s">
        <v>892</v>
      </c>
      <c r="O39" s="239" t="s">
        <v>830</v>
      </c>
      <c r="P39" s="239" t="s">
        <v>7347</v>
      </c>
      <c r="Q39" s="239" t="s">
        <v>185</v>
      </c>
      <c r="R39" s="239"/>
      <c r="S39" s="239" t="s">
        <v>1682</v>
      </c>
      <c r="T39" s="239" t="s">
        <v>1961</v>
      </c>
      <c r="U39" s="239" t="s">
        <v>7348</v>
      </c>
      <c r="V39" s="3708">
        <f>Fighters!$S38</f>
        <v>37</v>
      </c>
      <c r="W39" s="3708">
        <f>Fighters!$T38</f>
        <v>32</v>
      </c>
      <c r="X39" s="3710" t="str">
        <f>Fighters!$V38</f>
        <v>ike</v>
      </c>
    </row>
    <row r="40">
      <c r="A40" s="3700">
        <f>Fighters!$A39</f>
        <v>33</v>
      </c>
      <c r="B40" s="3701" t="str">
        <f>Fighters!$B39</f>
        <v>ゼニガメ</v>
      </c>
      <c r="C40" s="3416" t="s">
        <v>7313</v>
      </c>
      <c r="D40" s="239" t="s">
        <v>7314</v>
      </c>
      <c r="E40" s="239" t="s">
        <v>7315</v>
      </c>
      <c r="F40" s="239" t="str">
        <f t="shared" si="1"/>
        <v>32 (25)</v>
      </c>
      <c r="G40" s="239" t="s">
        <v>7310</v>
      </c>
      <c r="H40" s="239" t="s">
        <v>2218</v>
      </c>
      <c r="I40" s="239" t="s">
        <v>593</v>
      </c>
      <c r="J40" s="239">
        <f t="shared" si="2"/>
        <v>37</v>
      </c>
      <c r="K40" s="239" t="s">
        <v>5736</v>
      </c>
      <c r="L40" s="239" t="s">
        <v>741</v>
      </c>
      <c r="M40" s="239" t="s">
        <v>72</v>
      </c>
      <c r="N40" s="239" t="s">
        <v>413</v>
      </c>
      <c r="O40" s="239" t="s">
        <v>4828</v>
      </c>
      <c r="P40" s="239" t="s">
        <v>7311</v>
      </c>
      <c r="Q40" s="239" t="s">
        <v>892</v>
      </c>
      <c r="R40" s="239"/>
      <c r="S40" s="239" t="s">
        <v>2589</v>
      </c>
      <c r="T40" s="239" t="s">
        <v>1127</v>
      </c>
      <c r="U40" s="239" t="s">
        <v>7349</v>
      </c>
      <c r="V40" s="3708">
        <f>Fighters!$S39</f>
        <v>38</v>
      </c>
      <c r="W40" s="3708">
        <f>Fighters!$T39</f>
        <v>33</v>
      </c>
      <c r="X40" s="3710" t="str">
        <f>Fighters!$V39</f>
        <v>pzenigame</v>
      </c>
    </row>
    <row r="41">
      <c r="A41" s="3700">
        <f>Fighters!$A40</f>
        <v>34</v>
      </c>
      <c r="B41" s="3701" t="str">
        <f>Fighters!$B40</f>
        <v>フシギソウ</v>
      </c>
      <c r="C41" s="3416" t="s">
        <v>799</v>
      </c>
      <c r="D41" s="239" t="s">
        <v>5521</v>
      </c>
      <c r="E41" s="239" t="s">
        <v>7300</v>
      </c>
      <c r="F41" s="239" t="str">
        <f t="shared" si="1"/>
        <v>35 (28)</v>
      </c>
      <c r="G41" s="239" t="s">
        <v>5736</v>
      </c>
      <c r="H41" s="239" t="s">
        <v>2218</v>
      </c>
      <c r="I41" s="239" t="s">
        <v>164</v>
      </c>
      <c r="J41" s="239">
        <f t="shared" si="2"/>
        <v>40</v>
      </c>
      <c r="K41" s="239" t="s">
        <v>5737</v>
      </c>
      <c r="L41" s="239" t="s">
        <v>1886</v>
      </c>
      <c r="M41" s="239" t="s">
        <v>193</v>
      </c>
      <c r="N41" s="239" t="s">
        <v>892</v>
      </c>
      <c r="O41" s="239" t="s">
        <v>3250</v>
      </c>
      <c r="P41" s="239" t="s">
        <v>149</v>
      </c>
      <c r="Q41" s="239" t="s">
        <v>402</v>
      </c>
      <c r="R41" s="239"/>
      <c r="S41" s="239" t="s">
        <v>5738</v>
      </c>
      <c r="T41" s="239" t="s">
        <v>5739</v>
      </c>
      <c r="U41" s="239" t="s">
        <v>7350</v>
      </c>
      <c r="V41" s="3708">
        <f>Fighters!$S40</f>
        <v>39</v>
      </c>
      <c r="W41" s="3708">
        <f>Fighters!$T40</f>
        <v>34</v>
      </c>
      <c r="X41" s="3710" t="str">
        <f>Fighters!$V40</f>
        <v>pfushigisou</v>
      </c>
    </row>
    <row r="42">
      <c r="A42" s="3700">
        <f>Fighters!$A41</f>
        <v>35</v>
      </c>
      <c r="B42" s="3701" t="str">
        <f>Fighters!$B41</f>
        <v>リザードン</v>
      </c>
      <c r="C42" s="3416" t="s">
        <v>5971</v>
      </c>
      <c r="D42" s="239" t="s">
        <v>160</v>
      </c>
      <c r="E42" s="239" t="s">
        <v>7322</v>
      </c>
      <c r="F42" s="239" t="str">
        <f t="shared" si="1"/>
        <v>37 (31)</v>
      </c>
      <c r="G42" s="239" t="s">
        <v>7323</v>
      </c>
      <c r="H42" s="239" t="s">
        <v>588</v>
      </c>
      <c r="I42" s="239" t="s">
        <v>964</v>
      </c>
      <c r="J42" s="239">
        <f t="shared" si="2"/>
        <v>42</v>
      </c>
      <c r="K42" s="239" t="s">
        <v>7324</v>
      </c>
      <c r="L42" s="239" t="s">
        <v>5746</v>
      </c>
      <c r="M42" s="239" t="s">
        <v>79</v>
      </c>
      <c r="N42" s="239" t="s">
        <v>402</v>
      </c>
      <c r="O42" s="239" t="s">
        <v>1324</v>
      </c>
      <c r="P42" s="239" t="s">
        <v>149</v>
      </c>
      <c r="Q42" s="239" t="s">
        <v>185</v>
      </c>
      <c r="R42" s="239"/>
      <c r="S42" s="239" t="s">
        <v>7351</v>
      </c>
      <c r="T42" s="239" t="s">
        <v>7352</v>
      </c>
      <c r="U42" s="239" t="s">
        <v>7353</v>
      </c>
      <c r="V42" s="3708">
        <f>Fighters!$S41</f>
        <v>40</v>
      </c>
      <c r="W42" s="3708">
        <f>Fighters!$T41</f>
        <v>35</v>
      </c>
      <c r="X42" s="3710" t="str">
        <f>Fighters!$V41</f>
        <v>plizardon</v>
      </c>
    </row>
    <row r="43">
      <c r="A43" s="3700">
        <f>Fighters!$A42</f>
        <v>36</v>
      </c>
      <c r="B43" s="3701" t="str">
        <f>Fighters!$B42</f>
        <v>ディディーコング</v>
      </c>
      <c r="C43" s="3416" t="s">
        <v>7313</v>
      </c>
      <c r="D43" s="239" t="s">
        <v>7314</v>
      </c>
      <c r="E43" s="239" t="s">
        <v>7315</v>
      </c>
      <c r="F43" s="239" t="str">
        <f t="shared" si="1"/>
        <v>32 (25)</v>
      </c>
      <c r="G43" s="239" t="s">
        <v>7310</v>
      </c>
      <c r="H43" s="239" t="s">
        <v>2218</v>
      </c>
      <c r="I43" s="239" t="s">
        <v>593</v>
      </c>
      <c r="J43" s="239">
        <f t="shared" si="2"/>
        <v>37</v>
      </c>
      <c r="K43" s="239" t="s">
        <v>5736</v>
      </c>
      <c r="L43" s="239" t="s">
        <v>741</v>
      </c>
      <c r="M43" s="239" t="s">
        <v>72</v>
      </c>
      <c r="N43" s="239" t="s">
        <v>413</v>
      </c>
      <c r="O43" s="239" t="s">
        <v>3058</v>
      </c>
      <c r="P43" s="239" t="s">
        <v>1056</v>
      </c>
      <c r="Q43" s="239" t="s">
        <v>393</v>
      </c>
      <c r="R43" s="239"/>
      <c r="S43" s="239" t="s">
        <v>2589</v>
      </c>
      <c r="T43" s="239" t="s">
        <v>1127</v>
      </c>
      <c r="U43" s="239" t="s">
        <v>7354</v>
      </c>
      <c r="V43" s="3708">
        <f>Fighters!$S42</f>
        <v>41</v>
      </c>
      <c r="W43" s="3708">
        <f>Fighters!$T42</f>
        <v>36</v>
      </c>
      <c r="X43" s="3710" t="str">
        <f>Fighters!$V42</f>
        <v>diddy</v>
      </c>
    </row>
    <row r="44">
      <c r="A44" s="3700">
        <f>Fighters!$A43</f>
        <v>37</v>
      </c>
      <c r="B44" s="3701" t="str">
        <f>Fighters!$B43</f>
        <v>リュカ</v>
      </c>
      <c r="C44" s="3416" t="s">
        <v>799</v>
      </c>
      <c r="D44" s="239" t="s">
        <v>5521</v>
      </c>
      <c r="E44" s="239" t="s">
        <v>5733</v>
      </c>
      <c r="F44" s="239" t="str">
        <f t="shared" si="1"/>
        <v>33 (27)</v>
      </c>
      <c r="G44" s="239" t="s">
        <v>5736</v>
      </c>
      <c r="H44" s="239" t="s">
        <v>2218</v>
      </c>
      <c r="I44" s="239" t="s">
        <v>99</v>
      </c>
      <c r="J44" s="239">
        <f t="shared" si="2"/>
        <v>38</v>
      </c>
      <c r="K44" s="239" t="s">
        <v>5737</v>
      </c>
      <c r="L44" s="239" t="s">
        <v>1886</v>
      </c>
      <c r="M44" s="239" t="s">
        <v>218</v>
      </c>
      <c r="N44" s="239" t="s">
        <v>455</v>
      </c>
      <c r="O44" s="239" t="s">
        <v>1324</v>
      </c>
      <c r="P44" s="239" t="s">
        <v>149</v>
      </c>
      <c r="Q44" s="239" t="s">
        <v>402</v>
      </c>
      <c r="R44" s="239"/>
      <c r="S44" s="239" t="s">
        <v>5738</v>
      </c>
      <c r="T44" s="239" t="s">
        <v>5739</v>
      </c>
      <c r="U44" s="239" t="s">
        <v>7355</v>
      </c>
      <c r="V44" s="3708">
        <f>Fighters!$S43</f>
        <v>42</v>
      </c>
      <c r="W44" s="3708">
        <f>Fighters!$T43</f>
        <v>37</v>
      </c>
      <c r="X44" s="3710" t="str">
        <f>Fighters!$V43</f>
        <v>lucas</v>
      </c>
    </row>
    <row r="45">
      <c r="A45" s="3700">
        <f>Fighters!$A44</f>
        <v>38</v>
      </c>
      <c r="B45" s="3701" t="str">
        <f>Fighters!$B44</f>
        <v>ソニック</v>
      </c>
      <c r="C45" s="3416" t="s">
        <v>7313</v>
      </c>
      <c r="D45" s="239" t="s">
        <v>7314</v>
      </c>
      <c r="E45" s="239" t="s">
        <v>7315</v>
      </c>
      <c r="F45" s="239" t="str">
        <f t="shared" si="1"/>
        <v>32 (25)</v>
      </c>
      <c r="G45" s="239" t="s">
        <v>7310</v>
      </c>
      <c r="H45" s="239" t="s">
        <v>2218</v>
      </c>
      <c r="I45" s="239" t="s">
        <v>593</v>
      </c>
      <c r="J45" s="239">
        <f t="shared" si="2"/>
        <v>37</v>
      </c>
      <c r="K45" s="239" t="s">
        <v>5736</v>
      </c>
      <c r="L45" s="239" t="s">
        <v>741</v>
      </c>
      <c r="M45" s="239" t="s">
        <v>72</v>
      </c>
      <c r="N45" s="239" t="s">
        <v>413</v>
      </c>
      <c r="O45" s="239" t="s">
        <v>4828</v>
      </c>
      <c r="P45" s="239" t="s">
        <v>7311</v>
      </c>
      <c r="Q45" s="239" t="s">
        <v>413</v>
      </c>
      <c r="R45" s="239"/>
      <c r="S45" s="239" t="s">
        <v>2589</v>
      </c>
      <c r="T45" s="239" t="s">
        <v>1127</v>
      </c>
      <c r="U45" s="239" t="s">
        <v>7356</v>
      </c>
      <c r="V45" s="3708">
        <f>Fighters!$S44</f>
        <v>43</v>
      </c>
      <c r="W45" s="3708">
        <f>Fighters!$T44</f>
        <v>38</v>
      </c>
      <c r="X45" s="3710" t="str">
        <f>Fighters!$V44</f>
        <v>sonic</v>
      </c>
    </row>
    <row r="46">
      <c r="A46" s="3700">
        <f>Fighters!$A45</f>
        <v>39</v>
      </c>
      <c r="B46" s="3701" t="str">
        <f>Fighters!$B45</f>
        <v>デデデ</v>
      </c>
      <c r="C46" s="3416" t="s">
        <v>5971</v>
      </c>
      <c r="D46" s="239" t="s">
        <v>160</v>
      </c>
      <c r="E46" s="239" t="s">
        <v>7322</v>
      </c>
      <c r="F46" s="239" t="str">
        <f t="shared" si="1"/>
        <v>37 (31)</v>
      </c>
      <c r="G46" s="239" t="s">
        <v>7323</v>
      </c>
      <c r="H46" s="239" t="s">
        <v>588</v>
      </c>
      <c r="I46" s="239" t="s">
        <v>964</v>
      </c>
      <c r="J46" s="239">
        <f t="shared" si="2"/>
        <v>42</v>
      </c>
      <c r="K46" s="239" t="s">
        <v>7324</v>
      </c>
      <c r="L46" s="239" t="s">
        <v>5746</v>
      </c>
      <c r="M46" s="239" t="s">
        <v>79</v>
      </c>
      <c r="N46" s="239" t="s">
        <v>402</v>
      </c>
      <c r="O46" s="239" t="s">
        <v>7301</v>
      </c>
      <c r="P46" s="239" t="s">
        <v>4832</v>
      </c>
      <c r="Q46" s="239" t="s">
        <v>127</v>
      </c>
      <c r="R46" s="239"/>
      <c r="S46" s="239" t="s">
        <v>3914</v>
      </c>
      <c r="T46" s="239" t="s">
        <v>7357</v>
      </c>
      <c r="U46" s="239" t="s">
        <v>7358</v>
      </c>
      <c r="V46" s="3708">
        <f>Fighters!$S45</f>
        <v>44</v>
      </c>
      <c r="W46" s="3708">
        <f>Fighters!$T45</f>
        <v>39</v>
      </c>
      <c r="X46" s="3710" t="str">
        <f>Fighters!$V45</f>
        <v>dedede</v>
      </c>
    </row>
    <row r="47">
      <c r="A47" s="3700">
        <f>Fighters!$A46</f>
        <v>40</v>
      </c>
      <c r="B47" s="3701" t="str">
        <f>Fighters!$B46</f>
        <v>ピクミン&amp;オリマー</v>
      </c>
      <c r="C47" s="3416" t="s">
        <v>799</v>
      </c>
      <c r="D47" s="239" t="s">
        <v>5521</v>
      </c>
      <c r="E47" s="239" t="s">
        <v>5733</v>
      </c>
      <c r="F47" s="239" t="str">
        <f t="shared" si="1"/>
        <v>33 (27)</v>
      </c>
      <c r="G47" s="239" t="s">
        <v>5736</v>
      </c>
      <c r="H47" s="239" t="s">
        <v>2218</v>
      </c>
      <c r="I47" s="239" t="s">
        <v>99</v>
      </c>
      <c r="J47" s="239">
        <f t="shared" si="2"/>
        <v>38</v>
      </c>
      <c r="K47" s="239" t="s">
        <v>5737</v>
      </c>
      <c r="L47" s="239" t="s">
        <v>1886</v>
      </c>
      <c r="M47" s="239" t="s">
        <v>218</v>
      </c>
      <c r="N47" s="239" t="s">
        <v>455</v>
      </c>
      <c r="O47" s="239" t="s">
        <v>3250</v>
      </c>
      <c r="P47" s="239" t="s">
        <v>149</v>
      </c>
      <c r="Q47" s="239" t="s">
        <v>600</v>
      </c>
      <c r="R47" s="239"/>
      <c r="S47" s="239" t="s">
        <v>5738</v>
      </c>
      <c r="T47" s="239" t="s">
        <v>5739</v>
      </c>
      <c r="U47" s="239" t="s">
        <v>7359</v>
      </c>
      <c r="V47" s="3708">
        <f>Fighters!$S46</f>
        <v>45</v>
      </c>
      <c r="W47" s="3708">
        <f>Fighters!$T46</f>
        <v>40</v>
      </c>
      <c r="X47" s="3710" t="str">
        <f>Fighters!$V46</f>
        <v>pikmin</v>
      </c>
    </row>
    <row r="48">
      <c r="A48" s="3700">
        <f>Fighters!$A47</f>
        <v>41</v>
      </c>
      <c r="B48" s="3701" t="str">
        <f>Fighters!$B47</f>
        <v>ルカリオ</v>
      </c>
      <c r="C48" s="3416" t="s">
        <v>799</v>
      </c>
      <c r="D48" s="239" t="s">
        <v>5521</v>
      </c>
      <c r="E48" s="239" t="s">
        <v>5733</v>
      </c>
      <c r="F48" s="239" t="str">
        <f t="shared" si="1"/>
        <v>33 (27)</v>
      </c>
      <c r="G48" s="239" t="s">
        <v>5736</v>
      </c>
      <c r="H48" s="239" t="s">
        <v>2218</v>
      </c>
      <c r="I48" s="239" t="s">
        <v>99</v>
      </c>
      <c r="J48" s="239">
        <f t="shared" si="2"/>
        <v>38</v>
      </c>
      <c r="K48" s="239" t="s">
        <v>5737</v>
      </c>
      <c r="L48" s="239" t="s">
        <v>1886</v>
      </c>
      <c r="M48" s="239" t="s">
        <v>218</v>
      </c>
      <c r="N48" s="239" t="s">
        <v>455</v>
      </c>
      <c r="O48" s="239" t="s">
        <v>7326</v>
      </c>
      <c r="P48" s="239" t="s">
        <v>7327</v>
      </c>
      <c r="Q48" s="239" t="s">
        <v>541</v>
      </c>
      <c r="R48" s="239"/>
      <c r="S48" s="239" t="s">
        <v>5738</v>
      </c>
      <c r="T48" s="239" t="s">
        <v>5739</v>
      </c>
      <c r="U48" s="239" t="s">
        <v>7360</v>
      </c>
      <c r="V48" s="3708">
        <f>Fighters!$S47</f>
        <v>46</v>
      </c>
      <c r="W48" s="3708">
        <f>Fighters!$T47</f>
        <v>41</v>
      </c>
      <c r="X48" s="3710" t="str">
        <f>Fighters!$V47</f>
        <v>lucario</v>
      </c>
    </row>
    <row r="49">
      <c r="A49" s="3700">
        <f>Fighters!$A48</f>
        <v>42</v>
      </c>
      <c r="B49" s="3701" t="str">
        <f>Fighters!$B48</f>
        <v>ロボット</v>
      </c>
      <c r="C49" s="3416" t="s">
        <v>799</v>
      </c>
      <c r="D49" s="239" t="s">
        <v>5521</v>
      </c>
      <c r="E49" s="239" t="s">
        <v>5733</v>
      </c>
      <c r="F49" s="239" t="str">
        <f t="shared" si="1"/>
        <v>33 (27)</v>
      </c>
      <c r="G49" s="239" t="s">
        <v>5736</v>
      </c>
      <c r="H49" s="239" t="s">
        <v>2218</v>
      </c>
      <c r="I49" s="239" t="s">
        <v>99</v>
      </c>
      <c r="J49" s="239">
        <f t="shared" si="2"/>
        <v>38</v>
      </c>
      <c r="K49" s="239" t="s">
        <v>5737</v>
      </c>
      <c r="L49" s="239" t="s">
        <v>1886</v>
      </c>
      <c r="M49" s="239" t="s">
        <v>218</v>
      </c>
      <c r="N49" s="239" t="s">
        <v>455</v>
      </c>
      <c r="O49" s="239" t="s">
        <v>3250</v>
      </c>
      <c r="P49" s="239" t="s">
        <v>149</v>
      </c>
      <c r="Q49" s="239" t="s">
        <v>413</v>
      </c>
      <c r="R49" s="239"/>
      <c r="S49" s="239" t="s">
        <v>5738</v>
      </c>
      <c r="T49" s="239" t="s">
        <v>5739</v>
      </c>
      <c r="U49" s="239" t="s">
        <v>5799</v>
      </c>
      <c r="V49" s="3708">
        <f>Fighters!$S48</f>
        <v>47</v>
      </c>
      <c r="W49" s="3708">
        <f>Fighters!$T48</f>
        <v>42</v>
      </c>
      <c r="X49" s="3710" t="str">
        <f>Fighters!$V48</f>
        <v>robot</v>
      </c>
    </row>
    <row r="50">
      <c r="A50" s="3700">
        <f>Fighters!$A49</f>
        <v>43</v>
      </c>
      <c r="B50" s="3701" t="str">
        <f>Fighters!$B49</f>
        <v>トゥーンリンク</v>
      </c>
      <c r="C50" s="3416" t="s">
        <v>7313</v>
      </c>
      <c r="D50" s="239" t="s">
        <v>7314</v>
      </c>
      <c r="E50" s="239" t="s">
        <v>7315</v>
      </c>
      <c r="F50" s="239" t="str">
        <f t="shared" si="1"/>
        <v>32 (25)</v>
      </c>
      <c r="G50" s="239" t="s">
        <v>7310</v>
      </c>
      <c r="H50" s="239" t="s">
        <v>2218</v>
      </c>
      <c r="I50" s="239" t="s">
        <v>593</v>
      </c>
      <c r="J50" s="239">
        <f t="shared" si="2"/>
        <v>37</v>
      </c>
      <c r="K50" s="239" t="s">
        <v>5736</v>
      </c>
      <c r="L50" s="239" t="s">
        <v>741</v>
      </c>
      <c r="M50" s="239" t="s">
        <v>72</v>
      </c>
      <c r="N50" s="239" t="s">
        <v>413</v>
      </c>
      <c r="O50" s="239" t="s">
        <v>4828</v>
      </c>
      <c r="P50" s="239" t="s">
        <v>7311</v>
      </c>
      <c r="Q50" s="239" t="s">
        <v>402</v>
      </c>
      <c r="R50" s="239"/>
      <c r="S50" s="239" t="s">
        <v>2589</v>
      </c>
      <c r="T50" s="239" t="s">
        <v>1127</v>
      </c>
      <c r="U50" s="239" t="s">
        <v>7361</v>
      </c>
      <c r="V50" s="3708">
        <f>Fighters!$S49</f>
        <v>48</v>
      </c>
      <c r="W50" s="3708">
        <f>Fighters!$T49</f>
        <v>43</v>
      </c>
      <c r="X50" s="3710" t="str">
        <f>Fighters!$V49</f>
        <v>toonlink</v>
      </c>
    </row>
    <row r="51">
      <c r="A51" s="3700">
        <f>Fighters!$A50</f>
        <v>44</v>
      </c>
      <c r="B51" s="3701" t="str">
        <f>Fighters!$B50</f>
        <v>ウルフ</v>
      </c>
      <c r="C51" s="3416" t="s">
        <v>799</v>
      </c>
      <c r="D51" s="239" t="s">
        <v>5521</v>
      </c>
      <c r="E51" s="239" t="s">
        <v>5733</v>
      </c>
      <c r="F51" s="239" t="str">
        <f t="shared" si="1"/>
        <v>33 (27)</v>
      </c>
      <c r="G51" s="239" t="s">
        <v>5736</v>
      </c>
      <c r="H51" s="239" t="s">
        <v>2218</v>
      </c>
      <c r="I51" s="239" t="s">
        <v>99</v>
      </c>
      <c r="J51" s="239">
        <f t="shared" si="2"/>
        <v>38</v>
      </c>
      <c r="K51" s="239" t="s">
        <v>5737</v>
      </c>
      <c r="L51" s="239" t="s">
        <v>1886</v>
      </c>
      <c r="M51" s="239" t="s">
        <v>218</v>
      </c>
      <c r="N51" s="239" t="s">
        <v>455</v>
      </c>
      <c r="O51" s="239" t="s">
        <v>4828</v>
      </c>
      <c r="P51" s="239" t="s">
        <v>7311</v>
      </c>
      <c r="Q51" s="239" t="s">
        <v>393</v>
      </c>
      <c r="R51" s="239"/>
      <c r="S51" s="239" t="s">
        <v>976</v>
      </c>
      <c r="T51" s="239" t="s">
        <v>7332</v>
      </c>
      <c r="U51" s="239" t="s">
        <v>7362</v>
      </c>
      <c r="V51" s="3708">
        <f>Fighters!$S50</f>
        <v>49</v>
      </c>
      <c r="W51" s="3708">
        <f>Fighters!$T50</f>
        <v>44</v>
      </c>
      <c r="X51" s="3710" t="str">
        <f>Fighters!$V50</f>
        <v>wolf</v>
      </c>
    </row>
    <row r="52">
      <c r="A52" s="3700">
        <f>Fighters!$A51</f>
        <v>45</v>
      </c>
      <c r="B52" s="3701" t="str">
        <f>Fighters!$B51</f>
        <v>むらびと</v>
      </c>
      <c r="C52" s="3416" t="s">
        <v>799</v>
      </c>
      <c r="D52" s="239" t="s">
        <v>5521</v>
      </c>
      <c r="E52" s="239" t="s">
        <v>5733</v>
      </c>
      <c r="F52" s="239" t="str">
        <f t="shared" si="1"/>
        <v>33 (27)</v>
      </c>
      <c r="G52" s="239" t="s">
        <v>5736</v>
      </c>
      <c r="H52" s="239" t="s">
        <v>2218</v>
      </c>
      <c r="I52" s="239" t="s">
        <v>99</v>
      </c>
      <c r="J52" s="239">
        <f t="shared" si="2"/>
        <v>38</v>
      </c>
      <c r="K52" s="239" t="s">
        <v>5737</v>
      </c>
      <c r="L52" s="239" t="s">
        <v>1886</v>
      </c>
      <c r="M52" s="239" t="s">
        <v>218</v>
      </c>
      <c r="N52" s="239" t="s">
        <v>455</v>
      </c>
      <c r="O52" s="239" t="s">
        <v>1324</v>
      </c>
      <c r="P52" s="239" t="s">
        <v>149</v>
      </c>
      <c r="Q52" s="239" t="s">
        <v>600</v>
      </c>
      <c r="R52" s="239"/>
      <c r="S52" s="239" t="s">
        <v>5738</v>
      </c>
      <c r="T52" s="239" t="s">
        <v>5739</v>
      </c>
      <c r="U52" s="239" t="s">
        <v>7363</v>
      </c>
      <c r="V52" s="3708">
        <f>Fighters!$S51</f>
        <v>50</v>
      </c>
      <c r="W52" s="3708">
        <f>Fighters!$T51</f>
        <v>45</v>
      </c>
      <c r="X52" s="3710" t="str">
        <f>Fighters!$V51</f>
        <v>murabito</v>
      </c>
    </row>
    <row r="53">
      <c r="A53" s="3700">
        <f>Fighters!$A52</f>
        <v>46</v>
      </c>
      <c r="B53" s="3701" t="str">
        <f>Fighters!$B52</f>
        <v>ロックマン</v>
      </c>
      <c r="C53" s="3416" t="s">
        <v>799</v>
      </c>
      <c r="D53" s="239" t="s">
        <v>5521</v>
      </c>
      <c r="E53" s="239" t="s">
        <v>5733</v>
      </c>
      <c r="F53" s="239" t="str">
        <f t="shared" si="1"/>
        <v>33 (27)</v>
      </c>
      <c r="G53" s="239" t="s">
        <v>5736</v>
      </c>
      <c r="H53" s="239" t="s">
        <v>2218</v>
      </c>
      <c r="I53" s="239" t="s">
        <v>99</v>
      </c>
      <c r="J53" s="239">
        <f t="shared" si="2"/>
        <v>38</v>
      </c>
      <c r="K53" s="239" t="s">
        <v>5737</v>
      </c>
      <c r="L53" s="239" t="s">
        <v>1886</v>
      </c>
      <c r="M53" s="239" t="s">
        <v>218</v>
      </c>
      <c r="N53" s="239" t="s">
        <v>455</v>
      </c>
      <c r="O53" s="239" t="s">
        <v>1324</v>
      </c>
      <c r="P53" s="239" t="s">
        <v>149</v>
      </c>
      <c r="Q53" s="239" t="s">
        <v>146</v>
      </c>
      <c r="R53" s="239"/>
      <c r="S53" s="239" t="s">
        <v>5738</v>
      </c>
      <c r="T53" s="239" t="s">
        <v>5739</v>
      </c>
      <c r="U53" s="239" t="s">
        <v>7364</v>
      </c>
      <c r="V53" s="3708">
        <f>Fighters!$S52</f>
        <v>51</v>
      </c>
      <c r="W53" s="3708">
        <f>Fighters!$T52</f>
        <v>46</v>
      </c>
      <c r="X53" s="3710" t="str">
        <f>Fighters!$V52</f>
        <v>rockman</v>
      </c>
    </row>
    <row r="54">
      <c r="A54" s="3700">
        <f>Fighters!$A53</f>
        <v>47</v>
      </c>
      <c r="B54" s="3701" t="str">
        <f>Fighters!$B53</f>
        <v>Wii Fit トレーナー</v>
      </c>
      <c r="C54" s="3416" t="s">
        <v>799</v>
      </c>
      <c r="D54" s="239" t="s">
        <v>5521</v>
      </c>
      <c r="E54" s="239" t="s">
        <v>5733</v>
      </c>
      <c r="F54" s="239" t="str">
        <f t="shared" si="1"/>
        <v>33 (27)</v>
      </c>
      <c r="G54" s="239" t="s">
        <v>5736</v>
      </c>
      <c r="H54" s="239" t="s">
        <v>2218</v>
      </c>
      <c r="I54" s="239" t="s">
        <v>99</v>
      </c>
      <c r="J54" s="239">
        <f t="shared" si="2"/>
        <v>38</v>
      </c>
      <c r="K54" s="239" t="s">
        <v>5737</v>
      </c>
      <c r="L54" s="239" t="s">
        <v>1886</v>
      </c>
      <c r="M54" s="239" t="s">
        <v>218</v>
      </c>
      <c r="N54" s="239" t="s">
        <v>455</v>
      </c>
      <c r="O54" s="239" t="s">
        <v>7326</v>
      </c>
      <c r="P54" s="239" t="s">
        <v>7327</v>
      </c>
      <c r="Q54" s="239" t="s">
        <v>600</v>
      </c>
      <c r="R54" s="239"/>
      <c r="S54" s="239" t="s">
        <v>5738</v>
      </c>
      <c r="T54" s="239" t="s">
        <v>5739</v>
      </c>
      <c r="U54" s="239" t="s">
        <v>7365</v>
      </c>
      <c r="V54" s="3708">
        <f>Fighters!$S53</f>
        <v>52</v>
      </c>
      <c r="W54" s="3708">
        <f>Fighters!$T53</f>
        <v>47</v>
      </c>
      <c r="X54" s="3710" t="str">
        <f>Fighters!$V53</f>
        <v>wiifit</v>
      </c>
    </row>
    <row r="55">
      <c r="A55" s="3700">
        <f>Fighters!$A54</f>
        <v>48</v>
      </c>
      <c r="B55" s="3701" t="str">
        <f>Fighters!$B54</f>
        <v>ロゼッタ&amp;チコ</v>
      </c>
      <c r="C55" s="3416" t="s">
        <v>799</v>
      </c>
      <c r="D55" s="239" t="s">
        <v>5521</v>
      </c>
      <c r="E55" s="239" t="s">
        <v>7300</v>
      </c>
      <c r="F55" s="239" t="str">
        <f t="shared" si="1"/>
        <v>35 (28)</v>
      </c>
      <c r="G55" s="239" t="s">
        <v>5736</v>
      </c>
      <c r="H55" s="239" t="s">
        <v>2218</v>
      </c>
      <c r="I55" s="239" t="s">
        <v>164</v>
      </c>
      <c r="J55" s="239">
        <f t="shared" si="2"/>
        <v>40</v>
      </c>
      <c r="K55" s="239" t="s">
        <v>5737</v>
      </c>
      <c r="L55" s="239" t="s">
        <v>1886</v>
      </c>
      <c r="M55" s="239" t="s">
        <v>193</v>
      </c>
      <c r="N55" s="239" t="s">
        <v>892</v>
      </c>
      <c r="O55" s="239" t="s">
        <v>3250</v>
      </c>
      <c r="P55" s="239" t="s">
        <v>149</v>
      </c>
      <c r="Q55" s="239" t="s">
        <v>335</v>
      </c>
      <c r="R55" s="239"/>
      <c r="S55" s="239" t="s">
        <v>5738</v>
      </c>
      <c r="T55" s="239" t="s">
        <v>5739</v>
      </c>
      <c r="U55" s="239" t="s">
        <v>7366</v>
      </c>
      <c r="V55" s="3708">
        <f>Fighters!$S54</f>
        <v>53</v>
      </c>
      <c r="W55" s="3708">
        <f>Fighters!$T54</f>
        <v>48</v>
      </c>
      <c r="X55" s="3710" t="str">
        <f>Fighters!$V54</f>
        <v>rosetta</v>
      </c>
    </row>
    <row r="56">
      <c r="A56" s="3700">
        <f>Fighters!$A55</f>
        <v>49</v>
      </c>
      <c r="B56" s="3701" t="str">
        <f>Fighters!$B55</f>
        <v>リトル・マック</v>
      </c>
      <c r="C56" s="3416" t="s">
        <v>4232</v>
      </c>
      <c r="D56" s="239" t="s">
        <v>7308</v>
      </c>
      <c r="E56" s="239" t="s">
        <v>7309</v>
      </c>
      <c r="F56" s="239" t="str">
        <f t="shared" si="1"/>
        <v>31 (24)</v>
      </c>
      <c r="G56" s="239" t="s">
        <v>2378</v>
      </c>
      <c r="H56" s="239" t="s">
        <v>410</v>
      </c>
      <c r="I56" s="239" t="s">
        <v>876</v>
      </c>
      <c r="J56" s="239">
        <f t="shared" si="2"/>
        <v>35</v>
      </c>
      <c r="K56" s="239" t="s">
        <v>7310</v>
      </c>
      <c r="L56" s="239" t="s">
        <v>741</v>
      </c>
      <c r="M56" s="239" t="s">
        <v>964</v>
      </c>
      <c r="N56" s="239" t="s">
        <v>541</v>
      </c>
      <c r="O56" s="239" t="s">
        <v>4828</v>
      </c>
      <c r="P56" s="239" t="s">
        <v>7311</v>
      </c>
      <c r="Q56" s="239" t="s">
        <v>185</v>
      </c>
      <c r="R56" s="239"/>
      <c r="S56" s="239" t="s">
        <v>982</v>
      </c>
      <c r="T56" s="239" t="s">
        <v>1127</v>
      </c>
      <c r="U56" s="239" t="s">
        <v>7367</v>
      </c>
      <c r="V56" s="3708">
        <f>Fighters!$S55</f>
        <v>54</v>
      </c>
      <c r="W56" s="3708">
        <f>Fighters!$T55</f>
        <v>49</v>
      </c>
      <c r="X56" s="3710" t="str">
        <f>Fighters!$V55</f>
        <v>littlemac</v>
      </c>
    </row>
    <row r="57">
      <c r="A57" s="3700">
        <f>Fighters!$A56</f>
        <v>50</v>
      </c>
      <c r="B57" s="3701" t="str">
        <f>Fighters!$B56</f>
        <v>ゲッコウガ</v>
      </c>
      <c r="C57" s="3416" t="s">
        <v>7313</v>
      </c>
      <c r="D57" s="239" t="s">
        <v>7314</v>
      </c>
      <c r="E57" s="239" t="s">
        <v>7315</v>
      </c>
      <c r="F57" s="239" t="str">
        <f t="shared" si="1"/>
        <v>32 (25)</v>
      </c>
      <c r="G57" s="239" t="s">
        <v>7310</v>
      </c>
      <c r="H57" s="239" t="s">
        <v>2218</v>
      </c>
      <c r="I57" s="239" t="s">
        <v>593</v>
      </c>
      <c r="J57" s="239">
        <f t="shared" si="2"/>
        <v>37</v>
      </c>
      <c r="K57" s="239" t="s">
        <v>5736</v>
      </c>
      <c r="L57" s="239" t="s">
        <v>741</v>
      </c>
      <c r="M57" s="239" t="s">
        <v>72</v>
      </c>
      <c r="N57" s="239" t="s">
        <v>413</v>
      </c>
      <c r="O57" s="239" t="s">
        <v>3058</v>
      </c>
      <c r="P57" s="239" t="s">
        <v>1056</v>
      </c>
      <c r="Q57" s="239" t="s">
        <v>384</v>
      </c>
      <c r="R57" s="239"/>
      <c r="S57" s="239" t="s">
        <v>2589</v>
      </c>
      <c r="T57" s="239" t="s">
        <v>1127</v>
      </c>
      <c r="U57" s="239" t="s">
        <v>7368</v>
      </c>
      <c r="V57" s="3708">
        <f>Fighters!$S56</f>
        <v>55</v>
      </c>
      <c r="W57" s="3708">
        <f>Fighters!$T56</f>
        <v>50</v>
      </c>
      <c r="X57" s="3710" t="str">
        <f>Fighters!$V56</f>
        <v>gekkouga</v>
      </c>
    </row>
    <row r="58">
      <c r="A58" s="3700">
        <f>Fighters!$A57</f>
        <v>51</v>
      </c>
      <c r="B58" s="3701" t="str">
        <f>Fighters!$B57</f>
        <v>格闘Mii</v>
      </c>
      <c r="C58" s="3416" t="s">
        <v>799</v>
      </c>
      <c r="D58" s="239" t="s">
        <v>5521</v>
      </c>
      <c r="E58" s="239" t="s">
        <v>5733</v>
      </c>
      <c r="F58" s="239" t="str">
        <f t="shared" si="1"/>
        <v>33 (27)</v>
      </c>
      <c r="G58" s="239" t="s">
        <v>5736</v>
      </c>
      <c r="H58" s="239" t="s">
        <v>2218</v>
      </c>
      <c r="I58" s="239" t="s">
        <v>99</v>
      </c>
      <c r="J58" s="239">
        <f t="shared" si="2"/>
        <v>38</v>
      </c>
      <c r="K58" s="239" t="s">
        <v>5737</v>
      </c>
      <c r="L58" s="239" t="s">
        <v>1886</v>
      </c>
      <c r="M58" s="239" t="s">
        <v>218</v>
      </c>
      <c r="N58" s="239" t="s">
        <v>455</v>
      </c>
      <c r="O58" s="239" t="s">
        <v>3250</v>
      </c>
      <c r="P58" s="239" t="s">
        <v>149</v>
      </c>
      <c r="Q58" s="365" t="s">
        <v>628</v>
      </c>
      <c r="R58" s="239"/>
      <c r="S58" s="239" t="s">
        <v>5738</v>
      </c>
      <c r="T58" s="239" t="s">
        <v>5739</v>
      </c>
      <c r="U58" s="365" t="s">
        <v>7369</v>
      </c>
      <c r="V58" s="3708">
        <f>Fighters!$S57</f>
        <v>56</v>
      </c>
      <c r="W58" s="3708">
        <f>Fighters!$T57</f>
        <v>73</v>
      </c>
      <c r="X58" s="3710" t="str">
        <f>Fighters!$V57</f>
        <v>miifighter</v>
      </c>
    </row>
    <row r="59">
      <c r="A59" s="3700">
        <f>Fighters!$A58</f>
        <v>52</v>
      </c>
      <c r="B59" s="3701" t="str">
        <f>Fighters!$B58</f>
        <v>剣術Mii</v>
      </c>
      <c r="C59" s="3416" t="s">
        <v>799</v>
      </c>
      <c r="D59" s="239" t="s">
        <v>5521</v>
      </c>
      <c r="E59" s="239" t="s">
        <v>5733</v>
      </c>
      <c r="F59" s="239" t="str">
        <f t="shared" si="1"/>
        <v>33 (27)</v>
      </c>
      <c r="G59" s="239" t="s">
        <v>5736</v>
      </c>
      <c r="H59" s="239" t="s">
        <v>2218</v>
      </c>
      <c r="I59" s="239" t="s">
        <v>99</v>
      </c>
      <c r="J59" s="239">
        <f t="shared" si="2"/>
        <v>38</v>
      </c>
      <c r="K59" s="239" t="s">
        <v>5737</v>
      </c>
      <c r="L59" s="239" t="s">
        <v>1886</v>
      </c>
      <c r="M59" s="239" t="s">
        <v>218</v>
      </c>
      <c r="N59" s="239" t="s">
        <v>455</v>
      </c>
      <c r="O59" s="239" t="s">
        <v>1324</v>
      </c>
      <c r="P59" s="239" t="s">
        <v>149</v>
      </c>
      <c r="Q59" s="239" t="s">
        <v>413</v>
      </c>
      <c r="R59" s="239"/>
      <c r="S59" s="239" t="s">
        <v>5738</v>
      </c>
      <c r="T59" s="239" t="s">
        <v>5739</v>
      </c>
      <c r="U59" s="239" t="s">
        <v>7370</v>
      </c>
      <c r="V59" s="3708">
        <f>Fighters!$S58</f>
        <v>57</v>
      </c>
      <c r="W59" s="3708">
        <f>Fighters!$T58</f>
        <v>74</v>
      </c>
      <c r="X59" s="3710" t="str">
        <f>Fighters!$V58</f>
        <v>miiswordsman</v>
      </c>
    </row>
    <row r="60">
      <c r="A60" s="3700">
        <f>Fighters!$A59</f>
        <v>53</v>
      </c>
      <c r="B60" s="3701" t="str">
        <f>Fighters!$B59</f>
        <v>射撃Mii</v>
      </c>
      <c r="C60" s="3416" t="s">
        <v>799</v>
      </c>
      <c r="D60" s="239" t="s">
        <v>5521</v>
      </c>
      <c r="E60" s="239" t="s">
        <v>5733</v>
      </c>
      <c r="F60" s="239" t="str">
        <f t="shared" si="1"/>
        <v>33 (27)</v>
      </c>
      <c r="G60" s="239" t="s">
        <v>5736</v>
      </c>
      <c r="H60" s="239" t="s">
        <v>2218</v>
      </c>
      <c r="I60" s="239" t="s">
        <v>99</v>
      </c>
      <c r="J60" s="239">
        <f t="shared" si="2"/>
        <v>38</v>
      </c>
      <c r="K60" s="239" t="s">
        <v>5737</v>
      </c>
      <c r="L60" s="239" t="s">
        <v>1886</v>
      </c>
      <c r="M60" s="239" t="s">
        <v>218</v>
      </c>
      <c r="N60" s="239" t="s">
        <v>455</v>
      </c>
      <c r="O60" s="239" t="s">
        <v>3250</v>
      </c>
      <c r="P60" s="239" t="s">
        <v>149</v>
      </c>
      <c r="Q60" s="239" t="s">
        <v>634</v>
      </c>
      <c r="R60" s="239"/>
      <c r="S60" s="239" t="s">
        <v>5738</v>
      </c>
      <c r="T60" s="239" t="s">
        <v>5739</v>
      </c>
      <c r="U60" s="239" t="s">
        <v>7371</v>
      </c>
      <c r="V60" s="3708">
        <f>Fighters!$S59</f>
        <v>58</v>
      </c>
      <c r="W60" s="3708">
        <f>Fighters!$T59</f>
        <v>75</v>
      </c>
      <c r="X60" s="3710" t="str">
        <f>Fighters!$V59</f>
        <v>miigunner</v>
      </c>
    </row>
    <row r="61">
      <c r="A61" s="3700">
        <f>Fighters!$A60</f>
        <v>54</v>
      </c>
      <c r="B61" s="3701" t="str">
        <f>Fighters!$B60</f>
        <v>パルテナ</v>
      </c>
      <c r="C61" s="3416" t="s">
        <v>799</v>
      </c>
      <c r="D61" s="239" t="s">
        <v>5521</v>
      </c>
      <c r="E61" s="239" t="s">
        <v>5733</v>
      </c>
      <c r="F61" s="239" t="str">
        <f t="shared" si="1"/>
        <v>33 (27)</v>
      </c>
      <c r="G61" s="239" t="s">
        <v>5736</v>
      </c>
      <c r="H61" s="239" t="s">
        <v>2218</v>
      </c>
      <c r="I61" s="239" t="s">
        <v>99</v>
      </c>
      <c r="J61" s="239">
        <f t="shared" si="2"/>
        <v>38</v>
      </c>
      <c r="K61" s="239" t="s">
        <v>5737</v>
      </c>
      <c r="L61" s="239" t="s">
        <v>1886</v>
      </c>
      <c r="M61" s="239" t="s">
        <v>218</v>
      </c>
      <c r="N61" s="239" t="s">
        <v>455</v>
      </c>
      <c r="O61" s="239" t="s">
        <v>1324</v>
      </c>
      <c r="P61" s="239" t="s">
        <v>149</v>
      </c>
      <c r="Q61" s="239" t="s">
        <v>185</v>
      </c>
      <c r="R61" s="239"/>
      <c r="S61" s="239" t="s">
        <v>5738</v>
      </c>
      <c r="T61" s="239" t="s">
        <v>5739</v>
      </c>
      <c r="U61" s="239" t="s">
        <v>7372</v>
      </c>
      <c r="V61" s="3708">
        <f>Fighters!$S60</f>
        <v>59</v>
      </c>
      <c r="W61" s="3708">
        <f>Fighters!$T60</f>
        <v>51</v>
      </c>
      <c r="X61" s="3710" t="str">
        <f>Fighters!$V60</f>
        <v>palutena</v>
      </c>
    </row>
    <row r="62">
      <c r="A62" s="3700">
        <f>Fighters!$A61</f>
        <v>55</v>
      </c>
      <c r="B62" s="3701" t="str">
        <f>Fighters!$B61</f>
        <v>パックマン</v>
      </c>
      <c r="C62" s="3416" t="s">
        <v>799</v>
      </c>
      <c r="D62" s="239" t="s">
        <v>5521</v>
      </c>
      <c r="E62" s="239" t="s">
        <v>5733</v>
      </c>
      <c r="F62" s="239" t="str">
        <f t="shared" si="1"/>
        <v>33 (27)</v>
      </c>
      <c r="G62" s="239" t="s">
        <v>5736</v>
      </c>
      <c r="H62" s="239" t="s">
        <v>2218</v>
      </c>
      <c r="I62" s="239" t="s">
        <v>99</v>
      </c>
      <c r="J62" s="239">
        <f t="shared" si="2"/>
        <v>38</v>
      </c>
      <c r="K62" s="239" t="s">
        <v>5737</v>
      </c>
      <c r="L62" s="239" t="s">
        <v>1886</v>
      </c>
      <c r="M62" s="239" t="s">
        <v>218</v>
      </c>
      <c r="N62" s="239" t="s">
        <v>455</v>
      </c>
      <c r="O62" s="239" t="s">
        <v>3250</v>
      </c>
      <c r="P62" s="239" t="s">
        <v>149</v>
      </c>
      <c r="Q62" s="239" t="s">
        <v>300</v>
      </c>
      <c r="R62" s="239"/>
      <c r="S62" s="239" t="s">
        <v>5738</v>
      </c>
      <c r="T62" s="239" t="s">
        <v>5739</v>
      </c>
      <c r="U62" s="239" t="s">
        <v>7373</v>
      </c>
      <c r="V62" s="3708">
        <f>Fighters!$S61</f>
        <v>60</v>
      </c>
      <c r="W62" s="3708">
        <f>Fighters!$T61</f>
        <v>52</v>
      </c>
      <c r="X62" s="3710" t="str">
        <f>Fighters!$V61</f>
        <v>pacman</v>
      </c>
    </row>
    <row r="63">
      <c r="A63" s="3700">
        <f>Fighters!$A62</f>
        <v>56</v>
      </c>
      <c r="B63" s="3701" t="str">
        <f>Fighters!$B62</f>
        <v>ルフレ</v>
      </c>
      <c r="C63" s="3416" t="s">
        <v>799</v>
      </c>
      <c r="D63" s="239" t="s">
        <v>5521</v>
      </c>
      <c r="E63" s="239" t="s">
        <v>7300</v>
      </c>
      <c r="F63" s="239" t="str">
        <f t="shared" si="1"/>
        <v>35 (28)</v>
      </c>
      <c r="G63" s="239" t="s">
        <v>5736</v>
      </c>
      <c r="H63" s="239" t="s">
        <v>2218</v>
      </c>
      <c r="I63" s="239" t="s">
        <v>164</v>
      </c>
      <c r="J63" s="239">
        <f t="shared" si="2"/>
        <v>40</v>
      </c>
      <c r="K63" s="239" t="s">
        <v>5737</v>
      </c>
      <c r="L63" s="239" t="s">
        <v>1886</v>
      </c>
      <c r="M63" s="239" t="s">
        <v>193</v>
      </c>
      <c r="N63" s="239" t="s">
        <v>892</v>
      </c>
      <c r="O63" s="239" t="s">
        <v>1324</v>
      </c>
      <c r="P63" s="239" t="s">
        <v>149</v>
      </c>
      <c r="Q63" s="239" t="s">
        <v>455</v>
      </c>
      <c r="R63" s="239"/>
      <c r="S63" s="239" t="s">
        <v>5738</v>
      </c>
      <c r="T63" s="239" t="s">
        <v>5739</v>
      </c>
      <c r="U63" s="239" t="s">
        <v>7374</v>
      </c>
      <c r="V63" s="3708">
        <f>Fighters!$S62</f>
        <v>61</v>
      </c>
      <c r="W63" s="3708">
        <f>Fighters!$T62</f>
        <v>53</v>
      </c>
      <c r="X63" s="3710" t="str">
        <f>Fighters!$V62</f>
        <v>reflet</v>
      </c>
    </row>
    <row r="64">
      <c r="A64" s="3700">
        <f>Fighters!$A63</f>
        <v>57</v>
      </c>
      <c r="B64" s="3701" t="str">
        <f>Fighters!$B63</f>
        <v>シュルク</v>
      </c>
      <c r="C64" s="3416" t="s">
        <v>799</v>
      </c>
      <c r="D64" s="239" t="s">
        <v>5521</v>
      </c>
      <c r="E64" s="239" t="s">
        <v>5733</v>
      </c>
      <c r="F64" s="239" t="str">
        <f t="shared" si="1"/>
        <v>33 (27)</v>
      </c>
      <c r="G64" s="239" t="s">
        <v>5736</v>
      </c>
      <c r="H64" s="239" t="s">
        <v>2218</v>
      </c>
      <c r="I64" s="239" t="s">
        <v>99</v>
      </c>
      <c r="J64" s="239">
        <f t="shared" si="2"/>
        <v>38</v>
      </c>
      <c r="K64" s="239" t="s">
        <v>5737</v>
      </c>
      <c r="L64" s="239" t="s">
        <v>1886</v>
      </c>
      <c r="M64" s="239" t="s">
        <v>218</v>
      </c>
      <c r="N64" s="239" t="s">
        <v>455</v>
      </c>
      <c r="O64" s="239" t="s">
        <v>1324</v>
      </c>
      <c r="P64" s="239" t="s">
        <v>149</v>
      </c>
      <c r="Q64" s="239" t="s">
        <v>185</v>
      </c>
      <c r="R64" s="239"/>
      <c r="S64" s="239" t="s">
        <v>5738</v>
      </c>
      <c r="T64" s="239" t="s">
        <v>5739</v>
      </c>
      <c r="U64" s="239" t="s">
        <v>7375</v>
      </c>
      <c r="V64" s="3708">
        <f>Fighters!$S63</f>
        <v>62</v>
      </c>
      <c r="W64" s="3708">
        <f>Fighters!$T63</f>
        <v>54</v>
      </c>
      <c r="X64" s="3710" t="str">
        <f>Fighters!$V63</f>
        <v>shulk</v>
      </c>
    </row>
    <row r="65">
      <c r="A65" s="3700">
        <f>Fighters!$A64</f>
        <v>58</v>
      </c>
      <c r="B65" s="3701" t="str">
        <f>Fighters!$B64</f>
        <v>クッパ Jr.</v>
      </c>
      <c r="C65" s="3416" t="s">
        <v>799</v>
      </c>
      <c r="D65" s="239" t="s">
        <v>5521</v>
      </c>
      <c r="E65" s="239" t="s">
        <v>5733</v>
      </c>
      <c r="F65" s="239" t="str">
        <f t="shared" si="1"/>
        <v>33 (27)</v>
      </c>
      <c r="G65" s="239" t="s">
        <v>5736</v>
      </c>
      <c r="H65" s="239" t="s">
        <v>2218</v>
      </c>
      <c r="I65" s="239" t="s">
        <v>99</v>
      </c>
      <c r="J65" s="239">
        <f t="shared" si="2"/>
        <v>38</v>
      </c>
      <c r="K65" s="239" t="s">
        <v>5737</v>
      </c>
      <c r="L65" s="239" t="s">
        <v>1886</v>
      </c>
      <c r="M65" s="239" t="s">
        <v>218</v>
      </c>
      <c r="N65" s="239" t="s">
        <v>455</v>
      </c>
      <c r="O65" s="239" t="s">
        <v>1324</v>
      </c>
      <c r="P65" s="239" t="s">
        <v>149</v>
      </c>
      <c r="Q65" s="239" t="s">
        <v>541</v>
      </c>
      <c r="R65" s="239"/>
      <c r="S65" s="239" t="s">
        <v>5738</v>
      </c>
      <c r="T65" s="239" t="s">
        <v>5739</v>
      </c>
      <c r="U65" s="239" t="s">
        <v>7376</v>
      </c>
      <c r="V65" s="3708">
        <f>Fighters!$S64</f>
        <v>63</v>
      </c>
      <c r="W65" s="3708">
        <f>Fighters!$T64</f>
        <v>55</v>
      </c>
      <c r="X65" s="3710" t="str">
        <f>Fighters!$V64</f>
        <v>koopajr</v>
      </c>
    </row>
    <row r="66">
      <c r="A66" s="3700">
        <f>Fighters!$A65</f>
        <v>59</v>
      </c>
      <c r="B66" s="3701" t="str">
        <f>Fighters!$B65</f>
        <v>ダックハント</v>
      </c>
      <c r="C66" s="3416" t="s">
        <v>799</v>
      </c>
      <c r="D66" s="239" t="s">
        <v>5521</v>
      </c>
      <c r="E66" s="239" t="s">
        <v>5733</v>
      </c>
      <c r="F66" s="239" t="str">
        <f t="shared" si="1"/>
        <v>33 (27)</v>
      </c>
      <c r="G66" s="239" t="s">
        <v>5736</v>
      </c>
      <c r="H66" s="239" t="s">
        <v>2218</v>
      </c>
      <c r="I66" s="239" t="s">
        <v>99</v>
      </c>
      <c r="J66" s="239">
        <f t="shared" si="2"/>
        <v>38</v>
      </c>
      <c r="K66" s="239" t="s">
        <v>5737</v>
      </c>
      <c r="L66" s="239" t="s">
        <v>1886</v>
      </c>
      <c r="M66" s="239" t="s">
        <v>218</v>
      </c>
      <c r="N66" s="239" t="s">
        <v>455</v>
      </c>
      <c r="O66" s="239" t="s">
        <v>4890</v>
      </c>
      <c r="P66" s="239" t="s">
        <v>323</v>
      </c>
      <c r="Q66" s="239" t="s">
        <v>185</v>
      </c>
      <c r="R66" s="239"/>
      <c r="S66" s="239" t="s">
        <v>5738</v>
      </c>
      <c r="T66" s="239" t="s">
        <v>5739</v>
      </c>
      <c r="U66" s="239" t="s">
        <v>7377</v>
      </c>
      <c r="V66" s="3708">
        <f>Fighters!$S65</f>
        <v>64</v>
      </c>
      <c r="W66" s="3708">
        <f>Fighters!$T65</f>
        <v>56</v>
      </c>
      <c r="X66" s="3710" t="str">
        <f>Fighters!$V65</f>
        <v>duckhunt</v>
      </c>
    </row>
    <row r="67">
      <c r="A67" s="3700">
        <f>Fighters!$A66</f>
        <v>60</v>
      </c>
      <c r="B67" s="3701" t="str">
        <f>Fighters!$B66</f>
        <v>リュウ</v>
      </c>
      <c r="C67" s="3416" t="s">
        <v>799</v>
      </c>
      <c r="D67" s="239" t="s">
        <v>5521</v>
      </c>
      <c r="E67" s="239" t="s">
        <v>7300</v>
      </c>
      <c r="F67" s="239" t="str">
        <f t="shared" si="1"/>
        <v>35 (28)</v>
      </c>
      <c r="G67" s="239" t="s">
        <v>5736</v>
      </c>
      <c r="H67" s="239" t="s">
        <v>2218</v>
      </c>
      <c r="I67" s="239" t="s">
        <v>164</v>
      </c>
      <c r="J67" s="239">
        <f t="shared" si="2"/>
        <v>40</v>
      </c>
      <c r="K67" s="239" t="s">
        <v>5737</v>
      </c>
      <c r="L67" s="239" t="s">
        <v>1886</v>
      </c>
      <c r="M67" s="239" t="s">
        <v>193</v>
      </c>
      <c r="N67" s="239" t="s">
        <v>892</v>
      </c>
      <c r="O67" s="239" t="s">
        <v>4890</v>
      </c>
      <c r="P67" s="239" t="s">
        <v>323</v>
      </c>
      <c r="Q67" s="239" t="s">
        <v>185</v>
      </c>
      <c r="R67" s="239"/>
      <c r="S67" s="239" t="s">
        <v>5738</v>
      </c>
      <c r="T67" s="239" t="s">
        <v>5739</v>
      </c>
      <c r="U67" s="239" t="s">
        <v>7378</v>
      </c>
      <c r="V67" s="3708">
        <f>Fighters!$S66</f>
        <v>65</v>
      </c>
      <c r="W67" s="3708">
        <f>Fighters!$T66</f>
        <v>57</v>
      </c>
      <c r="X67" s="3710" t="str">
        <f>Fighters!$V66</f>
        <v>ryu</v>
      </c>
    </row>
    <row r="68">
      <c r="A68" s="3700" t="str">
        <f>Fighters!$A67</f>
        <v>60'</v>
      </c>
      <c r="B68" s="3701" t="str">
        <f>Fighters!$B67</f>
        <v>ケン</v>
      </c>
      <c r="C68" s="3416" t="s">
        <v>799</v>
      </c>
      <c r="D68" s="239" t="s">
        <v>5521</v>
      </c>
      <c r="E68" s="239" t="s">
        <v>7300</v>
      </c>
      <c r="F68" s="239" t="str">
        <f t="shared" si="1"/>
        <v>35 (28)</v>
      </c>
      <c r="G68" s="239" t="s">
        <v>5736</v>
      </c>
      <c r="H68" s="239" t="s">
        <v>2218</v>
      </c>
      <c r="I68" s="239" t="s">
        <v>164</v>
      </c>
      <c r="J68" s="239">
        <f t="shared" si="2"/>
        <v>40</v>
      </c>
      <c r="K68" s="239" t="s">
        <v>5737</v>
      </c>
      <c r="L68" s="239" t="s">
        <v>1886</v>
      </c>
      <c r="M68" s="239" t="s">
        <v>193</v>
      </c>
      <c r="N68" s="239" t="s">
        <v>892</v>
      </c>
      <c r="O68" s="239" t="s">
        <v>4890</v>
      </c>
      <c r="P68" s="239" t="s">
        <v>323</v>
      </c>
      <c r="Q68" s="239" t="s">
        <v>185</v>
      </c>
      <c r="R68" s="239"/>
      <c r="S68" s="239" t="s">
        <v>5738</v>
      </c>
      <c r="T68" s="239" t="s">
        <v>5739</v>
      </c>
      <c r="U68" s="239" t="s">
        <v>7378</v>
      </c>
      <c r="V68" s="3708">
        <f>Fighters!$S67</f>
        <v>66</v>
      </c>
      <c r="W68" s="3708">
        <f>Fighters!$T67</f>
        <v>77</v>
      </c>
      <c r="X68" s="3710" t="str">
        <f>Fighters!$V67</f>
        <v>ken</v>
      </c>
    </row>
    <row r="69">
      <c r="A69" s="3700">
        <f>Fighters!$A68</f>
        <v>61</v>
      </c>
      <c r="B69" s="3701" t="str">
        <f>Fighters!$B68</f>
        <v>クラウド</v>
      </c>
      <c r="C69" s="3416" t="s">
        <v>799</v>
      </c>
      <c r="D69" s="239" t="s">
        <v>5521</v>
      </c>
      <c r="E69" s="239" t="s">
        <v>5733</v>
      </c>
      <c r="F69" s="239" t="str">
        <f t="shared" si="1"/>
        <v>33 (27)</v>
      </c>
      <c r="G69" s="239" t="s">
        <v>5736</v>
      </c>
      <c r="H69" s="239" t="s">
        <v>2218</v>
      </c>
      <c r="I69" s="239" t="s">
        <v>99</v>
      </c>
      <c r="J69" s="239">
        <f t="shared" si="2"/>
        <v>38</v>
      </c>
      <c r="K69" s="239" t="s">
        <v>5737</v>
      </c>
      <c r="L69" s="239" t="s">
        <v>1886</v>
      </c>
      <c r="M69" s="239" t="s">
        <v>218</v>
      </c>
      <c r="N69" s="239" t="s">
        <v>455</v>
      </c>
      <c r="O69" s="239" t="s">
        <v>1324</v>
      </c>
      <c r="P69" s="239" t="s">
        <v>149</v>
      </c>
      <c r="Q69" s="239" t="s">
        <v>111</v>
      </c>
      <c r="R69" s="239"/>
      <c r="S69" s="239" t="s">
        <v>5738</v>
      </c>
      <c r="T69" s="239" t="s">
        <v>5739</v>
      </c>
      <c r="U69" s="239" t="s">
        <v>7379</v>
      </c>
      <c r="V69" s="3708">
        <f>Fighters!$S68</f>
        <v>67</v>
      </c>
      <c r="W69" s="3708">
        <f>Fighters!$T68</f>
        <v>58</v>
      </c>
      <c r="X69" s="3710" t="str">
        <f>Fighters!$V68</f>
        <v>cloud</v>
      </c>
    </row>
    <row r="70">
      <c r="A70" s="3700">
        <f>Fighters!$A69</f>
        <v>62</v>
      </c>
      <c r="B70" s="3701" t="str">
        <f>Fighters!$B69</f>
        <v>カムイ</v>
      </c>
      <c r="C70" s="3416" t="s">
        <v>799</v>
      </c>
      <c r="D70" s="239" t="s">
        <v>5521</v>
      </c>
      <c r="E70" s="239" t="s">
        <v>5733</v>
      </c>
      <c r="F70" s="239" t="str">
        <f t="shared" si="1"/>
        <v>33 (27)</v>
      </c>
      <c r="G70" s="239" t="s">
        <v>5736</v>
      </c>
      <c r="H70" s="239" t="s">
        <v>2218</v>
      </c>
      <c r="I70" s="239" t="s">
        <v>99</v>
      </c>
      <c r="J70" s="239">
        <f t="shared" si="2"/>
        <v>38</v>
      </c>
      <c r="K70" s="239" t="s">
        <v>5737</v>
      </c>
      <c r="L70" s="239" t="s">
        <v>1886</v>
      </c>
      <c r="M70" s="239" t="s">
        <v>218</v>
      </c>
      <c r="N70" s="239" t="s">
        <v>455</v>
      </c>
      <c r="O70" s="239" t="s">
        <v>3250</v>
      </c>
      <c r="P70" s="239" t="s">
        <v>149</v>
      </c>
      <c r="Q70" s="239" t="s">
        <v>185</v>
      </c>
      <c r="R70" s="239"/>
      <c r="S70" s="239" t="s">
        <v>5738</v>
      </c>
      <c r="T70" s="239" t="s">
        <v>5739</v>
      </c>
      <c r="U70" s="239" t="s">
        <v>7380</v>
      </c>
      <c r="V70" s="3708">
        <f>Fighters!$S69</f>
        <v>68</v>
      </c>
      <c r="W70" s="3708">
        <f>Fighters!$T69</f>
        <v>59</v>
      </c>
      <c r="X70" s="3710" t="str">
        <f>Fighters!$V69</f>
        <v>kamui</v>
      </c>
    </row>
    <row r="71">
      <c r="A71" s="3700">
        <f>Fighters!$A70</f>
        <v>63</v>
      </c>
      <c r="B71" s="3701" t="str">
        <f>Fighters!$B70</f>
        <v>ベヨネッタ</v>
      </c>
      <c r="C71" s="3416" t="s">
        <v>5521</v>
      </c>
      <c r="D71" s="239" t="s">
        <v>2203</v>
      </c>
      <c r="E71" s="239" t="s">
        <v>5733</v>
      </c>
      <c r="F71" s="239" t="str">
        <f t="shared" si="1"/>
        <v>33 (27)</v>
      </c>
      <c r="G71" s="239" t="s">
        <v>7308</v>
      </c>
      <c r="H71" s="239" t="s">
        <v>1208</v>
      </c>
      <c r="I71" s="239" t="s">
        <v>271</v>
      </c>
      <c r="J71" s="239">
        <f t="shared" si="2"/>
        <v>41</v>
      </c>
      <c r="K71" s="239" t="s">
        <v>7381</v>
      </c>
      <c r="L71" s="239" t="s">
        <v>2374</v>
      </c>
      <c r="M71" s="239" t="s">
        <v>224</v>
      </c>
      <c r="N71" s="239" t="s">
        <v>289</v>
      </c>
      <c r="O71" s="239" t="s">
        <v>907</v>
      </c>
      <c r="P71" s="239" t="s">
        <v>7382</v>
      </c>
      <c r="Q71" s="239" t="s">
        <v>146</v>
      </c>
      <c r="R71" s="239"/>
      <c r="S71" s="239" t="s">
        <v>2588</v>
      </c>
      <c r="T71" s="239" t="s">
        <v>3258</v>
      </c>
      <c r="U71" s="239" t="s">
        <v>7329</v>
      </c>
      <c r="V71" s="3708">
        <f>Fighters!$S70</f>
        <v>69</v>
      </c>
      <c r="W71" s="3708">
        <f>Fighters!$T70</f>
        <v>60</v>
      </c>
      <c r="X71" s="3710" t="str">
        <f>Fighters!$V70</f>
        <v>bayonetta</v>
      </c>
    </row>
    <row r="72">
      <c r="A72" s="3700">
        <f>Fighters!$A71</f>
        <v>64</v>
      </c>
      <c r="B72" s="3701" t="str">
        <f>Fighters!$B71</f>
        <v>インクリング</v>
      </c>
      <c r="C72" s="3416" t="s">
        <v>799</v>
      </c>
      <c r="D72" s="239" t="s">
        <v>5521</v>
      </c>
      <c r="E72" s="239" t="s">
        <v>5733</v>
      </c>
      <c r="F72" s="239" t="str">
        <f t="shared" si="1"/>
        <v>33 (27)</v>
      </c>
      <c r="G72" s="239" t="s">
        <v>5736</v>
      </c>
      <c r="H72" s="239" t="s">
        <v>2218</v>
      </c>
      <c r="I72" s="239" t="s">
        <v>99</v>
      </c>
      <c r="J72" s="239">
        <f t="shared" si="2"/>
        <v>38</v>
      </c>
      <c r="K72" s="239" t="s">
        <v>5737</v>
      </c>
      <c r="L72" s="239" t="s">
        <v>1886</v>
      </c>
      <c r="M72" s="239" t="s">
        <v>218</v>
      </c>
      <c r="N72" s="239" t="s">
        <v>455</v>
      </c>
      <c r="O72" s="239" t="s">
        <v>3250</v>
      </c>
      <c r="P72" s="239" t="s">
        <v>149</v>
      </c>
      <c r="Q72" s="239" t="s">
        <v>413</v>
      </c>
      <c r="R72" s="239"/>
      <c r="S72" s="239" t="s">
        <v>5738</v>
      </c>
      <c r="T72" s="239" t="s">
        <v>5739</v>
      </c>
      <c r="U72" s="239" t="s">
        <v>7383</v>
      </c>
      <c r="V72" s="3708">
        <f>Fighters!$S71</f>
        <v>70</v>
      </c>
      <c r="W72" s="3708">
        <f>Fighters!$T71</f>
        <v>61</v>
      </c>
      <c r="X72" s="3710" t="str">
        <f>Fighters!$V71</f>
        <v>inkling</v>
      </c>
    </row>
    <row r="73">
      <c r="A73" s="3700">
        <f>Fighters!$A72</f>
        <v>65</v>
      </c>
      <c r="B73" s="3701" t="str">
        <f>Fighters!$B72</f>
        <v>リドリー</v>
      </c>
      <c r="C73" s="3416" t="s">
        <v>5971</v>
      </c>
      <c r="D73" s="239" t="s">
        <v>160</v>
      </c>
      <c r="E73" s="239" t="s">
        <v>7322</v>
      </c>
      <c r="F73" s="239" t="str">
        <f t="shared" si="1"/>
        <v>37 (31)</v>
      </c>
      <c r="G73" s="239" t="s">
        <v>7323</v>
      </c>
      <c r="H73" s="239" t="s">
        <v>588</v>
      </c>
      <c r="I73" s="239" t="s">
        <v>964</v>
      </c>
      <c r="J73" s="239">
        <f t="shared" si="2"/>
        <v>42</v>
      </c>
      <c r="K73" s="239" t="s">
        <v>7324</v>
      </c>
      <c r="L73" s="239" t="s">
        <v>5746</v>
      </c>
      <c r="M73" s="239" t="s">
        <v>79</v>
      </c>
      <c r="N73" s="239" t="s">
        <v>402</v>
      </c>
      <c r="O73" s="239" t="s">
        <v>740</v>
      </c>
      <c r="P73" s="239" t="s">
        <v>5526</v>
      </c>
      <c r="Q73" s="239" t="s">
        <v>374</v>
      </c>
      <c r="R73" s="239"/>
      <c r="S73" s="239" t="s">
        <v>7351</v>
      </c>
      <c r="T73" s="239" t="s">
        <v>7352</v>
      </c>
      <c r="U73" s="239" t="s">
        <v>7384</v>
      </c>
      <c r="V73" s="3708">
        <f>Fighters!$S72</f>
        <v>71</v>
      </c>
      <c r="W73" s="3708">
        <f>Fighters!$T72</f>
        <v>62</v>
      </c>
      <c r="X73" s="3710" t="str">
        <f>Fighters!$V72</f>
        <v>ridley</v>
      </c>
    </row>
    <row r="74">
      <c r="A74" s="3700">
        <f>Fighters!$A73</f>
        <v>66</v>
      </c>
      <c r="B74" s="3701" t="str">
        <f>Fighters!$B73</f>
        <v>シモン</v>
      </c>
      <c r="C74" s="3416" t="s">
        <v>799</v>
      </c>
      <c r="D74" s="239" t="s">
        <v>5521</v>
      </c>
      <c r="E74" s="239" t="s">
        <v>7300</v>
      </c>
      <c r="F74" s="239" t="str">
        <f t="shared" si="1"/>
        <v>35 (28)</v>
      </c>
      <c r="G74" s="239" t="s">
        <v>5736</v>
      </c>
      <c r="H74" s="239" t="s">
        <v>2218</v>
      </c>
      <c r="I74" s="239" t="s">
        <v>164</v>
      </c>
      <c r="J74" s="239">
        <f t="shared" si="2"/>
        <v>40</v>
      </c>
      <c r="K74" s="239" t="s">
        <v>5737</v>
      </c>
      <c r="L74" s="239" t="s">
        <v>1886</v>
      </c>
      <c r="M74" s="239" t="s">
        <v>193</v>
      </c>
      <c r="N74" s="239" t="s">
        <v>892</v>
      </c>
      <c r="O74" s="239" t="s">
        <v>3250</v>
      </c>
      <c r="P74" s="239" t="s">
        <v>149</v>
      </c>
      <c r="Q74" s="239" t="s">
        <v>374</v>
      </c>
      <c r="R74" s="239"/>
      <c r="S74" s="239" t="s">
        <v>5738</v>
      </c>
      <c r="T74" s="239" t="s">
        <v>5739</v>
      </c>
      <c r="U74" s="239" t="s">
        <v>7385</v>
      </c>
      <c r="V74" s="3708">
        <f>Fighters!$S73</f>
        <v>72</v>
      </c>
      <c r="W74" s="3708">
        <f>Fighters!$T73</f>
        <v>63</v>
      </c>
      <c r="X74" s="3710" t="str">
        <f>Fighters!$V73</f>
        <v>simon</v>
      </c>
    </row>
    <row r="75">
      <c r="A75" s="3700" t="str">
        <f>Fighters!$A74</f>
        <v>66'</v>
      </c>
      <c r="B75" s="3701" t="str">
        <f>Fighters!$B74</f>
        <v>リヒター</v>
      </c>
      <c r="C75" s="3416" t="s">
        <v>799</v>
      </c>
      <c r="D75" s="239" t="s">
        <v>5521</v>
      </c>
      <c r="E75" s="239" t="s">
        <v>7300</v>
      </c>
      <c r="F75" s="239" t="str">
        <f t="shared" si="1"/>
        <v>35 (28)</v>
      </c>
      <c r="G75" s="239" t="s">
        <v>5736</v>
      </c>
      <c r="H75" s="239" t="s">
        <v>2218</v>
      </c>
      <c r="I75" s="239" t="s">
        <v>164</v>
      </c>
      <c r="J75" s="239">
        <f t="shared" si="2"/>
        <v>40</v>
      </c>
      <c r="K75" s="239" t="s">
        <v>5737</v>
      </c>
      <c r="L75" s="239" t="s">
        <v>1886</v>
      </c>
      <c r="M75" s="239" t="s">
        <v>193</v>
      </c>
      <c r="N75" s="239" t="s">
        <v>892</v>
      </c>
      <c r="O75" s="239" t="s">
        <v>3250</v>
      </c>
      <c r="P75" s="239" t="s">
        <v>149</v>
      </c>
      <c r="Q75" s="239" t="s">
        <v>374</v>
      </c>
      <c r="R75" s="239"/>
      <c r="S75" s="239" t="s">
        <v>5738</v>
      </c>
      <c r="T75" s="239" t="s">
        <v>5739</v>
      </c>
      <c r="U75" s="239" t="s">
        <v>7385</v>
      </c>
      <c r="V75" s="3708">
        <f>Fighters!$S74</f>
        <v>73</v>
      </c>
      <c r="W75" s="3708">
        <f>Fighters!$T74</f>
        <v>78</v>
      </c>
      <c r="X75" s="3710" t="str">
        <f>Fighters!$V74</f>
        <v>richter</v>
      </c>
    </row>
    <row r="76">
      <c r="A76" s="3700">
        <f>Fighters!$A75</f>
        <v>67</v>
      </c>
      <c r="B76" s="3701" t="str">
        <f>Fighters!$B75</f>
        <v>キングクルール</v>
      </c>
      <c r="C76" s="3416" t="s">
        <v>5971</v>
      </c>
      <c r="D76" s="239" t="s">
        <v>160</v>
      </c>
      <c r="E76" s="239" t="s">
        <v>7322</v>
      </c>
      <c r="F76" s="239" t="str">
        <f t="shared" si="1"/>
        <v>37 (31)</v>
      </c>
      <c r="G76" s="239" t="s">
        <v>7323</v>
      </c>
      <c r="H76" s="239" t="s">
        <v>588</v>
      </c>
      <c r="I76" s="239" t="s">
        <v>964</v>
      </c>
      <c r="J76" s="239">
        <f t="shared" si="2"/>
        <v>42</v>
      </c>
      <c r="K76" s="239" t="s">
        <v>7324</v>
      </c>
      <c r="L76" s="239" t="s">
        <v>5746</v>
      </c>
      <c r="M76" s="239" t="s">
        <v>79</v>
      </c>
      <c r="N76" s="239" t="s">
        <v>402</v>
      </c>
      <c r="O76" s="239" t="s">
        <v>1322</v>
      </c>
      <c r="P76" s="239" t="s">
        <v>7347</v>
      </c>
      <c r="Q76" s="239" t="s">
        <v>374</v>
      </c>
      <c r="R76" s="239"/>
      <c r="S76" s="239" t="s">
        <v>1682</v>
      </c>
      <c r="T76" s="239" t="s">
        <v>1961</v>
      </c>
      <c r="U76" s="239" t="s">
        <v>7386</v>
      </c>
      <c r="V76" s="3708">
        <f>Fighters!$S75</f>
        <v>74</v>
      </c>
      <c r="W76" s="3708">
        <f>Fighters!$T75</f>
        <v>64</v>
      </c>
      <c r="X76" s="3710" t="str">
        <f>Fighters!$V75</f>
        <v>krool</v>
      </c>
    </row>
    <row r="77">
      <c r="A77" s="3700">
        <f>Fighters!$A76</f>
        <v>68</v>
      </c>
      <c r="B77" s="3701" t="str">
        <f>Fighters!$B76</f>
        <v>しずえ</v>
      </c>
      <c r="C77" s="3416" t="s">
        <v>799</v>
      </c>
      <c r="D77" s="239" t="s">
        <v>5521</v>
      </c>
      <c r="E77" s="239" t="s">
        <v>5733</v>
      </c>
      <c r="F77" s="239" t="str">
        <f t="shared" si="1"/>
        <v>33 (27)</v>
      </c>
      <c r="G77" s="239" t="s">
        <v>5736</v>
      </c>
      <c r="H77" s="239" t="s">
        <v>2218</v>
      </c>
      <c r="I77" s="239" t="s">
        <v>99</v>
      </c>
      <c r="J77" s="239">
        <f t="shared" si="2"/>
        <v>38</v>
      </c>
      <c r="K77" s="239" t="s">
        <v>5737</v>
      </c>
      <c r="L77" s="239" t="s">
        <v>1886</v>
      </c>
      <c r="M77" s="239" t="s">
        <v>218</v>
      </c>
      <c r="N77" s="239" t="s">
        <v>455</v>
      </c>
      <c r="O77" s="239" t="s">
        <v>1324</v>
      </c>
      <c r="P77" s="239" t="s">
        <v>149</v>
      </c>
      <c r="Q77" s="239" t="s">
        <v>810</v>
      </c>
      <c r="R77" s="239"/>
      <c r="S77" s="239" t="s">
        <v>5738</v>
      </c>
      <c r="T77" s="239" t="s">
        <v>5739</v>
      </c>
      <c r="U77" s="239" t="s">
        <v>7387</v>
      </c>
      <c r="V77" s="3708">
        <f>Fighters!$S76</f>
        <v>75</v>
      </c>
      <c r="W77" s="3708">
        <f>Fighters!$T76</f>
        <v>65</v>
      </c>
      <c r="X77" s="3710" t="str">
        <f>Fighters!$V76</f>
        <v>shizue</v>
      </c>
    </row>
    <row r="78">
      <c r="A78" s="3700">
        <f>Fighters!$A77</f>
        <v>69</v>
      </c>
      <c r="B78" s="3701" t="str">
        <f>Fighters!$B77</f>
        <v>ガオガエン</v>
      </c>
      <c r="C78" s="3416" t="s">
        <v>799</v>
      </c>
      <c r="D78" s="239" t="s">
        <v>5521</v>
      </c>
      <c r="E78" s="239" t="s">
        <v>7300</v>
      </c>
      <c r="F78" s="239" t="str">
        <f t="shared" si="1"/>
        <v>35 (28)</v>
      </c>
      <c r="G78" s="239" t="s">
        <v>5736</v>
      </c>
      <c r="H78" s="239" t="s">
        <v>2218</v>
      </c>
      <c r="I78" s="239" t="s">
        <v>164</v>
      </c>
      <c r="J78" s="239">
        <f t="shared" si="2"/>
        <v>40</v>
      </c>
      <c r="K78" s="239" t="s">
        <v>5737</v>
      </c>
      <c r="L78" s="239" t="s">
        <v>1886</v>
      </c>
      <c r="M78" s="239" t="s">
        <v>193</v>
      </c>
      <c r="N78" s="239" t="s">
        <v>892</v>
      </c>
      <c r="O78" s="239" t="s">
        <v>3250</v>
      </c>
      <c r="P78" s="239" t="s">
        <v>149</v>
      </c>
      <c r="Q78" s="239" t="s">
        <v>393</v>
      </c>
      <c r="R78" s="239"/>
      <c r="S78" s="239" t="s">
        <v>5738</v>
      </c>
      <c r="T78" s="239" t="s">
        <v>5739</v>
      </c>
      <c r="U78" s="239" t="s">
        <v>7388</v>
      </c>
      <c r="V78" s="3708">
        <f>Fighters!$S77</f>
        <v>76</v>
      </c>
      <c r="W78" s="3708">
        <f>Fighters!$T77</f>
        <v>66</v>
      </c>
      <c r="X78" s="3710" t="str">
        <f>Fighters!$V77</f>
        <v>gaogaen</v>
      </c>
    </row>
    <row r="79">
      <c r="A79" s="3700">
        <f>Fighters!$A78</f>
        <v>70</v>
      </c>
      <c r="B79" s="3701" t="str">
        <f>Fighters!$B78</f>
        <v>パックンフラワー</v>
      </c>
      <c r="C79" s="3416" t="s">
        <v>799</v>
      </c>
      <c r="D79" s="239" t="s">
        <v>5521</v>
      </c>
      <c r="E79" s="239" t="s">
        <v>5733</v>
      </c>
      <c r="F79" s="239" t="str">
        <f t="shared" si="1"/>
        <v>33 (27)</v>
      </c>
      <c r="G79" s="239" t="s">
        <v>5736</v>
      </c>
      <c r="H79" s="239" t="s">
        <v>2218</v>
      </c>
      <c r="I79" s="239" t="s">
        <v>99</v>
      </c>
      <c r="J79" s="239">
        <f t="shared" si="2"/>
        <v>38</v>
      </c>
      <c r="K79" s="239" t="s">
        <v>5737</v>
      </c>
      <c r="L79" s="239" t="s">
        <v>1886</v>
      </c>
      <c r="M79" s="239" t="s">
        <v>218</v>
      </c>
      <c r="N79" s="239" t="s">
        <v>455</v>
      </c>
      <c r="O79" s="239" t="s">
        <v>1324</v>
      </c>
      <c r="P79" s="239" t="s">
        <v>149</v>
      </c>
      <c r="Q79" s="239" t="s">
        <v>221</v>
      </c>
      <c r="R79" s="239"/>
      <c r="S79" s="239" t="s">
        <v>5738</v>
      </c>
      <c r="T79" s="239" t="s">
        <v>5739</v>
      </c>
      <c r="U79" s="239" t="s">
        <v>7389</v>
      </c>
      <c r="V79" s="3708">
        <f>Fighters!$S78</f>
        <v>77</v>
      </c>
      <c r="W79" s="3708">
        <f>Fighters!$T78</f>
        <v>67</v>
      </c>
      <c r="X79" s="3739" t="str">
        <f>Fighters!$V78</f>
        <v>packun</v>
      </c>
    </row>
    <row r="80">
      <c r="A80" s="3700">
        <f>Fighters!$A79</f>
        <v>71</v>
      </c>
      <c r="B80" s="3701" t="str">
        <f>Fighters!$B79</f>
        <v>ジョーカー</v>
      </c>
      <c r="C80" s="3416" t="s">
        <v>799</v>
      </c>
      <c r="D80" s="239" t="s">
        <v>5521</v>
      </c>
      <c r="E80" s="239" t="s">
        <v>5733</v>
      </c>
      <c r="F80" s="239" t="str">
        <f t="shared" si="1"/>
        <v>33 (27)</v>
      </c>
      <c r="G80" s="239" t="s">
        <v>5736</v>
      </c>
      <c r="H80" s="239" t="s">
        <v>2218</v>
      </c>
      <c r="I80" s="239" t="s">
        <v>99</v>
      </c>
      <c r="J80" s="239">
        <f t="shared" si="2"/>
        <v>38</v>
      </c>
      <c r="K80" s="239" t="s">
        <v>5737</v>
      </c>
      <c r="L80" s="239" t="s">
        <v>1886</v>
      </c>
      <c r="M80" s="239" t="s">
        <v>218</v>
      </c>
      <c r="N80" s="239" t="s">
        <v>455</v>
      </c>
      <c r="O80" s="239" t="s">
        <v>1324</v>
      </c>
      <c r="P80" s="239" t="s">
        <v>149</v>
      </c>
      <c r="Q80" s="239" t="s">
        <v>111</v>
      </c>
      <c r="R80" s="239"/>
      <c r="S80" s="239" t="s">
        <v>5738</v>
      </c>
      <c r="T80" s="239" t="s">
        <v>5739</v>
      </c>
      <c r="U80" s="239" t="s">
        <v>7390</v>
      </c>
      <c r="V80" s="3708">
        <f>Fighters!$S79</f>
        <v>78</v>
      </c>
      <c r="W80" s="3708">
        <f>Fighters!$T79</f>
        <v>68</v>
      </c>
      <c r="X80" s="3739" t="str">
        <f>Fighters!$V79</f>
        <v>jack</v>
      </c>
    </row>
    <row r="81">
      <c r="A81" s="3700">
        <f>Fighters!$A80</f>
        <v>72</v>
      </c>
      <c r="B81" s="3701" t="str">
        <f>Fighters!$B80</f>
        <v>勇者</v>
      </c>
      <c r="C81" s="3416" t="s">
        <v>799</v>
      </c>
      <c r="D81" s="239" t="s">
        <v>5521</v>
      </c>
      <c r="E81" s="239" t="s">
        <v>5733</v>
      </c>
      <c r="F81" s="239" t="s">
        <v>5734</v>
      </c>
      <c r="G81" s="239" t="s">
        <v>5736</v>
      </c>
      <c r="H81" s="239" t="s">
        <v>2218</v>
      </c>
      <c r="I81" s="239" t="s">
        <v>99</v>
      </c>
      <c r="J81" s="239">
        <v>38.0</v>
      </c>
      <c r="K81" s="239" t="s">
        <v>5737</v>
      </c>
      <c r="L81" s="239" t="s">
        <v>1886</v>
      </c>
      <c r="M81" s="239" t="s">
        <v>218</v>
      </c>
      <c r="N81" s="239" t="s">
        <v>455</v>
      </c>
      <c r="O81" s="239" t="s">
        <v>1324</v>
      </c>
      <c r="P81" s="239" t="s">
        <v>149</v>
      </c>
      <c r="Q81" s="239" t="s">
        <v>413</v>
      </c>
      <c r="R81" s="239"/>
      <c r="S81" s="239" t="s">
        <v>5738</v>
      </c>
      <c r="T81" s="239" t="s">
        <v>5739</v>
      </c>
      <c r="U81" s="239" t="s">
        <v>7391</v>
      </c>
      <c r="V81" s="3708">
        <f>Fighters!$S80</f>
        <v>79</v>
      </c>
      <c r="W81" s="3708">
        <f>Fighters!$T80</f>
        <v>69</v>
      </c>
      <c r="X81" s="3739" t="str">
        <f>Fighters!$V80</f>
        <v>brave</v>
      </c>
    </row>
    <row r="82">
      <c r="A82" s="3700">
        <f>Fighters!$A81</f>
        <v>73</v>
      </c>
      <c r="B82" s="3701" t="str">
        <f>Fighters!$B81</f>
        <v>バンジョー&amp;カズーイ</v>
      </c>
      <c r="C82" s="3416" t="s">
        <v>799</v>
      </c>
      <c r="D82" s="239" t="s">
        <v>5521</v>
      </c>
      <c r="E82" s="239" t="s">
        <v>5733</v>
      </c>
      <c r="F82" s="239" t="s">
        <v>5734</v>
      </c>
      <c r="G82" s="239" t="s">
        <v>5736</v>
      </c>
      <c r="H82" s="239" t="s">
        <v>2218</v>
      </c>
      <c r="I82" s="239" t="s">
        <v>99</v>
      </c>
      <c r="J82" s="239">
        <v>38.0</v>
      </c>
      <c r="K82" s="239" t="s">
        <v>5737</v>
      </c>
      <c r="L82" s="239" t="s">
        <v>1886</v>
      </c>
      <c r="M82" s="239" t="s">
        <v>218</v>
      </c>
      <c r="N82" s="239" t="s">
        <v>455</v>
      </c>
      <c r="O82" s="239" t="s">
        <v>1324</v>
      </c>
      <c r="P82" s="239" t="s">
        <v>149</v>
      </c>
      <c r="Q82" s="239" t="s">
        <v>146</v>
      </c>
      <c r="R82" s="239"/>
      <c r="S82" s="239" t="s">
        <v>5738</v>
      </c>
      <c r="T82" s="239" t="s">
        <v>5739</v>
      </c>
      <c r="U82" s="239" t="s">
        <v>7392</v>
      </c>
      <c r="V82" s="3708">
        <f>Fighters!$S81</f>
        <v>80</v>
      </c>
      <c r="W82" s="3708">
        <f>Fighters!$T81</f>
        <v>70</v>
      </c>
      <c r="X82" s="3739" t="str">
        <f>Fighters!$V81</f>
        <v>buddy</v>
      </c>
    </row>
    <row r="83">
      <c r="A83" s="3700">
        <f>Fighters!$A82</f>
        <v>74</v>
      </c>
      <c r="B83" s="3701" t="str">
        <f>Fighters!$B82</f>
        <v>テリー</v>
      </c>
      <c r="C83" s="3416" t="s">
        <v>799</v>
      </c>
      <c r="D83" s="239" t="s">
        <v>5521</v>
      </c>
      <c r="E83" s="239" t="s">
        <v>5733</v>
      </c>
      <c r="F83" s="239" t="s">
        <v>5734</v>
      </c>
      <c r="G83" s="239" t="s">
        <v>5736</v>
      </c>
      <c r="H83" s="239" t="s">
        <v>2218</v>
      </c>
      <c r="I83" s="239" t="s">
        <v>99</v>
      </c>
      <c r="J83" s="239">
        <v>38.0</v>
      </c>
      <c r="K83" s="239" t="s">
        <v>5737</v>
      </c>
      <c r="L83" s="239" t="s">
        <v>1886</v>
      </c>
      <c r="M83" s="239" t="s">
        <v>218</v>
      </c>
      <c r="N83" s="239" t="s">
        <v>455</v>
      </c>
      <c r="O83" s="239" t="s">
        <v>1324</v>
      </c>
      <c r="P83" s="239" t="s">
        <v>149</v>
      </c>
      <c r="Q83" s="239" t="s">
        <v>455</v>
      </c>
      <c r="R83" s="239"/>
      <c r="S83" s="239" t="s">
        <v>5738</v>
      </c>
      <c r="T83" s="239" t="s">
        <v>5739</v>
      </c>
      <c r="U83" s="239" t="s">
        <v>5740</v>
      </c>
      <c r="V83" s="3708">
        <f>Fighters!$S82</f>
        <v>81</v>
      </c>
      <c r="W83" s="3708">
        <f>Fighters!$T82</f>
        <v>71</v>
      </c>
      <c r="X83" s="3739" t="str">
        <f>Fighters!$V82</f>
        <v>dolly</v>
      </c>
    </row>
    <row r="84">
      <c r="A84" s="3700">
        <f>Fighters!$A83</f>
        <v>75</v>
      </c>
      <c r="B84" s="3701" t="str">
        <f>Fighters!$B83</f>
        <v>ベレト／ベレス</v>
      </c>
      <c r="C84" s="3416" t="s">
        <v>799</v>
      </c>
      <c r="D84" s="239" t="s">
        <v>5521</v>
      </c>
      <c r="E84" s="239" t="s">
        <v>5733</v>
      </c>
      <c r="F84" s="239" t="s">
        <v>5734</v>
      </c>
      <c r="G84" s="239" t="s">
        <v>5736</v>
      </c>
      <c r="H84" s="239" t="s">
        <v>2218</v>
      </c>
      <c r="I84" s="239" t="s">
        <v>99</v>
      </c>
      <c r="J84" s="239">
        <v>38.0</v>
      </c>
      <c r="K84" s="239" t="s">
        <v>5737</v>
      </c>
      <c r="L84" s="239" t="s">
        <v>1886</v>
      </c>
      <c r="M84" s="239" t="s">
        <v>218</v>
      </c>
      <c r="N84" s="239" t="s">
        <v>455</v>
      </c>
      <c r="O84" s="239" t="s">
        <v>1324</v>
      </c>
      <c r="P84" s="239" t="s">
        <v>149</v>
      </c>
      <c r="Q84" s="239" t="s">
        <v>185</v>
      </c>
      <c r="R84" s="239"/>
      <c r="S84" s="239" t="s">
        <v>5738</v>
      </c>
      <c r="T84" s="239" t="s">
        <v>5739</v>
      </c>
      <c r="U84" s="239" t="s">
        <v>5799</v>
      </c>
      <c r="V84" s="3708">
        <f>Fighters!$S83</f>
        <v>82</v>
      </c>
      <c r="W84" s="3708">
        <f>Fighters!$T83</f>
        <v>72</v>
      </c>
      <c r="X84" s="3739" t="str">
        <f>Fighters!$V83</f>
        <v>master</v>
      </c>
    </row>
    <row r="85">
      <c r="A85" s="3700">
        <f>Fighters!$A84</f>
        <v>76</v>
      </c>
      <c r="B85" s="3701" t="str">
        <f>Fighters!$B84</f>
        <v>ミェンミェン</v>
      </c>
      <c r="C85" s="3416" t="s">
        <v>799</v>
      </c>
      <c r="D85" s="239" t="s">
        <v>5521</v>
      </c>
      <c r="E85" s="239" t="s">
        <v>5733</v>
      </c>
      <c r="F85" s="239" t="s">
        <v>5734</v>
      </c>
      <c r="G85" s="239" t="s">
        <v>5736</v>
      </c>
      <c r="H85" s="239" t="s">
        <v>2218</v>
      </c>
      <c r="I85" s="239" t="s">
        <v>99</v>
      </c>
      <c r="J85" s="239">
        <v>38.0</v>
      </c>
      <c r="K85" s="239" t="s">
        <v>5737</v>
      </c>
      <c r="L85" s="239" t="s">
        <v>1886</v>
      </c>
      <c r="M85" s="239" t="s">
        <v>218</v>
      </c>
      <c r="N85" s="239" t="s">
        <v>455</v>
      </c>
      <c r="O85" s="239" t="s">
        <v>1324</v>
      </c>
      <c r="P85" s="239" t="s">
        <v>149</v>
      </c>
      <c r="Q85" s="365" t="s">
        <v>413</v>
      </c>
      <c r="R85" s="239"/>
      <c r="S85" s="239" t="s">
        <v>5738</v>
      </c>
      <c r="T85" s="239" t="s">
        <v>5739</v>
      </c>
      <c r="U85" s="239" t="s">
        <v>7393</v>
      </c>
      <c r="V85" s="3708">
        <f>Fighters!$S84</f>
        <v>83</v>
      </c>
      <c r="W85" s="3708">
        <f>Fighters!$T84</f>
        <v>73</v>
      </c>
      <c r="X85" s="3739" t="str">
        <f>Fighters!$V84</f>
        <v>tantan</v>
      </c>
    </row>
    <row r="86">
      <c r="A86" s="3700">
        <f>Fighters!$A85</f>
        <v>77</v>
      </c>
      <c r="B86" s="3701" t="str">
        <f>Fighters!$B85</f>
        <v>スティーブ／アレックス</v>
      </c>
      <c r="C86" s="3416" t="s">
        <v>799</v>
      </c>
      <c r="D86" s="239" t="s">
        <v>5521</v>
      </c>
      <c r="E86" s="239" t="s">
        <v>5733</v>
      </c>
      <c r="F86" s="239" t="s">
        <v>5734</v>
      </c>
      <c r="G86" s="239" t="s">
        <v>5736</v>
      </c>
      <c r="H86" s="239" t="s">
        <v>2218</v>
      </c>
      <c r="I86" s="239" t="s">
        <v>99</v>
      </c>
      <c r="J86" s="239">
        <v>38.0</v>
      </c>
      <c r="K86" s="239" t="s">
        <v>5737</v>
      </c>
      <c r="L86" s="239" t="s">
        <v>1886</v>
      </c>
      <c r="M86" s="239" t="s">
        <v>218</v>
      </c>
      <c r="N86" s="239" t="s">
        <v>455</v>
      </c>
      <c r="O86" s="239" t="s">
        <v>1324</v>
      </c>
      <c r="P86" s="239" t="s">
        <v>149</v>
      </c>
      <c r="Q86" s="239" t="s">
        <v>289</v>
      </c>
      <c r="R86" s="239"/>
      <c r="S86" s="239" t="s">
        <v>5738</v>
      </c>
      <c r="T86" s="239" t="s">
        <v>5739</v>
      </c>
      <c r="U86" s="239" t="s">
        <v>7394</v>
      </c>
      <c r="V86" s="3708">
        <f>Fighters!$S85</f>
        <v>84</v>
      </c>
      <c r="W86" s="3708">
        <f>Fighters!$T85</f>
        <v>74</v>
      </c>
      <c r="X86" s="3739" t="str">
        <f>Fighters!$V85</f>
        <v>pickel</v>
      </c>
    </row>
    <row r="87">
      <c r="A87" s="3700">
        <f>Fighters!$A86</f>
        <v>78</v>
      </c>
      <c r="B87" s="3753" t="s">
        <v>7252</v>
      </c>
      <c r="C87" s="3416" t="s">
        <v>799</v>
      </c>
      <c r="D87" s="239" t="s">
        <v>5521</v>
      </c>
      <c r="E87" s="239" t="s">
        <v>5733</v>
      </c>
      <c r="F87" s="239" t="s">
        <v>5734</v>
      </c>
      <c r="G87" s="239" t="s">
        <v>5736</v>
      </c>
      <c r="H87" s="239" t="s">
        <v>2218</v>
      </c>
      <c r="I87" s="239" t="s">
        <v>99</v>
      </c>
      <c r="J87" s="239" t="s">
        <v>282</v>
      </c>
      <c r="K87" s="239" t="s">
        <v>5737</v>
      </c>
      <c r="L87" s="239" t="s">
        <v>1886</v>
      </c>
      <c r="M87" s="239" t="s">
        <v>218</v>
      </c>
      <c r="N87" s="239" t="s">
        <v>455</v>
      </c>
      <c r="O87" s="239" t="s">
        <v>1324</v>
      </c>
      <c r="P87" s="239" t="s">
        <v>149</v>
      </c>
      <c r="Q87" s="239" t="s">
        <v>393</v>
      </c>
      <c r="R87" s="239"/>
      <c r="S87" s="239" t="s">
        <v>5738</v>
      </c>
      <c r="T87" s="239" t="s">
        <v>5739</v>
      </c>
      <c r="U87" s="239" t="s">
        <v>7395</v>
      </c>
      <c r="V87" s="3708">
        <f>Fighters!$S86</f>
        <v>85</v>
      </c>
      <c r="W87" s="3708">
        <f>Fighters!$T86</f>
        <v>75</v>
      </c>
      <c r="X87" s="3739" t="str">
        <f>Fighters!$V86</f>
        <v>edge</v>
      </c>
    </row>
    <row r="88">
      <c r="A88" s="3700">
        <f>Fighters!$A87</f>
        <v>79</v>
      </c>
      <c r="B88" s="3701" t="str">
        <f>Fighters!$B87</f>
        <v>ホムラ</v>
      </c>
      <c r="C88" s="3416" t="s">
        <v>799</v>
      </c>
      <c r="D88" s="239" t="s">
        <v>5521</v>
      </c>
      <c r="E88" s="239" t="s">
        <v>5733</v>
      </c>
      <c r="F88" s="239" t="s">
        <v>5734</v>
      </c>
      <c r="G88" s="239" t="s">
        <v>5736</v>
      </c>
      <c r="H88" s="239" t="s">
        <v>2218</v>
      </c>
      <c r="I88" s="239" t="s">
        <v>99</v>
      </c>
      <c r="J88" s="239" t="s">
        <v>282</v>
      </c>
      <c r="K88" s="239" t="s">
        <v>5737</v>
      </c>
      <c r="L88" s="239" t="s">
        <v>1886</v>
      </c>
      <c r="M88" s="239" t="s">
        <v>218</v>
      </c>
      <c r="N88" s="239" t="s">
        <v>455</v>
      </c>
      <c r="O88" s="239" t="s">
        <v>1324</v>
      </c>
      <c r="P88" s="239" t="s">
        <v>149</v>
      </c>
      <c r="Q88" s="239" t="s">
        <v>185</v>
      </c>
      <c r="R88" s="239"/>
      <c r="S88" s="239" t="s">
        <v>5738</v>
      </c>
      <c r="T88" s="239" t="s">
        <v>5739</v>
      </c>
      <c r="U88" s="239" t="s">
        <v>7396</v>
      </c>
      <c r="V88" s="3708">
        <f>Fighters!$S87</f>
        <v>86</v>
      </c>
      <c r="W88" s="3708">
        <f>Fighters!$T87</f>
        <v>76</v>
      </c>
      <c r="X88" s="3739" t="str">
        <f>Fighters!$V87</f>
        <v>eflame</v>
      </c>
    </row>
    <row r="89">
      <c r="A89" s="3700">
        <f>Fighters!$A88</f>
        <v>80</v>
      </c>
      <c r="B89" s="3701" t="str">
        <f>Fighters!$B88</f>
        <v>ヒカリ</v>
      </c>
      <c r="C89" s="3416" t="s">
        <v>1961</v>
      </c>
      <c r="D89" s="239" t="s">
        <v>7397</v>
      </c>
      <c r="E89" s="239" t="s">
        <v>7398</v>
      </c>
      <c r="F89" s="239" t="s">
        <v>7399</v>
      </c>
      <c r="G89" s="239" t="s">
        <v>3237</v>
      </c>
      <c r="H89" s="239" t="s">
        <v>844</v>
      </c>
      <c r="I89" s="239" t="s">
        <v>193</v>
      </c>
      <c r="J89" s="239" t="s">
        <v>374</v>
      </c>
      <c r="K89" s="239" t="s">
        <v>742</v>
      </c>
      <c r="L89" s="239" t="s">
        <v>1378</v>
      </c>
      <c r="M89" s="239" t="s">
        <v>282</v>
      </c>
      <c r="N89" s="239" t="s">
        <v>600</v>
      </c>
      <c r="O89" s="239" t="s">
        <v>7400</v>
      </c>
      <c r="P89" s="239" t="s">
        <v>5050</v>
      </c>
      <c r="Q89" s="239" t="s">
        <v>393</v>
      </c>
      <c r="R89" s="239"/>
      <c r="S89" s="365" t="s">
        <v>7352</v>
      </c>
      <c r="T89" s="239" t="s">
        <v>1007</v>
      </c>
      <c r="U89" s="239" t="s">
        <v>7401</v>
      </c>
      <c r="V89" s="3708">
        <f>Fighters!$S88</f>
        <v>87</v>
      </c>
      <c r="W89" s="3708">
        <f>Fighters!$T88</f>
        <v>77</v>
      </c>
      <c r="X89" s="3739" t="str">
        <f>Fighters!$V88</f>
        <v>elight</v>
      </c>
    </row>
    <row r="90">
      <c r="A90" s="3700">
        <f>Fighters!$A89</f>
        <v>81</v>
      </c>
      <c r="B90" s="3701" t="str">
        <f>Fighters!$B89</f>
        <v>カズヤ</v>
      </c>
      <c r="C90" s="3416" t="s">
        <v>799</v>
      </c>
      <c r="D90" s="239" t="s">
        <v>5521</v>
      </c>
      <c r="E90" s="239" t="s">
        <v>5733</v>
      </c>
      <c r="F90" s="239" t="s">
        <v>5734</v>
      </c>
      <c r="G90" s="239" t="s">
        <v>5736</v>
      </c>
      <c r="H90" s="239" t="s">
        <v>2218</v>
      </c>
      <c r="I90" s="239" t="s">
        <v>99</v>
      </c>
      <c r="J90" s="239" t="s">
        <v>282</v>
      </c>
      <c r="K90" s="239" t="s">
        <v>5737</v>
      </c>
      <c r="L90" s="239" t="s">
        <v>1886</v>
      </c>
      <c r="M90" s="239" t="s">
        <v>218</v>
      </c>
      <c r="N90" s="239" t="s">
        <v>455</v>
      </c>
      <c r="O90" s="239" t="s">
        <v>1324</v>
      </c>
      <c r="P90" s="239" t="s">
        <v>149</v>
      </c>
      <c r="Q90" s="239" t="s">
        <v>111</v>
      </c>
      <c r="R90" s="239"/>
      <c r="S90" s="239" t="s">
        <v>5738</v>
      </c>
      <c r="T90" s="239" t="s">
        <v>5739</v>
      </c>
      <c r="U90" s="239" t="s">
        <v>7402</v>
      </c>
      <c r="V90" s="3708">
        <f>Fighters!$S89</f>
        <v>88</v>
      </c>
      <c r="W90" s="3708">
        <f>Fighters!$T89</f>
        <v>78</v>
      </c>
      <c r="X90" s="3754" t="s">
        <v>7267</v>
      </c>
    </row>
    <row r="91">
      <c r="A91" s="3755">
        <f>Fighters!$A90</f>
        <v>82</v>
      </c>
      <c r="B91" s="3756" t="str">
        <f>Fighters!$B90</f>
        <v>ソラ</v>
      </c>
      <c r="C91" s="3665" t="s">
        <v>799</v>
      </c>
      <c r="D91" s="3665" t="s">
        <v>5521</v>
      </c>
      <c r="E91" s="3665" t="s">
        <v>5733</v>
      </c>
      <c r="F91" s="3665" t="s">
        <v>5734</v>
      </c>
      <c r="G91" s="3665" t="s">
        <v>5736</v>
      </c>
      <c r="H91" s="3665" t="s">
        <v>2218</v>
      </c>
      <c r="I91" s="3665" t="s">
        <v>99</v>
      </c>
      <c r="J91" s="3665" t="s">
        <v>282</v>
      </c>
      <c r="K91" s="3665" t="s">
        <v>5737</v>
      </c>
      <c r="L91" s="3665" t="s">
        <v>1886</v>
      </c>
      <c r="M91" s="3665" t="s">
        <v>218</v>
      </c>
      <c r="N91" s="3665" t="s">
        <v>455</v>
      </c>
      <c r="O91" s="3665" t="s">
        <v>1324</v>
      </c>
      <c r="P91" s="3665" t="s">
        <v>149</v>
      </c>
      <c r="Q91" s="3665" t="s">
        <v>289</v>
      </c>
      <c r="R91" s="3665"/>
      <c r="S91" s="3665" t="s">
        <v>5738</v>
      </c>
      <c r="T91" s="3665" t="s">
        <v>5739</v>
      </c>
      <c r="U91" s="3416" t="s">
        <v>7403</v>
      </c>
      <c r="V91" s="3708">
        <f>Fighters!$S90</f>
        <v>89</v>
      </c>
      <c r="W91" s="3708">
        <f>Fighters!$T90</f>
        <v>79</v>
      </c>
      <c r="X91" s="3757" t="str">
        <f>Fighters!$V90</f>
        <v>trail</v>
      </c>
    </row>
  </sheetData>
  <autoFilter ref="$A$2:$X$91">
    <sortState ref="A2:X91">
      <sortCondition ref="V2:V91"/>
      <sortCondition ref="A2:A91"/>
      <sortCondition ref="W2:W91"/>
      <sortCondition ref="X2:X91"/>
    </sortState>
  </autoFilter>
  <mergeCells count="5">
    <mergeCell ref="C1:F1"/>
    <mergeCell ref="G1:J1"/>
    <mergeCell ref="K1:N1"/>
    <mergeCell ref="O1:R1"/>
    <mergeCell ref="S1:U1"/>
  </mergeCells>
  <drawing r:id="rId2"/>
  <legacyDrawing r:id="rId3"/>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18.88"/>
    <col customWidth="1" min="3" max="24" width="8.0"/>
    <col customWidth="1" min="25" max="27" width="9.25"/>
  </cols>
  <sheetData>
    <row r="1">
      <c r="A1" s="3741"/>
      <c r="B1" s="3699"/>
      <c r="C1" s="3742" t="s">
        <v>144</v>
      </c>
      <c r="D1" s="110"/>
      <c r="E1" s="3742" t="s">
        <v>151</v>
      </c>
      <c r="F1" s="110"/>
      <c r="G1" s="3742" t="s">
        <v>157</v>
      </c>
      <c r="H1" s="110"/>
      <c r="I1" s="3742" t="s">
        <v>162</v>
      </c>
      <c r="J1" s="110"/>
      <c r="K1" s="3742" t="s">
        <v>166</v>
      </c>
      <c r="L1" s="110"/>
      <c r="M1" s="3742" t="s">
        <v>587</v>
      </c>
      <c r="N1" s="110"/>
      <c r="O1" s="3742" t="s">
        <v>135</v>
      </c>
      <c r="P1" s="110"/>
      <c r="Q1" s="110"/>
      <c r="R1" s="110"/>
      <c r="S1" s="109"/>
      <c r="T1" s="3743" t="s">
        <v>7404</v>
      </c>
      <c r="U1" s="110"/>
      <c r="V1" s="110"/>
      <c r="W1" s="110"/>
      <c r="X1" s="109"/>
      <c r="Y1" s="3745"/>
      <c r="Z1" s="3745"/>
      <c r="AA1" s="3745"/>
    </row>
    <row r="2">
      <c r="A2" s="3731" t="s">
        <v>6515</v>
      </c>
      <c r="B2" s="3758" t="s">
        <v>7272</v>
      </c>
      <c r="C2" s="3698" t="s">
        <v>7405</v>
      </c>
      <c r="D2" s="3759" t="s">
        <v>7406</v>
      </c>
      <c r="E2" s="3698" t="s">
        <v>7405</v>
      </c>
      <c r="F2" s="3759" t="s">
        <v>7406</v>
      </c>
      <c r="G2" s="3698" t="s">
        <v>7405</v>
      </c>
      <c r="H2" s="3759" t="s">
        <v>7406</v>
      </c>
      <c r="I2" s="3698" t="s">
        <v>7405</v>
      </c>
      <c r="J2" s="3759" t="s">
        <v>7406</v>
      </c>
      <c r="K2" s="3698" t="s">
        <v>7405</v>
      </c>
      <c r="L2" s="3759" t="s">
        <v>7406</v>
      </c>
      <c r="M2" s="3698" t="s">
        <v>7405</v>
      </c>
      <c r="N2" s="3759" t="s">
        <v>7406</v>
      </c>
      <c r="O2" s="3759" t="s">
        <v>144</v>
      </c>
      <c r="P2" s="3759" t="s">
        <v>151</v>
      </c>
      <c r="Q2" s="3759" t="s">
        <v>157</v>
      </c>
      <c r="R2" s="3759" t="s">
        <v>162</v>
      </c>
      <c r="S2" s="3760" t="s">
        <v>166</v>
      </c>
      <c r="T2" s="3698" t="s">
        <v>144</v>
      </c>
      <c r="U2" s="3759" t="s">
        <v>151</v>
      </c>
      <c r="V2" s="3759" t="s">
        <v>157</v>
      </c>
      <c r="W2" s="3759" t="s">
        <v>162</v>
      </c>
      <c r="X2" s="3760" t="s">
        <v>166</v>
      </c>
      <c r="Y2" s="3698" t="s">
        <v>6515</v>
      </c>
      <c r="Z2" s="3698" t="s">
        <v>6516</v>
      </c>
      <c r="AA2" s="3759" t="s">
        <v>6517</v>
      </c>
    </row>
    <row r="3">
      <c r="A3" s="3700">
        <v>1.0</v>
      </c>
      <c r="B3" s="3701" t="s">
        <v>6519</v>
      </c>
      <c r="C3" s="216" t="str">
        <f t="array" ref="C3">INDEX('1. マリオ'!$A1:$AA221,MATCH(C$1, '1. マリオ'!$A:$A,0),3)</f>
        <v>3-5</v>
      </c>
      <c r="D3" s="216" t="str">
        <f t="array" ref="D3">INDEX('1. マリオ'!$A1:$AA221,MATCH(C$1, '1. マリオ'!$A:$A,0),4)</f>
        <v>45</v>
      </c>
      <c r="E3" s="239" t="str">
        <f t="array" ref="E3">INDEX('1. マリオ'!$A1:$AA221,MATCH(E$1, '1. マリオ'!$A:$A,0),3)</f>
        <v>16</v>
      </c>
      <c r="F3" s="239">
        <f t="array" ref="F3">INDEX('1. マリオ'!$A1:$AA221,MATCH(E$1, '1. マリオ'!$A:$A,0),4)</f>
        <v>59</v>
      </c>
      <c r="G3" s="239" t="str">
        <f t="array" ref="G3">INDEX('1. マリオ'!$A1:$AA221,MATCH(G$1, '1. マリオ'!$A:$A,0),3)</f>
        <v>6-7</v>
      </c>
      <c r="H3" s="239" t="str">
        <f t="array" ref="H3">INDEX('1. マリオ'!$A1:$AA221,MATCH(G$1, '1. マリオ'!$A:$A,0),4)</f>
        <v>33</v>
      </c>
      <c r="I3" s="239" t="str">
        <f t="array" ref="I3">INDEX('1. マリオ'!$A1:$AA221,MATCH(I$1, '1. マリオ'!$A:$A,0),3)</f>
        <v>4-7</v>
      </c>
      <c r="J3" s="239" t="str">
        <f t="array" ref="J3">INDEX('1. マリオ'!$A1:$AA221,MATCH(G$1, '1. マリオ'!$A:$A,0),4)</f>
        <v>33</v>
      </c>
      <c r="K3" s="2111" t="str">
        <f t="array" ref="K3">INDEX('1. マリオ'!$A1:$AA221,MATCH(K$1, '1. マリオ'!$A:$A,0),3)</f>
        <v>5, 7, 9, 11, 13</v>
      </c>
      <c r="L3" s="2111">
        <f t="array" ref="L3">INDEX('1. マリオ'!$A1:$AA221,MATCH(K$1, '1. マリオ'!$A:$A,0),4)</f>
        <v>37</v>
      </c>
      <c r="M3" s="3761"/>
      <c r="N3" s="3762"/>
      <c r="O3" s="3416" t="s">
        <v>86</v>
      </c>
      <c r="P3" s="3416" t="s">
        <v>394</v>
      </c>
      <c r="Q3" s="138">
        <v>6.0</v>
      </c>
      <c r="R3" s="239" t="s">
        <v>86</v>
      </c>
      <c r="S3" s="3763">
        <v>15.0</v>
      </c>
      <c r="T3" s="3764"/>
      <c r="U3" s="3765"/>
      <c r="V3" s="3765"/>
      <c r="W3" s="3766"/>
      <c r="X3" s="3767"/>
      <c r="Y3" s="3708">
        <v>1.0</v>
      </c>
      <c r="Z3" s="3709">
        <v>0.0</v>
      </c>
      <c r="AA3" s="3709">
        <v>1.0</v>
      </c>
    </row>
    <row r="4">
      <c r="A4" s="3768">
        <v>2.0</v>
      </c>
      <c r="B4" s="3701" t="s">
        <v>6528</v>
      </c>
      <c r="C4" s="216" t="str">
        <f t="array" ref="C4">INDEX('2. ドンキーコング'!$A1:$AA221,MATCH(C$1, '2. ドンキーコング'!$A:$A,0),3)</f>
        <v>10-13</v>
      </c>
      <c r="D4" s="216">
        <f t="array" ref="D4">INDEX('2. ドンキーコング'!$A1:$AA221,MATCH(C$1, '2. ドンキーコング'!$A:$A,0),4)</f>
        <v>38</v>
      </c>
      <c r="E4" s="239" t="str">
        <f t="array" ref="E4">INDEX('2. ドンキーコング'!$A1:$AA221,MATCH(E$1, '2. ドンキーコング'!$A:$A,0),3)</f>
        <v>18-20</v>
      </c>
      <c r="F4" s="239">
        <f t="array" ref="F4">INDEX('2. ドンキーコング'!$A1:$AA221,MATCH(E$1, '2. ドンキーコング'!$A:$A,0),4)</f>
        <v>55</v>
      </c>
      <c r="G4" s="239" t="str">
        <f t="array" ref="G4">INDEX('2. ドンキーコング'!$A1:$AA221,MATCH(G$1, '2. ドンキーコング'!$A:$A,0),3)</f>
        <v>7-8</v>
      </c>
      <c r="H4" s="239">
        <f t="array" ref="H4">INDEX('2. ドンキーコング'!$A1:$AA221,MATCH(G$1, '2. ドンキーコング'!$A:$A,0),4)</f>
        <v>31</v>
      </c>
      <c r="I4" s="239" t="str">
        <f t="array" ref="I4">INDEX('2. ドンキーコング'!$A1:$AA221,MATCH(I$1, '2. ドンキーコング'!$A:$A,0),3)</f>
        <v>6-10</v>
      </c>
      <c r="J4" s="239">
        <f t="array" ref="J4">INDEX('2. ドンキーコング'!$A1:$AA221,MATCH(G$1, '2. ドンキーコング'!$A:$A,0),4)</f>
        <v>31</v>
      </c>
      <c r="K4" s="2111" t="str">
        <f t="array" ref="K4">INDEX('2. ドンキーコング'!$A1:$AA221,MATCH(K$1, '2. ドンキーコング'!$A:$A,0),3)</f>
        <v>14-16</v>
      </c>
      <c r="L4" s="2111">
        <f t="array" ref="L4">INDEX('2. ドンキーコング'!$A1:$AA221,MATCH(K$1, '2. ドンキーコング'!$A:$A,0),4)</f>
        <v>54</v>
      </c>
      <c r="M4" s="3761"/>
      <c r="N4" s="3762"/>
      <c r="O4" s="3711" t="s">
        <v>128</v>
      </c>
      <c r="P4" s="3711" t="s">
        <v>394</v>
      </c>
      <c r="Q4" s="138">
        <v>11.0</v>
      </c>
      <c r="R4" s="239" t="s">
        <v>386</v>
      </c>
      <c r="S4" s="3763">
        <v>14.0</v>
      </c>
      <c r="T4" s="3769"/>
      <c r="U4" s="3765"/>
      <c r="V4" s="3765"/>
      <c r="W4" s="3766"/>
      <c r="X4" s="3767"/>
      <c r="Y4" s="3712">
        <v>2.0</v>
      </c>
      <c r="Z4" s="3713">
        <v>1.0</v>
      </c>
      <c r="AA4" s="3713">
        <v>9.0</v>
      </c>
    </row>
    <row r="5">
      <c r="A5" s="3768">
        <v>3.0</v>
      </c>
      <c r="B5" s="3701" t="s">
        <v>6539</v>
      </c>
      <c r="C5" s="216" t="str">
        <f t="array" ref="C5">INDEX('3. リンク'!$A1:$AA233,MATCH(C$1, '3. リンク'!$A:$A,0),3)</f>
        <v>7-8</v>
      </c>
      <c r="D5" s="216">
        <f t="array" ref="D5">INDEX('3. リンク'!$A1:$AA233,MATCH(C$1, '3. リンク'!$A:$A,0),4)</f>
        <v>38</v>
      </c>
      <c r="E5" s="239" t="str">
        <f t="array" ref="E5">INDEX('3. リンク'!$A1:$AA233,MATCH(E$1, '3. リンク'!$A:$A,0),3)</f>
        <v>16-17</v>
      </c>
      <c r="F5" s="239" t="str">
        <f t="array" ref="F5">INDEX('3. リンク'!$A1:$AA233,MATCH(E$1, '3. リンク'!$A:$A,0),4)</f>
        <v>51</v>
      </c>
      <c r="G5" s="239" t="str">
        <f t="array" ref="G5">INDEX('3. リンク'!$A1:$AA233,MATCH(G$1, '3. リンク'!$A:$A,0),3)</f>
        <v>6-8</v>
      </c>
      <c r="H5" s="239">
        <f t="array" ref="H5">INDEX('3. リンク'!$A1:$AA233,MATCH(G$1, '3. リンク'!$A:$A,0),4)</f>
        <v>30</v>
      </c>
      <c r="I5" s="239" t="str">
        <f t="array" ref="I5">INDEX('3. リンク'!$A1:$AA233,MATCH(I$1, '3. リンク'!$A:$A,0),3)</f>
        <v>11-13</v>
      </c>
      <c r="J5" s="239">
        <f t="array" ref="J5">INDEX('3. リンク'!$A1:$AA233,MATCH(G$1, '3. リンク'!$A:$A,0),4)</f>
        <v>30</v>
      </c>
      <c r="K5" s="2111" t="str">
        <f t="array" ref="K5">INDEX('3. リンク'!$A1:$AA233,MATCH(K$1, '3. リンク'!$A:$A,0),3)</f>
        <v>14-19</v>
      </c>
      <c r="L5" s="2111">
        <f t="array" ref="L5">INDEX('3. リンク'!$A1:$AA233,MATCH(K$1, '3. リンク'!$A:$A,0),4)</f>
        <v>79</v>
      </c>
      <c r="M5" s="3761"/>
      <c r="N5" s="3762"/>
      <c r="O5" s="3711" t="s">
        <v>86</v>
      </c>
      <c r="P5" s="3711" t="s">
        <v>232</v>
      </c>
      <c r="Q5" s="138">
        <v>6.0</v>
      </c>
      <c r="R5" s="239" t="s">
        <v>119</v>
      </c>
      <c r="S5" s="3763">
        <v>19.0</v>
      </c>
      <c r="T5" s="3764"/>
      <c r="U5" s="3765"/>
      <c r="V5" s="3765"/>
      <c r="W5" s="3766"/>
      <c r="X5" s="3767"/>
      <c r="Y5" s="3712">
        <v>3.0</v>
      </c>
      <c r="Z5" s="3713">
        <v>2.0</v>
      </c>
      <c r="AA5" s="3713">
        <v>13.0</v>
      </c>
    </row>
    <row r="6">
      <c r="A6" s="3768">
        <v>4.0</v>
      </c>
      <c r="B6" s="3701" t="s">
        <v>6549</v>
      </c>
      <c r="C6" s="216" t="str">
        <f t="array" ref="C6">INDEX('4. サムス'!$A1:$AA219,MATCH(C$1, '4. サムス'!$A:$A,0),3)</f>
        <v>8-11</v>
      </c>
      <c r="D6" s="216" t="str">
        <f t="array" ref="D6">INDEX('4. サムス'!$A1:$AA219,MATCH(C$1, '4. サムス'!$A:$A,0),4)</f>
        <v>45</v>
      </c>
      <c r="E6" s="239" t="str">
        <f t="array" ref="E6">INDEX('4. サムス'!$A1:$AA219,MATCH(E$1, '4. サムス'!$A:$A,0),3)</f>
        <v>6-7</v>
      </c>
      <c r="F6" s="239" t="str">
        <f t="array" ref="F6">INDEX('4. サムス'!$A1:$AA219,MATCH(E$1, '4. サムス'!$A:$A,0),4)</f>
        <v>59</v>
      </c>
      <c r="G6" s="239" t="str">
        <f t="array" ref="G6">INDEX('4. サムス'!$A1:$AA219,MATCH(G$1, '4. サムス'!$A:$A,0),3)</f>
        <v>9-10</v>
      </c>
      <c r="H6" s="239" t="str">
        <f t="array" ref="H6">INDEX('4. サムス'!$A1:$AA219,MATCH(G$1, '4. サムス'!$A:$A,0),4)</f>
        <v>41</v>
      </c>
      <c r="I6" s="239" t="str">
        <f t="array" ref="I6">INDEX('4. サムス'!$A1:$AA219,MATCH(I$1, '4. サムス'!$A:$A,0),3)</f>
        <v>5</v>
      </c>
      <c r="J6" s="239" t="str">
        <f t="array" ref="J6">INDEX('4. サムス'!$A1:$AA219,MATCH(G$1, '4. サムス'!$A:$A,0),4)</f>
        <v>41</v>
      </c>
      <c r="K6" s="2111" t="str">
        <f t="array" ref="K6">INDEX('4. サムス'!$A1:$AA219,MATCH(K$1, '4. サムス'!$A:$A,0),3)</f>
        <v>17-18</v>
      </c>
      <c r="L6" s="2111">
        <f t="array" ref="L6">INDEX('4. サムス'!$A1:$AA219,MATCH(K$1, '4. サムス'!$A:$A,0),4)</f>
        <v>48</v>
      </c>
      <c r="M6" s="3761"/>
      <c r="N6" s="3762"/>
      <c r="O6" s="3711" t="s">
        <v>274</v>
      </c>
      <c r="P6" s="3711" t="s">
        <v>119</v>
      </c>
      <c r="Q6" s="138">
        <v>14.0</v>
      </c>
      <c r="R6" s="239" t="s">
        <v>466</v>
      </c>
      <c r="S6" s="3763">
        <v>12.0</v>
      </c>
      <c r="T6" s="3764"/>
      <c r="U6" s="3765"/>
      <c r="V6" s="3765"/>
      <c r="W6" s="3766"/>
      <c r="X6" s="3767"/>
      <c r="Y6" s="3712">
        <v>4.0</v>
      </c>
      <c r="Z6" s="3713">
        <v>3.0</v>
      </c>
      <c r="AA6" s="3713">
        <v>18.0</v>
      </c>
    </row>
    <row r="7">
      <c r="A7" s="3768" t="s">
        <v>624</v>
      </c>
      <c r="B7" s="3701" t="s">
        <v>6558</v>
      </c>
      <c r="C7" s="3770"/>
      <c r="D7" s="3770"/>
      <c r="E7" s="138"/>
      <c r="F7" s="138"/>
      <c r="G7" s="138"/>
      <c r="H7" s="138"/>
      <c r="I7" s="138"/>
      <c r="J7" s="138"/>
      <c r="K7" s="3761"/>
      <c r="L7" s="3761"/>
      <c r="M7" s="3761"/>
      <c r="N7" s="3762"/>
      <c r="O7" s="3711" t="s">
        <v>274</v>
      </c>
      <c r="P7" s="3711" t="s">
        <v>119</v>
      </c>
      <c r="Q7" s="138">
        <v>14.0</v>
      </c>
      <c r="R7" s="239" t="s">
        <v>466</v>
      </c>
      <c r="S7" s="3763">
        <v>12.0</v>
      </c>
      <c r="T7" s="3771"/>
      <c r="U7" s="3765"/>
      <c r="V7" s="3765"/>
      <c r="W7" s="3766"/>
      <c r="X7" s="3767"/>
      <c r="Y7" s="3712">
        <v>5.0</v>
      </c>
      <c r="Z7" s="3715">
        <v>76.0</v>
      </c>
      <c r="AA7" s="3713" t="s">
        <v>76</v>
      </c>
    </row>
    <row r="8">
      <c r="A8" s="3768">
        <v>5.0</v>
      </c>
      <c r="B8" s="3701" t="s">
        <v>6564</v>
      </c>
      <c r="C8" s="216" t="str">
        <f t="array" ref="C8">INDEX('5. ヨッシー'!$A1:$AA223,MATCH(C$1, '5. ヨッシー'!$A:$A,0),3)</f>
        <v>3-4</v>
      </c>
      <c r="D8" s="216">
        <f t="array" ref="D8">INDEX('5. ヨッシー'!$A1:$AA223,MATCH(C$1, '5. ヨッシー'!$A:$A,0),4)</f>
        <v>44</v>
      </c>
      <c r="E8" s="239" t="str">
        <f t="array" ref="E8">INDEX('5. ヨッシー'!$A1:$AA223,MATCH(E$1, '5. ヨッシー'!$A:$A,0),3)</f>
        <v>16-20</v>
      </c>
      <c r="F8" s="239">
        <f t="array" ref="F8">INDEX('5. ヨッシー'!$A1:$AA223,MATCH(E$1, '5. ヨッシー'!$A:$A,0),4)</f>
        <v>43</v>
      </c>
      <c r="G8" s="239" t="str">
        <f t="array" ref="G8">INDEX('5. ヨッシー'!$A1:$AA223,MATCH(G$1, '5. ヨッシー'!$A:$A,0),3)</f>
        <v>11</v>
      </c>
      <c r="H8" s="239">
        <f t="array" ref="H8">INDEX('5. ヨッシー'!$A1:$AA223,MATCH(G$1, '5. ヨッシー'!$A:$A,0),4)</f>
        <v>55</v>
      </c>
      <c r="I8" s="239" t="str">
        <f t="array" ref="I8">INDEX('5. ヨッシー'!$A1:$AA223,MATCH(I$1, '5. ヨッシー'!$A:$A,0),3)</f>
        <v>5-6</v>
      </c>
      <c r="J8" s="239">
        <f t="array" ref="J8">INDEX('5. ヨッシー'!$A1:$AA223,MATCH(G$1, '5. ヨッシー'!$A:$A,0),4)</f>
        <v>55</v>
      </c>
      <c r="K8" s="2111" t="str">
        <f t="array" ref="K8">INDEX('5. ヨッシー'!$A1:$AA223,MATCH(K$1, '5. ヨッシー'!$A:$A,0),3)</f>
        <v>16, 18, 20, 
22, 24, 26</v>
      </c>
      <c r="L8" s="2111">
        <f t="array" ref="L8">INDEX('5. ヨッシー'!$A1:$AA223,MATCH(K$1, '5. ヨッシー'!$A:$A,0),4)</f>
        <v>56</v>
      </c>
      <c r="M8" s="3761"/>
      <c r="N8" s="3762"/>
      <c r="O8" s="3711" t="s">
        <v>93</v>
      </c>
      <c r="P8" s="3711" t="s">
        <v>129</v>
      </c>
      <c r="Q8" s="138">
        <v>11.0</v>
      </c>
      <c r="R8" s="239" t="s">
        <v>80</v>
      </c>
      <c r="S8" s="3763">
        <v>17.0</v>
      </c>
      <c r="T8" s="3764"/>
      <c r="U8" s="3765"/>
      <c r="V8" s="3765"/>
      <c r="W8" s="3766"/>
      <c r="X8" s="3767"/>
      <c r="Y8" s="3712">
        <v>6.0</v>
      </c>
      <c r="Z8" s="3713">
        <v>4.0</v>
      </c>
      <c r="AA8" s="3713">
        <v>5.0</v>
      </c>
    </row>
    <row r="9">
      <c r="A9" s="3768">
        <v>6.0</v>
      </c>
      <c r="B9" s="3701" t="s">
        <v>6574</v>
      </c>
      <c r="C9" s="216" t="str">
        <f t="array" ref="C9">INDEX('6. カービィ'!$A1:$AA228,MATCH(C$1, '6. カービィ'!$A:$A,0),3)</f>
        <v>8-9</v>
      </c>
      <c r="D9" s="216" t="str">
        <f t="array" ref="D9">INDEX('6. カービィ'!$A1:$AA228,MATCH(C$1, '6. カービィ'!$A:$A,0),4)</f>
        <v>54</v>
      </c>
      <c r="E9" s="239" t="str">
        <f t="array" ref="E9">INDEX('6. カービィ'!$A1:$AA228,MATCH(E$1, '6. カービィ'!$A:$A,0),3)</f>
        <v>10-11</v>
      </c>
      <c r="F9" s="239">
        <f t="array" ref="F9">INDEX('6. カービィ'!$A1:$AA228,MATCH(E$1, '6. カービィ'!$A:$A,0),4)</f>
        <v>47</v>
      </c>
      <c r="G9" s="239" t="str">
        <f t="array" ref="G9">INDEX('6. カービィ'!$A1:$AA228,MATCH(G$1, '6. カービィ'!$A:$A,0),3)</f>
        <v>6-8</v>
      </c>
      <c r="H9" s="239">
        <f t="array" ref="H9">INDEX('6. カービィ'!$A1:$AA228,MATCH(G$1, '6. カービィ'!$A:$A,0),4)</f>
        <v>40</v>
      </c>
      <c r="I9" s="239" t="str">
        <f t="array" ref="I9">INDEX('6. カービィ'!$A1:$AA228,MATCH(I$1, '6. カービィ'!$A:$A,0),3)</f>
        <v>8-13</v>
      </c>
      <c r="J9" s="239">
        <f t="array" ref="J9">INDEX('6. カービィ'!$A1:$AA228,MATCH(G$1, '6. カービィ'!$A:$A,0),4)</f>
        <v>40</v>
      </c>
      <c r="K9" s="2111" t="str">
        <f t="array" ref="K9">INDEX('6. カービィ'!$A1:$AA228,MATCH(K$1, '6. カービィ'!$A:$A,0),3)</f>
        <v>18-19, 21-22, 
24-25, 27-28, 
30-31</v>
      </c>
      <c r="L9" s="2111">
        <f t="array" ref="L9">INDEX('6. カービィ'!$A1:$AA228,MATCH(K$1, '6. カービィ'!$A:$A,0),4)</f>
        <v>54</v>
      </c>
      <c r="M9" s="3761"/>
      <c r="N9" s="3762"/>
      <c r="O9" s="3711" t="s">
        <v>86</v>
      </c>
      <c r="P9" s="3711" t="s">
        <v>80</v>
      </c>
      <c r="Q9" s="138">
        <v>10.0</v>
      </c>
      <c r="R9" s="239" t="s">
        <v>93</v>
      </c>
      <c r="S9" s="3763">
        <v>16.0</v>
      </c>
      <c r="T9" s="3764"/>
      <c r="U9" s="3765"/>
      <c r="V9" s="3765"/>
      <c r="W9" s="3766"/>
      <c r="X9" s="3767"/>
      <c r="Y9" s="3712">
        <v>7.0</v>
      </c>
      <c r="Z9" s="3713">
        <v>5.0</v>
      </c>
      <c r="AA9" s="3713">
        <v>25.0</v>
      </c>
    </row>
    <row r="10">
      <c r="A10" s="3768">
        <v>7.0</v>
      </c>
      <c r="B10" s="3701" t="s">
        <v>6581</v>
      </c>
      <c r="C10" s="216" t="str">
        <f t="array" ref="C10">INDEX('7. フォックス'!$A1:$AA222,MATCH(C$1, '7. フォックス'!$A:$A,0),3)</f>
        <v>4-6</v>
      </c>
      <c r="D10" s="216" t="str">
        <f t="array" ref="D10">INDEX('7. フォックス'!$A1:$AA222,MATCH(C$1, '7. フォックス'!$A:$A,0),4)</f>
        <v>38</v>
      </c>
      <c r="E10" s="239" t="str">
        <f t="array" ref="E10">INDEX('7. フォックス'!$A1:$AA222,MATCH(E$1, '7. フォックス'!$A:$A,0),3)</f>
        <v>7-8</v>
      </c>
      <c r="F10" s="239" t="str">
        <f t="array" ref="F10">INDEX('7. フォックス'!$A1:$AA222,MATCH(E$1, '7. フォックス'!$A:$A,0),4)</f>
        <v>43</v>
      </c>
      <c r="G10" s="239" t="str">
        <f t="array" ref="G10">INDEX('7. フォックス'!$A1:$AA222,MATCH(G$1, '7. フォックス'!$A:$A,0),3)</f>
        <v>9-11</v>
      </c>
      <c r="H10" s="239">
        <f t="array" ref="H10">INDEX('7. フォックス'!$A1:$AA222,MATCH(G$1, '7. フォックス'!$A:$A,0),4)</f>
        <v>48</v>
      </c>
      <c r="I10" s="239" t="str">
        <f t="array" ref="I10">INDEX('7. フォックス'!$A1:$AA222,MATCH(I$1, '7. フォックス'!$A:$A,0),3)</f>
        <v>9-10</v>
      </c>
      <c r="J10" s="239">
        <f t="array" ref="J10">INDEX('7. フォックス'!$A1:$AA222,MATCH(G$1, '7. フォックス'!$A:$A,0),4)</f>
        <v>48</v>
      </c>
      <c r="K10" s="2111" t="str">
        <f t="array" ref="K10">INDEX('7. フォックス'!$A1:$AA222,MATCH(K$1, '7. フォックス'!$A:$A,0),3)</f>
        <v>5-6, 8-9, 
11-12, 14-15, 
17-18, 20-21</v>
      </c>
      <c r="L10" s="2111">
        <f t="array" ref="L10">INDEX('7. フォックス'!$A1:$AA222,MATCH(K$1, '7. フォックス'!$A:$A,0),4)</f>
        <v>49</v>
      </c>
      <c r="M10" s="3761"/>
      <c r="N10" s="3762"/>
      <c r="O10" s="3711" t="s">
        <v>93</v>
      </c>
      <c r="P10" s="3711" t="s">
        <v>466</v>
      </c>
      <c r="Q10" s="138">
        <v>9.0</v>
      </c>
      <c r="R10" s="239" t="s">
        <v>228</v>
      </c>
      <c r="S10" s="3763">
        <v>17.0</v>
      </c>
      <c r="T10" s="3764"/>
      <c r="U10" s="3765"/>
      <c r="V10" s="3765"/>
      <c r="W10" s="3766"/>
      <c r="X10" s="3767"/>
      <c r="Y10" s="3712">
        <v>8.0</v>
      </c>
      <c r="Z10" s="3713">
        <v>6.0</v>
      </c>
      <c r="AA10" s="3713">
        <v>28.0</v>
      </c>
    </row>
    <row r="11">
      <c r="A11" s="3768">
        <v>8.0</v>
      </c>
      <c r="B11" s="3701" t="s">
        <v>6590</v>
      </c>
      <c r="C11" s="216" t="str">
        <f t="array" ref="C11">INDEX('8. ピカチュウ'!$A1:$AA220,MATCH(C$1, '8. ピカチュウ'!$A:$A,0),3)</f>
        <v>3-6, 9-12, 
15-18</v>
      </c>
      <c r="D11" s="216" t="str">
        <f t="array" ref="D11">INDEX('8. ピカチュウ'!$A1:$AA220,MATCH(C$1, '8. ピカチュウ'!$A:$A,0),4)</f>
        <v>38</v>
      </c>
      <c r="E11" s="239" t="str">
        <f t="array" ref="E11">INDEX('8. ピカチュウ'!$A1:$AA220,MATCH(E$1, '8. ピカチュウ'!$A:$A,0),3)</f>
        <v>11-25
(Rehit: 3)</v>
      </c>
      <c r="F11" s="239">
        <f t="array" ref="F11">INDEX('8. ピカチュウ'!$A1:$AA220,MATCH(E$1, '8. ピカチュウ'!$A:$A,0),4)</f>
        <v>41</v>
      </c>
      <c r="G11" s="239" t="str">
        <f t="array" ref="G11">INDEX('8. ピカチュウ'!$A1:$AA220,MATCH(G$1, '8. ピカチュウ'!$A:$A,0),3)</f>
        <v>4-5, 8-9, 12-13,
16-17, 20-21</v>
      </c>
      <c r="H11" s="239" t="str">
        <f t="array" ref="H11">INDEX('8. ピカチュウ'!$A1:$AA220,MATCH(G$1, '8. ピカチュウ'!$A:$A,0),4)</f>
        <v>43</v>
      </c>
      <c r="I11" s="239" t="str">
        <f t="array" ref="I11">INDEX('8. ピカチュウ'!$A1:$AA220,MATCH(I$1, '8. ピカチュウ'!$A:$A,0),3)</f>
        <v>4-6</v>
      </c>
      <c r="J11" s="239" t="str">
        <f t="array" ref="J11">INDEX('8. ピカチュウ'!$A1:$AA220,MATCH(G$1, '8. ピカチュウ'!$A:$A,0),4)</f>
        <v>43</v>
      </c>
      <c r="K11" s="2111" t="str">
        <f t="array" ref="K11">INDEX('8. ピカチュウ'!$A1:$AA220,MATCH(K$1, '8. ピカチュウ'!$A:$A,0),3)</f>
        <v>14-15</v>
      </c>
      <c r="L11" s="2111">
        <f t="array" ref="L11">INDEX('8. ピカチュウ'!$A1:$AA220,MATCH(K$1, '8. ピカチュウ'!$A:$A,0),4)</f>
        <v>47</v>
      </c>
      <c r="M11" s="3761"/>
      <c r="N11" s="3762"/>
      <c r="O11" s="3711" t="s">
        <v>274</v>
      </c>
      <c r="P11" s="3711" t="s">
        <v>129</v>
      </c>
      <c r="Q11" s="138">
        <v>18.0</v>
      </c>
      <c r="R11" s="239" t="s">
        <v>119</v>
      </c>
      <c r="S11" s="3763">
        <v>22.0</v>
      </c>
      <c r="T11" s="3771"/>
      <c r="U11" s="3765"/>
      <c r="V11" s="3765"/>
      <c r="W11" s="3766"/>
      <c r="X11" s="3767"/>
      <c r="Y11" s="3712">
        <v>9.0</v>
      </c>
      <c r="Z11" s="3713">
        <v>7.0</v>
      </c>
      <c r="AA11" s="3713">
        <v>30.0</v>
      </c>
    </row>
    <row r="12">
      <c r="A12" s="3768">
        <v>9.0</v>
      </c>
      <c r="B12" s="3701" t="s">
        <v>6600</v>
      </c>
      <c r="C12" s="216" t="str">
        <f t="array" ref="C12">INDEX('9. ルイージ'!$A1:$AA219,MATCH(C$1, '9. ルイージ'!$A:$A,0),3)</f>
        <v>3-5</v>
      </c>
      <c r="D12" s="216" t="str">
        <f t="array" ref="D12">INDEX('9. ルイージ'!$A1:$AA219,MATCH(C$1, '9. ルイージ'!$A:$A,0),4)</f>
        <v>44</v>
      </c>
      <c r="E12" s="239" t="str">
        <f t="array" ref="E12">INDEX('9. ルイージ'!$A1:$AA219,MATCH(E$1, '9. ルイージ'!$A:$A,0),3)</f>
        <v>7-10</v>
      </c>
      <c r="F12" s="239">
        <f t="array" ref="F12">INDEX('9. ルイージ'!$A1:$AA219,MATCH(E$1, '9. ルイージ'!$A:$A,0),4)</f>
        <v>23</v>
      </c>
      <c r="G12" s="239" t="str">
        <f t="array" ref="G12">INDEX('9. ルイージ'!$A1:$AA219,MATCH(G$1, '9. ルイージ'!$A:$A,0),3)</f>
        <v>6-7</v>
      </c>
      <c r="H12" s="239" t="str">
        <f t="array" ref="H12">INDEX('9. ルイージ'!$A1:$AA219,MATCH(G$1, '9. ルイージ'!$A:$A,0),4)</f>
        <v>44</v>
      </c>
      <c r="I12" s="239" t="str">
        <f t="array" ref="I12">INDEX('9. ルイージ'!$A1:$AA219,MATCH(I$1, '9. ルイージ'!$A:$A,0),3)</f>
        <v>5-7</v>
      </c>
      <c r="J12" s="239" t="str">
        <f t="array" ref="J12">INDEX('9. ルイージ'!$A1:$AA219,MATCH(G$1, '9. ルイージ'!$A:$A,0),4)</f>
        <v>44</v>
      </c>
      <c r="K12" s="2111" t="str">
        <f t="array" ref="K12">INDEX('9. ルイージ'!$A1:$AA219,MATCH(K$1, '9. ルイージ'!$A:$A,0),3)</f>
        <v>10</v>
      </c>
      <c r="L12" s="2111">
        <f t="array" ref="L12">INDEX('9. ルイージ'!$A1:$AA219,MATCH(K$1, '9. ルイージ'!$A:$A,0),4)</f>
        <v>28</v>
      </c>
      <c r="M12" s="3761"/>
      <c r="N12" s="3762"/>
      <c r="O12" s="3711" t="s">
        <v>80</v>
      </c>
      <c r="P12" s="3711" t="s">
        <v>228</v>
      </c>
      <c r="Q12" s="138">
        <v>10.0</v>
      </c>
      <c r="R12" s="239" t="s">
        <v>93</v>
      </c>
      <c r="S12" s="3763">
        <v>12.0</v>
      </c>
      <c r="T12" s="3771"/>
      <c r="U12" s="3765"/>
      <c r="V12" s="3765"/>
      <c r="W12" s="3766"/>
      <c r="X12" s="3767"/>
      <c r="Y12" s="3712">
        <v>10.0</v>
      </c>
      <c r="Z12" s="3713">
        <v>8.0</v>
      </c>
      <c r="AA12" s="3713">
        <v>2.0</v>
      </c>
    </row>
    <row r="13">
      <c r="A13" s="3768">
        <v>10.0</v>
      </c>
      <c r="B13" s="3701" t="s">
        <v>6607</v>
      </c>
      <c r="C13" s="216" t="str">
        <f t="array" ref="C13">INDEX('10. ネス'!$A1:$AA223,MATCH(C$1, '10. ネス'!$A:$A,0),3)</f>
        <v>5-12</v>
      </c>
      <c r="D13" s="216" t="str">
        <f t="array" ref="D13">INDEX('10. ネス'!$A1:$AA223,MATCH(C$1, '10. ネス'!$A:$A,0),4)</f>
        <v>35</v>
      </c>
      <c r="E13" s="239" t="str">
        <f t="array" ref="E13">INDEX('10. ネス'!$A1:$AA223,MATCH(E$1, '10. ネス'!$A:$A,0),3)</f>
        <v>8-18
(Rehit: 5)</v>
      </c>
      <c r="F13" s="239">
        <f t="array" ref="F13">INDEX('10. ネス'!$A1:$AA223,MATCH(E$1, '10. ネス'!$A:$A,0),4)</f>
        <v>39</v>
      </c>
      <c r="G13" s="239" t="str">
        <f t="array" ref="G13">INDEX('10. ネス'!$A1:$AA223,MATCH(G$1, '10. ネス'!$A:$A,0),3)</f>
        <v>10-11</v>
      </c>
      <c r="H13" s="239">
        <f t="array" ref="H13">INDEX('10. ネス'!$A1:$AA223,MATCH(G$1, '10. ネス'!$A:$A,0),4)</f>
        <v>35</v>
      </c>
      <c r="I13" s="239" t="str">
        <f t="array" ref="I13">INDEX('10. ネス'!$A1:$AA223,MATCH(I$1, '10. ネス'!$A:$A,0),3)</f>
        <v>8-14
(Rehit: 2)</v>
      </c>
      <c r="J13" s="239">
        <f t="array" ref="J13">INDEX('10. ネス'!$A1:$AA223,MATCH(G$1, '10. ネス'!$A:$A,0),4)</f>
        <v>35</v>
      </c>
      <c r="K13" s="2111" t="str">
        <f t="array" ref="K13">INDEX('10. ネス'!$A1:$AA223,MATCH(K$1, '10. ネス'!$A:$A,0),3)</f>
        <v>18-20</v>
      </c>
      <c r="L13" s="2111" t="str">
        <f t="array" ref="L13">INDEX('10. ネス'!$A1:$AA223,MATCH(K$1, '10. ネス'!$A:$A,0),4)</f>
        <v>52</v>
      </c>
      <c r="M13" s="3761"/>
      <c r="N13" s="3762"/>
      <c r="O13" s="3711" t="s">
        <v>80</v>
      </c>
      <c r="P13" s="3711" t="s">
        <v>129</v>
      </c>
      <c r="Q13" s="138">
        <v>10.0</v>
      </c>
      <c r="R13" s="239" t="s">
        <v>80</v>
      </c>
      <c r="S13" s="3763">
        <v>12.0</v>
      </c>
      <c r="T13" s="3771"/>
      <c r="U13" s="3765"/>
      <c r="V13" s="3765"/>
      <c r="W13" s="3766"/>
      <c r="X13" s="3767"/>
      <c r="Y13" s="3712">
        <v>11.0</v>
      </c>
      <c r="Z13" s="3713">
        <v>9.0</v>
      </c>
      <c r="AA13" s="3713">
        <v>37.0</v>
      </c>
    </row>
    <row r="14">
      <c r="A14" s="3768">
        <v>11.0</v>
      </c>
      <c r="B14" s="3701" t="s">
        <v>6617</v>
      </c>
      <c r="C14" s="216" t="str">
        <f t="array" ref="C14">INDEX('11. キャプテン・ファルコン'!$A1:$AA221,MATCH(C$1, '11. キャプテン・ファルコン'!$A:$A,0),3)</f>
        <v>7-8</v>
      </c>
      <c r="D14" s="216" t="str">
        <f t="array" ref="D14">INDEX('11. キャプテン・ファルコン'!$A1:$AA221,MATCH(C$1, '11. キャプテン・ファルコン'!$A:$A,0),4)</f>
        <v>39</v>
      </c>
      <c r="E14" s="239" t="str">
        <f t="array" ref="E14">INDEX('11. キャプテン・ファルコン'!$A1:$AA221,MATCH(E$1, '11. キャプテン・ファルコン'!$A:$A,0),3)</f>
        <v>14</v>
      </c>
      <c r="F14" s="239">
        <f t="array" ref="F14">INDEX('11. キャプテン・ファルコン'!$A1:$AA221,MATCH(E$1, '11. キャプテン・ファルコン'!$A:$A,0),4)</f>
        <v>45</v>
      </c>
      <c r="G14" s="239" t="str">
        <f t="array" ref="G14">INDEX('11. キャプテン・ファルコン'!$A1:$AA221,MATCH(G$1, '11. キャプテン・ファルコン'!$A:$A,0),3)</f>
        <v>10-11</v>
      </c>
      <c r="H14" s="239">
        <f t="array" ref="H14">INDEX('11. キャプテン・ファルコン'!$A1:$AA221,MATCH(G$1, '11. キャプテン・ファルコン'!$A:$A,0),4)</f>
        <v>35</v>
      </c>
      <c r="I14" s="239" t="str">
        <f t="array" ref="I14">INDEX('11. キャプテン・ファルコン'!$A1:$AA221,MATCH(I$1, '11. キャプテン・ファルコン'!$A:$A,0),3)</f>
        <v>7-10</v>
      </c>
      <c r="J14" s="239">
        <f t="array" ref="J14">INDEX('11. キャプテン・ファルコン'!$A1:$AA221,MATCH(G$1, '11. キャプテン・ファルコン'!$A:$A,0),4)</f>
        <v>35</v>
      </c>
      <c r="K14" s="2111" t="str">
        <f t="array" ref="K14">INDEX('11. キャプテン・ファルコン'!$A1:$AA221,MATCH(K$1, '11. キャプテン・ファルコン'!$A:$A,0),3)</f>
        <v>16-18</v>
      </c>
      <c r="L14" s="2111">
        <f t="array" ref="L14">INDEX('11. キャプテン・ファルコン'!$A1:$AA221,MATCH(K$1, '11. キャプテン・ファルコン'!$A:$A,0),4)</f>
        <v>44</v>
      </c>
      <c r="M14" s="3761"/>
      <c r="N14" s="3762"/>
      <c r="O14" s="3711" t="s">
        <v>93</v>
      </c>
      <c r="P14" s="3711" t="s">
        <v>466</v>
      </c>
      <c r="Q14" s="138">
        <v>10.0</v>
      </c>
      <c r="R14" s="239" t="s">
        <v>128</v>
      </c>
      <c r="S14" s="3763">
        <v>12.0</v>
      </c>
      <c r="T14" s="3771"/>
      <c r="U14" s="3765"/>
      <c r="V14" s="3765"/>
      <c r="W14" s="3766"/>
      <c r="X14" s="3767"/>
      <c r="Y14" s="3712">
        <v>12.0</v>
      </c>
      <c r="Z14" s="3713">
        <v>10.0</v>
      </c>
      <c r="AA14" s="3713">
        <v>38.0</v>
      </c>
    </row>
    <row r="15">
      <c r="A15" s="3768">
        <v>12.0</v>
      </c>
      <c r="B15" s="3701" t="s">
        <v>6628</v>
      </c>
      <c r="C15" s="216" t="str">
        <f t="array" ref="C15">INDEX('12. プリン'!$A1:$AA221,MATCH(C$1, '12. プリン'!$A:$A,0),3)</f>
        <v>6-7</v>
      </c>
      <c r="D15" s="216" t="str">
        <f t="array" ref="D15">INDEX('12. プリン'!$A1:$AA221,MATCH(C$1, '12. プリン'!$A:$A,0),4)</f>
        <v>43</v>
      </c>
      <c r="E15" s="239" t="str">
        <f t="array" ref="E15">INDEX('12. プリン'!$A1:$AA221,MATCH(E$1, '12. プリン'!$A:$A,0),3)</f>
        <v>8-9</v>
      </c>
      <c r="F15" s="239">
        <f t="array" ref="F15">INDEX('12. プリン'!$A1:$AA221,MATCH(E$1, '12. プリン'!$A:$A,0),4)</f>
        <v>36</v>
      </c>
      <c r="G15" s="239" t="str">
        <f t="array" ref="G15">INDEX('12. プリン'!$A1:$AA221,MATCH(G$1, '12. プリン'!$A:$A,0),3)</f>
        <v>10-11</v>
      </c>
      <c r="H15" s="239" t="str">
        <f t="array" ref="H15">INDEX('12. プリン'!$A1:$AA221,MATCH(G$1, '12. プリン'!$A:$A,0),4)</f>
        <v>35</v>
      </c>
      <c r="I15" s="239" t="str">
        <f t="array" ref="I15">INDEX('12. プリン'!$A1:$AA221,MATCH(I$1, '12. プリン'!$A:$A,0),3)</f>
        <v>9-21</v>
      </c>
      <c r="J15" s="239" t="str">
        <f t="array" ref="J15">INDEX('12. プリン'!$A1:$AA221,MATCH(G$1, '12. プリン'!$A:$A,0),4)</f>
        <v>35</v>
      </c>
      <c r="K15" s="2111" t="str">
        <f t="array" ref="K15">INDEX('12. プリン'!$A1:$AA221,MATCH(K$1, '12. プリン'!$A:$A,0),3)</f>
        <v>7-8, 10-11, 
13-14, 16-17, 
19-20, 22-23, 
25-26, 28-29</v>
      </c>
      <c r="L15" s="2111">
        <f t="array" ref="L15">INDEX('12. プリン'!$A1:$AA221,MATCH(K$1, '12. プリン'!$A:$A,0),4)</f>
        <v>52</v>
      </c>
      <c r="M15" s="3761"/>
      <c r="N15" s="3762"/>
      <c r="O15" s="3711" t="s">
        <v>274</v>
      </c>
      <c r="P15" s="3711" t="s">
        <v>274</v>
      </c>
      <c r="Q15" s="138">
        <v>11.0</v>
      </c>
      <c r="R15" s="239" t="s">
        <v>274</v>
      </c>
      <c r="S15" s="3763">
        <v>15.0</v>
      </c>
      <c r="T15" s="3771"/>
      <c r="U15" s="3765"/>
      <c r="V15" s="3765"/>
      <c r="W15" s="3766"/>
      <c r="X15" s="3767"/>
      <c r="Y15" s="3712">
        <v>13.0</v>
      </c>
      <c r="Z15" s="3713">
        <v>11.0</v>
      </c>
      <c r="AA15" s="3713">
        <v>33.0</v>
      </c>
    </row>
    <row r="16">
      <c r="A16" s="3700">
        <v>13.0</v>
      </c>
      <c r="B16" s="3701" t="s">
        <v>6637</v>
      </c>
      <c r="C16" s="216" t="str">
        <f t="array" ref="C16">INDEX('13. ピーチ'!$A1:$AA217,MATCH(C$1, '13. ピーチ'!$A:$A,0),3)</f>
        <v>5-8</v>
      </c>
      <c r="D16" s="216" t="str">
        <f t="array" ref="D16">INDEX('13. ピーチ'!$A1:$AA217,MATCH(C$1, '13. ピーチ'!$A:$A,0),4)</f>
        <v>48</v>
      </c>
      <c r="E16" s="239" t="str">
        <f t="array" ref="E16">INDEX('13. ピーチ'!$A1:$AA217,MATCH(E$1, '13. ピーチ'!$A:$A,0),3)</f>
        <v>16-20</v>
      </c>
      <c r="F16" s="239">
        <f t="array" ref="F16">INDEX('13. ピーチ'!$A1:$AA217,MATCH(E$1, '13. ピーチ'!$A:$A,0),4)</f>
        <v>57</v>
      </c>
      <c r="G16" s="239" t="str">
        <f t="array" ref="G16">INDEX('13. ピーチ'!$A1:$AA217,MATCH(G$1, '13. ピーチ'!$A:$A,0),3)</f>
        <v>6-7</v>
      </c>
      <c r="H16" s="239">
        <f t="array" ref="H16">INDEX('13. ピーチ'!$A1:$AA217,MATCH(G$1, '13. ピーチ'!$A:$A,0),4)</f>
        <v>53</v>
      </c>
      <c r="I16" s="239" t="str">
        <f t="array" ref="I16">INDEX('13. ピーチ'!$A1:$AA217,MATCH(I$1, '13. ピーチ'!$A:$A,0),3)</f>
        <v>10</v>
      </c>
      <c r="J16" s="239">
        <f t="array" ref="J16">INDEX('13. ピーチ'!$A1:$AA217,MATCH(G$1, '13. ピーチ'!$A:$A,0),4)</f>
        <v>53</v>
      </c>
      <c r="K16" s="2111" t="str">
        <f t="array" ref="K16">INDEX('13. ピーチ'!$A1:$AA217,MATCH(K$1, '13. ピーチ'!$A:$A,0),3)</f>
        <v>12-13, 
18-19, 24-25</v>
      </c>
      <c r="L16" s="2111">
        <f t="array" ref="L16">INDEX('13. ピーチ'!$A1:$AA217,MATCH(K$1, '13. ピーチ'!$A:$A,0),4)</f>
        <v>38</v>
      </c>
      <c r="M16" s="3761"/>
      <c r="N16" s="3762"/>
      <c r="O16" s="3711" t="s">
        <v>93</v>
      </c>
      <c r="P16" s="3711" t="s">
        <v>228</v>
      </c>
      <c r="Q16" s="138">
        <v>11.0</v>
      </c>
      <c r="R16" s="239" t="s">
        <v>93</v>
      </c>
      <c r="S16" s="3763">
        <v>8.0</v>
      </c>
      <c r="T16" s="3771"/>
      <c r="U16" s="3765"/>
      <c r="V16" s="3765"/>
      <c r="W16" s="3766"/>
      <c r="X16" s="3767"/>
      <c r="Y16" s="3712">
        <v>14.0</v>
      </c>
      <c r="Z16" s="3713">
        <v>12.0</v>
      </c>
      <c r="AA16" s="3713">
        <v>3.0</v>
      </c>
    </row>
    <row r="17">
      <c r="A17" s="3768" t="s">
        <v>1282</v>
      </c>
      <c r="B17" s="3701" t="s">
        <v>6646</v>
      </c>
      <c r="C17" s="3770"/>
      <c r="D17" s="3770"/>
      <c r="E17" s="138"/>
      <c r="F17" s="138"/>
      <c r="G17" s="138"/>
      <c r="H17" s="138"/>
      <c r="I17" s="138"/>
      <c r="J17" s="138"/>
      <c r="K17" s="3761"/>
      <c r="L17" s="3761"/>
      <c r="M17" s="3761"/>
      <c r="N17" s="3762"/>
      <c r="O17" s="3711" t="s">
        <v>93</v>
      </c>
      <c r="P17" s="3711" t="s">
        <v>228</v>
      </c>
      <c r="Q17" s="138">
        <v>11.0</v>
      </c>
      <c r="R17" s="239" t="s">
        <v>93</v>
      </c>
      <c r="S17" s="3763">
        <v>8.0</v>
      </c>
      <c r="T17" s="3771"/>
      <c r="U17" s="3765"/>
      <c r="V17" s="3765"/>
      <c r="W17" s="3766"/>
      <c r="X17" s="3767"/>
      <c r="Y17" s="3712">
        <v>15.0</v>
      </c>
      <c r="Z17" s="3715">
        <v>77.0</v>
      </c>
      <c r="AA17" s="3713" t="s">
        <v>76</v>
      </c>
    </row>
    <row r="18">
      <c r="A18" s="3700">
        <v>14.0</v>
      </c>
      <c r="B18" s="3753" t="s">
        <v>6653</v>
      </c>
      <c r="C18" s="216" t="str">
        <f t="array" ref="C18">INDEX('14. クッパ'!$A1:$AA222,MATCH(C$1, '14. クッパ'!$A:$A,0),3)</f>
        <v>8-29</v>
      </c>
      <c r="D18" s="216" t="str">
        <f t="array" ref="D18">INDEX('14. クッパ'!$A1:$AA222,MATCH(C$1, '14. クッパ'!$A:$A,0),4)</f>
        <v>47</v>
      </c>
      <c r="E18" s="239" t="str">
        <f t="array" ref="E18">INDEX('14. クッパ'!$A1:$AA222,MATCH(E$1, '14. クッパ'!$A:$A,0),3)</f>
        <v>11-14</v>
      </c>
      <c r="F18" s="239">
        <f t="array" ref="F18">INDEX('14. クッパ'!$A1:$AA222,MATCH(E$1, '14. クッパ'!$A:$A,0),4)</f>
        <v>41</v>
      </c>
      <c r="G18" s="239" t="str">
        <f t="array" ref="G18">INDEX('14. クッパ'!$A1:$AA222,MATCH(G$1, '14. クッパ'!$A:$A,0),3)</f>
        <v>9-11</v>
      </c>
      <c r="H18" s="239">
        <f t="array" ref="H18">INDEX('14. クッパ'!$A1:$AA222,MATCH(G$1, '14. クッパ'!$A:$A,0),4)</f>
        <v>44</v>
      </c>
      <c r="I18" s="239" t="str">
        <f t="array" ref="I18">INDEX('14. クッパ'!$A1:$AA222,MATCH(I$1, '14. クッパ'!$A:$A,0),3)</f>
        <v>9-13</v>
      </c>
      <c r="J18" s="239">
        <f t="array" ref="J18">INDEX('14. クッパ'!$A1:$AA222,MATCH(G$1, '14. クッパ'!$A:$A,0),4)</f>
        <v>44</v>
      </c>
      <c r="K18" s="2111" t="str">
        <f t="array" ref="K18">INDEX('14. クッパ'!$A1:$AA222,MATCH(K$1, '14. クッパ'!$A:$A,0),3)</f>
        <v>17-24</v>
      </c>
      <c r="L18" s="2111">
        <f t="array" ref="L18">INDEX('14. クッパ'!$A1:$AA222,MATCH(K$1, '14. クッパ'!$A:$A,0),4)</f>
        <v>77</v>
      </c>
      <c r="M18" s="3761"/>
      <c r="N18" s="3762"/>
      <c r="O18" s="3711" t="s">
        <v>386</v>
      </c>
      <c r="P18" s="3711" t="s">
        <v>119</v>
      </c>
      <c r="Q18" s="138">
        <v>24.0</v>
      </c>
      <c r="R18" s="239" t="s">
        <v>394</v>
      </c>
      <c r="S18" s="3763">
        <v>34.0</v>
      </c>
      <c r="T18" s="3771"/>
      <c r="U18" s="3765"/>
      <c r="V18" s="3765"/>
      <c r="W18" s="3766"/>
      <c r="X18" s="3767"/>
      <c r="Y18" s="3712">
        <v>16.0</v>
      </c>
      <c r="Z18" s="3713">
        <v>13.0</v>
      </c>
      <c r="AA18" s="3713">
        <v>4.0</v>
      </c>
    </row>
    <row r="19">
      <c r="A19" s="3768">
        <v>15.0</v>
      </c>
      <c r="B19" s="3701" t="s">
        <v>6662</v>
      </c>
      <c r="C19" s="216" t="str">
        <f t="array" ref="C19">INDEX('15. アイスクライマー'!$A1:$AA236,MATCH(C$1, '15. アイスクライマー'!$A:$A,0),3)</f>
        <v>6-23</v>
      </c>
      <c r="D19" s="216" t="str">
        <f t="array" ref="D19">INDEX('15. アイスクライマー'!$A1:$AA236,MATCH(C$1, '15. アイスクライマー'!$A:$A,0),4)</f>
        <v>45</v>
      </c>
      <c r="E19" s="239" t="str">
        <f t="array" ref="E19">INDEX('15. アイスクライマー'!$A1:$AA236,MATCH(E$1, '15. アイスクライマー'!$A:$A,0),3)</f>
        <v>19-20</v>
      </c>
      <c r="F19" s="239" t="str">
        <f t="array" ref="F19">INDEX('15. アイスクライマー'!$A1:$AA236,MATCH(E$1, '15. アイスクライマー'!$A:$A,0),4)</f>
        <v>56</v>
      </c>
      <c r="G19" s="239" t="str">
        <f t="array" ref="G19">INDEX('15. アイスクライマー'!$A1:$AA236,MATCH(G$1, '15. アイスクライマー'!$A:$A,0),3)</f>
        <v>8-11</v>
      </c>
      <c r="H19" s="239" t="str">
        <f t="array" ref="H19">INDEX('15. アイスクライマー'!$A1:$AA236,MATCH(G$1, '15. アイスクライマー'!$A:$A,0),4)</f>
        <v>35</v>
      </c>
      <c r="I19" s="239" t="str">
        <f t="array" ref="I19">INDEX('15. アイスクライマー'!$A1:$AA236,MATCH(I$1, '15. アイスクライマー'!$A:$A,0),3)</f>
        <v>7-11</v>
      </c>
      <c r="J19" s="239" t="str">
        <f t="array" ref="J19">INDEX('15. アイスクライマー'!$A1:$AA236,MATCH(G$1, '15. アイスクライマー'!$A:$A,0),4)</f>
        <v>35</v>
      </c>
      <c r="K19" s="2111" t="str">
        <f t="array" ref="K19">INDEX('15. アイスクライマー'!$A1:$AA236,MATCH(K$1, '15. アイスクライマー'!$A:$A,0),3)</f>
        <v>12-51</v>
      </c>
      <c r="L19" s="2111" t="str">
        <f t="array" ref="L19">INDEX('15. アイスクライマー'!$A1:$AA236,MATCH(K$1, '15. アイスクライマー'!$A:$A,0),4)</f>
        <v>63</v>
      </c>
      <c r="M19" s="3761"/>
      <c r="N19" s="3762"/>
      <c r="O19" s="3711" t="s">
        <v>93</v>
      </c>
      <c r="P19" s="3711" t="s">
        <v>128</v>
      </c>
      <c r="Q19" s="138">
        <v>7.0</v>
      </c>
      <c r="R19" s="239" t="s">
        <v>119</v>
      </c>
      <c r="S19" s="3763">
        <v>20.0</v>
      </c>
      <c r="T19" s="3771"/>
      <c r="U19" s="3765"/>
      <c r="V19" s="3765"/>
      <c r="W19" s="3766"/>
      <c r="X19" s="3767"/>
      <c r="Y19" s="3712">
        <v>17.0</v>
      </c>
      <c r="Z19" s="3713">
        <v>14.0</v>
      </c>
      <c r="AA19" s="3713" t="s">
        <v>76</v>
      </c>
    </row>
    <row r="20">
      <c r="A20" s="3700">
        <v>16.0</v>
      </c>
      <c r="B20" s="3701" t="s">
        <v>6673</v>
      </c>
      <c r="C20" s="216" t="str">
        <f t="array" ref="C20">INDEX('16. シーク'!$A1:$AA217,MATCH(C$1, '16. シーク'!$A:$A,0),3)</f>
        <v>3-6</v>
      </c>
      <c r="D20" s="216" t="str">
        <f t="array" ref="D20">INDEX('16. シーク'!$A1:$AA217,MATCH(C$1, '16. シーク'!$A:$A,0),4)</f>
        <v>49</v>
      </c>
      <c r="E20" s="239" t="str">
        <f t="array" ref="E20">INDEX('16. シーク'!$A1:$AA217,MATCH(E$1, '16. シーク'!$A:$A,0),3)</f>
        <v>5-7</v>
      </c>
      <c r="F20" s="239">
        <f t="array" ref="F20">INDEX('16. シーク'!$A1:$AA217,MATCH(E$1, '16. シーク'!$A:$A,0),4)</f>
        <v>34</v>
      </c>
      <c r="G20" s="239" t="str">
        <f t="array" ref="G20">INDEX('16. シーク'!$A1:$AA217,MATCH(G$1, '16. シーク'!$A:$A,0),3)</f>
        <v>4-6</v>
      </c>
      <c r="H20" s="239">
        <f t="array" ref="H20">INDEX('16. シーク'!$A1:$AA217,MATCH(G$1, '16. シーク'!$A:$A,0),4)</f>
        <v>37</v>
      </c>
      <c r="I20" s="239" t="str">
        <f t="array" ref="I20">INDEX('16. シーク'!$A1:$AA217,MATCH(I$1, '16. シーク'!$A:$A,0),3)</f>
        <v>4-15
(Rehit: 4)</v>
      </c>
      <c r="J20" s="239">
        <f t="array" ref="J20">INDEX('16. シーク'!$A1:$AA217,MATCH(G$1, '16. シーク'!$A:$A,0),4)</f>
        <v>37</v>
      </c>
      <c r="K20" s="2111" t="str">
        <f t="array" ref="K20">INDEX('16. シーク'!$A1:$AA217,MATCH(K$1, '16. シーク'!$A:$A,0),3)</f>
        <v>15-18</v>
      </c>
      <c r="L20" s="2111">
        <f t="array" ref="L20">INDEX('16. シーク'!$A1:$AA217,MATCH(K$1, '16. シーク'!$A:$A,0),4)</f>
        <v>54</v>
      </c>
      <c r="M20" s="3761"/>
      <c r="N20" s="3762"/>
      <c r="O20" s="3711" t="s">
        <v>86</v>
      </c>
      <c r="P20" s="3711" t="s">
        <v>150</v>
      </c>
      <c r="Q20" s="138">
        <v>7.0</v>
      </c>
      <c r="R20" s="239" t="s">
        <v>228</v>
      </c>
      <c r="S20" s="3763">
        <v>22.0</v>
      </c>
      <c r="T20" s="3771"/>
      <c r="U20" s="3765"/>
      <c r="V20" s="3765"/>
      <c r="W20" s="3766"/>
      <c r="X20" s="3767"/>
      <c r="Y20" s="3712">
        <v>18.0</v>
      </c>
      <c r="Z20" s="3713">
        <v>16.0</v>
      </c>
      <c r="AA20" s="3713">
        <v>15.0</v>
      </c>
    </row>
    <row r="21">
      <c r="A21" s="3768">
        <v>17.0</v>
      </c>
      <c r="B21" s="3701" t="s">
        <v>6682</v>
      </c>
      <c r="C21" s="216" t="str">
        <f t="array" ref="C21">INDEX('17. ゼルダ'!$A1:$AA222,MATCH(C$1, '17. ゼルダ'!$A:$A,0),3)</f>
        <v>6-7, 10-11, 
14-15, 18-19</v>
      </c>
      <c r="D21" s="216" t="str">
        <f t="array" ref="D21">INDEX('17. ゼルダ'!$A1:$AA222,MATCH(C$1, '17. ゼルダ'!$A:$A,0),4)</f>
        <v>50</v>
      </c>
      <c r="E21" s="239" t="str">
        <f t="array" ref="E21">INDEX('17. ゼルダ'!$A1:$AA222,MATCH(E$1, '17. ゼルダ'!$A:$A,0),3)</f>
        <v>6</v>
      </c>
      <c r="F21" s="239" t="str">
        <f t="array" ref="F21">INDEX('17. ゼルダ'!$A1:$AA222,MATCH(E$1, '17. ゼルダ'!$A:$A,0),4)</f>
        <v>49</v>
      </c>
      <c r="G21" s="239" t="str">
        <f t="array" ref="G21">INDEX('17. ゼルダ'!$A1:$AA222,MATCH(G$1, '17. ゼルダ'!$A:$A,0),3)</f>
        <v>6</v>
      </c>
      <c r="H21" s="239" t="str">
        <f t="array" ref="H21">INDEX('17. ゼルダ'!$A1:$AA222,MATCH(G$1, '17. ゼルダ'!$A:$A,0),4)</f>
        <v>49</v>
      </c>
      <c r="I21" s="239" t="str">
        <f t="array" ref="I21">INDEX('17. ゼルダ'!$A1:$AA222,MATCH(I$1, '17. ゼルダ'!$A:$A,0),3)</f>
        <v>14-16</v>
      </c>
      <c r="J21" s="239" t="str">
        <f t="array" ref="J21">INDEX('17. ゼルダ'!$A1:$AA222,MATCH(G$1, '17. ゼルダ'!$A:$A,0),4)</f>
        <v>49</v>
      </c>
      <c r="K21" s="2111" t="str">
        <f t="array" ref="K21">INDEX('17. ゼルダ'!$A1:$AA222,MATCH(K$1, '17. ゼルダ'!$A:$A,0),3)</f>
        <v>14</v>
      </c>
      <c r="L21" s="2111">
        <f t="array" ref="L21">INDEX('17. ゼルダ'!$A1:$AA222,MATCH(K$1, '17. ゼルダ'!$A:$A,0),4)</f>
        <v>44</v>
      </c>
      <c r="M21" s="3761"/>
      <c r="N21" s="3762"/>
      <c r="O21" s="3711" t="s">
        <v>386</v>
      </c>
      <c r="P21" s="3711" t="s">
        <v>386</v>
      </c>
      <c r="Q21" s="138">
        <v>16.0</v>
      </c>
      <c r="R21" s="239" t="s">
        <v>129</v>
      </c>
      <c r="S21" s="3763">
        <v>12.0</v>
      </c>
      <c r="T21" s="3771"/>
      <c r="U21" s="3765"/>
      <c r="V21" s="3765"/>
      <c r="W21" s="3766"/>
      <c r="X21" s="3767"/>
      <c r="Y21" s="3712">
        <v>19.0</v>
      </c>
      <c r="Z21" s="3713">
        <v>17.0</v>
      </c>
      <c r="AA21" s="3713">
        <v>14.0</v>
      </c>
    </row>
    <row r="22">
      <c r="A22" s="3768">
        <v>18.0</v>
      </c>
      <c r="B22" s="3701" t="s">
        <v>6690</v>
      </c>
      <c r="C22" s="216" t="str">
        <f t="array" ref="C22">INDEX('18. ドクターマリオ'!$A1:$AA225,MATCH(C$1, '18. ドクターマリオ'!$A:$A,0),3)</f>
        <v>3-10</v>
      </c>
      <c r="D22" s="216" t="str">
        <f t="array" ref="D22">INDEX('18. ドクターマリオ'!$A1:$AA225,MATCH(C$1, '18. ドクターマリオ'!$A:$A,0),4)</f>
        <v>45</v>
      </c>
      <c r="E22" s="239" t="str">
        <f t="array" ref="E22">INDEX('18. ドクターマリオ'!$A1:$AA225,MATCH(E$1, '18. ドクターマリオ'!$A:$A,0),3)</f>
        <v>16</v>
      </c>
      <c r="F22" s="239">
        <f t="array" ref="F22">INDEX('18. ドクターマリオ'!$A1:$AA225,MATCH(E$1, '18. ドクターマリオ'!$A:$A,0),4)</f>
        <v>59</v>
      </c>
      <c r="G22" s="239" t="str">
        <f t="array" ref="G22">INDEX('18. ドクターマリオ'!$A1:$AA225,MATCH(G$1, '18. ドクターマリオ'!$A:$A,0),3)</f>
        <v>6-8</v>
      </c>
      <c r="H22" s="239">
        <f t="array" ref="H22">INDEX('18. ドクターマリオ'!$A1:$AA225,MATCH(G$1, '18. ドクターマリオ'!$A:$A,0),4)</f>
        <v>33</v>
      </c>
      <c r="I22" s="239" t="str">
        <f t="array" ref="I22">INDEX('18. ドクターマリオ'!$A1:$AA225,MATCH(I$1, '18. ドクターマリオ'!$A:$A,0),3)</f>
        <v>4-7</v>
      </c>
      <c r="J22" s="239">
        <f t="array" ref="J22">INDEX('18. ドクターマリオ'!$A1:$AA225,MATCH(G$1, '18. ドクターマリオ'!$A:$A,0),4)</f>
        <v>33</v>
      </c>
      <c r="K22" s="2111" t="str">
        <f t="array" ref="K22">INDEX('18. ドクターマリオ'!$A1:$AA225,MATCH(K$1, '18. ドクターマリオ'!$A:$A,0),3)</f>
        <v>14-17</v>
      </c>
      <c r="L22" s="2111" t="str">
        <f t="array" ref="L22">INDEX('18. ドクターマリオ'!$A1:$AA225,MATCH(K$1, '18. ドクターマリオ'!$A:$A,0),4)</f>
        <v>42</v>
      </c>
      <c r="M22" s="3761"/>
      <c r="N22" s="3762"/>
      <c r="O22" s="3711" t="s">
        <v>93</v>
      </c>
      <c r="P22" s="3711" t="s">
        <v>394</v>
      </c>
      <c r="Q22" s="138">
        <v>10.0</v>
      </c>
      <c r="R22" s="239" t="s">
        <v>80</v>
      </c>
      <c r="S22" s="3763">
        <v>13.0</v>
      </c>
      <c r="T22" s="3771"/>
      <c r="U22" s="3765"/>
      <c r="V22" s="3765"/>
      <c r="W22" s="3766"/>
      <c r="X22" s="3767"/>
      <c r="Y22" s="3712">
        <v>20.0</v>
      </c>
      <c r="Z22" s="3713">
        <v>18.0</v>
      </c>
      <c r="AA22" s="3713">
        <v>43.0</v>
      </c>
    </row>
    <row r="23">
      <c r="A23" s="3768">
        <v>19.0</v>
      </c>
      <c r="B23" s="3701" t="s">
        <v>6699</v>
      </c>
      <c r="C23" s="216" t="str">
        <f t="array" ref="C23">INDEX('19. ピチュー'!$A1:$AA222,MATCH(C$1, '19. ピチュー'!$A:$A,0),3)</f>
        <v>3-9</v>
      </c>
      <c r="D23" s="216" t="str">
        <f t="array" ref="D23">INDEX('19. ピチュー'!$A1:$AA222,MATCH(C$1, '19. ピチュー'!$A:$A,0),4)</f>
        <v>39</v>
      </c>
      <c r="E23" s="239" t="str">
        <f t="array" ref="E23">INDEX('19. ピチュー'!$A1:$AA222,MATCH(E$1, '19. ピチュー'!$A:$A,0),3)</f>
        <v>10-12, 
14-16, 18-20</v>
      </c>
      <c r="F23" s="239" t="str">
        <f t="array" ref="F23">INDEX('19. ピチュー'!$A1:$AA222,MATCH(E$1, '19. ピチュー'!$A:$A,0),4)</f>
        <v>39</v>
      </c>
      <c r="G23" s="239" t="str">
        <f t="array" ref="G23">INDEX('19. ピチュー'!$A1:$AA222,MATCH(G$1, '19. ピチュー'!$A:$A,0),3)</f>
        <v>5-6, 11-12, 
15-16, 19-20, 
26-27</v>
      </c>
      <c r="H23" s="239" t="str">
        <f t="array" ref="H23">INDEX('19. ピチュー'!$A1:$AA222,MATCH(G$1, '19. ピチュー'!$A:$A,0),4)</f>
        <v>54</v>
      </c>
      <c r="I23" s="239" t="str">
        <f t="array" ref="I23">INDEX('19. ピチュー'!$A1:$AA222,MATCH(I$1, '19. ピチュー'!$A:$A,0),3)</f>
        <v>4-9</v>
      </c>
      <c r="J23" s="239" t="str">
        <f t="array" ref="J23">INDEX('19. ピチュー'!$A1:$AA222,MATCH(G$1, '19. ピチュー'!$A:$A,0),4)</f>
        <v>54</v>
      </c>
      <c r="K23" s="2111" t="str">
        <f t="array" ref="K23">INDEX('19. ピチュー'!$A1:$AA222,MATCH(K$1, '19. ピチュー'!$A:$A,0),3)</f>
        <v>14-17</v>
      </c>
      <c r="L23" s="2111" t="str">
        <f t="array" ref="L23">INDEX('19. ピチュー'!$A1:$AA222,MATCH(K$1, '19. ピチュー'!$A:$A,0),4)</f>
        <v>47</v>
      </c>
      <c r="M23" s="3761"/>
      <c r="N23" s="3762"/>
      <c r="O23" s="3711" t="s">
        <v>93</v>
      </c>
      <c r="P23" s="3711" t="s">
        <v>129</v>
      </c>
      <c r="Q23" s="138">
        <v>18.0</v>
      </c>
      <c r="R23" s="239" t="s">
        <v>232</v>
      </c>
      <c r="S23" s="3763">
        <v>22.0</v>
      </c>
      <c r="T23" s="3771"/>
      <c r="U23" s="3765"/>
      <c r="V23" s="3765"/>
      <c r="W23" s="3766"/>
      <c r="X23" s="3767"/>
      <c r="Y23" s="3712">
        <v>21.0</v>
      </c>
      <c r="Z23" s="3713">
        <v>19.0</v>
      </c>
      <c r="AA23" s="3713" t="s">
        <v>76</v>
      </c>
    </row>
    <row r="24">
      <c r="A24" s="3768">
        <v>20.0</v>
      </c>
      <c r="B24" s="3701" t="s">
        <v>6705</v>
      </c>
      <c r="C24" s="216" t="str">
        <f t="array" ref="C24">INDEX('20. ファルコ'!$A1:$AA225,MATCH(C$1, '20. ファルコ'!$A:$A,0),3)</f>
        <v>3-5</v>
      </c>
      <c r="D24" s="216" t="str">
        <f t="array" ref="D24">INDEX('20. ファルコ'!$A1:$AA225,MATCH(C$1, '20. ファルコ'!$A:$A,0),4)</f>
        <v>46</v>
      </c>
      <c r="E24" s="239" t="str">
        <f t="array" ref="E24">INDEX('20. ファルコ'!$A1:$AA225,MATCH(E$1, '20. ファルコ'!$A:$A,0),3)</f>
        <v>7-25
(Rehit: 4)</v>
      </c>
      <c r="F24" s="239">
        <f t="array" ref="F24">INDEX('20. ファルコ'!$A1:$AA225,MATCH(E$1, '20. ファルコ'!$A:$A,0),4)</f>
        <v>49</v>
      </c>
      <c r="G24" s="239" t="str">
        <f t="array" ref="G24">INDEX('20. ファルコ'!$A1:$AA225,MATCH(G$1, '20. ファルコ'!$A:$A,0),3)</f>
        <v>9-10</v>
      </c>
      <c r="H24" s="239">
        <f t="array" ref="H24">INDEX('20. ファルコ'!$A1:$AA225,MATCH(G$1, '20. ファルコ'!$A:$A,0),4)</f>
        <v>37</v>
      </c>
      <c r="I24" s="239" t="str">
        <f t="array" ref="I24">INDEX('20. ファルコ'!$A1:$AA225,MATCH(I$1, '20. ファルコ'!$A:$A,0),3)</f>
        <v>7-11</v>
      </c>
      <c r="J24" s="239">
        <f t="array" ref="J24">INDEX('20. ファルコ'!$A1:$AA225,MATCH(G$1, '20. ファルコ'!$A:$A,0),4)</f>
        <v>37</v>
      </c>
      <c r="K24" s="2111" t="str">
        <f t="array" ref="K24">INDEX('20. ファルコ'!$A1:$AA225,MATCH(K$1, '20. ファルコ'!$A:$A,0),3)</f>
        <v>10-14</v>
      </c>
      <c r="L24" s="2111" t="str">
        <f t="array" ref="L24">INDEX('20. ファルコ'!$A1:$AA225,MATCH(K$1, '20. ファルコ'!$A:$A,0),4)</f>
        <v>43</v>
      </c>
      <c r="M24" s="3761"/>
      <c r="N24" s="3762"/>
      <c r="O24" s="3711" t="s">
        <v>274</v>
      </c>
      <c r="P24" s="3711" t="s">
        <v>386</v>
      </c>
      <c r="Q24" s="138">
        <v>13.0</v>
      </c>
      <c r="R24" s="239" t="s">
        <v>274</v>
      </c>
      <c r="S24" s="3763">
        <v>14.0</v>
      </c>
      <c r="T24" s="3771"/>
      <c r="U24" s="3765"/>
      <c r="V24" s="3765"/>
      <c r="W24" s="3766"/>
      <c r="X24" s="3767"/>
      <c r="Y24" s="3712">
        <v>22.0</v>
      </c>
      <c r="Z24" s="3713">
        <v>20.0</v>
      </c>
      <c r="AA24" s="3713">
        <v>29.0</v>
      </c>
    </row>
    <row r="25">
      <c r="A25" s="3768">
        <v>21.0</v>
      </c>
      <c r="B25" s="3701" t="s">
        <v>6713</v>
      </c>
      <c r="C25" s="216" t="str">
        <f t="array" ref="C25">INDEX('21. マルス'!$A1:$AA223,MATCH(C$1, '21. マルス'!$A:$A,0),3)</f>
        <v>6-7</v>
      </c>
      <c r="D25" s="216" t="str">
        <f t="array" ref="D25">INDEX('21. マルス'!$A1:$AA223,MATCH(C$1, '21. マルス'!$A:$A,0),4)</f>
        <v>49</v>
      </c>
      <c r="E25" s="239" t="str">
        <f t="array" ref="E25">INDEX('21. マルス'!$A1:$AA223,MATCH(E$1, '21. マルス'!$A:$A,0),3)</f>
        <v>6-8</v>
      </c>
      <c r="F25" s="239">
        <f t="array" ref="F25">INDEX('21. マルス'!$A1:$AA223,MATCH(E$1, '21. マルス'!$A:$A,0),4)</f>
        <v>37</v>
      </c>
      <c r="G25" s="239" t="str">
        <f t="array" ref="G25">INDEX('21. マルス'!$A1:$AA223,MATCH(G$1, '21. マルス'!$A:$A,0),3)</f>
        <v>7-11</v>
      </c>
      <c r="H25" s="239">
        <f t="array" ref="H25">INDEX('21. マルス'!$A1:$AA223,MATCH(G$1, '21. マルス'!$A:$A,0),4)</f>
        <v>39</v>
      </c>
      <c r="I25" s="239" t="str">
        <f t="array" ref="I25">INDEX('21. マルス'!$A1:$AA223,MATCH(I$1, '21. マルス'!$A:$A,0),3)</f>
        <v>5-9</v>
      </c>
      <c r="J25" s="239">
        <f t="array" ref="J25">INDEX('21. マルス'!$A1:$AA223,MATCH(G$1, '21. マルス'!$A:$A,0),4)</f>
        <v>39</v>
      </c>
      <c r="K25" s="2111" t="str">
        <f t="array" ref="K25">INDEX('21. マルス'!$A1:$AA223,MATCH(K$1, '21. マルス'!$A:$A,0),3)</f>
        <v>9-13</v>
      </c>
      <c r="L25" s="2111">
        <f t="array" ref="L25">INDEX('21. マルス'!$A1:$AA223,MATCH(K$1, '21. マルス'!$A:$A,0),4)</f>
        <v>59</v>
      </c>
      <c r="M25" s="3761"/>
      <c r="N25" s="3762"/>
      <c r="O25" s="3711" t="s">
        <v>93</v>
      </c>
      <c r="P25" s="3711" t="s">
        <v>128</v>
      </c>
      <c r="Q25" s="138">
        <v>10.0</v>
      </c>
      <c r="R25" s="239" t="s">
        <v>80</v>
      </c>
      <c r="S25" s="3763">
        <v>14.0</v>
      </c>
      <c r="T25" s="3771"/>
      <c r="U25" s="3765"/>
      <c r="V25" s="3765"/>
      <c r="W25" s="3766"/>
      <c r="X25" s="3767"/>
      <c r="Y25" s="3712">
        <v>23.0</v>
      </c>
      <c r="Z25" s="3713">
        <v>21.0</v>
      </c>
      <c r="AA25" s="3713">
        <v>22.0</v>
      </c>
    </row>
    <row r="26">
      <c r="A26" s="3768" t="s">
        <v>1848</v>
      </c>
      <c r="B26" s="3701" t="s">
        <v>6722</v>
      </c>
      <c r="C26" s="3770"/>
      <c r="D26" s="3770"/>
      <c r="E26" s="138"/>
      <c r="F26" s="138"/>
      <c r="G26" s="138"/>
      <c r="H26" s="138"/>
      <c r="I26" s="138"/>
      <c r="J26" s="138"/>
      <c r="K26" s="3761"/>
      <c r="L26" s="3761"/>
      <c r="M26" s="3761"/>
      <c r="N26" s="3762"/>
      <c r="O26" s="3711" t="s">
        <v>93</v>
      </c>
      <c r="P26" s="3711" t="s">
        <v>128</v>
      </c>
      <c r="Q26" s="138">
        <v>10.0</v>
      </c>
      <c r="R26" s="239" t="s">
        <v>80</v>
      </c>
      <c r="S26" s="3763">
        <v>14.0</v>
      </c>
      <c r="T26" s="3771"/>
      <c r="U26" s="3765"/>
      <c r="V26" s="3765"/>
      <c r="W26" s="3766"/>
      <c r="X26" s="3767"/>
      <c r="Y26" s="3712">
        <v>24.0</v>
      </c>
      <c r="Z26" s="3715">
        <v>78.0</v>
      </c>
      <c r="AA26" s="3713">
        <v>45.0</v>
      </c>
    </row>
    <row r="27">
      <c r="A27" s="3768">
        <v>22.0</v>
      </c>
      <c r="B27" s="3701" t="s">
        <v>6727</v>
      </c>
      <c r="C27" s="216" t="str">
        <f t="array" ref="C27">INDEX('22. こどもリンク'!$A1:$AA227,MATCH(C$1, '22. こどもリンク'!$A:$A,0),3)</f>
        <v>4-5</v>
      </c>
      <c r="D27" s="216" t="str">
        <f t="array" ref="D27">INDEX('22. こどもリンク'!$A1:$AA227,MATCH(C$1, '22. こどもリンク'!$A:$A,0),4)</f>
        <v>35</v>
      </c>
      <c r="E27" s="239" t="str">
        <f t="array" ref="E27">INDEX('22. こどもリンク'!$A1:$AA227,MATCH(E$1, '22. こどもリンク'!$A:$A,0),3)</f>
        <v>14-15</v>
      </c>
      <c r="F27" s="239" t="str">
        <f t="array" ref="F27">INDEX('22. こどもリンク'!$A1:$AA227,MATCH(E$1, '22. こどもリンク'!$A:$A,0),4)</f>
        <v>40</v>
      </c>
      <c r="G27" s="239" t="str">
        <f t="array" ref="G27">INDEX('22. こどもリンク'!$A1:$AA227,MATCH(G$1, '22. こどもリンク'!$A:$A,0),3)</f>
        <v>6-8</v>
      </c>
      <c r="H27" s="239" t="str">
        <f t="array" ref="H27">INDEX('22. こどもリンク'!$A1:$AA227,MATCH(G$1, '22. こどもリンク'!$A:$A,0),4)</f>
        <v>29</v>
      </c>
      <c r="I27" s="239" t="str">
        <f t="array" ref="I27">INDEX('22. こどもリンク'!$A1:$AA227,MATCH(I$1, '22. こどもリンク'!$A:$A,0),3)</f>
        <v>5-7</v>
      </c>
      <c r="J27" s="239" t="str">
        <f t="array" ref="J27">INDEX('22. こどもリンク'!$A1:$AA227,MATCH(G$1, '22. こどもリンク'!$A:$A,0),4)</f>
        <v>29</v>
      </c>
      <c r="K27" s="2111" t="str">
        <f t="array" ref="K27">INDEX('22. こどもリンク'!$A1:$AA227,MATCH(K$1, '22. こどもリンク'!$A:$A,0),3)</f>
        <v>13-15</v>
      </c>
      <c r="L27" s="2111" t="str">
        <f t="array" ref="L27">INDEX('22. こどもリンク'!$A1:$AA227,MATCH(K$1, '22. こどもリンク'!$A:$A,0),4)</f>
        <v>79</v>
      </c>
      <c r="M27" s="3761"/>
      <c r="N27" s="3762"/>
      <c r="O27" s="3711" t="s">
        <v>86</v>
      </c>
      <c r="P27" s="3711" t="s">
        <v>86</v>
      </c>
      <c r="Q27" s="138">
        <v>6.0</v>
      </c>
      <c r="R27" s="239" t="s">
        <v>119</v>
      </c>
      <c r="S27" s="3763">
        <v>17.0</v>
      </c>
      <c r="T27" s="3771"/>
      <c r="U27" s="3765"/>
      <c r="V27" s="3765"/>
      <c r="W27" s="3766"/>
      <c r="X27" s="3767"/>
      <c r="Y27" s="3712">
        <v>25.0</v>
      </c>
      <c r="Z27" s="3713">
        <v>22.0</v>
      </c>
      <c r="AA27" s="3713" t="s">
        <v>76</v>
      </c>
    </row>
    <row r="28">
      <c r="A28" s="3768">
        <v>23.0</v>
      </c>
      <c r="B28" s="3701" t="s">
        <v>6734</v>
      </c>
      <c r="C28" s="216" t="str">
        <f t="array" ref="C28">INDEX('23. ガノンドロフ'!$A1:$AA221,MATCH(C$1, '23. ガノンドロフ'!$A:$A,0),3)</f>
        <v>7-8</v>
      </c>
      <c r="D28" s="216" t="str">
        <f t="array" ref="D28">INDEX('23. ガノンドロフ'!$A1:$AA221,MATCH(C$1, '23. ガノンドロフ'!$A:$A,0),4)</f>
        <v>40</v>
      </c>
      <c r="E28" s="239" t="str">
        <f t="array" ref="E28">INDEX('23. ガノンドロフ'!$A1:$AA221,MATCH(E$1, '23. ガノンドロフ'!$A:$A,0),3)</f>
        <v>14-19</v>
      </c>
      <c r="F28" s="239">
        <f t="array" ref="F28">INDEX('23. ガノンドロフ'!$A1:$AA221,MATCH(E$1, '23. ガノンドロフ'!$A:$A,0),4)</f>
        <v>44</v>
      </c>
      <c r="G28" s="239" t="str">
        <f t="array" ref="G28">INDEX('23. ガノンドロフ'!$A1:$AA221,MATCH(G$1, '23. ガノンドロフ'!$A:$A,0),3)</f>
        <v>10-12</v>
      </c>
      <c r="H28" s="239">
        <f t="array" ref="H28">INDEX('23. ガノンドロフ'!$A1:$AA221,MATCH(G$1, '23. ガノンドロフ'!$A:$A,0),4)</f>
        <v>35</v>
      </c>
      <c r="I28" s="239" t="str">
        <f t="array" ref="I28">INDEX('23. ガノンドロフ'!$A1:$AA221,MATCH(I$1, '23. ガノンドロフ'!$A:$A,0),3)</f>
        <v>8-10</v>
      </c>
      <c r="J28" s="239">
        <f t="array" ref="J28">INDEX('23. ガノンドロフ'!$A1:$AA221,MATCH(G$1, '23. ガノンドロフ'!$A:$A,0),4)</f>
        <v>35</v>
      </c>
      <c r="K28" s="2111" t="str">
        <f t="array" ref="K28">INDEX('23. ガノンドロフ'!$A1:$AA221,MATCH(K$1, '23. ガノンドロフ'!$A:$A,0),3)</f>
        <v>16-18</v>
      </c>
      <c r="L28" s="2111" t="str">
        <f t="array" ref="L28">INDEX('23. ガノンドロフ'!$A1:$AA221,MATCH(K$1, '23. ガノンドロフ'!$A:$A,0),4)</f>
        <v>44</v>
      </c>
      <c r="M28" s="3761"/>
      <c r="N28" s="3762"/>
      <c r="O28" s="3711" t="s">
        <v>128</v>
      </c>
      <c r="P28" s="3711" t="s">
        <v>228</v>
      </c>
      <c r="Q28" s="138">
        <v>11.0</v>
      </c>
      <c r="R28" s="239" t="s">
        <v>232</v>
      </c>
      <c r="S28" s="3763">
        <v>16.0</v>
      </c>
      <c r="T28" s="3771"/>
      <c r="U28" s="3765"/>
      <c r="V28" s="3765"/>
      <c r="W28" s="3766"/>
      <c r="X28" s="3767"/>
      <c r="Y28" s="3712">
        <v>26.0</v>
      </c>
      <c r="Z28" s="3713">
        <v>23.0</v>
      </c>
      <c r="AA28" s="3713">
        <v>16.0</v>
      </c>
    </row>
    <row r="29">
      <c r="A29" s="3768">
        <v>24.0</v>
      </c>
      <c r="B29" s="3701" t="s">
        <v>6744</v>
      </c>
      <c r="C29" s="216" t="str">
        <f t="array" ref="C29">INDEX('24. ミュウツー'!$A1:$AA224,MATCH(C$1, '24. ミュウツー'!$A:$A,0),3)</f>
        <v>7-8, 11-12, 
15-16, 19-20, 
23-24</v>
      </c>
      <c r="D29" s="216" t="str">
        <f t="array" ref="D29">INDEX('24. ミュウツー'!$A1:$AA224,MATCH(C$1, '24. ミュウツー'!$A:$A,0),4)</f>
        <v>49</v>
      </c>
      <c r="E29" s="239" t="str">
        <f t="array" ref="E29">INDEX('24. ミュウツー'!$A1:$AA224,MATCH(E$1, '24. ミュウツー'!$A:$A,0),3)</f>
        <v>7-9</v>
      </c>
      <c r="F29" s="239" t="str">
        <f t="array" ref="F29">INDEX('24. ミュウツー'!$A1:$AA224,MATCH(E$1, '24. ミュウツー'!$A:$A,0),4)</f>
        <v>39</v>
      </c>
      <c r="G29" s="239" t="str">
        <f t="array" ref="G29">INDEX('24. ミュウツー'!$A1:$AA224,MATCH(G$1, '24. ミュウツー'!$A:$A,0),3)</f>
        <v>13-17</v>
      </c>
      <c r="H29" s="239">
        <f t="array" ref="H29">INDEX('24. ミュウツー'!$A1:$AA224,MATCH(G$1, '24. ミュウツー'!$A:$A,0),4)</f>
        <v>39</v>
      </c>
      <c r="I29" s="239" t="str">
        <f t="array" ref="I29">INDEX('24. ミュウツー'!$A1:$AA224,MATCH(I$1, '24. ミュウツー'!$A:$A,0),3)</f>
        <v>10-14</v>
      </c>
      <c r="J29" s="239">
        <f t="array" ref="J29">INDEX('24. ミュウツー'!$A1:$AA224,MATCH(G$1, '24. ミュウツー'!$A:$A,0),4)</f>
        <v>39</v>
      </c>
      <c r="K29" s="2111" t="str">
        <f t="array" ref="K29">INDEX('24. ミュウツー'!$A1:$AA224,MATCH(K$1, '24. ミュウツー'!$A:$A,0),3)</f>
        <v>15-18</v>
      </c>
      <c r="L29" s="2111" t="str">
        <f t="array" ref="L29">INDEX('24. ミュウツー'!$A1:$AA224,MATCH(K$1, '24. ミュウツー'!$A:$A,0),4)</f>
        <v>47</v>
      </c>
      <c r="M29" s="3761"/>
      <c r="N29" s="3762"/>
      <c r="O29" s="3711" t="s">
        <v>128</v>
      </c>
      <c r="P29" s="3711" t="s">
        <v>80</v>
      </c>
      <c r="Q29" s="138">
        <v>10.0</v>
      </c>
      <c r="R29" s="239" t="s">
        <v>80</v>
      </c>
      <c r="S29" s="3763">
        <v>11.0</v>
      </c>
      <c r="T29" s="3771"/>
      <c r="U29" s="3765"/>
      <c r="V29" s="3765"/>
      <c r="W29" s="3766"/>
      <c r="X29" s="3767"/>
      <c r="Y29" s="3712">
        <v>27.0</v>
      </c>
      <c r="Z29" s="3713">
        <v>24.0</v>
      </c>
      <c r="AA29" s="3713">
        <v>49.0</v>
      </c>
    </row>
    <row r="30">
      <c r="A30" s="3768">
        <v>25.0</v>
      </c>
      <c r="B30" s="3701" t="s">
        <v>6753</v>
      </c>
      <c r="C30" s="216" t="str">
        <f t="array" ref="C30">INDEX('25. ロイ'!$A1:$AA221,MATCH(C$1, '25. ロイ'!$A:$A,0),3)</f>
        <v>6-7</v>
      </c>
      <c r="D30" s="216" t="str">
        <f t="array" ref="D30">INDEX('25. ロイ'!$A1:$AA221,MATCH(C$1, '25. ロイ'!$A:$A,0),4)</f>
        <v>45</v>
      </c>
      <c r="E30" s="239" t="str">
        <f t="array" ref="E30">INDEX('25. ロイ'!$A1:$AA221,MATCH(E$1, '25. ロイ'!$A:$A,0),3)</f>
        <v>10-12</v>
      </c>
      <c r="F30" s="239">
        <f t="array" ref="F30">INDEX('25. ロイ'!$A1:$AA221,MATCH(E$1, '25. ロイ'!$A:$A,0),4)</f>
        <v>29</v>
      </c>
      <c r="G30" s="239" t="str">
        <f t="array" ref="G30">INDEX('25. ロイ'!$A1:$AA221,MATCH(G$1, '25. ロイ'!$A:$A,0),3)</f>
        <v>8-10</v>
      </c>
      <c r="H30" s="239">
        <f t="array" ref="H30">INDEX('25. ロイ'!$A1:$AA221,MATCH(G$1, '25. ロイ'!$A:$A,0),4)</f>
        <v>35</v>
      </c>
      <c r="I30" s="239" t="str">
        <f t="array" ref="I30">INDEX('25. ロイ'!$A1:$AA221,MATCH(I$1, '25. ロイ'!$A:$A,0),3)</f>
        <v>5-12</v>
      </c>
      <c r="J30" s="239">
        <f t="array" ref="J30">INDEX('25. ロイ'!$A1:$AA221,MATCH(G$1, '25. ロイ'!$A:$A,0),4)</f>
        <v>35</v>
      </c>
      <c r="K30" s="2111" t="str">
        <f t="array" ref="K30">INDEX('25. ロイ'!$A1:$AA221,MATCH(K$1, '25. ロイ'!$A:$A,0),3)</f>
        <v>16-17</v>
      </c>
      <c r="L30" s="2111">
        <f t="array" ref="L30">INDEX('25. ロイ'!$A1:$AA221,MATCH(K$1, '25. ロイ'!$A:$A,0),4)</f>
        <v>51</v>
      </c>
      <c r="M30" s="3761"/>
      <c r="N30" s="3762"/>
      <c r="O30" s="3711" t="s">
        <v>274</v>
      </c>
      <c r="P30" s="3711" t="s">
        <v>80</v>
      </c>
      <c r="Q30" s="138">
        <v>10.0</v>
      </c>
      <c r="R30" s="239" t="s">
        <v>80</v>
      </c>
      <c r="S30" s="3763">
        <v>14.0</v>
      </c>
      <c r="T30" s="3771"/>
      <c r="U30" s="3765"/>
      <c r="V30" s="3765"/>
      <c r="W30" s="3766"/>
      <c r="X30" s="3767"/>
      <c r="Y30" s="3712">
        <v>28.0</v>
      </c>
      <c r="Z30" s="3713">
        <v>25.0</v>
      </c>
      <c r="AA30" s="3713">
        <v>51.0</v>
      </c>
    </row>
    <row r="31">
      <c r="A31" s="3700" t="s">
        <v>2133</v>
      </c>
      <c r="B31" s="3701" t="s">
        <v>6760</v>
      </c>
      <c r="C31" s="3770"/>
      <c r="D31" s="3770"/>
      <c r="E31" s="138"/>
      <c r="F31" s="138"/>
      <c r="G31" s="138"/>
      <c r="H31" s="138"/>
      <c r="I31" s="138"/>
      <c r="J31" s="138"/>
      <c r="K31" s="3761"/>
      <c r="L31" s="3761"/>
      <c r="M31" s="3761"/>
      <c r="N31" s="3762"/>
      <c r="O31" s="3711" t="s">
        <v>274</v>
      </c>
      <c r="P31" s="3711" t="s">
        <v>80</v>
      </c>
      <c r="Q31" s="138">
        <v>10.0</v>
      </c>
      <c r="R31" s="239" t="s">
        <v>80</v>
      </c>
      <c r="S31" s="3763">
        <v>14.0</v>
      </c>
      <c r="T31" s="3771"/>
      <c r="U31" s="3765"/>
      <c r="V31" s="3765"/>
      <c r="W31" s="3766"/>
      <c r="X31" s="3767"/>
      <c r="Y31" s="3712">
        <v>29.0</v>
      </c>
      <c r="Z31" s="3715">
        <v>79.0</v>
      </c>
      <c r="AA31" s="3713" t="s">
        <v>76</v>
      </c>
    </row>
    <row r="32">
      <c r="A32" s="3768">
        <v>26.0</v>
      </c>
      <c r="B32" s="3701" t="s">
        <v>7407</v>
      </c>
      <c r="C32" s="216" t="str">
        <f t="array" ref="C32">INDEX('26. Mr.ゲーム&amp;ウォッチ'!$A1:$AA225,MATCH(C$1, '26. Mr.ゲーム&amp;ウォッチ'!$A:$A,0),3)</f>
        <v>7-10</v>
      </c>
      <c r="D32" s="216" t="str">
        <f t="array" ref="D32">INDEX('26. Mr.ゲーム&amp;ウォッチ'!$A1:$AA225,MATCH(C$1, '26. Mr.ゲーム&amp;ウォッチ'!$A:$A,0),4)</f>
        <v>42</v>
      </c>
      <c r="E32" s="239" t="str">
        <f t="array" ref="E32">INDEX('26. Mr.ゲーム&amp;ウォッチ'!$A1:$AA225,MATCH(E$1, '26. Mr.ゲーム&amp;ウォッチ'!$A:$A,0),3)</f>
        <v>10-13</v>
      </c>
      <c r="F32" s="239" t="str">
        <f t="array" ref="F32">INDEX('26. Mr.ゲーム&amp;ウォッチ'!$A1:$AA225,MATCH(E$1, '26. Mr.ゲーム&amp;ウォッチ'!$A:$A,0),4)</f>
        <v>47</v>
      </c>
      <c r="G32" s="239" t="str">
        <f t="array" ref="G32">INDEX('26. Mr.ゲーム&amp;ウォッチ'!$A1:$AA225,MATCH(G$1, '26. Mr.ゲーム&amp;ウォッチ'!$A:$A,0),3)</f>
        <v>10-13,
14-17, 18-21</v>
      </c>
      <c r="H32" s="239">
        <f t="array" ref="H32">INDEX('26. Mr.ゲーム&amp;ウォッチ'!$A1:$AA225,MATCH(G$1, '26. Mr.ゲーム&amp;ウォッチ'!$A:$A,0),4)</f>
        <v>39</v>
      </c>
      <c r="I32" s="239" t="str">
        <f t="array" ref="I32">INDEX('26. Mr.ゲーム&amp;ウォッチ'!$A1:$AA225,MATCH(I$1, '26. Mr.ゲーム&amp;ウォッチ'!$A:$A,0),3)</f>
        <v>9-14
(Rehit: 6)</v>
      </c>
      <c r="J32" s="239">
        <f t="array" ref="J32">INDEX('26. Mr.ゲーム&amp;ウォッチ'!$A1:$AA225,MATCH(G$1, '26. Mr.ゲーム&amp;ウォッチ'!$A:$A,0),4)</f>
        <v>39</v>
      </c>
      <c r="K32" s="2111" t="str">
        <f t="array" ref="K32">INDEX('26. Mr.ゲーム&amp;ウォッチ'!$A1:$AA225,MATCH(K$1, '26. Mr.ゲーム&amp;ウォッチ'!$A:$A,0),3)</f>
        <v>12-13</v>
      </c>
      <c r="L32" s="2111">
        <f t="array" ref="L32">INDEX('26. Mr.ゲーム&amp;ウォッチ'!$A1:$AA225,MATCH(K$1, '26. Mr.ゲーム&amp;ウォッチ'!$A:$A,0),4)</f>
        <v>49</v>
      </c>
      <c r="M32" s="3761"/>
      <c r="N32" s="3762"/>
      <c r="O32" s="3711" t="s">
        <v>93</v>
      </c>
      <c r="P32" s="3711" t="s">
        <v>394</v>
      </c>
      <c r="Q32" s="138">
        <v>18.0</v>
      </c>
      <c r="R32" s="239" t="s">
        <v>129</v>
      </c>
      <c r="S32" s="3763">
        <v>22.0</v>
      </c>
      <c r="T32" s="3771"/>
      <c r="U32" s="3765"/>
      <c r="V32" s="3765"/>
      <c r="W32" s="3766"/>
      <c r="X32" s="3767"/>
      <c r="Y32" s="3712">
        <v>30.0</v>
      </c>
      <c r="Z32" s="3713">
        <v>26.0</v>
      </c>
      <c r="AA32" s="3713">
        <v>11.0</v>
      </c>
    </row>
    <row r="33">
      <c r="A33" s="3768">
        <v>27.0</v>
      </c>
      <c r="B33" s="3701" t="s">
        <v>6776</v>
      </c>
      <c r="C33" s="216" t="str">
        <f t="array" ref="C33">INDEX('27. メタナイト'!$A1:$AA224,MATCH(C$1, '27. メタナイト'!$A:$A,0),3)</f>
        <v>6-7</v>
      </c>
      <c r="D33" s="216" t="str">
        <f t="array" ref="D33">INDEX('27. メタナイト'!$A1:$AA224,MATCH(C$1, '27. メタナイト'!$A:$A,0),4)</f>
        <v>43</v>
      </c>
      <c r="E33" s="239" t="str">
        <f t="array" ref="E33">INDEX('27. メタナイト'!$A1:$AA224,MATCH(E$1, '27. メタナイト'!$A:$A,0),3)</f>
        <v>9</v>
      </c>
      <c r="F33" s="239" t="str">
        <f t="array" ref="F33">INDEX('27. メタナイト'!$A1:$AA224,MATCH(E$1, '27. メタナイト'!$A:$A,0),4)</f>
        <v>39</v>
      </c>
      <c r="G33" s="239" t="str">
        <f t="array" ref="G33">INDEX('27. メタナイト'!$A1:$AA224,MATCH(G$1, '27. メタナイト'!$A:$A,0),3)</f>
        <v>7-8</v>
      </c>
      <c r="H33" s="239">
        <f t="array" ref="H33">INDEX('27. メタナイト'!$A1:$AA224,MATCH(G$1, '27. メタナイト'!$A:$A,0),4)</f>
        <v>51</v>
      </c>
      <c r="I33" s="239" t="str">
        <f t="array" ref="I33">INDEX('27. メタナイト'!$A1:$AA224,MATCH(I$1, '27. メタナイト'!$A:$A,0),3)</f>
        <v>6</v>
      </c>
      <c r="J33" s="239">
        <f t="array" ref="J33">INDEX('27. メタナイト'!$A1:$AA224,MATCH(G$1, '27. メタナイト'!$A:$A,0),4)</f>
        <v>51</v>
      </c>
      <c r="K33" s="2111" t="str">
        <f t="array" ref="K33">INDEX('27. メタナイト'!$A1:$AA224,MATCH(K$1, '27. メタナイト'!$A:$A,0),3)</f>
        <v>4</v>
      </c>
      <c r="L33" s="2111">
        <f t="array" ref="L33">INDEX('27. メタナイト'!$A1:$AA224,MATCH(K$1, '27. メタナイト'!$A:$A,0),4)</f>
        <v>27</v>
      </c>
      <c r="M33" s="3761"/>
      <c r="N33" s="3762"/>
      <c r="O33" s="3711" t="s">
        <v>93</v>
      </c>
      <c r="P33" s="3711" t="s">
        <v>128</v>
      </c>
      <c r="Q33" s="138">
        <v>11.0</v>
      </c>
      <c r="R33" s="239" t="s">
        <v>274</v>
      </c>
      <c r="S33" s="3763">
        <v>9.0</v>
      </c>
      <c r="T33" s="3771"/>
      <c r="U33" s="3765"/>
      <c r="V33" s="3765"/>
      <c r="W33" s="3766"/>
      <c r="X33" s="3767"/>
      <c r="Y33" s="3712">
        <v>31.0</v>
      </c>
      <c r="Z33" s="3713">
        <v>27.0</v>
      </c>
      <c r="AA33" s="3713">
        <v>27.0</v>
      </c>
    </row>
    <row r="34">
      <c r="A34" s="3768">
        <v>28.0</v>
      </c>
      <c r="B34" s="3701" t="s">
        <v>6786</v>
      </c>
      <c r="C34" s="216" t="str">
        <f t="array" ref="C34">INDEX('28. ピット'!$A1:$AA225,MATCH(C$1, '28. ピット'!$A:$A,0),3)</f>
        <v>4-5, 7-8, 
10-11, 13-14, 
16-17, 19-20,
22-23</v>
      </c>
      <c r="D34" s="216" t="str">
        <f t="array" ref="D34">INDEX('28. ピット'!$A1:$AA225,MATCH(C$1, '28. ピット'!$A:$A,0),4)</f>
        <v>54</v>
      </c>
      <c r="E34" s="239" t="str">
        <f t="array" ref="E34">INDEX('28. ピット'!$A1:$AA225,MATCH(E$1, '28. ピット'!$A:$A,0),3)</f>
        <v>11-12</v>
      </c>
      <c r="F34" s="239">
        <f t="array" ref="F34">INDEX('28. ピット'!$A1:$AA225,MATCH(E$1, '28. ピット'!$A:$A,0),4)</f>
        <v>46</v>
      </c>
      <c r="G34" s="239" t="str">
        <f t="array" ref="G34">INDEX('28. ピット'!$A1:$AA225,MATCH(G$1, '28. ピット'!$A:$A,0),3)</f>
        <v>10</v>
      </c>
      <c r="H34" s="239">
        <f t="array" ref="H34">INDEX('28. ピット'!$A1:$AA225,MATCH(G$1, '28. ピット'!$A:$A,0),4)</f>
        <v>40</v>
      </c>
      <c r="I34" s="239" t="str">
        <f t="array" ref="I34">INDEX('28. ピット'!$A1:$AA225,MATCH(I$1, '28. ピット'!$A:$A,0),3)</f>
        <v>10-11, 13-14,
16-17,19-20</v>
      </c>
      <c r="J34" s="239">
        <f t="array" ref="J34">INDEX('28. ピット'!$A1:$AA225,MATCH(G$1, '28. ピット'!$A:$A,0),4)</f>
        <v>40</v>
      </c>
      <c r="K34" s="2111" t="str">
        <f t="array" ref="K34">INDEX('28. ピット'!$A1:$AA225,MATCH(K$1, '28. ピット'!$A:$A,0),3)</f>
        <v>10</v>
      </c>
      <c r="L34" s="2111">
        <f t="array" ref="L34">INDEX('28. ピット'!$A1:$AA225,MATCH(K$1, '28. ピット'!$A:$A,0),4)</f>
        <v>36</v>
      </c>
      <c r="M34" s="3761"/>
      <c r="N34" s="3762"/>
      <c r="O34" s="3711" t="s">
        <v>119</v>
      </c>
      <c r="P34" s="3711" t="s">
        <v>129</v>
      </c>
      <c r="Q34" s="138">
        <v>8.0</v>
      </c>
      <c r="R34" s="239" t="s">
        <v>119</v>
      </c>
      <c r="S34" s="3763">
        <v>12.0</v>
      </c>
      <c r="T34" s="3771"/>
      <c r="U34" s="3765"/>
      <c r="V34" s="3765"/>
      <c r="W34" s="3766"/>
      <c r="X34" s="3767"/>
      <c r="Y34" s="3712">
        <v>32.0</v>
      </c>
      <c r="Z34" s="3713">
        <v>28.0</v>
      </c>
      <c r="AA34" s="3713">
        <v>20.0</v>
      </c>
    </row>
    <row r="35">
      <c r="A35" s="3768" t="s">
        <v>2305</v>
      </c>
      <c r="B35" s="3701" t="s">
        <v>6796</v>
      </c>
      <c r="C35" s="3770"/>
      <c r="D35" s="3770"/>
      <c r="E35" s="138"/>
      <c r="F35" s="138"/>
      <c r="G35" s="138"/>
      <c r="H35" s="138"/>
      <c r="I35" s="138"/>
      <c r="J35" s="138"/>
      <c r="K35" s="3761"/>
      <c r="L35" s="3761"/>
      <c r="M35" s="3761"/>
      <c r="N35" s="3762"/>
      <c r="O35" s="3711" t="s">
        <v>119</v>
      </c>
      <c r="P35" s="3711" t="s">
        <v>129</v>
      </c>
      <c r="Q35" s="138">
        <v>8.0</v>
      </c>
      <c r="R35" s="239" t="s">
        <v>119</v>
      </c>
      <c r="S35" s="3763">
        <v>12.0</v>
      </c>
      <c r="T35" s="3771"/>
      <c r="U35" s="3765"/>
      <c r="V35" s="3765"/>
      <c r="W35" s="3766"/>
      <c r="X35" s="3767"/>
      <c r="Y35" s="3712">
        <v>33.0</v>
      </c>
      <c r="Z35" s="3715">
        <v>80.0</v>
      </c>
      <c r="AA35" s="3713">
        <v>44.0</v>
      </c>
    </row>
    <row r="36">
      <c r="A36" s="3768">
        <v>29.0</v>
      </c>
      <c r="B36" s="3701" t="s">
        <v>6804</v>
      </c>
      <c r="C36" s="216" t="str">
        <f t="array" ref="C36">INDEX('29. ゼロスーツサムス'!$A1:$AA231,MATCH(C$1, '29. ゼロスーツサムス'!$A:$A,0),3)</f>
        <v>10-11</v>
      </c>
      <c r="D36" s="216" t="str">
        <f t="array" ref="D36">INDEX('29. ゼロスーツサムス'!$A1:$AA231,MATCH(C$1, '29. ゼロスーツサムス'!$A:$A,0),4)</f>
        <v>51</v>
      </c>
      <c r="E36" s="239" t="str">
        <f t="array" ref="E36">INDEX('29. ゼロスーツサムス'!$A1:$AA231,MATCH(E$1, '29. ゼロスーツサムス'!$A:$A,0),3)</f>
        <v>6-7</v>
      </c>
      <c r="F36" s="239">
        <f t="array" ref="F36">INDEX('29. ゼロスーツサムス'!$A1:$AA231,MATCH(E$1, '29. ゼロスーツサムス'!$A:$A,0),4)</f>
        <v>46</v>
      </c>
      <c r="G36" s="239" t="str">
        <f t="array" ref="G36">INDEX('29. ゼロスーツサムス'!$A1:$AA231,MATCH(G$1, '29. ゼロスーツサムス'!$A:$A,0),3)</f>
        <v>8-9</v>
      </c>
      <c r="H36" s="239">
        <f t="array" ref="H36">INDEX('29. ゼロスーツサムス'!$A1:$AA231,MATCH(G$1, '29. ゼロスーツサムス'!$A:$A,0),4)</f>
        <v>39</v>
      </c>
      <c r="I36" s="239" t="str">
        <f t="array" ref="I36">INDEX('29. ゼロスーツサムス'!$A1:$AA231,MATCH(I$1, '29. ゼロスーツサムス'!$A:$A,0),3)</f>
        <v>6-12</v>
      </c>
      <c r="J36" s="239">
        <f t="array" ref="J36">INDEX('29. ゼロスーツサムス'!$A1:$AA231,MATCH(G$1, '29. ゼロスーツサムス'!$A:$A,0),4)</f>
        <v>39</v>
      </c>
      <c r="K36" s="2111" t="str">
        <f t="array" ref="K36">INDEX('29. ゼロスーツサムス'!$A1:$AA231,MATCH(K$1, '29. ゼロスーツサムス'!$A:$A,0),3)</f>
        <v>14-49</v>
      </c>
      <c r="L36" s="2111">
        <f t="array" ref="L36">INDEX('29. ゼロスーツサムス'!$A1:$AA231,MATCH(K$1, '29. ゼロスーツサムス'!$A:$A,0),4)</f>
        <v>67</v>
      </c>
      <c r="M36" s="3761"/>
      <c r="N36" s="3762"/>
      <c r="O36" s="3711" t="s">
        <v>86</v>
      </c>
      <c r="P36" s="3711" t="s">
        <v>128</v>
      </c>
      <c r="Q36" s="138">
        <v>10.0</v>
      </c>
      <c r="R36" s="239" t="s">
        <v>150</v>
      </c>
      <c r="S36" s="3763">
        <v>24.0</v>
      </c>
      <c r="T36" s="3771"/>
      <c r="U36" s="3765"/>
      <c r="V36" s="3765"/>
      <c r="W36" s="3766"/>
      <c r="X36" s="3767"/>
      <c r="Y36" s="3712">
        <v>34.0</v>
      </c>
      <c r="Z36" s="3713">
        <v>29.0</v>
      </c>
      <c r="AA36" s="3713">
        <v>19.0</v>
      </c>
    </row>
    <row r="37">
      <c r="A37" s="3768">
        <v>30.0</v>
      </c>
      <c r="B37" s="3701" t="s">
        <v>6814</v>
      </c>
      <c r="C37" s="216" t="str">
        <f t="array" ref="C37">INDEX('30. ワリオ'!$A1:$AA229,MATCH(C$1, '30. ワリオ'!$A:$A,0),3)</f>
        <v>4-12</v>
      </c>
      <c r="D37" s="216" t="str">
        <f t="array" ref="D37">INDEX('30. ワリオ'!$A1:$AA229,MATCH(C$1, '30. ワリオ'!$A:$A,0),4)</f>
        <v>45</v>
      </c>
      <c r="E37" s="239" t="str">
        <f t="array" ref="E37">INDEX('30. ワリオ'!$A1:$AA229,MATCH(E$1, '30. ワリオ'!$A:$A,0),3)</f>
        <v>5-6</v>
      </c>
      <c r="F37" s="239">
        <f t="array" ref="F37">INDEX('30. ワリオ'!$A1:$AA229,MATCH(E$1, '30. ワリオ'!$A:$A,0),4)</f>
        <v>37</v>
      </c>
      <c r="G37" s="239" t="str">
        <f t="array" ref="G37">INDEX('30. ワリオ'!$A1:$AA229,MATCH(G$1, '30. ワリオ'!$A:$A,0),3)</f>
        <v>9-11</v>
      </c>
      <c r="H37" s="239">
        <f t="array" ref="H37">INDEX('30. ワリオ'!$A1:$AA229,MATCH(G$1, '30. ワリオ'!$A:$A,0),4)</f>
        <v>49</v>
      </c>
      <c r="I37" s="239" t="str">
        <f t="array" ref="I37">INDEX('30. ワリオ'!$A1:$AA229,MATCH(I$1, '30. ワリオ'!$A:$A,0),3)</f>
        <v>8-9</v>
      </c>
      <c r="J37" s="239">
        <f t="array" ref="J37">INDEX('30. ワリオ'!$A1:$AA229,MATCH(G$1, '30. ワリオ'!$A:$A,0),4)</f>
        <v>49</v>
      </c>
      <c r="K37" s="2111" t="str">
        <f t="array" ref="K37">INDEX('30. ワリオ'!$A1:$AA229,MATCH(K$1, '30. ワリオ'!$A:$A,0),3)</f>
        <v>9, 11, 13, 
15, 17, 19</v>
      </c>
      <c r="L37" s="2111">
        <f t="array" ref="L37">INDEX('30. ワリオ'!$A1:$AA229,MATCH(K$1, '30. ワリオ'!$A:$A,0),4)</f>
        <v>47</v>
      </c>
      <c r="M37" s="3761"/>
      <c r="N37" s="3762"/>
      <c r="O37" s="3711" t="s">
        <v>93</v>
      </c>
      <c r="P37" s="3711" t="s">
        <v>128</v>
      </c>
      <c r="Q37" s="138">
        <v>16.0</v>
      </c>
      <c r="R37" s="239" t="s">
        <v>93</v>
      </c>
      <c r="S37" s="3763">
        <v>18.0</v>
      </c>
      <c r="T37" s="3771"/>
      <c r="U37" s="3765"/>
      <c r="V37" s="3765"/>
      <c r="W37" s="3766"/>
      <c r="X37" s="3767"/>
      <c r="Y37" s="3712">
        <v>35.0</v>
      </c>
      <c r="Z37" s="3713">
        <v>30.0</v>
      </c>
      <c r="AA37" s="3713">
        <v>8.0</v>
      </c>
    </row>
    <row r="38">
      <c r="A38" s="3768">
        <v>31.0</v>
      </c>
      <c r="B38" s="3701" t="s">
        <v>6823</v>
      </c>
      <c r="C38" s="216" t="str">
        <f t="array" ref="C38">INDEX('31. スネーク'!$A1:$AA227,MATCH(C$1, '31. スネーク'!$A:$A,0),3)</f>
        <v>10-11</v>
      </c>
      <c r="D38" s="216" t="str">
        <f t="array" ref="D38">INDEX('31. スネーク'!$A1:$AA227,MATCH(C$1, '31. スネーク'!$A:$A,0),4)</f>
        <v>59</v>
      </c>
      <c r="E38" s="239" t="str">
        <f t="array" ref="E38">INDEX('31. スネーク'!$A1:$AA227,MATCH(E$1, '31. スネーク'!$A:$A,0),3)</f>
        <v>23-26</v>
      </c>
      <c r="F38" s="239" t="str">
        <f t="array" ref="F38">INDEX('31. スネーク'!$A1:$AA227,MATCH(E$1, '31. スネーク'!$A:$A,0),4)</f>
        <v>69</v>
      </c>
      <c r="G38" s="239" t="str">
        <f t="array" ref="G38">INDEX('31. スネーク'!$A1:$AA227,MATCH(G$1, '31. スネーク'!$A:$A,0),3)</f>
        <v>7-9</v>
      </c>
      <c r="H38" s="239" t="str">
        <f t="array" ref="H38">INDEX('31. スネーク'!$A1:$AA227,MATCH(G$1, '31. スネーク'!$A:$A,0),4)</f>
        <v>42</v>
      </c>
      <c r="I38" s="239" t="str">
        <f t="array" ref="I38">INDEX('31. スネーク'!$A1:$AA227,MATCH(I$1, '31. スネーク'!$A:$A,0),3)</f>
        <v>10-12</v>
      </c>
      <c r="J38" s="239" t="str">
        <f t="array" ref="J38">INDEX('31. スネーク'!$A1:$AA227,MATCH(G$1, '31. スネーク'!$A:$A,0),4)</f>
        <v>42</v>
      </c>
      <c r="K38" s="2111" t="str">
        <f t="array" ref="K38">INDEX('31. スネーク'!$A1:$AA227,MATCH(K$1, '31. スネーク'!$A:$A,0),3)</f>
        <v>3-4</v>
      </c>
      <c r="L38" s="2111" t="str">
        <f t="array" ref="L38">INDEX('31. スネーク'!$A1:$AA227,MATCH(K$1, '31. スネーク'!$A:$A,0),4)</f>
        <v>59</v>
      </c>
      <c r="M38" s="3761"/>
      <c r="N38" s="3762"/>
      <c r="O38" s="3711" t="s">
        <v>153</v>
      </c>
      <c r="P38" s="3711" t="s">
        <v>296</v>
      </c>
      <c r="Q38" s="138">
        <v>19.0</v>
      </c>
      <c r="R38" s="239" t="s">
        <v>386</v>
      </c>
      <c r="S38" s="3763">
        <v>20.0</v>
      </c>
      <c r="T38" s="3771"/>
      <c r="U38" s="3765"/>
      <c r="V38" s="3765"/>
      <c r="W38" s="3766"/>
      <c r="X38" s="3767"/>
      <c r="Y38" s="3712">
        <v>36.0</v>
      </c>
      <c r="Z38" s="3713">
        <v>31.0</v>
      </c>
      <c r="AA38" s="3713" t="s">
        <v>76</v>
      </c>
    </row>
    <row r="39">
      <c r="A39" s="3768">
        <v>32.0</v>
      </c>
      <c r="B39" s="3701" t="s">
        <v>6832</v>
      </c>
      <c r="C39" s="216" t="str">
        <f t="array" ref="C39">INDEX('32. アイク'!$A1:$AA222,MATCH(C$1, '32. アイク'!$A:$A,0),3)</f>
        <v>10-14</v>
      </c>
      <c r="D39" s="216" t="str">
        <f t="array" ref="D39">INDEX('32. アイク'!$A1:$AA222,MATCH(C$1, '32. アイク'!$A:$A,0),4)</f>
        <v>59</v>
      </c>
      <c r="E39" s="239" t="str">
        <f t="array" ref="E39">INDEX('32. アイク'!$A1:$AA222,MATCH(E$1, '32. アイク'!$A:$A,0),3)</f>
        <v>11-15</v>
      </c>
      <c r="F39" s="239" t="str">
        <f t="array" ref="F39">INDEX('32. アイク'!$A1:$AA222,MATCH(E$1, '32. アイク'!$A:$A,0),4)</f>
        <v>51</v>
      </c>
      <c r="G39" s="239" t="str">
        <f t="array" ref="G39">INDEX('32. アイク'!$A1:$AA222,MATCH(G$1, '32. アイク'!$A:$A,0),3)</f>
        <v>7-9</v>
      </c>
      <c r="H39" s="239">
        <f t="array" ref="H39">INDEX('32. アイク'!$A1:$AA222,MATCH(G$1, '32. アイク'!$A:$A,0),4)</f>
        <v>54</v>
      </c>
      <c r="I39" s="239" t="str">
        <f t="array" ref="I39">INDEX('32. アイク'!$A1:$AA222,MATCH(I$1, '32. アイク'!$A:$A,0),3)</f>
        <v>13-18</v>
      </c>
      <c r="J39" s="239">
        <f t="array" ref="J39">INDEX('32. アイク'!$A1:$AA222,MATCH(G$1, '32. アイク'!$A:$A,0),4)</f>
        <v>54</v>
      </c>
      <c r="K39" s="2111" t="str">
        <f t="array" ref="K39">INDEX('32. アイク'!$A1:$AA222,MATCH(K$1, '32. アイク'!$A:$A,0),3)</f>
        <v>16-17</v>
      </c>
      <c r="L39" s="2111">
        <f t="array" ref="L39">INDEX('32. アイク'!$A1:$AA222,MATCH(K$1, '32. アイク'!$A:$A,0),4)</f>
        <v>54</v>
      </c>
      <c r="M39" s="3761"/>
      <c r="N39" s="3762"/>
      <c r="O39" s="3711" t="s">
        <v>80</v>
      </c>
      <c r="P39" s="3711" t="s">
        <v>119</v>
      </c>
      <c r="Q39" s="138">
        <v>11.0</v>
      </c>
      <c r="R39" s="239" t="s">
        <v>274</v>
      </c>
      <c r="S39" s="3763">
        <v>14.0</v>
      </c>
      <c r="T39" s="3771"/>
      <c r="U39" s="3765"/>
      <c r="V39" s="3765"/>
      <c r="W39" s="3766"/>
      <c r="X39" s="3767"/>
      <c r="Y39" s="3712">
        <v>37.0</v>
      </c>
      <c r="Z39" s="3713">
        <v>32.0</v>
      </c>
      <c r="AA39" s="3713">
        <v>23.0</v>
      </c>
    </row>
    <row r="40">
      <c r="A40" s="3768">
        <v>33.0</v>
      </c>
      <c r="B40" s="3701" t="s">
        <v>6840</v>
      </c>
      <c r="C40" s="216" t="str">
        <f t="array" ref="C40">INDEX('33. ゼニガメ'!$A1:$AA220,MATCH(C$1, '33. ゼニガメ'!$A:$A,0),3)</f>
        <v>4-6</v>
      </c>
      <c r="D40" s="216" t="str">
        <f t="array" ref="D40">INDEX('33. ゼニガメ'!$A1:$AA220,MATCH(C$1, '33. ゼニガメ'!$A:$A,0),4)</f>
        <v>41</v>
      </c>
      <c r="E40" s="239" t="str">
        <f t="array" ref="E40">INDEX('33. ゼニガメ'!$A1:$AA220,MATCH(E$1, '33. ゼニガメ'!$A:$A,0),3)</f>
        <v>5-6</v>
      </c>
      <c r="F40" s="239" t="str">
        <f t="array" ref="F40">INDEX('33. ゼニガメ'!$A1:$AA220,MATCH(E$1, '33. ゼニガメ'!$A:$A,0),4)</f>
        <v>35</v>
      </c>
      <c r="G40" s="239" t="str">
        <f t="array" ref="G40">INDEX('33. ゼニガメ'!$A1:$AA220,MATCH(G$1, '33. ゼニガメ'!$A:$A,0),3)</f>
        <v>5-14
(Rehit: 2)</v>
      </c>
      <c r="H40" s="239" t="str">
        <f t="array" ref="H40">INDEX('33. ゼニガメ'!$A1:$AA220,MATCH(G$1, '33. ゼニガメ'!$A:$A,0),4)</f>
        <v>35</v>
      </c>
      <c r="I40" s="239" t="str">
        <f t="array" ref="I40">INDEX('33. ゼニガメ'!$A1:$AA220,MATCH(I$1, '33. ゼニガメ'!$A:$A,0),3)</f>
        <v>5-9</v>
      </c>
      <c r="J40" s="239" t="str">
        <f t="array" ref="J40">INDEX('33. ゼニガメ'!$A1:$AA220,MATCH(G$1, '33. ゼニガメ'!$A:$A,0),4)</f>
        <v>35</v>
      </c>
      <c r="K40" s="2111" t="str">
        <f t="array" ref="K40">INDEX('33. ゼニガメ'!$A1:$AA220,MATCH(K$1, '33. ゼニガメ'!$A:$A,0),3)</f>
        <v>6-20
(Rehit: 3)</v>
      </c>
      <c r="L40" s="2111" t="str">
        <f t="array" ref="L40">INDEX('33. ゼニガメ'!$A1:$AA220,MATCH(K$1, '33. ゼニガメ'!$A:$A,0),4)</f>
        <v>44</v>
      </c>
      <c r="M40" s="3761"/>
      <c r="N40" s="3762"/>
      <c r="O40" s="3711" t="s">
        <v>80</v>
      </c>
      <c r="P40" s="3711" t="s">
        <v>86</v>
      </c>
      <c r="Q40" s="138">
        <v>18.0</v>
      </c>
      <c r="R40" s="239" t="s">
        <v>86</v>
      </c>
      <c r="S40" s="3763">
        <v>16.0</v>
      </c>
      <c r="T40" s="3771"/>
      <c r="U40" s="3765"/>
      <c r="V40" s="3765"/>
      <c r="W40" s="3766"/>
      <c r="X40" s="3767"/>
      <c r="Y40" s="3712">
        <v>38.0</v>
      </c>
      <c r="Z40" s="3713">
        <v>33.0</v>
      </c>
      <c r="AA40" s="3713" t="s">
        <v>76</v>
      </c>
    </row>
    <row r="41">
      <c r="A41" s="3768">
        <v>34.0</v>
      </c>
      <c r="B41" s="3701" t="s">
        <v>6849</v>
      </c>
      <c r="C41" s="216" t="str">
        <f t="array" ref="C41">INDEX('34. フシギソウ'!$A1:$AA222,MATCH(C$1, '34. フシギソウ'!$A:$A,0),3)</f>
        <v>7-26
(Rehit: 3)</v>
      </c>
      <c r="D41" s="216" t="str">
        <f t="array" ref="D41">INDEX('34. フシギソウ'!$A1:$AA222,MATCH(C$1, '34. フシギソウ'!$A:$A,0),4)</f>
        <v>41</v>
      </c>
      <c r="E41" s="239" t="str">
        <f t="array" ref="E41">INDEX('34. フシギソウ'!$A1:$AA222,MATCH(E$1, '34. フシギソウ'!$A:$A,0),3)</f>
        <v>14-18</v>
      </c>
      <c r="F41" s="239" t="str">
        <f t="array" ref="F41">INDEX('34. フシギソウ'!$A1:$AA222,MATCH(E$1, '34. フシギソウ'!$A:$A,0),4)</f>
        <v>48</v>
      </c>
      <c r="G41" s="239" t="str">
        <f t="array" ref="G41">INDEX('34. フシギソウ'!$A1:$AA222,MATCH(G$1, '34. フシギソウ'!$A:$A,0),3)</f>
        <v>7-9</v>
      </c>
      <c r="H41" s="239" t="str">
        <f t="array" ref="H41">INDEX('34. フシギソウ'!$A1:$AA222,MATCH(G$1, '34. フシギソウ'!$A:$A,0),4)</f>
        <v>43</v>
      </c>
      <c r="I41" s="239" t="str">
        <f t="array" ref="I41">INDEX('34. フシギソウ'!$A1:$AA222,MATCH(I$1, '34. フシギソウ'!$A:$A,0),3)</f>
        <v>12-13</v>
      </c>
      <c r="J41" s="239" t="str">
        <f t="array" ref="J41">INDEX('34. フシギソウ'!$A1:$AA222,MATCH(G$1, '34. フシギソウ'!$A:$A,0),4)</f>
        <v>43</v>
      </c>
      <c r="K41" s="2111" t="str">
        <f t="array" ref="K41">INDEX('34. フシギソウ'!$A1:$AA222,MATCH(K$1, '34. フシギソウ'!$A:$A,0),3)</f>
        <v>11-12</v>
      </c>
      <c r="L41" s="2111" t="str">
        <f t="array" ref="L41">INDEX('34. フシギソウ'!$A1:$AA222,MATCH(K$1, '34. フシギソウ'!$A:$A,0),4)</f>
        <v>63</v>
      </c>
      <c r="M41" s="3761"/>
      <c r="N41" s="3762"/>
      <c r="O41" s="3711" t="s">
        <v>153</v>
      </c>
      <c r="P41" s="3711" t="s">
        <v>228</v>
      </c>
      <c r="Q41" s="138">
        <v>7.0</v>
      </c>
      <c r="R41" s="239" t="s">
        <v>232</v>
      </c>
      <c r="S41" s="3763">
        <v>13.0</v>
      </c>
      <c r="T41" s="3771"/>
      <c r="U41" s="3765"/>
      <c r="V41" s="3765"/>
      <c r="W41" s="3766"/>
      <c r="X41" s="3767"/>
      <c r="Y41" s="3712">
        <v>39.0</v>
      </c>
      <c r="Z41" s="3713">
        <v>34.0</v>
      </c>
      <c r="AA41" s="3713" t="s">
        <v>76</v>
      </c>
    </row>
    <row r="42">
      <c r="A42" s="3768">
        <v>35.0</v>
      </c>
      <c r="B42" s="3701" t="s">
        <v>6857</v>
      </c>
      <c r="C42" s="216" t="str">
        <f t="array" ref="C42">INDEX('35. リザードン'!$A1:$AA224,MATCH(C$1, '35. リザードン'!$A:$A,0),3)</f>
        <v>8-20</v>
      </c>
      <c r="D42" s="216" t="str">
        <f t="array" ref="D42">INDEX('35. リザードン'!$A1:$AA224,MATCH(C$1, '35. リザードン'!$A:$A,0),4)</f>
        <v>39</v>
      </c>
      <c r="E42" s="239" t="str">
        <f t="array" ref="E42">INDEX('35. リザードン'!$A1:$AA224,MATCH(E$1, '35. リザードン'!$A:$A,0),3)</f>
        <v>8-9</v>
      </c>
      <c r="F42" s="239" t="str">
        <f t="array" ref="F42">INDEX('35. リザードン'!$A1:$AA224,MATCH(E$1, '35. リザードン'!$A:$A,0),4)</f>
        <v>45</v>
      </c>
      <c r="G42" s="239" t="str">
        <f t="array" ref="G42">INDEX('35. リザードン'!$A1:$AA224,MATCH(G$1, '35. リザードン'!$A:$A,0),3)</f>
        <v>14</v>
      </c>
      <c r="H42" s="239">
        <f t="array" ref="H42">INDEX('35. リザードン'!$A1:$AA224,MATCH(G$1, '35. リザードン'!$A:$A,0),4)</f>
        <v>45</v>
      </c>
      <c r="I42" s="239" t="str">
        <f t="array" ref="I42">INDEX('35. リザードン'!$A1:$AA224,MATCH(I$1, '35. リザードン'!$A:$A,0),3)</f>
        <v>12-15</v>
      </c>
      <c r="J42" s="239">
        <f t="array" ref="J42">INDEX('35. リザードン'!$A1:$AA224,MATCH(G$1, '35. リザードン'!$A:$A,0),4)</f>
        <v>45</v>
      </c>
      <c r="K42" s="2111" t="str">
        <f t="array" ref="K42">INDEX('35. リザードン'!$A1:$AA224,MATCH(K$1, '35. リザードン'!$A:$A,0),3)</f>
        <v>18-21</v>
      </c>
      <c r="L42" s="2111">
        <f t="array" ref="L42">INDEX('35. リザードン'!$A1:$AA224,MATCH(K$1, '35. リザードン'!$A:$A,0),4)</f>
        <v>51</v>
      </c>
      <c r="M42" s="3761"/>
      <c r="N42" s="3762"/>
      <c r="O42" s="3727" t="s">
        <v>128</v>
      </c>
      <c r="P42" s="3711" t="s">
        <v>296</v>
      </c>
      <c r="Q42" s="138">
        <v>20.0</v>
      </c>
      <c r="R42" s="239" t="s">
        <v>228</v>
      </c>
      <c r="S42" s="3763">
        <v>21.0</v>
      </c>
      <c r="T42" s="3771"/>
      <c r="U42" s="3765"/>
      <c r="V42" s="3765"/>
      <c r="W42" s="3766"/>
      <c r="X42" s="3767"/>
      <c r="Y42" s="3712">
        <v>40.0</v>
      </c>
      <c r="Z42" s="3713">
        <v>35.0</v>
      </c>
      <c r="AA42" s="3713">
        <v>31.0</v>
      </c>
    </row>
    <row r="43">
      <c r="A43" s="3768">
        <v>36.0</v>
      </c>
      <c r="B43" s="3701" t="s">
        <v>6865</v>
      </c>
      <c r="C43" s="216" t="str">
        <f t="array" ref="C43">INDEX('36. ディディーコング'!$A1:$AA227,MATCH(C$1, '36. ディディーコング'!$A:$A,0),3)</f>
        <v>8-20</v>
      </c>
      <c r="D43" s="216" t="str">
        <f t="array" ref="D43">INDEX('36. ディディーコング'!$A1:$AA227,MATCH(C$1, '36. ディディーコング'!$A:$A,0),4)</f>
        <v>48</v>
      </c>
      <c r="E43" s="239" t="str">
        <f t="array" ref="E43">INDEX('36. ディディーコング'!$A1:$AA227,MATCH(E$1, '36. ディディーコング'!$A:$A,0),3)</f>
        <v>6-9</v>
      </c>
      <c r="F43" s="239">
        <f t="array" ref="F43">INDEX('36. ディディーコング'!$A1:$AA227,MATCH(E$1, '36. ディディーコング'!$A:$A,0),4)</f>
        <v>46</v>
      </c>
      <c r="G43" s="239" t="str">
        <f t="array" ref="G43">INDEX('36. ディディーコング'!$A1:$AA227,MATCH(G$1, '36. ディディーコング'!$A:$A,0),3)</f>
        <v>5-8</v>
      </c>
      <c r="H43" s="239">
        <f t="array" ref="H43">INDEX('36. ディディーコング'!$A1:$AA227,MATCH(G$1, '36. ディディーコング'!$A:$A,0),4)</f>
        <v>30</v>
      </c>
      <c r="I43" s="239" t="str">
        <f t="array" ref="I43">INDEX('36. ディディーコング'!$A1:$AA227,MATCH(I$1, '36. ディディーコング'!$A:$A,0),3)</f>
        <v>4-7</v>
      </c>
      <c r="J43" s="239">
        <f t="array" ref="J43">INDEX('36. ディディーコング'!$A1:$AA227,MATCH(G$1, '36. ディディーコング'!$A:$A,0),4)</f>
        <v>30</v>
      </c>
      <c r="K43" s="2111" t="str">
        <f t="array" ref="K43">INDEX('36. ディディーコング'!$A1:$AA227,MATCH(K$1, '36. ディディーコング'!$A:$A,0),3)</f>
        <v>15-16</v>
      </c>
      <c r="L43" s="2111" t="str">
        <f t="array" ref="L43">INDEX('36. ディディーコング'!$A1:$AA227,MATCH(K$1, '36. ディディーコング'!$A:$A,0),4)</f>
        <v>46</v>
      </c>
      <c r="M43" s="3761"/>
      <c r="N43" s="3762"/>
      <c r="O43" s="3711" t="s">
        <v>80</v>
      </c>
      <c r="P43" s="3711" t="s">
        <v>153</v>
      </c>
      <c r="Q43" s="138">
        <v>7.0</v>
      </c>
      <c r="R43" s="239" t="s">
        <v>274</v>
      </c>
      <c r="S43" s="3763">
        <v>17.0</v>
      </c>
      <c r="T43" s="3771"/>
      <c r="U43" s="3765"/>
      <c r="V43" s="3765"/>
      <c r="W43" s="3766"/>
      <c r="X43" s="3767"/>
      <c r="Y43" s="3712">
        <v>41.0</v>
      </c>
      <c r="Z43" s="3713">
        <v>36.0</v>
      </c>
      <c r="AA43" s="3713">
        <v>10.0</v>
      </c>
    </row>
    <row r="44">
      <c r="A44" s="3768">
        <v>37.0</v>
      </c>
      <c r="B44" s="3701" t="s">
        <v>6875</v>
      </c>
      <c r="C44" s="216" t="str">
        <f t="array" ref="C44">INDEX('37. リュカ'!$A1:$AA229,MATCH(C$1, '37. リュカ'!$A:$A,0),3)</f>
        <v>7-21
(Rehit: 5)</v>
      </c>
      <c r="D44" s="216" t="str">
        <f t="array" ref="D44">INDEX('37. リュカ'!$A1:$AA229,MATCH(C$1, '37. リュカ'!$A:$A,0),4)</f>
        <v>44</v>
      </c>
      <c r="E44" s="239" t="str">
        <f t="array" ref="E44">INDEX('37. リュカ'!$A1:$AA229,MATCH(E$1, '37. リュカ'!$A:$A,0),3)</f>
        <v>9-10</v>
      </c>
      <c r="F44" s="239">
        <f t="array" ref="F44">INDEX('37. リュカ'!$A1:$AA229,MATCH(E$1, '37. リュカ'!$A:$A,0),4)</f>
        <v>41</v>
      </c>
      <c r="G44" s="239" t="str">
        <f t="array" ref="G44">INDEX('37. リュカ'!$A1:$AA229,MATCH(G$1, '37. リュカ'!$A:$A,0),3)</f>
        <v>15-22</v>
      </c>
      <c r="H44" s="239">
        <f t="array" ref="H44">INDEX('37. リュカ'!$A1:$AA229,MATCH(G$1, '37. リュカ'!$A:$A,0),4)</f>
        <v>39</v>
      </c>
      <c r="I44" s="239" t="str">
        <f t="array" ref="I44">INDEX('37. リュカ'!$A1:$AA229,MATCH(I$1, '37. リュカ'!$A:$A,0),3)</f>
        <v>7-10</v>
      </c>
      <c r="J44" s="239">
        <f t="array" ref="J44">INDEX('37. リュカ'!$A1:$AA229,MATCH(G$1, '37. リュカ'!$A:$A,0),4)</f>
        <v>39</v>
      </c>
      <c r="K44" s="2111" t="str">
        <f t="array" ref="K44">INDEX('37. リュカ'!$A1:$AA229,MATCH(K$1, '37. リュカ'!$A:$A,0),3)</f>
        <v>10-12, 
18-20, 26-28</v>
      </c>
      <c r="L44" s="2111">
        <f t="array" ref="L44">INDEX('37. リュカ'!$A1:$AA229,MATCH(K$1, '37. リュカ'!$A:$A,0),4)</f>
        <v>56</v>
      </c>
      <c r="M44" s="3761"/>
      <c r="N44" s="3762"/>
      <c r="O44" s="3711" t="s">
        <v>129</v>
      </c>
      <c r="P44" s="3711" t="s">
        <v>93</v>
      </c>
      <c r="Q44" s="138">
        <v>9.0</v>
      </c>
      <c r="R44" s="239" t="s">
        <v>93</v>
      </c>
      <c r="S44" s="3763">
        <v>16.0</v>
      </c>
      <c r="T44" s="3771"/>
      <c r="U44" s="3765"/>
      <c r="V44" s="3765"/>
      <c r="W44" s="3766"/>
      <c r="X44" s="3767"/>
      <c r="Y44" s="3712">
        <v>42.0</v>
      </c>
      <c r="Z44" s="3713">
        <v>37.0</v>
      </c>
      <c r="AA44" s="3713">
        <v>50.0</v>
      </c>
    </row>
    <row r="45">
      <c r="A45" s="3768">
        <v>38.0</v>
      </c>
      <c r="B45" s="3701" t="s">
        <v>6881</v>
      </c>
      <c r="C45" s="216" t="str">
        <f t="array" ref="C45">INDEX('38. ソニック'!$A1:$AA224,MATCH(C$1, '38. ソニック'!$A:$A,0),3)</f>
        <v>6-9</v>
      </c>
      <c r="D45" s="216" t="str">
        <f t="array" ref="D45">INDEX('38. ソニック'!$A1:$AA224,MATCH(C$1, '38. ソニック'!$A:$A,0),4)</f>
        <v>49</v>
      </c>
      <c r="E45" s="239" t="str">
        <f t="array" ref="E45">INDEX('38. ソニック'!$A1:$AA224,MATCH(E$1, '38. ソニック'!$A:$A,0),3)</f>
        <v>5, 7, 9, 11, 13</v>
      </c>
      <c r="F45" s="239">
        <f t="array" ref="F45">INDEX('38. ソニック'!$A1:$AA224,MATCH(E$1, '38. ソニック'!$A:$A,0),4)</f>
        <v>45</v>
      </c>
      <c r="G45" s="239" t="str">
        <f t="array" ref="G45">INDEX('38. ソニック'!$A1:$AA224,MATCH(G$1, '38. ソニック'!$A:$A,0),3)</f>
        <v>13-14</v>
      </c>
      <c r="H45" s="239">
        <f t="array" ref="H45">INDEX('38. ソニック'!$A1:$AA224,MATCH(G$1, '38. ソニック'!$A:$A,0),4)</f>
        <v>37</v>
      </c>
      <c r="I45" s="239" t="str">
        <f t="array" ref="I45">INDEX('38. ソニック'!$A1:$AA224,MATCH(I$1, '38. ソニック'!$A:$A,0),3)</f>
        <v>5-7</v>
      </c>
      <c r="J45" s="239">
        <f t="array" ref="J45">INDEX('38. ソニック'!$A1:$AA224,MATCH(G$1, '38. ソニック'!$A:$A,0),4)</f>
        <v>37</v>
      </c>
      <c r="K45" s="2111" t="str">
        <f t="array" ref="K45">INDEX('38. ソニック'!$A1:$AA224,MATCH(K$1, '38. ソニック'!$A:$A,0),3)</f>
        <v>17-19</v>
      </c>
      <c r="L45" s="2111">
        <f t="array" ref="L45">INDEX('38. ソニック'!$A1:$AA224,MATCH(K$1, '38. ソニック'!$A:$A,0),4)</f>
        <v>45</v>
      </c>
      <c r="M45" s="3761"/>
      <c r="N45" s="3762"/>
      <c r="O45" s="3711" t="s">
        <v>128</v>
      </c>
      <c r="P45" s="3711" t="s">
        <v>153</v>
      </c>
      <c r="Q45" s="138">
        <v>15.0</v>
      </c>
      <c r="R45" s="239" t="s">
        <v>228</v>
      </c>
      <c r="S45" s="3763">
        <v>21.0</v>
      </c>
      <c r="T45" s="3771"/>
      <c r="U45" s="3765"/>
      <c r="V45" s="3765"/>
      <c r="W45" s="3766"/>
      <c r="X45" s="3767"/>
      <c r="Y45" s="3712">
        <v>43.0</v>
      </c>
      <c r="Z45" s="3713">
        <v>38.0</v>
      </c>
      <c r="AA45" s="3713">
        <v>48.0</v>
      </c>
    </row>
    <row r="46">
      <c r="A46" s="3768">
        <v>39.0</v>
      </c>
      <c r="B46" s="3701" t="s">
        <v>6890</v>
      </c>
      <c r="C46" s="216" t="str">
        <f t="array" ref="C46">INDEX('39. デデデ'!$A1:$AA221,MATCH(C$1, '39. デデデ'!$A:$A,0),3)</f>
        <v>7-8</v>
      </c>
      <c r="D46" s="216" t="str">
        <f t="array" ref="D46">INDEX('39. デデデ'!$A1:$AA221,MATCH(C$1, '39. デデデ'!$A:$A,0),4)</f>
        <v>39</v>
      </c>
      <c r="E46" s="239" t="str">
        <f t="array" ref="E46">INDEX('39. デデデ'!$A1:$AA221,MATCH(E$1, '39. デデデ'!$A:$A,0),3)</f>
        <v>13-15</v>
      </c>
      <c r="F46" s="239">
        <f t="array" ref="F46">INDEX('39. デデデ'!$A1:$AA221,MATCH(E$1, '39. デデデ'!$A:$A,0),4)</f>
        <v>41</v>
      </c>
      <c r="G46" s="239" t="str">
        <f t="array" ref="G46">INDEX('39. デデデ'!$A1:$AA221,MATCH(G$1, '39. デデデ'!$A:$A,0),3)</f>
        <v>17-19</v>
      </c>
      <c r="H46" s="239">
        <f t="array" ref="H46">INDEX('39. デデデ'!$A1:$AA221,MATCH(G$1, '39. デデデ'!$A:$A,0),4)</f>
        <v>37</v>
      </c>
      <c r="I46" s="239" t="str">
        <f t="array" ref="I46">INDEX('39. デデデ'!$A1:$AA221,MATCH(I$1, '39. デデデ'!$A:$A,0),3)</f>
        <v>10, 12, 14, 
16, 18, 20, 22</v>
      </c>
      <c r="J46" s="239">
        <f t="array" ref="J46">INDEX('39. デデデ'!$A1:$AA221,MATCH(G$1, '39. デデデ'!$A:$A,0),4)</f>
        <v>37</v>
      </c>
      <c r="K46" s="2111" t="str">
        <f t="array" ref="K46">INDEX('39. デデデ'!$A1:$AA221,MATCH(K$1, '39. デデデ'!$A:$A,0),3)</f>
        <v>22-24</v>
      </c>
      <c r="L46" s="2111">
        <f t="array" ref="L46">INDEX('39. デデデ'!$A1:$AA221,MATCH(K$1, '39. デデデ'!$A:$A,0),4)</f>
        <v>47</v>
      </c>
      <c r="M46" s="3761"/>
      <c r="N46" s="3762"/>
      <c r="O46" s="3711" t="s">
        <v>274</v>
      </c>
      <c r="P46" s="3711" t="s">
        <v>466</v>
      </c>
      <c r="Q46" s="138">
        <v>13.0</v>
      </c>
      <c r="R46" s="239" t="s">
        <v>228</v>
      </c>
      <c r="S46" s="3763">
        <v>18.0</v>
      </c>
      <c r="T46" s="3771"/>
      <c r="U46" s="3765"/>
      <c r="V46" s="3765"/>
      <c r="W46" s="3766"/>
      <c r="X46" s="3767"/>
      <c r="Y46" s="3712">
        <v>44.0</v>
      </c>
      <c r="Z46" s="3713">
        <v>39.0</v>
      </c>
      <c r="AA46" s="3713">
        <v>26.0</v>
      </c>
    </row>
    <row r="47">
      <c r="A47" s="3768">
        <v>40.0</v>
      </c>
      <c r="B47" s="3701" t="s">
        <v>766</v>
      </c>
      <c r="C47" s="216" t="str">
        <f t="array" ref="C47">INDEX('40. ピクミン&amp;オリマー'!$A1:$AA264,MATCH(C$1, '40. ピクミン&amp;オリマー'!$A:$A,0),3)</f>
        <v>7-8, 11-12, 
15-16, 19-20</v>
      </c>
      <c r="D47" s="216" t="str">
        <f t="array" ref="D47">INDEX('40. ピクミン&amp;オリマー'!$A1:$AA264,MATCH(C$1, '40. ピクミン&amp;オリマー'!$A:$A,0),4)</f>
        <v>53</v>
      </c>
      <c r="E47" s="239" t="str">
        <f t="array" ref="E47">INDEX('40. ピクミン&amp;オリマー'!$A1:$AA264,MATCH(E$1, '40. ピクミン&amp;オリマー'!$A:$A,0),3)</f>
        <v>7-9</v>
      </c>
      <c r="F47" s="239">
        <f t="array" ref="F47">INDEX('40. ピクミン&amp;オリマー'!$A1:$AA264,MATCH(E$1, '40. ピクミン&amp;オリマー'!$A:$A,0),4)</f>
        <v>42</v>
      </c>
      <c r="G47" s="239" t="str">
        <f t="array" ref="G47">INDEX('40. ピクミン&amp;オリマー'!$A1:$AA264,MATCH(G$1, '40. ピクミン&amp;オリマー'!$A:$A,0),3)</f>
        <v>10-13</v>
      </c>
      <c r="H47" s="239">
        <f t="array" ref="H47">INDEX('40. ピクミン&amp;オリマー'!$A1:$AA264,MATCH(G$1, '40. ピクミン&amp;オリマー'!$A:$A,0),4)</f>
        <v>48</v>
      </c>
      <c r="I47" s="239" t="str">
        <f t="array" ref="I47">INDEX('40. ピクミン&amp;オリマー'!$A1:$AA264,MATCH(I$1, '40. ピクミン&amp;オリマー'!$A:$A,0),3)</f>
        <v>8-15</v>
      </c>
      <c r="J47" s="239">
        <f t="array" ref="J47">INDEX('40. ピクミン&amp;オリマー'!$A1:$AA264,MATCH(G$1, '40. ピクミン&amp;オリマー'!$A:$A,0),4)</f>
        <v>48</v>
      </c>
      <c r="K47" s="2111" t="str">
        <f t="array" ref="K47">INDEX('40. ピクミン&amp;オリマー'!$A1:$AA264,MATCH(K$1, '40. ピクミン&amp;オリマー'!$A:$A,0),3)</f>
        <v>9-10</v>
      </c>
      <c r="L47" s="2111">
        <f t="array" ref="L47">INDEX('40. ピクミン&amp;オリマー'!$A1:$AA264,MATCH(K$1, '40. ピクミン&amp;オリマー'!$A:$A,0),4)</f>
        <v>51</v>
      </c>
      <c r="M47" s="3761"/>
      <c r="N47" s="3762"/>
      <c r="O47" s="3711" t="s">
        <v>228</v>
      </c>
      <c r="P47" s="3711" t="s">
        <v>274</v>
      </c>
      <c r="Q47" s="138">
        <v>9.0</v>
      </c>
      <c r="R47" s="239" t="s">
        <v>466</v>
      </c>
      <c r="S47" s="3763">
        <v>18.0</v>
      </c>
      <c r="T47" s="3771"/>
      <c r="U47" s="3765"/>
      <c r="V47" s="3765"/>
      <c r="W47" s="3766"/>
      <c r="X47" s="3767"/>
      <c r="Y47" s="3712">
        <v>45.0</v>
      </c>
      <c r="Z47" s="3713">
        <v>40.0</v>
      </c>
      <c r="AA47" s="3713">
        <v>40.0</v>
      </c>
    </row>
    <row r="48">
      <c r="A48" s="3768">
        <v>41.0</v>
      </c>
      <c r="B48" s="3701" t="s">
        <v>6907</v>
      </c>
      <c r="C48" s="216" t="str">
        <f t="array" ref="C48">INDEX('41. ルカリオ'!$A1:$AA227,MATCH(C$1, '41. ルカリオ'!$A:$A,0),3)</f>
        <v>10-14</v>
      </c>
      <c r="D48" s="216" t="str">
        <f t="array" ref="D48">INDEX('41. ルカリオ'!$A1:$AA227,MATCH(C$1, '41. ルカリオ'!$A:$A,0),4)</f>
        <v>42</v>
      </c>
      <c r="E48" s="239" t="str">
        <f t="array" ref="E48">INDEX('41. ルカリオ'!$A1:$AA227,MATCH(E$1, '41. ルカリオ'!$A:$A,0),3)</f>
        <v>7-8</v>
      </c>
      <c r="F48" s="239">
        <f t="array" ref="F48">INDEX('41. ルカリオ'!$A1:$AA227,MATCH(E$1, '41. ルカリオ'!$A:$A,0),4)</f>
        <v>27</v>
      </c>
      <c r="G48" s="239" t="str">
        <f t="array" ref="G48">INDEX('41. ルカリオ'!$A1:$AA227,MATCH(G$1, '41. ルカリオ'!$A:$A,0),3)</f>
        <v>13-14</v>
      </c>
      <c r="H48" s="239" t="str">
        <f t="array" ref="H48">INDEX('41. ルカリオ'!$A1:$AA227,MATCH(G$1, '41. ルカリオ'!$A:$A,0),4)</f>
        <v>49</v>
      </c>
      <c r="I48" s="239" t="str">
        <f t="array" ref="I48">INDEX('41. ルカリオ'!$A1:$AA227,MATCH(I$1, '41. ルカリオ'!$A:$A,0),3)</f>
        <v>10-11</v>
      </c>
      <c r="J48" s="239" t="str">
        <f t="array" ref="J48">INDEX('41. ルカリオ'!$A1:$AA227,MATCH(G$1, '41. ルカリオ'!$A:$A,0),4)</f>
        <v>49</v>
      </c>
      <c r="K48" s="2111" t="str">
        <f t="array" ref="K48">INDEX('41. ルカリオ'!$A1:$AA227,MATCH(K$1, '41. ルカリオ'!$A:$A,0),3)</f>
        <v>4-5</v>
      </c>
      <c r="L48" s="2111">
        <f t="array" ref="L48">INDEX('41. ルカリオ'!$A1:$AA227,MATCH(K$1, '41. ルカリオ'!$A:$A,0),4)</f>
        <v>30</v>
      </c>
      <c r="M48" s="3761"/>
      <c r="N48" s="3762"/>
      <c r="O48" s="3711" t="s">
        <v>150</v>
      </c>
      <c r="P48" s="3711" t="s">
        <v>274</v>
      </c>
      <c r="Q48" s="138">
        <v>14.0</v>
      </c>
      <c r="R48" s="239" t="s">
        <v>228</v>
      </c>
      <c r="S48" s="3763">
        <v>12.0</v>
      </c>
      <c r="T48" s="3771"/>
      <c r="U48" s="3765"/>
      <c r="V48" s="3765"/>
      <c r="W48" s="3766"/>
      <c r="X48" s="3767"/>
      <c r="Y48" s="3712">
        <v>46.0</v>
      </c>
      <c r="Z48" s="3713">
        <v>41.0</v>
      </c>
      <c r="AA48" s="3713">
        <v>32.0</v>
      </c>
    </row>
    <row r="49">
      <c r="A49" s="3768">
        <v>42.0</v>
      </c>
      <c r="B49" s="3701" t="s">
        <v>6916</v>
      </c>
      <c r="C49" s="216" t="str">
        <f t="array" ref="C49">INDEX('42. ロボット'!$A1:$AA226,MATCH(C$1, '42. ロボット'!$A:$A,0),3)</f>
        <v>14-32</v>
      </c>
      <c r="D49" s="216" t="str">
        <f t="array" ref="D49">INDEX('42. ロボット'!$A1:$AA226,MATCH(C$1, '42. ロボット'!$A:$A,0),4)</f>
        <v>47</v>
      </c>
      <c r="E49" s="239" t="str">
        <f t="array" ref="E49">INDEX('42. ロボット'!$A1:$AA226,MATCH(E$1, '42. ロボット'!$A:$A,0),3)</f>
        <v>6-8</v>
      </c>
      <c r="F49" s="239">
        <f t="array" ref="F49">INDEX('42. ロボット'!$A1:$AA226,MATCH(E$1, '42. ロボット'!$A:$A,0),4)</f>
        <v>35</v>
      </c>
      <c r="G49" s="239" t="str">
        <f t="array" ref="G49">INDEX('42. ロボット'!$A1:$AA226,MATCH(G$1, '42. ロボット'!$A:$A,0),3)</f>
        <v>19-23</v>
      </c>
      <c r="H49" s="239">
        <f t="array" ref="H49">INDEX('42. ロボット'!$A1:$AA226,MATCH(G$1, '42. ロボット'!$A:$A,0),4)</f>
        <v>52</v>
      </c>
      <c r="I49" s="239" t="str">
        <f t="array" ref="I49">INDEX('42. ロボット'!$A1:$AA226,MATCH(I$1, '42. ロボット'!$A:$A,0),3)</f>
        <v>7, 9, 13, 17</v>
      </c>
      <c r="J49" s="239">
        <f t="array" ref="J49">INDEX('42. ロボット'!$A1:$AA226,MATCH(G$1, '42. ロボット'!$A:$A,0),4)</f>
        <v>52</v>
      </c>
      <c r="K49" s="2111" t="str">
        <f t="array" ref="K49">INDEX('42. ロボット'!$A1:$AA226,MATCH(K$1, '42. ロボット'!$A:$A,0),3)</f>
        <v>20-21</v>
      </c>
      <c r="L49" s="2111">
        <f t="array" ref="L49">INDEX('42. ロボット'!$A1:$AA226,MATCH(K$1, '42. ロボット'!$A:$A,0),4)</f>
        <v>69</v>
      </c>
      <c r="M49" s="3761"/>
      <c r="N49" s="3762"/>
      <c r="O49" s="3711" t="s">
        <v>93</v>
      </c>
      <c r="P49" s="3711" t="s">
        <v>274</v>
      </c>
      <c r="Q49" s="138">
        <v>13.0</v>
      </c>
      <c r="R49" s="239" t="s">
        <v>228</v>
      </c>
      <c r="S49" s="3763">
        <v>13.0</v>
      </c>
      <c r="T49" s="3771"/>
      <c r="U49" s="3765"/>
      <c r="V49" s="3765"/>
      <c r="W49" s="3766"/>
      <c r="X49" s="3767"/>
      <c r="Y49" s="3712">
        <v>47.0</v>
      </c>
      <c r="Z49" s="3713">
        <v>42.0</v>
      </c>
      <c r="AA49" s="3713">
        <v>36.0</v>
      </c>
    </row>
    <row r="50">
      <c r="A50" s="3768">
        <v>43.0</v>
      </c>
      <c r="B50" s="3701" t="s">
        <v>6926</v>
      </c>
      <c r="C50" s="216" t="str">
        <f t="array" ref="C50">INDEX('43. トゥーンリンク'!$A1:$AA228,MATCH(C$1, '43. トゥーンリンク'!$A:$A,0),3)</f>
        <v>6-7</v>
      </c>
      <c r="D50" s="216" t="str">
        <f t="array" ref="D50">INDEX('43. トゥーンリンク'!$A1:$AA228,MATCH(C$1, '43. トゥーンリンク'!$A:$A,0),4)</f>
        <v>41</v>
      </c>
      <c r="E50" s="239" t="str">
        <f t="array" ref="E50">INDEX('43. トゥーンリンク'!$A1:$AA228,MATCH(E$1, '43. トゥーンリンク'!$A:$A,0),3)</f>
        <v>14-15</v>
      </c>
      <c r="F50" s="239">
        <f t="array" ref="F50">INDEX('43. トゥーンリンク'!$A1:$AA228,MATCH(E$1, '43. トゥーンリンク'!$A:$A,0),4)</f>
        <v>38</v>
      </c>
      <c r="G50" s="239" t="str">
        <f t="array" ref="G50">INDEX('43. トゥーンリンク'!$A1:$AA228,MATCH(G$1, '43. トゥーンリンク'!$A:$A,0),3)</f>
        <v>6-9</v>
      </c>
      <c r="H50" s="239" t="str">
        <f t="array" ref="H50">INDEX('43. トゥーンリンク'!$A1:$AA228,MATCH(G$1, '43. トゥーンリンク'!$A:$A,0),4)</f>
        <v>35</v>
      </c>
      <c r="I50" s="239" t="str">
        <f t="array" ref="I50">INDEX('43. トゥーンリンク'!$A1:$AA228,MATCH(I$1, '43. トゥーンリンク'!$A:$A,0),3)</f>
        <v>11-13</v>
      </c>
      <c r="J50" s="239" t="str">
        <f t="array" ref="J50">INDEX('43. トゥーンリンク'!$A1:$AA228,MATCH(G$1, '43. トゥーンリンク'!$A:$A,0),4)</f>
        <v>35</v>
      </c>
      <c r="K50" s="2111" t="str">
        <f t="array" ref="K50">INDEX('43. トゥーンリンク'!$A1:$AA228,MATCH(K$1, '43. トゥーンリンク'!$A:$A,0),3)</f>
        <v>17-25</v>
      </c>
      <c r="L50" s="2111">
        <f t="array" ref="L50">INDEX('43. トゥーンリンク'!$A1:$AA228,MATCH(K$1, '43. トゥーンリンク'!$A:$A,0),4)</f>
        <v>79</v>
      </c>
      <c r="M50" s="3761"/>
      <c r="N50" s="3762"/>
      <c r="O50" s="3711" t="s">
        <v>93</v>
      </c>
      <c r="P50" s="3711" t="s">
        <v>232</v>
      </c>
      <c r="Q50" s="138">
        <v>8.0</v>
      </c>
      <c r="R50" s="239" t="s">
        <v>228</v>
      </c>
      <c r="S50" s="3763">
        <v>23.0</v>
      </c>
      <c r="T50" s="3771"/>
      <c r="U50" s="3765"/>
      <c r="V50" s="3765"/>
      <c r="W50" s="3766"/>
      <c r="X50" s="3767"/>
      <c r="Y50" s="3712">
        <v>48.0</v>
      </c>
      <c r="Z50" s="3713">
        <v>43.0</v>
      </c>
      <c r="AA50" s="3713">
        <v>17.0</v>
      </c>
    </row>
    <row r="51">
      <c r="A51" s="3768">
        <v>44.0</v>
      </c>
      <c r="B51" s="3701" t="s">
        <v>6933</v>
      </c>
      <c r="C51" s="216" t="str">
        <f t="array" ref="C51">INDEX('44. ウルフ'!$A1:$AA226,MATCH(C$1, '44. ウルフ'!$A:$A,0),3)</f>
        <v>7-9</v>
      </c>
      <c r="D51" s="216" t="str">
        <f t="array" ref="D51">INDEX('44. ウルフ'!$A1:$AA226,MATCH(C$1, '44. ウルフ'!$A:$A,0),4)</f>
        <v>42</v>
      </c>
      <c r="E51" s="239" t="str">
        <f t="array" ref="E51">INDEX('44. ウルフ'!$A1:$AA226,MATCH(E$1, '44. ウルフ'!$A:$A,0),3)</f>
        <v>7-9</v>
      </c>
      <c r="F51" s="239" t="str">
        <f t="array" ref="F51">INDEX('44. ウルフ'!$A1:$AA226,MATCH(E$1, '44. ウルフ'!$A:$A,0),4)</f>
        <v>40</v>
      </c>
      <c r="G51" s="239" t="str">
        <f t="array" ref="G51">INDEX('44. ウルフ'!$A1:$AA226,MATCH(G$1, '44. ウルフ'!$A:$A,0),3)</f>
        <v>13-15</v>
      </c>
      <c r="H51" s="239" t="str">
        <f t="array" ref="H51">INDEX('44. ウルフ'!$A1:$AA226,MATCH(G$1, '44. ウルフ'!$A:$A,0),4)</f>
        <v>44</v>
      </c>
      <c r="I51" s="239" t="str">
        <f t="array" ref="I51">INDEX('44. ウルフ'!$A1:$AA226,MATCH(I$1, '44. ウルフ'!$A:$A,0),3)</f>
        <v>7-9</v>
      </c>
      <c r="J51" s="239" t="str">
        <f t="array" ref="J51">INDEX('44. ウルフ'!$A1:$AA226,MATCH(G$1, '44. ウルフ'!$A:$A,0),4)</f>
        <v>44</v>
      </c>
      <c r="K51" s="2111" t="str">
        <f t="array" ref="K51">INDEX('44. ウルフ'!$A1:$AA226,MATCH(K$1, '44. ウルフ'!$A:$A,0),3)</f>
        <v>16-17</v>
      </c>
      <c r="L51" s="2111" t="str">
        <f t="array" ref="L51">INDEX('44. ウルフ'!$A1:$AA226,MATCH(K$1, '44. ウルフ'!$A:$A,0),4)</f>
        <v>53</v>
      </c>
      <c r="M51" s="3761"/>
      <c r="N51" s="3762"/>
      <c r="O51" s="3711" t="s">
        <v>274</v>
      </c>
      <c r="P51" s="3711" t="s">
        <v>128</v>
      </c>
      <c r="Q51" s="138">
        <v>15.0</v>
      </c>
      <c r="R51" s="239" t="s">
        <v>128</v>
      </c>
      <c r="S51" s="3763">
        <v>19.0</v>
      </c>
      <c r="T51" s="3771"/>
      <c r="U51" s="3765"/>
      <c r="V51" s="3765"/>
      <c r="W51" s="3766"/>
      <c r="X51" s="3767"/>
      <c r="Y51" s="3712">
        <v>49.0</v>
      </c>
      <c r="Z51" s="3713">
        <v>44.0</v>
      </c>
      <c r="AA51" s="3713" t="s">
        <v>76</v>
      </c>
    </row>
    <row r="52">
      <c r="A52" s="3768">
        <v>45.0</v>
      </c>
      <c r="B52" s="3701" t="s">
        <v>6941</v>
      </c>
      <c r="C52" s="216" t="str">
        <f t="array" ref="C52">INDEX('45. むらびと'!$A1:$AA230,MATCH(C$1, '45. むらびと'!$A:$A,0),3)</f>
        <v>3-10</v>
      </c>
      <c r="D52" s="216" t="str">
        <f t="array" ref="D52">INDEX('45. むらびと'!$A1:$AA230,MATCH(C$1, '45. むらびと'!$A:$A,0),4)</f>
        <v>35</v>
      </c>
      <c r="E52" s="239" t="str">
        <f t="array" ref="E52">INDEX('45. むらびと'!$A1:$AA230,MATCH(E$1, '45. むらびと'!$A:$A,0),3)</f>
        <v>10-12</v>
      </c>
      <c r="F52" s="239">
        <f t="array" ref="F52">INDEX('45. むらびと'!$A1:$AA230,MATCH(E$1, '45. むらびと'!$A:$A,0),4)</f>
        <v>39</v>
      </c>
      <c r="G52" s="239" t="str">
        <f t="array" ref="G52">INDEX('45. むらびと'!$A1:$AA230,MATCH(G$1, '45. むらびと'!$A:$A,0),3)</f>
        <v>13-15</v>
      </c>
      <c r="H52" s="239">
        <f t="array" ref="H52">INDEX('45. むらびと'!$A1:$AA230,MATCH(G$1, '45. むらびと'!$A:$A,0),4)</f>
        <v>35</v>
      </c>
      <c r="I52" s="239" t="str">
        <f t="array" ref="I52">INDEX('45. むらびと'!$A1:$AA230,MATCH(I$1, '45. むらびと'!$A:$A,0),3)</f>
        <v>6-7</v>
      </c>
      <c r="J52" s="239">
        <f t="array" ref="J52">INDEX('45. むらびと'!$A1:$AA230,MATCH(G$1, '45. むらびと'!$A:$A,0),4)</f>
        <v>35</v>
      </c>
      <c r="K52" s="2111" t="str">
        <f t="array" ref="K52">INDEX('45. むらびと'!$A1:$AA230,MATCH(K$1, '45. むらびと'!$A:$A,0),3)</f>
        <v>11-12</v>
      </c>
      <c r="L52" s="2111" t="str">
        <f t="array" ref="L52">INDEX('45. むらびと'!$A1:$AA230,MATCH(K$1, '45. むらびと'!$A:$A,0),4)</f>
        <v>42</v>
      </c>
      <c r="M52" s="3761"/>
      <c r="N52" s="3762"/>
      <c r="O52" s="3711" t="s">
        <v>80</v>
      </c>
      <c r="P52" s="3711" t="s">
        <v>119</v>
      </c>
      <c r="Q52" s="138">
        <v>14.0</v>
      </c>
      <c r="R52" s="239" t="s">
        <v>129</v>
      </c>
      <c r="S52" s="3763">
        <v>12.0</v>
      </c>
      <c r="T52" s="3771"/>
      <c r="U52" s="3765"/>
      <c r="V52" s="3765"/>
      <c r="W52" s="3766"/>
      <c r="X52" s="3767"/>
      <c r="Y52" s="3712">
        <v>50.0</v>
      </c>
      <c r="Z52" s="3713">
        <v>45.0</v>
      </c>
      <c r="AA52" s="3713">
        <v>39.0</v>
      </c>
    </row>
    <row r="53">
      <c r="A53" s="3768">
        <v>46.0</v>
      </c>
      <c r="B53" s="3701" t="s">
        <v>6951</v>
      </c>
      <c r="C53" s="216" t="str">
        <f t="array" ref="C53">INDEX('46. ロックマン'!$A1:$AA221,MATCH(C$1, '46. ロックマン'!$A:$A,0),3)</f>
        <v>7-9</v>
      </c>
      <c r="D53" s="216" t="str">
        <f t="array" ref="D53">INDEX('46. ロックマン'!$A1:$AA221,MATCH(C$1, '46. ロックマン'!$A:$A,0),4)</f>
        <v>33</v>
      </c>
      <c r="E53" s="239" t="str">
        <f t="array" ref="E53">INDEX('46. ロックマン'!$A1:$AA221,MATCH(E$1, '46. ロックマン'!$A:$A,0),3)</f>
        <v>9-11</v>
      </c>
      <c r="F53" s="239">
        <f t="array" ref="F53">INDEX('46. ロックマン'!$A1:$AA221,MATCH(E$1, '46. ロックマン'!$A:$A,0),4)</f>
        <v>40</v>
      </c>
      <c r="G53" s="239" t="str">
        <f t="array" ref="G53">INDEX('46. ロックマン'!$A1:$AA221,MATCH(G$1, '46. ロックマン'!$A:$A,0),3)</f>
        <v>4-5</v>
      </c>
      <c r="H53" s="239" t="str">
        <f t="array" ref="H53">INDEX('46. ロックマン'!$A1:$AA221,MATCH(G$1, '46. ロックマン'!$A:$A,0),4)</f>
        <v>44</v>
      </c>
      <c r="I53" s="239" t="str">
        <f t="array" ref="I53">INDEX('46. ロックマン'!$A1:$AA221,MATCH(I$1, '46. ロックマン'!$A:$A,0),3)</f>
        <v>11-18
(Rehit: 3)</v>
      </c>
      <c r="J53" s="239" t="str">
        <f t="array" ref="J53">INDEX('46. ロックマン'!$A1:$AA221,MATCH(G$1, '46. ロックマン'!$A:$A,0),4)</f>
        <v>44</v>
      </c>
      <c r="K53" s="2111" t="str">
        <f t="array" ref="K53">INDEX('46. ロックマン'!$A1:$AA221,MATCH(K$1, '46. ロックマン'!$A:$A,0),3)</f>
        <v>23-25</v>
      </c>
      <c r="L53" s="2111">
        <f t="array" ref="L53">INDEX('46. ロックマン'!$A1:$AA221,MATCH(K$1, '46. ロックマン'!$A:$A,0),4)</f>
        <v>64</v>
      </c>
      <c r="M53" s="3761"/>
      <c r="N53" s="3762"/>
      <c r="O53" s="3711" t="s">
        <v>150</v>
      </c>
      <c r="P53" s="3711" t="s">
        <v>232</v>
      </c>
      <c r="Q53" s="138">
        <v>20.0</v>
      </c>
      <c r="R53" s="239" t="s">
        <v>718</v>
      </c>
      <c r="S53" s="3763">
        <v>14.0</v>
      </c>
      <c r="T53" s="3771"/>
      <c r="U53" s="3765"/>
      <c r="V53" s="3765"/>
      <c r="W53" s="3766"/>
      <c r="X53" s="3767"/>
      <c r="Y53" s="3712">
        <v>51.0</v>
      </c>
      <c r="Z53" s="3713">
        <v>46.0</v>
      </c>
      <c r="AA53" s="3713">
        <v>47.0</v>
      </c>
    </row>
    <row r="54">
      <c r="A54" s="3768">
        <v>47.0</v>
      </c>
      <c r="B54" s="3701" t="s">
        <v>6960</v>
      </c>
      <c r="C54" s="216" t="str">
        <f t="array" ref="C54">INDEX('47. Wii Fit トレーナー'!$A1:$AA221,MATCH(C$1, '47. Wii Fit トレーナー'!$A:$A,0),3)</f>
        <v>9-11</v>
      </c>
      <c r="D54" s="216" t="str">
        <f t="array" ref="D54">INDEX('47. Wii Fit トレーナー'!$A1:$AA221,MATCH(C$1, '47. Wii Fit トレーナー'!$A:$A,0),4)</f>
        <v>34</v>
      </c>
      <c r="E54" s="239" t="str">
        <f t="array" ref="E54">INDEX('47. Wii Fit トレーナー'!$A1:$AA221,MATCH(E$1, '47. Wii Fit トレーナー'!$A:$A,0),3)</f>
        <v>9</v>
      </c>
      <c r="F54" s="239" t="str">
        <f t="array" ref="F54">INDEX('47. Wii Fit トレーナー'!$A1:$AA221,MATCH(E$1, '47. Wii Fit トレーナー'!$A:$A,0),4)</f>
        <v>35</v>
      </c>
      <c r="G54" s="239" t="str">
        <f t="array" ref="G54">INDEX('47. Wii Fit トレーナー'!$A1:$AA221,MATCH(G$1, '47. Wii Fit トレーナー'!$A:$A,0),3)</f>
        <v>5</v>
      </c>
      <c r="H54" s="239">
        <f t="array" ref="H54">INDEX('47. Wii Fit トレーナー'!$A1:$AA221,MATCH(G$1, '47. Wii Fit トレーナー'!$A:$A,0),4)</f>
        <v>48</v>
      </c>
      <c r="I54" s="239" t="str">
        <f t="array" ref="I54">INDEX('47. Wii Fit トレーナー'!$A1:$AA221,MATCH(I$1, '47. Wii Fit トレーナー'!$A:$A,0),3)</f>
        <v>6-10</v>
      </c>
      <c r="J54" s="239">
        <f t="array" ref="J54">INDEX('47. Wii Fit トレーナー'!$A1:$AA221,MATCH(G$1, '47. Wii Fit トレーナー'!$A:$A,0),4)</f>
        <v>48</v>
      </c>
      <c r="K54" s="2111" t="str">
        <f t="array" ref="K54">INDEX('47. Wii Fit トレーナー'!$A1:$AA221,MATCH(K$1, '47. Wii Fit トレーナー'!$A:$A,0),3)</f>
        <v>15-17</v>
      </c>
      <c r="L54" s="2111" t="str">
        <f t="array" ref="L54">INDEX('47. Wii Fit トレーナー'!$A1:$AA221,MATCH(K$1, '47. Wii Fit トレーナー'!$A:$A,0),4)</f>
        <v>39</v>
      </c>
      <c r="M54" s="3761"/>
      <c r="N54" s="3762"/>
      <c r="O54" s="3711" t="s">
        <v>80</v>
      </c>
      <c r="P54" s="3711" t="s">
        <v>274</v>
      </c>
      <c r="Q54" s="138">
        <v>12.0</v>
      </c>
      <c r="R54" s="239" t="s">
        <v>274</v>
      </c>
      <c r="S54" s="3763">
        <v>12.0</v>
      </c>
      <c r="T54" s="3771"/>
      <c r="U54" s="3765"/>
      <c r="V54" s="3765"/>
      <c r="W54" s="3766"/>
      <c r="X54" s="3767"/>
      <c r="Y54" s="3712">
        <v>52.0</v>
      </c>
      <c r="Z54" s="3713">
        <v>47.0</v>
      </c>
      <c r="AA54" s="3713">
        <v>41.0</v>
      </c>
    </row>
    <row r="55">
      <c r="A55" s="3768">
        <v>48.0</v>
      </c>
      <c r="B55" s="3701" t="s">
        <v>770</v>
      </c>
      <c r="C55" s="216" t="str">
        <f t="array" ref="C55">INDEX('48. ロゼッタ&amp;チコ'!$A1:$AA221,MATCH(C$1, '48. ロゼッタ&amp;チコ'!$A:$A,0),3)</f>
        <v>9-19</v>
      </c>
      <c r="D55" s="216" t="str">
        <f t="array" ref="D55">INDEX('48. ロゼッタ&amp;チコ'!$A1:$AA221,MATCH(C$1, '48. ロゼッタ&amp;チコ'!$A:$A,0),4)</f>
        <v>43</v>
      </c>
      <c r="E55" s="239" t="str">
        <f t="array" ref="E55">INDEX('48. ロゼッタ&amp;チコ'!$A1:$AA221,MATCH(E$1, '48. ロゼッタ&amp;チコ'!$A:$A,0),3)</f>
        <v>10-20
(Rehit: 3)</v>
      </c>
      <c r="F55" s="239" t="str">
        <f t="array" ref="F55">INDEX('48. ロゼッタ&amp;チコ'!$A1:$AA221,MATCH(E$1, '48. ロゼッタ&amp;チコ'!$A:$A,0),4)</f>
        <v>54</v>
      </c>
      <c r="G55" s="239" t="str">
        <f t="array" ref="G55">INDEX('48. ロゼッタ&amp;チコ'!$A1:$AA221,MATCH(G$1, '48. ロゼッタ&amp;チコ'!$A:$A,0),3)</f>
        <v>9-11</v>
      </c>
      <c r="H55" s="239">
        <f t="array" ref="H55">INDEX('48. ロゼッタ&amp;チコ'!$A1:$AA221,MATCH(G$1, '48. ロゼッタ&amp;チコ'!$A:$A,0),4)</f>
        <v>54</v>
      </c>
      <c r="I55" s="239" t="str">
        <f t="array" ref="I55">INDEX('48. ロゼッタ&amp;チコ'!$A1:$AA221,MATCH(I$1, '48. ロゼッタ&amp;チコ'!$A:$A,0),3)</f>
        <v>8-10</v>
      </c>
      <c r="J55" s="239">
        <f t="array" ref="J55">INDEX('48. ロゼッタ&amp;チコ'!$A1:$AA221,MATCH(G$1, '48. ロゼッタ&amp;チコ'!$A:$A,0),4)</f>
        <v>54</v>
      </c>
      <c r="K55" s="2111" t="str">
        <f t="array" ref="K55">INDEX('48. ロゼッタ&amp;チコ'!$A1:$AA221,MATCH(K$1, '48. ロゼッタ&amp;チコ'!$A:$A,0),3)</f>
        <v>17</v>
      </c>
      <c r="L55" s="2111">
        <f t="array" ref="L55">INDEX('48. ロゼッタ&amp;チコ'!$A1:$AA221,MATCH(K$1, '48. ロゼッタ&amp;チコ'!$A:$A,0),4)</f>
        <v>49</v>
      </c>
      <c r="M55" s="3761"/>
      <c r="N55" s="3762"/>
      <c r="O55" s="3711" t="s">
        <v>80</v>
      </c>
      <c r="P55" s="3711" t="s">
        <v>153</v>
      </c>
      <c r="Q55" s="138">
        <v>10.0</v>
      </c>
      <c r="R55" s="239" t="s">
        <v>232</v>
      </c>
      <c r="S55" s="3763">
        <v>12.0</v>
      </c>
      <c r="T55" s="3771"/>
      <c r="U55" s="3765"/>
      <c r="V55" s="3765"/>
      <c r="W55" s="3766"/>
      <c r="X55" s="3767"/>
      <c r="Y55" s="3712">
        <v>53.0</v>
      </c>
      <c r="Z55" s="3713">
        <v>48.0</v>
      </c>
      <c r="AA55" s="3713">
        <v>6.0</v>
      </c>
    </row>
    <row r="56">
      <c r="A56" s="3700">
        <v>49.0</v>
      </c>
      <c r="B56" s="3701" t="s">
        <v>6980</v>
      </c>
      <c r="C56" s="216" t="str">
        <f t="array" ref="C56">INDEX('49. リトル・マック'!$A1:$AA225,MATCH(C$1, '49. リトル・マック'!$A:$A,0),3)</f>
        <v>2</v>
      </c>
      <c r="D56" s="216" t="str">
        <f t="array" ref="D56">INDEX('49. リトル・マック'!$A1:$AA225,MATCH(C$1, '49. リトル・マック'!$A:$A,0),4)</f>
        <v>15</v>
      </c>
      <c r="E56" s="239" t="str">
        <f t="array" ref="E56">INDEX('49. リトル・マック'!$A1:$AA225,MATCH(E$1, '49. リトル・マック'!$A:$A,0),3)</f>
        <v>10-12</v>
      </c>
      <c r="F56" s="239">
        <f t="array" ref="F56">INDEX('49. リトル・マック'!$A1:$AA225,MATCH(E$1, '49. リトル・マック'!$A:$A,0),4)</f>
        <v>36</v>
      </c>
      <c r="G56" s="239" t="str">
        <f t="array" ref="G56">INDEX('49. リトル・マック'!$A1:$AA225,MATCH(G$1, '49. リトル・マック'!$A:$A,0),3)</f>
        <v>11-12</v>
      </c>
      <c r="H56" s="239">
        <f t="array" ref="H56">INDEX('49. リトル・マック'!$A1:$AA225,MATCH(G$1, '49. リトル・マック'!$A:$A,0),4)</f>
        <v>37</v>
      </c>
      <c r="I56" s="239" t="str">
        <f t="array" ref="I56">INDEX('49. リトル・マック'!$A1:$AA225,MATCH(I$1, '49. リトル・マック'!$A:$A,0),3)</f>
        <v>5-8</v>
      </c>
      <c r="J56" s="239">
        <f t="array" ref="J56">INDEX('49. リトル・マック'!$A1:$AA225,MATCH(G$1, '49. リトル・マック'!$A:$A,0),4)</f>
        <v>37</v>
      </c>
      <c r="K56" s="2111" t="str">
        <f t="array" ref="K56">INDEX('49. リトル・マック'!$A1:$AA225,MATCH(K$1, '49. リトル・マック'!$A:$A,0),3)</f>
        <v>7-10</v>
      </c>
      <c r="L56" s="2111">
        <f t="array" ref="L56">INDEX('49. リトル・マック'!$A1:$AA225,MATCH(K$1, '49. リトル・マック'!$A:$A,0),4)</f>
        <v>27</v>
      </c>
      <c r="M56" s="3761"/>
      <c r="N56" s="3762"/>
      <c r="O56" s="3711" t="s">
        <v>128</v>
      </c>
      <c r="P56" s="3711" t="s">
        <v>228</v>
      </c>
      <c r="Q56" s="138">
        <v>16.0</v>
      </c>
      <c r="R56" s="239" t="s">
        <v>228</v>
      </c>
      <c r="S56" s="3763">
        <v>18.0</v>
      </c>
      <c r="T56" s="3771"/>
      <c r="U56" s="3765"/>
      <c r="V56" s="3765"/>
      <c r="W56" s="3766"/>
      <c r="X56" s="3767"/>
      <c r="Y56" s="3712">
        <v>54.0</v>
      </c>
      <c r="Z56" s="3713">
        <v>49.0</v>
      </c>
      <c r="AA56" s="3713">
        <v>12.0</v>
      </c>
    </row>
    <row r="57">
      <c r="A57" s="3768">
        <v>50.0</v>
      </c>
      <c r="B57" s="3701" t="s">
        <v>6991</v>
      </c>
      <c r="C57" s="216" t="str">
        <f t="array" ref="C57">INDEX('50. ゲッコウガ'!$A1:$AA223,MATCH(C$1, '50. ゲッコウガ'!$A:$A,0),3)</f>
        <v>12-13</v>
      </c>
      <c r="D57" s="216" t="str">
        <f t="array" ref="D57">INDEX('50. ゲッコウガ'!$A1:$AA223,MATCH(C$1, '50. ゲッコウガ'!$A:$A,0),4)</f>
        <v>52</v>
      </c>
      <c r="E57" s="239" t="str">
        <f t="array" ref="E57">INDEX('50. ゲッコウガ'!$A1:$AA223,MATCH(E$1, '50. ゲッコウガ'!$A:$A,0),3)</f>
        <v>16-17</v>
      </c>
      <c r="F57" s="239">
        <f t="array" ref="F57">INDEX('50. ゲッコウガ'!$A1:$AA223,MATCH(E$1, '50. ゲッコウガ'!$A:$A,0),4)</f>
        <v>54</v>
      </c>
      <c r="G57" s="239" t="str">
        <f t="array" ref="G57">INDEX('50. ゲッコウガ'!$A1:$AA223,MATCH(G$1, '50. ゲッコウガ'!$A:$A,0),3)</f>
        <v>5</v>
      </c>
      <c r="H57" s="239" t="str">
        <f t="array" ref="H57">INDEX('50. ゲッコウガ'!$A1:$AA223,MATCH(G$1, '50. ゲッコウガ'!$A:$A,0),4)</f>
        <v>40</v>
      </c>
      <c r="I57" s="239" t="str">
        <f t="array" ref="I57">INDEX('50. ゲッコウガ'!$A1:$AA223,MATCH(I$1, '50. ゲッコウガ'!$A:$A,0),3)</f>
        <v>7-8, 10-11, 
13-14, 16-17</v>
      </c>
      <c r="J57" s="239" t="str">
        <f t="array" ref="J57">INDEX('50. ゲッコウガ'!$A1:$AA223,MATCH(G$1, '50. ゲッコウガ'!$A:$A,0),4)</f>
        <v>40</v>
      </c>
      <c r="K57" s="2111" t="str">
        <f t="array" ref="K57">INDEX('50. ゲッコウガ'!$A1:$AA223,MATCH(K$1, '50. ゲッコウガ'!$A:$A,0),3)</f>
        <v>17-19</v>
      </c>
      <c r="L57" s="2111" t="str">
        <f t="array" ref="L57">INDEX('50. ゲッコウガ'!$A1:$AA223,MATCH(K$1, '50. ゲッコウガ'!$A:$A,0),4)</f>
        <v>51</v>
      </c>
      <c r="M57" s="3761"/>
      <c r="N57" s="3762"/>
      <c r="O57" s="3711" t="s">
        <v>93</v>
      </c>
      <c r="P57" s="3711" t="s">
        <v>232</v>
      </c>
      <c r="Q57" s="138">
        <v>10.0</v>
      </c>
      <c r="R57" s="239" t="s">
        <v>119</v>
      </c>
      <c r="S57" s="3763">
        <v>30.0</v>
      </c>
      <c r="T57" s="3771"/>
      <c r="U57" s="3765"/>
      <c r="V57" s="3765"/>
      <c r="W57" s="3766"/>
      <c r="X57" s="3767"/>
      <c r="Y57" s="3712">
        <v>55.0</v>
      </c>
      <c r="Z57" s="3713">
        <v>50.0</v>
      </c>
      <c r="AA57" s="3713">
        <v>34.0</v>
      </c>
    </row>
    <row r="58">
      <c r="A58" s="3768">
        <v>51.0</v>
      </c>
      <c r="B58" s="3701" t="s">
        <v>7000</v>
      </c>
      <c r="C58" s="216" t="str">
        <f t="array" ref="C58">INDEX('51. 格闘Mii'!$A1:$AA235,MATCH(C$1, '51. 格闘Mii'!$A:$A,0),3)</f>
        <v>3-5</v>
      </c>
      <c r="D58" s="216" t="str">
        <f t="array" ref="D58">INDEX('51. 格闘Mii'!$A1:$AA235,MATCH(C$1, '51. 格闘Mii'!$A:$A,0),4)</f>
        <v>45</v>
      </c>
      <c r="E58" s="239" t="str">
        <f t="array" ref="E58">INDEX('51. 格闘Mii'!$A1:$AA235,MATCH(E$1, '51. 格闘Mii'!$A:$A,0),3)</f>
        <v>8-9</v>
      </c>
      <c r="F58" s="239">
        <f t="array" ref="F58">INDEX('51. 格闘Mii'!$A1:$AA235,MATCH(E$1, '51. 格闘Mii'!$A:$A,0),4)</f>
        <v>44</v>
      </c>
      <c r="G58" s="239" t="str">
        <f t="array" ref="G58">INDEX('51. 格闘Mii'!$A1:$AA235,MATCH(G$1, '51. 格闘Mii'!$A:$A,0),3)</f>
        <v>7-9</v>
      </c>
      <c r="H58" s="239">
        <f t="array" ref="H58">INDEX('51. 格闘Mii'!$A1:$AA235,MATCH(G$1, '51. 格闘Mii'!$A:$A,0),4)</f>
        <v>39</v>
      </c>
      <c r="I58" s="239" t="str">
        <f t="array" ref="I58">INDEX('51. 格闘Mii'!$A1:$AA235,MATCH(I$1, '51. 格闘Mii'!$A:$A,0),3)</f>
        <v>6-10</v>
      </c>
      <c r="J58" s="239">
        <f t="array" ref="J58">INDEX('51. 格闘Mii'!$A1:$AA235,MATCH(G$1, '51. 格闘Mii'!$A:$A,0),4)</f>
        <v>39</v>
      </c>
      <c r="K58" s="2111" t="str">
        <f t="array" ref="K58">INDEX('51. 格闘Mii'!$A1:$AA235,MATCH(K$1, '51. 格闘Mii'!$A:$A,0),3)</f>
        <v>16-17</v>
      </c>
      <c r="L58" s="2111">
        <f t="array" ref="L58">INDEX('51. 格闘Mii'!$A1:$AA235,MATCH(K$1, '51. 格闘Mii'!$A:$A,0),4)</f>
        <v>49</v>
      </c>
      <c r="M58" s="3761"/>
      <c r="N58" s="3762"/>
      <c r="O58" s="3711" t="s">
        <v>86</v>
      </c>
      <c r="P58" s="3727" t="s">
        <v>232</v>
      </c>
      <c r="Q58" s="138">
        <v>11.0</v>
      </c>
      <c r="R58" s="239" t="s">
        <v>128</v>
      </c>
      <c r="S58" s="3763">
        <v>18.0</v>
      </c>
      <c r="T58" s="3771"/>
      <c r="U58" s="3765"/>
      <c r="V58" s="3765"/>
      <c r="W58" s="3766"/>
      <c r="X58" s="3767"/>
      <c r="Y58" s="3712">
        <v>56.0</v>
      </c>
      <c r="Z58" s="3715">
        <v>73.0</v>
      </c>
      <c r="AA58" s="3713">
        <v>56.0</v>
      </c>
    </row>
    <row r="59">
      <c r="A59" s="3768">
        <v>52.0</v>
      </c>
      <c r="B59" s="3701" t="s">
        <v>7010</v>
      </c>
      <c r="C59" s="216" t="str">
        <f t="array" ref="C59">INDEX('52. 剣術Mii'!$A1:$AA228,MATCH(C$1, '52. 剣術Mii'!$A:$A,0),3)</f>
        <v>10-23</v>
      </c>
      <c r="D59" s="216" t="str">
        <f t="array" ref="D59">INDEX('52. 剣術Mii'!$A1:$AA228,MATCH(C$1, '52. 剣術Mii'!$A:$A,0),4)</f>
        <v>48</v>
      </c>
      <c r="E59" s="239" t="str">
        <f t="array" ref="E59">INDEX('52. 剣術Mii'!$A1:$AA228,MATCH(E$1, '52. 剣術Mii'!$A:$A,0),3)</f>
        <v>12-13</v>
      </c>
      <c r="F59" s="239">
        <f t="array" ref="F59">INDEX('52. 剣術Mii'!$A1:$AA228,MATCH(E$1, '52. 剣術Mii'!$A:$A,0),4)</f>
        <v>46</v>
      </c>
      <c r="G59" s="239" t="str">
        <f t="array" ref="G59">INDEX('52. 剣術Mii'!$A1:$AA228,MATCH(G$1, '52. 剣術Mii'!$A:$A,0),3)</f>
        <v>10-11</v>
      </c>
      <c r="H59" s="239">
        <f t="array" ref="H59">INDEX('52. 剣術Mii'!$A1:$AA228,MATCH(G$1, '52. 剣術Mii'!$A:$A,0),4)</f>
        <v>37</v>
      </c>
      <c r="I59" s="239" t="str">
        <f t="array" ref="I59">INDEX('52. 剣術Mii'!$A1:$AA228,MATCH(I$1, '52. 剣術Mii'!$A:$A,0),3)</f>
        <v>11-13</v>
      </c>
      <c r="J59" s="239">
        <f t="array" ref="J59">INDEX('52. 剣術Mii'!$A1:$AA228,MATCH(G$1, '52. 剣術Mii'!$A:$A,0),4)</f>
        <v>37</v>
      </c>
      <c r="K59" s="2111" t="str">
        <f t="array" ref="K59">INDEX('52. 剣術Mii'!$A1:$AA228,MATCH(K$1, '52. 剣術Mii'!$A:$A,0),3)</f>
        <v>14-37
(Rehit: 5)</v>
      </c>
      <c r="L59" s="2111">
        <f t="array" ref="L59">INDEX('52. 剣術Mii'!$A1:$AA228,MATCH(K$1, '52. 剣術Mii'!$A:$A,0),4)</f>
        <v>58</v>
      </c>
      <c r="M59" s="3761"/>
      <c r="N59" s="3762"/>
      <c r="O59" s="3711" t="s">
        <v>274</v>
      </c>
      <c r="P59" s="3711" t="s">
        <v>129</v>
      </c>
      <c r="Q59" s="138">
        <v>9.0</v>
      </c>
      <c r="R59" s="239" t="s">
        <v>128</v>
      </c>
      <c r="S59" s="3763">
        <v>18.0</v>
      </c>
      <c r="T59" s="3771"/>
      <c r="U59" s="3765"/>
      <c r="V59" s="3765"/>
      <c r="W59" s="3766"/>
      <c r="X59" s="3767"/>
      <c r="Y59" s="3712">
        <v>57.0</v>
      </c>
      <c r="Z59" s="3715">
        <v>74.0</v>
      </c>
      <c r="AA59" s="3713">
        <v>58.0</v>
      </c>
    </row>
    <row r="60">
      <c r="A60" s="3768">
        <v>53.0</v>
      </c>
      <c r="B60" s="3701" t="s">
        <v>7019</v>
      </c>
      <c r="C60" s="216" t="str">
        <f t="array" ref="C60">INDEX('53. 射撃Mii'!$A1:$AA230,MATCH(C$1, '53. 射撃Mii'!$A:$A,0),3)</f>
        <v>8-21</v>
      </c>
      <c r="D60" s="216" t="str">
        <f t="array" ref="D60">INDEX('53. 射撃Mii'!$A1:$AA230,MATCH(C$1, '53. 射撃Mii'!$A:$A,0),4)</f>
        <v>41</v>
      </c>
      <c r="E60" s="239" t="str">
        <f t="array" ref="E60">INDEX('53. 射撃Mii'!$A1:$AA230,MATCH(E$1, '53. 射撃Mii'!$A:$A,0),3)</f>
        <v>12-16</v>
      </c>
      <c r="F60" s="239" t="str">
        <f t="array" ref="F60">INDEX('53. 射撃Mii'!$A1:$AA230,MATCH(E$1, '53. 射撃Mii'!$A:$A,0),4)</f>
        <v>43</v>
      </c>
      <c r="G60" s="239" t="str">
        <f t="array" ref="G60">INDEX('53. 射撃Mii'!$A1:$AA230,MATCH(G$1, '53. 射撃Mii'!$A:$A,0),3)</f>
        <v>9-10</v>
      </c>
      <c r="H60" s="239">
        <f t="array" ref="H60">INDEX('53. 射撃Mii'!$A1:$AA230,MATCH(G$1, '53. 射撃Mii'!$A:$A,0),4)</f>
        <v>47</v>
      </c>
      <c r="I60" s="239" t="str">
        <f t="array" ref="I60">INDEX('53. 射撃Mii'!$A1:$AA230,MATCH(I$1, '53. 射撃Mii'!$A:$A,0),3)</f>
        <v>17</v>
      </c>
      <c r="J60" s="239">
        <f t="array" ref="J60">INDEX('53. 射撃Mii'!$A1:$AA230,MATCH(G$1, '53. 射撃Mii'!$A:$A,0),4)</f>
        <v>47</v>
      </c>
      <c r="K60" s="2111" t="str">
        <f t="array" ref="K60">INDEX('53. 射撃Mii'!$A1:$AA230,MATCH(K$1, '53. 射撃Mii'!$A:$A,0),3)</f>
        <v>20-21</v>
      </c>
      <c r="L60" s="2111">
        <f t="array" ref="L60">INDEX('53. 射撃Mii'!$A1:$AA230,MATCH(K$1, '53. 射撃Mii'!$A:$A,0),4)</f>
        <v>54</v>
      </c>
      <c r="M60" s="3761"/>
      <c r="N60" s="3762"/>
      <c r="O60" s="3711" t="s">
        <v>232</v>
      </c>
      <c r="P60" s="3711" t="s">
        <v>129</v>
      </c>
      <c r="Q60" s="138">
        <v>11.0</v>
      </c>
      <c r="R60" s="239" t="s">
        <v>228</v>
      </c>
      <c r="S60" s="3763">
        <v>17.0</v>
      </c>
      <c r="T60" s="3771"/>
      <c r="U60" s="3765"/>
      <c r="V60" s="3765"/>
      <c r="W60" s="3766"/>
      <c r="X60" s="3767"/>
      <c r="Y60" s="3712">
        <v>58.0</v>
      </c>
      <c r="Z60" s="3715">
        <v>75.0</v>
      </c>
      <c r="AA60" s="3713">
        <v>57.0</v>
      </c>
    </row>
    <row r="61">
      <c r="A61" s="3768">
        <v>54.0</v>
      </c>
      <c r="B61" s="3701" t="s">
        <v>7028</v>
      </c>
      <c r="C61" s="216" t="str">
        <f t="array" ref="C61">INDEX('54. パルテナ'!$A1:$AA221,MATCH(C$1, '54. パルテナ'!$A:$A,0),3)</f>
        <v>5-27
(Rehit: 4)</v>
      </c>
      <c r="D61" s="216" t="str">
        <f t="array" ref="D61">INDEX('54. パルテナ'!$A1:$AA221,MATCH(C$1, '54. パルテナ'!$A:$A,0),4)</f>
        <v>51</v>
      </c>
      <c r="E61" s="239" t="str">
        <f t="array" ref="E61">INDEX('54. パルテナ'!$A1:$AA221,MATCH(E$1, '54. パルテナ'!$A:$A,0),3)</f>
        <v>9-11</v>
      </c>
      <c r="F61" s="239">
        <f t="array" ref="F61">INDEX('54. パルテナ'!$A1:$AA221,MATCH(E$1, '54. パルテナ'!$A:$A,0),4)</f>
        <v>44</v>
      </c>
      <c r="G61" s="239" t="str">
        <f t="array" ref="G61">INDEX('54. パルテナ'!$A1:$AA221,MATCH(G$1, '54. パルテナ'!$A:$A,0),3)</f>
        <v>8-10</v>
      </c>
      <c r="H61" s="239">
        <f t="array" ref="H61">INDEX('54. パルテナ'!$A1:$AA221,MATCH(G$1, '54. パルテナ'!$A:$A,0),4)</f>
        <v>49</v>
      </c>
      <c r="I61" s="239" t="str">
        <f t="array" ref="I61">INDEX('54. パルテナ'!$A1:$AA221,MATCH(I$1, '54. パルテナ'!$A:$A,0),3)</f>
        <v>10-22
(Rehit: 3)</v>
      </c>
      <c r="J61" s="239">
        <f t="array" ref="J61">INDEX('54. パルテナ'!$A1:$AA221,MATCH(G$1, '54. パルテナ'!$A:$A,0),4)</f>
        <v>49</v>
      </c>
      <c r="K61" s="2111" t="str">
        <f t="array" ref="K61">INDEX('54. パルテナ'!$A1:$AA221,MATCH(K$1, '54. パルテナ'!$A:$A,0),3)</f>
        <v>10-11</v>
      </c>
      <c r="L61" s="2111">
        <f t="array" ref="L61">INDEX('54. パルテナ'!$A1:$AA221,MATCH(K$1, '54. パルテナ'!$A:$A,0),4)</f>
        <v>58</v>
      </c>
      <c r="M61" s="3761"/>
      <c r="N61" s="3762"/>
      <c r="O61" s="3711" t="s">
        <v>129</v>
      </c>
      <c r="P61" s="3711" t="s">
        <v>93</v>
      </c>
      <c r="Q61" s="138">
        <v>10.0</v>
      </c>
      <c r="R61" s="239" t="s">
        <v>119</v>
      </c>
      <c r="S61" s="3763">
        <v>11.0</v>
      </c>
      <c r="T61" s="3771"/>
      <c r="U61" s="3765"/>
      <c r="V61" s="3765"/>
      <c r="W61" s="3766"/>
      <c r="X61" s="3767"/>
      <c r="Y61" s="3712">
        <v>59.0</v>
      </c>
      <c r="Z61" s="3713">
        <v>51.0</v>
      </c>
      <c r="AA61" s="3713">
        <v>21.0</v>
      </c>
    </row>
    <row r="62">
      <c r="A62" s="3700">
        <v>55.0</v>
      </c>
      <c r="B62" s="3701" t="s">
        <v>7035</v>
      </c>
      <c r="C62" s="216" t="str">
        <f t="array" ref="C62">INDEX('55. パックマン'!$A1:$AA223,MATCH(C$1, '55. パックマン'!$A:$A,0),3)</f>
        <v>3-5</v>
      </c>
      <c r="D62" s="216" t="str">
        <f t="array" ref="D62">INDEX('55. パックマン'!$A1:$AA223,MATCH(C$1, '55. パックマン'!$A:$A,0),4)</f>
        <v>51</v>
      </c>
      <c r="E62" s="239" t="str">
        <f t="array" ref="E62">INDEX('55. パックマン'!$A1:$AA223,MATCH(E$1, '55. パックマン'!$A:$A,0),3)</f>
        <v>5-8</v>
      </c>
      <c r="F62" s="239">
        <f t="array" ref="F62">INDEX('55. パックマン'!$A1:$AA223,MATCH(E$1, '55. パックマン'!$A:$A,0),4)</f>
        <v>25</v>
      </c>
      <c r="G62" s="239" t="str">
        <f t="array" ref="G62">INDEX('55. パックマン'!$A1:$AA223,MATCH(G$1, '55. パックマン'!$A:$A,0),3)</f>
        <v>9-11</v>
      </c>
      <c r="H62" s="239">
        <f t="array" ref="H62">INDEX('55. パックマン'!$A1:$AA223,MATCH(G$1, '55. パックマン'!$A:$A,0),4)</f>
        <v>40</v>
      </c>
      <c r="I62" s="239" t="str">
        <f t="array" ref="I62">INDEX('55. パックマン'!$A1:$AA223,MATCH(I$1, '55. パックマン'!$A:$A,0),3)</f>
        <v>9-16</v>
      </c>
      <c r="J62" s="239">
        <f t="array" ref="J62">INDEX('55. パックマン'!$A1:$AA223,MATCH(G$1, '55. パックマン'!$A:$A,0),4)</f>
        <v>40</v>
      </c>
      <c r="K62" s="2111" t="str">
        <f t="array" ref="K62">INDEX('55. パックマン'!$A1:$AA223,MATCH(K$1, '55. パックマン'!$A:$A,0),3)</f>
        <v>6-7, 13-14, 
20-21</v>
      </c>
      <c r="L62" s="2111" t="str">
        <f t="array" ref="L62">INDEX('55. パックマン'!$A1:$AA223,MATCH(K$1, '55. パックマン'!$A:$A,0),4)</f>
        <v>49</v>
      </c>
      <c r="M62" s="3761"/>
      <c r="N62" s="3762"/>
      <c r="O62" s="3711" t="s">
        <v>93</v>
      </c>
      <c r="P62" s="3711" t="s">
        <v>128</v>
      </c>
      <c r="Q62" s="138">
        <v>13.0</v>
      </c>
      <c r="R62" s="239" t="s">
        <v>128</v>
      </c>
      <c r="S62" s="3763">
        <v>12.0</v>
      </c>
      <c r="T62" s="3771"/>
      <c r="U62" s="3765"/>
      <c r="V62" s="3765"/>
      <c r="W62" s="3766"/>
      <c r="X62" s="3767"/>
      <c r="Y62" s="3712">
        <v>60.0</v>
      </c>
      <c r="Z62" s="3713">
        <v>52.0</v>
      </c>
      <c r="AA62" s="3713">
        <v>46.0</v>
      </c>
    </row>
    <row r="63">
      <c r="A63" s="3768">
        <v>56.0</v>
      </c>
      <c r="B63" s="3701" t="s">
        <v>7044</v>
      </c>
      <c r="C63" s="216" t="str">
        <f t="array" ref="C63">INDEX('56. ルフレ'!$A1:$AA220,MATCH(C$1, '56. ルフレ'!$A:$A,0),3)</f>
        <v>7-10</v>
      </c>
      <c r="D63" s="216" t="str">
        <f t="array" ref="D63">INDEX('56. ルフレ'!$A1:$AA220,MATCH(C$1, '56. ルフレ'!$A:$A,0),4)</f>
        <v>47</v>
      </c>
      <c r="E63" s="239" t="str">
        <f t="array" ref="E63">INDEX('56. ルフレ'!$A1:$AA220,MATCH(E$1, '56. ルフレ'!$A:$A,0),3)</f>
        <v>12-15</v>
      </c>
      <c r="F63" s="239">
        <f t="array" ref="F63">INDEX('56. ルフレ'!$A1:$AA220,MATCH(E$1, '56. ルフレ'!$A:$A,0),4)</f>
        <v>33</v>
      </c>
      <c r="G63" s="239" t="str">
        <f t="array" ref="G63">INDEX('56. ルフレ'!$A1:$AA220,MATCH(G$1, '56. ルフレ'!$A:$A,0),3)</f>
        <v>9-10</v>
      </c>
      <c r="H63" s="239">
        <f t="array" ref="H63">INDEX('56. ルフレ'!$A1:$AA220,MATCH(G$1, '56. ルフレ'!$A:$A,0),4)</f>
        <v>39</v>
      </c>
      <c r="I63" s="239" t="str">
        <f t="array" ref="I63">INDEX('56. ルフレ'!$A1:$AA220,MATCH(I$1, '56. ルフレ'!$A:$A,0),3)</f>
        <v>10-13</v>
      </c>
      <c r="J63" s="239">
        <f t="array" ref="J63">INDEX('56. ルフレ'!$A1:$AA220,MATCH(G$1, '56. ルフレ'!$A:$A,0),4)</f>
        <v>39</v>
      </c>
      <c r="K63" s="2111" t="str">
        <f t="array" ref="K63">INDEX('56. ルフレ'!$A1:$AA220,MATCH(K$1, '56. ルフレ'!$A:$A,0),3)</f>
        <v>13-15</v>
      </c>
      <c r="L63" s="2111">
        <f t="array" ref="L63">INDEX('56. ルフレ'!$A1:$AA220,MATCH(K$1, '56. ルフレ'!$A:$A,0),4)</f>
        <v>59</v>
      </c>
      <c r="M63" s="3761"/>
      <c r="N63" s="3762"/>
      <c r="O63" s="3711" t="s">
        <v>232</v>
      </c>
      <c r="P63" s="3711" t="s">
        <v>232</v>
      </c>
      <c r="Q63" s="138">
        <v>11.0</v>
      </c>
      <c r="R63" s="239" t="s">
        <v>232</v>
      </c>
      <c r="S63" s="3763">
        <v>16.0</v>
      </c>
      <c r="T63" s="3771"/>
      <c r="U63" s="3765"/>
      <c r="V63" s="3765"/>
      <c r="W63" s="3766"/>
      <c r="X63" s="3767"/>
      <c r="Y63" s="3712">
        <v>61.0</v>
      </c>
      <c r="Z63" s="3713">
        <v>53.0</v>
      </c>
      <c r="AA63" s="3713">
        <v>24.0</v>
      </c>
    </row>
    <row r="64">
      <c r="A64" s="3768">
        <v>57.0</v>
      </c>
      <c r="B64" s="3701" t="s">
        <v>7052</v>
      </c>
      <c r="C64" s="216" t="str">
        <f t="array" ref="C64">INDEX('57. シュルク'!$A1:$AA226,MATCH(C$1, '57. シュルク'!$A:$A,0),3)</f>
        <v>13-30</v>
      </c>
      <c r="D64" s="216" t="str">
        <f t="array" ref="D64">INDEX('57. シュルク'!$A1:$AA226,MATCH(C$1, '57. シュルク'!$A:$A,0),4)</f>
        <v>59</v>
      </c>
      <c r="E64" s="239" t="str">
        <f t="array" ref="E64">INDEX('57. シュルク'!$A1:$AA226,MATCH(E$1, '57. シュルク'!$A:$A,0),3)</f>
        <v>14-18</v>
      </c>
      <c r="F64" s="239">
        <f t="array" ref="F64">INDEX('57. シュルク'!$A1:$AA226,MATCH(E$1, '57. シュルク'!$A:$A,0),4)</f>
        <v>41</v>
      </c>
      <c r="G64" s="239" t="str">
        <f t="array" ref="G64">INDEX('57. シュルク'!$A1:$AA226,MATCH(G$1, '57. シュルク'!$A:$A,0),3)</f>
        <v>19-21</v>
      </c>
      <c r="H64" s="239">
        <f t="array" ref="H64">INDEX('57. シュルク'!$A1:$AA226,MATCH(G$1, '57. シュルク'!$A:$A,0),4)</f>
        <v>54</v>
      </c>
      <c r="I64" s="239" t="str">
        <f t="array" ref="I64">INDEX('57. シュルク'!$A1:$AA226,MATCH(I$1, '57. シュルク'!$A:$A,0),3)</f>
        <v>14-16</v>
      </c>
      <c r="J64" s="239">
        <f t="array" ref="J64">INDEX('57. シュルク'!$A1:$AA226,MATCH(G$1, '57. シュルク'!$A:$A,0),4)</f>
        <v>54</v>
      </c>
      <c r="K64" s="2111" t="str">
        <f t="array" ref="K64">INDEX('57. シュルク'!$A1:$AA226,MATCH(K$1, '57. シュルク'!$A:$A,0),3)</f>
        <v>14-16</v>
      </c>
      <c r="L64" s="2111">
        <f t="array" ref="L64">INDEX('57. シュルク'!$A1:$AA226,MATCH(K$1, '57. シュルク'!$A:$A,0),4)</f>
        <v>60</v>
      </c>
      <c r="M64" s="3761"/>
      <c r="N64" s="3762"/>
      <c r="O64" s="3711" t="s">
        <v>86</v>
      </c>
      <c r="P64" s="3711" t="s">
        <v>128</v>
      </c>
      <c r="Q64" s="138">
        <v>11.0</v>
      </c>
      <c r="R64" s="239" t="s">
        <v>274</v>
      </c>
      <c r="S64" s="3763">
        <v>14.0</v>
      </c>
      <c r="T64" s="3771"/>
      <c r="U64" s="3765"/>
      <c r="V64" s="3765"/>
      <c r="W64" s="3766"/>
      <c r="X64" s="3767"/>
      <c r="Y64" s="3712">
        <v>62.0</v>
      </c>
      <c r="Z64" s="3713">
        <v>54.0</v>
      </c>
      <c r="AA64" s="3713">
        <v>42.0</v>
      </c>
    </row>
    <row r="65">
      <c r="A65" s="3768">
        <v>58.0</v>
      </c>
      <c r="B65" s="3701" t="s">
        <v>7062</v>
      </c>
      <c r="C65" s="216" t="str">
        <f t="array" ref="C65">INDEX('58. クッパ Jr.'!$A1:$AA218,MATCH(C$1, '58. クッパ Jr.'!$A:$A,0),3)</f>
        <v>7-8</v>
      </c>
      <c r="D65" s="216" t="str">
        <f t="array" ref="D65">INDEX('58. クッパ Jr.'!$A1:$AA218,MATCH(C$1, '58. クッパ Jr.'!$A:$A,0),4)</f>
        <v>43</v>
      </c>
      <c r="E65" s="239" t="str">
        <f t="array" ref="E65">INDEX('58. クッパ Jr.'!$A1:$AA218,MATCH(E$1, '58. クッパ Jr.'!$A:$A,0),3)</f>
        <v>10-13</v>
      </c>
      <c r="F65" s="239">
        <f t="array" ref="F65">INDEX('58. クッパ Jr.'!$A1:$AA218,MATCH(E$1, '58. クッパ Jr.'!$A:$A,0),4)</f>
        <v>43</v>
      </c>
      <c r="G65" s="239" t="str">
        <f t="array" ref="G65">INDEX('58. クッパ Jr.'!$A1:$AA218,MATCH(G$1, '58. クッパ Jr.'!$A:$A,0),3)</f>
        <v>12-13</v>
      </c>
      <c r="H65" s="239">
        <f t="array" ref="H65">INDEX('58. クッパ Jr.'!$A1:$AA218,MATCH(G$1, '58. クッパ Jr.'!$A:$A,0),4)</f>
        <v>45</v>
      </c>
      <c r="I65" s="239" t="str">
        <f t="array" ref="I65">INDEX('58. クッパ Jr.'!$A1:$AA218,MATCH(I$1, '58. クッパ Jr.'!$A:$A,0),3)</f>
        <v>6-9</v>
      </c>
      <c r="J65" s="239">
        <f t="array" ref="J65">INDEX('58. クッパ Jr.'!$A1:$AA218,MATCH(G$1, '58. クッパ Jr.'!$A:$A,0),4)</f>
        <v>45</v>
      </c>
      <c r="K65" s="2111" t="str">
        <f t="array" ref="K65">INDEX('58. クッパ Jr.'!$A1:$AA218,MATCH(K$1, '58. クッパ Jr.'!$A:$A,0),3)</f>
        <v>15-38
(Rehit: 3)</v>
      </c>
      <c r="L65" s="2111" t="str">
        <f t="array" ref="L65">INDEX('58. クッパ Jr.'!$A1:$AA218,MATCH(K$1, '58. クッパ Jr.'!$A:$A,0),4)</f>
        <v>56</v>
      </c>
      <c r="M65" s="3761"/>
      <c r="N65" s="3762"/>
      <c r="O65" s="3711" t="s">
        <v>274</v>
      </c>
      <c r="P65" s="3711" t="s">
        <v>153</v>
      </c>
      <c r="Q65" s="138">
        <v>14.0</v>
      </c>
      <c r="R65" s="239" t="s">
        <v>274</v>
      </c>
      <c r="S65" s="3763">
        <v>15.0</v>
      </c>
      <c r="T65" s="3771"/>
      <c r="U65" s="3765"/>
      <c r="V65" s="3765"/>
      <c r="W65" s="3766"/>
      <c r="X65" s="3767"/>
      <c r="Y65" s="3712">
        <v>63.0</v>
      </c>
      <c r="Z65" s="3713">
        <v>55.0</v>
      </c>
      <c r="AA65" s="3713">
        <v>7.0</v>
      </c>
    </row>
    <row r="66">
      <c r="A66" s="3700">
        <v>59.0</v>
      </c>
      <c r="B66" s="3701" t="s">
        <v>7072</v>
      </c>
      <c r="C66" s="216" t="str">
        <f t="array" ref="C66">INDEX('59. ダックハント'!$A1:$AA222,MATCH(C$1, '59. ダックハント'!$A:$A,0),3)</f>
        <v>6-8</v>
      </c>
      <c r="D66" s="216" t="str">
        <f t="array" ref="D66">INDEX('59. ダックハント'!$A1:$AA222,MATCH(C$1, '59. ダックハント'!$A:$A,0),4)</f>
        <v>55</v>
      </c>
      <c r="E66" s="239" t="str">
        <f t="array" ref="E66">INDEX('59. ダックハント'!$A1:$AA222,MATCH(E$1, '59. ダックハント'!$A:$A,0),3)</f>
        <v>7</v>
      </c>
      <c r="F66" s="239" t="str">
        <f t="array" ref="F66">INDEX('59. ダックハント'!$A1:$AA222,MATCH(E$1, '59. ダックハント'!$A:$A,0),4)</f>
        <v>44</v>
      </c>
      <c r="G66" s="239" t="str">
        <f t="array" ref="G66">INDEX('59. ダックハント'!$A1:$AA222,MATCH(G$1, '59. ダックハント'!$A:$A,0),3)</f>
        <v>7-8</v>
      </c>
      <c r="H66" s="239">
        <f t="array" ref="H66">INDEX('59. ダックハント'!$A1:$AA222,MATCH(G$1, '59. ダックハント'!$A:$A,0),4)</f>
        <v>41</v>
      </c>
      <c r="I66" s="239" t="str">
        <f t="array" ref="I66">INDEX('59. ダックハント'!$A1:$AA222,MATCH(I$1, '59. ダックハント'!$A:$A,0),3)</f>
        <v>6-7</v>
      </c>
      <c r="J66" s="239">
        <f t="array" ref="J66">INDEX('59. ダックハント'!$A1:$AA222,MATCH(G$1, '59. ダックハント'!$A:$A,0),4)</f>
        <v>41</v>
      </c>
      <c r="K66" s="2111" t="str">
        <f t="array" ref="K66">INDEX('59. ダックハント'!$A1:$AA222,MATCH(K$1, '59. ダックハント'!$A:$A,0),3)</f>
        <v>14-15</v>
      </c>
      <c r="L66" s="2111" t="str">
        <f t="array" ref="L66">INDEX('59. ダックハント'!$A1:$AA222,MATCH(K$1, '59. ダックハント'!$A:$A,0),4)</f>
        <v>49</v>
      </c>
      <c r="M66" s="3761"/>
      <c r="N66" s="3762"/>
      <c r="O66" s="3711" t="s">
        <v>128</v>
      </c>
      <c r="P66" s="3711" t="s">
        <v>274</v>
      </c>
      <c r="Q66" s="138">
        <v>14.0</v>
      </c>
      <c r="R66" s="239" t="s">
        <v>232</v>
      </c>
      <c r="S66" s="3763">
        <v>15.0</v>
      </c>
      <c r="T66" s="3771"/>
      <c r="U66" s="3765"/>
      <c r="V66" s="3765"/>
      <c r="W66" s="3766"/>
      <c r="X66" s="3767"/>
      <c r="Y66" s="3712">
        <v>64.0</v>
      </c>
      <c r="Z66" s="3713">
        <v>56.0</v>
      </c>
      <c r="AA66" s="3713">
        <v>35.0</v>
      </c>
    </row>
    <row r="67">
      <c r="A67" s="3768">
        <v>60.0</v>
      </c>
      <c r="B67" s="3701" t="s">
        <v>7082</v>
      </c>
      <c r="C67" s="216" t="str">
        <f t="array" ref="C67">INDEX('60. リュウ'!$A1:$AA240,MATCH(C$1, '60. リュウ'!$A:$A,0),3)</f>
        <v>4-6</v>
      </c>
      <c r="D67" s="216" t="str">
        <f t="array" ref="D67">INDEX('60. リュウ'!$A1:$AA240,MATCH(C$1, '60. リュウ'!$A:$A,0),4)</f>
        <v>35</v>
      </c>
      <c r="E67" s="239" t="str">
        <f t="array" ref="E67">INDEX('60. リュウ'!$A1:$AA240,MATCH(E$1, '60. リュウ'!$A:$A,0),3)</f>
        <v>8-9</v>
      </c>
      <c r="F67" s="239" t="str">
        <f t="array" ref="F67">INDEX('60. リュウ'!$A1:$AA240,MATCH(E$1, '60. リュウ'!$A:$A,0),4)</f>
        <v>36</v>
      </c>
      <c r="G67" s="239" t="str">
        <f t="array" ref="G67">INDEX('60. リュウ'!$A1:$AA240,MATCH(G$1, '60. リュウ'!$A:$A,0),3)</f>
        <v>8-9</v>
      </c>
      <c r="H67" s="239">
        <f t="array" ref="H67">INDEX('60. リュウ'!$A1:$AA240,MATCH(G$1, '60. リュウ'!$A:$A,0),4)</f>
        <v>41</v>
      </c>
      <c r="I67" s="239" t="str">
        <f t="array" ref="I67">INDEX('60. リュウ'!$A1:$AA240,MATCH(I$1, '60. リュウ'!$A:$A,0),3)</f>
        <v>6-7</v>
      </c>
      <c r="J67" s="239">
        <f t="array" ref="J67">INDEX('60. リュウ'!$A1:$AA240,MATCH(G$1, '60. リュウ'!$A:$A,0),4)</f>
        <v>41</v>
      </c>
      <c r="K67" s="2111" t="str">
        <f t="array" ref="K67">INDEX('60. リュウ'!$A1:$AA240,MATCH(K$1, '60. リュウ'!$A:$A,0),3)</f>
        <v>8-12</v>
      </c>
      <c r="L67" s="2111">
        <f t="array" ref="L67">INDEX('60. リュウ'!$A1:$AA240,MATCH(K$1, '60. リュウ'!$A:$A,0),4)</f>
        <v>45</v>
      </c>
      <c r="M67" s="3761"/>
      <c r="N67" s="3762"/>
      <c r="O67" s="3711" t="s">
        <v>150</v>
      </c>
      <c r="P67" s="3711" t="s">
        <v>232</v>
      </c>
      <c r="Q67" s="138">
        <v>10.0</v>
      </c>
      <c r="R67" s="239" t="s">
        <v>232</v>
      </c>
      <c r="S67" s="3763">
        <v>15.0</v>
      </c>
      <c r="T67" s="3771"/>
      <c r="U67" s="3765"/>
      <c r="V67" s="3765"/>
      <c r="W67" s="3766"/>
      <c r="X67" s="3767"/>
      <c r="Y67" s="3712">
        <v>65.0</v>
      </c>
      <c r="Z67" s="3713">
        <v>57.0</v>
      </c>
      <c r="AA67" s="3713">
        <v>52.0</v>
      </c>
    </row>
    <row r="68">
      <c r="A68" s="3768" t="s">
        <v>4442</v>
      </c>
      <c r="B68" s="3701" t="s">
        <v>7091</v>
      </c>
      <c r="C68" s="3770"/>
      <c r="D68" s="3770"/>
      <c r="E68" s="138"/>
      <c r="F68" s="138"/>
      <c r="G68" s="138"/>
      <c r="H68" s="138"/>
      <c r="I68" s="138"/>
      <c r="J68" s="138"/>
      <c r="K68" s="3761"/>
      <c r="L68" s="3761"/>
      <c r="M68" s="3761"/>
      <c r="N68" s="3762"/>
      <c r="O68" s="3711" t="s">
        <v>150</v>
      </c>
      <c r="P68" s="3711" t="s">
        <v>232</v>
      </c>
      <c r="Q68" s="138">
        <v>10.0</v>
      </c>
      <c r="R68" s="239" t="s">
        <v>232</v>
      </c>
      <c r="S68" s="3763">
        <v>15.0</v>
      </c>
      <c r="T68" s="3771"/>
      <c r="U68" s="3765"/>
      <c r="V68" s="3765"/>
      <c r="W68" s="3766"/>
      <c r="X68" s="3767"/>
      <c r="Y68" s="3712">
        <v>66.0</v>
      </c>
      <c r="Z68" s="3715">
        <v>81.0</v>
      </c>
      <c r="AA68" s="3713" t="s">
        <v>76</v>
      </c>
    </row>
    <row r="69">
      <c r="A69" s="3700">
        <v>61.0</v>
      </c>
      <c r="B69" s="3753" t="s">
        <v>7096</v>
      </c>
      <c r="C69" s="216" t="str">
        <f t="array" ref="C69">INDEX('61. クラウド'!$A1:$AA225,MATCH(C$1, '61. クラウド'!$A:$A,0),3)</f>
        <v>5-15</v>
      </c>
      <c r="D69" s="216" t="str">
        <f t="array" ref="D69">INDEX('61. クラウド'!$A1:$AA225,MATCH(C$1, '61. クラウド'!$A:$A,0),4)</f>
        <v>38</v>
      </c>
      <c r="E69" s="239" t="str">
        <f t="array" ref="E69">INDEX('61. クラウド'!$A1:$AA225,MATCH(E$1, '61. クラウド'!$A:$A,0),3)</f>
        <v>18-19</v>
      </c>
      <c r="F69" s="239">
        <f t="array" ref="F69">INDEX('61. クラウド'!$A1:$AA225,MATCH(E$1, '61. クラウド'!$A:$A,0),4)</f>
        <v>53</v>
      </c>
      <c r="G69" s="239" t="str">
        <f t="array" ref="G69">INDEX('61. クラウド'!$A1:$AA225,MATCH(G$1, '61. クラウド'!$A:$A,0),3)</f>
        <v>11-12</v>
      </c>
      <c r="H69" s="239">
        <f t="array" ref="H69">INDEX('61. クラウド'!$A1:$AA225,MATCH(G$1, '61. クラウド'!$A:$A,0),4)</f>
        <v>41</v>
      </c>
      <c r="I69" s="239" t="str">
        <f t="array" ref="I69">INDEX('61. クラウド'!$A1:$AA225,MATCH(I$1, '61. クラウド'!$A:$A,0),3)</f>
        <v>8-9</v>
      </c>
      <c r="J69" s="239">
        <f t="array" ref="J69">INDEX('61. クラウド'!$A1:$AA225,MATCH(G$1, '61. クラウド'!$A:$A,0),4)</f>
        <v>41</v>
      </c>
      <c r="K69" s="2111" t="str">
        <f t="array" ref="K69">INDEX('61. クラウド'!$A1:$AA225,MATCH(K$1, '61. クラウド'!$A:$A,0),3)</f>
        <v>11-13</v>
      </c>
      <c r="L69" s="2111" t="str">
        <f t="array" ref="L69">INDEX('61. クラウド'!$A1:$AA225,MATCH(K$1, '61. クラウド'!$A:$A,0),4)</f>
        <v>64</v>
      </c>
      <c r="M69" s="3761"/>
      <c r="N69" s="3762"/>
      <c r="O69" s="3711" t="s">
        <v>274</v>
      </c>
      <c r="P69" s="3711" t="s">
        <v>232</v>
      </c>
      <c r="Q69" s="138">
        <v>8.0</v>
      </c>
      <c r="R69" s="239" t="s">
        <v>274</v>
      </c>
      <c r="S69" s="3763">
        <v>16.0</v>
      </c>
      <c r="T69" s="3771"/>
      <c r="U69" s="3765"/>
      <c r="V69" s="3765"/>
      <c r="W69" s="3766"/>
      <c r="X69" s="3767"/>
      <c r="Y69" s="3712">
        <v>67.0</v>
      </c>
      <c r="Z69" s="3713">
        <v>58.0</v>
      </c>
      <c r="AA69" s="3713">
        <v>53.0</v>
      </c>
    </row>
    <row r="70">
      <c r="A70" s="3700">
        <v>62.0</v>
      </c>
      <c r="B70" s="3701" t="s">
        <v>7106</v>
      </c>
      <c r="C70" s="2111" t="str">
        <f t="array" ref="C70">INDEX('62. カムイ'!$A1:$AA218,MATCH(C$1, '62. カムイ'!$A:$A,0),3)</f>
        <v>6-7</v>
      </c>
      <c r="D70" s="2111">
        <f t="array" ref="D70">INDEX('62. カムイ'!$A1:$AA218,MATCH(C$1, '62. カムイ'!$A:$A,0),4)</f>
        <v>46</v>
      </c>
      <c r="E70" s="2111" t="str">
        <f t="array" ref="E70">INDEX('62. カムイ'!$A1:$AA218,MATCH(E$1, '62. カムイ'!$A:$A,0),3)</f>
        <v>9-12</v>
      </c>
      <c r="F70" s="2111">
        <f t="array" ref="F70">INDEX('62. カムイ'!$A1:$AA218,MATCH(E$1, '62. カムイ'!$A:$A,0),4)</f>
        <v>35</v>
      </c>
      <c r="G70" s="2111" t="str">
        <f t="array" ref="G70">INDEX('62. カムイ'!$A1:$AA218,MATCH(G$1, '62. カムイ'!$A:$A,0),3)</f>
        <v>13</v>
      </c>
      <c r="H70" s="2111">
        <f t="array" ref="H70">INDEX('62. カムイ'!$A1:$AA218,MATCH(G$1, '62. カムイ'!$A:$A,0),4)</f>
        <v>41</v>
      </c>
      <c r="I70" s="2111" t="str">
        <f t="array" ref="I70">INDEX('62. カムイ'!$A1:$AA218,MATCH(I$1, '62. カムイ'!$A:$A,0),3)</f>
        <v>7-12</v>
      </c>
      <c r="J70" s="2111">
        <f t="array" ref="J70">INDEX('62. カムイ'!$A1:$AA218,MATCH(G$1, '62. カムイ'!$A:$A,0),4)</f>
        <v>41</v>
      </c>
      <c r="K70" s="2111" t="str">
        <f t="array" ref="K70">INDEX('62. カムイ'!$A1:$AA218,MATCH(K$1, '62. カムイ'!$A:$A,0),3)</f>
        <v>12-28
(Rehit: 2)</v>
      </c>
      <c r="L70" s="2111">
        <f t="array" ref="L70">INDEX('62. カムイ'!$A1:$AA218,MATCH(K$1, '62. カムイ'!$A:$A,0),4)</f>
        <v>51</v>
      </c>
      <c r="M70" s="3761"/>
      <c r="N70" s="3762"/>
      <c r="O70" s="3711" t="s">
        <v>128</v>
      </c>
      <c r="P70" s="3711" t="s">
        <v>80</v>
      </c>
      <c r="Q70" s="138">
        <v>13.0</v>
      </c>
      <c r="R70" s="239" t="s">
        <v>274</v>
      </c>
      <c r="S70" s="3763">
        <v>26.0</v>
      </c>
      <c r="T70" s="3771"/>
      <c r="U70" s="3765"/>
      <c r="V70" s="3765"/>
      <c r="W70" s="3766"/>
      <c r="X70" s="3767"/>
      <c r="Y70" s="3712">
        <v>68.0</v>
      </c>
      <c r="Z70" s="3713">
        <v>59.0</v>
      </c>
      <c r="AA70" s="3713">
        <v>54.0</v>
      </c>
    </row>
    <row r="71">
      <c r="A71" s="3768">
        <v>63.0</v>
      </c>
      <c r="B71" s="3701" t="s">
        <v>7115</v>
      </c>
      <c r="C71" s="2111" t="str">
        <f t="array" ref="C71">INDEX('63. ベヨネッタ'!$A1:$AA223,MATCH(C$1, '63. ベヨネッタ'!$A:$A,0),3)</f>
        <v>9-17</v>
      </c>
      <c r="D71" s="2111" t="str">
        <f t="array" ref="D71">INDEX('63. ベヨネッタ'!$A1:$AA223,MATCH(C$1, '63. ベヨネッタ'!$A:$A,0),4)</f>
        <v>32</v>
      </c>
      <c r="E71" s="2111" t="str">
        <f t="array" ref="E71">INDEX('63. ベヨネッタ'!$A1:$AA223,MATCH(E$1, '63. ベヨネッタ'!$A:$A,0),3)</f>
        <v>7-9</v>
      </c>
      <c r="F71" s="2111" t="str">
        <f t="array" ref="F71">INDEX('63. ベヨネッタ'!$A1:$AA223,MATCH(E$1, '63. ベヨネッタ'!$A:$A,0),4)</f>
        <v>37</v>
      </c>
      <c r="G71" s="2111" t="str">
        <f t="array" ref="G71">INDEX('63. ベヨネッタ'!$A1:$AA223,MATCH(G$1, '63. ベヨネッタ'!$A:$A,0),3)</f>
        <v>11-14</v>
      </c>
      <c r="H71" s="2111" t="str">
        <f t="array" ref="H71">INDEX('63. ベヨネッタ'!$A1:$AA223,MATCH(G$1, '63. ベヨネッタ'!$A:$A,0),4)</f>
        <v>34</v>
      </c>
      <c r="I71" s="2111" t="str">
        <f t="array" ref="I71">INDEX('63. ベヨネッタ'!$A1:$AA223,MATCH(I$1, '63. ベヨネッタ'!$A:$A,0),3)</f>
        <v>9-18</v>
      </c>
      <c r="J71" s="2111" t="str">
        <f t="array" ref="J71">INDEX('63. ベヨネッタ'!$A1:$AA223,MATCH(G$1, '63. ベヨネッタ'!$A:$A,0),4)</f>
        <v>34</v>
      </c>
      <c r="K71" s="2111" t="str">
        <f t="array" ref="K71">INDEX('63. ベヨネッタ'!$A1:$AA223,MATCH(K$1, '63. ベヨネッタ'!$A:$A,0),3)</f>
        <v>18-24</v>
      </c>
      <c r="L71" s="2111" t="str">
        <f t="array" ref="L71">INDEX('63. ベヨネッタ'!$A1:$AA223,MATCH(K$1, '63. ベヨネッタ'!$A:$A,0),4)</f>
        <v>52</v>
      </c>
      <c r="M71" s="3761"/>
      <c r="N71" s="3762"/>
      <c r="O71" s="3711" t="s">
        <v>128</v>
      </c>
      <c r="P71" s="3711" t="s">
        <v>129</v>
      </c>
      <c r="Q71" s="138">
        <v>10.0</v>
      </c>
      <c r="R71" s="239" t="s">
        <v>80</v>
      </c>
      <c r="S71" s="3763">
        <v>30.0</v>
      </c>
      <c r="T71" s="3771"/>
      <c r="U71" s="3765"/>
      <c r="V71" s="3765"/>
      <c r="W71" s="3766"/>
      <c r="X71" s="3767"/>
      <c r="Y71" s="3712">
        <v>69.0</v>
      </c>
      <c r="Z71" s="3713">
        <v>60.0</v>
      </c>
      <c r="AA71" s="3713">
        <v>55.0</v>
      </c>
    </row>
    <row r="72">
      <c r="A72" s="3768">
        <v>64.0</v>
      </c>
      <c r="B72" s="3701" t="s">
        <v>7124</v>
      </c>
      <c r="C72" s="2111" t="str">
        <f t="array" ref="C72">INDEX('64. インクリング'!$A1:$AA238,MATCH(C$1, '64. インクリング'!$A:$A,0),3)</f>
        <v>6-9</v>
      </c>
      <c r="D72" s="2111" t="str">
        <f t="array" ref="D72">INDEX('64. インクリング'!$A1:$AA238,MATCH(C$1, '64. インクリング'!$A:$A,0),4)</f>
        <v>31</v>
      </c>
      <c r="E72" s="2111" t="str">
        <f t="array" ref="E72">INDEX('64. インクリング'!$A1:$AA238,MATCH(E$1, '64. インクリング'!$A:$A,0),3)</f>
        <v>10-11</v>
      </c>
      <c r="F72" s="2111" t="str">
        <f t="array" ref="F72">INDEX('64. インクリング'!$A1:$AA238,MATCH(E$1, '64. インクリング'!$A:$A,0),4)</f>
        <v>41</v>
      </c>
      <c r="G72" s="2111" t="str">
        <f t="array" ref="G72">INDEX('64. インクリング'!$A1:$AA238,MATCH(G$1, '64. インクリング'!$A:$A,0),3)</f>
        <v>7-11</v>
      </c>
      <c r="H72" s="2111" t="str">
        <f t="array" ref="H72">INDEX('64. インクリング'!$A1:$AA238,MATCH(G$1, '64. インクリング'!$A:$A,0),4)</f>
        <v>36</v>
      </c>
      <c r="I72" s="2111" t="str">
        <f t="array" ref="I72">INDEX('64. インクリング'!$A1:$AA238,MATCH(I$1, '64. インクリング'!$A:$A,0),3)</f>
        <v>12-15</v>
      </c>
      <c r="J72" s="2111" t="str">
        <f t="array" ref="J72">INDEX('64. インクリング'!$A1:$AA238,MATCH(G$1, '64. インクリング'!$A:$A,0),4)</f>
        <v>36</v>
      </c>
      <c r="K72" s="2111" t="str">
        <f t="array" ref="K72">INDEX('64. インクリング'!$A1:$AA238,MATCH(K$1, '64. インクリング'!$A:$A,0),3)</f>
        <v>16-17</v>
      </c>
      <c r="L72" s="2111" t="str">
        <f t="array" ref="L72">INDEX('64. インクリング'!$A1:$AA238,MATCH(K$1, '64. インクリング'!$A:$A,0),4)</f>
        <v>61</v>
      </c>
      <c r="M72" s="3761"/>
      <c r="N72" s="3762"/>
      <c r="O72" s="3727" t="s">
        <v>150</v>
      </c>
      <c r="P72" s="3711" t="s">
        <v>129</v>
      </c>
      <c r="Q72" s="138">
        <v>6.0</v>
      </c>
      <c r="R72" s="239" t="s">
        <v>86</v>
      </c>
      <c r="S72" s="3763">
        <v>10.0</v>
      </c>
      <c r="T72" s="3771"/>
      <c r="U72" s="3765"/>
      <c r="V72" s="3765"/>
      <c r="W72" s="3766"/>
      <c r="X72" s="3767"/>
      <c r="Y72" s="3712">
        <v>70.0</v>
      </c>
      <c r="Z72" s="3713">
        <v>61.0</v>
      </c>
      <c r="AA72" s="3713" t="s">
        <v>76</v>
      </c>
    </row>
    <row r="73">
      <c r="A73" s="3768">
        <v>65.0</v>
      </c>
      <c r="B73" s="3701" t="s">
        <v>7134</v>
      </c>
      <c r="C73" s="2111" t="str">
        <f t="array" ref="C73">INDEX('65. リドリー'!$A1:$AA223,MATCH(C$1, '65. リドリー'!$A:$A,0),3)</f>
        <v>8-14</v>
      </c>
      <c r="D73" s="2111" t="str">
        <f t="array" ref="D73">INDEX('65. リドリー'!$A1:$AA223,MATCH(C$1, '65. リドリー'!$A:$A,0),4)</f>
        <v>39</v>
      </c>
      <c r="E73" s="2111" t="str">
        <f t="array" ref="E73">INDEX('65. リドリー'!$A1:$AA223,MATCH(E$1, '65. リドリー'!$A:$A,0),3)</f>
        <v>10-11</v>
      </c>
      <c r="F73" s="2111" t="str">
        <f t="array" ref="F73">INDEX('65. リドリー'!$A1:$AA223,MATCH(E$1, '65. リドリー'!$A:$A,0),4)</f>
        <v>41</v>
      </c>
      <c r="G73" s="2111" t="str">
        <f t="array" ref="G73">INDEX('65. リドリー'!$A1:$AA223,MATCH(G$1, '65. リドリー'!$A:$A,0),3)</f>
        <v>10-12</v>
      </c>
      <c r="H73" s="2111" t="str">
        <f t="array" ref="H73">INDEX('65. リドリー'!$A1:$AA223,MATCH(G$1, '65. リドリー'!$A:$A,0),4)</f>
        <v>43</v>
      </c>
      <c r="I73" s="2111" t="str">
        <f t="array" ref="I73">INDEX('65. リドリー'!$A1:$AA223,MATCH(I$1, '65. リドリー'!$A:$A,0),3)</f>
        <v>11-12</v>
      </c>
      <c r="J73" s="2111" t="str">
        <f t="array" ref="J73">INDEX('65. リドリー'!$A1:$AA223,MATCH(G$1, '65. リドリー'!$A:$A,0),4)</f>
        <v>43</v>
      </c>
      <c r="K73" s="2111" t="str">
        <f t="array" ref="K73">INDEX('65. リドリー'!$A1:$AA223,MATCH(K$1, '65. リドリー'!$A:$A,0),3)</f>
        <v>11-18</v>
      </c>
      <c r="L73" s="2111" t="str">
        <f t="array" ref="L73">INDEX('65. リドリー'!$A1:$AA223,MATCH(K$1, '65. リドリー'!$A:$A,0),4)</f>
        <v>55</v>
      </c>
      <c r="M73" s="3761"/>
      <c r="N73" s="3762"/>
      <c r="O73" s="3711" t="s">
        <v>129</v>
      </c>
      <c r="P73" s="3711" t="s">
        <v>153</v>
      </c>
      <c r="Q73" s="138">
        <v>17.0</v>
      </c>
      <c r="R73" s="239" t="s">
        <v>119</v>
      </c>
      <c r="S73" s="3763">
        <v>32.0</v>
      </c>
      <c r="T73" s="3771"/>
      <c r="U73" s="3765"/>
      <c r="V73" s="3765"/>
      <c r="W73" s="3766"/>
      <c r="X73" s="3767"/>
      <c r="Y73" s="3712">
        <v>71.0</v>
      </c>
      <c r="Z73" s="3713">
        <v>62.0</v>
      </c>
      <c r="AA73" s="3713" t="s">
        <v>76</v>
      </c>
    </row>
    <row r="74">
      <c r="A74" s="3700">
        <v>66.0</v>
      </c>
      <c r="B74" s="3701" t="s">
        <v>7143</v>
      </c>
      <c r="C74" s="2111" t="str">
        <f t="array" ref="C74">INDEX('66. シモン'!$A1:$AA224,MATCH(C$1, '66. シモン'!$A:$A,0),3)</f>
        <v>8-9, 11-12, 
14-15, 17-18, 
20-21, 23-24</v>
      </c>
      <c r="D74" s="2111" t="str">
        <f t="array" ref="D74">INDEX('66. シモン'!$A1:$AA224,MATCH(C$1, '66. シモン'!$A:$A,0),4)</f>
        <v>42</v>
      </c>
      <c r="E74" s="2111" t="str">
        <f t="array" ref="E74">INDEX('66. シモン'!$A1:$AA224,MATCH(E$1, '66. シモン'!$A:$A,0),3)</f>
        <v>14</v>
      </c>
      <c r="F74" s="2111" t="str">
        <f t="array" ref="F74">INDEX('66. シモン'!$A1:$AA224,MATCH(E$1, '66. シモン'!$A:$A,0),4)</f>
        <v>39</v>
      </c>
      <c r="G74" s="2111" t="str">
        <f t="array" ref="G74">INDEX('66. シモン'!$A1:$AA224,MATCH(G$1, '66. シモン'!$A:$A,0),3)</f>
        <v>14-15</v>
      </c>
      <c r="H74" s="2111" t="str">
        <f t="array" ref="H74">INDEX('66. シモン'!$A1:$AA224,MATCH(G$1, '66. シモン'!$A:$A,0),4)</f>
        <v>39</v>
      </c>
      <c r="I74" s="2111" t="str">
        <f t="array" ref="I74">INDEX('66. シモン'!$A1:$AA224,MATCH(I$1, '66. シモン'!$A:$A,0),3)</f>
        <v>14-16</v>
      </c>
      <c r="J74" s="2111" t="str">
        <f t="array" ref="J74">INDEX('66. シモン'!$A1:$AA224,MATCH(G$1, '66. シモン'!$A:$A,0),4)</f>
        <v>39</v>
      </c>
      <c r="K74" s="2111" t="str">
        <f t="array" ref="K74">INDEX('66. シモン'!$A1:$AA224,MATCH(K$1, '66. シモン'!$A:$A,0),3)</f>
        <v>13-14</v>
      </c>
      <c r="L74" s="2111" t="str">
        <f t="array" ref="L74">INDEX('66. シモン'!$A1:$AA224,MATCH(K$1, '66. シモン'!$A:$A,0),4)</f>
        <v>48</v>
      </c>
      <c r="M74" s="3761"/>
      <c r="N74" s="3762"/>
      <c r="O74" s="3711" t="s">
        <v>119</v>
      </c>
      <c r="P74" s="3711" t="s">
        <v>128</v>
      </c>
      <c r="Q74" s="138">
        <v>10.0</v>
      </c>
      <c r="R74" s="239" t="s">
        <v>128</v>
      </c>
      <c r="S74" s="3763">
        <v>26.0</v>
      </c>
      <c r="T74" s="3771"/>
      <c r="U74" s="3765"/>
      <c r="V74" s="3765"/>
      <c r="W74" s="3766"/>
      <c r="X74" s="3767"/>
      <c r="Y74" s="3712">
        <v>72.0</v>
      </c>
      <c r="Z74" s="3713">
        <v>63.0</v>
      </c>
      <c r="AA74" s="3713" t="s">
        <v>76</v>
      </c>
    </row>
    <row r="75">
      <c r="A75" s="3768" t="s">
        <v>5007</v>
      </c>
      <c r="B75" s="3701" t="s">
        <v>7152</v>
      </c>
      <c r="C75" s="3761"/>
      <c r="D75" s="3761"/>
      <c r="E75" s="3761"/>
      <c r="F75" s="3761"/>
      <c r="G75" s="3761"/>
      <c r="H75" s="3761"/>
      <c r="I75" s="3761"/>
      <c r="J75" s="3761"/>
      <c r="K75" s="3761"/>
      <c r="L75" s="3761"/>
      <c r="M75" s="3761"/>
      <c r="N75" s="3762"/>
      <c r="O75" s="3711" t="s">
        <v>119</v>
      </c>
      <c r="P75" s="3711" t="s">
        <v>128</v>
      </c>
      <c r="Q75" s="138">
        <v>10.0</v>
      </c>
      <c r="R75" s="239" t="s">
        <v>128</v>
      </c>
      <c r="S75" s="3763">
        <v>26.0</v>
      </c>
      <c r="T75" s="3771"/>
      <c r="U75" s="3765"/>
      <c r="V75" s="3765"/>
      <c r="W75" s="3766"/>
      <c r="X75" s="3767"/>
      <c r="Y75" s="3712">
        <v>73.0</v>
      </c>
      <c r="Z75" s="3715">
        <v>82.0</v>
      </c>
      <c r="AA75" s="3713" t="s">
        <v>76</v>
      </c>
    </row>
    <row r="76">
      <c r="A76" s="3700">
        <v>67.0</v>
      </c>
      <c r="B76" s="3701" t="s">
        <v>7157</v>
      </c>
      <c r="C76" s="216" t="str">
        <f t="array" ref="C76">INDEX('67. キングクルール'!$A1:$AA230,MATCH(C$1, '67. キングクルール'!$A:$A,0),3)</f>
        <v>7-8</v>
      </c>
      <c r="D76" s="216" t="str">
        <f t="array" ref="D76">INDEX('67. キングクルール'!$A1:$AA230,MATCH(C$1, '67. キングクルール'!$A:$A,0),4)</f>
        <v>45</v>
      </c>
      <c r="E76" s="239" t="str">
        <f t="array" ref="E76">INDEX('67. キングクルール'!$A1:$AA230,MATCH(E$1, '67. キングクルール'!$A:$A,0),3)</f>
        <v>11</v>
      </c>
      <c r="F76" s="239" t="str">
        <f t="array" ref="F76">INDEX('67. キングクルール'!$A1:$AA230,MATCH(E$1, '67. キングクルール'!$A:$A,0),4)</f>
        <v>54</v>
      </c>
      <c r="G76" s="239" t="str">
        <f t="array" ref="G76">INDEX('67. キングクルール'!$A1:$AA230,MATCH(G$1, '67. キングクルール'!$A:$A,0),3)</f>
        <v>18-20</v>
      </c>
      <c r="H76" s="239" t="str">
        <f t="array" ref="H76">INDEX('67. キングクルール'!$A1:$AA230,MATCH(G$1, '67. キングクルール'!$A:$A,0),4)</f>
        <v>59</v>
      </c>
      <c r="I76" s="239" t="str">
        <f t="array" ref="I76">INDEX('67. キングクルール'!$A1:$AA230,MATCH(I$1, '67. キングクルール'!$A:$A,0),3)</f>
        <v>7-13</v>
      </c>
      <c r="J76" s="239" t="str">
        <f t="array" ref="J76">INDEX('67. キングクルール'!$A1:$AA230,MATCH(G$1, '67. キングクルール'!$A:$A,0),4)</f>
        <v>59</v>
      </c>
      <c r="K76" s="2111" t="str">
        <f t="array" ref="K76">INDEX('67. キングクルール'!$A1:$AA230,MATCH(K$1, '67. キングクルール'!$A:$A,0),3)</f>
        <v>14-15</v>
      </c>
      <c r="L76" s="2111" t="str">
        <f t="array" ref="L76">INDEX('67. キングクルール'!$A1:$AA230,MATCH(K$1, '67. キングクルール'!$A:$A,0),4)</f>
        <v>61</v>
      </c>
      <c r="M76" s="3761"/>
      <c r="N76" s="3762"/>
      <c r="O76" s="3711" t="s">
        <v>228</v>
      </c>
      <c r="P76" s="3711" t="s">
        <v>232</v>
      </c>
      <c r="Q76" s="138">
        <v>14.0</v>
      </c>
      <c r="R76" s="239" t="s">
        <v>228</v>
      </c>
      <c r="S76" s="3763">
        <v>14.0</v>
      </c>
      <c r="T76" s="3771"/>
      <c r="U76" s="3765"/>
      <c r="V76" s="3765"/>
      <c r="W76" s="3766"/>
      <c r="X76" s="3767"/>
      <c r="Y76" s="3712">
        <v>74.0</v>
      </c>
      <c r="Z76" s="3713">
        <v>64.0</v>
      </c>
      <c r="AA76" s="3713" t="s">
        <v>76</v>
      </c>
    </row>
    <row r="77">
      <c r="A77" s="3768">
        <v>68.0</v>
      </c>
      <c r="B77" s="3701" t="s">
        <v>7167</v>
      </c>
      <c r="C77" s="216" t="str">
        <f t="array" ref="C77">INDEX('68. しずえ'!$A1:$AA226,MATCH(C$1, '68. しずえ'!$A:$A,0),3)</f>
        <v>5-7</v>
      </c>
      <c r="D77" s="216" t="str">
        <f t="array" ref="D77">INDEX('68. しずえ'!$A1:$AA226,MATCH(C$1, '68. しずえ'!$A:$A,0),4)</f>
        <v>33</v>
      </c>
      <c r="E77" s="239" t="str">
        <f t="array" ref="E77">INDEX('68. しずえ'!$A1:$AA226,MATCH(E$1, '68. しずえ'!$A:$A,0),3)</f>
        <v>10-12</v>
      </c>
      <c r="F77" s="239" t="str">
        <f t="array" ref="F77">INDEX('68. しずえ'!$A1:$AA226,MATCH(E$1, '68. しずえ'!$A:$A,0),4)</f>
        <v>39</v>
      </c>
      <c r="G77" s="239" t="str">
        <f t="array" ref="G77">INDEX('68. しずえ'!$A1:$AA226,MATCH(G$1, '68. しずえ'!$A:$A,0),3)</f>
        <v>13-15</v>
      </c>
      <c r="H77" s="239" t="str">
        <f t="array" ref="H77">INDEX('68. しずえ'!$A1:$AA226,MATCH(G$1, '68. しずえ'!$A:$A,0),4)</f>
        <v>35</v>
      </c>
      <c r="I77" s="239" t="str">
        <f t="array" ref="I77">INDEX('68. しずえ'!$A1:$AA226,MATCH(I$1, '68. しずえ'!$A:$A,0),3)</f>
        <v>6-7</v>
      </c>
      <c r="J77" s="239" t="str">
        <f t="array" ref="J77">INDEX('68. しずえ'!$A1:$AA226,MATCH(G$1, '68. しずえ'!$A:$A,0),4)</f>
        <v>35</v>
      </c>
      <c r="K77" s="2111" t="str">
        <f t="array" ref="K77">INDEX('68. しずえ'!$A1:$AA226,MATCH(K$1, '68. しずえ'!$A:$A,0),3)</f>
        <v>11-12</v>
      </c>
      <c r="L77" s="2111" t="str">
        <f t="array" ref="L77">INDEX('68. しずえ'!$A1:$AA226,MATCH(K$1, '68. しずえ'!$A:$A,0),4)</f>
        <v>42</v>
      </c>
      <c r="M77" s="3761"/>
      <c r="N77" s="3762"/>
      <c r="O77" s="3711" t="s">
        <v>86</v>
      </c>
      <c r="P77" s="3711" t="s">
        <v>119</v>
      </c>
      <c r="Q77" s="138">
        <v>14.0</v>
      </c>
      <c r="R77" s="239" t="s">
        <v>274</v>
      </c>
      <c r="S77" s="3763">
        <v>9.0</v>
      </c>
      <c r="T77" s="3771"/>
      <c r="U77" s="3765"/>
      <c r="V77" s="3765"/>
      <c r="W77" s="3766"/>
      <c r="X77" s="3767"/>
      <c r="Y77" s="3712">
        <v>75.0</v>
      </c>
      <c r="Z77" s="3713">
        <v>65.0</v>
      </c>
      <c r="AA77" s="3713" t="s">
        <v>76</v>
      </c>
    </row>
    <row r="78">
      <c r="A78" s="3700">
        <v>69.0</v>
      </c>
      <c r="B78" s="3701" t="s">
        <v>7174</v>
      </c>
      <c r="C78" s="216" t="str">
        <f t="array" ref="C78">INDEX('69. ガオガエン'!$A1:$AA242,MATCH(C$1, '69. ガオガエン'!$A:$A,0),3)</f>
        <v>5-6</v>
      </c>
      <c r="D78" s="216" t="str">
        <f t="array" ref="D78">INDEX('69. ガオガエン'!$A1:$AA242,MATCH(C$1, '69. ガオガエン'!$A:$A,0),4)</f>
        <v>41</v>
      </c>
      <c r="E78" s="239" t="str">
        <f t="array" ref="E78">INDEX('69. ガオガエン'!$A1:$AA242,MATCH(E$1, '69. ガオガエン'!$A:$A,0),3)</f>
        <v>8-10</v>
      </c>
      <c r="F78" s="239" t="str">
        <f t="array" ref="F78">INDEX('69. ガオガエン'!$A1:$AA242,MATCH(E$1, '69. ガオガエン'!$A:$A,0),4)</f>
        <v>44</v>
      </c>
      <c r="G78" s="239" t="str">
        <f t="array" ref="G78">INDEX('69. ガオガエン'!$A1:$AA242,MATCH(G$1, '69. ガオガエン'!$A:$A,0),3)</f>
        <v>7-10</v>
      </c>
      <c r="H78" s="239" t="str">
        <f t="array" ref="H78">INDEX('69. ガオガエン'!$A1:$AA242,MATCH(G$1, '69. ガオガエン'!$A:$A,0),4)</f>
        <v>41</v>
      </c>
      <c r="I78" s="239" t="str">
        <f t="array" ref="I78">INDEX('69. ガオガエン'!$A1:$AA242,MATCH(I$1, '69. ガオガエン'!$A:$A,0),3)</f>
        <v>7-11</v>
      </c>
      <c r="J78" s="239" t="str">
        <f t="array" ref="J78">INDEX('69. ガオガエン'!$A1:$AA242,MATCH(G$1, '69. ガオガエン'!$A:$A,0),4)</f>
        <v>41</v>
      </c>
      <c r="K78" s="2111" t="str">
        <f t="array" ref="K78">INDEX('69. ガオガエン'!$A1:$AA242,MATCH(K$1, '69. ガオガエン'!$A:$A,0),3)</f>
        <v>16-19</v>
      </c>
      <c r="L78" s="2111" t="str">
        <f t="array" ref="L78">INDEX('69. ガオガエン'!$A1:$AA242,MATCH(K$1, '69. ガオガエン'!$A:$A,0),4)</f>
        <v>44</v>
      </c>
      <c r="M78" s="3761"/>
      <c r="N78" s="3762"/>
      <c r="O78" s="3711" t="s">
        <v>232</v>
      </c>
      <c r="P78" s="3711" t="s">
        <v>119</v>
      </c>
      <c r="Q78" s="138">
        <v>11.0</v>
      </c>
      <c r="R78" s="239" t="s">
        <v>80</v>
      </c>
      <c r="S78" s="3763">
        <v>16.0</v>
      </c>
      <c r="T78" s="3771"/>
      <c r="U78" s="3765"/>
      <c r="V78" s="3765"/>
      <c r="W78" s="3766"/>
      <c r="X78" s="3767"/>
      <c r="Y78" s="3712">
        <v>76.0</v>
      </c>
      <c r="Z78" s="3713">
        <v>66.0</v>
      </c>
      <c r="AA78" s="3713" t="s">
        <v>76</v>
      </c>
    </row>
    <row r="79">
      <c r="A79" s="3772">
        <v>70.0</v>
      </c>
      <c r="B79" s="3773" t="s">
        <v>7183</v>
      </c>
      <c r="C79" s="216" t="str">
        <f t="array" ref="C79">INDEX('70. パックンフラワー'!$A1:$AA241,MATCH(C$1, '70. パックンフラワー'!$A:$A,0),3)</f>
        <v>8-17
(Rehit: 3)</v>
      </c>
      <c r="D79" s="216" t="str">
        <f t="array" ref="D79">INDEX('70. パックンフラワー'!$A1:$AA241,MATCH(C$1, '70. パックンフラワー'!$A:$A,0),4)</f>
        <v>47</v>
      </c>
      <c r="E79" s="239" t="str">
        <f t="array" ref="E79">INDEX('70. パックンフラワー'!$A1:$AA242,MATCH(E$1, '70. パックンフラワー'!$A:$A,0),3)</f>
        <v>7-9</v>
      </c>
      <c r="F79" s="239" t="str">
        <f t="array" ref="F79">INDEX('70. パックンフラワー'!$A1:$AA242,MATCH(E$1, '70. パックンフラワー'!$A:$A,0),4)</f>
        <v>44</v>
      </c>
      <c r="G79" s="239" t="str">
        <f t="array" ref="G79">INDEX('70. パックンフラワー'!$A1:$AA242,MATCH(G$1, '70. パックンフラワー'!$A:$A,0),3)</f>
        <v>14-15</v>
      </c>
      <c r="H79" s="239" t="str">
        <f t="array" ref="H79">INDEX('70. パックンフラワー'!$A1:$AA242,MATCH(G$1, '70. パックンフラワー'!$A:$A,0),4)</f>
        <v>61</v>
      </c>
      <c r="I79" s="239" t="str">
        <f t="array" ref="I79">INDEX('70. パックンフラワー'!$A1:$AA242,MATCH(I$1, '70. パックンフラワー'!$A:$A,0),3)</f>
        <v>7-9</v>
      </c>
      <c r="J79" s="239" t="str">
        <f t="array" ref="J79">INDEX('70. パックンフラワー'!$A1:$AA242,MATCH(G$1, '70. パックンフラワー'!$A:$A,0),4)</f>
        <v>61</v>
      </c>
      <c r="K79" s="2111" t="str">
        <f t="array" ref="K79">INDEX('70. パックンフラワー'!$A1:$AA242,MATCH(K$1, '70. パックンフラワー'!$A:$A,0),3)</f>
        <v>9-11</v>
      </c>
      <c r="L79" s="3774" t="str">
        <f t="array" ref="L79">INDEX('70. パックンフラワー'!$A1:$AA242,MATCH(K$1, '70. パックンフラワー'!$A:$A,0),4)</f>
        <v>44</v>
      </c>
      <c r="M79" s="3761"/>
      <c r="N79" s="3762"/>
      <c r="O79" s="3727" t="s">
        <v>386</v>
      </c>
      <c r="P79" s="3727" t="s">
        <v>228</v>
      </c>
      <c r="Q79" s="138">
        <v>16.0</v>
      </c>
      <c r="R79" s="239" t="s">
        <v>128</v>
      </c>
      <c r="S79" s="3763">
        <v>18.0</v>
      </c>
      <c r="T79" s="3771"/>
      <c r="U79" s="3765"/>
      <c r="V79" s="3765"/>
      <c r="W79" s="3766"/>
      <c r="X79" s="3767"/>
      <c r="Y79" s="3712">
        <v>77.0</v>
      </c>
      <c r="Z79" s="3713">
        <v>67.0</v>
      </c>
      <c r="AA79" s="3713" t="s">
        <v>76</v>
      </c>
    </row>
    <row r="80">
      <c r="A80" s="3772">
        <v>71.0</v>
      </c>
      <c r="B80" s="3775" t="s">
        <v>7193</v>
      </c>
      <c r="C80" s="216" t="str">
        <f t="array" ref="C80">INDEX('71. ジョーカー'!$A1:$AA265,MATCH(C$1, '71. ジョーカー'!$A:$A,0),3)</f>
        <v>12-27</v>
      </c>
      <c r="D80" s="216" t="str">
        <f t="array" ref="D80">INDEX('71. ジョーカー'!$A1:$AA265,MATCH(C$1, '71. ジョーカー'!$A:$A,0),4)</f>
        <v>54</v>
      </c>
      <c r="E80" s="239" t="str">
        <f t="array" ref="E80">INDEX('71. ジョーカー'!$A1:$AA266,MATCH(E$1, '71. ジョーカー'!$A:$A,0),3)</f>
        <v>7-8</v>
      </c>
      <c r="F80" s="239" t="str">
        <f t="array" ref="F80">INDEX('71. ジョーカー'!$A1:$AA266,MATCH(E$1, '71. ジョーカー'!$A:$A,0),4)</f>
        <v>47</v>
      </c>
      <c r="G80" s="239" t="str">
        <f t="array" ref="G80">INDEX('71. ジョーカー'!$A1:$AA266,MATCH(G$1, '71. ジョーカー'!$A:$A,0),3)</f>
        <v>7-8</v>
      </c>
      <c r="H80" s="239" t="str">
        <f t="array" ref="H80">INDEX('71. ジョーカー'!$A1:$AA266,MATCH(G$1, '70. パックンフラワー'!$A:$A,0),4)</f>
        <v>51</v>
      </c>
      <c r="I80" s="239" t="str">
        <f t="array" ref="I80">INDEX('71. ジョーカー'!$A1:$AA266,MATCH(I$1, '71. ジョーカー'!$A:$A,0),3)</f>
        <v>5-18
(Rehit: 4)</v>
      </c>
      <c r="J80" s="239" t="str">
        <f t="array" ref="J80">INDEX('71. ジョーカー'!$A1:$AA266,MATCH(G$1, '71. ジョーカー'!$A:$A,0),4)</f>
        <v>31</v>
      </c>
      <c r="K80" s="2111" t="str">
        <f t="array" ref="K80">INDEX('71. ジョーカー'!$A1:$AA266,MATCH(K$1, '71. ジョーカー'!$A:$A,0),3)</f>
        <v>13-16</v>
      </c>
      <c r="L80" s="2111" t="str">
        <f t="array" ref="L80">INDEX('71. ジョーカー'!$A1:$AA266,MATCH(K$1, '71. ジョーカー'!$A:$A,0),4)</f>
        <v>46</v>
      </c>
      <c r="M80" s="3761"/>
      <c r="N80" s="3762"/>
      <c r="O80" s="3727" t="s">
        <v>80</v>
      </c>
      <c r="P80" s="3727" t="s">
        <v>129</v>
      </c>
      <c r="Q80" s="138">
        <v>9.0</v>
      </c>
      <c r="R80" s="239" t="s">
        <v>119</v>
      </c>
      <c r="S80" s="3763">
        <v>11.0</v>
      </c>
      <c r="T80" s="3771"/>
      <c r="U80" s="3765"/>
      <c r="V80" s="3765"/>
      <c r="W80" s="3766"/>
      <c r="X80" s="3767"/>
      <c r="Y80" s="3726">
        <v>78.0</v>
      </c>
      <c r="Z80" s="3715">
        <v>68.0</v>
      </c>
      <c r="AA80" s="3713"/>
    </row>
    <row r="81">
      <c r="A81" s="3772">
        <v>72.0</v>
      </c>
      <c r="B81" s="3775" t="s">
        <v>7204</v>
      </c>
      <c r="C81" s="216" t="str">
        <f t="array" ref="C81">INDEX('71. ジョーカー'!$A2:$AA266,MATCH(C$1, '71. ジョーカー'!$A:$A,0),3)</f>
        <v>12-27</v>
      </c>
      <c r="D81" s="3770" t="str">
        <f t="array" ref="D81">INDEX('71. ジョーカー'!$A2:$AA266,MATCH(C$1, '71. ジョーカー'!$A:$A,0),4)</f>
        <v/>
      </c>
      <c r="E81" s="239" t="str">
        <f t="array" ref="E81">INDEX('71. ジョーカー'!$A2:$AA267,MATCH(E$1, '71. ジョーカー'!$A:$A,0),3)</f>
        <v>12-14</v>
      </c>
      <c r="F81" s="138" t="str">
        <f t="array" ref="F81">INDEX('71. ジョーカー'!$A2:$AA267,MATCH(E$1, '71. ジョーカー'!$A:$A,0),4)</f>
        <v/>
      </c>
      <c r="G81" s="239" t="str">
        <f t="array" ref="G81">INDEX('71. ジョーカー'!$A2:$AA267,MATCH(G$1, '71. ジョーカー'!$A:$A,0),3)</f>
        <v>7-8</v>
      </c>
      <c r="H81" s="138" t="str">
        <f t="array" ref="H81">INDEX('71. ジョーカー'!$A2:$AA267,MATCH(G$1, '70. パックンフラワー'!$A:$A,0),4)</f>
        <v/>
      </c>
      <c r="I81" s="239" t="str">
        <f t="array" ref="I81">INDEX('71. ジョーカー'!$A2:$AA267,MATCH(I$1, '71. ジョーカー'!$A:$A,0),3)</f>
        <v>20-21</v>
      </c>
      <c r="J81" s="239" t="str">
        <f t="array" ref="J81">INDEX('71. ジョーカー'!$A2:$AA267,MATCH(G$1, '71. ジョーカー'!$A:$A,0),4)</f>
        <v/>
      </c>
      <c r="K81" s="2111" t="str">
        <f t="array" ref="K81">INDEX('71. ジョーカー'!$A2:$AA267,MATCH(K$1, '71. ジョーカー'!$A:$A,0),3)</f>
        <v>15-16</v>
      </c>
      <c r="L81" s="3761" t="str">
        <f t="array" ref="L81">INDEX('71. ジョーカー'!$A2:$AA267,MATCH(K$1, '71. ジョーカー'!$A:$A,0),4)</f>
        <v/>
      </c>
      <c r="M81" s="3761"/>
      <c r="N81" s="3762"/>
      <c r="O81" s="3727" t="s">
        <v>128</v>
      </c>
      <c r="P81" s="3727" t="s">
        <v>129</v>
      </c>
      <c r="Q81" s="138">
        <v>14.0</v>
      </c>
      <c r="R81" s="239" t="s">
        <v>80</v>
      </c>
      <c r="S81" s="3763">
        <v>18.0</v>
      </c>
      <c r="T81" s="3771"/>
      <c r="U81" s="3765"/>
      <c r="V81" s="3765"/>
      <c r="W81" s="3766"/>
      <c r="X81" s="3767"/>
      <c r="Y81" s="3726">
        <v>79.0</v>
      </c>
      <c r="Z81" s="3715">
        <v>69.0</v>
      </c>
      <c r="AA81" s="3713"/>
    </row>
    <row r="82">
      <c r="A82" s="3772">
        <v>73.0</v>
      </c>
      <c r="B82" s="3775" t="s">
        <v>7214</v>
      </c>
      <c r="C82" s="3761"/>
      <c r="D82" s="3761"/>
      <c r="E82" s="3761"/>
      <c r="F82" s="3761"/>
      <c r="G82" s="3761"/>
      <c r="H82" s="3761"/>
      <c r="I82" s="3761"/>
      <c r="J82" s="3761"/>
      <c r="K82" s="3761"/>
      <c r="L82" s="3761"/>
      <c r="M82" s="3761"/>
      <c r="N82" s="3762"/>
      <c r="O82" s="3416" t="s">
        <v>153</v>
      </c>
      <c r="P82" s="138">
        <v>11.0</v>
      </c>
      <c r="Q82" s="138">
        <v>18.0</v>
      </c>
      <c r="R82" s="239" t="s">
        <v>129</v>
      </c>
      <c r="S82" s="3763">
        <v>27.0</v>
      </c>
      <c r="T82" s="3771"/>
      <c r="U82" s="3765"/>
      <c r="V82" s="3765"/>
      <c r="W82" s="3766"/>
      <c r="X82" s="3767"/>
      <c r="Y82" s="3726">
        <v>80.0</v>
      </c>
      <c r="Z82" s="3715">
        <v>70.0</v>
      </c>
      <c r="AA82" s="3713"/>
    </row>
    <row r="83">
      <c r="A83" s="3772">
        <v>74.0</v>
      </c>
      <c r="B83" s="3775" t="s">
        <v>7224</v>
      </c>
      <c r="C83" s="3761"/>
      <c r="D83" s="3761"/>
      <c r="E83" s="3761"/>
      <c r="F83" s="3761"/>
      <c r="G83" s="3761"/>
      <c r="H83" s="3761"/>
      <c r="I83" s="3761"/>
      <c r="J83" s="3761"/>
      <c r="K83" s="3761"/>
      <c r="L83" s="3761"/>
      <c r="M83" s="3761"/>
      <c r="N83" s="3762"/>
      <c r="O83" s="3416" t="s">
        <v>86</v>
      </c>
      <c r="P83" s="138">
        <v>11.0</v>
      </c>
      <c r="Q83" s="138">
        <v>10.0</v>
      </c>
      <c r="R83" s="239" t="s">
        <v>86</v>
      </c>
      <c r="S83" s="3763">
        <v>15.0</v>
      </c>
      <c r="T83" s="3771"/>
      <c r="U83" s="3765"/>
      <c r="V83" s="3765"/>
      <c r="W83" s="3766"/>
      <c r="X83" s="3767"/>
      <c r="Y83" s="3726">
        <v>81.0</v>
      </c>
      <c r="Z83" s="3715">
        <v>71.0</v>
      </c>
      <c r="AA83" s="3713"/>
    </row>
    <row r="84">
      <c r="A84" s="3772">
        <v>75.0</v>
      </c>
      <c r="B84" s="3775" t="s">
        <v>7233</v>
      </c>
      <c r="C84" s="3761"/>
      <c r="D84" s="3761"/>
      <c r="E84" s="3761"/>
      <c r="F84" s="3761"/>
      <c r="G84" s="3761"/>
      <c r="H84" s="3761"/>
      <c r="I84" s="3761"/>
      <c r="J84" s="3761"/>
      <c r="K84" s="3761"/>
      <c r="L84" s="3761"/>
      <c r="M84" s="3761"/>
      <c r="N84" s="3762"/>
      <c r="O84" s="3416"/>
      <c r="P84" s="138"/>
      <c r="Q84" s="138"/>
      <c r="R84" s="239"/>
      <c r="S84" s="3763"/>
      <c r="T84" s="3771"/>
      <c r="U84" s="3765"/>
      <c r="V84" s="3765"/>
      <c r="W84" s="3766"/>
      <c r="X84" s="3767"/>
      <c r="Y84" s="3726">
        <v>82.0</v>
      </c>
      <c r="Z84" s="3715">
        <v>72.0</v>
      </c>
      <c r="AA84" s="3713"/>
    </row>
    <row r="85">
      <c r="A85" s="3772">
        <v>100.0</v>
      </c>
      <c r="B85" s="3775" t="s">
        <v>7408</v>
      </c>
      <c r="C85" s="3761"/>
      <c r="D85" s="3761"/>
      <c r="E85" s="3761"/>
      <c r="F85" s="3761"/>
      <c r="G85" s="3761"/>
      <c r="H85" s="3761"/>
      <c r="I85" s="2111"/>
      <c r="J85" s="2111"/>
      <c r="K85" s="3761"/>
      <c r="L85" s="3761"/>
      <c r="M85" s="3761"/>
      <c r="N85" s="3762"/>
      <c r="O85" s="3711" t="s">
        <v>93</v>
      </c>
      <c r="P85" s="3711" t="s">
        <v>128</v>
      </c>
      <c r="Q85" s="138">
        <v>7.0</v>
      </c>
      <c r="R85" s="239" t="s">
        <v>119</v>
      </c>
      <c r="S85" s="3763">
        <v>20.0</v>
      </c>
      <c r="T85" s="3771"/>
      <c r="U85" s="3765"/>
      <c r="V85" s="3765"/>
      <c r="W85" s="3766"/>
      <c r="X85" s="3767"/>
      <c r="Y85" s="3726">
        <v>100.0</v>
      </c>
      <c r="Z85" s="3715">
        <v>15.0</v>
      </c>
      <c r="AA85" s="3713"/>
    </row>
  </sheetData>
  <autoFilter ref="$A$2:$AA$85">
    <sortState ref="A2:AA85">
      <sortCondition ref="Y2:Y85"/>
      <sortCondition ref="Z2:Z85"/>
      <sortCondition ref="AA2:AA85"/>
      <sortCondition ref="A2:A85"/>
    </sortState>
  </autoFilter>
  <mergeCells count="8">
    <mergeCell ref="C1:D1"/>
    <mergeCell ref="E1:F1"/>
    <mergeCell ref="G1:H1"/>
    <mergeCell ref="I1:J1"/>
    <mergeCell ref="K1:L1"/>
    <mergeCell ref="M1:N1"/>
    <mergeCell ref="O1:S1"/>
    <mergeCell ref="T1:X1"/>
  </mergeCells>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18.88"/>
    <col customWidth="1" min="3" max="19" width="8.0"/>
    <col customWidth="1" min="20" max="22" width="9.25"/>
  </cols>
  <sheetData>
    <row r="1">
      <c r="A1" s="3741"/>
      <c r="B1" s="3699"/>
      <c r="C1" s="3776" t="s">
        <v>240</v>
      </c>
      <c r="D1" s="3743" t="s">
        <v>7409</v>
      </c>
      <c r="E1" s="109"/>
      <c r="F1" s="3777" t="s">
        <v>7410</v>
      </c>
      <c r="G1" s="3744"/>
      <c r="H1" s="3777" t="s">
        <v>7411</v>
      </c>
      <c r="I1" s="3744"/>
      <c r="J1" s="3743" t="s">
        <v>7412</v>
      </c>
      <c r="K1" s="110"/>
      <c r="L1" s="110"/>
      <c r="M1" s="3778"/>
      <c r="N1" s="3743" t="s">
        <v>7413</v>
      </c>
      <c r="O1" s="3744"/>
      <c r="P1" s="3777" t="s">
        <v>7414</v>
      </c>
      <c r="Q1" s="3744"/>
      <c r="R1" s="3743" t="s">
        <v>7415</v>
      </c>
      <c r="S1" s="3778"/>
      <c r="T1" s="3745"/>
      <c r="U1" s="3745"/>
      <c r="V1" s="3745"/>
    </row>
    <row r="2">
      <c r="A2" s="3747" t="str">
        <f>Fighters!C$1</f>
        <v>13.0.1</v>
      </c>
      <c r="B2" s="3688" t="s">
        <v>7272</v>
      </c>
      <c r="C2" s="3779" t="s">
        <v>49</v>
      </c>
      <c r="D2" s="3780" t="s">
        <v>235</v>
      </c>
      <c r="E2" s="3779" t="s">
        <v>49</v>
      </c>
      <c r="F2" s="3780" t="s">
        <v>235</v>
      </c>
      <c r="G2" s="3779" t="s">
        <v>49</v>
      </c>
      <c r="H2" s="3781" t="s">
        <v>235</v>
      </c>
      <c r="I2" s="3782" t="s">
        <v>49</v>
      </c>
      <c r="J2" s="3781" t="s">
        <v>235</v>
      </c>
      <c r="K2" s="3750" t="s">
        <v>49</v>
      </c>
      <c r="L2" s="3783" t="s">
        <v>48</v>
      </c>
      <c r="M2" s="3784" t="s">
        <v>50</v>
      </c>
      <c r="N2" s="3781" t="s">
        <v>235</v>
      </c>
      <c r="O2" s="3782" t="s">
        <v>49</v>
      </c>
      <c r="P2" s="3781" t="s">
        <v>235</v>
      </c>
      <c r="Q2" s="3782" t="s">
        <v>49</v>
      </c>
      <c r="R2" s="3781" t="s">
        <v>235</v>
      </c>
      <c r="S2" s="3785" t="s">
        <v>49</v>
      </c>
      <c r="T2" s="3698" t="s">
        <v>6515</v>
      </c>
      <c r="U2" s="3698" t="s">
        <v>6516</v>
      </c>
      <c r="V2" s="3759" t="s">
        <v>6517</v>
      </c>
    </row>
    <row r="3">
      <c r="A3" s="3700">
        <f>Fighters!$A2</f>
        <v>1</v>
      </c>
      <c r="B3" s="3701" t="str">
        <f>Fighters!$B2</f>
        <v>マリオ</v>
      </c>
      <c r="C3" s="3762">
        <v>19.0</v>
      </c>
      <c r="D3" s="139" t="s">
        <v>871</v>
      </c>
      <c r="E3" s="3762">
        <v>34.0</v>
      </c>
      <c r="F3" s="139" t="s">
        <v>872</v>
      </c>
      <c r="G3" s="3762">
        <v>45.0</v>
      </c>
      <c r="H3" s="139" t="s">
        <v>873</v>
      </c>
      <c r="I3" s="3762">
        <v>14.0</v>
      </c>
      <c r="J3" s="3786" t="s">
        <v>2699</v>
      </c>
      <c r="K3" s="138">
        <v>55.0</v>
      </c>
      <c r="L3" s="239" t="s">
        <v>4135</v>
      </c>
      <c r="M3" s="3763">
        <v>9.0</v>
      </c>
      <c r="N3" s="139" t="s">
        <v>875</v>
      </c>
      <c r="O3" s="3762">
        <v>26.0</v>
      </c>
      <c r="P3" s="139" t="s">
        <v>875</v>
      </c>
      <c r="Q3" s="3762">
        <v>40.0</v>
      </c>
      <c r="R3" s="139" t="s">
        <v>875</v>
      </c>
      <c r="S3" s="3763">
        <v>40.0</v>
      </c>
      <c r="T3" s="3708">
        <f>Fighters!$S2</f>
        <v>1</v>
      </c>
      <c r="U3" s="3708">
        <f>Fighters!$T2</f>
        <v>0</v>
      </c>
      <c r="V3" s="3710" t="str">
        <f>Fighters!$V2</f>
        <v>mario</v>
      </c>
    </row>
    <row r="4">
      <c r="A4" s="3700">
        <f>Fighters!$A3</f>
        <v>2</v>
      </c>
      <c r="B4" s="3701" t="str">
        <f>Fighters!$B3</f>
        <v>ドンキーコング</v>
      </c>
      <c r="C4" s="3762">
        <v>19.0</v>
      </c>
      <c r="D4" s="139" t="s">
        <v>871</v>
      </c>
      <c r="E4" s="3762">
        <v>34.0</v>
      </c>
      <c r="F4" s="139" t="s">
        <v>459</v>
      </c>
      <c r="G4" s="3762">
        <v>45.0</v>
      </c>
      <c r="H4" s="139" t="s">
        <v>873</v>
      </c>
      <c r="I4" s="3762">
        <v>14.0</v>
      </c>
      <c r="J4" s="3787" t="s">
        <v>872</v>
      </c>
      <c r="K4" s="138">
        <v>55.0</v>
      </c>
      <c r="L4" s="239" t="s">
        <v>1053</v>
      </c>
      <c r="M4" s="3763">
        <v>10.0</v>
      </c>
      <c r="N4" s="139" t="s">
        <v>875</v>
      </c>
      <c r="O4" s="3762">
        <v>26.0</v>
      </c>
      <c r="P4" s="139" t="s">
        <v>875</v>
      </c>
      <c r="Q4" s="3762">
        <v>40.0</v>
      </c>
      <c r="R4" s="139" t="s">
        <v>875</v>
      </c>
      <c r="S4" s="3763">
        <v>40.0</v>
      </c>
      <c r="T4" s="3708">
        <f>Fighters!$S3</f>
        <v>2</v>
      </c>
      <c r="U4" s="3708">
        <f>Fighters!$T3</f>
        <v>1</v>
      </c>
      <c r="V4" s="3710" t="str">
        <f>Fighters!$V3</f>
        <v>donkey</v>
      </c>
    </row>
    <row r="5">
      <c r="A5" s="3700">
        <f>Fighters!$A4</f>
        <v>3</v>
      </c>
      <c r="B5" s="3701" t="str">
        <f>Fighters!$B4</f>
        <v>リンク</v>
      </c>
      <c r="C5" s="3762">
        <v>19.0</v>
      </c>
      <c r="D5" s="139" t="s">
        <v>871</v>
      </c>
      <c r="E5" s="3762">
        <v>34.0</v>
      </c>
      <c r="F5" s="139" t="s">
        <v>2699</v>
      </c>
      <c r="G5" s="3762">
        <v>45.0</v>
      </c>
      <c r="H5" s="139" t="s">
        <v>873</v>
      </c>
      <c r="I5" s="3762">
        <v>14.0</v>
      </c>
      <c r="J5" s="3787" t="s">
        <v>877</v>
      </c>
      <c r="K5" s="138">
        <v>55.0</v>
      </c>
      <c r="L5" s="239" t="s">
        <v>2159</v>
      </c>
      <c r="M5" s="3763">
        <v>9.0</v>
      </c>
      <c r="N5" s="139" t="s">
        <v>875</v>
      </c>
      <c r="O5" s="3762">
        <v>26.0</v>
      </c>
      <c r="P5" s="139" t="s">
        <v>875</v>
      </c>
      <c r="Q5" s="3762">
        <v>40.0</v>
      </c>
      <c r="R5" s="139" t="s">
        <v>875</v>
      </c>
      <c r="S5" s="3763">
        <v>40.0</v>
      </c>
      <c r="T5" s="3708">
        <f>Fighters!$S4</f>
        <v>3</v>
      </c>
      <c r="U5" s="3708">
        <f>Fighters!$T4</f>
        <v>2</v>
      </c>
      <c r="V5" s="3710" t="str">
        <f>Fighters!$V4</f>
        <v>link</v>
      </c>
    </row>
    <row r="6">
      <c r="A6" s="3700">
        <f>Fighters!$A5</f>
        <v>4</v>
      </c>
      <c r="B6" s="3701" t="str">
        <f>Fighters!$B5</f>
        <v>サムス</v>
      </c>
      <c r="C6" s="3762">
        <v>19.0</v>
      </c>
      <c r="D6" s="139" t="s">
        <v>1634</v>
      </c>
      <c r="E6" s="3762">
        <v>32.0</v>
      </c>
      <c r="F6" s="139" t="s">
        <v>877</v>
      </c>
      <c r="G6" s="3762">
        <v>45.0</v>
      </c>
      <c r="H6" s="139" t="s">
        <v>873</v>
      </c>
      <c r="I6" s="3762">
        <v>14.0</v>
      </c>
      <c r="J6" s="3787" t="s">
        <v>2279</v>
      </c>
      <c r="K6" s="138">
        <v>55.0</v>
      </c>
      <c r="L6" s="239" t="s">
        <v>739</v>
      </c>
      <c r="M6" s="3763">
        <v>9.0</v>
      </c>
      <c r="N6" s="139" t="s">
        <v>875</v>
      </c>
      <c r="O6" s="3762">
        <v>26.0</v>
      </c>
      <c r="P6" s="139" t="s">
        <v>875</v>
      </c>
      <c r="Q6" s="3762">
        <v>40.0</v>
      </c>
      <c r="R6" s="139" t="s">
        <v>875</v>
      </c>
      <c r="S6" s="3763">
        <v>40.0</v>
      </c>
      <c r="T6" s="3708">
        <f>Fighters!$S5</f>
        <v>4</v>
      </c>
      <c r="U6" s="3708">
        <f>Fighters!$T5</f>
        <v>3</v>
      </c>
      <c r="V6" s="3710" t="str">
        <f>Fighters!$V5</f>
        <v>samus</v>
      </c>
    </row>
    <row r="7">
      <c r="A7" s="3700" t="str">
        <f>Fighters!$A6</f>
        <v>4'</v>
      </c>
      <c r="B7" s="3701" t="str">
        <f>Fighters!$B6</f>
        <v>ダークサムス</v>
      </c>
      <c r="C7" s="3762">
        <v>19.0</v>
      </c>
      <c r="D7" s="139" t="s">
        <v>1634</v>
      </c>
      <c r="E7" s="3762">
        <v>32.0</v>
      </c>
      <c r="F7" s="139" t="s">
        <v>877</v>
      </c>
      <c r="G7" s="3762">
        <v>45.0</v>
      </c>
      <c r="H7" s="139" t="s">
        <v>873</v>
      </c>
      <c r="I7" s="3762">
        <v>14.0</v>
      </c>
      <c r="J7" s="3787" t="s">
        <v>2279</v>
      </c>
      <c r="K7" s="138">
        <v>55.0</v>
      </c>
      <c r="L7" s="239" t="s">
        <v>739</v>
      </c>
      <c r="M7" s="3763">
        <v>9.0</v>
      </c>
      <c r="N7" s="139" t="s">
        <v>875</v>
      </c>
      <c r="O7" s="3762">
        <v>26.0</v>
      </c>
      <c r="P7" s="139" t="s">
        <v>875</v>
      </c>
      <c r="Q7" s="3762">
        <v>40.0</v>
      </c>
      <c r="R7" s="139" t="s">
        <v>875</v>
      </c>
      <c r="S7" s="3763">
        <v>40.0</v>
      </c>
      <c r="T7" s="3708">
        <f>Fighters!$S6</f>
        <v>5</v>
      </c>
      <c r="U7" s="3708">
        <f>Fighters!$T6</f>
        <v>72</v>
      </c>
      <c r="V7" s="3710" t="str">
        <f>Fighters!$V6</f>
        <v>samusd</v>
      </c>
    </row>
    <row r="8">
      <c r="A8" s="3700">
        <f>Fighters!$A7</f>
        <v>5</v>
      </c>
      <c r="B8" s="3701" t="str">
        <f>Fighters!$B7</f>
        <v>ヨッシー</v>
      </c>
      <c r="C8" s="3762">
        <v>19.0</v>
      </c>
      <c r="D8" s="139" t="s">
        <v>1634</v>
      </c>
      <c r="E8" s="3762">
        <v>32.0</v>
      </c>
      <c r="F8" s="139" t="s">
        <v>2699</v>
      </c>
      <c r="G8" s="3762">
        <v>45.0</v>
      </c>
      <c r="H8" s="139" t="s">
        <v>873</v>
      </c>
      <c r="I8" s="3762">
        <v>14.0</v>
      </c>
      <c r="J8" s="3787" t="s">
        <v>1133</v>
      </c>
      <c r="K8" s="138">
        <v>55.0</v>
      </c>
      <c r="L8" s="239" t="s">
        <v>314</v>
      </c>
      <c r="M8" s="3763">
        <v>9.0</v>
      </c>
      <c r="N8" s="139" t="s">
        <v>875</v>
      </c>
      <c r="O8" s="3762">
        <v>26.0</v>
      </c>
      <c r="P8" s="139" t="s">
        <v>875</v>
      </c>
      <c r="Q8" s="3762">
        <v>40.0</v>
      </c>
      <c r="R8" s="139" t="s">
        <v>875</v>
      </c>
      <c r="S8" s="3763">
        <v>40.0</v>
      </c>
      <c r="T8" s="3708">
        <f>Fighters!$S7</f>
        <v>6</v>
      </c>
      <c r="U8" s="3708">
        <f>Fighters!$T7</f>
        <v>4</v>
      </c>
      <c r="V8" s="3710" t="str">
        <f>Fighters!$V7</f>
        <v>younglink</v>
      </c>
    </row>
    <row r="9">
      <c r="A9" s="3700">
        <f>Fighters!$A8</f>
        <v>6</v>
      </c>
      <c r="B9" s="3701" t="str">
        <f>Fighters!$B8</f>
        <v>カービィ</v>
      </c>
      <c r="C9" s="3762">
        <v>19.0</v>
      </c>
      <c r="D9" s="139" t="s">
        <v>2831</v>
      </c>
      <c r="E9" s="3762">
        <v>33.0</v>
      </c>
      <c r="F9" s="139" t="s">
        <v>877</v>
      </c>
      <c r="G9" s="3762">
        <v>45.0</v>
      </c>
      <c r="H9" s="139" t="s">
        <v>873</v>
      </c>
      <c r="I9" s="3762">
        <v>14.0</v>
      </c>
      <c r="J9" s="3787" t="s">
        <v>877</v>
      </c>
      <c r="K9" s="138">
        <v>55.0</v>
      </c>
      <c r="L9" s="239" t="s">
        <v>2159</v>
      </c>
      <c r="M9" s="3763">
        <v>9.0</v>
      </c>
      <c r="N9" s="139" t="s">
        <v>875</v>
      </c>
      <c r="O9" s="3762">
        <v>26.0</v>
      </c>
      <c r="P9" s="139" t="s">
        <v>875</v>
      </c>
      <c r="Q9" s="3762">
        <v>40.0</v>
      </c>
      <c r="R9" s="139" t="s">
        <v>875</v>
      </c>
      <c r="S9" s="3763">
        <v>40.0</v>
      </c>
      <c r="T9" s="3708">
        <f>Fighters!$S8</f>
        <v>7</v>
      </c>
      <c r="U9" s="3708">
        <f>Fighters!$T8</f>
        <v>5</v>
      </c>
      <c r="V9" s="3710" t="str">
        <f>Fighters!$V8</f>
        <v>kirby</v>
      </c>
    </row>
    <row r="10">
      <c r="A10" s="3700">
        <f>Fighters!$A9</f>
        <v>7</v>
      </c>
      <c r="B10" s="3701" t="str">
        <f>Fighters!$B9</f>
        <v>フォックス</v>
      </c>
      <c r="C10" s="3762">
        <v>19.0</v>
      </c>
      <c r="D10" s="139" t="s">
        <v>871</v>
      </c>
      <c r="E10" s="3762">
        <v>34.0</v>
      </c>
      <c r="F10" s="139" t="s">
        <v>872</v>
      </c>
      <c r="G10" s="3762">
        <v>45.0</v>
      </c>
      <c r="H10" s="139" t="s">
        <v>873</v>
      </c>
      <c r="I10" s="3762">
        <v>14.0</v>
      </c>
      <c r="J10" s="3787" t="s">
        <v>874</v>
      </c>
      <c r="K10" s="138">
        <v>55.0</v>
      </c>
      <c r="L10" s="239" t="s">
        <v>378</v>
      </c>
      <c r="M10" s="3763">
        <v>9.0</v>
      </c>
      <c r="N10" s="139" t="s">
        <v>875</v>
      </c>
      <c r="O10" s="3762">
        <v>26.0</v>
      </c>
      <c r="P10" s="139" t="s">
        <v>875</v>
      </c>
      <c r="Q10" s="3762">
        <v>40.0</v>
      </c>
      <c r="R10" s="139" t="s">
        <v>875</v>
      </c>
      <c r="S10" s="3763">
        <v>40.0</v>
      </c>
      <c r="T10" s="3708">
        <f>Fighters!$S9</f>
        <v>8</v>
      </c>
      <c r="U10" s="3708">
        <f>Fighters!$T9</f>
        <v>6</v>
      </c>
      <c r="V10" s="3710" t="str">
        <f>Fighters!$V9</f>
        <v>fox</v>
      </c>
    </row>
    <row r="11">
      <c r="A11" s="3700">
        <f>Fighters!$A10</f>
        <v>8</v>
      </c>
      <c r="B11" s="3701" t="str">
        <f>Fighters!$B10</f>
        <v>ピカチュウ</v>
      </c>
      <c r="C11" s="3762">
        <v>19.0</v>
      </c>
      <c r="D11" s="139" t="s">
        <v>1634</v>
      </c>
      <c r="E11" s="3762">
        <v>32.0</v>
      </c>
      <c r="F11" s="139" t="s">
        <v>879</v>
      </c>
      <c r="G11" s="3762">
        <v>45.0</v>
      </c>
      <c r="H11" s="139" t="s">
        <v>5983</v>
      </c>
      <c r="I11" s="3762">
        <v>13.0</v>
      </c>
      <c r="J11" s="3787" t="s">
        <v>872</v>
      </c>
      <c r="K11" s="138">
        <v>55.0</v>
      </c>
      <c r="L11" s="239" t="s">
        <v>1053</v>
      </c>
      <c r="M11" s="3763">
        <v>9.0</v>
      </c>
      <c r="N11" s="139" t="s">
        <v>875</v>
      </c>
      <c r="O11" s="3762">
        <v>26.0</v>
      </c>
      <c r="P11" s="139" t="s">
        <v>875</v>
      </c>
      <c r="Q11" s="3762">
        <v>40.0</v>
      </c>
      <c r="R11" s="139" t="s">
        <v>875</v>
      </c>
      <c r="S11" s="3763">
        <v>40.0</v>
      </c>
      <c r="T11" s="3708">
        <f>Fighters!$S10</f>
        <v>9</v>
      </c>
      <c r="U11" s="3708">
        <f>Fighters!$T10</f>
        <v>7</v>
      </c>
      <c r="V11" s="3710" t="str">
        <f>Fighters!$V10</f>
        <v>pikachu</v>
      </c>
    </row>
    <row r="12">
      <c r="A12" s="3700">
        <f>Fighters!$A11</f>
        <v>9</v>
      </c>
      <c r="B12" s="3701" t="str">
        <f>Fighters!$B11</f>
        <v>ルイージ</v>
      </c>
      <c r="C12" s="3762">
        <v>19.0</v>
      </c>
      <c r="D12" s="139" t="s">
        <v>871</v>
      </c>
      <c r="E12" s="3762">
        <v>34.0</v>
      </c>
      <c r="F12" s="139" t="s">
        <v>3198</v>
      </c>
      <c r="G12" s="3762">
        <v>45.0</v>
      </c>
      <c r="H12" s="139" t="s">
        <v>873</v>
      </c>
      <c r="I12" s="3762">
        <v>14.0</v>
      </c>
      <c r="J12" s="3787" t="s">
        <v>877</v>
      </c>
      <c r="K12" s="138">
        <v>55.0</v>
      </c>
      <c r="L12" s="239" t="s">
        <v>2159</v>
      </c>
      <c r="M12" s="3763">
        <v>9.0</v>
      </c>
      <c r="N12" s="139" t="s">
        <v>875</v>
      </c>
      <c r="O12" s="3762">
        <v>26.0</v>
      </c>
      <c r="P12" s="139" t="s">
        <v>875</v>
      </c>
      <c r="Q12" s="3762">
        <v>40.0</v>
      </c>
      <c r="R12" s="139" t="s">
        <v>875</v>
      </c>
      <c r="S12" s="3763">
        <v>40.0</v>
      </c>
      <c r="T12" s="3708">
        <f>Fighters!$S11</f>
        <v>10</v>
      </c>
      <c r="U12" s="3708">
        <f>Fighters!$T11</f>
        <v>8</v>
      </c>
      <c r="V12" s="3710" t="str">
        <f>Fighters!$V11</f>
        <v>luigi</v>
      </c>
    </row>
    <row r="13">
      <c r="A13" s="3700">
        <f>Fighters!$A12</f>
        <v>10</v>
      </c>
      <c r="B13" s="3701" t="str">
        <f>Fighters!$B12</f>
        <v>ネス</v>
      </c>
      <c r="C13" s="3762">
        <v>19.0</v>
      </c>
      <c r="D13" s="139" t="s">
        <v>871</v>
      </c>
      <c r="E13" s="3762">
        <v>34.0</v>
      </c>
      <c r="F13" s="139" t="s">
        <v>875</v>
      </c>
      <c r="G13" s="3762">
        <v>45.0</v>
      </c>
      <c r="H13" s="139" t="s">
        <v>873</v>
      </c>
      <c r="I13" s="3762">
        <v>14.0</v>
      </c>
      <c r="J13" s="3787" t="s">
        <v>879</v>
      </c>
      <c r="K13" s="138">
        <v>55.0</v>
      </c>
      <c r="L13" s="239" t="s">
        <v>1918</v>
      </c>
      <c r="M13" s="3763">
        <v>9.0</v>
      </c>
      <c r="N13" s="139" t="s">
        <v>875</v>
      </c>
      <c r="O13" s="3762">
        <v>26.0</v>
      </c>
      <c r="P13" s="139" t="s">
        <v>875</v>
      </c>
      <c r="Q13" s="3762">
        <v>40.0</v>
      </c>
      <c r="R13" s="139" t="s">
        <v>875</v>
      </c>
      <c r="S13" s="3763">
        <v>40.0</v>
      </c>
      <c r="T13" s="3708">
        <f>Fighters!$S12</f>
        <v>11</v>
      </c>
      <c r="U13" s="3708">
        <f>Fighters!$T12</f>
        <v>9</v>
      </c>
      <c r="V13" s="3710" t="str">
        <f>Fighters!$V12</f>
        <v>ness</v>
      </c>
    </row>
    <row r="14">
      <c r="A14" s="3700">
        <f>Fighters!$A13</f>
        <v>11</v>
      </c>
      <c r="B14" s="3701" t="str">
        <f>Fighters!$B13</f>
        <v>キャプテン・ファルコン</v>
      </c>
      <c r="C14" s="3762">
        <v>19.0</v>
      </c>
      <c r="D14" s="139" t="s">
        <v>871</v>
      </c>
      <c r="E14" s="3762">
        <v>34.0</v>
      </c>
      <c r="F14" s="139" t="s">
        <v>1133</v>
      </c>
      <c r="G14" s="3762">
        <v>45.0</v>
      </c>
      <c r="H14" s="139" t="s">
        <v>873</v>
      </c>
      <c r="I14" s="3762">
        <v>14.0</v>
      </c>
      <c r="J14" s="3787" t="s">
        <v>879</v>
      </c>
      <c r="K14" s="138">
        <v>55.0</v>
      </c>
      <c r="L14" s="239" t="s">
        <v>1918</v>
      </c>
      <c r="M14" s="3763">
        <v>10.0</v>
      </c>
      <c r="N14" s="139" t="s">
        <v>875</v>
      </c>
      <c r="O14" s="3762">
        <v>26.0</v>
      </c>
      <c r="P14" s="139" t="s">
        <v>875</v>
      </c>
      <c r="Q14" s="3762">
        <v>40.0</v>
      </c>
      <c r="R14" s="139" t="s">
        <v>875</v>
      </c>
      <c r="S14" s="3763">
        <v>40.0</v>
      </c>
      <c r="T14" s="3708">
        <f>Fighters!$S13</f>
        <v>12</v>
      </c>
      <c r="U14" s="3708">
        <f>Fighters!$T13</f>
        <v>10</v>
      </c>
      <c r="V14" s="3710" t="str">
        <f>Fighters!$V13</f>
        <v>captain</v>
      </c>
    </row>
    <row r="15">
      <c r="A15" s="3700">
        <f>Fighters!$A14</f>
        <v>12</v>
      </c>
      <c r="B15" s="3701" t="str">
        <f>Fighters!$B14</f>
        <v>プリン</v>
      </c>
      <c r="C15" s="3762">
        <v>19.0</v>
      </c>
      <c r="D15" s="139" t="s">
        <v>871</v>
      </c>
      <c r="E15" s="3762">
        <v>34.0</v>
      </c>
      <c r="F15" s="139" t="s">
        <v>872</v>
      </c>
      <c r="G15" s="3762">
        <v>45.0</v>
      </c>
      <c r="H15" s="139" t="s">
        <v>873</v>
      </c>
      <c r="I15" s="3762">
        <v>14.0</v>
      </c>
      <c r="J15" s="3787" t="s">
        <v>1133</v>
      </c>
      <c r="K15" s="138">
        <v>55.0</v>
      </c>
      <c r="L15" s="239" t="s">
        <v>314</v>
      </c>
      <c r="M15" s="3763">
        <v>8.0</v>
      </c>
      <c r="N15" s="139" t="s">
        <v>875</v>
      </c>
      <c r="O15" s="3762">
        <v>26.0</v>
      </c>
      <c r="P15" s="139" t="s">
        <v>875</v>
      </c>
      <c r="Q15" s="3762">
        <v>40.0</v>
      </c>
      <c r="R15" s="139" t="s">
        <v>875</v>
      </c>
      <c r="S15" s="3763">
        <v>40.0</v>
      </c>
      <c r="T15" s="3708">
        <f>Fighters!$S14</f>
        <v>13</v>
      </c>
      <c r="U15" s="3708">
        <f>Fighters!$T14</f>
        <v>11</v>
      </c>
      <c r="V15" s="3710" t="str">
        <f>Fighters!$V14</f>
        <v>purin</v>
      </c>
    </row>
    <row r="16">
      <c r="A16" s="3700">
        <f>Fighters!$A15</f>
        <v>13</v>
      </c>
      <c r="B16" s="3701" t="str">
        <f>Fighters!$B15</f>
        <v>ピーチ</v>
      </c>
      <c r="C16" s="3762">
        <v>19.0</v>
      </c>
      <c r="D16" s="139" t="s">
        <v>1634</v>
      </c>
      <c r="E16" s="3762">
        <v>32.0</v>
      </c>
      <c r="F16" s="139" t="s">
        <v>2699</v>
      </c>
      <c r="G16" s="3762">
        <v>45.0</v>
      </c>
      <c r="H16" s="139" t="s">
        <v>873</v>
      </c>
      <c r="I16" s="3762">
        <v>14.0</v>
      </c>
      <c r="J16" s="3787" t="s">
        <v>875</v>
      </c>
      <c r="K16" s="138">
        <v>55.0</v>
      </c>
      <c r="L16" s="239" t="s">
        <v>312</v>
      </c>
      <c r="M16" s="3763">
        <v>9.0</v>
      </c>
      <c r="N16" s="139" t="s">
        <v>875</v>
      </c>
      <c r="O16" s="3762">
        <v>26.0</v>
      </c>
      <c r="P16" s="139" t="s">
        <v>875</v>
      </c>
      <c r="Q16" s="3762">
        <v>40.0</v>
      </c>
      <c r="R16" s="139" t="s">
        <v>875</v>
      </c>
      <c r="S16" s="3763">
        <v>40.0</v>
      </c>
      <c r="T16" s="3708">
        <f>Fighters!$S15</f>
        <v>14</v>
      </c>
      <c r="U16" s="3708">
        <f>Fighters!$T15</f>
        <v>12</v>
      </c>
      <c r="V16" s="3710" t="str">
        <f>Fighters!$V15</f>
        <v>peach</v>
      </c>
    </row>
    <row r="17">
      <c r="A17" s="3700" t="str">
        <f>Fighters!$A16</f>
        <v>13'</v>
      </c>
      <c r="B17" s="3701" t="str">
        <f>Fighters!$B16</f>
        <v>デイジー</v>
      </c>
      <c r="C17" s="3762">
        <v>19.0</v>
      </c>
      <c r="D17" s="139" t="s">
        <v>1634</v>
      </c>
      <c r="E17" s="3762">
        <v>32.0</v>
      </c>
      <c r="F17" s="139" t="s">
        <v>2699</v>
      </c>
      <c r="G17" s="3762">
        <v>45.0</v>
      </c>
      <c r="H17" s="139" t="s">
        <v>873</v>
      </c>
      <c r="I17" s="3762">
        <v>14.0</v>
      </c>
      <c r="J17" s="3787" t="s">
        <v>875</v>
      </c>
      <c r="K17" s="138">
        <v>55.0</v>
      </c>
      <c r="L17" s="239" t="s">
        <v>312</v>
      </c>
      <c r="M17" s="3763">
        <v>9.0</v>
      </c>
      <c r="N17" s="139" t="s">
        <v>875</v>
      </c>
      <c r="O17" s="3762">
        <v>26.0</v>
      </c>
      <c r="P17" s="139" t="s">
        <v>875</v>
      </c>
      <c r="Q17" s="3762">
        <v>40.0</v>
      </c>
      <c r="R17" s="139" t="s">
        <v>875</v>
      </c>
      <c r="S17" s="3763">
        <v>40.0</v>
      </c>
      <c r="T17" s="3708">
        <f>Fighters!$S16</f>
        <v>15</v>
      </c>
      <c r="U17" s="3708">
        <f>Fighters!$T16</f>
        <v>73</v>
      </c>
      <c r="V17" s="3710" t="str">
        <f>Fighters!$V16</f>
        <v>daisy</v>
      </c>
    </row>
    <row r="18">
      <c r="A18" s="3700">
        <f>Fighters!$A17</f>
        <v>14</v>
      </c>
      <c r="B18" s="3701" t="str">
        <f>Fighters!$B17</f>
        <v>クッパ</v>
      </c>
      <c r="C18" s="3762">
        <v>19.0</v>
      </c>
      <c r="D18" s="139" t="s">
        <v>871</v>
      </c>
      <c r="E18" s="3762">
        <v>34.0</v>
      </c>
      <c r="F18" s="139" t="s">
        <v>879</v>
      </c>
      <c r="G18" s="3762">
        <v>45.0</v>
      </c>
      <c r="H18" s="139" t="s">
        <v>873</v>
      </c>
      <c r="I18" s="3762">
        <v>14.0</v>
      </c>
      <c r="J18" s="3787" t="s">
        <v>879</v>
      </c>
      <c r="K18" s="138">
        <v>55.0</v>
      </c>
      <c r="L18" s="239" t="s">
        <v>1918</v>
      </c>
      <c r="M18" s="3763">
        <v>10.0</v>
      </c>
      <c r="N18" s="139" t="s">
        <v>875</v>
      </c>
      <c r="O18" s="3762">
        <v>26.0</v>
      </c>
      <c r="P18" s="139" t="s">
        <v>875</v>
      </c>
      <c r="Q18" s="3762">
        <v>40.0</v>
      </c>
      <c r="R18" s="139" t="s">
        <v>875</v>
      </c>
      <c r="S18" s="3763">
        <v>40.0</v>
      </c>
      <c r="T18" s="3708">
        <f>Fighters!$S17</f>
        <v>16</v>
      </c>
      <c r="U18" s="3708">
        <f>Fighters!$T17</f>
        <v>13</v>
      </c>
      <c r="V18" s="3710" t="str">
        <f>Fighters!$V17</f>
        <v>koopa</v>
      </c>
    </row>
    <row r="19">
      <c r="A19" s="3700">
        <f>Fighters!$A18</f>
        <v>15</v>
      </c>
      <c r="B19" s="3701" t="str">
        <f>Fighters!$B18</f>
        <v>アイスクライマー</v>
      </c>
      <c r="C19" s="3762">
        <v>19.0</v>
      </c>
      <c r="D19" s="139" t="s">
        <v>871</v>
      </c>
      <c r="E19" s="3762">
        <v>34.0</v>
      </c>
      <c r="F19" s="139" t="s">
        <v>2699</v>
      </c>
      <c r="G19" s="3762">
        <v>45.0</v>
      </c>
      <c r="H19" s="139" t="s">
        <v>873</v>
      </c>
      <c r="I19" s="3762">
        <v>14.0</v>
      </c>
      <c r="J19" s="3787" t="s">
        <v>2699</v>
      </c>
      <c r="K19" s="138">
        <v>55.0</v>
      </c>
      <c r="L19" s="239" t="s">
        <v>4135</v>
      </c>
      <c r="M19" s="3763">
        <v>8.0</v>
      </c>
      <c r="N19" s="139" t="s">
        <v>875</v>
      </c>
      <c r="O19" s="3762">
        <v>26.0</v>
      </c>
      <c r="P19" s="139" t="s">
        <v>875</v>
      </c>
      <c r="Q19" s="3762">
        <v>40.0</v>
      </c>
      <c r="R19" s="139" t="s">
        <v>875</v>
      </c>
      <c r="S19" s="3763">
        <v>40.0</v>
      </c>
      <c r="T19" s="3708">
        <f>Fighters!$S18</f>
        <v>17</v>
      </c>
      <c r="U19" s="3708">
        <f>Fighters!$T18</f>
        <v>14</v>
      </c>
      <c r="V19" s="3710" t="str">
        <f>Fighters!$V18</f>
        <v>popo</v>
      </c>
    </row>
    <row r="20">
      <c r="A20" s="3700">
        <f>Fighters!$A19</f>
        <v>16</v>
      </c>
      <c r="B20" s="3701" t="str">
        <f>Fighters!$B19</f>
        <v>シーク</v>
      </c>
      <c r="C20" s="3762">
        <v>19.0</v>
      </c>
      <c r="D20" s="139" t="s">
        <v>871</v>
      </c>
      <c r="E20" s="3762">
        <v>34.0</v>
      </c>
      <c r="F20" s="139" t="s">
        <v>2279</v>
      </c>
      <c r="G20" s="3762">
        <v>45.0</v>
      </c>
      <c r="H20" s="139" t="s">
        <v>873</v>
      </c>
      <c r="I20" s="3762">
        <v>14.0</v>
      </c>
      <c r="J20" s="3787" t="s">
        <v>1133</v>
      </c>
      <c r="K20" s="138">
        <v>55.0</v>
      </c>
      <c r="L20" s="239" t="s">
        <v>314</v>
      </c>
      <c r="M20" s="3763">
        <v>9.0</v>
      </c>
      <c r="N20" s="139" t="s">
        <v>875</v>
      </c>
      <c r="O20" s="3762">
        <v>26.0</v>
      </c>
      <c r="P20" s="139" t="s">
        <v>875</v>
      </c>
      <c r="Q20" s="3762">
        <v>40.0</v>
      </c>
      <c r="R20" s="139" t="s">
        <v>875</v>
      </c>
      <c r="S20" s="3763">
        <v>40.0</v>
      </c>
      <c r="T20" s="3708">
        <f>Fighters!$S19</f>
        <v>18</v>
      </c>
      <c r="U20" s="3708">
        <f>Fighters!$T19</f>
        <v>16</v>
      </c>
      <c r="V20" s="3710" t="str">
        <f>Fighters!$V19</f>
        <v>sheik</v>
      </c>
    </row>
    <row r="21">
      <c r="A21" s="3700">
        <f>Fighters!$A20</f>
        <v>17</v>
      </c>
      <c r="B21" s="3701" t="str">
        <f>Fighters!$B20</f>
        <v>ゼルダ</v>
      </c>
      <c r="C21" s="3762">
        <v>19.0</v>
      </c>
      <c r="D21" s="139" t="s">
        <v>871</v>
      </c>
      <c r="E21" s="3762">
        <v>34.0</v>
      </c>
      <c r="F21" s="139" t="s">
        <v>2279</v>
      </c>
      <c r="G21" s="3762">
        <v>45.0</v>
      </c>
      <c r="H21" s="139" t="s">
        <v>873</v>
      </c>
      <c r="I21" s="3762">
        <v>14.0</v>
      </c>
      <c r="J21" s="3787" t="s">
        <v>2699</v>
      </c>
      <c r="K21" s="138">
        <v>55.0</v>
      </c>
      <c r="L21" s="239" t="s">
        <v>4135</v>
      </c>
      <c r="M21" s="3763">
        <v>9.0</v>
      </c>
      <c r="N21" s="139" t="s">
        <v>875</v>
      </c>
      <c r="O21" s="3762">
        <v>26.0</v>
      </c>
      <c r="P21" s="139" t="s">
        <v>875</v>
      </c>
      <c r="Q21" s="3762">
        <v>40.0</v>
      </c>
      <c r="R21" s="139" t="s">
        <v>875</v>
      </c>
      <c r="S21" s="3763">
        <v>40.0</v>
      </c>
      <c r="T21" s="3708">
        <f>Fighters!$S20</f>
        <v>19</v>
      </c>
      <c r="U21" s="3708">
        <f>Fighters!$T20</f>
        <v>17</v>
      </c>
      <c r="V21" s="3710" t="str">
        <f>Fighters!$V20</f>
        <v>zelda</v>
      </c>
    </row>
    <row r="22">
      <c r="A22" s="3700">
        <f>Fighters!$A21</f>
        <v>18</v>
      </c>
      <c r="B22" s="3701" t="str">
        <f>Fighters!$B21</f>
        <v>ドクターマリオ</v>
      </c>
      <c r="C22" s="3762">
        <v>19.0</v>
      </c>
      <c r="D22" s="139" t="s">
        <v>871</v>
      </c>
      <c r="E22" s="3762">
        <v>34.0</v>
      </c>
      <c r="F22" s="139" t="s">
        <v>872</v>
      </c>
      <c r="G22" s="3762">
        <v>45.0</v>
      </c>
      <c r="H22" s="139" t="s">
        <v>873</v>
      </c>
      <c r="I22" s="3762">
        <v>14.0</v>
      </c>
      <c r="J22" s="3787" t="s">
        <v>2699</v>
      </c>
      <c r="K22" s="138">
        <v>55.0</v>
      </c>
      <c r="L22" s="239" t="s">
        <v>4135</v>
      </c>
      <c r="M22" s="3788">
        <f>8.51*1.176</f>
        <v>10.00776</v>
      </c>
      <c r="N22" s="139" t="s">
        <v>875</v>
      </c>
      <c r="O22" s="3762">
        <v>26.0</v>
      </c>
      <c r="P22" s="139" t="s">
        <v>875</v>
      </c>
      <c r="Q22" s="3762">
        <v>40.0</v>
      </c>
      <c r="R22" s="139" t="s">
        <v>875</v>
      </c>
      <c r="S22" s="3763">
        <v>40.0</v>
      </c>
      <c r="T22" s="3708">
        <f>Fighters!$S21</f>
        <v>20</v>
      </c>
      <c r="U22" s="3708">
        <f>Fighters!$T21</f>
        <v>18</v>
      </c>
      <c r="V22" s="3710" t="str">
        <f>Fighters!$V21</f>
        <v>mariod</v>
      </c>
    </row>
    <row r="23">
      <c r="A23" s="3700">
        <f>Fighters!$A22</f>
        <v>19</v>
      </c>
      <c r="B23" s="3701" t="str">
        <f>Fighters!$B22</f>
        <v>ピチュー</v>
      </c>
      <c r="C23" s="3762">
        <v>19.0</v>
      </c>
      <c r="D23" s="139" t="s">
        <v>871</v>
      </c>
      <c r="E23" s="3762">
        <v>34.0</v>
      </c>
      <c r="F23" s="139" t="s">
        <v>3198</v>
      </c>
      <c r="G23" s="3762">
        <v>45.0</v>
      </c>
      <c r="H23" s="139" t="s">
        <v>1084</v>
      </c>
      <c r="I23" s="3762">
        <v>12.0</v>
      </c>
      <c r="J23" s="3787" t="s">
        <v>1133</v>
      </c>
      <c r="K23" s="138">
        <v>55.0</v>
      </c>
      <c r="L23" s="239" t="s">
        <v>314</v>
      </c>
      <c r="M23" s="3763">
        <v>9.0</v>
      </c>
      <c r="N23" s="139" t="s">
        <v>875</v>
      </c>
      <c r="O23" s="3762">
        <v>26.0</v>
      </c>
      <c r="P23" s="139" t="s">
        <v>875</v>
      </c>
      <c r="Q23" s="3762">
        <v>40.0</v>
      </c>
      <c r="R23" s="139" t="s">
        <v>875</v>
      </c>
      <c r="S23" s="3763">
        <v>40.0</v>
      </c>
      <c r="T23" s="3708">
        <f>Fighters!$S22</f>
        <v>21</v>
      </c>
      <c r="U23" s="3708">
        <f>Fighters!$T22</f>
        <v>19</v>
      </c>
      <c r="V23" s="3710" t="str">
        <f>Fighters!$V22</f>
        <v>pichu</v>
      </c>
    </row>
    <row r="24">
      <c r="A24" s="3700">
        <f>Fighters!$A23</f>
        <v>20</v>
      </c>
      <c r="B24" s="3701" t="str">
        <f>Fighters!$B23</f>
        <v>ファルコ</v>
      </c>
      <c r="C24" s="3762">
        <v>19.0</v>
      </c>
      <c r="D24" s="139" t="s">
        <v>871</v>
      </c>
      <c r="E24" s="3762">
        <v>34.0</v>
      </c>
      <c r="F24" s="139" t="s">
        <v>2279</v>
      </c>
      <c r="G24" s="3762">
        <v>45.0</v>
      </c>
      <c r="H24" s="139" t="s">
        <v>873</v>
      </c>
      <c r="I24" s="3762">
        <v>14.0</v>
      </c>
      <c r="J24" s="3787" t="s">
        <v>877</v>
      </c>
      <c r="K24" s="138">
        <v>55.0</v>
      </c>
      <c r="L24" s="239" t="s">
        <v>2159</v>
      </c>
      <c r="M24" s="3763">
        <v>9.0</v>
      </c>
      <c r="N24" s="139" t="s">
        <v>875</v>
      </c>
      <c r="O24" s="3762">
        <v>26.0</v>
      </c>
      <c r="P24" s="139" t="s">
        <v>875</v>
      </c>
      <c r="Q24" s="3762">
        <v>40.0</v>
      </c>
      <c r="R24" s="139" t="s">
        <v>875</v>
      </c>
      <c r="S24" s="3763">
        <v>40.0</v>
      </c>
      <c r="T24" s="3708">
        <f>Fighters!$S23</f>
        <v>22</v>
      </c>
      <c r="U24" s="3708">
        <f>Fighters!$T23</f>
        <v>20</v>
      </c>
      <c r="V24" s="3710" t="str">
        <f>Fighters!$V23</f>
        <v>falco</v>
      </c>
    </row>
    <row r="25">
      <c r="A25" s="3700">
        <f>Fighters!$A24</f>
        <v>21</v>
      </c>
      <c r="B25" s="3701" t="str">
        <f>Fighters!$B24</f>
        <v>マルス</v>
      </c>
      <c r="C25" s="3762">
        <v>19.0</v>
      </c>
      <c r="D25" s="139" t="s">
        <v>871</v>
      </c>
      <c r="E25" s="3762">
        <v>34.0</v>
      </c>
      <c r="F25" s="139" t="s">
        <v>2279</v>
      </c>
      <c r="G25" s="3762">
        <v>45.0</v>
      </c>
      <c r="H25" s="139" t="s">
        <v>873</v>
      </c>
      <c r="I25" s="3762">
        <v>14.0</v>
      </c>
      <c r="J25" s="3787" t="s">
        <v>872</v>
      </c>
      <c r="K25" s="138">
        <v>55.0</v>
      </c>
      <c r="L25" s="239" t="s">
        <v>1053</v>
      </c>
      <c r="M25" s="3763">
        <v>9.0</v>
      </c>
      <c r="N25" s="139" t="s">
        <v>875</v>
      </c>
      <c r="O25" s="3762">
        <v>26.0</v>
      </c>
      <c r="P25" s="139" t="s">
        <v>875</v>
      </c>
      <c r="Q25" s="3762">
        <v>40.0</v>
      </c>
      <c r="R25" s="139" t="s">
        <v>875</v>
      </c>
      <c r="S25" s="3763">
        <v>40.0</v>
      </c>
      <c r="T25" s="3708">
        <f>Fighters!$S24</f>
        <v>23</v>
      </c>
      <c r="U25" s="3708">
        <f>Fighters!$T24</f>
        <v>21</v>
      </c>
      <c r="V25" s="3710" t="str">
        <f>Fighters!$V24</f>
        <v>marth</v>
      </c>
    </row>
    <row r="26">
      <c r="A26" s="3700" t="str">
        <f>Fighters!$A25</f>
        <v>21'</v>
      </c>
      <c r="B26" s="3701" t="str">
        <f>Fighters!$B25</f>
        <v>ルキナ</v>
      </c>
      <c r="C26" s="3762">
        <v>19.0</v>
      </c>
      <c r="D26" s="139" t="s">
        <v>871</v>
      </c>
      <c r="E26" s="3762">
        <v>34.0</v>
      </c>
      <c r="F26" s="139" t="s">
        <v>2279</v>
      </c>
      <c r="G26" s="3762">
        <v>45.0</v>
      </c>
      <c r="H26" s="139" t="s">
        <v>873</v>
      </c>
      <c r="I26" s="3762">
        <v>14.0</v>
      </c>
      <c r="J26" s="3787" t="s">
        <v>872</v>
      </c>
      <c r="K26" s="138">
        <v>55.0</v>
      </c>
      <c r="L26" s="239" t="s">
        <v>1053</v>
      </c>
      <c r="M26" s="3763">
        <v>9.0</v>
      </c>
      <c r="N26" s="139" t="s">
        <v>875</v>
      </c>
      <c r="O26" s="3762">
        <v>26.0</v>
      </c>
      <c r="P26" s="139" t="s">
        <v>875</v>
      </c>
      <c r="Q26" s="3762">
        <v>40.0</v>
      </c>
      <c r="R26" s="139" t="s">
        <v>875</v>
      </c>
      <c r="S26" s="3763">
        <v>40.0</v>
      </c>
      <c r="T26" s="3708">
        <f>Fighters!$S25</f>
        <v>24</v>
      </c>
      <c r="U26" s="3708">
        <f>Fighters!$T25</f>
        <v>74</v>
      </c>
      <c r="V26" s="3710" t="str">
        <f>Fighters!$V25</f>
        <v>lucina</v>
      </c>
    </row>
    <row r="27">
      <c r="A27" s="3700">
        <f>Fighters!$A26</f>
        <v>22</v>
      </c>
      <c r="B27" s="3701" t="str">
        <f>Fighters!$B26</f>
        <v>こどもリンク</v>
      </c>
      <c r="C27" s="3762">
        <v>19.0</v>
      </c>
      <c r="D27" s="139" t="s">
        <v>2831</v>
      </c>
      <c r="E27" s="3762">
        <v>33.0</v>
      </c>
      <c r="F27" s="139" t="s">
        <v>877</v>
      </c>
      <c r="G27" s="3762">
        <v>45.0</v>
      </c>
      <c r="H27" s="139" t="s">
        <v>873</v>
      </c>
      <c r="I27" s="3762">
        <v>14.0</v>
      </c>
      <c r="J27" s="3787" t="s">
        <v>877</v>
      </c>
      <c r="K27" s="138">
        <v>55.0</v>
      </c>
      <c r="L27" s="239" t="s">
        <v>2159</v>
      </c>
      <c r="M27" s="3763">
        <v>9.0</v>
      </c>
      <c r="N27" s="139" t="s">
        <v>875</v>
      </c>
      <c r="O27" s="3762">
        <v>26.0</v>
      </c>
      <c r="P27" s="139" t="s">
        <v>875</v>
      </c>
      <c r="Q27" s="3762">
        <v>40.0</v>
      </c>
      <c r="R27" s="139" t="s">
        <v>875</v>
      </c>
      <c r="S27" s="3763">
        <v>40.0</v>
      </c>
      <c r="T27" s="3708">
        <f>Fighters!$S26</f>
        <v>25</v>
      </c>
      <c r="U27" s="3708">
        <f>Fighters!$T26</f>
        <v>22</v>
      </c>
      <c r="V27" s="3710" t="str">
        <f>Fighters!$V26</f>
        <v>yoshi</v>
      </c>
    </row>
    <row r="28">
      <c r="A28" s="3700">
        <f>Fighters!$A27</f>
        <v>23</v>
      </c>
      <c r="B28" s="3701" t="str">
        <f>Fighters!$B27</f>
        <v>ガノンドロフ</v>
      </c>
      <c r="C28" s="3762">
        <v>19.0</v>
      </c>
      <c r="D28" s="139" t="s">
        <v>2831</v>
      </c>
      <c r="E28" s="3762">
        <v>33.0</v>
      </c>
      <c r="F28" s="139" t="s">
        <v>879</v>
      </c>
      <c r="G28" s="3762">
        <v>45.0</v>
      </c>
      <c r="H28" s="139" t="s">
        <v>873</v>
      </c>
      <c r="I28" s="3762">
        <v>14.0</v>
      </c>
      <c r="J28" s="3787" t="s">
        <v>2699</v>
      </c>
      <c r="K28" s="138">
        <v>55.0</v>
      </c>
      <c r="L28" s="239" t="s">
        <v>4135</v>
      </c>
      <c r="M28" s="3763">
        <v>10.0</v>
      </c>
      <c r="N28" s="139" t="s">
        <v>875</v>
      </c>
      <c r="O28" s="3762">
        <v>26.0</v>
      </c>
      <c r="P28" s="139" t="s">
        <v>875</v>
      </c>
      <c r="Q28" s="3762">
        <v>40.0</v>
      </c>
      <c r="R28" s="139" t="s">
        <v>875</v>
      </c>
      <c r="S28" s="3763">
        <v>40.0</v>
      </c>
      <c r="T28" s="3708">
        <f>Fighters!$S27</f>
        <v>26</v>
      </c>
      <c r="U28" s="3708">
        <f>Fighters!$T27</f>
        <v>23</v>
      </c>
      <c r="V28" s="3710" t="str">
        <f>Fighters!$V27</f>
        <v>ganon</v>
      </c>
    </row>
    <row r="29">
      <c r="A29" s="3700">
        <f>Fighters!$A28</f>
        <v>24</v>
      </c>
      <c r="B29" s="3701" t="str">
        <f>Fighters!$B28</f>
        <v>ミュウツー</v>
      </c>
      <c r="C29" s="3762">
        <v>19.0</v>
      </c>
      <c r="D29" s="139" t="s">
        <v>871</v>
      </c>
      <c r="E29" s="3762">
        <v>34.0</v>
      </c>
      <c r="F29" s="162" t="s">
        <v>2279</v>
      </c>
      <c r="G29" s="3762">
        <v>45.0</v>
      </c>
      <c r="H29" s="139" t="s">
        <v>873</v>
      </c>
      <c r="I29" s="3762">
        <v>14.0</v>
      </c>
      <c r="J29" s="3787" t="s">
        <v>1133</v>
      </c>
      <c r="K29" s="138">
        <v>55.0</v>
      </c>
      <c r="L29" s="239" t="s">
        <v>314</v>
      </c>
      <c r="M29" s="3763">
        <v>9.0</v>
      </c>
      <c r="N29" s="139" t="s">
        <v>875</v>
      </c>
      <c r="O29" s="3762">
        <v>26.0</v>
      </c>
      <c r="P29" s="139" t="s">
        <v>875</v>
      </c>
      <c r="Q29" s="3762">
        <v>40.0</v>
      </c>
      <c r="R29" s="139" t="s">
        <v>875</v>
      </c>
      <c r="S29" s="3763">
        <v>40.0</v>
      </c>
      <c r="T29" s="3708">
        <f>Fighters!$S28</f>
        <v>27</v>
      </c>
      <c r="U29" s="3708">
        <f>Fighters!$T28</f>
        <v>24</v>
      </c>
      <c r="V29" s="3710" t="str">
        <f>Fighters!$V28</f>
        <v>mewtwo</v>
      </c>
    </row>
    <row r="30">
      <c r="A30" s="3700">
        <f>Fighters!$A29</f>
        <v>25</v>
      </c>
      <c r="B30" s="3701" t="str">
        <f>Fighters!$B29</f>
        <v>ロイ</v>
      </c>
      <c r="C30" s="3762">
        <v>19.0</v>
      </c>
      <c r="D30" s="139" t="s">
        <v>871</v>
      </c>
      <c r="E30" s="3762">
        <v>34.0</v>
      </c>
      <c r="F30" s="139" t="s">
        <v>2279</v>
      </c>
      <c r="G30" s="3762">
        <v>45.0</v>
      </c>
      <c r="H30" s="139" t="s">
        <v>873</v>
      </c>
      <c r="I30" s="3762">
        <v>14.0</v>
      </c>
      <c r="J30" s="3787" t="s">
        <v>872</v>
      </c>
      <c r="K30" s="138">
        <v>55.0</v>
      </c>
      <c r="L30" s="239" t="s">
        <v>1053</v>
      </c>
      <c r="M30" s="3763">
        <v>10.0</v>
      </c>
      <c r="N30" s="139" t="s">
        <v>875</v>
      </c>
      <c r="O30" s="3762">
        <v>26.0</v>
      </c>
      <c r="P30" s="139" t="s">
        <v>875</v>
      </c>
      <c r="Q30" s="3762">
        <v>40.0</v>
      </c>
      <c r="R30" s="139" t="s">
        <v>875</v>
      </c>
      <c r="S30" s="3763">
        <v>40.0</v>
      </c>
      <c r="T30" s="3708">
        <f>Fighters!$S29</f>
        <v>28</v>
      </c>
      <c r="U30" s="3708">
        <f>Fighters!$T29</f>
        <v>25</v>
      </c>
      <c r="V30" s="3710" t="str">
        <f>Fighters!$V29</f>
        <v>roy</v>
      </c>
    </row>
    <row r="31">
      <c r="A31" s="3700" t="str">
        <f>Fighters!$A30</f>
        <v>25'</v>
      </c>
      <c r="B31" s="3701" t="str">
        <f>Fighters!$B30</f>
        <v>クロム</v>
      </c>
      <c r="C31" s="3762">
        <v>19.0</v>
      </c>
      <c r="D31" s="139" t="s">
        <v>871</v>
      </c>
      <c r="E31" s="3762">
        <v>34.0</v>
      </c>
      <c r="F31" s="139" t="s">
        <v>2279</v>
      </c>
      <c r="G31" s="3762">
        <v>45.0</v>
      </c>
      <c r="H31" s="139" t="s">
        <v>873</v>
      </c>
      <c r="I31" s="3762">
        <v>14.0</v>
      </c>
      <c r="J31" s="3787" t="s">
        <v>872</v>
      </c>
      <c r="K31" s="138">
        <v>55.0</v>
      </c>
      <c r="L31" s="239" t="s">
        <v>1053</v>
      </c>
      <c r="M31" s="3763">
        <v>10.0</v>
      </c>
      <c r="N31" s="139" t="s">
        <v>875</v>
      </c>
      <c r="O31" s="3762">
        <v>26.0</v>
      </c>
      <c r="P31" s="139" t="s">
        <v>875</v>
      </c>
      <c r="Q31" s="3762">
        <v>40.0</v>
      </c>
      <c r="R31" s="139" t="s">
        <v>875</v>
      </c>
      <c r="S31" s="3763">
        <v>40.0</v>
      </c>
      <c r="T31" s="3708">
        <f>Fighters!$S30</f>
        <v>29</v>
      </c>
      <c r="U31" s="3708">
        <f>Fighters!$T30</f>
        <v>75</v>
      </c>
      <c r="V31" s="3710" t="str">
        <f>Fighters!$V30</f>
        <v>chrom</v>
      </c>
    </row>
    <row r="32">
      <c r="A32" s="3700">
        <f>Fighters!$A31</f>
        <v>26</v>
      </c>
      <c r="B32" s="3701" t="str">
        <f>Fighters!$B31</f>
        <v>Mr. ゲーム&amp;ウォッチ</v>
      </c>
      <c r="C32" s="3762">
        <v>19.0</v>
      </c>
      <c r="D32" s="139" t="s">
        <v>871</v>
      </c>
      <c r="E32" s="3762">
        <v>34.0</v>
      </c>
      <c r="F32" s="139" t="s">
        <v>3198</v>
      </c>
      <c r="G32" s="3762">
        <v>45.0</v>
      </c>
      <c r="H32" s="139" t="s">
        <v>873</v>
      </c>
      <c r="I32" s="3762">
        <v>14.0</v>
      </c>
      <c r="J32" s="3787" t="s">
        <v>2699</v>
      </c>
      <c r="K32" s="138">
        <v>55.0</v>
      </c>
      <c r="L32" s="239" t="s">
        <v>4135</v>
      </c>
      <c r="M32" s="3763">
        <v>9.0</v>
      </c>
      <c r="N32" s="139" t="s">
        <v>875</v>
      </c>
      <c r="O32" s="3762">
        <v>26.0</v>
      </c>
      <c r="P32" s="139" t="s">
        <v>875</v>
      </c>
      <c r="Q32" s="3762">
        <v>40.0</v>
      </c>
      <c r="R32" s="139" t="s">
        <v>875</v>
      </c>
      <c r="S32" s="3763">
        <v>40.0</v>
      </c>
      <c r="T32" s="3708">
        <f>Fighters!$S31</f>
        <v>30</v>
      </c>
      <c r="U32" s="3708">
        <f>Fighters!$T31</f>
        <v>26</v>
      </c>
      <c r="V32" s="3710" t="str">
        <f>Fighters!$V31</f>
        <v>gamewatch</v>
      </c>
    </row>
    <row r="33">
      <c r="A33" s="3700">
        <f>Fighters!$A32</f>
        <v>27</v>
      </c>
      <c r="B33" s="3701" t="str">
        <f>Fighters!$B32</f>
        <v>メタナイト</v>
      </c>
      <c r="C33" s="3762">
        <v>19.0</v>
      </c>
      <c r="D33" s="139" t="s">
        <v>871</v>
      </c>
      <c r="E33" s="3762">
        <v>34.0</v>
      </c>
      <c r="F33" s="139" t="s">
        <v>2279</v>
      </c>
      <c r="G33" s="3762">
        <v>45.0</v>
      </c>
      <c r="H33" s="139" t="s">
        <v>873</v>
      </c>
      <c r="I33" s="3762">
        <v>14.0</v>
      </c>
      <c r="J33" s="3787" t="s">
        <v>2279</v>
      </c>
      <c r="K33" s="138">
        <v>55.0</v>
      </c>
      <c r="L33" s="239" t="s">
        <v>739</v>
      </c>
      <c r="M33" s="3763">
        <v>9.0</v>
      </c>
      <c r="N33" s="139" t="s">
        <v>875</v>
      </c>
      <c r="O33" s="3762">
        <v>26.0</v>
      </c>
      <c r="P33" s="139" t="s">
        <v>875</v>
      </c>
      <c r="Q33" s="3762">
        <v>40.0</v>
      </c>
      <c r="R33" s="139" t="s">
        <v>875</v>
      </c>
      <c r="S33" s="3763">
        <v>40.0</v>
      </c>
      <c r="T33" s="3708">
        <f>Fighters!$S32</f>
        <v>31</v>
      </c>
      <c r="U33" s="3708">
        <f>Fighters!$T32</f>
        <v>27</v>
      </c>
      <c r="V33" s="3710" t="str">
        <f>Fighters!$V32</f>
        <v>metaknight</v>
      </c>
    </row>
    <row r="34">
      <c r="A34" s="3700">
        <f>Fighters!$A33</f>
        <v>28</v>
      </c>
      <c r="B34" s="3701" t="str">
        <f>Fighters!$B33</f>
        <v>ピット</v>
      </c>
      <c r="C34" s="3762">
        <v>19.0</v>
      </c>
      <c r="D34" s="139" t="s">
        <v>871</v>
      </c>
      <c r="E34" s="3762">
        <v>34.0</v>
      </c>
      <c r="F34" s="139" t="s">
        <v>2699</v>
      </c>
      <c r="G34" s="3762">
        <v>45.0</v>
      </c>
      <c r="H34" s="139" t="s">
        <v>873</v>
      </c>
      <c r="I34" s="3762">
        <v>14.0</v>
      </c>
      <c r="J34" s="3787" t="s">
        <v>2279</v>
      </c>
      <c r="K34" s="138">
        <v>55.0</v>
      </c>
      <c r="L34" s="239" t="s">
        <v>739</v>
      </c>
      <c r="M34" s="3763">
        <v>9.0</v>
      </c>
      <c r="N34" s="139" t="s">
        <v>875</v>
      </c>
      <c r="O34" s="3762">
        <v>26.0</v>
      </c>
      <c r="P34" s="139" t="s">
        <v>875</v>
      </c>
      <c r="Q34" s="3762">
        <v>40.0</v>
      </c>
      <c r="R34" s="139" t="s">
        <v>875</v>
      </c>
      <c r="S34" s="3763">
        <v>40.0</v>
      </c>
      <c r="T34" s="3708">
        <f>Fighters!$S33</f>
        <v>32</v>
      </c>
      <c r="U34" s="3708">
        <f>Fighters!$T33</f>
        <v>28</v>
      </c>
      <c r="V34" s="3710" t="str">
        <f>Fighters!$V33</f>
        <v>pit</v>
      </c>
    </row>
    <row r="35">
      <c r="A35" s="3700" t="str">
        <f>Fighters!$A34</f>
        <v>28'</v>
      </c>
      <c r="B35" s="3701" t="str">
        <f>Fighters!$B34</f>
        <v>ブラックピット</v>
      </c>
      <c r="C35" s="3762">
        <v>19.0</v>
      </c>
      <c r="D35" s="139" t="s">
        <v>871</v>
      </c>
      <c r="E35" s="3762">
        <v>34.0</v>
      </c>
      <c r="F35" s="139" t="s">
        <v>2699</v>
      </c>
      <c r="G35" s="3762">
        <v>45.0</v>
      </c>
      <c r="H35" s="139" t="s">
        <v>873</v>
      </c>
      <c r="I35" s="3762">
        <v>14.0</v>
      </c>
      <c r="J35" s="3787" t="s">
        <v>2279</v>
      </c>
      <c r="K35" s="138">
        <v>55.0</v>
      </c>
      <c r="L35" s="239" t="s">
        <v>739</v>
      </c>
      <c r="M35" s="3763">
        <v>9.0</v>
      </c>
      <c r="N35" s="139" t="s">
        <v>875</v>
      </c>
      <c r="O35" s="3762">
        <v>26.0</v>
      </c>
      <c r="P35" s="139" t="s">
        <v>875</v>
      </c>
      <c r="Q35" s="3762">
        <v>40.0</v>
      </c>
      <c r="R35" s="139" t="s">
        <v>875</v>
      </c>
      <c r="S35" s="3763">
        <v>40.0</v>
      </c>
      <c r="T35" s="3708">
        <f>Fighters!$S34</f>
        <v>33</v>
      </c>
      <c r="U35" s="3708">
        <f>Fighters!$T34</f>
        <v>76</v>
      </c>
      <c r="V35" s="3710" t="str">
        <f>Fighters!$V34</f>
        <v>pitb</v>
      </c>
    </row>
    <row r="36">
      <c r="A36" s="3700">
        <f>Fighters!$A35</f>
        <v>29</v>
      </c>
      <c r="B36" s="3701" t="str">
        <f>Fighters!$B35</f>
        <v>ゼロスーツサムス</v>
      </c>
      <c r="C36" s="3762">
        <v>19.0</v>
      </c>
      <c r="D36" s="139" t="s">
        <v>871</v>
      </c>
      <c r="E36" s="3762">
        <v>34.0</v>
      </c>
      <c r="F36" s="139" t="s">
        <v>872</v>
      </c>
      <c r="G36" s="3762">
        <v>45.0</v>
      </c>
      <c r="H36" s="139" t="s">
        <v>873</v>
      </c>
      <c r="I36" s="3762">
        <v>14.0</v>
      </c>
      <c r="J36" s="3787" t="s">
        <v>878</v>
      </c>
      <c r="K36" s="138">
        <v>55.0</v>
      </c>
      <c r="L36" s="239" t="s">
        <v>894</v>
      </c>
      <c r="M36" s="3763">
        <v>9.0</v>
      </c>
      <c r="N36" s="139" t="s">
        <v>875</v>
      </c>
      <c r="O36" s="3762">
        <v>26.0</v>
      </c>
      <c r="P36" s="139" t="s">
        <v>875</v>
      </c>
      <c r="Q36" s="3762">
        <v>40.0</v>
      </c>
      <c r="R36" s="139" t="s">
        <v>875</v>
      </c>
      <c r="S36" s="3763">
        <v>40.0</v>
      </c>
      <c r="T36" s="3708">
        <f>Fighters!$S35</f>
        <v>34</v>
      </c>
      <c r="U36" s="3708">
        <f>Fighters!$T35</f>
        <v>29</v>
      </c>
      <c r="V36" s="3710" t="str">
        <f>Fighters!$V35</f>
        <v>szerosuit</v>
      </c>
    </row>
    <row r="37">
      <c r="A37" s="3700">
        <f>Fighters!$A36</f>
        <v>30</v>
      </c>
      <c r="B37" s="3701" t="str">
        <f>Fighters!$B36</f>
        <v>ワリオ</v>
      </c>
      <c r="C37" s="3762">
        <v>19.0</v>
      </c>
      <c r="D37" s="139" t="s">
        <v>871</v>
      </c>
      <c r="E37" s="3762">
        <v>34.0</v>
      </c>
      <c r="F37" s="139" t="s">
        <v>2699</v>
      </c>
      <c r="G37" s="3762">
        <v>45.0</v>
      </c>
      <c r="H37" s="139" t="s">
        <v>873</v>
      </c>
      <c r="I37" s="3762">
        <v>14.0</v>
      </c>
      <c r="J37" s="3787" t="s">
        <v>875</v>
      </c>
      <c r="K37" s="138">
        <v>55.0</v>
      </c>
      <c r="L37" s="239" t="s">
        <v>312</v>
      </c>
      <c r="M37" s="3763">
        <v>10.0</v>
      </c>
      <c r="N37" s="139" t="s">
        <v>875</v>
      </c>
      <c r="O37" s="3762">
        <v>26.0</v>
      </c>
      <c r="P37" s="139" t="s">
        <v>875</v>
      </c>
      <c r="Q37" s="3762">
        <v>40.0</v>
      </c>
      <c r="R37" s="139" t="s">
        <v>875</v>
      </c>
      <c r="S37" s="3763">
        <v>40.0</v>
      </c>
      <c r="T37" s="3708">
        <f>Fighters!$S36</f>
        <v>35</v>
      </c>
      <c r="U37" s="3708">
        <f>Fighters!$T36</f>
        <v>30</v>
      </c>
      <c r="V37" s="3710" t="str">
        <f>Fighters!$V36</f>
        <v>wario</v>
      </c>
    </row>
    <row r="38">
      <c r="A38" s="3700">
        <f>Fighters!$A37</f>
        <v>31</v>
      </c>
      <c r="B38" s="3701" t="str">
        <f>Fighters!$B37</f>
        <v>スネーク</v>
      </c>
      <c r="C38" s="3762">
        <v>19.0</v>
      </c>
      <c r="D38" s="139" t="s">
        <v>871</v>
      </c>
      <c r="E38" s="3762">
        <v>34.0</v>
      </c>
      <c r="F38" s="139" t="s">
        <v>872</v>
      </c>
      <c r="G38" s="3762">
        <v>45.0</v>
      </c>
      <c r="H38" s="139" t="s">
        <v>873</v>
      </c>
      <c r="I38" s="3762">
        <v>14.0</v>
      </c>
      <c r="J38" s="3787" t="s">
        <v>2279</v>
      </c>
      <c r="K38" s="138">
        <v>55.0</v>
      </c>
      <c r="L38" s="239" t="s">
        <v>739</v>
      </c>
      <c r="M38" s="3763">
        <v>10.0</v>
      </c>
      <c r="N38" s="139" t="s">
        <v>875</v>
      </c>
      <c r="O38" s="3762">
        <v>26.0</v>
      </c>
      <c r="P38" s="139" t="s">
        <v>875</v>
      </c>
      <c r="Q38" s="3762">
        <v>40.0</v>
      </c>
      <c r="R38" s="139" t="s">
        <v>875</v>
      </c>
      <c r="S38" s="3763">
        <v>40.0</v>
      </c>
      <c r="T38" s="3708">
        <f>Fighters!$S37</f>
        <v>36</v>
      </c>
      <c r="U38" s="3708">
        <f>Fighters!$T37</f>
        <v>31</v>
      </c>
      <c r="V38" s="3710" t="str">
        <f>Fighters!$V37</f>
        <v>snake</v>
      </c>
    </row>
    <row r="39">
      <c r="A39" s="3700">
        <f>Fighters!$A38</f>
        <v>32</v>
      </c>
      <c r="B39" s="3701" t="str">
        <f>Fighters!$B38</f>
        <v>アイク</v>
      </c>
      <c r="C39" s="3762">
        <v>19.0</v>
      </c>
      <c r="D39" s="139" t="s">
        <v>871</v>
      </c>
      <c r="E39" s="3762">
        <v>34.0</v>
      </c>
      <c r="F39" s="139" t="s">
        <v>879</v>
      </c>
      <c r="G39" s="3762">
        <v>45.0</v>
      </c>
      <c r="H39" s="139" t="s">
        <v>873</v>
      </c>
      <c r="I39" s="3762">
        <v>14.0</v>
      </c>
      <c r="J39" s="3787" t="s">
        <v>874</v>
      </c>
      <c r="K39" s="138">
        <v>55.0</v>
      </c>
      <c r="L39" s="239" t="s">
        <v>378</v>
      </c>
      <c r="M39" s="3763">
        <v>10.0</v>
      </c>
      <c r="N39" s="139" t="s">
        <v>875</v>
      </c>
      <c r="O39" s="3762">
        <v>26.0</v>
      </c>
      <c r="P39" s="139" t="s">
        <v>875</v>
      </c>
      <c r="Q39" s="3762">
        <v>40.0</v>
      </c>
      <c r="R39" s="139" t="s">
        <v>875</v>
      </c>
      <c r="S39" s="3763">
        <v>40.0</v>
      </c>
      <c r="T39" s="3708">
        <f>Fighters!$S38</f>
        <v>37</v>
      </c>
      <c r="U39" s="3708">
        <f>Fighters!$T38</f>
        <v>32</v>
      </c>
      <c r="V39" s="3710" t="str">
        <f>Fighters!$V38</f>
        <v>ike</v>
      </c>
    </row>
    <row r="40">
      <c r="A40" s="3700">
        <f>Fighters!$A39</f>
        <v>33</v>
      </c>
      <c r="B40" s="3701" t="str">
        <f>Fighters!$B39</f>
        <v>ゼニガメ</v>
      </c>
      <c r="C40" s="3762">
        <v>19.0</v>
      </c>
      <c r="D40" s="139" t="s">
        <v>871</v>
      </c>
      <c r="E40" s="3762">
        <v>34.0</v>
      </c>
      <c r="F40" s="139" t="s">
        <v>1133</v>
      </c>
      <c r="G40" s="3762">
        <v>45.0</v>
      </c>
      <c r="H40" s="139" t="s">
        <v>1084</v>
      </c>
      <c r="I40" s="3762">
        <v>12.0</v>
      </c>
      <c r="J40" s="3787" t="s">
        <v>2087</v>
      </c>
      <c r="K40" s="138">
        <v>55.0</v>
      </c>
      <c r="L40" s="239" t="s">
        <v>380</v>
      </c>
      <c r="M40" s="3763">
        <v>9.0</v>
      </c>
      <c r="N40" s="139" t="s">
        <v>875</v>
      </c>
      <c r="O40" s="3762">
        <v>26.0</v>
      </c>
      <c r="P40" s="139" t="s">
        <v>875</v>
      </c>
      <c r="Q40" s="3762">
        <v>40.0</v>
      </c>
      <c r="R40" s="139" t="s">
        <v>875</v>
      </c>
      <c r="S40" s="3763">
        <v>40.0</v>
      </c>
      <c r="T40" s="3708">
        <f>Fighters!$S39</f>
        <v>38</v>
      </c>
      <c r="U40" s="3708">
        <f>Fighters!$T39</f>
        <v>33</v>
      </c>
      <c r="V40" s="3710" t="str">
        <f>Fighters!$V39</f>
        <v>pzenigame</v>
      </c>
    </row>
    <row r="41">
      <c r="A41" s="3700">
        <f>Fighters!$A40</f>
        <v>34</v>
      </c>
      <c r="B41" s="3701" t="str">
        <f>Fighters!$B40</f>
        <v>フシギソウ</v>
      </c>
      <c r="C41" s="3762">
        <v>19.0</v>
      </c>
      <c r="D41" s="139" t="s">
        <v>871</v>
      </c>
      <c r="E41" s="3762">
        <v>34.0</v>
      </c>
      <c r="F41" s="139" t="s">
        <v>875</v>
      </c>
      <c r="G41" s="3762">
        <v>45.0</v>
      </c>
      <c r="H41" s="139" t="s">
        <v>873</v>
      </c>
      <c r="I41" s="3762">
        <v>14.0</v>
      </c>
      <c r="J41" s="3787" t="s">
        <v>1133</v>
      </c>
      <c r="K41" s="138">
        <v>55.0</v>
      </c>
      <c r="L41" s="239" t="s">
        <v>314</v>
      </c>
      <c r="M41" s="3763">
        <v>9.0</v>
      </c>
      <c r="N41" s="139" t="s">
        <v>875</v>
      </c>
      <c r="O41" s="3762">
        <v>26.0</v>
      </c>
      <c r="P41" s="139" t="s">
        <v>875</v>
      </c>
      <c r="Q41" s="3789">
        <v>40.0</v>
      </c>
      <c r="R41" s="139" t="s">
        <v>875</v>
      </c>
      <c r="S41" s="3788">
        <v>40.0</v>
      </c>
      <c r="T41" s="3708">
        <f>Fighters!$S40</f>
        <v>39</v>
      </c>
      <c r="U41" s="3708">
        <f>Fighters!$T40</f>
        <v>34</v>
      </c>
      <c r="V41" s="3710" t="str">
        <f>Fighters!$V40</f>
        <v>pfushigisou</v>
      </c>
    </row>
    <row r="42">
      <c r="A42" s="3700">
        <f>Fighters!$A41</f>
        <v>35</v>
      </c>
      <c r="B42" s="3701" t="str">
        <f>Fighters!$B41</f>
        <v>リザードン</v>
      </c>
      <c r="C42" s="3762">
        <v>19.0</v>
      </c>
      <c r="D42" s="139" t="s">
        <v>871</v>
      </c>
      <c r="E42" s="3762">
        <v>34.0</v>
      </c>
      <c r="F42" s="139" t="s">
        <v>874</v>
      </c>
      <c r="G42" s="3762">
        <v>45.0</v>
      </c>
      <c r="H42" s="139" t="s">
        <v>873</v>
      </c>
      <c r="I42" s="3762">
        <v>14.0</v>
      </c>
      <c r="J42" s="3787" t="s">
        <v>2699</v>
      </c>
      <c r="K42" s="138">
        <v>55.0</v>
      </c>
      <c r="L42" s="239" t="s">
        <v>4135</v>
      </c>
      <c r="M42" s="3763">
        <v>10.0</v>
      </c>
      <c r="N42" s="139" t="s">
        <v>875</v>
      </c>
      <c r="O42" s="3762">
        <v>26.0</v>
      </c>
      <c r="P42" s="139" t="s">
        <v>875</v>
      </c>
      <c r="Q42" s="3762">
        <v>40.0</v>
      </c>
      <c r="R42" s="139" t="s">
        <v>875</v>
      </c>
      <c r="S42" s="3763">
        <v>40.0</v>
      </c>
      <c r="T42" s="3708">
        <f>Fighters!$S41</f>
        <v>40</v>
      </c>
      <c r="U42" s="3708">
        <f>Fighters!$T41</f>
        <v>35</v>
      </c>
      <c r="V42" s="3710" t="str">
        <f>Fighters!$V41</f>
        <v>plizardon</v>
      </c>
    </row>
    <row r="43">
      <c r="A43" s="3700">
        <f>Fighters!$A42</f>
        <v>36</v>
      </c>
      <c r="B43" s="3701" t="str">
        <f>Fighters!$B42</f>
        <v>ディディーコング</v>
      </c>
      <c r="C43" s="3762">
        <v>19.0</v>
      </c>
      <c r="D43" s="139" t="s">
        <v>871</v>
      </c>
      <c r="E43" s="3762">
        <v>34.0</v>
      </c>
      <c r="F43" s="139" t="s">
        <v>2699</v>
      </c>
      <c r="G43" s="3762">
        <v>45.0</v>
      </c>
      <c r="H43" s="139" t="s">
        <v>873</v>
      </c>
      <c r="I43" s="3762">
        <v>14.0</v>
      </c>
      <c r="J43" s="3787" t="s">
        <v>872</v>
      </c>
      <c r="K43" s="138">
        <v>55.0</v>
      </c>
      <c r="L43" s="239" t="s">
        <v>1053</v>
      </c>
      <c r="M43" s="3763">
        <v>9.0</v>
      </c>
      <c r="N43" s="139" t="s">
        <v>875</v>
      </c>
      <c r="O43" s="3762">
        <v>26.0</v>
      </c>
      <c r="P43" s="139" t="s">
        <v>875</v>
      </c>
      <c r="Q43" s="3762">
        <v>40.0</v>
      </c>
      <c r="R43" s="139" t="s">
        <v>875</v>
      </c>
      <c r="S43" s="3763">
        <v>40.0</v>
      </c>
      <c r="T43" s="3708">
        <f>Fighters!$S42</f>
        <v>41</v>
      </c>
      <c r="U43" s="3708">
        <f>Fighters!$T42</f>
        <v>36</v>
      </c>
      <c r="V43" s="3710" t="str">
        <f>Fighters!$V42</f>
        <v>diddy</v>
      </c>
    </row>
    <row r="44">
      <c r="A44" s="3700">
        <f>Fighters!$A43</f>
        <v>37</v>
      </c>
      <c r="B44" s="3701" t="str">
        <f>Fighters!$B43</f>
        <v>リュカ</v>
      </c>
      <c r="C44" s="3762">
        <v>19.0</v>
      </c>
      <c r="D44" s="139" t="s">
        <v>871</v>
      </c>
      <c r="E44" s="3762">
        <v>34.0</v>
      </c>
      <c r="F44" s="139" t="s">
        <v>875</v>
      </c>
      <c r="G44" s="3762">
        <v>45.0</v>
      </c>
      <c r="H44" s="139" t="s">
        <v>873</v>
      </c>
      <c r="I44" s="3762">
        <v>14.0</v>
      </c>
      <c r="J44" s="3787" t="s">
        <v>879</v>
      </c>
      <c r="K44" s="138">
        <v>55.0</v>
      </c>
      <c r="L44" s="239" t="s">
        <v>1918</v>
      </c>
      <c r="M44" s="3763">
        <v>9.0</v>
      </c>
      <c r="N44" s="139" t="s">
        <v>875</v>
      </c>
      <c r="O44" s="3762">
        <v>26.0</v>
      </c>
      <c r="P44" s="139" t="s">
        <v>875</v>
      </c>
      <c r="Q44" s="3762">
        <v>40.0</v>
      </c>
      <c r="R44" s="139" t="s">
        <v>875</v>
      </c>
      <c r="S44" s="3763">
        <v>40.0</v>
      </c>
      <c r="T44" s="3708">
        <f>Fighters!$S43</f>
        <v>42</v>
      </c>
      <c r="U44" s="3708">
        <f>Fighters!$T43</f>
        <v>37</v>
      </c>
      <c r="V44" s="3710" t="str">
        <f>Fighters!$V43</f>
        <v>lucas</v>
      </c>
    </row>
    <row r="45">
      <c r="A45" s="3700">
        <f>Fighters!$A44</f>
        <v>38</v>
      </c>
      <c r="B45" s="3701" t="str">
        <f>Fighters!$B44</f>
        <v>ソニック</v>
      </c>
      <c r="C45" s="3762">
        <v>19.0</v>
      </c>
      <c r="D45" s="139" t="s">
        <v>871</v>
      </c>
      <c r="E45" s="3762">
        <v>34.0</v>
      </c>
      <c r="F45" s="139" t="s">
        <v>2279</v>
      </c>
      <c r="G45" s="3762">
        <v>45.0</v>
      </c>
      <c r="H45" s="139" t="s">
        <v>873</v>
      </c>
      <c r="I45" s="3762">
        <v>14.0</v>
      </c>
      <c r="J45" s="3787" t="s">
        <v>874</v>
      </c>
      <c r="K45" s="138">
        <v>55.0</v>
      </c>
      <c r="L45" s="239" t="s">
        <v>378</v>
      </c>
      <c r="M45" s="3763">
        <v>9.0</v>
      </c>
      <c r="N45" s="139" t="s">
        <v>875</v>
      </c>
      <c r="O45" s="3762">
        <v>26.0</v>
      </c>
      <c r="P45" s="139" t="s">
        <v>875</v>
      </c>
      <c r="Q45" s="3762">
        <v>40.0</v>
      </c>
      <c r="R45" s="139" t="s">
        <v>875</v>
      </c>
      <c r="S45" s="3763">
        <v>40.0</v>
      </c>
      <c r="T45" s="3708">
        <f>Fighters!$S44</f>
        <v>43</v>
      </c>
      <c r="U45" s="3708">
        <f>Fighters!$T44</f>
        <v>38</v>
      </c>
      <c r="V45" s="3710" t="str">
        <f>Fighters!$V44</f>
        <v>sonic</v>
      </c>
    </row>
    <row r="46">
      <c r="A46" s="3700">
        <f>Fighters!$A45</f>
        <v>39</v>
      </c>
      <c r="B46" s="3701" t="str">
        <f>Fighters!$B45</f>
        <v>デデデ</v>
      </c>
      <c r="C46" s="3762">
        <v>19.0</v>
      </c>
      <c r="D46" s="139" t="s">
        <v>871</v>
      </c>
      <c r="E46" s="3762">
        <v>34.0</v>
      </c>
      <c r="F46" s="139" t="s">
        <v>459</v>
      </c>
      <c r="G46" s="3762">
        <v>45.0</v>
      </c>
      <c r="H46" s="139" t="s">
        <v>873</v>
      </c>
      <c r="I46" s="3762">
        <v>14.0</v>
      </c>
      <c r="J46" s="3787" t="s">
        <v>2699</v>
      </c>
      <c r="K46" s="138">
        <v>55.0</v>
      </c>
      <c r="L46" s="239" t="s">
        <v>4135</v>
      </c>
      <c r="M46" s="3763">
        <v>10.0</v>
      </c>
      <c r="N46" s="139" t="s">
        <v>875</v>
      </c>
      <c r="O46" s="3762">
        <v>26.0</v>
      </c>
      <c r="P46" s="139" t="s">
        <v>875</v>
      </c>
      <c r="Q46" s="3762">
        <v>40.0</v>
      </c>
      <c r="R46" s="139" t="s">
        <v>875</v>
      </c>
      <c r="S46" s="3763">
        <v>40.0</v>
      </c>
      <c r="T46" s="3708">
        <f>Fighters!$S45</f>
        <v>44</v>
      </c>
      <c r="U46" s="3708">
        <f>Fighters!$T45</f>
        <v>39</v>
      </c>
      <c r="V46" s="3710" t="str">
        <f>Fighters!$V45</f>
        <v>dedede</v>
      </c>
    </row>
    <row r="47">
      <c r="A47" s="3700">
        <f>Fighters!$A46</f>
        <v>40</v>
      </c>
      <c r="B47" s="3701" t="str">
        <f>Fighters!$B46</f>
        <v>ピクミン&amp;オリマー</v>
      </c>
      <c r="C47" s="3762">
        <v>19.0</v>
      </c>
      <c r="D47" s="139" t="s">
        <v>871</v>
      </c>
      <c r="E47" s="3762">
        <v>34.0</v>
      </c>
      <c r="F47" s="139" t="s">
        <v>2279</v>
      </c>
      <c r="G47" s="3762">
        <v>45.0</v>
      </c>
      <c r="H47" s="139" t="s">
        <v>873</v>
      </c>
      <c r="I47" s="3762">
        <v>14.0</v>
      </c>
      <c r="J47" s="3787" t="s">
        <v>874</v>
      </c>
      <c r="K47" s="138">
        <v>55.0</v>
      </c>
      <c r="L47" s="239" t="s">
        <v>378</v>
      </c>
      <c r="M47" s="3763">
        <v>9.0</v>
      </c>
      <c r="N47" s="139" t="s">
        <v>875</v>
      </c>
      <c r="O47" s="3762">
        <v>26.0</v>
      </c>
      <c r="P47" s="139" t="s">
        <v>875</v>
      </c>
      <c r="Q47" s="3762">
        <v>40.0</v>
      </c>
      <c r="R47" s="139" t="s">
        <v>875</v>
      </c>
      <c r="S47" s="3763">
        <v>40.0</v>
      </c>
      <c r="T47" s="3708">
        <f>Fighters!$S46</f>
        <v>45</v>
      </c>
      <c r="U47" s="3708">
        <f>Fighters!$T46</f>
        <v>40</v>
      </c>
      <c r="V47" s="3710" t="str">
        <f>Fighters!$V46</f>
        <v>pikmin</v>
      </c>
    </row>
    <row r="48">
      <c r="A48" s="3700">
        <f>Fighters!$A47</f>
        <v>41</v>
      </c>
      <c r="B48" s="3701" t="str">
        <f>Fighters!$B47</f>
        <v>ルカリオ</v>
      </c>
      <c r="C48" s="3762">
        <v>19.0</v>
      </c>
      <c r="D48" s="139" t="s">
        <v>871</v>
      </c>
      <c r="E48" s="3762">
        <v>34.0</v>
      </c>
      <c r="F48" s="139" t="s">
        <v>2699</v>
      </c>
      <c r="G48" s="3762">
        <v>45.0</v>
      </c>
      <c r="H48" s="139" t="s">
        <v>873</v>
      </c>
      <c r="I48" s="3762">
        <v>14.0</v>
      </c>
      <c r="J48" s="3787" t="s">
        <v>875</v>
      </c>
      <c r="K48" s="138">
        <v>55.0</v>
      </c>
      <c r="L48" s="239" t="s">
        <v>312</v>
      </c>
      <c r="M48" s="3763">
        <v>9.0</v>
      </c>
      <c r="N48" s="139" t="s">
        <v>875</v>
      </c>
      <c r="O48" s="3762">
        <v>26.0</v>
      </c>
      <c r="P48" s="139" t="s">
        <v>875</v>
      </c>
      <c r="Q48" s="3762">
        <v>40.0</v>
      </c>
      <c r="R48" s="139" t="s">
        <v>875</v>
      </c>
      <c r="S48" s="3763">
        <v>40.0</v>
      </c>
      <c r="T48" s="3708">
        <f>Fighters!$S47</f>
        <v>46</v>
      </c>
      <c r="U48" s="3708">
        <f>Fighters!$T47</f>
        <v>41</v>
      </c>
      <c r="V48" s="3710" t="str">
        <f>Fighters!$V47</f>
        <v>lucario</v>
      </c>
    </row>
    <row r="49">
      <c r="A49" s="3700">
        <f>Fighters!$A48</f>
        <v>42</v>
      </c>
      <c r="B49" s="3701" t="str">
        <f>Fighters!$B48</f>
        <v>ロボット</v>
      </c>
      <c r="C49" s="3762">
        <v>19.0</v>
      </c>
      <c r="D49" s="139" t="s">
        <v>871</v>
      </c>
      <c r="E49" s="3762">
        <v>34.0</v>
      </c>
      <c r="F49" s="139" t="s">
        <v>2279</v>
      </c>
      <c r="G49" s="3762">
        <v>45.0</v>
      </c>
      <c r="H49" s="139" t="s">
        <v>873</v>
      </c>
      <c r="I49" s="3762">
        <v>14.0</v>
      </c>
      <c r="J49" s="3787" t="s">
        <v>877</v>
      </c>
      <c r="K49" s="138">
        <v>55.0</v>
      </c>
      <c r="L49" s="239" t="s">
        <v>2159</v>
      </c>
      <c r="M49" s="3763">
        <v>9.0</v>
      </c>
      <c r="N49" s="139" t="s">
        <v>875</v>
      </c>
      <c r="O49" s="3762">
        <v>26.0</v>
      </c>
      <c r="P49" s="139" t="s">
        <v>875</v>
      </c>
      <c r="Q49" s="3762">
        <v>40.0</v>
      </c>
      <c r="R49" s="139" t="s">
        <v>875</v>
      </c>
      <c r="S49" s="3763">
        <v>40.0</v>
      </c>
      <c r="T49" s="3708">
        <f>Fighters!$S48</f>
        <v>47</v>
      </c>
      <c r="U49" s="3708">
        <f>Fighters!$T48</f>
        <v>42</v>
      </c>
      <c r="V49" s="3710" t="str">
        <f>Fighters!$V48</f>
        <v>robot</v>
      </c>
    </row>
    <row r="50">
      <c r="A50" s="3700">
        <f>Fighters!$A49</f>
        <v>43</v>
      </c>
      <c r="B50" s="3701" t="str">
        <f>Fighters!$B49</f>
        <v>トゥーンリンク</v>
      </c>
      <c r="C50" s="3762">
        <v>19.0</v>
      </c>
      <c r="D50" s="139" t="s">
        <v>871</v>
      </c>
      <c r="E50" s="3762">
        <v>34.0</v>
      </c>
      <c r="F50" s="139" t="s">
        <v>875</v>
      </c>
      <c r="G50" s="3762">
        <v>45.0</v>
      </c>
      <c r="H50" s="139" t="s">
        <v>873</v>
      </c>
      <c r="I50" s="3762">
        <v>14.0</v>
      </c>
      <c r="J50" s="3787" t="s">
        <v>1133</v>
      </c>
      <c r="K50" s="138">
        <v>55.0</v>
      </c>
      <c r="L50" s="239" t="s">
        <v>314</v>
      </c>
      <c r="M50" s="3763">
        <v>9.0</v>
      </c>
      <c r="N50" s="139" t="s">
        <v>875</v>
      </c>
      <c r="O50" s="3762">
        <v>26.0</v>
      </c>
      <c r="P50" s="139" t="s">
        <v>875</v>
      </c>
      <c r="Q50" s="3762">
        <v>40.0</v>
      </c>
      <c r="R50" s="139" t="s">
        <v>875</v>
      </c>
      <c r="S50" s="3763">
        <v>40.0</v>
      </c>
      <c r="T50" s="3708">
        <f>Fighters!$S49</f>
        <v>48</v>
      </c>
      <c r="U50" s="3708">
        <f>Fighters!$T49</f>
        <v>43</v>
      </c>
      <c r="V50" s="3710" t="str">
        <f>Fighters!$V49</f>
        <v>toonlink</v>
      </c>
    </row>
    <row r="51">
      <c r="A51" s="3700">
        <f>Fighters!$A50</f>
        <v>44</v>
      </c>
      <c r="B51" s="3701" t="str">
        <f>Fighters!$B50</f>
        <v>ウルフ</v>
      </c>
      <c r="C51" s="3762">
        <v>19.0</v>
      </c>
      <c r="D51" s="139" t="s">
        <v>871</v>
      </c>
      <c r="E51" s="3762">
        <v>34.0</v>
      </c>
      <c r="F51" s="139" t="s">
        <v>879</v>
      </c>
      <c r="G51" s="3762">
        <v>45.0</v>
      </c>
      <c r="H51" s="139" t="s">
        <v>873</v>
      </c>
      <c r="I51" s="3762">
        <v>14.0</v>
      </c>
      <c r="J51" s="3787" t="s">
        <v>2699</v>
      </c>
      <c r="K51" s="138">
        <v>55.0</v>
      </c>
      <c r="L51" s="239" t="s">
        <v>4135</v>
      </c>
      <c r="M51" s="3763">
        <v>9.0</v>
      </c>
      <c r="N51" s="139" t="s">
        <v>875</v>
      </c>
      <c r="O51" s="3762">
        <v>26.0</v>
      </c>
      <c r="P51" s="139" t="s">
        <v>875</v>
      </c>
      <c r="Q51" s="3762">
        <v>40.0</v>
      </c>
      <c r="R51" s="139" t="s">
        <v>875</v>
      </c>
      <c r="S51" s="3763">
        <v>40.0</v>
      </c>
      <c r="T51" s="3708">
        <f>Fighters!$S50</f>
        <v>49</v>
      </c>
      <c r="U51" s="3708">
        <f>Fighters!$T50</f>
        <v>44</v>
      </c>
      <c r="V51" s="3710" t="str">
        <f>Fighters!$V50</f>
        <v>wolf</v>
      </c>
    </row>
    <row r="52">
      <c r="A52" s="3700">
        <f>Fighters!$A51</f>
        <v>45</v>
      </c>
      <c r="B52" s="3701" t="str">
        <f>Fighters!$B51</f>
        <v>むらびと</v>
      </c>
      <c r="C52" s="3762">
        <v>19.0</v>
      </c>
      <c r="D52" s="139" t="s">
        <v>871</v>
      </c>
      <c r="E52" s="3762">
        <v>34.0</v>
      </c>
      <c r="F52" s="139" t="s">
        <v>879</v>
      </c>
      <c r="G52" s="3762">
        <v>45.0</v>
      </c>
      <c r="H52" s="139" t="s">
        <v>873</v>
      </c>
      <c r="I52" s="3762">
        <v>14.0</v>
      </c>
      <c r="J52" s="3787" t="s">
        <v>872</v>
      </c>
      <c r="K52" s="138">
        <v>55.0</v>
      </c>
      <c r="L52" s="239" t="s">
        <v>1053</v>
      </c>
      <c r="M52" s="3763">
        <v>9.0</v>
      </c>
      <c r="N52" s="139" t="s">
        <v>875</v>
      </c>
      <c r="O52" s="3762">
        <v>26.0</v>
      </c>
      <c r="P52" s="139" t="s">
        <v>875</v>
      </c>
      <c r="Q52" s="3762">
        <v>40.0</v>
      </c>
      <c r="R52" s="139" t="s">
        <v>875</v>
      </c>
      <c r="S52" s="3763">
        <v>40.0</v>
      </c>
      <c r="T52" s="3708">
        <f>Fighters!$S51</f>
        <v>50</v>
      </c>
      <c r="U52" s="3708">
        <f>Fighters!$T51</f>
        <v>45</v>
      </c>
      <c r="V52" s="3710" t="str">
        <f>Fighters!$V51</f>
        <v>murabito</v>
      </c>
    </row>
    <row r="53">
      <c r="A53" s="3700">
        <f>Fighters!$A52</f>
        <v>46</v>
      </c>
      <c r="B53" s="3701" t="str">
        <f>Fighters!$B52</f>
        <v>ロックマン</v>
      </c>
      <c r="C53" s="3762">
        <v>19.0</v>
      </c>
      <c r="D53" s="139" t="s">
        <v>871</v>
      </c>
      <c r="E53" s="3762">
        <v>34.0</v>
      </c>
      <c r="F53" s="139" t="s">
        <v>459</v>
      </c>
      <c r="G53" s="3762">
        <v>45.0</v>
      </c>
      <c r="H53" s="139" t="s">
        <v>873</v>
      </c>
      <c r="I53" s="3762">
        <v>14.0</v>
      </c>
      <c r="J53" s="3787" t="s">
        <v>2699</v>
      </c>
      <c r="K53" s="138">
        <v>55.0</v>
      </c>
      <c r="L53" s="239" t="s">
        <v>4135</v>
      </c>
      <c r="M53" s="3763">
        <v>9.0</v>
      </c>
      <c r="N53" s="139" t="s">
        <v>875</v>
      </c>
      <c r="O53" s="3762">
        <v>26.0</v>
      </c>
      <c r="P53" s="139" t="s">
        <v>875</v>
      </c>
      <c r="Q53" s="3789">
        <v>40.0</v>
      </c>
      <c r="R53" s="139" t="s">
        <v>875</v>
      </c>
      <c r="S53" s="3788">
        <v>40.0</v>
      </c>
      <c r="T53" s="3708">
        <f>Fighters!$S52</f>
        <v>51</v>
      </c>
      <c r="U53" s="3708">
        <f>Fighters!$T52</f>
        <v>46</v>
      </c>
      <c r="V53" s="3710" t="str">
        <f>Fighters!$V52</f>
        <v>rockman</v>
      </c>
    </row>
    <row r="54">
      <c r="A54" s="3700">
        <f>Fighters!$A53</f>
        <v>47</v>
      </c>
      <c r="B54" s="3701" t="str">
        <f>Fighters!$B53</f>
        <v>Wii Fit トレーナー</v>
      </c>
      <c r="C54" s="3762">
        <v>19.0</v>
      </c>
      <c r="D54" s="139" t="s">
        <v>871</v>
      </c>
      <c r="E54" s="3762">
        <v>34.0</v>
      </c>
      <c r="F54" s="139" t="s">
        <v>872</v>
      </c>
      <c r="G54" s="3762">
        <v>45.0</v>
      </c>
      <c r="H54" s="139" t="s">
        <v>873</v>
      </c>
      <c r="I54" s="3762">
        <v>14.0</v>
      </c>
      <c r="J54" s="3787" t="s">
        <v>874</v>
      </c>
      <c r="K54" s="138">
        <v>55.0</v>
      </c>
      <c r="L54" s="239" t="s">
        <v>378</v>
      </c>
      <c r="M54" s="3763">
        <v>9.0</v>
      </c>
      <c r="N54" s="139" t="s">
        <v>875</v>
      </c>
      <c r="O54" s="3762">
        <v>26.0</v>
      </c>
      <c r="P54" s="139" t="s">
        <v>875</v>
      </c>
      <c r="Q54" s="3762">
        <v>40.0</v>
      </c>
      <c r="R54" s="139" t="s">
        <v>875</v>
      </c>
      <c r="S54" s="3763">
        <v>40.0</v>
      </c>
      <c r="T54" s="3708">
        <f>Fighters!$S53</f>
        <v>52</v>
      </c>
      <c r="U54" s="3708">
        <f>Fighters!$T53</f>
        <v>47</v>
      </c>
      <c r="V54" s="3710" t="str">
        <f>Fighters!$V53</f>
        <v>wiifit</v>
      </c>
    </row>
    <row r="55">
      <c r="A55" s="3700">
        <f>Fighters!$A54</f>
        <v>48</v>
      </c>
      <c r="B55" s="3701" t="str">
        <f>Fighters!$B54</f>
        <v>ロゼッタ&amp;チコ</v>
      </c>
      <c r="C55" s="3762">
        <v>19.0</v>
      </c>
      <c r="D55" s="139" t="s">
        <v>871</v>
      </c>
      <c r="E55" s="3762">
        <v>34.0</v>
      </c>
      <c r="F55" s="139" t="s">
        <v>872</v>
      </c>
      <c r="G55" s="3762">
        <v>45.0</v>
      </c>
      <c r="H55" s="139" t="s">
        <v>873</v>
      </c>
      <c r="I55" s="3762">
        <v>14.0</v>
      </c>
      <c r="J55" s="3787" t="s">
        <v>874</v>
      </c>
      <c r="K55" s="138">
        <v>55.0</v>
      </c>
      <c r="L55" s="239" t="s">
        <v>378</v>
      </c>
      <c r="M55" s="3763">
        <v>9.0</v>
      </c>
      <c r="N55" s="139" t="s">
        <v>875</v>
      </c>
      <c r="O55" s="3762">
        <v>26.0</v>
      </c>
      <c r="P55" s="139" t="s">
        <v>875</v>
      </c>
      <c r="Q55" s="3762">
        <v>40.0</v>
      </c>
      <c r="R55" s="139" t="s">
        <v>875</v>
      </c>
      <c r="S55" s="3763">
        <v>40.0</v>
      </c>
      <c r="T55" s="3708">
        <f>Fighters!$S54</f>
        <v>53</v>
      </c>
      <c r="U55" s="3708">
        <f>Fighters!$T54</f>
        <v>48</v>
      </c>
      <c r="V55" s="3710" t="str">
        <f>Fighters!$V54</f>
        <v>rosetta</v>
      </c>
    </row>
    <row r="56">
      <c r="A56" s="3700">
        <f>Fighters!$A55</f>
        <v>49</v>
      </c>
      <c r="B56" s="3701" t="str">
        <f>Fighters!$B55</f>
        <v>リトル・マック</v>
      </c>
      <c r="C56" s="3762">
        <v>19.0</v>
      </c>
      <c r="D56" s="139" t="s">
        <v>871</v>
      </c>
      <c r="E56" s="3762">
        <v>34.0</v>
      </c>
      <c r="F56" s="139" t="s">
        <v>872</v>
      </c>
      <c r="G56" s="3762">
        <v>45.0</v>
      </c>
      <c r="H56" s="139" t="s">
        <v>873</v>
      </c>
      <c r="I56" s="3762">
        <v>14.0</v>
      </c>
      <c r="J56" s="3787" t="s">
        <v>872</v>
      </c>
      <c r="K56" s="138">
        <v>55.0</v>
      </c>
      <c r="L56" s="239" t="s">
        <v>1053</v>
      </c>
      <c r="M56" s="3763">
        <v>9.0</v>
      </c>
      <c r="N56" s="139" t="s">
        <v>875</v>
      </c>
      <c r="O56" s="3762">
        <v>26.0</v>
      </c>
      <c r="P56" s="139" t="s">
        <v>875</v>
      </c>
      <c r="Q56" s="3762">
        <v>40.0</v>
      </c>
      <c r="R56" s="139" t="s">
        <v>875</v>
      </c>
      <c r="S56" s="3788">
        <v>40.0</v>
      </c>
      <c r="T56" s="3708">
        <f>Fighters!$S55</f>
        <v>54</v>
      </c>
      <c r="U56" s="3708">
        <f>Fighters!$T55</f>
        <v>49</v>
      </c>
      <c r="V56" s="3710" t="str">
        <f>Fighters!$V55</f>
        <v>littlemac</v>
      </c>
    </row>
    <row r="57">
      <c r="A57" s="3700">
        <f>Fighters!$A56</f>
        <v>50</v>
      </c>
      <c r="B57" s="3701" t="str">
        <f>Fighters!$B56</f>
        <v>ゲッコウガ</v>
      </c>
      <c r="C57" s="3762">
        <v>19.0</v>
      </c>
      <c r="D57" s="139" t="s">
        <v>871</v>
      </c>
      <c r="E57" s="3762">
        <v>34.0</v>
      </c>
      <c r="F57" s="139" t="s">
        <v>872</v>
      </c>
      <c r="G57" s="3762">
        <v>45.0</v>
      </c>
      <c r="H57" s="139" t="s">
        <v>873</v>
      </c>
      <c r="I57" s="3762">
        <v>14.0</v>
      </c>
      <c r="J57" s="3787" t="s">
        <v>879</v>
      </c>
      <c r="K57" s="138">
        <v>55.0</v>
      </c>
      <c r="L57" s="239" t="s">
        <v>1918</v>
      </c>
      <c r="M57" s="3763">
        <v>9.0</v>
      </c>
      <c r="N57" s="139" t="s">
        <v>875</v>
      </c>
      <c r="O57" s="3762">
        <v>26.0</v>
      </c>
      <c r="P57" s="139" t="s">
        <v>875</v>
      </c>
      <c r="Q57" s="3762">
        <v>40.0</v>
      </c>
      <c r="R57" s="139" t="s">
        <v>875</v>
      </c>
      <c r="S57" s="3763">
        <v>40.0</v>
      </c>
      <c r="T57" s="3708">
        <f>Fighters!$S56</f>
        <v>55</v>
      </c>
      <c r="U57" s="3708">
        <f>Fighters!$T56</f>
        <v>50</v>
      </c>
      <c r="V57" s="3710" t="str">
        <f>Fighters!$V56</f>
        <v>gekkouga</v>
      </c>
    </row>
    <row r="58">
      <c r="A58" s="3700">
        <f>Fighters!$A57</f>
        <v>51</v>
      </c>
      <c r="B58" s="3701" t="str">
        <f>Fighters!$B57</f>
        <v>格闘Mii</v>
      </c>
      <c r="C58" s="3762">
        <v>19.0</v>
      </c>
      <c r="D58" s="139" t="s">
        <v>871</v>
      </c>
      <c r="E58" s="3762">
        <v>34.0</v>
      </c>
      <c r="F58" s="139" t="s">
        <v>872</v>
      </c>
      <c r="G58" s="3762">
        <v>45.0</v>
      </c>
      <c r="H58" s="139" t="s">
        <v>873</v>
      </c>
      <c r="I58" s="3762">
        <v>14.0</v>
      </c>
      <c r="J58" s="3787" t="s">
        <v>872</v>
      </c>
      <c r="K58" s="138">
        <v>55.0</v>
      </c>
      <c r="L58" s="239" t="s">
        <v>1053</v>
      </c>
      <c r="M58" s="3763">
        <v>9.0</v>
      </c>
      <c r="N58" s="139" t="s">
        <v>875</v>
      </c>
      <c r="O58" s="3762">
        <v>26.0</v>
      </c>
      <c r="P58" s="139" t="s">
        <v>875</v>
      </c>
      <c r="Q58" s="3762">
        <v>40.0</v>
      </c>
      <c r="R58" s="139" t="s">
        <v>875</v>
      </c>
      <c r="S58" s="3763">
        <v>40.0</v>
      </c>
      <c r="T58" s="3708">
        <f>Fighters!$S57</f>
        <v>56</v>
      </c>
      <c r="U58" s="3708">
        <f>Fighters!$T57</f>
        <v>73</v>
      </c>
      <c r="V58" s="3710" t="str">
        <f>Fighters!$V57</f>
        <v>miifighter</v>
      </c>
    </row>
    <row r="59">
      <c r="A59" s="3700">
        <f>Fighters!$A58</f>
        <v>52</v>
      </c>
      <c r="B59" s="3701" t="str">
        <f>Fighters!$B58</f>
        <v>剣術Mii</v>
      </c>
      <c r="C59" s="3762">
        <v>19.0</v>
      </c>
      <c r="D59" s="139" t="s">
        <v>871</v>
      </c>
      <c r="E59" s="3762">
        <v>34.0</v>
      </c>
      <c r="F59" s="139" t="s">
        <v>872</v>
      </c>
      <c r="G59" s="3762">
        <v>45.0</v>
      </c>
      <c r="H59" s="139" t="s">
        <v>873</v>
      </c>
      <c r="I59" s="3762">
        <v>14.0</v>
      </c>
      <c r="J59" s="3787" t="s">
        <v>879</v>
      </c>
      <c r="K59" s="138">
        <v>55.0</v>
      </c>
      <c r="L59" s="239" t="s">
        <v>1918</v>
      </c>
      <c r="M59" s="3763">
        <v>9.0</v>
      </c>
      <c r="N59" s="139" t="s">
        <v>875</v>
      </c>
      <c r="O59" s="3762">
        <v>26.0</v>
      </c>
      <c r="P59" s="139" t="s">
        <v>875</v>
      </c>
      <c r="Q59" s="3762">
        <v>40.0</v>
      </c>
      <c r="R59" s="139" t="s">
        <v>875</v>
      </c>
      <c r="S59" s="3763">
        <v>40.0</v>
      </c>
      <c r="T59" s="3708">
        <f>Fighters!$S58</f>
        <v>57</v>
      </c>
      <c r="U59" s="3708">
        <f>Fighters!$T58</f>
        <v>74</v>
      </c>
      <c r="V59" s="3710" t="str">
        <f>Fighters!$V58</f>
        <v>miiswordsman</v>
      </c>
    </row>
    <row r="60">
      <c r="A60" s="3700">
        <f>Fighters!$A59</f>
        <v>53</v>
      </c>
      <c r="B60" s="3701" t="str">
        <f>Fighters!$B59</f>
        <v>射撃Mii</v>
      </c>
      <c r="C60" s="3762">
        <v>19.0</v>
      </c>
      <c r="D60" s="139" t="s">
        <v>871</v>
      </c>
      <c r="E60" s="3762">
        <v>34.0</v>
      </c>
      <c r="F60" s="139" t="s">
        <v>877</v>
      </c>
      <c r="G60" s="3762">
        <v>45.0</v>
      </c>
      <c r="H60" s="139" t="s">
        <v>873</v>
      </c>
      <c r="I60" s="3762">
        <v>14.0</v>
      </c>
      <c r="J60" s="3787" t="s">
        <v>877</v>
      </c>
      <c r="K60" s="138">
        <v>55.0</v>
      </c>
      <c r="L60" s="239" t="s">
        <v>2159</v>
      </c>
      <c r="M60" s="3763">
        <v>9.0</v>
      </c>
      <c r="N60" s="139" t="s">
        <v>875</v>
      </c>
      <c r="O60" s="3762">
        <v>26.0</v>
      </c>
      <c r="P60" s="139" t="s">
        <v>875</v>
      </c>
      <c r="Q60" s="3762">
        <v>40.0</v>
      </c>
      <c r="R60" s="139" t="s">
        <v>875</v>
      </c>
      <c r="S60" s="3763">
        <v>40.0</v>
      </c>
      <c r="T60" s="3708">
        <f>Fighters!$S59</f>
        <v>58</v>
      </c>
      <c r="U60" s="3708">
        <f>Fighters!$T59</f>
        <v>75</v>
      </c>
      <c r="V60" s="3710" t="str">
        <f>Fighters!$V59</f>
        <v>miigunner</v>
      </c>
    </row>
    <row r="61">
      <c r="A61" s="3700">
        <f>Fighters!$A60</f>
        <v>54</v>
      </c>
      <c r="B61" s="3701" t="str">
        <f>Fighters!$B60</f>
        <v>パルテナ</v>
      </c>
      <c r="C61" s="3762">
        <v>19.0</v>
      </c>
      <c r="D61" s="139" t="s">
        <v>871</v>
      </c>
      <c r="E61" s="3762">
        <v>34.0</v>
      </c>
      <c r="F61" s="139" t="s">
        <v>872</v>
      </c>
      <c r="G61" s="3762">
        <v>45.0</v>
      </c>
      <c r="H61" s="139" t="s">
        <v>873</v>
      </c>
      <c r="I61" s="3762">
        <v>14.0</v>
      </c>
      <c r="J61" s="3787" t="s">
        <v>872</v>
      </c>
      <c r="K61" s="138">
        <v>55.0</v>
      </c>
      <c r="L61" s="239" t="s">
        <v>1053</v>
      </c>
      <c r="M61" s="3763">
        <v>9.0</v>
      </c>
      <c r="N61" s="139" t="s">
        <v>875</v>
      </c>
      <c r="O61" s="3762">
        <v>26.0</v>
      </c>
      <c r="P61" s="139" t="s">
        <v>875</v>
      </c>
      <c r="Q61" s="3762">
        <v>40.0</v>
      </c>
      <c r="R61" s="139" t="s">
        <v>875</v>
      </c>
      <c r="S61" s="3763">
        <v>40.0</v>
      </c>
      <c r="T61" s="3708">
        <f>Fighters!$S60</f>
        <v>59</v>
      </c>
      <c r="U61" s="3708">
        <f>Fighters!$T60</f>
        <v>51</v>
      </c>
      <c r="V61" s="3710" t="str">
        <f>Fighters!$V60</f>
        <v>palutena</v>
      </c>
    </row>
    <row r="62">
      <c r="A62" s="3700">
        <f>Fighters!$A61</f>
        <v>55</v>
      </c>
      <c r="B62" s="3701" t="str">
        <f>Fighters!$B61</f>
        <v>パックマン</v>
      </c>
      <c r="C62" s="3762">
        <v>19.0</v>
      </c>
      <c r="D62" s="139" t="s">
        <v>2087</v>
      </c>
      <c r="E62" s="3762">
        <v>31.0</v>
      </c>
      <c r="F62" s="139" t="s">
        <v>2279</v>
      </c>
      <c r="G62" s="3762">
        <v>45.0</v>
      </c>
      <c r="H62" s="139" t="s">
        <v>873</v>
      </c>
      <c r="I62" s="3762">
        <v>14.0</v>
      </c>
      <c r="J62" s="3787" t="s">
        <v>877</v>
      </c>
      <c r="K62" s="138">
        <v>55.0</v>
      </c>
      <c r="L62" s="239" t="s">
        <v>2159</v>
      </c>
      <c r="M62" s="3763">
        <v>9.0</v>
      </c>
      <c r="N62" s="139" t="s">
        <v>875</v>
      </c>
      <c r="O62" s="3789">
        <v>26.0</v>
      </c>
      <c r="P62" s="139" t="s">
        <v>875</v>
      </c>
      <c r="Q62" s="3789">
        <v>40.0</v>
      </c>
      <c r="R62" s="139" t="s">
        <v>875</v>
      </c>
      <c r="S62" s="3788">
        <v>40.0</v>
      </c>
      <c r="T62" s="3708">
        <f>Fighters!$S61</f>
        <v>60</v>
      </c>
      <c r="U62" s="3708">
        <f>Fighters!$T61</f>
        <v>52</v>
      </c>
      <c r="V62" s="3710" t="str">
        <f>Fighters!$V61</f>
        <v>pacman</v>
      </c>
    </row>
    <row r="63">
      <c r="A63" s="3700">
        <f>Fighters!$A62</f>
        <v>56</v>
      </c>
      <c r="B63" s="3701" t="str">
        <f>Fighters!$B62</f>
        <v>ルフレ</v>
      </c>
      <c r="C63" s="3762">
        <v>19.0</v>
      </c>
      <c r="D63" s="139" t="s">
        <v>871</v>
      </c>
      <c r="E63" s="3762">
        <v>34.0</v>
      </c>
      <c r="F63" s="139" t="s">
        <v>872</v>
      </c>
      <c r="G63" s="3762">
        <v>45.0</v>
      </c>
      <c r="H63" s="139" t="s">
        <v>873</v>
      </c>
      <c r="I63" s="3762">
        <v>14.0</v>
      </c>
      <c r="J63" s="3787" t="s">
        <v>2279</v>
      </c>
      <c r="K63" s="138">
        <v>55.0</v>
      </c>
      <c r="L63" s="239" t="s">
        <v>739</v>
      </c>
      <c r="M63" s="3763">
        <v>9.0</v>
      </c>
      <c r="N63" s="139" t="s">
        <v>875</v>
      </c>
      <c r="O63" s="3762">
        <v>26.0</v>
      </c>
      <c r="P63" s="139" t="s">
        <v>875</v>
      </c>
      <c r="Q63" s="3762">
        <v>40.0</v>
      </c>
      <c r="R63" s="139" t="s">
        <v>875</v>
      </c>
      <c r="S63" s="3763">
        <v>40.0</v>
      </c>
      <c r="T63" s="3708">
        <f>Fighters!$S62</f>
        <v>61</v>
      </c>
      <c r="U63" s="3708">
        <f>Fighters!$T62</f>
        <v>53</v>
      </c>
      <c r="V63" s="3710" t="str">
        <f>Fighters!$V62</f>
        <v>reflet</v>
      </c>
    </row>
    <row r="64">
      <c r="A64" s="3700">
        <f>Fighters!$A63</f>
        <v>57</v>
      </c>
      <c r="B64" s="3701" t="str">
        <f>Fighters!$B63</f>
        <v>シュルク</v>
      </c>
      <c r="C64" s="3762">
        <v>19.0</v>
      </c>
      <c r="D64" s="139" t="s">
        <v>871</v>
      </c>
      <c r="E64" s="3762">
        <v>34.0</v>
      </c>
      <c r="F64" s="139" t="s">
        <v>459</v>
      </c>
      <c r="G64" s="3762">
        <v>45.0</v>
      </c>
      <c r="H64" s="139" t="s">
        <v>873</v>
      </c>
      <c r="I64" s="3762">
        <v>14.0</v>
      </c>
      <c r="J64" s="3787" t="s">
        <v>2699</v>
      </c>
      <c r="K64" s="138">
        <v>55.0</v>
      </c>
      <c r="L64" s="239" t="s">
        <v>4135</v>
      </c>
      <c r="M64" s="3763">
        <v>9.0</v>
      </c>
      <c r="N64" s="139" t="s">
        <v>875</v>
      </c>
      <c r="O64" s="3762">
        <v>26.0</v>
      </c>
      <c r="P64" s="139" t="s">
        <v>875</v>
      </c>
      <c r="Q64" s="3762">
        <v>40.0</v>
      </c>
      <c r="R64" s="139" t="s">
        <v>875</v>
      </c>
      <c r="S64" s="3763">
        <v>40.0</v>
      </c>
      <c r="T64" s="3708">
        <f>Fighters!$S63</f>
        <v>62</v>
      </c>
      <c r="U64" s="3708">
        <f>Fighters!$T63</f>
        <v>54</v>
      </c>
      <c r="V64" s="3710" t="str">
        <f>Fighters!$V63</f>
        <v>shulk</v>
      </c>
    </row>
    <row r="65">
      <c r="A65" s="3700">
        <f>Fighters!$A64</f>
        <v>58</v>
      </c>
      <c r="B65" s="3701" t="str">
        <f>Fighters!$B64</f>
        <v>クッパ Jr.</v>
      </c>
      <c r="C65" s="3762">
        <v>19.0</v>
      </c>
      <c r="D65" s="139" t="s">
        <v>871</v>
      </c>
      <c r="E65" s="3762">
        <v>34.0</v>
      </c>
      <c r="F65" s="139" t="s">
        <v>2279</v>
      </c>
      <c r="G65" s="3762">
        <v>45.0</v>
      </c>
      <c r="H65" s="139" t="s">
        <v>873</v>
      </c>
      <c r="I65" s="3762">
        <v>14.0</v>
      </c>
      <c r="J65" s="3787" t="s">
        <v>2699</v>
      </c>
      <c r="K65" s="138">
        <v>55.0</v>
      </c>
      <c r="L65" s="239" t="s">
        <v>4135</v>
      </c>
      <c r="M65" s="3763">
        <v>10.0</v>
      </c>
      <c r="N65" s="139" t="s">
        <v>875</v>
      </c>
      <c r="O65" s="3762">
        <v>26.0</v>
      </c>
      <c r="P65" s="139" t="s">
        <v>875</v>
      </c>
      <c r="Q65" s="3762">
        <v>40.0</v>
      </c>
      <c r="R65" s="139" t="s">
        <v>875</v>
      </c>
      <c r="S65" s="3763">
        <v>40.0</v>
      </c>
      <c r="T65" s="3708">
        <f>Fighters!$S64</f>
        <v>63</v>
      </c>
      <c r="U65" s="3708">
        <f>Fighters!$T64</f>
        <v>55</v>
      </c>
      <c r="V65" s="3710" t="str">
        <f>Fighters!$V64</f>
        <v>koopajr</v>
      </c>
    </row>
    <row r="66">
      <c r="A66" s="3700">
        <f>Fighters!$A65</f>
        <v>59</v>
      </c>
      <c r="B66" s="3701" t="str">
        <f>Fighters!$B65</f>
        <v>ダックハント</v>
      </c>
      <c r="C66" s="3762">
        <v>19.0</v>
      </c>
      <c r="D66" s="139" t="s">
        <v>871</v>
      </c>
      <c r="E66" s="3762">
        <v>34.0</v>
      </c>
      <c r="F66" s="139" t="s">
        <v>1133</v>
      </c>
      <c r="G66" s="3762">
        <v>45.0</v>
      </c>
      <c r="H66" s="139" t="s">
        <v>1084</v>
      </c>
      <c r="I66" s="3762">
        <v>12.0</v>
      </c>
      <c r="J66" s="3787" t="s">
        <v>875</v>
      </c>
      <c r="K66" s="138">
        <v>55.0</v>
      </c>
      <c r="L66" s="239" t="s">
        <v>312</v>
      </c>
      <c r="M66" s="3763">
        <v>9.0</v>
      </c>
      <c r="N66" s="139" t="s">
        <v>875</v>
      </c>
      <c r="O66" s="3789">
        <v>26.0</v>
      </c>
      <c r="P66" s="139" t="s">
        <v>875</v>
      </c>
      <c r="Q66" s="3789">
        <v>40.0</v>
      </c>
      <c r="R66" s="139" t="s">
        <v>875</v>
      </c>
      <c r="S66" s="3788">
        <v>40.0</v>
      </c>
      <c r="T66" s="3708">
        <f>Fighters!$S65</f>
        <v>64</v>
      </c>
      <c r="U66" s="3708">
        <f>Fighters!$T65</f>
        <v>56</v>
      </c>
      <c r="V66" s="3710" t="str">
        <f>Fighters!$V65</f>
        <v>duckhunt</v>
      </c>
    </row>
    <row r="67">
      <c r="A67" s="3700">
        <f>Fighters!$A66</f>
        <v>60</v>
      </c>
      <c r="B67" s="3701" t="str">
        <f>Fighters!$B66</f>
        <v>リュウ</v>
      </c>
      <c r="C67" s="3762">
        <v>19.0</v>
      </c>
      <c r="D67" s="139" t="s">
        <v>871</v>
      </c>
      <c r="E67" s="3762">
        <v>34.0</v>
      </c>
      <c r="F67" s="139" t="s">
        <v>2699</v>
      </c>
      <c r="G67" s="3762">
        <v>45.0</v>
      </c>
      <c r="H67" s="139" t="s">
        <v>873</v>
      </c>
      <c r="I67" s="3762">
        <v>14.0</v>
      </c>
      <c r="J67" s="3787" t="s">
        <v>2699</v>
      </c>
      <c r="K67" s="138">
        <v>55.0</v>
      </c>
      <c r="L67" s="239" t="s">
        <v>4135</v>
      </c>
      <c r="M67" s="3763">
        <v>10.0</v>
      </c>
      <c r="N67" s="139" t="s">
        <v>875</v>
      </c>
      <c r="O67" s="3762">
        <v>26.0</v>
      </c>
      <c r="P67" s="139" t="s">
        <v>875</v>
      </c>
      <c r="Q67" s="3762">
        <v>40.0</v>
      </c>
      <c r="R67" s="139" t="s">
        <v>875</v>
      </c>
      <c r="S67" s="3763">
        <v>40.0</v>
      </c>
      <c r="T67" s="3708">
        <f>Fighters!$S66</f>
        <v>65</v>
      </c>
      <c r="U67" s="3708">
        <f>Fighters!$T66</f>
        <v>57</v>
      </c>
      <c r="V67" s="3710" t="str">
        <f>Fighters!$V66</f>
        <v>ryu</v>
      </c>
    </row>
    <row r="68">
      <c r="A68" s="3700" t="str">
        <f>Fighters!$A67</f>
        <v>60'</v>
      </c>
      <c r="B68" s="3701" t="str">
        <f>Fighters!$B67</f>
        <v>ケン</v>
      </c>
      <c r="C68" s="3762">
        <v>19.0</v>
      </c>
      <c r="D68" s="139" t="s">
        <v>871</v>
      </c>
      <c r="E68" s="3762">
        <v>34.0</v>
      </c>
      <c r="F68" s="139" t="s">
        <v>2699</v>
      </c>
      <c r="G68" s="3762">
        <v>45.0</v>
      </c>
      <c r="H68" s="139" t="s">
        <v>873</v>
      </c>
      <c r="I68" s="3762">
        <v>14.0</v>
      </c>
      <c r="J68" s="3787" t="s">
        <v>2699</v>
      </c>
      <c r="K68" s="138">
        <v>55.0</v>
      </c>
      <c r="L68" s="239" t="s">
        <v>4135</v>
      </c>
      <c r="M68" s="3763">
        <v>10.0</v>
      </c>
      <c r="N68" s="139" t="s">
        <v>875</v>
      </c>
      <c r="O68" s="3762">
        <v>26.0</v>
      </c>
      <c r="P68" s="139" t="s">
        <v>875</v>
      </c>
      <c r="Q68" s="3762">
        <v>40.0</v>
      </c>
      <c r="R68" s="139" t="s">
        <v>875</v>
      </c>
      <c r="S68" s="3763">
        <v>40.0</v>
      </c>
      <c r="T68" s="3708">
        <f>Fighters!$S67</f>
        <v>66</v>
      </c>
      <c r="U68" s="3708">
        <f>Fighters!$T67</f>
        <v>77</v>
      </c>
      <c r="V68" s="3710" t="str">
        <f>Fighters!$V67</f>
        <v>ken</v>
      </c>
    </row>
    <row r="69">
      <c r="A69" s="3700">
        <f>Fighters!$A68</f>
        <v>61</v>
      </c>
      <c r="B69" s="3701" t="str">
        <f>Fighters!$B68</f>
        <v>クラウド</v>
      </c>
      <c r="C69" s="3762">
        <v>19.0</v>
      </c>
      <c r="D69" s="139" t="s">
        <v>871</v>
      </c>
      <c r="E69" s="3762">
        <v>34.0</v>
      </c>
      <c r="F69" s="139" t="s">
        <v>877</v>
      </c>
      <c r="G69" s="3762">
        <v>45.0</v>
      </c>
      <c r="H69" s="139" t="s">
        <v>873</v>
      </c>
      <c r="I69" s="3762">
        <v>14.0</v>
      </c>
      <c r="J69" s="3787" t="s">
        <v>877</v>
      </c>
      <c r="K69" s="138">
        <v>55.0</v>
      </c>
      <c r="L69" s="239" t="s">
        <v>2159</v>
      </c>
      <c r="M69" s="3763">
        <v>10.0</v>
      </c>
      <c r="N69" s="139" t="s">
        <v>875</v>
      </c>
      <c r="O69" s="3762">
        <v>26.0</v>
      </c>
      <c r="P69" s="139" t="s">
        <v>875</v>
      </c>
      <c r="Q69" s="3762">
        <v>40.0</v>
      </c>
      <c r="R69" s="139" t="s">
        <v>875</v>
      </c>
      <c r="S69" s="3763">
        <v>40.0</v>
      </c>
      <c r="T69" s="3708">
        <f>Fighters!$S68</f>
        <v>67</v>
      </c>
      <c r="U69" s="3708">
        <f>Fighters!$T68</f>
        <v>58</v>
      </c>
      <c r="V69" s="3710" t="str">
        <f>Fighters!$V68</f>
        <v>cloud</v>
      </c>
    </row>
    <row r="70">
      <c r="A70" s="3700">
        <f>Fighters!$A69</f>
        <v>62</v>
      </c>
      <c r="B70" s="3701" t="str">
        <f>Fighters!$B69</f>
        <v>カムイ</v>
      </c>
      <c r="C70" s="3762">
        <v>19.0</v>
      </c>
      <c r="D70" s="139" t="s">
        <v>871</v>
      </c>
      <c r="E70" s="3762">
        <v>34.0</v>
      </c>
      <c r="F70" s="139" t="s">
        <v>872</v>
      </c>
      <c r="G70" s="3762">
        <v>45.0</v>
      </c>
      <c r="H70" s="139" t="s">
        <v>873</v>
      </c>
      <c r="I70" s="3762">
        <v>14.0</v>
      </c>
      <c r="J70" s="3787" t="s">
        <v>874</v>
      </c>
      <c r="K70" s="138">
        <v>55.0</v>
      </c>
      <c r="L70" s="239" t="s">
        <v>378</v>
      </c>
      <c r="M70" s="3763">
        <v>9.0</v>
      </c>
      <c r="N70" s="139" t="s">
        <v>875</v>
      </c>
      <c r="O70" s="3762">
        <v>26.0</v>
      </c>
      <c r="P70" s="139" t="s">
        <v>875</v>
      </c>
      <c r="Q70" s="3762">
        <v>40.0</v>
      </c>
      <c r="R70" s="139" t="s">
        <v>875</v>
      </c>
      <c r="S70" s="3763">
        <v>40.0</v>
      </c>
      <c r="T70" s="3708">
        <f>Fighters!$S69</f>
        <v>68</v>
      </c>
      <c r="U70" s="3708">
        <f>Fighters!$T69</f>
        <v>59</v>
      </c>
      <c r="V70" s="3710" t="str">
        <f>Fighters!$V69</f>
        <v>kamui</v>
      </c>
    </row>
    <row r="71">
      <c r="A71" s="3700">
        <f>Fighters!$A70</f>
        <v>63</v>
      </c>
      <c r="B71" s="3701" t="str">
        <f>Fighters!$B70</f>
        <v>ベヨネッタ</v>
      </c>
      <c r="C71" s="3762">
        <v>19.0</v>
      </c>
      <c r="D71" s="139" t="s">
        <v>871</v>
      </c>
      <c r="E71" s="3762">
        <v>34.0</v>
      </c>
      <c r="F71" s="139" t="s">
        <v>874</v>
      </c>
      <c r="G71" s="3762">
        <v>45.0</v>
      </c>
      <c r="H71" s="139" t="s">
        <v>873</v>
      </c>
      <c r="I71" s="3762">
        <v>14.0</v>
      </c>
      <c r="J71" s="3787" t="s">
        <v>2699</v>
      </c>
      <c r="K71" s="138">
        <v>55.0</v>
      </c>
      <c r="L71" s="239" t="s">
        <v>4135</v>
      </c>
      <c r="M71" s="3763">
        <v>9.0</v>
      </c>
      <c r="N71" s="139" t="s">
        <v>875</v>
      </c>
      <c r="O71" s="3762">
        <v>26.0</v>
      </c>
      <c r="P71" s="139" t="s">
        <v>875</v>
      </c>
      <c r="Q71" s="3762">
        <v>40.0</v>
      </c>
      <c r="R71" s="139" t="s">
        <v>875</v>
      </c>
      <c r="S71" s="3763">
        <v>40.0</v>
      </c>
      <c r="T71" s="3708">
        <f>Fighters!$S70</f>
        <v>69</v>
      </c>
      <c r="U71" s="3708">
        <f>Fighters!$T70</f>
        <v>60</v>
      </c>
      <c r="V71" s="3710" t="str">
        <f>Fighters!$V70</f>
        <v>bayonetta</v>
      </c>
    </row>
    <row r="72">
      <c r="A72" s="3700">
        <f>Fighters!$A71</f>
        <v>64</v>
      </c>
      <c r="B72" s="3701" t="str">
        <f>Fighters!$B71</f>
        <v>インクリング</v>
      </c>
      <c r="C72" s="3762">
        <v>19.0</v>
      </c>
      <c r="D72" s="139" t="s">
        <v>871</v>
      </c>
      <c r="E72" s="3762">
        <v>34.0</v>
      </c>
      <c r="F72" s="139" t="s">
        <v>2699</v>
      </c>
      <c r="G72" s="3762">
        <v>45.0</v>
      </c>
      <c r="H72" s="139" t="s">
        <v>873</v>
      </c>
      <c r="I72" s="3762">
        <v>14.0</v>
      </c>
      <c r="J72" s="3787" t="s">
        <v>875</v>
      </c>
      <c r="K72" s="138">
        <v>55.0</v>
      </c>
      <c r="L72" s="239" t="s">
        <v>312</v>
      </c>
      <c r="M72" s="3763">
        <v>9.0</v>
      </c>
      <c r="N72" s="139" t="s">
        <v>875</v>
      </c>
      <c r="O72" s="3762">
        <v>26.0</v>
      </c>
      <c r="P72" s="139" t="s">
        <v>875</v>
      </c>
      <c r="Q72" s="3762">
        <v>40.0</v>
      </c>
      <c r="R72" s="139" t="s">
        <v>875</v>
      </c>
      <c r="S72" s="3763">
        <v>40.0</v>
      </c>
      <c r="T72" s="3708">
        <f>Fighters!$S71</f>
        <v>70</v>
      </c>
      <c r="U72" s="3708">
        <f>Fighters!$T71</f>
        <v>61</v>
      </c>
      <c r="V72" s="3710" t="str">
        <f>Fighters!$V71</f>
        <v>inkling</v>
      </c>
    </row>
    <row r="73">
      <c r="A73" s="3700">
        <f>Fighters!$A72</f>
        <v>65</v>
      </c>
      <c r="B73" s="3701" t="str">
        <f>Fighters!$B72</f>
        <v>リドリー</v>
      </c>
      <c r="C73" s="3762">
        <v>19.0</v>
      </c>
      <c r="D73" s="139" t="s">
        <v>871</v>
      </c>
      <c r="E73" s="3762">
        <v>34.0</v>
      </c>
      <c r="F73" s="139" t="s">
        <v>878</v>
      </c>
      <c r="G73" s="3762">
        <v>45.0</v>
      </c>
      <c r="H73" s="139" t="s">
        <v>873</v>
      </c>
      <c r="I73" s="3762">
        <v>14.0</v>
      </c>
      <c r="J73" s="3787" t="s">
        <v>1133</v>
      </c>
      <c r="K73" s="138">
        <v>55.0</v>
      </c>
      <c r="L73" s="239" t="s">
        <v>314</v>
      </c>
      <c r="M73" s="3763">
        <v>10.0</v>
      </c>
      <c r="N73" s="139" t="s">
        <v>875</v>
      </c>
      <c r="O73" s="3762">
        <v>26.0</v>
      </c>
      <c r="P73" s="139" t="s">
        <v>875</v>
      </c>
      <c r="Q73" s="3762">
        <v>40.0</v>
      </c>
      <c r="R73" s="139" t="s">
        <v>875</v>
      </c>
      <c r="S73" s="3763">
        <v>40.0</v>
      </c>
      <c r="T73" s="3708">
        <f>Fighters!$S72</f>
        <v>71</v>
      </c>
      <c r="U73" s="3708">
        <f>Fighters!$T72</f>
        <v>62</v>
      </c>
      <c r="V73" s="3710" t="str">
        <f>Fighters!$V72</f>
        <v>ridley</v>
      </c>
    </row>
    <row r="74">
      <c r="A74" s="3700">
        <f>Fighters!$A73</f>
        <v>66</v>
      </c>
      <c r="B74" s="3701" t="str">
        <f>Fighters!$B73</f>
        <v>シモン</v>
      </c>
      <c r="C74" s="3762">
        <v>19.0</v>
      </c>
      <c r="D74" s="139" t="s">
        <v>871</v>
      </c>
      <c r="E74" s="3762">
        <v>34.0</v>
      </c>
      <c r="F74" s="139" t="s">
        <v>1133</v>
      </c>
      <c r="G74" s="3762">
        <v>45.0</v>
      </c>
      <c r="H74" s="139" t="s">
        <v>873</v>
      </c>
      <c r="I74" s="3762">
        <v>14.0</v>
      </c>
      <c r="J74" s="3787" t="s">
        <v>1133</v>
      </c>
      <c r="K74" s="138">
        <v>55.0</v>
      </c>
      <c r="L74" s="239" t="s">
        <v>314</v>
      </c>
      <c r="M74" s="3763">
        <v>9.0</v>
      </c>
      <c r="N74" s="139" t="s">
        <v>875</v>
      </c>
      <c r="O74" s="3762">
        <v>26.0</v>
      </c>
      <c r="P74" s="139" t="s">
        <v>875</v>
      </c>
      <c r="Q74" s="3762">
        <v>40.0</v>
      </c>
      <c r="R74" s="139" t="s">
        <v>875</v>
      </c>
      <c r="S74" s="3763">
        <v>40.0</v>
      </c>
      <c r="T74" s="3708">
        <f>Fighters!$S73</f>
        <v>72</v>
      </c>
      <c r="U74" s="3708">
        <f>Fighters!$T73</f>
        <v>63</v>
      </c>
      <c r="V74" s="3710" t="str">
        <f>Fighters!$V73</f>
        <v>simon</v>
      </c>
    </row>
    <row r="75">
      <c r="A75" s="3700" t="str">
        <f>Fighters!$A74</f>
        <v>66'</v>
      </c>
      <c r="B75" s="3701" t="str">
        <f>Fighters!$B74</f>
        <v>リヒター</v>
      </c>
      <c r="C75" s="3762">
        <v>19.0</v>
      </c>
      <c r="D75" s="139" t="s">
        <v>871</v>
      </c>
      <c r="E75" s="3762">
        <v>34.0</v>
      </c>
      <c r="F75" s="139" t="s">
        <v>1133</v>
      </c>
      <c r="G75" s="3762">
        <v>45.0</v>
      </c>
      <c r="H75" s="139" t="s">
        <v>873</v>
      </c>
      <c r="I75" s="3762">
        <v>14.0</v>
      </c>
      <c r="J75" s="3787" t="s">
        <v>1133</v>
      </c>
      <c r="K75" s="138">
        <v>55.0</v>
      </c>
      <c r="L75" s="239" t="s">
        <v>314</v>
      </c>
      <c r="M75" s="3763">
        <v>9.0</v>
      </c>
      <c r="N75" s="139" t="s">
        <v>875</v>
      </c>
      <c r="O75" s="3762">
        <v>26.0</v>
      </c>
      <c r="P75" s="139" t="s">
        <v>875</v>
      </c>
      <c r="Q75" s="3762">
        <v>40.0</v>
      </c>
      <c r="R75" s="139" t="s">
        <v>875</v>
      </c>
      <c r="S75" s="3763">
        <v>40.0</v>
      </c>
      <c r="T75" s="3708">
        <f>Fighters!$S74</f>
        <v>73</v>
      </c>
      <c r="U75" s="3708">
        <f>Fighters!$T74</f>
        <v>78</v>
      </c>
      <c r="V75" s="3710" t="str">
        <f>Fighters!$V74</f>
        <v>richter</v>
      </c>
    </row>
    <row r="76">
      <c r="A76" s="3700">
        <f>Fighters!$A75</f>
        <v>67</v>
      </c>
      <c r="B76" s="3701" t="str">
        <f>Fighters!$B75</f>
        <v>キングクルール</v>
      </c>
      <c r="C76" s="3762">
        <v>19.0</v>
      </c>
      <c r="D76" s="139" t="s">
        <v>871</v>
      </c>
      <c r="E76" s="3762">
        <v>34.0</v>
      </c>
      <c r="F76" s="139" t="s">
        <v>2699</v>
      </c>
      <c r="G76" s="3762">
        <v>45.0</v>
      </c>
      <c r="H76" s="139" t="s">
        <v>873</v>
      </c>
      <c r="I76" s="3762">
        <v>14.0</v>
      </c>
      <c r="J76" s="3787" t="s">
        <v>2699</v>
      </c>
      <c r="K76" s="138">
        <v>55.0</v>
      </c>
      <c r="L76" s="239" t="s">
        <v>4135</v>
      </c>
      <c r="M76" s="3763">
        <v>10.0</v>
      </c>
      <c r="N76" s="139" t="s">
        <v>875</v>
      </c>
      <c r="O76" s="3762">
        <v>26.0</v>
      </c>
      <c r="P76" s="139" t="s">
        <v>875</v>
      </c>
      <c r="Q76" s="3762">
        <v>40.0</v>
      </c>
      <c r="R76" s="139" t="s">
        <v>875</v>
      </c>
      <c r="S76" s="3763">
        <v>40.0</v>
      </c>
      <c r="T76" s="3708">
        <f>Fighters!$S75</f>
        <v>74</v>
      </c>
      <c r="U76" s="3708">
        <f>Fighters!$T75</f>
        <v>64</v>
      </c>
      <c r="V76" s="3710" t="str">
        <f>Fighters!$V75</f>
        <v>krool</v>
      </c>
    </row>
    <row r="77">
      <c r="A77" s="3700">
        <f>Fighters!$A76</f>
        <v>68</v>
      </c>
      <c r="B77" s="3701" t="str">
        <f>Fighters!$B76</f>
        <v>しずえ</v>
      </c>
      <c r="C77" s="3762">
        <v>19.0</v>
      </c>
      <c r="D77" s="139" t="s">
        <v>871</v>
      </c>
      <c r="E77" s="3762">
        <v>34.0</v>
      </c>
      <c r="F77" s="139" t="s">
        <v>2699</v>
      </c>
      <c r="G77" s="3762">
        <v>45.0</v>
      </c>
      <c r="H77" s="139" t="s">
        <v>873</v>
      </c>
      <c r="I77" s="3762">
        <v>14.0</v>
      </c>
      <c r="J77" s="3787" t="s">
        <v>1133</v>
      </c>
      <c r="K77" s="138">
        <v>55.0</v>
      </c>
      <c r="L77" s="239" t="s">
        <v>314</v>
      </c>
      <c r="M77" s="3763">
        <v>9.0</v>
      </c>
      <c r="N77" s="139" t="s">
        <v>875</v>
      </c>
      <c r="O77" s="3762">
        <v>26.0</v>
      </c>
      <c r="P77" s="139" t="s">
        <v>875</v>
      </c>
      <c r="Q77" s="3762">
        <v>40.0</v>
      </c>
      <c r="R77" s="139" t="s">
        <v>875</v>
      </c>
      <c r="S77" s="3763">
        <v>40.0</v>
      </c>
      <c r="T77" s="3708">
        <f>Fighters!$S76</f>
        <v>75</v>
      </c>
      <c r="U77" s="3708">
        <f>Fighters!$T76</f>
        <v>65</v>
      </c>
      <c r="V77" s="3710" t="str">
        <f>Fighters!$V76</f>
        <v>shizue</v>
      </c>
    </row>
    <row r="78">
      <c r="A78" s="3700">
        <f>Fighters!$A77</f>
        <v>69</v>
      </c>
      <c r="B78" s="3701" t="str">
        <f>Fighters!$B77</f>
        <v>ガオガエン</v>
      </c>
      <c r="C78" s="3762">
        <v>19.0</v>
      </c>
      <c r="D78" s="139" t="s">
        <v>871</v>
      </c>
      <c r="E78" s="3762">
        <v>34.0</v>
      </c>
      <c r="F78" s="139" t="s">
        <v>619</v>
      </c>
      <c r="G78" s="3762">
        <v>45.0</v>
      </c>
      <c r="H78" s="139" t="s">
        <v>873</v>
      </c>
      <c r="I78" s="3762">
        <v>14.0</v>
      </c>
      <c r="J78" s="3787" t="s">
        <v>2699</v>
      </c>
      <c r="K78" s="138">
        <v>55.0</v>
      </c>
      <c r="L78" s="239" t="s">
        <v>4135</v>
      </c>
      <c r="M78" s="3763">
        <v>10.0</v>
      </c>
      <c r="N78" s="139" t="s">
        <v>875</v>
      </c>
      <c r="O78" s="3762">
        <v>26.0</v>
      </c>
      <c r="P78" s="139" t="s">
        <v>875</v>
      </c>
      <c r="Q78" s="3762">
        <v>40.0</v>
      </c>
      <c r="R78" s="139" t="s">
        <v>875</v>
      </c>
      <c r="S78" s="3763">
        <v>40.0</v>
      </c>
      <c r="T78" s="3708">
        <f>Fighters!$S77</f>
        <v>76</v>
      </c>
      <c r="U78" s="3708">
        <f>Fighters!$T77</f>
        <v>66</v>
      </c>
      <c r="V78" s="3710" t="str">
        <f>Fighters!$V77</f>
        <v>gaogaen</v>
      </c>
    </row>
    <row r="79">
      <c r="A79" s="3700">
        <f>Fighters!$A78</f>
        <v>70</v>
      </c>
      <c r="B79" s="3701" t="str">
        <f>Fighters!$B78</f>
        <v>パックンフラワー</v>
      </c>
      <c r="C79" s="3762">
        <v>19.0</v>
      </c>
      <c r="D79" s="139" t="s">
        <v>871</v>
      </c>
      <c r="E79" s="3762">
        <v>34.0</v>
      </c>
      <c r="F79" s="139" t="s">
        <v>872</v>
      </c>
      <c r="G79" s="3762">
        <v>45.0</v>
      </c>
      <c r="H79" s="139" t="s">
        <v>873</v>
      </c>
      <c r="I79" s="3762">
        <v>14.0</v>
      </c>
      <c r="J79" s="139" t="s">
        <v>1133</v>
      </c>
      <c r="K79" s="138">
        <v>55.0</v>
      </c>
      <c r="L79" s="239" t="s">
        <v>314</v>
      </c>
      <c r="M79" s="3763">
        <v>10.0</v>
      </c>
      <c r="N79" s="139" t="s">
        <v>875</v>
      </c>
      <c r="O79" s="3762">
        <v>26.0</v>
      </c>
      <c r="P79" s="139" t="s">
        <v>875</v>
      </c>
      <c r="Q79" s="3762">
        <v>40.0</v>
      </c>
      <c r="R79" s="139" t="s">
        <v>875</v>
      </c>
      <c r="S79" s="3763">
        <v>40.0</v>
      </c>
      <c r="T79" s="3708">
        <f>Fighters!$S78</f>
        <v>77</v>
      </c>
      <c r="U79" s="3708">
        <f>Fighters!$T78</f>
        <v>67</v>
      </c>
      <c r="V79" s="3739" t="str">
        <f>Fighters!$V78</f>
        <v>packun</v>
      </c>
    </row>
    <row r="80">
      <c r="A80" s="3700">
        <f>Fighters!$A79</f>
        <v>71</v>
      </c>
      <c r="B80" s="3701" t="str">
        <f>Fighters!$B79</f>
        <v>ジョーカー</v>
      </c>
      <c r="C80" s="3762">
        <v>19.0</v>
      </c>
      <c r="D80" s="139" t="s">
        <v>871</v>
      </c>
      <c r="E80" s="3762">
        <v>34.0</v>
      </c>
      <c r="F80" s="139" t="s">
        <v>879</v>
      </c>
      <c r="G80" s="3762">
        <v>45.0</v>
      </c>
      <c r="H80" s="139" t="s">
        <v>873</v>
      </c>
      <c r="I80" s="3762">
        <v>14.0</v>
      </c>
      <c r="J80" s="139" t="s">
        <v>2699</v>
      </c>
      <c r="K80" s="138">
        <v>55.0</v>
      </c>
      <c r="L80" s="239" t="s">
        <v>4135</v>
      </c>
      <c r="M80" s="3763">
        <v>9.0</v>
      </c>
      <c r="N80" s="139" t="s">
        <v>875</v>
      </c>
      <c r="O80" s="3762">
        <v>26.0</v>
      </c>
      <c r="P80" s="139" t="s">
        <v>875</v>
      </c>
      <c r="Q80" s="3762">
        <v>40.0</v>
      </c>
      <c r="R80" s="139" t="s">
        <v>875</v>
      </c>
      <c r="S80" s="3763">
        <v>40.0</v>
      </c>
      <c r="T80" s="3708">
        <f>Fighters!$S79</f>
        <v>78</v>
      </c>
      <c r="U80" s="3708">
        <f>Fighters!$T79</f>
        <v>68</v>
      </c>
      <c r="V80" s="3739" t="str">
        <f>Fighters!$V79</f>
        <v>jack</v>
      </c>
    </row>
    <row r="81">
      <c r="A81" s="3700">
        <f>Fighters!$A80</f>
        <v>72</v>
      </c>
      <c r="B81" s="3701" t="str">
        <f>Fighters!$B80</f>
        <v>勇者</v>
      </c>
      <c r="C81" s="3762">
        <v>19.0</v>
      </c>
      <c r="D81" s="139" t="s">
        <v>871</v>
      </c>
      <c r="E81" s="3762">
        <v>34.0</v>
      </c>
      <c r="F81" s="139" t="s">
        <v>2087</v>
      </c>
      <c r="G81" s="3762">
        <v>45.0</v>
      </c>
      <c r="H81" s="139" t="s">
        <v>873</v>
      </c>
      <c r="I81" s="3762">
        <v>14.0</v>
      </c>
      <c r="J81" s="139" t="s">
        <v>2699</v>
      </c>
      <c r="K81" s="138">
        <v>55.0</v>
      </c>
      <c r="L81" s="239" t="s">
        <v>4135</v>
      </c>
      <c r="M81" s="3763">
        <v>9.0</v>
      </c>
      <c r="N81" s="139" t="s">
        <v>875</v>
      </c>
      <c r="O81" s="3762">
        <v>26.0</v>
      </c>
      <c r="P81" s="139" t="s">
        <v>875</v>
      </c>
      <c r="Q81" s="3762">
        <v>40.0</v>
      </c>
      <c r="R81" s="139" t="s">
        <v>875</v>
      </c>
      <c r="S81" s="3763">
        <v>40.0</v>
      </c>
      <c r="T81" s="3708">
        <f>Fighters!$S80</f>
        <v>79</v>
      </c>
      <c r="U81" s="3708">
        <f>Fighters!$T80</f>
        <v>69</v>
      </c>
      <c r="V81" s="3739" t="str">
        <f>Fighters!$V80</f>
        <v>brave</v>
      </c>
    </row>
    <row r="82">
      <c r="A82" s="3700">
        <f>Fighters!$A81</f>
        <v>73</v>
      </c>
      <c r="B82" s="3701" t="str">
        <f>Fighters!$B81</f>
        <v>バンジョー&amp;カズーイ</v>
      </c>
      <c r="C82" s="3762">
        <v>19.0</v>
      </c>
      <c r="D82" s="139" t="s">
        <v>871</v>
      </c>
      <c r="E82" s="3762">
        <v>34.0</v>
      </c>
      <c r="F82" s="139" t="s">
        <v>2087</v>
      </c>
      <c r="G82" s="3762">
        <v>45.0</v>
      </c>
      <c r="H82" s="139" t="s">
        <v>873</v>
      </c>
      <c r="I82" s="3762">
        <v>14.0</v>
      </c>
      <c r="J82" s="139" t="s">
        <v>2699</v>
      </c>
      <c r="K82" s="138">
        <v>55.0</v>
      </c>
      <c r="L82" s="239" t="s">
        <v>4135</v>
      </c>
      <c r="M82" s="3763">
        <v>10.0</v>
      </c>
      <c r="N82" s="139" t="s">
        <v>875</v>
      </c>
      <c r="O82" s="3762">
        <v>26.0</v>
      </c>
      <c r="P82" s="139" t="s">
        <v>875</v>
      </c>
      <c r="Q82" s="3762">
        <v>40.0</v>
      </c>
      <c r="R82" s="139" t="s">
        <v>875</v>
      </c>
      <c r="S82" s="3763">
        <v>40.0</v>
      </c>
      <c r="T82" s="3708">
        <f>Fighters!$S81</f>
        <v>80</v>
      </c>
      <c r="U82" s="3708">
        <f>Fighters!$T81</f>
        <v>70</v>
      </c>
      <c r="V82" s="3739" t="str">
        <f>Fighters!$V81</f>
        <v>buddy</v>
      </c>
    </row>
    <row r="83">
      <c r="A83" s="3700">
        <f>Fighters!$A82</f>
        <v>74</v>
      </c>
      <c r="B83" s="3701" t="str">
        <f>Fighters!$B82</f>
        <v>テリー</v>
      </c>
      <c r="C83" s="3762">
        <v>19.0</v>
      </c>
      <c r="D83" s="139" t="s">
        <v>871</v>
      </c>
      <c r="E83" s="3762">
        <v>34.0</v>
      </c>
      <c r="F83" s="139" t="s">
        <v>2087</v>
      </c>
      <c r="G83" s="3762">
        <v>45.0</v>
      </c>
      <c r="H83" s="139" t="s">
        <v>873</v>
      </c>
      <c r="I83" s="3762">
        <v>14.0</v>
      </c>
      <c r="J83" s="139" t="s">
        <v>2699</v>
      </c>
      <c r="K83" s="138">
        <v>55.0</v>
      </c>
      <c r="L83" s="239" t="s">
        <v>4135</v>
      </c>
      <c r="M83" s="3763">
        <v>10.0</v>
      </c>
      <c r="N83" s="139" t="s">
        <v>875</v>
      </c>
      <c r="O83" s="3762">
        <v>26.0</v>
      </c>
      <c r="P83" s="139" t="s">
        <v>875</v>
      </c>
      <c r="Q83" s="3762">
        <v>40.0</v>
      </c>
      <c r="R83" s="139" t="s">
        <v>875</v>
      </c>
      <c r="S83" s="3763">
        <v>40.0</v>
      </c>
      <c r="T83" s="3708">
        <f>Fighters!$S82</f>
        <v>81</v>
      </c>
      <c r="U83" s="3708">
        <f>Fighters!$T82</f>
        <v>71</v>
      </c>
      <c r="V83" s="3739" t="str">
        <f>Fighters!$V82</f>
        <v>dolly</v>
      </c>
    </row>
    <row r="84">
      <c r="A84" s="3700">
        <f>Fighters!$A83</f>
        <v>75</v>
      </c>
      <c r="B84" s="3701" t="str">
        <f>Fighters!$B83</f>
        <v>ベレト／ベレス</v>
      </c>
      <c r="C84" s="3790">
        <v>19.0</v>
      </c>
      <c r="D84" s="3791" t="s">
        <v>871</v>
      </c>
      <c r="E84" s="3792">
        <v>34.0</v>
      </c>
      <c r="F84" s="3791" t="s">
        <v>2087</v>
      </c>
      <c r="G84" s="3792">
        <v>45.0</v>
      </c>
      <c r="H84" s="3791" t="s">
        <v>873</v>
      </c>
      <c r="I84" s="3792">
        <v>14.0</v>
      </c>
      <c r="J84" s="3791" t="s">
        <v>2699</v>
      </c>
      <c r="K84" s="3793">
        <v>55.0</v>
      </c>
      <c r="L84" s="3791" t="s">
        <v>4135</v>
      </c>
      <c r="M84" s="3794">
        <v>9.0</v>
      </c>
      <c r="N84" s="139" t="s">
        <v>875</v>
      </c>
      <c r="O84" s="3762">
        <v>26.0</v>
      </c>
      <c r="P84" s="139" t="s">
        <v>875</v>
      </c>
      <c r="Q84" s="3762">
        <v>40.0</v>
      </c>
      <c r="R84" s="139" t="s">
        <v>875</v>
      </c>
      <c r="S84" s="3763">
        <v>40.0</v>
      </c>
      <c r="T84" s="3708">
        <f>Fighters!$S83</f>
        <v>82</v>
      </c>
      <c r="U84" s="3708">
        <f>Fighters!$T83</f>
        <v>72</v>
      </c>
      <c r="V84" s="3739" t="str">
        <f>Fighters!$V83</f>
        <v>master</v>
      </c>
    </row>
    <row r="85">
      <c r="A85" s="3700">
        <f>Fighters!$A84</f>
        <v>76</v>
      </c>
      <c r="B85" s="3701" t="str">
        <f>Fighters!$B84</f>
        <v>ミェンミェン</v>
      </c>
      <c r="C85" s="3762">
        <v>19.0</v>
      </c>
      <c r="D85" s="139" t="s">
        <v>871</v>
      </c>
      <c r="E85" s="3795">
        <v>34.0</v>
      </c>
      <c r="F85" s="139" t="s">
        <v>2087</v>
      </c>
      <c r="G85" s="3795">
        <v>45.0</v>
      </c>
      <c r="H85" s="139" t="s">
        <v>873</v>
      </c>
      <c r="I85" s="3795">
        <v>14.0</v>
      </c>
      <c r="J85" s="139" t="s">
        <v>2699</v>
      </c>
      <c r="K85" s="463">
        <v>55.0</v>
      </c>
      <c r="L85" s="139" t="s">
        <v>4135</v>
      </c>
      <c r="M85" s="3796">
        <v>9.0</v>
      </c>
      <c r="N85" s="139" t="s">
        <v>875</v>
      </c>
      <c r="O85" s="3762">
        <v>26.0</v>
      </c>
      <c r="P85" s="139" t="s">
        <v>875</v>
      </c>
      <c r="Q85" s="3762">
        <v>40.0</v>
      </c>
      <c r="R85" s="139" t="s">
        <v>875</v>
      </c>
      <c r="S85" s="3763">
        <v>40.0</v>
      </c>
      <c r="T85" s="3708">
        <f>Fighters!$S84</f>
        <v>83</v>
      </c>
      <c r="U85" s="3708">
        <f>Fighters!$T84</f>
        <v>73</v>
      </c>
      <c r="V85" s="3739" t="str">
        <f>Fighters!$V84</f>
        <v>tantan</v>
      </c>
    </row>
    <row r="86">
      <c r="A86" s="3700">
        <f>Fighters!$A85</f>
        <v>77</v>
      </c>
      <c r="B86" s="3701" t="str">
        <f>Fighters!$B85</f>
        <v>スティーブ／アレックス</v>
      </c>
      <c r="C86" s="3762">
        <v>19.0</v>
      </c>
      <c r="D86" s="139" t="s">
        <v>871</v>
      </c>
      <c r="E86" s="3762">
        <v>34.0</v>
      </c>
      <c r="F86" s="139" t="s">
        <v>2087</v>
      </c>
      <c r="G86" s="3762">
        <v>45.0</v>
      </c>
      <c r="H86" s="139" t="s">
        <v>873</v>
      </c>
      <c r="I86" s="3762">
        <v>14.0</v>
      </c>
      <c r="J86" s="139" t="s">
        <v>2699</v>
      </c>
      <c r="K86" s="138">
        <v>55.0</v>
      </c>
      <c r="L86" s="239" t="s">
        <v>4135</v>
      </c>
      <c r="M86" s="3763">
        <v>9.0</v>
      </c>
      <c r="N86" s="139" t="s">
        <v>875</v>
      </c>
      <c r="O86" s="3762">
        <v>26.0</v>
      </c>
      <c r="P86" s="139" t="s">
        <v>875</v>
      </c>
      <c r="Q86" s="3762">
        <v>40.0</v>
      </c>
      <c r="R86" s="139" t="s">
        <v>875</v>
      </c>
      <c r="S86" s="3763">
        <v>40.0</v>
      </c>
      <c r="T86" s="3708">
        <f>Fighters!$S85</f>
        <v>84</v>
      </c>
      <c r="U86" s="3708">
        <f>Fighters!$T85</f>
        <v>74</v>
      </c>
      <c r="V86" s="3739" t="str">
        <f>Fighters!$V85</f>
        <v>pickel</v>
      </c>
    </row>
    <row r="87">
      <c r="A87" s="3700">
        <f>Fighters!$A86</f>
        <v>78</v>
      </c>
      <c r="B87" s="3753" t="s">
        <v>7252</v>
      </c>
      <c r="C87" s="3762">
        <v>19.0</v>
      </c>
      <c r="D87" s="139" t="s">
        <v>871</v>
      </c>
      <c r="E87" s="3762">
        <v>34.0</v>
      </c>
      <c r="F87" s="139" t="s">
        <v>2279</v>
      </c>
      <c r="G87" s="3762">
        <v>45.0</v>
      </c>
      <c r="H87" s="139" t="s">
        <v>873</v>
      </c>
      <c r="I87" s="3762">
        <v>14.0</v>
      </c>
      <c r="J87" s="139" t="s">
        <v>2699</v>
      </c>
      <c r="K87" s="138">
        <v>55.0</v>
      </c>
      <c r="L87" s="239" t="s">
        <v>4135</v>
      </c>
      <c r="M87" s="3763">
        <v>9.0</v>
      </c>
      <c r="N87" s="139" t="s">
        <v>875</v>
      </c>
      <c r="O87" s="3762">
        <v>26.0</v>
      </c>
      <c r="P87" s="139" t="s">
        <v>875</v>
      </c>
      <c r="Q87" s="3762">
        <v>40.0</v>
      </c>
      <c r="R87" s="139" t="s">
        <v>875</v>
      </c>
      <c r="S87" s="3763">
        <v>40.0</v>
      </c>
      <c r="T87" s="3708">
        <f>Fighters!$S86</f>
        <v>85</v>
      </c>
      <c r="U87" s="3708">
        <f>Fighters!$T86</f>
        <v>75</v>
      </c>
      <c r="V87" s="3739" t="str">
        <f>Fighters!$V86</f>
        <v>edge</v>
      </c>
    </row>
    <row r="88">
      <c r="A88" s="3700">
        <f>Fighters!$A87</f>
        <v>79</v>
      </c>
      <c r="B88" s="3701" t="str">
        <f>Fighters!$B87</f>
        <v>ホムラ</v>
      </c>
      <c r="C88" s="3762">
        <v>19.0</v>
      </c>
      <c r="D88" s="139" t="s">
        <v>871</v>
      </c>
      <c r="E88" s="3762">
        <v>34.0</v>
      </c>
      <c r="F88" s="139" t="s">
        <v>2087</v>
      </c>
      <c r="G88" s="3762">
        <v>45.0</v>
      </c>
      <c r="H88" s="139" t="s">
        <v>873</v>
      </c>
      <c r="I88" s="3762">
        <v>14.0</v>
      </c>
      <c r="J88" s="139" t="s">
        <v>2699</v>
      </c>
      <c r="K88" s="138">
        <v>55.0</v>
      </c>
      <c r="L88" s="239" t="s">
        <v>4135</v>
      </c>
      <c r="M88" s="3763">
        <v>10.0</v>
      </c>
      <c r="N88" s="139" t="s">
        <v>875</v>
      </c>
      <c r="O88" s="3762">
        <v>26.0</v>
      </c>
      <c r="P88" s="139" t="s">
        <v>875</v>
      </c>
      <c r="Q88" s="3762">
        <v>40.0</v>
      </c>
      <c r="R88" s="139" t="s">
        <v>875</v>
      </c>
      <c r="S88" s="3763">
        <v>40.0</v>
      </c>
      <c r="T88" s="3708">
        <f>Fighters!$S87</f>
        <v>86</v>
      </c>
      <c r="U88" s="3708">
        <f>Fighters!$T87</f>
        <v>76</v>
      </c>
      <c r="V88" s="3739" t="str">
        <f>Fighters!$V87</f>
        <v>eflame</v>
      </c>
    </row>
    <row r="89">
      <c r="A89" s="3700">
        <f>Fighters!$A88</f>
        <v>80</v>
      </c>
      <c r="B89" s="3701" t="str">
        <f>Fighters!$B88</f>
        <v>ヒカリ</v>
      </c>
      <c r="C89" s="3762">
        <v>19.0</v>
      </c>
      <c r="D89" s="139" t="s">
        <v>871</v>
      </c>
      <c r="E89" s="3762">
        <v>34.0</v>
      </c>
      <c r="F89" s="139" t="s">
        <v>2087</v>
      </c>
      <c r="G89" s="3762">
        <v>45.0</v>
      </c>
      <c r="H89" s="139" t="s">
        <v>873</v>
      </c>
      <c r="I89" s="3762">
        <v>14.0</v>
      </c>
      <c r="J89" s="139" t="s">
        <v>2699</v>
      </c>
      <c r="K89" s="138">
        <v>55.0</v>
      </c>
      <c r="L89" s="239" t="s">
        <v>4135</v>
      </c>
      <c r="M89" s="3763">
        <v>9.0</v>
      </c>
      <c r="N89" s="139" t="s">
        <v>875</v>
      </c>
      <c r="O89" s="3762">
        <v>26.0</v>
      </c>
      <c r="P89" s="139" t="s">
        <v>875</v>
      </c>
      <c r="Q89" s="3762">
        <v>40.0</v>
      </c>
      <c r="R89" s="139" t="s">
        <v>875</v>
      </c>
      <c r="S89" s="3763">
        <v>40.0</v>
      </c>
      <c r="T89" s="3708">
        <f>Fighters!$S88</f>
        <v>87</v>
      </c>
      <c r="U89" s="3708">
        <f>Fighters!$T88</f>
        <v>77</v>
      </c>
      <c r="V89" s="3739" t="str">
        <f>Fighters!$V88</f>
        <v>elight</v>
      </c>
    </row>
    <row r="90">
      <c r="A90" s="3700">
        <f>Fighters!$A89</f>
        <v>81</v>
      </c>
      <c r="B90" s="3701" t="str">
        <f>Fighters!$B89</f>
        <v>カズヤ</v>
      </c>
      <c r="C90" s="3762">
        <v>19.0</v>
      </c>
      <c r="D90" s="139" t="s">
        <v>871</v>
      </c>
      <c r="E90" s="3762">
        <v>34.0</v>
      </c>
      <c r="F90" s="139" t="s">
        <v>2087</v>
      </c>
      <c r="G90" s="3762">
        <v>45.0</v>
      </c>
      <c r="H90" s="139" t="s">
        <v>873</v>
      </c>
      <c r="I90" s="3762">
        <v>14.0</v>
      </c>
      <c r="J90" s="139" t="s">
        <v>2699</v>
      </c>
      <c r="K90" s="138">
        <v>55.0</v>
      </c>
      <c r="L90" s="239" t="s">
        <v>4135</v>
      </c>
      <c r="M90" s="3763">
        <v>10.0</v>
      </c>
      <c r="N90" s="139" t="s">
        <v>875</v>
      </c>
      <c r="O90" s="3762">
        <v>26.0</v>
      </c>
      <c r="P90" s="139" t="s">
        <v>875</v>
      </c>
      <c r="Q90" s="3762">
        <v>40.0</v>
      </c>
      <c r="R90" s="139" t="s">
        <v>875</v>
      </c>
      <c r="S90" s="3763">
        <v>40.0</v>
      </c>
      <c r="T90" s="3708">
        <f>Fighters!$S89</f>
        <v>88</v>
      </c>
      <c r="U90" s="3708">
        <f>Fighters!$T89</f>
        <v>78</v>
      </c>
      <c r="V90" s="3754" t="s">
        <v>7267</v>
      </c>
    </row>
    <row r="91">
      <c r="A91" s="3755">
        <f>Fighters!$A90</f>
        <v>82</v>
      </c>
      <c r="B91" s="3756" t="str">
        <f>Fighters!$B90</f>
        <v>ソラ</v>
      </c>
      <c r="C91" s="3762">
        <v>19.0</v>
      </c>
      <c r="D91" s="239" t="s">
        <v>871</v>
      </c>
      <c r="E91" s="3762">
        <v>34.0</v>
      </c>
      <c r="F91" s="239" t="s">
        <v>2087</v>
      </c>
      <c r="G91" s="3762">
        <v>45.0</v>
      </c>
      <c r="H91" s="239" t="s">
        <v>873</v>
      </c>
      <c r="I91" s="3762">
        <v>14.0</v>
      </c>
      <c r="J91" s="239" t="s">
        <v>877</v>
      </c>
      <c r="K91" s="138">
        <v>55.0</v>
      </c>
      <c r="L91" s="239" t="s">
        <v>2159</v>
      </c>
      <c r="M91" s="3763">
        <v>9.0</v>
      </c>
      <c r="N91" s="239" t="s">
        <v>875</v>
      </c>
      <c r="O91" s="3762">
        <v>26.0</v>
      </c>
      <c r="P91" s="239" t="s">
        <v>875</v>
      </c>
      <c r="Q91" s="3762">
        <v>40.0</v>
      </c>
      <c r="R91" s="239" t="s">
        <v>875</v>
      </c>
      <c r="S91" s="3763">
        <v>40.0</v>
      </c>
      <c r="T91" s="3708">
        <f>Fighters!$S90</f>
        <v>89</v>
      </c>
      <c r="U91" s="3708">
        <f>Fighters!$T90</f>
        <v>79</v>
      </c>
      <c r="V91" s="3757" t="str">
        <f>Fighters!$V90</f>
        <v>trail</v>
      </c>
    </row>
  </sheetData>
  <autoFilter ref="$A$2:$V$91"/>
  <mergeCells count="7">
    <mergeCell ref="D1:E1"/>
    <mergeCell ref="F1:G1"/>
    <mergeCell ref="H1:I1"/>
    <mergeCell ref="J1:M1"/>
    <mergeCell ref="N1:O1"/>
    <mergeCell ref="P1:Q1"/>
    <mergeCell ref="R1:S1"/>
  </mergeCells>
  <drawing r:id="rId2"/>
  <legacyDrawing r:id="rId3"/>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18.88"/>
    <col customWidth="1" min="3" max="27" width="6.38"/>
    <col customWidth="1" min="28" max="30" width="9.25"/>
  </cols>
  <sheetData>
    <row r="1">
      <c r="A1" s="3741"/>
      <c r="B1" s="3699" t="s">
        <v>7416</v>
      </c>
      <c r="C1" s="3776" t="s">
        <v>248</v>
      </c>
      <c r="D1" s="3743" t="s">
        <v>216</v>
      </c>
      <c r="E1" s="3744"/>
      <c r="F1" s="3743" t="s">
        <v>4927</v>
      </c>
      <c r="G1" s="3744"/>
      <c r="H1" s="3777" t="s">
        <v>4930</v>
      </c>
      <c r="I1" s="3744"/>
      <c r="J1" s="3743" t="s">
        <v>243</v>
      </c>
      <c r="K1" s="110"/>
      <c r="L1" s="110"/>
      <c r="M1" s="110"/>
      <c r="N1" s="110"/>
      <c r="O1" s="3778"/>
      <c r="P1" s="3743" t="s">
        <v>216</v>
      </c>
      <c r="Q1" s="109"/>
      <c r="R1" s="3743" t="s">
        <v>4927</v>
      </c>
      <c r="S1" s="3744"/>
      <c r="T1" s="3777" t="s">
        <v>4930</v>
      </c>
      <c r="U1" s="3744"/>
      <c r="V1" s="3743" t="s">
        <v>243</v>
      </c>
      <c r="W1" s="110"/>
      <c r="X1" s="110"/>
      <c r="Y1" s="110"/>
      <c r="Z1" s="110"/>
      <c r="AA1" s="3778"/>
      <c r="AB1" s="3745"/>
      <c r="AC1" s="3745"/>
      <c r="AD1" s="3745"/>
    </row>
    <row r="2">
      <c r="A2" s="3747" t="str">
        <f>Fighters!C$1</f>
        <v>13.0.1</v>
      </c>
      <c r="B2" s="3688" t="s">
        <v>7272</v>
      </c>
      <c r="C2" s="3779" t="s">
        <v>49</v>
      </c>
      <c r="D2" s="3780" t="s">
        <v>235</v>
      </c>
      <c r="E2" s="3779" t="s">
        <v>49</v>
      </c>
      <c r="F2" s="3780" t="s">
        <v>235</v>
      </c>
      <c r="G2" s="3779" t="s">
        <v>49</v>
      </c>
      <c r="H2" s="3780" t="s">
        <v>235</v>
      </c>
      <c r="I2" s="3779" t="s">
        <v>49</v>
      </c>
      <c r="J2" s="3781" t="s">
        <v>235</v>
      </c>
      <c r="K2" s="3750" t="s">
        <v>49</v>
      </c>
      <c r="L2" s="3783" t="s">
        <v>48</v>
      </c>
      <c r="M2" s="3783" t="s">
        <v>50</v>
      </c>
      <c r="N2" s="3783" t="s">
        <v>48</v>
      </c>
      <c r="O2" s="3784" t="s">
        <v>50</v>
      </c>
      <c r="P2" s="3780" t="s">
        <v>235</v>
      </c>
      <c r="Q2" s="3748" t="s">
        <v>49</v>
      </c>
      <c r="R2" s="3780" t="s">
        <v>235</v>
      </c>
      <c r="S2" s="3779" t="s">
        <v>49</v>
      </c>
      <c r="T2" s="3780" t="s">
        <v>235</v>
      </c>
      <c r="U2" s="3779" t="s">
        <v>49</v>
      </c>
      <c r="V2" s="3781" t="s">
        <v>235</v>
      </c>
      <c r="W2" s="3750" t="s">
        <v>49</v>
      </c>
      <c r="X2" s="3783" t="s">
        <v>48</v>
      </c>
      <c r="Y2" s="3783" t="s">
        <v>50</v>
      </c>
      <c r="Z2" s="3783" t="s">
        <v>48</v>
      </c>
      <c r="AA2" s="3784" t="s">
        <v>50</v>
      </c>
      <c r="AB2" s="3698" t="s">
        <v>6515</v>
      </c>
      <c r="AC2" s="3698" t="s">
        <v>6516</v>
      </c>
      <c r="AD2" s="3759" t="s">
        <v>6517</v>
      </c>
    </row>
    <row r="3">
      <c r="A3" s="3700">
        <f>Fighters!$A2</f>
        <v>1</v>
      </c>
      <c r="B3" s="3701" t="str">
        <f>Fighters!$B2</f>
        <v>マリオ</v>
      </c>
      <c r="C3" s="3797" t="s">
        <v>92</v>
      </c>
      <c r="D3" s="139" t="s">
        <v>877</v>
      </c>
      <c r="E3" s="3762">
        <v>29.0</v>
      </c>
      <c r="F3" s="139" t="s">
        <v>874</v>
      </c>
      <c r="G3" s="3762">
        <v>35.0</v>
      </c>
      <c r="H3" s="139" t="s">
        <v>877</v>
      </c>
      <c r="I3" s="3762">
        <v>35.0</v>
      </c>
      <c r="J3" s="139" t="s">
        <v>872</v>
      </c>
      <c r="K3" s="138">
        <v>45.0</v>
      </c>
      <c r="L3" s="239" t="s">
        <v>334</v>
      </c>
      <c r="M3" s="138">
        <v>7.0</v>
      </c>
      <c r="N3" s="239" t="s">
        <v>443</v>
      </c>
      <c r="O3" s="3763">
        <v>7.0</v>
      </c>
      <c r="P3" s="139" t="s">
        <v>877</v>
      </c>
      <c r="Q3" s="3762">
        <v>29.0</v>
      </c>
      <c r="R3" s="139" t="s">
        <v>878</v>
      </c>
      <c r="S3" s="3762">
        <v>35.0</v>
      </c>
      <c r="T3" s="139" t="s">
        <v>879</v>
      </c>
      <c r="U3" s="3762">
        <v>35.0</v>
      </c>
      <c r="V3" s="139" t="s">
        <v>877</v>
      </c>
      <c r="W3" s="138">
        <v>45.0</v>
      </c>
      <c r="X3" s="239" t="s">
        <v>454</v>
      </c>
      <c r="Y3" s="138">
        <v>7.0</v>
      </c>
      <c r="Z3" s="239" t="s">
        <v>834</v>
      </c>
      <c r="AA3" s="3763">
        <v>7.0</v>
      </c>
      <c r="AB3" s="3708">
        <f>Fighters!$S2</f>
        <v>1</v>
      </c>
      <c r="AC3" s="3708">
        <f>Fighters!$T2</f>
        <v>0</v>
      </c>
      <c r="AD3" s="3710" t="str">
        <f>Fighters!$V2</f>
        <v>mario</v>
      </c>
    </row>
    <row r="4">
      <c r="A4" s="3700">
        <f>Fighters!$A3</f>
        <v>2</v>
      </c>
      <c r="B4" s="3701" t="str">
        <f>Fighters!$B3</f>
        <v>ドンキーコング</v>
      </c>
      <c r="C4" s="3797" t="s">
        <v>92</v>
      </c>
      <c r="D4" s="139" t="s">
        <v>877</v>
      </c>
      <c r="E4" s="3762">
        <v>29.0</v>
      </c>
      <c r="F4" s="139" t="s">
        <v>878</v>
      </c>
      <c r="G4" s="3762">
        <v>35.0</v>
      </c>
      <c r="H4" s="139" t="s">
        <v>879</v>
      </c>
      <c r="I4" s="3762">
        <v>35.0</v>
      </c>
      <c r="J4" s="139" t="s">
        <v>879</v>
      </c>
      <c r="K4" s="138">
        <v>45.0</v>
      </c>
      <c r="L4" s="239" t="s">
        <v>653</v>
      </c>
      <c r="M4" s="138">
        <v>7.0</v>
      </c>
      <c r="N4" s="239" t="s">
        <v>377</v>
      </c>
      <c r="O4" s="3763">
        <v>7.0</v>
      </c>
      <c r="P4" s="139" t="s">
        <v>877</v>
      </c>
      <c r="Q4" s="3762">
        <v>29.0</v>
      </c>
      <c r="R4" s="139" t="s">
        <v>5235</v>
      </c>
      <c r="S4" s="3762">
        <v>35.0</v>
      </c>
      <c r="T4" s="139" t="s">
        <v>879</v>
      </c>
      <c r="U4" s="3762">
        <v>35.0</v>
      </c>
      <c r="V4" s="139" t="s">
        <v>879</v>
      </c>
      <c r="W4" s="138">
        <v>45.0</v>
      </c>
      <c r="X4" s="239" t="s">
        <v>653</v>
      </c>
      <c r="Y4" s="138">
        <v>7.0</v>
      </c>
      <c r="Z4" s="239" t="s">
        <v>377</v>
      </c>
      <c r="AA4" s="3763">
        <v>7.0</v>
      </c>
      <c r="AB4" s="3708">
        <f>Fighters!$S3</f>
        <v>2</v>
      </c>
      <c r="AC4" s="3708">
        <f>Fighters!$T3</f>
        <v>1</v>
      </c>
      <c r="AD4" s="3710" t="str">
        <f>Fighters!$V3</f>
        <v>donkey</v>
      </c>
    </row>
    <row r="5">
      <c r="A5" s="3700">
        <f>Fighters!$A4</f>
        <v>3</v>
      </c>
      <c r="B5" s="3701" t="str">
        <f>Fighters!$B4</f>
        <v>リンク</v>
      </c>
      <c r="C5" s="3797" t="s">
        <v>92</v>
      </c>
      <c r="D5" s="139" t="s">
        <v>877</v>
      </c>
      <c r="E5" s="3762">
        <v>29.0</v>
      </c>
      <c r="F5" s="139" t="s">
        <v>879</v>
      </c>
      <c r="G5" s="3762">
        <v>35.0</v>
      </c>
      <c r="H5" s="139" t="s">
        <v>1634</v>
      </c>
      <c r="I5" s="3762">
        <v>35.0</v>
      </c>
      <c r="J5" s="139" t="s">
        <v>877</v>
      </c>
      <c r="K5" s="138">
        <v>45.0</v>
      </c>
      <c r="L5" s="239" t="s">
        <v>203</v>
      </c>
      <c r="M5" s="138">
        <v>7.0</v>
      </c>
      <c r="N5" s="239" t="s">
        <v>834</v>
      </c>
      <c r="O5" s="3763">
        <v>7.0</v>
      </c>
      <c r="P5" s="139" t="s">
        <v>877</v>
      </c>
      <c r="Q5" s="3762">
        <v>29.0</v>
      </c>
      <c r="R5" s="139" t="s">
        <v>878</v>
      </c>
      <c r="S5" s="3762">
        <v>35.0</v>
      </c>
      <c r="T5" s="139" t="s">
        <v>872</v>
      </c>
      <c r="U5" s="3762">
        <v>35.0</v>
      </c>
      <c r="V5" s="139" t="s">
        <v>877</v>
      </c>
      <c r="W5" s="138">
        <v>45.0</v>
      </c>
      <c r="X5" s="239" t="s">
        <v>203</v>
      </c>
      <c r="Y5" s="138">
        <v>7.0</v>
      </c>
      <c r="Z5" s="239" t="s">
        <v>834</v>
      </c>
      <c r="AA5" s="3763">
        <v>7.0</v>
      </c>
      <c r="AB5" s="3708">
        <f>Fighters!$S4</f>
        <v>3</v>
      </c>
      <c r="AC5" s="3708">
        <f>Fighters!$T4</f>
        <v>2</v>
      </c>
      <c r="AD5" s="3710" t="str">
        <f>Fighters!$V4</f>
        <v>link</v>
      </c>
    </row>
    <row r="6">
      <c r="A6" s="3700">
        <f>Fighters!$A5</f>
        <v>4</v>
      </c>
      <c r="B6" s="3701" t="str">
        <f>Fighters!$B5</f>
        <v>サムス</v>
      </c>
      <c r="C6" s="3797" t="s">
        <v>92</v>
      </c>
      <c r="D6" s="139" t="s">
        <v>877</v>
      </c>
      <c r="E6" s="3762">
        <v>29.0</v>
      </c>
      <c r="F6" s="139" t="s">
        <v>5235</v>
      </c>
      <c r="G6" s="3762">
        <v>35.0</v>
      </c>
      <c r="H6" s="139" t="s">
        <v>875</v>
      </c>
      <c r="I6" s="3762">
        <v>35.0</v>
      </c>
      <c r="J6" s="139" t="s">
        <v>1133</v>
      </c>
      <c r="K6" s="138">
        <v>45.0</v>
      </c>
      <c r="L6" s="239" t="s">
        <v>203</v>
      </c>
      <c r="M6" s="138">
        <v>7.0</v>
      </c>
      <c r="N6" s="239" t="s">
        <v>288</v>
      </c>
      <c r="O6" s="3763">
        <v>7.0</v>
      </c>
      <c r="P6" s="139" t="s">
        <v>877</v>
      </c>
      <c r="Q6" s="3762">
        <v>29.0</v>
      </c>
      <c r="R6" s="139" t="s">
        <v>878</v>
      </c>
      <c r="S6" s="3762">
        <v>35.0</v>
      </c>
      <c r="T6" s="139" t="s">
        <v>877</v>
      </c>
      <c r="U6" s="3762">
        <v>35.0</v>
      </c>
      <c r="V6" s="139" t="s">
        <v>879</v>
      </c>
      <c r="W6" s="138">
        <v>45.0</v>
      </c>
      <c r="X6" s="239" t="s">
        <v>203</v>
      </c>
      <c r="Y6" s="138">
        <v>7.0</v>
      </c>
      <c r="Z6" s="239" t="s">
        <v>377</v>
      </c>
      <c r="AA6" s="3763">
        <v>7.0</v>
      </c>
      <c r="AB6" s="3708">
        <f>Fighters!$S5</f>
        <v>4</v>
      </c>
      <c r="AC6" s="3708">
        <f>Fighters!$T5</f>
        <v>3</v>
      </c>
      <c r="AD6" s="3710" t="str">
        <f>Fighters!$V5</f>
        <v>samus</v>
      </c>
    </row>
    <row r="7">
      <c r="A7" s="3700" t="str">
        <f>Fighters!$A6</f>
        <v>4'</v>
      </c>
      <c r="B7" s="3701" t="str">
        <f>Fighters!$B6</f>
        <v>ダークサムス</v>
      </c>
      <c r="C7" s="3797" t="s">
        <v>92</v>
      </c>
      <c r="D7" s="139" t="s">
        <v>877</v>
      </c>
      <c r="E7" s="3762">
        <v>29.0</v>
      </c>
      <c r="F7" s="139" t="s">
        <v>5235</v>
      </c>
      <c r="G7" s="3762">
        <v>35.0</v>
      </c>
      <c r="H7" s="139" t="s">
        <v>875</v>
      </c>
      <c r="I7" s="3762">
        <v>35.0</v>
      </c>
      <c r="J7" s="139" t="s">
        <v>1133</v>
      </c>
      <c r="K7" s="138">
        <v>45.0</v>
      </c>
      <c r="L7" s="239" t="s">
        <v>203</v>
      </c>
      <c r="M7" s="138">
        <v>7.0</v>
      </c>
      <c r="N7" s="239" t="s">
        <v>288</v>
      </c>
      <c r="O7" s="3763">
        <v>7.0</v>
      </c>
      <c r="P7" s="139" t="s">
        <v>877</v>
      </c>
      <c r="Q7" s="3762">
        <v>29.0</v>
      </c>
      <c r="R7" s="139" t="s">
        <v>878</v>
      </c>
      <c r="S7" s="3762">
        <v>35.0</v>
      </c>
      <c r="T7" s="139" t="s">
        <v>877</v>
      </c>
      <c r="U7" s="3762">
        <v>35.0</v>
      </c>
      <c r="V7" s="139" t="s">
        <v>879</v>
      </c>
      <c r="W7" s="138">
        <v>45.0</v>
      </c>
      <c r="X7" s="239" t="s">
        <v>203</v>
      </c>
      <c r="Y7" s="138">
        <v>7.0</v>
      </c>
      <c r="Z7" s="239" t="s">
        <v>377</v>
      </c>
      <c r="AA7" s="3763">
        <v>7.0</v>
      </c>
      <c r="AB7" s="3708">
        <f>Fighters!$S6</f>
        <v>5</v>
      </c>
      <c r="AC7" s="3708">
        <f>Fighters!$T6</f>
        <v>72</v>
      </c>
      <c r="AD7" s="3710" t="str">
        <f>Fighters!$V6</f>
        <v>samusd</v>
      </c>
    </row>
    <row r="8">
      <c r="A8" s="3700">
        <f>Fighters!$A7</f>
        <v>5</v>
      </c>
      <c r="B8" s="3701" t="str">
        <f>Fighters!$B7</f>
        <v>ヨッシー</v>
      </c>
      <c r="C8" s="3797" t="s">
        <v>92</v>
      </c>
      <c r="D8" s="139" t="s">
        <v>877</v>
      </c>
      <c r="E8" s="3762">
        <v>29.0</v>
      </c>
      <c r="F8" s="139" t="s">
        <v>878</v>
      </c>
      <c r="G8" s="3762">
        <v>35.0</v>
      </c>
      <c r="H8" s="139" t="s">
        <v>879</v>
      </c>
      <c r="I8" s="3762">
        <v>35.0</v>
      </c>
      <c r="J8" s="139" t="s">
        <v>874</v>
      </c>
      <c r="K8" s="138">
        <v>45.0</v>
      </c>
      <c r="L8" s="239" t="s">
        <v>295</v>
      </c>
      <c r="M8" s="138">
        <v>7.0</v>
      </c>
      <c r="N8" s="239" t="s">
        <v>351</v>
      </c>
      <c r="O8" s="3763">
        <v>7.0</v>
      </c>
      <c r="P8" s="139" t="s">
        <v>877</v>
      </c>
      <c r="Q8" s="3762">
        <v>29.0</v>
      </c>
      <c r="R8" s="139" t="s">
        <v>5235</v>
      </c>
      <c r="S8" s="3762">
        <v>35.0</v>
      </c>
      <c r="T8" s="139" t="s">
        <v>3198</v>
      </c>
      <c r="U8" s="3762">
        <v>35.0</v>
      </c>
      <c r="V8" s="139" t="s">
        <v>872</v>
      </c>
      <c r="W8" s="138">
        <v>45.0</v>
      </c>
      <c r="X8" s="239" t="s">
        <v>295</v>
      </c>
      <c r="Y8" s="138">
        <v>7.0</v>
      </c>
      <c r="Z8" s="239" t="s">
        <v>443</v>
      </c>
      <c r="AA8" s="3763">
        <v>7.0</v>
      </c>
      <c r="AB8" s="3708">
        <f>Fighters!$S7</f>
        <v>6</v>
      </c>
      <c r="AC8" s="3708">
        <f>Fighters!$T7</f>
        <v>4</v>
      </c>
      <c r="AD8" s="3710" t="str">
        <f>Fighters!$V7</f>
        <v>younglink</v>
      </c>
    </row>
    <row r="9">
      <c r="A9" s="3700">
        <f>Fighters!$A8</f>
        <v>6</v>
      </c>
      <c r="B9" s="3701" t="str">
        <f>Fighters!$B8</f>
        <v>カービィ</v>
      </c>
      <c r="C9" s="3797" t="s">
        <v>92</v>
      </c>
      <c r="D9" s="139" t="s">
        <v>877</v>
      </c>
      <c r="E9" s="3762">
        <v>29.0</v>
      </c>
      <c r="F9" s="139" t="s">
        <v>619</v>
      </c>
      <c r="G9" s="3762">
        <v>35.0</v>
      </c>
      <c r="H9" s="139" t="s">
        <v>875</v>
      </c>
      <c r="I9" s="3762">
        <v>35.0</v>
      </c>
      <c r="J9" s="139" t="s">
        <v>874</v>
      </c>
      <c r="K9" s="138">
        <v>45.0</v>
      </c>
      <c r="L9" s="239" t="s">
        <v>454</v>
      </c>
      <c r="M9" s="138">
        <v>7.0</v>
      </c>
      <c r="N9" s="239" t="s">
        <v>351</v>
      </c>
      <c r="O9" s="3763">
        <v>7.0</v>
      </c>
      <c r="P9" s="139" t="s">
        <v>877</v>
      </c>
      <c r="Q9" s="3762">
        <v>29.0</v>
      </c>
      <c r="R9" s="139" t="s">
        <v>1133</v>
      </c>
      <c r="S9" s="3762">
        <v>35.0</v>
      </c>
      <c r="T9" s="139" t="s">
        <v>459</v>
      </c>
      <c r="U9" s="3762">
        <v>35.0</v>
      </c>
      <c r="V9" s="139" t="s">
        <v>874</v>
      </c>
      <c r="W9" s="138">
        <v>45.0</v>
      </c>
      <c r="X9" s="239" t="s">
        <v>454</v>
      </c>
      <c r="Y9" s="138">
        <v>7.0</v>
      </c>
      <c r="Z9" s="239" t="s">
        <v>351</v>
      </c>
      <c r="AA9" s="3763">
        <v>7.0</v>
      </c>
      <c r="AB9" s="3708">
        <f>Fighters!$S8</f>
        <v>7</v>
      </c>
      <c r="AC9" s="3708">
        <f>Fighters!$T8</f>
        <v>5</v>
      </c>
      <c r="AD9" s="3710" t="str">
        <f>Fighters!$V8</f>
        <v>kirby</v>
      </c>
    </row>
    <row r="10">
      <c r="A10" s="3700">
        <f>Fighters!$A9</f>
        <v>7</v>
      </c>
      <c r="B10" s="3701" t="str">
        <f>Fighters!$B9</f>
        <v>フォックス</v>
      </c>
      <c r="C10" s="3797" t="s">
        <v>92</v>
      </c>
      <c r="D10" s="139" t="s">
        <v>877</v>
      </c>
      <c r="E10" s="3762">
        <v>29.0</v>
      </c>
      <c r="F10" s="139" t="s">
        <v>878</v>
      </c>
      <c r="G10" s="3762">
        <v>35.0</v>
      </c>
      <c r="H10" s="139" t="s">
        <v>875</v>
      </c>
      <c r="I10" s="3762">
        <v>35.0</v>
      </c>
      <c r="J10" s="139" t="s">
        <v>877</v>
      </c>
      <c r="K10" s="138">
        <v>45.0</v>
      </c>
      <c r="L10" s="239" t="s">
        <v>454</v>
      </c>
      <c r="M10" s="138">
        <v>7.0</v>
      </c>
      <c r="N10" s="239" t="s">
        <v>834</v>
      </c>
      <c r="O10" s="3763">
        <v>7.0</v>
      </c>
      <c r="P10" s="139" t="s">
        <v>877</v>
      </c>
      <c r="Q10" s="3762">
        <v>29.0</v>
      </c>
      <c r="R10" s="139" t="s">
        <v>878</v>
      </c>
      <c r="S10" s="3762">
        <v>35.0</v>
      </c>
      <c r="T10" s="139" t="s">
        <v>879</v>
      </c>
      <c r="U10" s="3762">
        <v>35.0</v>
      </c>
      <c r="V10" s="139" t="s">
        <v>877</v>
      </c>
      <c r="W10" s="138">
        <v>45.0</v>
      </c>
      <c r="X10" s="239" t="s">
        <v>454</v>
      </c>
      <c r="Y10" s="138">
        <v>7.0</v>
      </c>
      <c r="Z10" s="239" t="s">
        <v>834</v>
      </c>
      <c r="AA10" s="3763">
        <v>7.0</v>
      </c>
      <c r="AB10" s="3708">
        <f>Fighters!$S9</f>
        <v>8</v>
      </c>
      <c r="AC10" s="3708">
        <f>Fighters!$T9</f>
        <v>6</v>
      </c>
      <c r="AD10" s="3710" t="str">
        <f>Fighters!$V9</f>
        <v>fox</v>
      </c>
    </row>
    <row r="11">
      <c r="A11" s="3700">
        <f>Fighters!$A10</f>
        <v>8</v>
      </c>
      <c r="B11" s="3701" t="str">
        <f>Fighters!$B10</f>
        <v>ピカチュウ</v>
      </c>
      <c r="C11" s="3797" t="s">
        <v>92</v>
      </c>
      <c r="D11" s="3798" t="s">
        <v>877</v>
      </c>
      <c r="E11" s="3762">
        <v>29.0</v>
      </c>
      <c r="F11" s="139" t="s">
        <v>5235</v>
      </c>
      <c r="G11" s="3762">
        <v>35.0</v>
      </c>
      <c r="H11" s="139" t="s">
        <v>878</v>
      </c>
      <c r="I11" s="3762">
        <v>35.0</v>
      </c>
      <c r="J11" s="139" t="s">
        <v>877</v>
      </c>
      <c r="K11" s="138">
        <v>45.0</v>
      </c>
      <c r="L11" s="239" t="s">
        <v>454</v>
      </c>
      <c r="M11" s="138">
        <v>7.0</v>
      </c>
      <c r="N11" s="239" t="s">
        <v>834</v>
      </c>
      <c r="O11" s="3763">
        <v>7.0</v>
      </c>
      <c r="P11" s="3798" t="s">
        <v>877</v>
      </c>
      <c r="Q11" s="3762">
        <v>29.0</v>
      </c>
      <c r="R11" s="139" t="s">
        <v>878</v>
      </c>
      <c r="S11" s="3762">
        <v>35.0</v>
      </c>
      <c r="T11" s="139" t="s">
        <v>878</v>
      </c>
      <c r="U11" s="3762">
        <v>35.0</v>
      </c>
      <c r="V11" s="139" t="s">
        <v>877</v>
      </c>
      <c r="W11" s="138">
        <v>45.0</v>
      </c>
      <c r="X11" s="239" t="s">
        <v>454</v>
      </c>
      <c r="Y11" s="138">
        <v>7.0</v>
      </c>
      <c r="Z11" s="239" t="s">
        <v>834</v>
      </c>
      <c r="AA11" s="3763">
        <v>7.0</v>
      </c>
      <c r="AB11" s="3708">
        <f>Fighters!$S10</f>
        <v>9</v>
      </c>
      <c r="AC11" s="3708">
        <f>Fighters!$T10</f>
        <v>7</v>
      </c>
      <c r="AD11" s="3710" t="str">
        <f>Fighters!$V10</f>
        <v>pikachu</v>
      </c>
    </row>
    <row r="12">
      <c r="A12" s="3700">
        <f>Fighters!$A11</f>
        <v>9</v>
      </c>
      <c r="B12" s="3701" t="str">
        <f>Fighters!$B11</f>
        <v>ルイージ</v>
      </c>
      <c r="C12" s="3797" t="s">
        <v>92</v>
      </c>
      <c r="D12" s="3798" t="s">
        <v>877</v>
      </c>
      <c r="E12" s="3762">
        <v>29.0</v>
      </c>
      <c r="F12" s="139" t="s">
        <v>874</v>
      </c>
      <c r="G12" s="3762">
        <v>35.0</v>
      </c>
      <c r="H12" s="139" t="s">
        <v>877</v>
      </c>
      <c r="I12" s="3762">
        <v>35.0</v>
      </c>
      <c r="J12" s="139" t="s">
        <v>872</v>
      </c>
      <c r="K12" s="138">
        <v>45.0</v>
      </c>
      <c r="L12" s="239" t="s">
        <v>334</v>
      </c>
      <c r="M12" s="138">
        <v>7.0</v>
      </c>
      <c r="N12" s="239" t="s">
        <v>443</v>
      </c>
      <c r="O12" s="3763">
        <v>7.0</v>
      </c>
      <c r="P12" s="3798" t="s">
        <v>877</v>
      </c>
      <c r="Q12" s="3762">
        <v>29.0</v>
      </c>
      <c r="R12" s="139" t="s">
        <v>878</v>
      </c>
      <c r="S12" s="3762">
        <v>35.0</v>
      </c>
      <c r="T12" s="139" t="s">
        <v>879</v>
      </c>
      <c r="U12" s="3762">
        <v>35.0</v>
      </c>
      <c r="V12" s="139" t="s">
        <v>872</v>
      </c>
      <c r="W12" s="138">
        <v>45.0</v>
      </c>
      <c r="X12" s="239" t="s">
        <v>351</v>
      </c>
      <c r="Y12" s="138">
        <v>7.0</v>
      </c>
      <c r="Z12" s="239" t="s">
        <v>443</v>
      </c>
      <c r="AA12" s="3763">
        <v>7.0</v>
      </c>
      <c r="AB12" s="3708">
        <f>Fighters!$S11</f>
        <v>10</v>
      </c>
      <c r="AC12" s="3708">
        <f>Fighters!$T11</f>
        <v>8</v>
      </c>
      <c r="AD12" s="3710" t="str">
        <f>Fighters!$V11</f>
        <v>luigi</v>
      </c>
    </row>
    <row r="13">
      <c r="A13" s="3700">
        <f>Fighters!$A12</f>
        <v>10</v>
      </c>
      <c r="B13" s="3701" t="str">
        <f>Fighters!$B12</f>
        <v>ネス</v>
      </c>
      <c r="C13" s="3797" t="s">
        <v>92</v>
      </c>
      <c r="D13" s="3798" t="s">
        <v>877</v>
      </c>
      <c r="E13" s="3762">
        <v>29.0</v>
      </c>
      <c r="F13" s="139" t="s">
        <v>877</v>
      </c>
      <c r="G13" s="3762">
        <v>35.0</v>
      </c>
      <c r="H13" s="139" t="s">
        <v>877</v>
      </c>
      <c r="I13" s="3762">
        <v>35.0</v>
      </c>
      <c r="J13" s="139" t="s">
        <v>877</v>
      </c>
      <c r="K13" s="138">
        <v>45.0</v>
      </c>
      <c r="L13" s="239" t="s">
        <v>203</v>
      </c>
      <c r="M13" s="138">
        <v>7.0</v>
      </c>
      <c r="N13" s="239" t="s">
        <v>834</v>
      </c>
      <c r="O13" s="3763">
        <v>7.0</v>
      </c>
      <c r="P13" s="3798" t="s">
        <v>877</v>
      </c>
      <c r="Q13" s="3762">
        <v>29.0</v>
      </c>
      <c r="R13" s="139" t="s">
        <v>877</v>
      </c>
      <c r="S13" s="3762">
        <v>35.0</v>
      </c>
      <c r="T13" s="139" t="s">
        <v>877</v>
      </c>
      <c r="U13" s="3762">
        <v>35.0</v>
      </c>
      <c r="V13" s="139" t="s">
        <v>877</v>
      </c>
      <c r="W13" s="138">
        <v>45.0</v>
      </c>
      <c r="X13" s="239" t="s">
        <v>203</v>
      </c>
      <c r="Y13" s="138">
        <v>7.0</v>
      </c>
      <c r="Z13" s="239" t="s">
        <v>834</v>
      </c>
      <c r="AA13" s="3763">
        <v>7.0</v>
      </c>
      <c r="AB13" s="3708">
        <f>Fighters!$S12</f>
        <v>11</v>
      </c>
      <c r="AC13" s="3708">
        <f>Fighters!$T12</f>
        <v>9</v>
      </c>
      <c r="AD13" s="3710" t="str">
        <f>Fighters!$V12</f>
        <v>ness</v>
      </c>
    </row>
    <row r="14">
      <c r="A14" s="3700">
        <f>Fighters!$A13</f>
        <v>11</v>
      </c>
      <c r="B14" s="3701" t="str">
        <f>Fighters!$B13</f>
        <v>キャプテン・ファルコン</v>
      </c>
      <c r="C14" s="3797" t="s">
        <v>92</v>
      </c>
      <c r="D14" s="3798" t="s">
        <v>877</v>
      </c>
      <c r="E14" s="3762">
        <v>29.0</v>
      </c>
      <c r="F14" s="139" t="s">
        <v>1133</v>
      </c>
      <c r="G14" s="3762">
        <v>35.0</v>
      </c>
      <c r="H14" s="139" t="s">
        <v>878</v>
      </c>
      <c r="I14" s="3762">
        <v>35.0</v>
      </c>
      <c r="J14" s="139" t="s">
        <v>874</v>
      </c>
      <c r="K14" s="138">
        <v>45.0</v>
      </c>
      <c r="L14" s="239" t="s">
        <v>295</v>
      </c>
      <c r="M14" s="1360">
        <v>6.0</v>
      </c>
      <c r="N14" s="239" t="s">
        <v>351</v>
      </c>
      <c r="O14" s="3788">
        <v>6.0</v>
      </c>
      <c r="P14" s="3798" t="s">
        <v>877</v>
      </c>
      <c r="Q14" s="3762">
        <v>29.0</v>
      </c>
      <c r="R14" s="139" t="s">
        <v>878</v>
      </c>
      <c r="S14" s="3762">
        <v>35.0</v>
      </c>
      <c r="T14" s="139" t="s">
        <v>872</v>
      </c>
      <c r="U14" s="3762">
        <v>35.0</v>
      </c>
      <c r="V14" s="139" t="s">
        <v>872</v>
      </c>
      <c r="W14" s="138">
        <v>45.0</v>
      </c>
      <c r="X14" s="239" t="s">
        <v>295</v>
      </c>
      <c r="Y14" s="138">
        <v>7.0</v>
      </c>
      <c r="Z14" s="239" t="s">
        <v>443</v>
      </c>
      <c r="AA14" s="3763">
        <v>7.0</v>
      </c>
      <c r="AB14" s="3708">
        <f>Fighters!$S13</f>
        <v>12</v>
      </c>
      <c r="AC14" s="3708">
        <f>Fighters!$T13</f>
        <v>10</v>
      </c>
      <c r="AD14" s="3710" t="str">
        <f>Fighters!$V13</f>
        <v>captain</v>
      </c>
    </row>
    <row r="15">
      <c r="A15" s="3700">
        <f>Fighters!$A14</f>
        <v>12</v>
      </c>
      <c r="B15" s="3701" t="str">
        <f>Fighters!$B14</f>
        <v>プリン</v>
      </c>
      <c r="C15" s="3797" t="s">
        <v>92</v>
      </c>
      <c r="D15" s="3798" t="s">
        <v>877</v>
      </c>
      <c r="E15" s="3762">
        <v>29.0</v>
      </c>
      <c r="F15" s="139" t="s">
        <v>878</v>
      </c>
      <c r="G15" s="3762">
        <v>35.0</v>
      </c>
      <c r="H15" s="139" t="s">
        <v>874</v>
      </c>
      <c r="I15" s="3762">
        <v>35.0</v>
      </c>
      <c r="J15" s="139" t="s">
        <v>874</v>
      </c>
      <c r="K15" s="138">
        <v>45.0</v>
      </c>
      <c r="L15" s="239" t="s">
        <v>454</v>
      </c>
      <c r="M15" s="138">
        <v>7.0</v>
      </c>
      <c r="N15" s="239" t="s">
        <v>351</v>
      </c>
      <c r="O15" s="3763">
        <v>7.0</v>
      </c>
      <c r="P15" s="3798" t="s">
        <v>877</v>
      </c>
      <c r="Q15" s="3762">
        <v>29.0</v>
      </c>
      <c r="R15" s="139" t="s">
        <v>879</v>
      </c>
      <c r="S15" s="3762">
        <v>35.0</v>
      </c>
      <c r="T15" s="139" t="s">
        <v>3198</v>
      </c>
      <c r="U15" s="3762">
        <v>35.0</v>
      </c>
      <c r="V15" s="139" t="s">
        <v>874</v>
      </c>
      <c r="W15" s="138">
        <v>45.0</v>
      </c>
      <c r="X15" s="239" t="s">
        <v>454</v>
      </c>
      <c r="Y15" s="138">
        <v>7.0</v>
      </c>
      <c r="Z15" s="239" t="s">
        <v>351</v>
      </c>
      <c r="AA15" s="3763">
        <v>7.0</v>
      </c>
      <c r="AB15" s="3708">
        <f>Fighters!$S14</f>
        <v>13</v>
      </c>
      <c r="AC15" s="3708">
        <f>Fighters!$T14</f>
        <v>11</v>
      </c>
      <c r="AD15" s="3710" t="str">
        <f>Fighters!$V14</f>
        <v>purin</v>
      </c>
    </row>
    <row r="16">
      <c r="A16" s="3700">
        <f>Fighters!$A15</f>
        <v>13</v>
      </c>
      <c r="B16" s="3701" t="str">
        <f>Fighters!$B15</f>
        <v>ピーチ</v>
      </c>
      <c r="C16" s="3797" t="s">
        <v>92</v>
      </c>
      <c r="D16" s="3798" t="s">
        <v>877</v>
      </c>
      <c r="E16" s="3762">
        <v>29.0</v>
      </c>
      <c r="F16" s="139" t="s">
        <v>878</v>
      </c>
      <c r="G16" s="3762">
        <v>35.0</v>
      </c>
      <c r="H16" s="139" t="s">
        <v>878</v>
      </c>
      <c r="I16" s="3762">
        <v>35.0</v>
      </c>
      <c r="J16" s="139" t="s">
        <v>1133</v>
      </c>
      <c r="K16" s="138">
        <v>45.0</v>
      </c>
      <c r="L16" s="239" t="s">
        <v>295</v>
      </c>
      <c r="M16" s="138">
        <v>7.0</v>
      </c>
      <c r="N16" s="239" t="s">
        <v>288</v>
      </c>
      <c r="O16" s="3763">
        <v>7.0</v>
      </c>
      <c r="P16" s="3798" t="s">
        <v>877</v>
      </c>
      <c r="Q16" s="3762">
        <v>29.0</v>
      </c>
      <c r="R16" s="139" t="s">
        <v>878</v>
      </c>
      <c r="S16" s="3762">
        <v>35.0</v>
      </c>
      <c r="T16" s="139" t="s">
        <v>878</v>
      </c>
      <c r="U16" s="3762">
        <v>35.0</v>
      </c>
      <c r="V16" s="139" t="s">
        <v>879</v>
      </c>
      <c r="W16" s="138">
        <v>45.0</v>
      </c>
      <c r="X16" s="239" t="s">
        <v>295</v>
      </c>
      <c r="Y16" s="138">
        <v>7.0</v>
      </c>
      <c r="Z16" s="239" t="s">
        <v>377</v>
      </c>
      <c r="AA16" s="3763">
        <v>7.0</v>
      </c>
      <c r="AB16" s="3708">
        <f>Fighters!$S15</f>
        <v>14</v>
      </c>
      <c r="AC16" s="3708">
        <f>Fighters!$T15</f>
        <v>12</v>
      </c>
      <c r="AD16" s="3710" t="str">
        <f>Fighters!$V15</f>
        <v>peach</v>
      </c>
    </row>
    <row r="17">
      <c r="A17" s="3700" t="str">
        <f>Fighters!$A16</f>
        <v>13'</v>
      </c>
      <c r="B17" s="3701" t="str">
        <f>Fighters!$B16</f>
        <v>デイジー</v>
      </c>
      <c r="C17" s="3797" t="s">
        <v>92</v>
      </c>
      <c r="D17" s="3798" t="s">
        <v>877</v>
      </c>
      <c r="E17" s="3762">
        <v>29.0</v>
      </c>
      <c r="F17" s="139" t="s">
        <v>878</v>
      </c>
      <c r="G17" s="3762">
        <v>35.0</v>
      </c>
      <c r="H17" s="139" t="s">
        <v>878</v>
      </c>
      <c r="I17" s="3762">
        <v>35.0</v>
      </c>
      <c r="J17" s="139" t="s">
        <v>1133</v>
      </c>
      <c r="K17" s="138">
        <v>45.0</v>
      </c>
      <c r="L17" s="239" t="s">
        <v>295</v>
      </c>
      <c r="M17" s="138">
        <v>7.0</v>
      </c>
      <c r="N17" s="239" t="s">
        <v>288</v>
      </c>
      <c r="O17" s="3763">
        <v>7.0</v>
      </c>
      <c r="P17" s="3798" t="s">
        <v>877</v>
      </c>
      <c r="Q17" s="3762">
        <v>29.0</v>
      </c>
      <c r="R17" s="139" t="s">
        <v>878</v>
      </c>
      <c r="S17" s="3762">
        <v>35.0</v>
      </c>
      <c r="T17" s="139" t="s">
        <v>878</v>
      </c>
      <c r="U17" s="3762">
        <v>35.0</v>
      </c>
      <c r="V17" s="139" t="s">
        <v>879</v>
      </c>
      <c r="W17" s="138">
        <v>45.0</v>
      </c>
      <c r="X17" s="239" t="s">
        <v>295</v>
      </c>
      <c r="Y17" s="138">
        <v>7.0</v>
      </c>
      <c r="Z17" s="239" t="s">
        <v>377</v>
      </c>
      <c r="AA17" s="3763">
        <v>7.0</v>
      </c>
      <c r="AB17" s="3708">
        <f>Fighters!$S16</f>
        <v>15</v>
      </c>
      <c r="AC17" s="3708">
        <f>Fighters!$T16</f>
        <v>73</v>
      </c>
      <c r="AD17" s="3710" t="str">
        <f>Fighters!$V16</f>
        <v>daisy</v>
      </c>
    </row>
    <row r="18">
      <c r="A18" s="3700">
        <f>Fighters!$A17</f>
        <v>14</v>
      </c>
      <c r="B18" s="3701" t="str">
        <f>Fighters!$B17</f>
        <v>クッパ</v>
      </c>
      <c r="C18" s="3797" t="s">
        <v>92</v>
      </c>
      <c r="D18" s="3798" t="s">
        <v>877</v>
      </c>
      <c r="E18" s="3762">
        <v>29.0</v>
      </c>
      <c r="F18" s="139" t="s">
        <v>878</v>
      </c>
      <c r="G18" s="3762">
        <v>35.0</v>
      </c>
      <c r="H18" s="139" t="s">
        <v>2279</v>
      </c>
      <c r="I18" s="3762">
        <v>35.0</v>
      </c>
      <c r="J18" s="139" t="s">
        <v>1133</v>
      </c>
      <c r="K18" s="138">
        <v>45.0</v>
      </c>
      <c r="L18" s="239" t="s">
        <v>334</v>
      </c>
      <c r="M18" s="138">
        <v>7.0</v>
      </c>
      <c r="N18" s="239" t="s">
        <v>288</v>
      </c>
      <c r="O18" s="3763">
        <v>7.0</v>
      </c>
      <c r="P18" s="3798" t="s">
        <v>877</v>
      </c>
      <c r="Q18" s="3762">
        <v>29.0</v>
      </c>
      <c r="R18" s="139" t="s">
        <v>2279</v>
      </c>
      <c r="S18" s="3762">
        <v>35.0</v>
      </c>
      <c r="T18" s="139" t="s">
        <v>878</v>
      </c>
      <c r="U18" s="3762">
        <v>35.0</v>
      </c>
      <c r="V18" s="139" t="s">
        <v>1133</v>
      </c>
      <c r="W18" s="138">
        <v>45.0</v>
      </c>
      <c r="X18" s="239" t="s">
        <v>334</v>
      </c>
      <c r="Y18" s="138">
        <v>7.0</v>
      </c>
      <c r="Z18" s="239" t="s">
        <v>288</v>
      </c>
      <c r="AA18" s="3763">
        <v>7.0</v>
      </c>
      <c r="AB18" s="3708">
        <f>Fighters!$S17</f>
        <v>16</v>
      </c>
      <c r="AC18" s="3708">
        <f>Fighters!$T17</f>
        <v>13</v>
      </c>
      <c r="AD18" s="3710" t="str">
        <f>Fighters!$V17</f>
        <v>koopa</v>
      </c>
    </row>
    <row r="19">
      <c r="A19" s="3700">
        <f>Fighters!$A18</f>
        <v>15</v>
      </c>
      <c r="B19" s="3701" t="str">
        <f>Fighters!$B18</f>
        <v>アイスクライマー</v>
      </c>
      <c r="C19" s="3797" t="s">
        <v>92</v>
      </c>
      <c r="D19" s="3798" t="s">
        <v>877</v>
      </c>
      <c r="E19" s="3762">
        <v>29.0</v>
      </c>
      <c r="F19" s="139" t="s">
        <v>874</v>
      </c>
      <c r="G19" s="3762">
        <v>35.0</v>
      </c>
      <c r="H19" s="139" t="s">
        <v>877</v>
      </c>
      <c r="I19" s="3762">
        <v>35.0</v>
      </c>
      <c r="J19" s="139" t="s">
        <v>872</v>
      </c>
      <c r="K19" s="138">
        <v>45.0</v>
      </c>
      <c r="L19" s="239" t="s">
        <v>334</v>
      </c>
      <c r="M19" s="138">
        <v>7.0</v>
      </c>
      <c r="N19" s="239" t="s">
        <v>443</v>
      </c>
      <c r="O19" s="3763">
        <v>7.0</v>
      </c>
      <c r="P19" s="3798" t="s">
        <v>877</v>
      </c>
      <c r="Q19" s="3762">
        <v>29.0</v>
      </c>
      <c r="R19" s="139" t="s">
        <v>878</v>
      </c>
      <c r="S19" s="3762">
        <v>35.0</v>
      </c>
      <c r="T19" s="139" t="s">
        <v>879</v>
      </c>
      <c r="U19" s="3762">
        <v>35.0</v>
      </c>
      <c r="V19" s="139" t="s">
        <v>872</v>
      </c>
      <c r="W19" s="138">
        <v>45.0</v>
      </c>
      <c r="X19" s="239" t="s">
        <v>334</v>
      </c>
      <c r="Y19" s="138">
        <v>7.0</v>
      </c>
      <c r="Z19" s="239" t="s">
        <v>443</v>
      </c>
      <c r="AA19" s="3763">
        <v>7.0</v>
      </c>
      <c r="AB19" s="3708">
        <f>Fighters!$S18</f>
        <v>17</v>
      </c>
      <c r="AC19" s="3708">
        <f>Fighters!$T18</f>
        <v>14</v>
      </c>
      <c r="AD19" s="3710" t="str">
        <f>Fighters!$V18</f>
        <v>popo</v>
      </c>
    </row>
    <row r="20">
      <c r="A20" s="3700">
        <f>Fighters!$A19</f>
        <v>16</v>
      </c>
      <c r="B20" s="3701" t="str">
        <f>Fighters!$B19</f>
        <v>シーク</v>
      </c>
      <c r="C20" s="3797" t="s">
        <v>92</v>
      </c>
      <c r="D20" s="3798" t="s">
        <v>877</v>
      </c>
      <c r="E20" s="3762">
        <v>29.0</v>
      </c>
      <c r="F20" s="139" t="s">
        <v>878</v>
      </c>
      <c r="G20" s="3762">
        <v>35.0</v>
      </c>
      <c r="H20" s="139" t="s">
        <v>877</v>
      </c>
      <c r="I20" s="3762">
        <v>35.0</v>
      </c>
      <c r="J20" s="139" t="s">
        <v>1133</v>
      </c>
      <c r="K20" s="138">
        <v>45.0</v>
      </c>
      <c r="L20" s="239" t="s">
        <v>295</v>
      </c>
      <c r="M20" s="138">
        <v>7.0</v>
      </c>
      <c r="N20" s="239" t="s">
        <v>288</v>
      </c>
      <c r="O20" s="3763">
        <v>7.0</v>
      </c>
      <c r="P20" s="3798" t="s">
        <v>877</v>
      </c>
      <c r="Q20" s="3762">
        <v>29.0</v>
      </c>
      <c r="R20" s="139" t="s">
        <v>878</v>
      </c>
      <c r="S20" s="3762">
        <v>35.0</v>
      </c>
      <c r="T20" s="139" t="s">
        <v>878</v>
      </c>
      <c r="U20" s="3762">
        <v>35.0</v>
      </c>
      <c r="V20" s="139" t="s">
        <v>877</v>
      </c>
      <c r="W20" s="138">
        <v>45.0</v>
      </c>
      <c r="X20" s="239" t="s">
        <v>454</v>
      </c>
      <c r="Y20" s="138">
        <v>7.0</v>
      </c>
      <c r="Z20" s="239" t="s">
        <v>834</v>
      </c>
      <c r="AA20" s="3763">
        <v>7.0</v>
      </c>
      <c r="AB20" s="3708">
        <f>Fighters!$S19</f>
        <v>18</v>
      </c>
      <c r="AC20" s="3708">
        <f>Fighters!$T19</f>
        <v>16</v>
      </c>
      <c r="AD20" s="3710" t="str">
        <f>Fighters!$V19</f>
        <v>sheik</v>
      </c>
    </row>
    <row r="21">
      <c r="A21" s="3700">
        <f>Fighters!$A20</f>
        <v>17</v>
      </c>
      <c r="B21" s="3701" t="str">
        <f>Fighters!$B20</f>
        <v>ゼルダ</v>
      </c>
      <c r="C21" s="3797" t="s">
        <v>92</v>
      </c>
      <c r="D21" s="3798" t="s">
        <v>877</v>
      </c>
      <c r="E21" s="3762">
        <v>29.0</v>
      </c>
      <c r="F21" s="139" t="s">
        <v>875</v>
      </c>
      <c r="G21" s="3762">
        <v>35.0</v>
      </c>
      <c r="H21" s="139" t="s">
        <v>875</v>
      </c>
      <c r="I21" s="3762">
        <v>35.0</v>
      </c>
      <c r="J21" s="139" t="s">
        <v>877</v>
      </c>
      <c r="K21" s="138">
        <v>45.0</v>
      </c>
      <c r="L21" s="239" t="s">
        <v>203</v>
      </c>
      <c r="M21" s="138">
        <v>7.0</v>
      </c>
      <c r="N21" s="239" t="s">
        <v>834</v>
      </c>
      <c r="O21" s="3763">
        <v>7.0</v>
      </c>
      <c r="P21" s="3798" t="s">
        <v>877</v>
      </c>
      <c r="Q21" s="3762">
        <v>29.0</v>
      </c>
      <c r="R21" s="139" t="s">
        <v>875</v>
      </c>
      <c r="S21" s="3762">
        <v>35.0</v>
      </c>
      <c r="T21" s="139" t="s">
        <v>875</v>
      </c>
      <c r="U21" s="3762">
        <v>35.0</v>
      </c>
      <c r="V21" s="139" t="s">
        <v>877</v>
      </c>
      <c r="W21" s="138">
        <v>45.0</v>
      </c>
      <c r="X21" s="239" t="s">
        <v>203</v>
      </c>
      <c r="Y21" s="138">
        <v>7.0</v>
      </c>
      <c r="Z21" s="239" t="s">
        <v>834</v>
      </c>
      <c r="AA21" s="3763">
        <v>7.0</v>
      </c>
      <c r="AB21" s="3708">
        <f>Fighters!$S20</f>
        <v>19</v>
      </c>
      <c r="AC21" s="3708">
        <f>Fighters!$T20</f>
        <v>17</v>
      </c>
      <c r="AD21" s="3710" t="str">
        <f>Fighters!$V20</f>
        <v>zelda</v>
      </c>
    </row>
    <row r="22">
      <c r="A22" s="3700">
        <f>Fighters!$A21</f>
        <v>18</v>
      </c>
      <c r="B22" s="3701" t="str">
        <f>Fighters!$B21</f>
        <v>ドクターマリオ</v>
      </c>
      <c r="C22" s="3797" t="s">
        <v>92</v>
      </c>
      <c r="D22" s="3798" t="s">
        <v>877</v>
      </c>
      <c r="E22" s="3762">
        <v>29.0</v>
      </c>
      <c r="F22" s="139" t="s">
        <v>874</v>
      </c>
      <c r="G22" s="3762">
        <v>35.0</v>
      </c>
      <c r="H22" s="139" t="s">
        <v>877</v>
      </c>
      <c r="I22" s="3762">
        <v>35.0</v>
      </c>
      <c r="J22" s="139" t="s">
        <v>872</v>
      </c>
      <c r="K22" s="138">
        <v>45.0</v>
      </c>
      <c r="L22" s="239" t="s">
        <v>334</v>
      </c>
      <c r="M22" s="1360">
        <f>6*1.176</f>
        <v>7.056</v>
      </c>
      <c r="N22" s="239" t="s">
        <v>443</v>
      </c>
      <c r="O22" s="3788">
        <f>6*1.176</f>
        <v>7.056</v>
      </c>
      <c r="P22" s="3798" t="s">
        <v>877</v>
      </c>
      <c r="Q22" s="3762">
        <v>29.0</v>
      </c>
      <c r="R22" s="139" t="s">
        <v>878</v>
      </c>
      <c r="S22" s="3762">
        <v>35.0</v>
      </c>
      <c r="T22" s="139" t="s">
        <v>879</v>
      </c>
      <c r="U22" s="3762">
        <v>35.0</v>
      </c>
      <c r="V22" s="139" t="s">
        <v>877</v>
      </c>
      <c r="W22" s="138">
        <v>45.0</v>
      </c>
      <c r="X22" s="239" t="s">
        <v>454</v>
      </c>
      <c r="Y22" s="1360">
        <f>6*1.176</f>
        <v>7.056</v>
      </c>
      <c r="Z22" s="239" t="s">
        <v>834</v>
      </c>
      <c r="AA22" s="3788">
        <f>6*1.176</f>
        <v>7.056</v>
      </c>
      <c r="AB22" s="3708">
        <f>Fighters!$S21</f>
        <v>20</v>
      </c>
      <c r="AC22" s="3708">
        <f>Fighters!$T21</f>
        <v>18</v>
      </c>
      <c r="AD22" s="3710" t="str">
        <f>Fighters!$V21</f>
        <v>mariod</v>
      </c>
    </row>
    <row r="23">
      <c r="A23" s="3700">
        <f>Fighters!$A22</f>
        <v>19</v>
      </c>
      <c r="B23" s="3701" t="str">
        <f>Fighters!$B22</f>
        <v>ピチュー</v>
      </c>
      <c r="C23" s="3797" t="s">
        <v>92</v>
      </c>
      <c r="D23" s="3798" t="s">
        <v>877</v>
      </c>
      <c r="E23" s="3762">
        <v>29.0</v>
      </c>
      <c r="F23" s="139" t="s">
        <v>5235</v>
      </c>
      <c r="G23" s="3762">
        <v>35.0</v>
      </c>
      <c r="H23" s="139" t="s">
        <v>878</v>
      </c>
      <c r="I23" s="3762">
        <v>35.0</v>
      </c>
      <c r="J23" s="139" t="s">
        <v>877</v>
      </c>
      <c r="K23" s="138">
        <v>45.0</v>
      </c>
      <c r="L23" s="239" t="s">
        <v>454</v>
      </c>
      <c r="M23" s="138">
        <v>7.0</v>
      </c>
      <c r="N23" s="239" t="s">
        <v>834</v>
      </c>
      <c r="O23" s="3763">
        <v>7.0</v>
      </c>
      <c r="P23" s="3798" t="s">
        <v>877</v>
      </c>
      <c r="Q23" s="3762">
        <v>29.0</v>
      </c>
      <c r="R23" s="139" t="s">
        <v>878</v>
      </c>
      <c r="S23" s="3762">
        <v>35.0</v>
      </c>
      <c r="T23" s="139" t="s">
        <v>878</v>
      </c>
      <c r="U23" s="3762">
        <v>35.0</v>
      </c>
      <c r="V23" s="139" t="s">
        <v>877</v>
      </c>
      <c r="W23" s="138">
        <v>45.0</v>
      </c>
      <c r="X23" s="239" t="s">
        <v>454</v>
      </c>
      <c r="Y23" s="138">
        <v>7.0</v>
      </c>
      <c r="Z23" s="239" t="s">
        <v>834</v>
      </c>
      <c r="AA23" s="3763">
        <v>7.0</v>
      </c>
      <c r="AB23" s="3708">
        <f>Fighters!$S22</f>
        <v>21</v>
      </c>
      <c r="AC23" s="3708">
        <f>Fighters!$T22</f>
        <v>19</v>
      </c>
      <c r="AD23" s="3710" t="str">
        <f>Fighters!$V22</f>
        <v>pichu</v>
      </c>
    </row>
    <row r="24">
      <c r="A24" s="3700">
        <f>Fighters!$A23</f>
        <v>20</v>
      </c>
      <c r="B24" s="3701" t="str">
        <f>Fighters!$B23</f>
        <v>ファルコ</v>
      </c>
      <c r="C24" s="3797" t="s">
        <v>92</v>
      </c>
      <c r="D24" s="3798" t="s">
        <v>877</v>
      </c>
      <c r="E24" s="3762">
        <v>29.0</v>
      </c>
      <c r="F24" s="139" t="s">
        <v>878</v>
      </c>
      <c r="G24" s="3762">
        <v>35.0</v>
      </c>
      <c r="H24" s="139" t="s">
        <v>875</v>
      </c>
      <c r="I24" s="3762">
        <v>35.0</v>
      </c>
      <c r="J24" s="139" t="s">
        <v>872</v>
      </c>
      <c r="K24" s="138">
        <v>45.0</v>
      </c>
      <c r="L24" s="239" t="s">
        <v>295</v>
      </c>
      <c r="M24" s="138">
        <v>7.0</v>
      </c>
      <c r="N24" s="239" t="s">
        <v>443</v>
      </c>
      <c r="O24" s="3763">
        <v>7.0</v>
      </c>
      <c r="P24" s="3798" t="s">
        <v>877</v>
      </c>
      <c r="Q24" s="3762">
        <v>29.0</v>
      </c>
      <c r="R24" s="139" t="s">
        <v>878</v>
      </c>
      <c r="S24" s="3762">
        <v>35.0</v>
      </c>
      <c r="T24" s="139" t="s">
        <v>879</v>
      </c>
      <c r="U24" s="3762">
        <v>35.0</v>
      </c>
      <c r="V24" s="139" t="s">
        <v>879</v>
      </c>
      <c r="W24" s="138">
        <v>45.0</v>
      </c>
      <c r="X24" s="239" t="s">
        <v>295</v>
      </c>
      <c r="Y24" s="138">
        <v>7.0</v>
      </c>
      <c r="Z24" s="239" t="s">
        <v>377</v>
      </c>
      <c r="AA24" s="3763">
        <v>7.0</v>
      </c>
      <c r="AB24" s="3708">
        <f>Fighters!$S23</f>
        <v>22</v>
      </c>
      <c r="AC24" s="3708">
        <f>Fighters!$T23</f>
        <v>20</v>
      </c>
      <c r="AD24" s="3710" t="str">
        <f>Fighters!$V23</f>
        <v>falco</v>
      </c>
    </row>
    <row r="25">
      <c r="A25" s="3700">
        <f>Fighters!$A24</f>
        <v>21</v>
      </c>
      <c r="B25" s="3701" t="str">
        <f>Fighters!$B24</f>
        <v>マルス</v>
      </c>
      <c r="C25" s="3797" t="s">
        <v>92</v>
      </c>
      <c r="D25" s="3798" t="s">
        <v>877</v>
      </c>
      <c r="E25" s="3762">
        <v>29.0</v>
      </c>
      <c r="F25" s="139" t="s">
        <v>878</v>
      </c>
      <c r="G25" s="3762">
        <v>35.0</v>
      </c>
      <c r="H25" s="139" t="s">
        <v>878</v>
      </c>
      <c r="I25" s="3762">
        <v>35.0</v>
      </c>
      <c r="J25" s="139" t="s">
        <v>879</v>
      </c>
      <c r="K25" s="138">
        <v>45.0</v>
      </c>
      <c r="L25" s="239" t="s">
        <v>454</v>
      </c>
      <c r="M25" s="138">
        <v>7.0</v>
      </c>
      <c r="N25" s="239" t="s">
        <v>377</v>
      </c>
      <c r="O25" s="3763">
        <v>7.0</v>
      </c>
      <c r="P25" s="3798" t="s">
        <v>877</v>
      </c>
      <c r="Q25" s="3762">
        <v>29.0</v>
      </c>
      <c r="R25" s="139" t="s">
        <v>878</v>
      </c>
      <c r="S25" s="3762">
        <v>35.0</v>
      </c>
      <c r="T25" s="139" t="s">
        <v>879</v>
      </c>
      <c r="U25" s="3762">
        <v>35.0</v>
      </c>
      <c r="V25" s="139" t="s">
        <v>1133</v>
      </c>
      <c r="W25" s="138">
        <v>45.0</v>
      </c>
      <c r="X25" s="239" t="s">
        <v>454</v>
      </c>
      <c r="Y25" s="138">
        <v>7.0</v>
      </c>
      <c r="Z25" s="239" t="s">
        <v>288</v>
      </c>
      <c r="AA25" s="3763">
        <v>7.0</v>
      </c>
      <c r="AB25" s="3708">
        <f>Fighters!$S24</f>
        <v>23</v>
      </c>
      <c r="AC25" s="3708">
        <f>Fighters!$T24</f>
        <v>21</v>
      </c>
      <c r="AD25" s="3710" t="str">
        <f>Fighters!$V24</f>
        <v>marth</v>
      </c>
    </row>
    <row r="26">
      <c r="A26" s="3700" t="str">
        <f>Fighters!$A25</f>
        <v>21'</v>
      </c>
      <c r="B26" s="3701" t="str">
        <f>Fighters!$B25</f>
        <v>ルキナ</v>
      </c>
      <c r="C26" s="3797" t="s">
        <v>92</v>
      </c>
      <c r="D26" s="3798" t="s">
        <v>877</v>
      </c>
      <c r="E26" s="3762">
        <v>29.0</v>
      </c>
      <c r="F26" s="139" t="s">
        <v>878</v>
      </c>
      <c r="G26" s="3762">
        <v>35.0</v>
      </c>
      <c r="H26" s="139" t="s">
        <v>878</v>
      </c>
      <c r="I26" s="3762">
        <v>35.0</v>
      </c>
      <c r="J26" s="139" t="s">
        <v>879</v>
      </c>
      <c r="K26" s="138">
        <v>45.0</v>
      </c>
      <c r="L26" s="239" t="s">
        <v>454</v>
      </c>
      <c r="M26" s="138">
        <v>7.0</v>
      </c>
      <c r="N26" s="239" t="s">
        <v>377</v>
      </c>
      <c r="O26" s="3763">
        <v>7.0</v>
      </c>
      <c r="P26" s="3798" t="s">
        <v>877</v>
      </c>
      <c r="Q26" s="3762">
        <v>29.0</v>
      </c>
      <c r="R26" s="139" t="s">
        <v>878</v>
      </c>
      <c r="S26" s="3762">
        <v>35.0</v>
      </c>
      <c r="T26" s="139" t="s">
        <v>878</v>
      </c>
      <c r="U26" s="3762">
        <v>35.0</v>
      </c>
      <c r="V26" s="139" t="s">
        <v>1133</v>
      </c>
      <c r="W26" s="138">
        <v>45.0</v>
      </c>
      <c r="X26" s="239" t="s">
        <v>454</v>
      </c>
      <c r="Y26" s="138">
        <v>7.0</v>
      </c>
      <c r="Z26" s="239" t="s">
        <v>288</v>
      </c>
      <c r="AA26" s="3763">
        <v>7.0</v>
      </c>
      <c r="AB26" s="3708">
        <f>Fighters!$S25</f>
        <v>24</v>
      </c>
      <c r="AC26" s="3708">
        <f>Fighters!$T25</f>
        <v>74</v>
      </c>
      <c r="AD26" s="3710" t="str">
        <f>Fighters!$V25</f>
        <v>lucina</v>
      </c>
    </row>
    <row r="27">
      <c r="A27" s="3700">
        <f>Fighters!$A26</f>
        <v>22</v>
      </c>
      <c r="B27" s="3701" t="str">
        <f>Fighters!$B26</f>
        <v>こどもリンク</v>
      </c>
      <c r="C27" s="3797" t="s">
        <v>92</v>
      </c>
      <c r="D27" s="3798" t="s">
        <v>877</v>
      </c>
      <c r="E27" s="3762">
        <v>29.0</v>
      </c>
      <c r="F27" s="139" t="s">
        <v>879</v>
      </c>
      <c r="G27" s="3762">
        <v>35.0</v>
      </c>
      <c r="H27" s="139" t="s">
        <v>1634</v>
      </c>
      <c r="I27" s="3762">
        <v>35.0</v>
      </c>
      <c r="J27" s="139" t="s">
        <v>874</v>
      </c>
      <c r="K27" s="138">
        <v>45.0</v>
      </c>
      <c r="L27" s="239" t="s">
        <v>203</v>
      </c>
      <c r="M27" s="138">
        <v>7.0</v>
      </c>
      <c r="N27" s="239" t="s">
        <v>351</v>
      </c>
      <c r="O27" s="3763">
        <v>7.0</v>
      </c>
      <c r="P27" s="3798" t="s">
        <v>877</v>
      </c>
      <c r="Q27" s="3762">
        <v>29.0</v>
      </c>
      <c r="R27" s="139" t="s">
        <v>878</v>
      </c>
      <c r="S27" s="3762">
        <v>35.0</v>
      </c>
      <c r="T27" s="139" t="s">
        <v>875</v>
      </c>
      <c r="U27" s="3762">
        <v>35.0</v>
      </c>
      <c r="V27" s="139" t="s">
        <v>874</v>
      </c>
      <c r="W27" s="138">
        <v>45.0</v>
      </c>
      <c r="X27" s="239" t="s">
        <v>203</v>
      </c>
      <c r="Y27" s="138">
        <v>7.0</v>
      </c>
      <c r="Z27" s="239" t="s">
        <v>351</v>
      </c>
      <c r="AA27" s="3763">
        <v>7.0</v>
      </c>
      <c r="AB27" s="3708">
        <f>Fighters!$S26</f>
        <v>25</v>
      </c>
      <c r="AC27" s="3708">
        <f>Fighters!$T26</f>
        <v>22</v>
      </c>
      <c r="AD27" s="3710" t="str">
        <f>Fighters!$V26</f>
        <v>yoshi</v>
      </c>
    </row>
    <row r="28">
      <c r="A28" s="3700">
        <f>Fighters!$A27</f>
        <v>23</v>
      </c>
      <c r="B28" s="3701" t="str">
        <f>Fighters!$B27</f>
        <v>ガノンドロフ</v>
      </c>
      <c r="C28" s="3797" t="s">
        <v>92</v>
      </c>
      <c r="D28" s="3798" t="s">
        <v>877</v>
      </c>
      <c r="E28" s="3762">
        <v>29.0</v>
      </c>
      <c r="F28" s="139" t="s">
        <v>1133</v>
      </c>
      <c r="G28" s="3762">
        <v>35.0</v>
      </c>
      <c r="H28" s="139" t="s">
        <v>878</v>
      </c>
      <c r="I28" s="3762">
        <v>35.0</v>
      </c>
      <c r="J28" s="139" t="s">
        <v>877</v>
      </c>
      <c r="K28" s="138">
        <v>45.0</v>
      </c>
      <c r="L28" s="239" t="s">
        <v>203</v>
      </c>
      <c r="M28" s="138">
        <v>7.0</v>
      </c>
      <c r="N28" s="239" t="s">
        <v>834</v>
      </c>
      <c r="O28" s="3763">
        <v>7.0</v>
      </c>
      <c r="P28" s="3798" t="s">
        <v>877</v>
      </c>
      <c r="Q28" s="3762">
        <v>29.0</v>
      </c>
      <c r="R28" s="139" t="s">
        <v>878</v>
      </c>
      <c r="S28" s="3762">
        <v>35.0</v>
      </c>
      <c r="T28" s="139" t="s">
        <v>872</v>
      </c>
      <c r="U28" s="3762">
        <v>35.0</v>
      </c>
      <c r="V28" s="139" t="s">
        <v>879</v>
      </c>
      <c r="W28" s="138">
        <v>45.0</v>
      </c>
      <c r="X28" s="239" t="s">
        <v>454</v>
      </c>
      <c r="Y28" s="138">
        <v>7.0</v>
      </c>
      <c r="Z28" s="239" t="s">
        <v>377</v>
      </c>
      <c r="AA28" s="3763">
        <v>7.0</v>
      </c>
      <c r="AB28" s="3708">
        <f>Fighters!$S27</f>
        <v>26</v>
      </c>
      <c r="AC28" s="3708">
        <f>Fighters!$T27</f>
        <v>23</v>
      </c>
      <c r="AD28" s="3710" t="str">
        <f>Fighters!$V27</f>
        <v>ganon</v>
      </c>
    </row>
    <row r="29">
      <c r="A29" s="3700">
        <f>Fighters!$A28</f>
        <v>24</v>
      </c>
      <c r="B29" s="3701" t="str">
        <f>Fighters!$B28</f>
        <v>ミュウツー</v>
      </c>
      <c r="C29" s="3797" t="s">
        <v>92</v>
      </c>
      <c r="D29" s="3798" t="s">
        <v>877</v>
      </c>
      <c r="E29" s="3762">
        <v>29.0</v>
      </c>
      <c r="F29" s="139" t="s">
        <v>877</v>
      </c>
      <c r="G29" s="3762">
        <v>35.0</v>
      </c>
      <c r="H29" s="139" t="s">
        <v>877</v>
      </c>
      <c r="I29" s="3762">
        <v>35.0</v>
      </c>
      <c r="J29" s="139" t="s">
        <v>872</v>
      </c>
      <c r="K29" s="138">
        <v>45.0</v>
      </c>
      <c r="L29" s="239" t="s">
        <v>334</v>
      </c>
      <c r="M29" s="138">
        <v>7.0</v>
      </c>
      <c r="N29" s="239" t="s">
        <v>443</v>
      </c>
      <c r="O29" s="3763">
        <v>7.0</v>
      </c>
      <c r="P29" s="3798" t="s">
        <v>877</v>
      </c>
      <c r="Q29" s="3762">
        <v>29.0</v>
      </c>
      <c r="R29" s="139" t="s">
        <v>877</v>
      </c>
      <c r="S29" s="3762">
        <v>35.0</v>
      </c>
      <c r="T29" s="139" t="s">
        <v>877</v>
      </c>
      <c r="U29" s="3762">
        <v>35.0</v>
      </c>
      <c r="V29" s="139" t="s">
        <v>872</v>
      </c>
      <c r="W29" s="138">
        <v>45.0</v>
      </c>
      <c r="X29" s="239" t="s">
        <v>334</v>
      </c>
      <c r="Y29" s="138">
        <v>7.0</v>
      </c>
      <c r="Z29" s="239" t="s">
        <v>443</v>
      </c>
      <c r="AA29" s="3763">
        <v>7.0</v>
      </c>
      <c r="AB29" s="3708">
        <f>Fighters!$S28</f>
        <v>27</v>
      </c>
      <c r="AC29" s="3708">
        <f>Fighters!$T28</f>
        <v>24</v>
      </c>
      <c r="AD29" s="3710" t="str">
        <f>Fighters!$V28</f>
        <v>mewtwo</v>
      </c>
    </row>
    <row r="30">
      <c r="A30" s="3700">
        <f>Fighters!$A29</f>
        <v>25</v>
      </c>
      <c r="B30" s="3701" t="str">
        <f>Fighters!$B29</f>
        <v>ロイ</v>
      </c>
      <c r="C30" s="3797" t="s">
        <v>92</v>
      </c>
      <c r="D30" s="3798" t="s">
        <v>877</v>
      </c>
      <c r="E30" s="3762">
        <v>29.0</v>
      </c>
      <c r="F30" s="139" t="s">
        <v>878</v>
      </c>
      <c r="G30" s="3762">
        <v>35.0</v>
      </c>
      <c r="H30" s="139" t="s">
        <v>878</v>
      </c>
      <c r="I30" s="3762">
        <v>35.0</v>
      </c>
      <c r="J30" s="139" t="s">
        <v>879</v>
      </c>
      <c r="K30" s="138">
        <v>45.0</v>
      </c>
      <c r="L30" s="239" t="s">
        <v>454</v>
      </c>
      <c r="M30" s="138">
        <v>7.0</v>
      </c>
      <c r="N30" s="239" t="s">
        <v>377</v>
      </c>
      <c r="O30" s="3763">
        <v>7.0</v>
      </c>
      <c r="P30" s="3798" t="s">
        <v>877</v>
      </c>
      <c r="Q30" s="3762">
        <v>29.0</v>
      </c>
      <c r="R30" s="139" t="s">
        <v>878</v>
      </c>
      <c r="S30" s="3762">
        <v>35.0</v>
      </c>
      <c r="T30" s="139" t="s">
        <v>878</v>
      </c>
      <c r="U30" s="3762">
        <v>35.0</v>
      </c>
      <c r="V30" s="139" t="s">
        <v>877</v>
      </c>
      <c r="W30" s="138">
        <v>45.0</v>
      </c>
      <c r="X30" s="239" t="s">
        <v>454</v>
      </c>
      <c r="Y30" s="138">
        <v>7.0</v>
      </c>
      <c r="Z30" s="239" t="s">
        <v>834</v>
      </c>
      <c r="AA30" s="3763">
        <v>7.0</v>
      </c>
      <c r="AB30" s="3708">
        <f>Fighters!$S29</f>
        <v>28</v>
      </c>
      <c r="AC30" s="3708">
        <f>Fighters!$T29</f>
        <v>25</v>
      </c>
      <c r="AD30" s="3710" t="str">
        <f>Fighters!$V29</f>
        <v>roy</v>
      </c>
    </row>
    <row r="31">
      <c r="A31" s="3700" t="str">
        <f>Fighters!$A30</f>
        <v>25'</v>
      </c>
      <c r="B31" s="3701" t="str">
        <f>Fighters!$B30</f>
        <v>クロム</v>
      </c>
      <c r="C31" s="3797" t="s">
        <v>92</v>
      </c>
      <c r="D31" s="3798" t="s">
        <v>877</v>
      </c>
      <c r="E31" s="3762">
        <v>29.0</v>
      </c>
      <c r="F31" s="139" t="s">
        <v>878</v>
      </c>
      <c r="G31" s="3762">
        <v>35.0</v>
      </c>
      <c r="H31" s="139" t="s">
        <v>878</v>
      </c>
      <c r="I31" s="3762">
        <v>35.0</v>
      </c>
      <c r="J31" s="139" t="s">
        <v>879</v>
      </c>
      <c r="K31" s="138">
        <v>45.0</v>
      </c>
      <c r="L31" s="239" t="s">
        <v>454</v>
      </c>
      <c r="M31" s="138">
        <v>7.0</v>
      </c>
      <c r="N31" s="239" t="s">
        <v>377</v>
      </c>
      <c r="O31" s="3763">
        <v>7.0</v>
      </c>
      <c r="P31" s="3798" t="s">
        <v>877</v>
      </c>
      <c r="Q31" s="3762">
        <v>29.0</v>
      </c>
      <c r="R31" s="139" t="s">
        <v>878</v>
      </c>
      <c r="S31" s="3762">
        <v>35.0</v>
      </c>
      <c r="T31" s="139" t="s">
        <v>878</v>
      </c>
      <c r="U31" s="3762">
        <v>35.0</v>
      </c>
      <c r="V31" s="139" t="s">
        <v>877</v>
      </c>
      <c r="W31" s="138">
        <v>45.0</v>
      </c>
      <c r="X31" s="239" t="s">
        <v>454</v>
      </c>
      <c r="Y31" s="138">
        <v>7.0</v>
      </c>
      <c r="Z31" s="239" t="s">
        <v>834</v>
      </c>
      <c r="AA31" s="3763">
        <v>7.0</v>
      </c>
      <c r="AB31" s="3708">
        <f>Fighters!$S30</f>
        <v>29</v>
      </c>
      <c r="AC31" s="3708">
        <f>Fighters!$T30</f>
        <v>75</v>
      </c>
      <c r="AD31" s="3710" t="str">
        <f>Fighters!$V30</f>
        <v>chrom</v>
      </c>
    </row>
    <row r="32">
      <c r="A32" s="3700">
        <f>Fighters!$A31</f>
        <v>26</v>
      </c>
      <c r="B32" s="3701" t="str">
        <f>Fighters!$B31</f>
        <v>Mr. ゲーム&amp;ウォッチ</v>
      </c>
      <c r="C32" s="3797" t="s">
        <v>92</v>
      </c>
      <c r="D32" s="3798" t="s">
        <v>877</v>
      </c>
      <c r="E32" s="3762">
        <v>29.0</v>
      </c>
      <c r="F32" s="139" t="s">
        <v>875</v>
      </c>
      <c r="G32" s="3762">
        <v>35.0</v>
      </c>
      <c r="H32" s="139" t="s">
        <v>875</v>
      </c>
      <c r="I32" s="3762">
        <v>35.0</v>
      </c>
      <c r="J32" s="139" t="s">
        <v>877</v>
      </c>
      <c r="K32" s="138">
        <v>45.0</v>
      </c>
      <c r="L32" s="239" t="s">
        <v>454</v>
      </c>
      <c r="M32" s="138">
        <v>7.0</v>
      </c>
      <c r="N32" s="239" t="s">
        <v>834</v>
      </c>
      <c r="O32" s="3763">
        <v>7.0</v>
      </c>
      <c r="P32" s="3798" t="s">
        <v>877</v>
      </c>
      <c r="Q32" s="3762">
        <v>29.0</v>
      </c>
      <c r="R32" s="139" t="s">
        <v>875</v>
      </c>
      <c r="S32" s="3762">
        <v>35.0</v>
      </c>
      <c r="T32" s="139" t="s">
        <v>875</v>
      </c>
      <c r="U32" s="3762">
        <v>35.0</v>
      </c>
      <c r="V32" s="139" t="s">
        <v>877</v>
      </c>
      <c r="W32" s="138">
        <v>45.0</v>
      </c>
      <c r="X32" s="239" t="s">
        <v>454</v>
      </c>
      <c r="Y32" s="138">
        <v>7.0</v>
      </c>
      <c r="Z32" s="239" t="s">
        <v>834</v>
      </c>
      <c r="AA32" s="3763">
        <v>7.0</v>
      </c>
      <c r="AB32" s="3708">
        <f>Fighters!$S31</f>
        <v>30</v>
      </c>
      <c r="AC32" s="3708">
        <f>Fighters!$T31</f>
        <v>26</v>
      </c>
      <c r="AD32" s="3710" t="str">
        <f>Fighters!$V31</f>
        <v>gamewatch</v>
      </c>
    </row>
    <row r="33">
      <c r="A33" s="3700">
        <f>Fighters!$A32</f>
        <v>27</v>
      </c>
      <c r="B33" s="3701" t="str">
        <f>Fighters!$B32</f>
        <v>メタナイト</v>
      </c>
      <c r="C33" s="3797" t="s">
        <v>92</v>
      </c>
      <c r="D33" s="3798" t="s">
        <v>877</v>
      </c>
      <c r="E33" s="3762">
        <v>29.0</v>
      </c>
      <c r="F33" s="139" t="s">
        <v>879</v>
      </c>
      <c r="G33" s="3762">
        <v>35.0</v>
      </c>
      <c r="H33" s="139" t="s">
        <v>1634</v>
      </c>
      <c r="I33" s="3762">
        <v>35.0</v>
      </c>
      <c r="J33" s="139" t="s">
        <v>872</v>
      </c>
      <c r="K33" s="138">
        <v>45.0</v>
      </c>
      <c r="L33" s="239" t="s">
        <v>454</v>
      </c>
      <c r="M33" s="138">
        <v>7.0</v>
      </c>
      <c r="N33" s="239" t="s">
        <v>443</v>
      </c>
      <c r="O33" s="3763">
        <v>7.0</v>
      </c>
      <c r="P33" s="3798" t="s">
        <v>877</v>
      </c>
      <c r="Q33" s="3762">
        <v>29.0</v>
      </c>
      <c r="R33" s="139" t="s">
        <v>878</v>
      </c>
      <c r="S33" s="3762">
        <v>35.0</v>
      </c>
      <c r="T33" s="139" t="s">
        <v>872</v>
      </c>
      <c r="U33" s="3762">
        <v>35.0</v>
      </c>
      <c r="V33" s="139" t="s">
        <v>872</v>
      </c>
      <c r="W33" s="138">
        <v>45.0</v>
      </c>
      <c r="X33" s="239" t="s">
        <v>454</v>
      </c>
      <c r="Y33" s="138">
        <v>7.0</v>
      </c>
      <c r="Z33" s="239" t="s">
        <v>443</v>
      </c>
      <c r="AA33" s="3763">
        <v>7.0</v>
      </c>
      <c r="AB33" s="3708">
        <f>Fighters!$S32</f>
        <v>31</v>
      </c>
      <c r="AC33" s="3708">
        <f>Fighters!$T32</f>
        <v>27</v>
      </c>
      <c r="AD33" s="3710" t="str">
        <f>Fighters!$V32</f>
        <v>metaknight</v>
      </c>
    </row>
    <row r="34">
      <c r="A34" s="3700">
        <f>Fighters!$A33</f>
        <v>28</v>
      </c>
      <c r="B34" s="3701" t="str">
        <f>Fighters!$B33</f>
        <v>ピット</v>
      </c>
      <c r="C34" s="3797" t="s">
        <v>92</v>
      </c>
      <c r="D34" s="3798" t="s">
        <v>877</v>
      </c>
      <c r="E34" s="3762">
        <v>29.0</v>
      </c>
      <c r="F34" s="139" t="s">
        <v>879</v>
      </c>
      <c r="G34" s="3762">
        <v>35.0</v>
      </c>
      <c r="H34" s="139" t="s">
        <v>1634</v>
      </c>
      <c r="I34" s="3762">
        <v>35.0</v>
      </c>
      <c r="J34" s="139" t="s">
        <v>872</v>
      </c>
      <c r="K34" s="138">
        <v>45.0</v>
      </c>
      <c r="L34" s="239" t="s">
        <v>295</v>
      </c>
      <c r="M34" s="138">
        <v>7.0</v>
      </c>
      <c r="N34" s="239" t="s">
        <v>443</v>
      </c>
      <c r="O34" s="3763">
        <v>7.0</v>
      </c>
      <c r="P34" s="3798" t="s">
        <v>877</v>
      </c>
      <c r="Q34" s="3762">
        <v>29.0</v>
      </c>
      <c r="R34" s="139" t="s">
        <v>878</v>
      </c>
      <c r="S34" s="3762">
        <v>35.0</v>
      </c>
      <c r="T34" s="139" t="s">
        <v>872</v>
      </c>
      <c r="U34" s="3762">
        <v>35.0</v>
      </c>
      <c r="V34" s="139" t="s">
        <v>872</v>
      </c>
      <c r="W34" s="138">
        <v>45.0</v>
      </c>
      <c r="X34" s="239" t="s">
        <v>295</v>
      </c>
      <c r="Y34" s="138">
        <v>7.0</v>
      </c>
      <c r="Z34" s="239" t="s">
        <v>443</v>
      </c>
      <c r="AA34" s="3763">
        <v>7.0</v>
      </c>
      <c r="AB34" s="3708">
        <f>Fighters!$S33</f>
        <v>32</v>
      </c>
      <c r="AC34" s="3708">
        <f>Fighters!$T33</f>
        <v>28</v>
      </c>
      <c r="AD34" s="3710" t="str">
        <f>Fighters!$V33</f>
        <v>pit</v>
      </c>
    </row>
    <row r="35">
      <c r="A35" s="3700" t="str">
        <f>Fighters!$A34</f>
        <v>28'</v>
      </c>
      <c r="B35" s="3701" t="str">
        <f>Fighters!$B34</f>
        <v>ブラックピット</v>
      </c>
      <c r="C35" s="3797" t="s">
        <v>92</v>
      </c>
      <c r="D35" s="3798" t="s">
        <v>877</v>
      </c>
      <c r="E35" s="3762">
        <v>29.0</v>
      </c>
      <c r="F35" s="139" t="s">
        <v>879</v>
      </c>
      <c r="G35" s="3762">
        <v>35.0</v>
      </c>
      <c r="H35" s="139" t="s">
        <v>1634</v>
      </c>
      <c r="I35" s="3762">
        <v>35.0</v>
      </c>
      <c r="J35" s="139" t="s">
        <v>872</v>
      </c>
      <c r="K35" s="138">
        <v>45.0</v>
      </c>
      <c r="L35" s="239" t="s">
        <v>295</v>
      </c>
      <c r="M35" s="138">
        <v>7.0</v>
      </c>
      <c r="N35" s="239" t="s">
        <v>443</v>
      </c>
      <c r="O35" s="3763">
        <v>7.0</v>
      </c>
      <c r="P35" s="3798" t="s">
        <v>877</v>
      </c>
      <c r="Q35" s="3762">
        <v>29.0</v>
      </c>
      <c r="R35" s="139" t="s">
        <v>878</v>
      </c>
      <c r="S35" s="3762">
        <v>35.0</v>
      </c>
      <c r="T35" s="139" t="s">
        <v>872</v>
      </c>
      <c r="U35" s="3762">
        <v>35.0</v>
      </c>
      <c r="V35" s="139" t="s">
        <v>872</v>
      </c>
      <c r="W35" s="138">
        <v>45.0</v>
      </c>
      <c r="X35" s="239" t="s">
        <v>295</v>
      </c>
      <c r="Y35" s="138">
        <v>7.0</v>
      </c>
      <c r="Z35" s="239" t="s">
        <v>443</v>
      </c>
      <c r="AA35" s="3763">
        <v>7.0</v>
      </c>
      <c r="AB35" s="3708">
        <f>Fighters!$S34</f>
        <v>33</v>
      </c>
      <c r="AC35" s="3708">
        <f>Fighters!$T34</f>
        <v>76</v>
      </c>
      <c r="AD35" s="3710" t="str">
        <f>Fighters!$V34</f>
        <v>pitb</v>
      </c>
    </row>
    <row r="36">
      <c r="A36" s="3700">
        <f>Fighters!$A35</f>
        <v>29</v>
      </c>
      <c r="B36" s="3701" t="str">
        <f>Fighters!$B35</f>
        <v>ゼロスーツサムス</v>
      </c>
      <c r="C36" s="3797" t="s">
        <v>92</v>
      </c>
      <c r="D36" s="3798" t="s">
        <v>877</v>
      </c>
      <c r="E36" s="3762">
        <v>29.0</v>
      </c>
      <c r="F36" s="139" t="s">
        <v>877</v>
      </c>
      <c r="G36" s="3762">
        <v>35.0</v>
      </c>
      <c r="H36" s="139" t="s">
        <v>877</v>
      </c>
      <c r="I36" s="3762">
        <v>35.0</v>
      </c>
      <c r="J36" s="139" t="s">
        <v>879</v>
      </c>
      <c r="K36" s="138">
        <v>45.0</v>
      </c>
      <c r="L36" s="239" t="s">
        <v>295</v>
      </c>
      <c r="M36" s="138">
        <v>7.0</v>
      </c>
      <c r="N36" s="239" t="s">
        <v>377</v>
      </c>
      <c r="O36" s="3763">
        <v>7.0</v>
      </c>
      <c r="P36" s="3798" t="s">
        <v>877</v>
      </c>
      <c r="Q36" s="3762">
        <v>29.0</v>
      </c>
      <c r="R36" s="139" t="s">
        <v>877</v>
      </c>
      <c r="S36" s="3762">
        <v>35.0</v>
      </c>
      <c r="T36" s="139" t="s">
        <v>877</v>
      </c>
      <c r="U36" s="3762">
        <v>35.0</v>
      </c>
      <c r="V36" s="139" t="s">
        <v>877</v>
      </c>
      <c r="W36" s="138">
        <v>45.0</v>
      </c>
      <c r="X36" s="239" t="s">
        <v>454</v>
      </c>
      <c r="Y36" s="138">
        <v>7.0</v>
      </c>
      <c r="Z36" s="239" t="s">
        <v>834</v>
      </c>
      <c r="AA36" s="3763">
        <v>7.0</v>
      </c>
      <c r="AB36" s="3708">
        <f>Fighters!$S35</f>
        <v>34</v>
      </c>
      <c r="AC36" s="3708">
        <f>Fighters!$T35</f>
        <v>29</v>
      </c>
      <c r="AD36" s="3710" t="str">
        <f>Fighters!$V35</f>
        <v>szerosuit</v>
      </c>
    </row>
    <row r="37">
      <c r="A37" s="3700">
        <f>Fighters!$A36</f>
        <v>30</v>
      </c>
      <c r="B37" s="3701" t="str">
        <f>Fighters!$B36</f>
        <v>ワリオ</v>
      </c>
      <c r="C37" s="3797" t="s">
        <v>92</v>
      </c>
      <c r="D37" s="3798" t="s">
        <v>877</v>
      </c>
      <c r="E37" s="3762">
        <v>29.0</v>
      </c>
      <c r="F37" s="139" t="s">
        <v>874</v>
      </c>
      <c r="G37" s="3762">
        <v>35.0</v>
      </c>
      <c r="H37" s="139" t="s">
        <v>874</v>
      </c>
      <c r="I37" s="3762">
        <v>35.0</v>
      </c>
      <c r="J37" s="139" t="s">
        <v>877</v>
      </c>
      <c r="K37" s="138">
        <v>45.0</v>
      </c>
      <c r="L37" s="239" t="s">
        <v>203</v>
      </c>
      <c r="M37" s="138">
        <v>7.0</v>
      </c>
      <c r="N37" s="239" t="s">
        <v>834</v>
      </c>
      <c r="O37" s="3763">
        <v>7.0</v>
      </c>
      <c r="P37" s="3798" t="s">
        <v>877</v>
      </c>
      <c r="Q37" s="3762">
        <v>29.0</v>
      </c>
      <c r="R37" s="139" t="s">
        <v>874</v>
      </c>
      <c r="S37" s="3762">
        <v>35.0</v>
      </c>
      <c r="T37" s="139" t="s">
        <v>874</v>
      </c>
      <c r="U37" s="3762">
        <v>35.0</v>
      </c>
      <c r="V37" s="139" t="s">
        <v>877</v>
      </c>
      <c r="W37" s="138">
        <v>45.0</v>
      </c>
      <c r="X37" s="239" t="s">
        <v>203</v>
      </c>
      <c r="Y37" s="138">
        <v>7.0</v>
      </c>
      <c r="Z37" s="239" t="s">
        <v>834</v>
      </c>
      <c r="AA37" s="3763">
        <v>7.0</v>
      </c>
      <c r="AB37" s="3708">
        <f>Fighters!$S36</f>
        <v>35</v>
      </c>
      <c r="AC37" s="3708">
        <f>Fighters!$T36</f>
        <v>30</v>
      </c>
      <c r="AD37" s="3710" t="str">
        <f>Fighters!$V36</f>
        <v>wario</v>
      </c>
    </row>
    <row r="38">
      <c r="A38" s="3700">
        <f>Fighters!$A37</f>
        <v>31</v>
      </c>
      <c r="B38" s="3701" t="str">
        <f>Fighters!$B37</f>
        <v>スネーク</v>
      </c>
      <c r="C38" s="3797" t="s">
        <v>92</v>
      </c>
      <c r="D38" s="3798" t="s">
        <v>877</v>
      </c>
      <c r="E38" s="3762">
        <v>29.0</v>
      </c>
      <c r="F38" s="139" t="s">
        <v>874</v>
      </c>
      <c r="G38" s="3762">
        <v>35.0</v>
      </c>
      <c r="H38" s="139" t="s">
        <v>877</v>
      </c>
      <c r="I38" s="3762">
        <v>35.0</v>
      </c>
      <c r="J38" s="139" t="s">
        <v>875</v>
      </c>
      <c r="K38" s="138">
        <v>45.0</v>
      </c>
      <c r="L38" s="239" t="s">
        <v>561</v>
      </c>
      <c r="M38" s="138">
        <v>7.0</v>
      </c>
      <c r="N38" s="239" t="s">
        <v>334</v>
      </c>
      <c r="O38" s="3763">
        <v>7.0</v>
      </c>
      <c r="P38" s="3798" t="s">
        <v>877</v>
      </c>
      <c r="Q38" s="3762">
        <v>29.0</v>
      </c>
      <c r="R38" s="139" t="s">
        <v>878</v>
      </c>
      <c r="S38" s="3762">
        <v>35.0</v>
      </c>
      <c r="T38" s="139" t="s">
        <v>879</v>
      </c>
      <c r="U38" s="3762">
        <v>35.0</v>
      </c>
      <c r="V38" s="139" t="s">
        <v>2279</v>
      </c>
      <c r="W38" s="138">
        <v>45.0</v>
      </c>
      <c r="X38" s="239" t="s">
        <v>454</v>
      </c>
      <c r="Y38" s="138">
        <v>7.0</v>
      </c>
      <c r="Z38" s="239" t="s">
        <v>522</v>
      </c>
      <c r="AA38" s="3763">
        <v>7.0</v>
      </c>
      <c r="AB38" s="3708">
        <f>Fighters!$S37</f>
        <v>36</v>
      </c>
      <c r="AC38" s="3708">
        <f>Fighters!$T37</f>
        <v>31</v>
      </c>
      <c r="AD38" s="3710" t="str">
        <f>Fighters!$V37</f>
        <v>snake</v>
      </c>
    </row>
    <row r="39">
      <c r="A39" s="3700">
        <f>Fighters!$A38</f>
        <v>32</v>
      </c>
      <c r="B39" s="3701" t="str">
        <f>Fighters!$B38</f>
        <v>アイク</v>
      </c>
      <c r="C39" s="3797" t="s">
        <v>92</v>
      </c>
      <c r="D39" s="3798" t="s">
        <v>877</v>
      </c>
      <c r="E39" s="3762">
        <v>29.0</v>
      </c>
      <c r="F39" s="139" t="s">
        <v>877</v>
      </c>
      <c r="G39" s="3762">
        <v>35.0</v>
      </c>
      <c r="H39" s="139" t="s">
        <v>877</v>
      </c>
      <c r="I39" s="3762">
        <v>35.0</v>
      </c>
      <c r="J39" s="139" t="s">
        <v>877</v>
      </c>
      <c r="K39" s="138">
        <v>45.0</v>
      </c>
      <c r="L39" s="239" t="s">
        <v>203</v>
      </c>
      <c r="M39" s="138">
        <v>7.0</v>
      </c>
      <c r="N39" s="239" t="s">
        <v>834</v>
      </c>
      <c r="O39" s="3763">
        <v>7.0</v>
      </c>
      <c r="P39" s="3798" t="s">
        <v>877</v>
      </c>
      <c r="Q39" s="3762">
        <v>29.0</v>
      </c>
      <c r="R39" s="139" t="s">
        <v>877</v>
      </c>
      <c r="S39" s="3762">
        <v>35.0</v>
      </c>
      <c r="T39" s="139" t="s">
        <v>877</v>
      </c>
      <c r="U39" s="3762">
        <v>35.0</v>
      </c>
      <c r="V39" s="139" t="s">
        <v>877</v>
      </c>
      <c r="W39" s="138">
        <v>45.0</v>
      </c>
      <c r="X39" s="239" t="s">
        <v>203</v>
      </c>
      <c r="Y39" s="138">
        <v>7.0</v>
      </c>
      <c r="Z39" s="239" t="s">
        <v>834</v>
      </c>
      <c r="AA39" s="3763">
        <v>7.0</v>
      </c>
      <c r="AB39" s="3708">
        <f>Fighters!$S38</f>
        <v>37</v>
      </c>
      <c r="AC39" s="3708">
        <f>Fighters!$T38</f>
        <v>32</v>
      </c>
      <c r="AD39" s="3710" t="str">
        <f>Fighters!$V38</f>
        <v>ike</v>
      </c>
    </row>
    <row r="40">
      <c r="A40" s="3700">
        <f>Fighters!$A39</f>
        <v>33</v>
      </c>
      <c r="B40" s="3701" t="str">
        <f>Fighters!$B39</f>
        <v>ゼニガメ</v>
      </c>
      <c r="C40" s="3797" t="s">
        <v>92</v>
      </c>
      <c r="D40" s="3798" t="s">
        <v>877</v>
      </c>
      <c r="E40" s="3762">
        <v>29.0</v>
      </c>
      <c r="F40" s="139" t="s">
        <v>874</v>
      </c>
      <c r="G40" s="3762">
        <v>35.0</v>
      </c>
      <c r="H40" s="139" t="s">
        <v>877</v>
      </c>
      <c r="I40" s="3762">
        <v>35.0</v>
      </c>
      <c r="J40" s="139" t="s">
        <v>872</v>
      </c>
      <c r="K40" s="138">
        <v>45.0</v>
      </c>
      <c r="L40" s="239" t="s">
        <v>334</v>
      </c>
      <c r="M40" s="138">
        <v>7.0</v>
      </c>
      <c r="N40" s="239" t="s">
        <v>443</v>
      </c>
      <c r="O40" s="3763">
        <v>7.0</v>
      </c>
      <c r="P40" s="3798" t="s">
        <v>877</v>
      </c>
      <c r="Q40" s="3762">
        <v>29.0</v>
      </c>
      <c r="R40" s="139" t="s">
        <v>878</v>
      </c>
      <c r="S40" s="3762">
        <v>35.0</v>
      </c>
      <c r="T40" s="139" t="s">
        <v>879</v>
      </c>
      <c r="U40" s="3762">
        <v>35.0</v>
      </c>
      <c r="V40" s="139" t="s">
        <v>872</v>
      </c>
      <c r="W40" s="138">
        <v>45.0</v>
      </c>
      <c r="X40" s="239" t="s">
        <v>334</v>
      </c>
      <c r="Y40" s="138">
        <v>7.0</v>
      </c>
      <c r="Z40" s="239" t="s">
        <v>443</v>
      </c>
      <c r="AA40" s="3763">
        <v>7.0</v>
      </c>
      <c r="AB40" s="3708">
        <f>Fighters!$S39</f>
        <v>38</v>
      </c>
      <c r="AC40" s="3708">
        <f>Fighters!$T39</f>
        <v>33</v>
      </c>
      <c r="AD40" s="3710" t="str">
        <f>Fighters!$V39</f>
        <v>pzenigame</v>
      </c>
    </row>
    <row r="41">
      <c r="A41" s="3700">
        <f>Fighters!$A40</f>
        <v>34</v>
      </c>
      <c r="B41" s="3701" t="str">
        <f>Fighters!$B40</f>
        <v>フシギソウ</v>
      </c>
      <c r="C41" s="3797" t="s">
        <v>92</v>
      </c>
      <c r="D41" s="3798" t="s">
        <v>877</v>
      </c>
      <c r="E41" s="3762">
        <v>29.0</v>
      </c>
      <c r="F41" s="139" t="s">
        <v>874</v>
      </c>
      <c r="G41" s="3762">
        <v>35.0</v>
      </c>
      <c r="H41" s="139" t="s">
        <v>877</v>
      </c>
      <c r="I41" s="3762">
        <v>35.0</v>
      </c>
      <c r="J41" s="139" t="s">
        <v>1133</v>
      </c>
      <c r="K41" s="138">
        <v>45.0</v>
      </c>
      <c r="L41" s="239" t="s">
        <v>295</v>
      </c>
      <c r="M41" s="138">
        <v>7.0</v>
      </c>
      <c r="N41" s="239" t="s">
        <v>288</v>
      </c>
      <c r="O41" s="3763">
        <v>7.0</v>
      </c>
      <c r="P41" s="3798" t="s">
        <v>877</v>
      </c>
      <c r="Q41" s="3762">
        <v>29.0</v>
      </c>
      <c r="R41" s="139" t="s">
        <v>878</v>
      </c>
      <c r="S41" s="3762">
        <v>35.0</v>
      </c>
      <c r="T41" s="139" t="s">
        <v>879</v>
      </c>
      <c r="U41" s="3762">
        <v>35.0</v>
      </c>
      <c r="V41" s="139" t="s">
        <v>1133</v>
      </c>
      <c r="W41" s="138">
        <v>45.0</v>
      </c>
      <c r="X41" s="239" t="s">
        <v>454</v>
      </c>
      <c r="Y41" s="138">
        <v>7.0</v>
      </c>
      <c r="Z41" s="239" t="s">
        <v>288</v>
      </c>
      <c r="AA41" s="3763">
        <v>7.0</v>
      </c>
      <c r="AB41" s="3708">
        <f>Fighters!$S40</f>
        <v>39</v>
      </c>
      <c r="AC41" s="3708">
        <f>Fighters!$T40</f>
        <v>34</v>
      </c>
      <c r="AD41" s="3710" t="str">
        <f>Fighters!$V40</f>
        <v>pfushigisou</v>
      </c>
    </row>
    <row r="42">
      <c r="A42" s="3700">
        <f>Fighters!$A41</f>
        <v>35</v>
      </c>
      <c r="B42" s="3701" t="str">
        <f>Fighters!$B41</f>
        <v>リザードン</v>
      </c>
      <c r="C42" s="3797" t="s">
        <v>92</v>
      </c>
      <c r="D42" s="3798" t="s">
        <v>877</v>
      </c>
      <c r="E42" s="3762">
        <v>29.0</v>
      </c>
      <c r="F42" s="139" t="s">
        <v>877</v>
      </c>
      <c r="G42" s="3762">
        <v>35.0</v>
      </c>
      <c r="H42" s="139" t="s">
        <v>877</v>
      </c>
      <c r="I42" s="3762">
        <v>35.0</v>
      </c>
      <c r="J42" s="139" t="s">
        <v>1133</v>
      </c>
      <c r="K42" s="138">
        <v>45.0</v>
      </c>
      <c r="L42" s="239" t="s">
        <v>203</v>
      </c>
      <c r="M42" s="138">
        <v>7.0</v>
      </c>
      <c r="N42" s="239" t="s">
        <v>288</v>
      </c>
      <c r="O42" s="3763">
        <v>7.0</v>
      </c>
      <c r="P42" s="3798" t="s">
        <v>877</v>
      </c>
      <c r="Q42" s="3762">
        <v>29.0</v>
      </c>
      <c r="R42" s="139" t="s">
        <v>877</v>
      </c>
      <c r="S42" s="3762">
        <v>35.0</v>
      </c>
      <c r="T42" s="139" t="s">
        <v>877</v>
      </c>
      <c r="U42" s="3762">
        <v>35.0</v>
      </c>
      <c r="V42" s="139" t="s">
        <v>879</v>
      </c>
      <c r="W42" s="138">
        <v>45.0</v>
      </c>
      <c r="X42" s="239" t="s">
        <v>653</v>
      </c>
      <c r="Y42" s="138">
        <v>7.0</v>
      </c>
      <c r="Z42" s="239" t="s">
        <v>377</v>
      </c>
      <c r="AA42" s="3763">
        <v>7.0</v>
      </c>
      <c r="AB42" s="3708">
        <f>Fighters!$S41</f>
        <v>40</v>
      </c>
      <c r="AC42" s="3708">
        <f>Fighters!$T41</f>
        <v>35</v>
      </c>
      <c r="AD42" s="3710" t="str">
        <f>Fighters!$V41</f>
        <v>plizardon</v>
      </c>
    </row>
    <row r="43">
      <c r="A43" s="3700">
        <f>Fighters!$A42</f>
        <v>36</v>
      </c>
      <c r="B43" s="3701" t="str">
        <f>Fighters!$B42</f>
        <v>ディディーコング</v>
      </c>
      <c r="C43" s="3797" t="s">
        <v>92</v>
      </c>
      <c r="D43" s="3798" t="s">
        <v>877</v>
      </c>
      <c r="E43" s="3762">
        <v>29.0</v>
      </c>
      <c r="F43" s="139" t="s">
        <v>877</v>
      </c>
      <c r="G43" s="3762">
        <v>35.0</v>
      </c>
      <c r="H43" s="139" t="s">
        <v>877</v>
      </c>
      <c r="I43" s="3762">
        <v>35.0</v>
      </c>
      <c r="J43" s="139" t="s">
        <v>1133</v>
      </c>
      <c r="K43" s="138">
        <v>45.0</v>
      </c>
      <c r="L43" s="239" t="s">
        <v>561</v>
      </c>
      <c r="M43" s="138">
        <v>7.0</v>
      </c>
      <c r="N43" s="239" t="s">
        <v>288</v>
      </c>
      <c r="O43" s="3763">
        <v>7.0</v>
      </c>
      <c r="P43" s="3798" t="s">
        <v>877</v>
      </c>
      <c r="Q43" s="3762">
        <v>29.0</v>
      </c>
      <c r="R43" s="139" t="s">
        <v>877</v>
      </c>
      <c r="S43" s="3762">
        <v>35.0</v>
      </c>
      <c r="T43" s="139" t="s">
        <v>877</v>
      </c>
      <c r="U43" s="3762">
        <v>35.0</v>
      </c>
      <c r="V43" s="139" t="s">
        <v>877</v>
      </c>
      <c r="W43" s="138">
        <v>45.0</v>
      </c>
      <c r="X43" s="239" t="s">
        <v>561</v>
      </c>
      <c r="Y43" s="138">
        <v>7.0</v>
      </c>
      <c r="Z43" s="239" t="s">
        <v>834</v>
      </c>
      <c r="AA43" s="3763">
        <v>7.0</v>
      </c>
      <c r="AB43" s="3708">
        <f>Fighters!$S42</f>
        <v>41</v>
      </c>
      <c r="AC43" s="3708">
        <f>Fighters!$T42</f>
        <v>36</v>
      </c>
      <c r="AD43" s="3710" t="str">
        <f>Fighters!$V42</f>
        <v>diddy</v>
      </c>
    </row>
    <row r="44">
      <c r="A44" s="3700">
        <f>Fighters!$A43</f>
        <v>37</v>
      </c>
      <c r="B44" s="3701" t="str">
        <f>Fighters!$B43</f>
        <v>リュカ</v>
      </c>
      <c r="C44" s="3797" t="s">
        <v>92</v>
      </c>
      <c r="D44" s="3798" t="s">
        <v>877</v>
      </c>
      <c r="E44" s="3762">
        <v>29.0</v>
      </c>
      <c r="F44" s="139" t="s">
        <v>877</v>
      </c>
      <c r="G44" s="3762">
        <v>35.0</v>
      </c>
      <c r="H44" s="139" t="s">
        <v>877</v>
      </c>
      <c r="I44" s="3762">
        <v>35.0</v>
      </c>
      <c r="J44" s="139" t="s">
        <v>877</v>
      </c>
      <c r="K44" s="138">
        <v>45.0</v>
      </c>
      <c r="L44" s="239" t="s">
        <v>203</v>
      </c>
      <c r="M44" s="138">
        <v>7.0</v>
      </c>
      <c r="N44" s="239" t="s">
        <v>834</v>
      </c>
      <c r="O44" s="3763">
        <v>7.0</v>
      </c>
      <c r="P44" s="3798" t="s">
        <v>877</v>
      </c>
      <c r="Q44" s="3762">
        <v>29.0</v>
      </c>
      <c r="R44" s="139" t="s">
        <v>877</v>
      </c>
      <c r="S44" s="3762">
        <v>35.0</v>
      </c>
      <c r="T44" s="139" t="s">
        <v>877</v>
      </c>
      <c r="U44" s="3762">
        <v>35.0</v>
      </c>
      <c r="V44" s="139" t="s">
        <v>877</v>
      </c>
      <c r="W44" s="138">
        <v>45.0</v>
      </c>
      <c r="X44" s="239" t="s">
        <v>203</v>
      </c>
      <c r="Y44" s="138">
        <v>7.0</v>
      </c>
      <c r="Z44" s="239" t="s">
        <v>834</v>
      </c>
      <c r="AA44" s="3763">
        <v>7.0</v>
      </c>
      <c r="AB44" s="3708">
        <f>Fighters!$S43</f>
        <v>42</v>
      </c>
      <c r="AC44" s="3708">
        <f>Fighters!$T43</f>
        <v>37</v>
      </c>
      <c r="AD44" s="3710" t="str">
        <f>Fighters!$V43</f>
        <v>lucas</v>
      </c>
    </row>
    <row r="45">
      <c r="A45" s="3700">
        <f>Fighters!$A44</f>
        <v>38</v>
      </c>
      <c r="B45" s="3701" t="str">
        <f>Fighters!$B44</f>
        <v>ソニック</v>
      </c>
      <c r="C45" s="3797" t="s">
        <v>92</v>
      </c>
      <c r="D45" s="3798" t="s">
        <v>877</v>
      </c>
      <c r="E45" s="3762">
        <v>29.0</v>
      </c>
      <c r="F45" s="139" t="s">
        <v>874</v>
      </c>
      <c r="G45" s="3762">
        <v>35.0</v>
      </c>
      <c r="H45" s="139" t="s">
        <v>877</v>
      </c>
      <c r="I45" s="3762">
        <v>35.0</v>
      </c>
      <c r="J45" s="139" t="s">
        <v>874</v>
      </c>
      <c r="K45" s="138">
        <v>45.0</v>
      </c>
      <c r="L45" s="239" t="s">
        <v>454</v>
      </c>
      <c r="M45" s="138">
        <v>7.0</v>
      </c>
      <c r="N45" s="239" t="s">
        <v>351</v>
      </c>
      <c r="O45" s="3763">
        <v>7.0</v>
      </c>
      <c r="P45" s="3798" t="s">
        <v>877</v>
      </c>
      <c r="Q45" s="3762">
        <v>29.0</v>
      </c>
      <c r="R45" s="139" t="s">
        <v>878</v>
      </c>
      <c r="S45" s="3762">
        <v>35.0</v>
      </c>
      <c r="T45" s="139" t="s">
        <v>879</v>
      </c>
      <c r="U45" s="3762">
        <v>35.0</v>
      </c>
      <c r="V45" s="139" t="s">
        <v>874</v>
      </c>
      <c r="W45" s="138">
        <v>45.0</v>
      </c>
      <c r="X45" s="239" t="s">
        <v>1749</v>
      </c>
      <c r="Y45" s="1360">
        <v>6.0</v>
      </c>
      <c r="Z45" s="365" t="s">
        <v>76</v>
      </c>
      <c r="AA45" s="3788" t="s">
        <v>76</v>
      </c>
      <c r="AB45" s="3708">
        <f>Fighters!$S44</f>
        <v>43</v>
      </c>
      <c r="AC45" s="3708">
        <f>Fighters!$T44</f>
        <v>38</v>
      </c>
      <c r="AD45" s="3710" t="str">
        <f>Fighters!$V44</f>
        <v>sonic</v>
      </c>
    </row>
    <row r="46">
      <c r="A46" s="3700">
        <f>Fighters!$A45</f>
        <v>39</v>
      </c>
      <c r="B46" s="3701" t="str">
        <f>Fighters!$B45</f>
        <v>デデデ</v>
      </c>
      <c r="C46" s="3797" t="s">
        <v>92</v>
      </c>
      <c r="D46" s="3798" t="s">
        <v>877</v>
      </c>
      <c r="E46" s="3762">
        <v>29.0</v>
      </c>
      <c r="F46" s="139" t="s">
        <v>877</v>
      </c>
      <c r="G46" s="3762">
        <v>35.0</v>
      </c>
      <c r="H46" s="139" t="s">
        <v>877</v>
      </c>
      <c r="I46" s="3762">
        <v>35.0</v>
      </c>
      <c r="J46" s="139" t="s">
        <v>879</v>
      </c>
      <c r="K46" s="138">
        <v>45.0</v>
      </c>
      <c r="L46" s="239" t="s">
        <v>653</v>
      </c>
      <c r="M46" s="138">
        <v>7.0</v>
      </c>
      <c r="N46" s="239" t="s">
        <v>377</v>
      </c>
      <c r="O46" s="3763">
        <v>7.0</v>
      </c>
      <c r="P46" s="3798" t="s">
        <v>877</v>
      </c>
      <c r="Q46" s="3762">
        <v>29.0</v>
      </c>
      <c r="R46" s="139" t="s">
        <v>877</v>
      </c>
      <c r="S46" s="3762">
        <v>35.0</v>
      </c>
      <c r="T46" s="139" t="s">
        <v>877</v>
      </c>
      <c r="U46" s="3762">
        <v>35.0</v>
      </c>
      <c r="V46" s="139" t="s">
        <v>879</v>
      </c>
      <c r="W46" s="138">
        <v>45.0</v>
      </c>
      <c r="X46" s="239" t="s">
        <v>653</v>
      </c>
      <c r="Y46" s="138">
        <v>7.0</v>
      </c>
      <c r="Z46" s="239" t="s">
        <v>377</v>
      </c>
      <c r="AA46" s="3763">
        <v>7.0</v>
      </c>
      <c r="AB46" s="3708">
        <f>Fighters!$S45</f>
        <v>44</v>
      </c>
      <c r="AC46" s="3708">
        <f>Fighters!$T45</f>
        <v>39</v>
      </c>
      <c r="AD46" s="3710" t="str">
        <f>Fighters!$V45</f>
        <v>dedede</v>
      </c>
    </row>
    <row r="47">
      <c r="A47" s="3700">
        <f>Fighters!$A46</f>
        <v>40</v>
      </c>
      <c r="B47" s="3701" t="str">
        <f>Fighters!$B46</f>
        <v>ピクミン&amp;オリマー</v>
      </c>
      <c r="C47" s="3797" t="s">
        <v>92</v>
      </c>
      <c r="D47" s="3798" t="s">
        <v>877</v>
      </c>
      <c r="E47" s="3762">
        <v>29.0</v>
      </c>
      <c r="F47" s="139" t="s">
        <v>877</v>
      </c>
      <c r="G47" s="3762">
        <v>35.0</v>
      </c>
      <c r="H47" s="139" t="s">
        <v>877</v>
      </c>
      <c r="I47" s="3762">
        <v>35.0</v>
      </c>
      <c r="J47" s="139" t="s">
        <v>874</v>
      </c>
      <c r="K47" s="138">
        <v>45.0</v>
      </c>
      <c r="L47" s="239" t="s">
        <v>454</v>
      </c>
      <c r="M47" s="138">
        <v>7.0</v>
      </c>
      <c r="N47" s="239" t="s">
        <v>351</v>
      </c>
      <c r="O47" s="3763">
        <v>7.0</v>
      </c>
      <c r="P47" s="3798" t="s">
        <v>877</v>
      </c>
      <c r="Q47" s="3762">
        <v>29.0</v>
      </c>
      <c r="R47" s="139" t="s">
        <v>877</v>
      </c>
      <c r="S47" s="3762">
        <v>35.0</v>
      </c>
      <c r="T47" s="139" t="s">
        <v>877</v>
      </c>
      <c r="U47" s="3762">
        <v>35.0</v>
      </c>
      <c r="V47" s="139" t="s">
        <v>874</v>
      </c>
      <c r="W47" s="138">
        <v>45.0</v>
      </c>
      <c r="X47" s="239" t="s">
        <v>454</v>
      </c>
      <c r="Y47" s="138">
        <v>7.0</v>
      </c>
      <c r="Z47" s="239" t="s">
        <v>351</v>
      </c>
      <c r="AA47" s="3763">
        <v>7.0</v>
      </c>
      <c r="AB47" s="3708">
        <f>Fighters!$S46</f>
        <v>45</v>
      </c>
      <c r="AC47" s="3708">
        <f>Fighters!$T46</f>
        <v>40</v>
      </c>
      <c r="AD47" s="3710" t="str">
        <f>Fighters!$V46</f>
        <v>pikmin</v>
      </c>
    </row>
    <row r="48">
      <c r="A48" s="3700">
        <f>Fighters!$A47</f>
        <v>41</v>
      </c>
      <c r="B48" s="3701" t="str">
        <f>Fighters!$B47</f>
        <v>ルカリオ</v>
      </c>
      <c r="C48" s="3797" t="s">
        <v>92</v>
      </c>
      <c r="D48" s="3798" t="s">
        <v>877</v>
      </c>
      <c r="E48" s="3762">
        <v>29.0</v>
      </c>
      <c r="F48" s="139" t="s">
        <v>877</v>
      </c>
      <c r="G48" s="3762">
        <v>35.0</v>
      </c>
      <c r="H48" s="139" t="s">
        <v>877</v>
      </c>
      <c r="I48" s="3762">
        <v>35.0</v>
      </c>
      <c r="J48" s="139" t="s">
        <v>874</v>
      </c>
      <c r="K48" s="138">
        <v>45.0</v>
      </c>
      <c r="L48" s="239" t="s">
        <v>454</v>
      </c>
      <c r="M48" s="138">
        <v>7.0</v>
      </c>
      <c r="N48" s="239" t="s">
        <v>351</v>
      </c>
      <c r="O48" s="3763">
        <v>7.0</v>
      </c>
      <c r="P48" s="3798" t="s">
        <v>877</v>
      </c>
      <c r="Q48" s="3762">
        <v>29.0</v>
      </c>
      <c r="R48" s="139" t="s">
        <v>877</v>
      </c>
      <c r="S48" s="3762">
        <v>35.0</v>
      </c>
      <c r="T48" s="139" t="s">
        <v>877</v>
      </c>
      <c r="U48" s="3762">
        <v>35.0</v>
      </c>
      <c r="V48" s="139" t="s">
        <v>879</v>
      </c>
      <c r="W48" s="138">
        <v>45.0</v>
      </c>
      <c r="X48" s="239" t="s">
        <v>454</v>
      </c>
      <c r="Y48" s="138">
        <v>7.0</v>
      </c>
      <c r="Z48" s="239" t="s">
        <v>377</v>
      </c>
      <c r="AA48" s="3763">
        <v>7.0</v>
      </c>
      <c r="AB48" s="3708">
        <f>Fighters!$S47</f>
        <v>46</v>
      </c>
      <c r="AC48" s="3708">
        <f>Fighters!$T47</f>
        <v>41</v>
      </c>
      <c r="AD48" s="3710" t="str">
        <f>Fighters!$V47</f>
        <v>lucario</v>
      </c>
    </row>
    <row r="49">
      <c r="A49" s="3700">
        <f>Fighters!$A48</f>
        <v>42</v>
      </c>
      <c r="B49" s="3701" t="str">
        <f>Fighters!$B48</f>
        <v>ロボット</v>
      </c>
      <c r="C49" s="3797" t="s">
        <v>92</v>
      </c>
      <c r="D49" s="3798" t="s">
        <v>877</v>
      </c>
      <c r="E49" s="3762">
        <v>29.0</v>
      </c>
      <c r="F49" s="139" t="s">
        <v>874</v>
      </c>
      <c r="G49" s="3762">
        <v>35.0</v>
      </c>
      <c r="H49" s="139" t="s">
        <v>874</v>
      </c>
      <c r="I49" s="3762">
        <v>35.0</v>
      </c>
      <c r="J49" s="139" t="s">
        <v>1133</v>
      </c>
      <c r="K49" s="138">
        <v>45.0</v>
      </c>
      <c r="L49" s="239" t="s">
        <v>203</v>
      </c>
      <c r="M49" s="138">
        <v>7.0</v>
      </c>
      <c r="N49" s="239" t="s">
        <v>288</v>
      </c>
      <c r="O49" s="3763">
        <v>7.0</v>
      </c>
      <c r="P49" s="3798" t="s">
        <v>877</v>
      </c>
      <c r="Q49" s="3762">
        <v>29.0</v>
      </c>
      <c r="R49" s="139" t="s">
        <v>874</v>
      </c>
      <c r="S49" s="3762">
        <v>35.0</v>
      </c>
      <c r="T49" s="139" t="s">
        <v>874</v>
      </c>
      <c r="U49" s="3762">
        <v>35.0</v>
      </c>
      <c r="V49" s="139" t="s">
        <v>1133</v>
      </c>
      <c r="W49" s="138">
        <v>45.0</v>
      </c>
      <c r="X49" s="239" t="s">
        <v>203</v>
      </c>
      <c r="Y49" s="138">
        <v>7.0</v>
      </c>
      <c r="Z49" s="239" t="s">
        <v>288</v>
      </c>
      <c r="AA49" s="3763">
        <v>7.0</v>
      </c>
      <c r="AB49" s="3708">
        <f>Fighters!$S48</f>
        <v>47</v>
      </c>
      <c r="AC49" s="3708">
        <f>Fighters!$T48</f>
        <v>42</v>
      </c>
      <c r="AD49" s="3710" t="str">
        <f>Fighters!$V48</f>
        <v>robot</v>
      </c>
    </row>
    <row r="50">
      <c r="A50" s="3700">
        <f>Fighters!$A49</f>
        <v>43</v>
      </c>
      <c r="B50" s="3701" t="str">
        <f>Fighters!$B49</f>
        <v>トゥーンリンク</v>
      </c>
      <c r="C50" s="3797" t="s">
        <v>92</v>
      </c>
      <c r="D50" s="3798" t="s">
        <v>877</v>
      </c>
      <c r="E50" s="3762">
        <v>29.0</v>
      </c>
      <c r="F50" s="139" t="s">
        <v>879</v>
      </c>
      <c r="G50" s="3762">
        <v>35.0</v>
      </c>
      <c r="H50" s="139" t="s">
        <v>1634</v>
      </c>
      <c r="I50" s="3762">
        <v>35.0</v>
      </c>
      <c r="J50" s="139" t="s">
        <v>877</v>
      </c>
      <c r="K50" s="138">
        <v>45.0</v>
      </c>
      <c r="L50" s="239" t="s">
        <v>454</v>
      </c>
      <c r="M50" s="138">
        <v>7.0</v>
      </c>
      <c r="N50" s="239" t="s">
        <v>834</v>
      </c>
      <c r="O50" s="3763">
        <v>7.0</v>
      </c>
      <c r="P50" s="3798" t="s">
        <v>877</v>
      </c>
      <c r="Q50" s="3762">
        <v>29.0</v>
      </c>
      <c r="R50" s="139" t="s">
        <v>878</v>
      </c>
      <c r="S50" s="3762">
        <v>35.0</v>
      </c>
      <c r="T50" s="139" t="s">
        <v>872</v>
      </c>
      <c r="U50" s="3762">
        <v>35.0</v>
      </c>
      <c r="V50" s="139" t="s">
        <v>877</v>
      </c>
      <c r="W50" s="138">
        <v>45.0</v>
      </c>
      <c r="X50" s="239" t="s">
        <v>454</v>
      </c>
      <c r="Y50" s="138">
        <v>7.0</v>
      </c>
      <c r="Z50" s="239" t="s">
        <v>834</v>
      </c>
      <c r="AA50" s="3763">
        <v>7.0</v>
      </c>
      <c r="AB50" s="3708">
        <f>Fighters!$S49</f>
        <v>48</v>
      </c>
      <c r="AC50" s="3708">
        <f>Fighters!$T49</f>
        <v>43</v>
      </c>
      <c r="AD50" s="3710" t="str">
        <f>Fighters!$V49</f>
        <v>toonlink</v>
      </c>
    </row>
    <row r="51">
      <c r="A51" s="3700">
        <f>Fighters!$A50</f>
        <v>44</v>
      </c>
      <c r="B51" s="3701" t="str">
        <f>Fighters!$B50</f>
        <v>ウルフ</v>
      </c>
      <c r="C51" s="3797" t="s">
        <v>92</v>
      </c>
      <c r="D51" s="3798" t="s">
        <v>877</v>
      </c>
      <c r="E51" s="3762">
        <v>29.0</v>
      </c>
      <c r="F51" s="139" t="s">
        <v>874</v>
      </c>
      <c r="G51" s="3762">
        <v>35.0</v>
      </c>
      <c r="H51" s="139" t="s">
        <v>877</v>
      </c>
      <c r="I51" s="3762">
        <v>35.0</v>
      </c>
      <c r="J51" s="139" t="s">
        <v>877</v>
      </c>
      <c r="K51" s="138">
        <v>45.0</v>
      </c>
      <c r="L51" s="239" t="s">
        <v>454</v>
      </c>
      <c r="M51" s="138">
        <v>7.0</v>
      </c>
      <c r="N51" s="239" t="s">
        <v>834</v>
      </c>
      <c r="O51" s="3763">
        <v>7.0</v>
      </c>
      <c r="P51" s="3798" t="s">
        <v>877</v>
      </c>
      <c r="Q51" s="3762">
        <v>29.0</v>
      </c>
      <c r="R51" s="139" t="s">
        <v>878</v>
      </c>
      <c r="S51" s="3762">
        <v>35.0</v>
      </c>
      <c r="T51" s="139" t="s">
        <v>879</v>
      </c>
      <c r="U51" s="3762">
        <v>35.0</v>
      </c>
      <c r="V51" s="139" t="s">
        <v>877</v>
      </c>
      <c r="W51" s="138">
        <v>45.0</v>
      </c>
      <c r="X51" s="239" t="s">
        <v>454</v>
      </c>
      <c r="Y51" s="138">
        <v>7.0</v>
      </c>
      <c r="Z51" s="239" t="s">
        <v>834</v>
      </c>
      <c r="AA51" s="3763">
        <v>7.0</v>
      </c>
      <c r="AB51" s="3708">
        <f>Fighters!$S50</f>
        <v>49</v>
      </c>
      <c r="AC51" s="3708">
        <f>Fighters!$T50</f>
        <v>44</v>
      </c>
      <c r="AD51" s="3710" t="str">
        <f>Fighters!$V50</f>
        <v>wolf</v>
      </c>
    </row>
    <row r="52">
      <c r="A52" s="3700">
        <f>Fighters!$A51</f>
        <v>45</v>
      </c>
      <c r="B52" s="3701" t="str">
        <f>Fighters!$B51</f>
        <v>むらびと</v>
      </c>
      <c r="C52" s="3797" t="s">
        <v>92</v>
      </c>
      <c r="D52" s="3798" t="s">
        <v>877</v>
      </c>
      <c r="E52" s="3762">
        <v>29.0</v>
      </c>
      <c r="F52" s="139" t="s">
        <v>877</v>
      </c>
      <c r="G52" s="3762">
        <v>35.0</v>
      </c>
      <c r="H52" s="139" t="s">
        <v>877</v>
      </c>
      <c r="I52" s="3762">
        <v>35.0</v>
      </c>
      <c r="J52" s="139" t="s">
        <v>874</v>
      </c>
      <c r="K52" s="138">
        <v>45.0</v>
      </c>
      <c r="L52" s="239" t="s">
        <v>454</v>
      </c>
      <c r="M52" s="138">
        <v>7.0</v>
      </c>
      <c r="N52" s="239" t="s">
        <v>351</v>
      </c>
      <c r="O52" s="3763">
        <v>7.0</v>
      </c>
      <c r="P52" s="3798" t="s">
        <v>877</v>
      </c>
      <c r="Q52" s="3762">
        <v>29.0</v>
      </c>
      <c r="R52" s="139" t="s">
        <v>877</v>
      </c>
      <c r="S52" s="3762">
        <v>35.0</v>
      </c>
      <c r="T52" s="139" t="s">
        <v>877</v>
      </c>
      <c r="U52" s="3762">
        <v>35.0</v>
      </c>
      <c r="V52" s="139" t="s">
        <v>874</v>
      </c>
      <c r="W52" s="138">
        <v>45.0</v>
      </c>
      <c r="X52" s="239" t="s">
        <v>454</v>
      </c>
      <c r="Y52" s="138">
        <v>7.0</v>
      </c>
      <c r="Z52" s="239" t="s">
        <v>351</v>
      </c>
      <c r="AA52" s="3763">
        <v>7.0</v>
      </c>
      <c r="AB52" s="3708">
        <f>Fighters!$S51</f>
        <v>50</v>
      </c>
      <c r="AC52" s="3708">
        <f>Fighters!$T51</f>
        <v>45</v>
      </c>
      <c r="AD52" s="3710" t="str">
        <f>Fighters!$V51</f>
        <v>murabito</v>
      </c>
    </row>
    <row r="53">
      <c r="A53" s="3700">
        <f>Fighters!$A52</f>
        <v>46</v>
      </c>
      <c r="B53" s="3701" t="str">
        <f>Fighters!$B52</f>
        <v>ロックマン</v>
      </c>
      <c r="C53" s="3797" t="s">
        <v>92</v>
      </c>
      <c r="D53" s="3798" t="s">
        <v>877</v>
      </c>
      <c r="E53" s="3762">
        <v>29.0</v>
      </c>
      <c r="F53" s="139" t="s">
        <v>874</v>
      </c>
      <c r="G53" s="3762">
        <v>35.0</v>
      </c>
      <c r="H53" s="139" t="s">
        <v>877</v>
      </c>
      <c r="I53" s="3762">
        <v>35.0</v>
      </c>
      <c r="J53" s="139" t="s">
        <v>872</v>
      </c>
      <c r="K53" s="138">
        <v>45.0</v>
      </c>
      <c r="L53" s="239" t="s">
        <v>295</v>
      </c>
      <c r="M53" s="138">
        <v>7.0</v>
      </c>
      <c r="N53" s="239" t="s">
        <v>443</v>
      </c>
      <c r="O53" s="3763">
        <v>7.0</v>
      </c>
      <c r="P53" s="3798" t="s">
        <v>877</v>
      </c>
      <c r="Q53" s="3762">
        <v>29.0</v>
      </c>
      <c r="R53" s="139" t="s">
        <v>878</v>
      </c>
      <c r="S53" s="3762">
        <v>35.0</v>
      </c>
      <c r="T53" s="139" t="s">
        <v>879</v>
      </c>
      <c r="U53" s="3762">
        <v>35.0</v>
      </c>
      <c r="V53" s="139" t="s">
        <v>872</v>
      </c>
      <c r="W53" s="138">
        <v>45.0</v>
      </c>
      <c r="X53" s="239" t="s">
        <v>295</v>
      </c>
      <c r="Y53" s="138">
        <v>7.0</v>
      </c>
      <c r="Z53" s="239" t="s">
        <v>443</v>
      </c>
      <c r="AA53" s="3763">
        <v>7.0</v>
      </c>
      <c r="AB53" s="3708">
        <f>Fighters!$S52</f>
        <v>51</v>
      </c>
      <c r="AC53" s="3708">
        <f>Fighters!$T52</f>
        <v>46</v>
      </c>
      <c r="AD53" s="3710" t="str">
        <f>Fighters!$V52</f>
        <v>rockman</v>
      </c>
    </row>
    <row r="54">
      <c r="A54" s="3700">
        <f>Fighters!$A53</f>
        <v>47</v>
      </c>
      <c r="B54" s="3701" t="str">
        <f>Fighters!$B53</f>
        <v>Wii Fit トレーナー</v>
      </c>
      <c r="C54" s="3797" t="s">
        <v>92</v>
      </c>
      <c r="D54" s="3798" t="s">
        <v>877</v>
      </c>
      <c r="E54" s="3799">
        <v>29.0</v>
      </c>
      <c r="F54" s="139" t="s">
        <v>875</v>
      </c>
      <c r="G54" s="3762">
        <v>35.0</v>
      </c>
      <c r="H54" s="139" t="s">
        <v>875</v>
      </c>
      <c r="I54" s="3762">
        <v>35.0</v>
      </c>
      <c r="J54" s="139" t="s">
        <v>879</v>
      </c>
      <c r="K54" s="138">
        <v>45.0</v>
      </c>
      <c r="L54" s="239" t="s">
        <v>561</v>
      </c>
      <c r="M54" s="138">
        <v>7.0</v>
      </c>
      <c r="N54" s="239" t="s">
        <v>377</v>
      </c>
      <c r="O54" s="3763">
        <v>7.0</v>
      </c>
      <c r="P54" s="3798" t="s">
        <v>877</v>
      </c>
      <c r="Q54" s="3762">
        <v>29.0</v>
      </c>
      <c r="R54" s="139" t="s">
        <v>875</v>
      </c>
      <c r="S54" s="3762">
        <v>35.0</v>
      </c>
      <c r="T54" s="139" t="s">
        <v>875</v>
      </c>
      <c r="U54" s="3762">
        <v>35.0</v>
      </c>
      <c r="V54" s="139" t="s">
        <v>879</v>
      </c>
      <c r="W54" s="138">
        <v>45.0</v>
      </c>
      <c r="X54" s="239" t="s">
        <v>561</v>
      </c>
      <c r="Y54" s="138">
        <v>7.0</v>
      </c>
      <c r="Z54" s="239" t="s">
        <v>377</v>
      </c>
      <c r="AA54" s="3763">
        <v>7.0</v>
      </c>
      <c r="AB54" s="3708">
        <f>Fighters!$S53</f>
        <v>52</v>
      </c>
      <c r="AC54" s="3708">
        <f>Fighters!$T53</f>
        <v>47</v>
      </c>
      <c r="AD54" s="3710" t="str">
        <f>Fighters!$V53</f>
        <v>wiifit</v>
      </c>
    </row>
    <row r="55">
      <c r="A55" s="3700">
        <f>Fighters!$A54</f>
        <v>48</v>
      </c>
      <c r="B55" s="3701" t="str">
        <f>Fighters!$B54</f>
        <v>ロゼッタ&amp;チコ</v>
      </c>
      <c r="C55" s="3797" t="s">
        <v>92</v>
      </c>
      <c r="D55" s="3798" t="s">
        <v>877</v>
      </c>
      <c r="E55" s="3762">
        <v>29.0</v>
      </c>
      <c r="F55" s="139" t="s">
        <v>878</v>
      </c>
      <c r="G55" s="3762">
        <v>35.0</v>
      </c>
      <c r="H55" s="139" t="s">
        <v>878</v>
      </c>
      <c r="I55" s="3762">
        <v>35.0</v>
      </c>
      <c r="J55" s="139" t="s">
        <v>1133</v>
      </c>
      <c r="K55" s="138">
        <v>45.0</v>
      </c>
      <c r="L55" s="239" t="s">
        <v>203</v>
      </c>
      <c r="M55" s="138">
        <v>7.0</v>
      </c>
      <c r="N55" s="239" t="s">
        <v>288</v>
      </c>
      <c r="O55" s="3763">
        <v>7.0</v>
      </c>
      <c r="P55" s="3798" t="s">
        <v>877</v>
      </c>
      <c r="Q55" s="3762">
        <v>29.0</v>
      </c>
      <c r="R55" s="139" t="s">
        <v>878</v>
      </c>
      <c r="S55" s="3762">
        <v>35.0</v>
      </c>
      <c r="T55" s="139" t="s">
        <v>879</v>
      </c>
      <c r="U55" s="3762">
        <v>35.0</v>
      </c>
      <c r="V55" s="139" t="s">
        <v>1133</v>
      </c>
      <c r="W55" s="138">
        <v>45.0</v>
      </c>
      <c r="X55" s="239" t="s">
        <v>203</v>
      </c>
      <c r="Y55" s="138">
        <v>7.0</v>
      </c>
      <c r="Z55" s="239" t="s">
        <v>288</v>
      </c>
      <c r="AA55" s="3763">
        <v>7.0</v>
      </c>
      <c r="AB55" s="3708">
        <f>Fighters!$S54</f>
        <v>53</v>
      </c>
      <c r="AC55" s="3708">
        <f>Fighters!$T54</f>
        <v>48</v>
      </c>
      <c r="AD55" s="3710" t="str">
        <f>Fighters!$V54</f>
        <v>rosetta</v>
      </c>
    </row>
    <row r="56">
      <c r="A56" s="3700">
        <f>Fighters!$A55</f>
        <v>49</v>
      </c>
      <c r="B56" s="3701" t="str">
        <f>Fighters!$B55</f>
        <v>リトル・マック</v>
      </c>
      <c r="C56" s="3797" t="s">
        <v>92</v>
      </c>
      <c r="D56" s="3798" t="s">
        <v>877</v>
      </c>
      <c r="E56" s="3762">
        <v>29.0</v>
      </c>
      <c r="F56" s="139" t="s">
        <v>1133</v>
      </c>
      <c r="G56" s="3762">
        <v>35.0</v>
      </c>
      <c r="H56" s="139" t="s">
        <v>878</v>
      </c>
      <c r="I56" s="3762">
        <v>35.0</v>
      </c>
      <c r="J56" s="139" t="s">
        <v>879</v>
      </c>
      <c r="K56" s="138">
        <v>45.0</v>
      </c>
      <c r="L56" s="239" t="s">
        <v>295</v>
      </c>
      <c r="M56" s="138">
        <v>7.0</v>
      </c>
      <c r="N56" s="239" t="s">
        <v>377</v>
      </c>
      <c r="O56" s="3763">
        <v>7.0</v>
      </c>
      <c r="P56" s="3798" t="s">
        <v>877</v>
      </c>
      <c r="Q56" s="3762">
        <v>29.0</v>
      </c>
      <c r="R56" s="139" t="s">
        <v>878</v>
      </c>
      <c r="S56" s="3762">
        <v>35.0</v>
      </c>
      <c r="T56" s="139" t="s">
        <v>872</v>
      </c>
      <c r="U56" s="3762">
        <v>35.0</v>
      </c>
      <c r="V56" s="139" t="s">
        <v>875</v>
      </c>
      <c r="W56" s="138">
        <v>45.0</v>
      </c>
      <c r="X56" s="239" t="s">
        <v>295</v>
      </c>
      <c r="Y56" s="138">
        <v>7.0</v>
      </c>
      <c r="Z56" s="239" t="s">
        <v>334</v>
      </c>
      <c r="AA56" s="3763">
        <v>7.0</v>
      </c>
      <c r="AB56" s="3708">
        <f>Fighters!$S55</f>
        <v>54</v>
      </c>
      <c r="AC56" s="3708">
        <f>Fighters!$T55</f>
        <v>49</v>
      </c>
      <c r="AD56" s="3710" t="str">
        <f>Fighters!$V55</f>
        <v>littlemac</v>
      </c>
    </row>
    <row r="57">
      <c r="A57" s="3700">
        <f>Fighters!$A56</f>
        <v>50</v>
      </c>
      <c r="B57" s="3701" t="str">
        <f>Fighters!$B56</f>
        <v>ゲッコウガ</v>
      </c>
      <c r="C57" s="3797" t="s">
        <v>92</v>
      </c>
      <c r="D57" s="3798" t="s">
        <v>877</v>
      </c>
      <c r="E57" s="3762">
        <v>29.0</v>
      </c>
      <c r="F57" s="139" t="s">
        <v>878</v>
      </c>
      <c r="G57" s="3762">
        <v>35.0</v>
      </c>
      <c r="H57" s="139" t="s">
        <v>878</v>
      </c>
      <c r="I57" s="3762">
        <v>35.0</v>
      </c>
      <c r="J57" s="139" t="s">
        <v>877</v>
      </c>
      <c r="K57" s="138">
        <v>45.0</v>
      </c>
      <c r="L57" s="239" t="s">
        <v>203</v>
      </c>
      <c r="M57" s="138">
        <v>7.0</v>
      </c>
      <c r="N57" s="239" t="s">
        <v>834</v>
      </c>
      <c r="O57" s="3763">
        <v>7.0</v>
      </c>
      <c r="P57" s="3798" t="s">
        <v>877</v>
      </c>
      <c r="Q57" s="3762">
        <v>29.0</v>
      </c>
      <c r="R57" s="139" t="s">
        <v>878</v>
      </c>
      <c r="S57" s="3762">
        <v>35.0</v>
      </c>
      <c r="T57" s="139" t="s">
        <v>878</v>
      </c>
      <c r="U57" s="3762">
        <v>35.0</v>
      </c>
      <c r="V57" s="139" t="s">
        <v>877</v>
      </c>
      <c r="W57" s="138">
        <v>45.0</v>
      </c>
      <c r="X57" s="239" t="s">
        <v>203</v>
      </c>
      <c r="Y57" s="138">
        <v>7.0</v>
      </c>
      <c r="Z57" s="239" t="s">
        <v>834</v>
      </c>
      <c r="AA57" s="3763">
        <v>7.0</v>
      </c>
      <c r="AB57" s="3708">
        <f>Fighters!$S56</f>
        <v>55</v>
      </c>
      <c r="AC57" s="3708">
        <f>Fighters!$T56</f>
        <v>50</v>
      </c>
      <c r="AD57" s="3710" t="str">
        <f>Fighters!$V56</f>
        <v>gekkouga</v>
      </c>
    </row>
    <row r="58">
      <c r="A58" s="3700">
        <f>Fighters!$A57</f>
        <v>51</v>
      </c>
      <c r="B58" s="3701" t="str">
        <f>Fighters!$B57</f>
        <v>格闘Mii</v>
      </c>
      <c r="C58" s="3797" t="s">
        <v>92</v>
      </c>
      <c r="D58" s="3798" t="s">
        <v>877</v>
      </c>
      <c r="E58" s="3762">
        <v>29.0</v>
      </c>
      <c r="F58" s="139" t="s">
        <v>874</v>
      </c>
      <c r="G58" s="3762">
        <v>35.0</v>
      </c>
      <c r="H58" s="139" t="s">
        <v>877</v>
      </c>
      <c r="I58" s="3762">
        <v>35.0</v>
      </c>
      <c r="J58" s="139" t="s">
        <v>874</v>
      </c>
      <c r="K58" s="138">
        <v>45.0</v>
      </c>
      <c r="L58" s="239" t="s">
        <v>454</v>
      </c>
      <c r="M58" s="138">
        <v>7.0</v>
      </c>
      <c r="N58" s="239" t="s">
        <v>351</v>
      </c>
      <c r="O58" s="3763">
        <v>7.0</v>
      </c>
      <c r="P58" s="3798" t="s">
        <v>877</v>
      </c>
      <c r="Q58" s="3762">
        <v>29.0</v>
      </c>
      <c r="R58" s="139" t="s">
        <v>878</v>
      </c>
      <c r="S58" s="3762">
        <v>35.0</v>
      </c>
      <c r="T58" s="139" t="s">
        <v>879</v>
      </c>
      <c r="U58" s="3762">
        <v>35.0</v>
      </c>
      <c r="V58" s="139" t="s">
        <v>874</v>
      </c>
      <c r="W58" s="138">
        <v>45.0</v>
      </c>
      <c r="X58" s="239" t="s">
        <v>454</v>
      </c>
      <c r="Y58" s="138">
        <v>7.0</v>
      </c>
      <c r="Z58" s="239" t="s">
        <v>351</v>
      </c>
      <c r="AA58" s="3763">
        <v>7.0</v>
      </c>
      <c r="AB58" s="3708">
        <f>Fighters!$S57</f>
        <v>56</v>
      </c>
      <c r="AC58" s="3708">
        <f>Fighters!$T57</f>
        <v>73</v>
      </c>
      <c r="AD58" s="3710" t="str">
        <f>Fighters!$V57</f>
        <v>miifighter</v>
      </c>
    </row>
    <row r="59">
      <c r="A59" s="3700">
        <f>Fighters!$A58</f>
        <v>52</v>
      </c>
      <c r="B59" s="3701" t="str">
        <f>Fighters!$B58</f>
        <v>剣術Mii</v>
      </c>
      <c r="C59" s="3797" t="s">
        <v>92</v>
      </c>
      <c r="D59" s="3798" t="s">
        <v>877</v>
      </c>
      <c r="E59" s="3762">
        <v>29.0</v>
      </c>
      <c r="F59" s="139" t="s">
        <v>879</v>
      </c>
      <c r="G59" s="3762">
        <v>35.0</v>
      </c>
      <c r="H59" s="139" t="s">
        <v>1634</v>
      </c>
      <c r="I59" s="3762">
        <v>35.0</v>
      </c>
      <c r="J59" s="139" t="s">
        <v>877</v>
      </c>
      <c r="K59" s="138">
        <v>45.0</v>
      </c>
      <c r="L59" s="239" t="s">
        <v>203</v>
      </c>
      <c r="M59" s="138">
        <v>7.0</v>
      </c>
      <c r="N59" s="239" t="s">
        <v>834</v>
      </c>
      <c r="O59" s="3763">
        <v>7.0</v>
      </c>
      <c r="P59" s="3798" t="s">
        <v>877</v>
      </c>
      <c r="Q59" s="3762">
        <v>29.0</v>
      </c>
      <c r="R59" s="139" t="s">
        <v>878</v>
      </c>
      <c r="S59" s="3762">
        <v>35.0</v>
      </c>
      <c r="T59" s="139" t="s">
        <v>872</v>
      </c>
      <c r="U59" s="3762">
        <v>35.0</v>
      </c>
      <c r="V59" s="139" t="s">
        <v>877</v>
      </c>
      <c r="W59" s="138">
        <v>45.0</v>
      </c>
      <c r="X59" s="239" t="s">
        <v>203</v>
      </c>
      <c r="Y59" s="138">
        <v>7.0</v>
      </c>
      <c r="Z59" s="239" t="s">
        <v>834</v>
      </c>
      <c r="AA59" s="3763">
        <v>7.0</v>
      </c>
      <c r="AB59" s="3708">
        <f>Fighters!$S58</f>
        <v>57</v>
      </c>
      <c r="AC59" s="3708">
        <f>Fighters!$T58</f>
        <v>74</v>
      </c>
      <c r="AD59" s="3710" t="str">
        <f>Fighters!$V58</f>
        <v>miiswordsman</v>
      </c>
    </row>
    <row r="60">
      <c r="A60" s="3700">
        <f>Fighters!$A59</f>
        <v>53</v>
      </c>
      <c r="B60" s="3701" t="str">
        <f>Fighters!$B59</f>
        <v>射撃Mii</v>
      </c>
      <c r="C60" s="3797" t="s">
        <v>92</v>
      </c>
      <c r="D60" s="3798" t="s">
        <v>877</v>
      </c>
      <c r="E60" s="3762">
        <v>29.0</v>
      </c>
      <c r="F60" s="139" t="s">
        <v>5235</v>
      </c>
      <c r="G60" s="3762">
        <v>35.0</v>
      </c>
      <c r="H60" s="139" t="s">
        <v>875</v>
      </c>
      <c r="I60" s="3762">
        <v>35.0</v>
      </c>
      <c r="J60" s="139" t="s">
        <v>877</v>
      </c>
      <c r="K60" s="138">
        <v>45.0</v>
      </c>
      <c r="L60" s="239" t="s">
        <v>295</v>
      </c>
      <c r="M60" s="138">
        <v>7.0</v>
      </c>
      <c r="N60" s="239" t="s">
        <v>834</v>
      </c>
      <c r="O60" s="3763">
        <v>7.0</v>
      </c>
      <c r="P60" s="3798" t="s">
        <v>877</v>
      </c>
      <c r="Q60" s="3762">
        <v>29.0</v>
      </c>
      <c r="R60" s="139" t="s">
        <v>878</v>
      </c>
      <c r="S60" s="3762">
        <v>35.0</v>
      </c>
      <c r="T60" s="139" t="s">
        <v>877</v>
      </c>
      <c r="U60" s="3762">
        <v>35.0</v>
      </c>
      <c r="V60" s="139" t="s">
        <v>1133</v>
      </c>
      <c r="W60" s="138">
        <v>45.0</v>
      </c>
      <c r="X60" s="239" t="s">
        <v>295</v>
      </c>
      <c r="Y60" s="138">
        <v>7.0</v>
      </c>
      <c r="Z60" s="239" t="s">
        <v>288</v>
      </c>
      <c r="AA60" s="3763">
        <v>7.0</v>
      </c>
      <c r="AB60" s="3708">
        <f>Fighters!$S59</f>
        <v>58</v>
      </c>
      <c r="AC60" s="3708">
        <f>Fighters!$T59</f>
        <v>75</v>
      </c>
      <c r="AD60" s="3710" t="str">
        <f>Fighters!$V59</f>
        <v>miigunner</v>
      </c>
    </row>
    <row r="61">
      <c r="A61" s="3700">
        <f>Fighters!$A60</f>
        <v>54</v>
      </c>
      <c r="B61" s="3701" t="str">
        <f>Fighters!$B60</f>
        <v>パルテナ</v>
      </c>
      <c r="C61" s="3797" t="s">
        <v>92</v>
      </c>
      <c r="D61" s="3798" t="s">
        <v>877</v>
      </c>
      <c r="E61" s="3762">
        <v>29.0</v>
      </c>
      <c r="F61" s="139" t="s">
        <v>877</v>
      </c>
      <c r="G61" s="3762">
        <v>35.0</v>
      </c>
      <c r="H61" s="139" t="s">
        <v>877</v>
      </c>
      <c r="I61" s="3762">
        <v>35.0</v>
      </c>
      <c r="J61" s="139" t="s">
        <v>2699</v>
      </c>
      <c r="K61" s="138">
        <v>45.0</v>
      </c>
      <c r="L61" s="239" t="s">
        <v>454</v>
      </c>
      <c r="M61" s="138">
        <v>7.0</v>
      </c>
      <c r="N61" s="239" t="s">
        <v>610</v>
      </c>
      <c r="O61" s="3763">
        <v>7.0</v>
      </c>
      <c r="P61" s="3798" t="s">
        <v>877</v>
      </c>
      <c r="Q61" s="3762">
        <v>29.0</v>
      </c>
      <c r="R61" s="139" t="s">
        <v>877</v>
      </c>
      <c r="S61" s="3762">
        <v>35.0</v>
      </c>
      <c r="T61" s="139" t="s">
        <v>877</v>
      </c>
      <c r="U61" s="3762">
        <v>35.0</v>
      </c>
      <c r="V61" s="139" t="s">
        <v>872</v>
      </c>
      <c r="W61" s="138">
        <v>45.0</v>
      </c>
      <c r="X61" s="239" t="s">
        <v>295</v>
      </c>
      <c r="Y61" s="138">
        <v>7.0</v>
      </c>
      <c r="Z61" s="239" t="s">
        <v>443</v>
      </c>
      <c r="AA61" s="3763">
        <v>7.0</v>
      </c>
      <c r="AB61" s="3708">
        <f>Fighters!$S60</f>
        <v>59</v>
      </c>
      <c r="AC61" s="3708">
        <f>Fighters!$T60</f>
        <v>51</v>
      </c>
      <c r="AD61" s="3710" t="str">
        <f>Fighters!$V60</f>
        <v>palutena</v>
      </c>
    </row>
    <row r="62">
      <c r="A62" s="3700">
        <f>Fighters!$A61</f>
        <v>55</v>
      </c>
      <c r="B62" s="3701" t="str">
        <f>Fighters!$B61</f>
        <v>パックマン</v>
      </c>
      <c r="C62" s="3797" t="s">
        <v>92</v>
      </c>
      <c r="D62" s="3798" t="s">
        <v>877</v>
      </c>
      <c r="E62" s="3762">
        <v>29.0</v>
      </c>
      <c r="F62" s="139" t="s">
        <v>874</v>
      </c>
      <c r="G62" s="3762">
        <v>35.0</v>
      </c>
      <c r="H62" s="139" t="s">
        <v>877</v>
      </c>
      <c r="I62" s="3762">
        <v>35.0</v>
      </c>
      <c r="J62" s="139" t="s">
        <v>872</v>
      </c>
      <c r="K62" s="138">
        <v>45.0</v>
      </c>
      <c r="L62" s="239" t="s">
        <v>653</v>
      </c>
      <c r="M62" s="138">
        <v>7.0</v>
      </c>
      <c r="N62" s="239" t="s">
        <v>443</v>
      </c>
      <c r="O62" s="3763">
        <v>7.0</v>
      </c>
      <c r="P62" s="3798" t="s">
        <v>877</v>
      </c>
      <c r="Q62" s="3762">
        <v>29.0</v>
      </c>
      <c r="R62" s="139" t="s">
        <v>878</v>
      </c>
      <c r="S62" s="3762">
        <v>35.0</v>
      </c>
      <c r="T62" s="139" t="s">
        <v>879</v>
      </c>
      <c r="U62" s="3762">
        <v>35.0</v>
      </c>
      <c r="V62" s="139" t="s">
        <v>1133</v>
      </c>
      <c r="W62" s="138">
        <v>45.0</v>
      </c>
      <c r="X62" s="239" t="s">
        <v>295</v>
      </c>
      <c r="Y62" s="138">
        <v>7.0</v>
      </c>
      <c r="Z62" s="239" t="s">
        <v>288</v>
      </c>
      <c r="AA62" s="3763">
        <v>7.0</v>
      </c>
      <c r="AB62" s="3708">
        <f>Fighters!$S61</f>
        <v>60</v>
      </c>
      <c r="AC62" s="3708">
        <f>Fighters!$T61</f>
        <v>52</v>
      </c>
      <c r="AD62" s="3710" t="str">
        <f>Fighters!$V61</f>
        <v>pacman</v>
      </c>
    </row>
    <row r="63">
      <c r="A63" s="3700">
        <f>Fighters!$A62</f>
        <v>56</v>
      </c>
      <c r="B63" s="3701" t="str">
        <f>Fighters!$B62</f>
        <v>ルフレ</v>
      </c>
      <c r="C63" s="3797" t="s">
        <v>92</v>
      </c>
      <c r="D63" s="3798" t="s">
        <v>877</v>
      </c>
      <c r="E63" s="3762">
        <v>29.0</v>
      </c>
      <c r="F63" s="139" t="s">
        <v>878</v>
      </c>
      <c r="G63" s="3762">
        <v>35.0</v>
      </c>
      <c r="H63" s="139" t="s">
        <v>878</v>
      </c>
      <c r="I63" s="3762">
        <v>35.0</v>
      </c>
      <c r="J63" s="139" t="s">
        <v>872</v>
      </c>
      <c r="K63" s="138">
        <v>45.0</v>
      </c>
      <c r="L63" s="239" t="s">
        <v>295</v>
      </c>
      <c r="M63" s="138">
        <v>7.0</v>
      </c>
      <c r="N63" s="239" t="s">
        <v>443</v>
      </c>
      <c r="O63" s="3763">
        <v>7.0</v>
      </c>
      <c r="P63" s="3798" t="s">
        <v>877</v>
      </c>
      <c r="Q63" s="3762">
        <v>29.0</v>
      </c>
      <c r="R63" s="139" t="s">
        <v>878</v>
      </c>
      <c r="S63" s="3762">
        <v>35.0</v>
      </c>
      <c r="T63" s="139" t="s">
        <v>878</v>
      </c>
      <c r="U63" s="3762">
        <v>35.0</v>
      </c>
      <c r="V63" s="139" t="s">
        <v>872</v>
      </c>
      <c r="W63" s="138">
        <v>45.0</v>
      </c>
      <c r="X63" s="239" t="s">
        <v>295</v>
      </c>
      <c r="Y63" s="138">
        <v>7.0</v>
      </c>
      <c r="Z63" s="239" t="s">
        <v>443</v>
      </c>
      <c r="AA63" s="3763">
        <v>7.0</v>
      </c>
      <c r="AB63" s="3708">
        <f>Fighters!$S62</f>
        <v>61</v>
      </c>
      <c r="AC63" s="3708">
        <f>Fighters!$T62</f>
        <v>53</v>
      </c>
      <c r="AD63" s="3710" t="str">
        <f>Fighters!$V62</f>
        <v>reflet</v>
      </c>
    </row>
    <row r="64">
      <c r="A64" s="3700">
        <f>Fighters!$A63</f>
        <v>57</v>
      </c>
      <c r="B64" s="3701" t="str">
        <f>Fighters!$B63</f>
        <v>シュルク</v>
      </c>
      <c r="C64" s="3797" t="s">
        <v>92</v>
      </c>
      <c r="D64" s="3798" t="s">
        <v>877</v>
      </c>
      <c r="E64" s="3762">
        <v>29.0</v>
      </c>
      <c r="F64" s="139" t="s">
        <v>874</v>
      </c>
      <c r="G64" s="3762">
        <v>35.0</v>
      </c>
      <c r="H64" s="139" t="s">
        <v>877</v>
      </c>
      <c r="I64" s="3762">
        <v>35.0</v>
      </c>
      <c r="J64" s="139" t="s">
        <v>877</v>
      </c>
      <c r="K64" s="138">
        <v>45.0</v>
      </c>
      <c r="L64" s="239" t="s">
        <v>203</v>
      </c>
      <c r="M64" s="138">
        <v>7.0</v>
      </c>
      <c r="N64" s="239" t="s">
        <v>834</v>
      </c>
      <c r="O64" s="3763">
        <v>7.0</v>
      </c>
      <c r="P64" s="3798" t="s">
        <v>877</v>
      </c>
      <c r="Q64" s="3762">
        <v>29.0</v>
      </c>
      <c r="R64" s="139" t="s">
        <v>878</v>
      </c>
      <c r="S64" s="3762">
        <v>35.0</v>
      </c>
      <c r="T64" s="139" t="s">
        <v>879</v>
      </c>
      <c r="U64" s="3762">
        <v>35.0</v>
      </c>
      <c r="V64" s="139" t="s">
        <v>877</v>
      </c>
      <c r="W64" s="138">
        <v>45.0</v>
      </c>
      <c r="X64" s="239" t="s">
        <v>203</v>
      </c>
      <c r="Y64" s="138">
        <v>7.0</v>
      </c>
      <c r="Z64" s="239" t="s">
        <v>834</v>
      </c>
      <c r="AA64" s="3763">
        <v>7.0</v>
      </c>
      <c r="AB64" s="3708">
        <f>Fighters!$S63</f>
        <v>62</v>
      </c>
      <c r="AC64" s="3708">
        <f>Fighters!$T63</f>
        <v>54</v>
      </c>
      <c r="AD64" s="3710" t="str">
        <f>Fighters!$V63</f>
        <v>shulk</v>
      </c>
    </row>
    <row r="65">
      <c r="A65" s="3700">
        <f>Fighters!$A64</f>
        <v>58</v>
      </c>
      <c r="B65" s="3701" t="str">
        <f>Fighters!$B64</f>
        <v>クッパ Jr.</v>
      </c>
      <c r="C65" s="3797" t="s">
        <v>92</v>
      </c>
      <c r="D65" s="3798" t="s">
        <v>877</v>
      </c>
      <c r="E65" s="3762">
        <v>29.0</v>
      </c>
      <c r="F65" s="139" t="s">
        <v>874</v>
      </c>
      <c r="G65" s="3762">
        <v>35.0</v>
      </c>
      <c r="H65" s="139" t="s">
        <v>877</v>
      </c>
      <c r="I65" s="3762">
        <v>35.0</v>
      </c>
      <c r="J65" s="139" t="s">
        <v>1133</v>
      </c>
      <c r="K65" s="138">
        <v>45.0</v>
      </c>
      <c r="L65" s="239" t="s">
        <v>288</v>
      </c>
      <c r="M65" s="1360">
        <v>6.0</v>
      </c>
      <c r="N65" s="365" t="s">
        <v>76</v>
      </c>
      <c r="O65" s="3788" t="s">
        <v>76</v>
      </c>
      <c r="P65" s="3798" t="s">
        <v>877</v>
      </c>
      <c r="Q65" s="3762">
        <v>29.0</v>
      </c>
      <c r="R65" s="139" t="s">
        <v>878</v>
      </c>
      <c r="S65" s="3762">
        <v>35.0</v>
      </c>
      <c r="T65" s="139" t="s">
        <v>879</v>
      </c>
      <c r="U65" s="3762">
        <v>35.0</v>
      </c>
      <c r="V65" s="139" t="s">
        <v>2699</v>
      </c>
      <c r="W65" s="138">
        <v>45.0</v>
      </c>
      <c r="X65" s="239" t="s">
        <v>653</v>
      </c>
      <c r="Y65" s="138">
        <v>7.0</v>
      </c>
      <c r="Z65" s="239" t="s">
        <v>610</v>
      </c>
      <c r="AA65" s="3763">
        <v>7.0</v>
      </c>
      <c r="AB65" s="3708">
        <f>Fighters!$S64</f>
        <v>63</v>
      </c>
      <c r="AC65" s="3708">
        <f>Fighters!$T64</f>
        <v>55</v>
      </c>
      <c r="AD65" s="3710" t="str">
        <f>Fighters!$V64</f>
        <v>koopajr</v>
      </c>
    </row>
    <row r="66">
      <c r="A66" s="3700">
        <f>Fighters!$A65</f>
        <v>59</v>
      </c>
      <c r="B66" s="3701" t="str">
        <f>Fighters!$B65</f>
        <v>ダックハント</v>
      </c>
      <c r="C66" s="3797" t="s">
        <v>92</v>
      </c>
      <c r="D66" s="3798" t="s">
        <v>877</v>
      </c>
      <c r="E66" s="3762">
        <v>29.0</v>
      </c>
      <c r="F66" s="139" t="s">
        <v>874</v>
      </c>
      <c r="G66" s="3762">
        <v>35.0</v>
      </c>
      <c r="H66" s="139" t="s">
        <v>877</v>
      </c>
      <c r="I66" s="3762">
        <v>35.0</v>
      </c>
      <c r="J66" s="139" t="s">
        <v>1133</v>
      </c>
      <c r="K66" s="138">
        <v>45.0</v>
      </c>
      <c r="L66" s="239" t="s">
        <v>454</v>
      </c>
      <c r="M66" s="138">
        <v>7.0</v>
      </c>
      <c r="N66" s="239" t="s">
        <v>288</v>
      </c>
      <c r="O66" s="3763">
        <v>7.0</v>
      </c>
      <c r="P66" s="3798" t="s">
        <v>877</v>
      </c>
      <c r="Q66" s="3762">
        <v>29.0</v>
      </c>
      <c r="R66" s="139" t="s">
        <v>878</v>
      </c>
      <c r="S66" s="3762">
        <v>35.0</v>
      </c>
      <c r="T66" s="139" t="s">
        <v>879</v>
      </c>
      <c r="U66" s="3762">
        <v>35.0</v>
      </c>
      <c r="V66" s="139" t="s">
        <v>1133</v>
      </c>
      <c r="W66" s="138">
        <v>45.0</v>
      </c>
      <c r="X66" s="239" t="s">
        <v>454</v>
      </c>
      <c r="Y66" s="138">
        <v>7.0</v>
      </c>
      <c r="Z66" s="239" t="s">
        <v>288</v>
      </c>
      <c r="AA66" s="3763">
        <v>7.0</v>
      </c>
      <c r="AB66" s="3708">
        <f>Fighters!$S65</f>
        <v>64</v>
      </c>
      <c r="AC66" s="3708">
        <f>Fighters!$T65</f>
        <v>56</v>
      </c>
      <c r="AD66" s="3710" t="str">
        <f>Fighters!$V65</f>
        <v>duckhunt</v>
      </c>
    </row>
    <row r="67">
      <c r="A67" s="3700">
        <f>Fighters!$A66</f>
        <v>60</v>
      </c>
      <c r="B67" s="3701" t="str">
        <f>Fighters!$B66</f>
        <v>リュウ</v>
      </c>
      <c r="C67" s="3797" t="s">
        <v>92</v>
      </c>
      <c r="D67" s="3798" t="s">
        <v>877</v>
      </c>
      <c r="E67" s="3762">
        <v>29.0</v>
      </c>
      <c r="F67" s="139" t="s">
        <v>1133</v>
      </c>
      <c r="G67" s="3762">
        <v>35.0</v>
      </c>
      <c r="H67" s="139" t="s">
        <v>878</v>
      </c>
      <c r="I67" s="3762">
        <v>35.0</v>
      </c>
      <c r="J67" s="139" t="s">
        <v>875</v>
      </c>
      <c r="K67" s="138">
        <v>45.0</v>
      </c>
      <c r="L67" s="239" t="s">
        <v>295</v>
      </c>
      <c r="M67" s="138">
        <v>7.0</v>
      </c>
      <c r="N67" s="239" t="s">
        <v>334</v>
      </c>
      <c r="O67" s="3763">
        <v>7.0</v>
      </c>
      <c r="P67" s="3798" t="s">
        <v>877</v>
      </c>
      <c r="Q67" s="3762">
        <v>29.0</v>
      </c>
      <c r="R67" s="139" t="s">
        <v>878</v>
      </c>
      <c r="S67" s="3762">
        <v>35.0</v>
      </c>
      <c r="T67" s="139" t="s">
        <v>872</v>
      </c>
      <c r="U67" s="3762">
        <v>35.0</v>
      </c>
      <c r="V67" s="139" t="s">
        <v>875</v>
      </c>
      <c r="W67" s="138">
        <v>45.0</v>
      </c>
      <c r="X67" s="239" t="s">
        <v>295</v>
      </c>
      <c r="Y67" s="138">
        <v>7.0</v>
      </c>
      <c r="Z67" s="239" t="s">
        <v>334</v>
      </c>
      <c r="AA67" s="3763">
        <v>7.0</v>
      </c>
      <c r="AB67" s="3708">
        <f>Fighters!$S66</f>
        <v>65</v>
      </c>
      <c r="AC67" s="3708">
        <f>Fighters!$T66</f>
        <v>57</v>
      </c>
      <c r="AD67" s="3710" t="str">
        <f>Fighters!$V66</f>
        <v>ryu</v>
      </c>
    </row>
    <row r="68">
      <c r="A68" s="3700" t="str">
        <f>Fighters!$A67</f>
        <v>60'</v>
      </c>
      <c r="B68" s="3701" t="str">
        <f>Fighters!$B67</f>
        <v>ケン</v>
      </c>
      <c r="C68" s="3797" t="s">
        <v>92</v>
      </c>
      <c r="D68" s="3798" t="s">
        <v>877</v>
      </c>
      <c r="E68" s="3762">
        <v>29.0</v>
      </c>
      <c r="F68" s="139" t="s">
        <v>1133</v>
      </c>
      <c r="G68" s="3762">
        <v>35.0</v>
      </c>
      <c r="H68" s="139" t="s">
        <v>878</v>
      </c>
      <c r="I68" s="3762">
        <v>35.0</v>
      </c>
      <c r="J68" s="139" t="s">
        <v>875</v>
      </c>
      <c r="K68" s="138">
        <v>45.0</v>
      </c>
      <c r="L68" s="239" t="s">
        <v>295</v>
      </c>
      <c r="M68" s="138">
        <v>7.0</v>
      </c>
      <c r="N68" s="239" t="s">
        <v>334</v>
      </c>
      <c r="O68" s="3763">
        <v>7.0</v>
      </c>
      <c r="P68" s="3798" t="s">
        <v>877</v>
      </c>
      <c r="Q68" s="3762">
        <v>29.0</v>
      </c>
      <c r="R68" s="139" t="s">
        <v>878</v>
      </c>
      <c r="S68" s="3762">
        <v>35.0</v>
      </c>
      <c r="T68" s="139" t="s">
        <v>872</v>
      </c>
      <c r="U68" s="3762">
        <v>35.0</v>
      </c>
      <c r="V68" s="139" t="s">
        <v>875</v>
      </c>
      <c r="W68" s="138">
        <v>45.0</v>
      </c>
      <c r="X68" s="239" t="s">
        <v>295</v>
      </c>
      <c r="Y68" s="138">
        <v>7.0</v>
      </c>
      <c r="Z68" s="239" t="s">
        <v>334</v>
      </c>
      <c r="AA68" s="3763">
        <v>7.0</v>
      </c>
      <c r="AB68" s="3708">
        <f>Fighters!$S67</f>
        <v>66</v>
      </c>
      <c r="AC68" s="3708">
        <f>Fighters!$T67</f>
        <v>77</v>
      </c>
      <c r="AD68" s="3710" t="str">
        <f>Fighters!$V67</f>
        <v>ken</v>
      </c>
    </row>
    <row r="69">
      <c r="A69" s="3700">
        <f>Fighters!$A68</f>
        <v>61</v>
      </c>
      <c r="B69" s="3701" t="str">
        <f>Fighters!$B68</f>
        <v>クラウド</v>
      </c>
      <c r="C69" s="3797" t="s">
        <v>92</v>
      </c>
      <c r="D69" s="3798" t="s">
        <v>877</v>
      </c>
      <c r="E69" s="3762">
        <v>29.0</v>
      </c>
      <c r="F69" s="139" t="s">
        <v>877</v>
      </c>
      <c r="G69" s="3762">
        <v>35.0</v>
      </c>
      <c r="H69" s="139" t="s">
        <v>877</v>
      </c>
      <c r="I69" s="3762">
        <v>35.0</v>
      </c>
      <c r="J69" s="139" t="s">
        <v>872</v>
      </c>
      <c r="K69" s="138">
        <v>45.0</v>
      </c>
      <c r="L69" s="239" t="s">
        <v>351</v>
      </c>
      <c r="M69" s="138">
        <v>7.0</v>
      </c>
      <c r="N69" s="239" t="s">
        <v>443</v>
      </c>
      <c r="O69" s="3763">
        <v>7.0</v>
      </c>
      <c r="P69" s="3798" t="s">
        <v>877</v>
      </c>
      <c r="Q69" s="3762">
        <v>29.0</v>
      </c>
      <c r="R69" s="139" t="s">
        <v>877</v>
      </c>
      <c r="S69" s="3762">
        <v>35.0</v>
      </c>
      <c r="T69" s="139" t="s">
        <v>877</v>
      </c>
      <c r="U69" s="3762">
        <v>35.0</v>
      </c>
      <c r="V69" s="139" t="s">
        <v>872</v>
      </c>
      <c r="W69" s="138">
        <v>45.0</v>
      </c>
      <c r="X69" s="239" t="s">
        <v>351</v>
      </c>
      <c r="Y69" s="138">
        <v>7.0</v>
      </c>
      <c r="Z69" s="239" t="s">
        <v>443</v>
      </c>
      <c r="AA69" s="3763">
        <v>7.0</v>
      </c>
      <c r="AB69" s="3708">
        <f>Fighters!$S68</f>
        <v>67</v>
      </c>
      <c r="AC69" s="3708">
        <f>Fighters!$T68</f>
        <v>58</v>
      </c>
      <c r="AD69" s="3710" t="str">
        <f>Fighters!$V68</f>
        <v>cloud</v>
      </c>
    </row>
    <row r="70">
      <c r="A70" s="3700">
        <f>Fighters!$A69</f>
        <v>62</v>
      </c>
      <c r="B70" s="3701" t="str">
        <f>Fighters!$B69</f>
        <v>カムイ</v>
      </c>
      <c r="C70" s="3797" t="s">
        <v>92</v>
      </c>
      <c r="D70" s="3798" t="s">
        <v>877</v>
      </c>
      <c r="E70" s="3762">
        <v>29.0</v>
      </c>
      <c r="F70" s="139" t="s">
        <v>877</v>
      </c>
      <c r="G70" s="3762">
        <v>35.0</v>
      </c>
      <c r="H70" s="139" t="s">
        <v>877</v>
      </c>
      <c r="I70" s="3762">
        <v>35.0</v>
      </c>
      <c r="J70" s="139" t="s">
        <v>875</v>
      </c>
      <c r="K70" s="138">
        <v>45.0</v>
      </c>
      <c r="L70" s="239" t="s">
        <v>295</v>
      </c>
      <c r="M70" s="138">
        <v>7.0</v>
      </c>
      <c r="N70" s="239" t="s">
        <v>334</v>
      </c>
      <c r="O70" s="3763">
        <v>7.0</v>
      </c>
      <c r="P70" s="3798" t="s">
        <v>877</v>
      </c>
      <c r="Q70" s="3762">
        <v>29.0</v>
      </c>
      <c r="R70" s="139" t="s">
        <v>877</v>
      </c>
      <c r="S70" s="3762">
        <v>35.0</v>
      </c>
      <c r="T70" s="139" t="s">
        <v>877</v>
      </c>
      <c r="U70" s="3762">
        <v>35.0</v>
      </c>
      <c r="V70" s="139" t="s">
        <v>875</v>
      </c>
      <c r="W70" s="138">
        <v>45.0</v>
      </c>
      <c r="X70" s="239" t="s">
        <v>295</v>
      </c>
      <c r="Y70" s="138">
        <v>7.0</v>
      </c>
      <c r="Z70" s="239" t="s">
        <v>334</v>
      </c>
      <c r="AA70" s="3763">
        <v>7.0</v>
      </c>
      <c r="AB70" s="3708">
        <f>Fighters!$S69</f>
        <v>68</v>
      </c>
      <c r="AC70" s="3708">
        <f>Fighters!$T69</f>
        <v>59</v>
      </c>
      <c r="AD70" s="3710" t="str">
        <f>Fighters!$V69</f>
        <v>kamui</v>
      </c>
    </row>
    <row r="71">
      <c r="A71" s="3700">
        <f>Fighters!$A70</f>
        <v>63</v>
      </c>
      <c r="B71" s="3701" t="str">
        <f>Fighters!$B70</f>
        <v>ベヨネッタ</v>
      </c>
      <c r="C71" s="3797" t="s">
        <v>92</v>
      </c>
      <c r="D71" s="3798" t="s">
        <v>877</v>
      </c>
      <c r="E71" s="3762">
        <v>29.0</v>
      </c>
      <c r="F71" s="139" t="s">
        <v>877</v>
      </c>
      <c r="G71" s="3762">
        <v>35.0</v>
      </c>
      <c r="H71" s="139" t="s">
        <v>877</v>
      </c>
      <c r="I71" s="3762">
        <v>35.0</v>
      </c>
      <c r="J71" s="139" t="s">
        <v>872</v>
      </c>
      <c r="K71" s="138">
        <v>45.0</v>
      </c>
      <c r="L71" s="239" t="s">
        <v>454</v>
      </c>
      <c r="M71" s="138">
        <v>7.0</v>
      </c>
      <c r="N71" s="239" t="s">
        <v>443</v>
      </c>
      <c r="O71" s="3763">
        <v>7.0</v>
      </c>
      <c r="P71" s="3798" t="s">
        <v>877</v>
      </c>
      <c r="Q71" s="3762">
        <v>29.0</v>
      </c>
      <c r="R71" s="139" t="s">
        <v>877</v>
      </c>
      <c r="S71" s="3762">
        <v>35.0</v>
      </c>
      <c r="T71" s="139" t="s">
        <v>877</v>
      </c>
      <c r="U71" s="3762">
        <v>35.0</v>
      </c>
      <c r="V71" s="139" t="s">
        <v>872</v>
      </c>
      <c r="W71" s="138">
        <v>45.0</v>
      </c>
      <c r="X71" s="239" t="s">
        <v>454</v>
      </c>
      <c r="Y71" s="138">
        <v>7.0</v>
      </c>
      <c r="Z71" s="239" t="s">
        <v>443</v>
      </c>
      <c r="AA71" s="3763">
        <v>7.0</v>
      </c>
      <c r="AB71" s="3708">
        <f>Fighters!$S70</f>
        <v>69</v>
      </c>
      <c r="AC71" s="3708">
        <f>Fighters!$T70</f>
        <v>60</v>
      </c>
      <c r="AD71" s="3710" t="str">
        <f>Fighters!$V70</f>
        <v>bayonetta</v>
      </c>
    </row>
    <row r="72">
      <c r="A72" s="3700">
        <f>Fighters!$A71</f>
        <v>64</v>
      </c>
      <c r="B72" s="3701" t="str">
        <f>Fighters!$B71</f>
        <v>インクリング</v>
      </c>
      <c r="C72" s="3797" t="s">
        <v>92</v>
      </c>
      <c r="D72" s="3798" t="s">
        <v>877</v>
      </c>
      <c r="E72" s="3762">
        <v>29.0</v>
      </c>
      <c r="F72" s="139" t="s">
        <v>874</v>
      </c>
      <c r="G72" s="3762">
        <v>35.0</v>
      </c>
      <c r="H72" s="139" t="s">
        <v>877</v>
      </c>
      <c r="I72" s="3762">
        <v>35.0</v>
      </c>
      <c r="J72" s="139" t="s">
        <v>2699</v>
      </c>
      <c r="K72" s="138">
        <v>45.0</v>
      </c>
      <c r="L72" s="239" t="s">
        <v>561</v>
      </c>
      <c r="M72" s="138">
        <v>7.0</v>
      </c>
      <c r="N72" s="239" t="s">
        <v>610</v>
      </c>
      <c r="O72" s="3763">
        <v>7.0</v>
      </c>
      <c r="P72" s="3798" t="s">
        <v>877</v>
      </c>
      <c r="Q72" s="3762">
        <v>29.0</v>
      </c>
      <c r="R72" s="139" t="s">
        <v>878</v>
      </c>
      <c r="S72" s="3762">
        <v>35.0</v>
      </c>
      <c r="T72" s="139" t="s">
        <v>879</v>
      </c>
      <c r="U72" s="3762">
        <v>35.0</v>
      </c>
      <c r="V72" s="139" t="s">
        <v>2699</v>
      </c>
      <c r="W72" s="138">
        <v>45.0</v>
      </c>
      <c r="X72" s="239" t="s">
        <v>561</v>
      </c>
      <c r="Y72" s="138">
        <v>7.0</v>
      </c>
      <c r="Z72" s="239" t="s">
        <v>610</v>
      </c>
      <c r="AA72" s="3763">
        <v>7.0</v>
      </c>
      <c r="AB72" s="3708">
        <f>Fighters!$S71</f>
        <v>70</v>
      </c>
      <c r="AC72" s="3708">
        <f>Fighters!$T71</f>
        <v>61</v>
      </c>
      <c r="AD72" s="3710" t="str">
        <f>Fighters!$V71</f>
        <v>inkling</v>
      </c>
    </row>
    <row r="73">
      <c r="A73" s="3700">
        <f>Fighters!$A72</f>
        <v>65</v>
      </c>
      <c r="B73" s="3701" t="str">
        <f>Fighters!$B72</f>
        <v>リドリー</v>
      </c>
      <c r="C73" s="3797" t="s">
        <v>92</v>
      </c>
      <c r="D73" s="3798" t="s">
        <v>877</v>
      </c>
      <c r="E73" s="3762">
        <v>29.0</v>
      </c>
      <c r="F73" s="139" t="s">
        <v>874</v>
      </c>
      <c r="G73" s="3762">
        <v>35.0</v>
      </c>
      <c r="H73" s="139" t="s">
        <v>877</v>
      </c>
      <c r="I73" s="3762">
        <v>35.0</v>
      </c>
      <c r="J73" s="139" t="s">
        <v>872</v>
      </c>
      <c r="K73" s="138">
        <v>45.0</v>
      </c>
      <c r="L73" s="239" t="s">
        <v>334</v>
      </c>
      <c r="M73" s="138">
        <v>7.0</v>
      </c>
      <c r="N73" s="239" t="s">
        <v>443</v>
      </c>
      <c r="O73" s="3763">
        <v>7.0</v>
      </c>
      <c r="P73" s="3798" t="s">
        <v>877</v>
      </c>
      <c r="Q73" s="3762">
        <v>29.0</v>
      </c>
      <c r="R73" s="139" t="s">
        <v>878</v>
      </c>
      <c r="S73" s="3762">
        <v>35.0</v>
      </c>
      <c r="T73" s="139" t="s">
        <v>879</v>
      </c>
      <c r="U73" s="3762">
        <v>35.0</v>
      </c>
      <c r="V73" s="139" t="s">
        <v>872</v>
      </c>
      <c r="W73" s="138">
        <v>45.0</v>
      </c>
      <c r="X73" s="239" t="s">
        <v>334</v>
      </c>
      <c r="Y73" s="138">
        <v>7.0</v>
      </c>
      <c r="Z73" s="239" t="s">
        <v>443</v>
      </c>
      <c r="AA73" s="3763">
        <v>7.0</v>
      </c>
      <c r="AB73" s="3708">
        <f>Fighters!$S72</f>
        <v>71</v>
      </c>
      <c r="AC73" s="3708">
        <f>Fighters!$T72</f>
        <v>62</v>
      </c>
      <c r="AD73" s="3710" t="str">
        <f>Fighters!$V72</f>
        <v>ridley</v>
      </c>
    </row>
    <row r="74">
      <c r="A74" s="3700">
        <f>Fighters!$A73</f>
        <v>66</v>
      </c>
      <c r="B74" s="3701" t="str">
        <f>Fighters!$B73</f>
        <v>シモン</v>
      </c>
      <c r="C74" s="3797" t="s">
        <v>92</v>
      </c>
      <c r="D74" s="3798" t="s">
        <v>877</v>
      </c>
      <c r="E74" s="3762">
        <v>29.0</v>
      </c>
      <c r="F74" s="139" t="s">
        <v>874</v>
      </c>
      <c r="G74" s="3762">
        <v>35.0</v>
      </c>
      <c r="H74" s="139" t="s">
        <v>877</v>
      </c>
      <c r="I74" s="3762">
        <v>35.0</v>
      </c>
      <c r="J74" s="139" t="s">
        <v>2279</v>
      </c>
      <c r="K74" s="138">
        <v>45.0</v>
      </c>
      <c r="L74" s="239" t="s">
        <v>334</v>
      </c>
      <c r="M74" s="138">
        <v>7.0</v>
      </c>
      <c r="N74" s="239" t="s">
        <v>522</v>
      </c>
      <c r="O74" s="3763">
        <v>7.0</v>
      </c>
      <c r="P74" s="3798" t="s">
        <v>877</v>
      </c>
      <c r="Q74" s="3762">
        <v>29.0</v>
      </c>
      <c r="R74" s="139" t="s">
        <v>878</v>
      </c>
      <c r="S74" s="3762">
        <v>35.0</v>
      </c>
      <c r="T74" s="139" t="s">
        <v>879</v>
      </c>
      <c r="U74" s="3762">
        <v>35.0</v>
      </c>
      <c r="V74" s="139" t="s">
        <v>2279</v>
      </c>
      <c r="W74" s="138">
        <v>45.0</v>
      </c>
      <c r="X74" s="239" t="s">
        <v>334</v>
      </c>
      <c r="Y74" s="138">
        <v>7.0</v>
      </c>
      <c r="Z74" s="239" t="s">
        <v>522</v>
      </c>
      <c r="AA74" s="3763">
        <v>7.0</v>
      </c>
      <c r="AB74" s="3708">
        <f>Fighters!$S73</f>
        <v>72</v>
      </c>
      <c r="AC74" s="3708">
        <f>Fighters!$T73</f>
        <v>63</v>
      </c>
      <c r="AD74" s="3710" t="str">
        <f>Fighters!$V73</f>
        <v>simon</v>
      </c>
    </row>
    <row r="75">
      <c r="A75" s="3700" t="str">
        <f>Fighters!$A74</f>
        <v>66'</v>
      </c>
      <c r="B75" s="3701" t="str">
        <f>Fighters!$B74</f>
        <v>リヒター</v>
      </c>
      <c r="C75" s="3797" t="s">
        <v>92</v>
      </c>
      <c r="D75" s="3798" t="s">
        <v>877</v>
      </c>
      <c r="E75" s="3762">
        <v>29.0</v>
      </c>
      <c r="F75" s="139" t="s">
        <v>874</v>
      </c>
      <c r="G75" s="3762">
        <v>35.0</v>
      </c>
      <c r="H75" s="139" t="s">
        <v>877</v>
      </c>
      <c r="I75" s="3762">
        <v>35.0</v>
      </c>
      <c r="J75" s="139" t="s">
        <v>2279</v>
      </c>
      <c r="K75" s="138">
        <v>45.0</v>
      </c>
      <c r="L75" s="239" t="s">
        <v>334</v>
      </c>
      <c r="M75" s="138">
        <v>7.0</v>
      </c>
      <c r="N75" s="239" t="s">
        <v>522</v>
      </c>
      <c r="O75" s="3763">
        <v>7.0</v>
      </c>
      <c r="P75" s="3798" t="s">
        <v>877</v>
      </c>
      <c r="Q75" s="3762">
        <v>29.0</v>
      </c>
      <c r="R75" s="139" t="s">
        <v>878</v>
      </c>
      <c r="S75" s="3762">
        <v>35.0</v>
      </c>
      <c r="T75" s="139" t="s">
        <v>879</v>
      </c>
      <c r="U75" s="3762">
        <v>35.0</v>
      </c>
      <c r="V75" s="139" t="s">
        <v>2279</v>
      </c>
      <c r="W75" s="138">
        <v>45.0</v>
      </c>
      <c r="X75" s="239" t="s">
        <v>334</v>
      </c>
      <c r="Y75" s="138">
        <v>7.0</v>
      </c>
      <c r="Z75" s="239" t="s">
        <v>522</v>
      </c>
      <c r="AA75" s="3763">
        <v>7.0</v>
      </c>
      <c r="AB75" s="3708">
        <f>Fighters!$S74</f>
        <v>73</v>
      </c>
      <c r="AC75" s="3708">
        <f>Fighters!$T74</f>
        <v>78</v>
      </c>
      <c r="AD75" s="3710" t="str">
        <f>Fighters!$V74</f>
        <v>richter</v>
      </c>
    </row>
    <row r="76">
      <c r="A76" s="3700">
        <f>Fighters!$A75</f>
        <v>67</v>
      </c>
      <c r="B76" s="3701" t="str">
        <f>Fighters!$B75</f>
        <v>キングクルール</v>
      </c>
      <c r="C76" s="3797" t="s">
        <v>92</v>
      </c>
      <c r="D76" s="3798" t="s">
        <v>877</v>
      </c>
      <c r="E76" s="3762">
        <v>29.0</v>
      </c>
      <c r="F76" s="139" t="s">
        <v>874</v>
      </c>
      <c r="G76" s="3762">
        <v>35.0</v>
      </c>
      <c r="H76" s="139" t="s">
        <v>877</v>
      </c>
      <c r="I76" s="3762">
        <v>35.0</v>
      </c>
      <c r="J76" s="139" t="s">
        <v>1133</v>
      </c>
      <c r="K76" s="138">
        <v>45.0</v>
      </c>
      <c r="L76" s="239" t="s">
        <v>334</v>
      </c>
      <c r="M76" s="138">
        <v>7.0</v>
      </c>
      <c r="N76" s="239" t="s">
        <v>288</v>
      </c>
      <c r="O76" s="3763">
        <v>7.0</v>
      </c>
      <c r="P76" s="3798" t="s">
        <v>877</v>
      </c>
      <c r="Q76" s="3762">
        <v>29.0</v>
      </c>
      <c r="R76" s="139" t="s">
        <v>878</v>
      </c>
      <c r="S76" s="3762">
        <v>35.0</v>
      </c>
      <c r="T76" s="139" t="s">
        <v>879</v>
      </c>
      <c r="U76" s="3762">
        <v>35.0</v>
      </c>
      <c r="V76" s="139" t="s">
        <v>872</v>
      </c>
      <c r="W76" s="138">
        <v>45.0</v>
      </c>
      <c r="X76" s="239" t="s">
        <v>334</v>
      </c>
      <c r="Y76" s="138">
        <v>7.0</v>
      </c>
      <c r="Z76" s="239" t="s">
        <v>443</v>
      </c>
      <c r="AA76" s="3763">
        <v>7.0</v>
      </c>
      <c r="AB76" s="3708">
        <f>Fighters!$S75</f>
        <v>74</v>
      </c>
      <c r="AC76" s="3708">
        <f>Fighters!$T75</f>
        <v>64</v>
      </c>
      <c r="AD76" s="3710" t="str">
        <f>Fighters!$V75</f>
        <v>krool</v>
      </c>
    </row>
    <row r="77">
      <c r="A77" s="3700">
        <f>Fighters!$A76</f>
        <v>68</v>
      </c>
      <c r="B77" s="3701" t="str">
        <f>Fighters!$B76</f>
        <v>しずえ</v>
      </c>
      <c r="C77" s="3797" t="s">
        <v>92</v>
      </c>
      <c r="D77" s="3798" t="s">
        <v>877</v>
      </c>
      <c r="E77" s="3762">
        <v>29.0</v>
      </c>
      <c r="F77" s="139" t="s">
        <v>874</v>
      </c>
      <c r="G77" s="3762">
        <v>35.0</v>
      </c>
      <c r="H77" s="139" t="s">
        <v>877</v>
      </c>
      <c r="I77" s="3762">
        <v>35.0</v>
      </c>
      <c r="J77" s="139" t="s">
        <v>872</v>
      </c>
      <c r="K77" s="138">
        <v>45.0</v>
      </c>
      <c r="L77" s="239" t="s">
        <v>653</v>
      </c>
      <c r="M77" s="138">
        <v>7.0</v>
      </c>
      <c r="N77" s="239" t="s">
        <v>443</v>
      </c>
      <c r="O77" s="3763">
        <v>7.0</v>
      </c>
      <c r="P77" s="3798" t="s">
        <v>877</v>
      </c>
      <c r="Q77" s="3762">
        <v>29.0</v>
      </c>
      <c r="R77" s="139" t="s">
        <v>878</v>
      </c>
      <c r="S77" s="3762">
        <v>35.0</v>
      </c>
      <c r="T77" s="139" t="s">
        <v>879</v>
      </c>
      <c r="U77" s="3762">
        <v>35.0</v>
      </c>
      <c r="V77" s="139" t="s">
        <v>872</v>
      </c>
      <c r="W77" s="138">
        <v>45.0</v>
      </c>
      <c r="X77" s="239" t="s">
        <v>653</v>
      </c>
      <c r="Y77" s="138">
        <v>7.0</v>
      </c>
      <c r="Z77" s="239" t="s">
        <v>443</v>
      </c>
      <c r="AA77" s="3763">
        <v>7.0</v>
      </c>
      <c r="AB77" s="3708">
        <f>Fighters!$S76</f>
        <v>75</v>
      </c>
      <c r="AC77" s="3708">
        <f>Fighters!$T76</f>
        <v>65</v>
      </c>
      <c r="AD77" s="3710" t="str">
        <f>Fighters!$V76</f>
        <v>shizue</v>
      </c>
    </row>
    <row r="78">
      <c r="A78" s="3700">
        <f>Fighters!$A77</f>
        <v>69</v>
      </c>
      <c r="B78" s="3701" t="str">
        <f>Fighters!$B77</f>
        <v>ガオガエン</v>
      </c>
      <c r="C78" s="3797" t="s">
        <v>92</v>
      </c>
      <c r="D78" s="3798" t="s">
        <v>877</v>
      </c>
      <c r="E78" s="3762">
        <v>29.0</v>
      </c>
      <c r="F78" s="139" t="s">
        <v>874</v>
      </c>
      <c r="G78" s="3762">
        <v>35.0</v>
      </c>
      <c r="H78" s="139" t="s">
        <v>877</v>
      </c>
      <c r="I78" s="3762">
        <v>35.0</v>
      </c>
      <c r="J78" s="139" t="s">
        <v>879</v>
      </c>
      <c r="K78" s="138">
        <v>45.0</v>
      </c>
      <c r="L78" s="239" t="s">
        <v>653</v>
      </c>
      <c r="M78" s="138">
        <v>7.0</v>
      </c>
      <c r="N78" s="239" t="s">
        <v>377</v>
      </c>
      <c r="O78" s="3763">
        <v>7.0</v>
      </c>
      <c r="P78" s="3798" t="s">
        <v>877</v>
      </c>
      <c r="Q78" s="3762">
        <v>29.0</v>
      </c>
      <c r="R78" s="139" t="s">
        <v>878</v>
      </c>
      <c r="S78" s="3762">
        <v>35.0</v>
      </c>
      <c r="T78" s="139" t="s">
        <v>879</v>
      </c>
      <c r="U78" s="3762">
        <v>35.0</v>
      </c>
      <c r="V78" s="139" t="s">
        <v>879</v>
      </c>
      <c r="W78" s="138">
        <v>45.0</v>
      </c>
      <c r="X78" s="239" t="s">
        <v>653</v>
      </c>
      <c r="Y78" s="138">
        <v>7.0</v>
      </c>
      <c r="Z78" s="239" t="s">
        <v>377</v>
      </c>
      <c r="AA78" s="3763">
        <v>7.0</v>
      </c>
      <c r="AB78" s="3708">
        <f>Fighters!$S77</f>
        <v>76</v>
      </c>
      <c r="AC78" s="3708">
        <f>Fighters!$T77</f>
        <v>66</v>
      </c>
      <c r="AD78" s="3710" t="str">
        <f>Fighters!$V77</f>
        <v>gaogaen</v>
      </c>
    </row>
    <row r="79">
      <c r="A79" s="3700">
        <f>Fighters!$A78</f>
        <v>70</v>
      </c>
      <c r="B79" s="3701" t="str">
        <f>Fighters!$B78</f>
        <v>パックンフラワー</v>
      </c>
      <c r="C79" s="3797" t="s">
        <v>92</v>
      </c>
      <c r="D79" s="3798" t="s">
        <v>877</v>
      </c>
      <c r="E79" s="3762">
        <v>29.0</v>
      </c>
      <c r="F79" s="139" t="s">
        <v>874</v>
      </c>
      <c r="G79" s="3762">
        <v>35.0</v>
      </c>
      <c r="H79" s="139" t="s">
        <v>877</v>
      </c>
      <c r="I79" s="3762">
        <v>35.0</v>
      </c>
      <c r="J79" s="139" t="s">
        <v>872</v>
      </c>
      <c r="K79" s="138">
        <v>45.0</v>
      </c>
      <c r="L79" s="239" t="s">
        <v>334</v>
      </c>
      <c r="M79" s="138">
        <v>7.0</v>
      </c>
      <c r="N79" s="239" t="s">
        <v>443</v>
      </c>
      <c r="O79" s="3763">
        <v>7.0</v>
      </c>
      <c r="P79" s="3798" t="s">
        <v>877</v>
      </c>
      <c r="Q79" s="3762">
        <v>29.0</v>
      </c>
      <c r="R79" s="139" t="s">
        <v>878</v>
      </c>
      <c r="S79" s="3762">
        <v>35.0</v>
      </c>
      <c r="T79" s="139" t="s">
        <v>879</v>
      </c>
      <c r="U79" s="3762">
        <v>35.0</v>
      </c>
      <c r="V79" s="139" t="s">
        <v>872</v>
      </c>
      <c r="W79" s="138">
        <v>45.0</v>
      </c>
      <c r="X79" s="239" t="s">
        <v>334</v>
      </c>
      <c r="Y79" s="138">
        <v>7.0</v>
      </c>
      <c r="Z79" s="239" t="s">
        <v>443</v>
      </c>
      <c r="AA79" s="3763">
        <v>7.0</v>
      </c>
      <c r="AB79" s="3708">
        <f>Fighters!$S78</f>
        <v>77</v>
      </c>
      <c r="AC79" s="3708">
        <f>Fighters!$T78</f>
        <v>67</v>
      </c>
      <c r="AD79" s="3739" t="str">
        <f>Fighters!$V78</f>
        <v>packun</v>
      </c>
    </row>
    <row r="80">
      <c r="A80" s="3700">
        <f>Fighters!$A79</f>
        <v>71</v>
      </c>
      <c r="B80" s="3701" t="str">
        <f>Fighters!$B79</f>
        <v>ジョーカー</v>
      </c>
      <c r="C80" s="3797" t="s">
        <v>92</v>
      </c>
      <c r="D80" s="3798" t="s">
        <v>877</v>
      </c>
      <c r="E80" s="3762">
        <v>29.0</v>
      </c>
      <c r="F80" s="139" t="s">
        <v>874</v>
      </c>
      <c r="G80" s="3762">
        <v>35.0</v>
      </c>
      <c r="H80" s="139" t="s">
        <v>877</v>
      </c>
      <c r="I80" s="3762">
        <v>35.0</v>
      </c>
      <c r="J80" s="139" t="s">
        <v>872</v>
      </c>
      <c r="K80" s="138">
        <v>45.0</v>
      </c>
      <c r="L80" s="239" t="s">
        <v>561</v>
      </c>
      <c r="M80" s="138">
        <v>7.0</v>
      </c>
      <c r="N80" s="239" t="s">
        <v>443</v>
      </c>
      <c r="O80" s="3763">
        <v>7.0</v>
      </c>
      <c r="P80" s="3798" t="s">
        <v>877</v>
      </c>
      <c r="Q80" s="3762">
        <v>29.0</v>
      </c>
      <c r="R80" s="139" t="s">
        <v>878</v>
      </c>
      <c r="S80" s="3762">
        <v>35.0</v>
      </c>
      <c r="T80" s="139" t="s">
        <v>879</v>
      </c>
      <c r="U80" s="3762">
        <v>35.0</v>
      </c>
      <c r="V80" s="139" t="s">
        <v>872</v>
      </c>
      <c r="W80" s="138">
        <v>45.0</v>
      </c>
      <c r="X80" s="239" t="s">
        <v>561</v>
      </c>
      <c r="Y80" s="138">
        <v>7.0</v>
      </c>
      <c r="Z80" s="239" t="s">
        <v>443</v>
      </c>
      <c r="AA80" s="3763">
        <v>7.0</v>
      </c>
      <c r="AB80" s="3708">
        <f>Fighters!$S79</f>
        <v>78</v>
      </c>
      <c r="AC80" s="3708">
        <f>Fighters!$T79</f>
        <v>68</v>
      </c>
      <c r="AD80" s="3739" t="str">
        <f>Fighters!$V79</f>
        <v>jack</v>
      </c>
    </row>
    <row r="81">
      <c r="A81" s="3700">
        <f>Fighters!$A80</f>
        <v>72</v>
      </c>
      <c r="B81" s="3701" t="str">
        <f>Fighters!$B80</f>
        <v>勇者</v>
      </c>
      <c r="C81" s="3800" t="s">
        <v>92</v>
      </c>
      <c r="D81" s="3791" t="s">
        <v>877</v>
      </c>
      <c r="E81" s="3792">
        <v>29.0</v>
      </c>
      <c r="F81" s="3791" t="s">
        <v>874</v>
      </c>
      <c r="G81" s="3792">
        <v>35.0</v>
      </c>
      <c r="H81" s="3791" t="s">
        <v>877</v>
      </c>
      <c r="I81" s="3792">
        <v>35.0</v>
      </c>
      <c r="J81" s="3791" t="s">
        <v>872</v>
      </c>
      <c r="K81" s="3793">
        <v>45.0</v>
      </c>
      <c r="L81" s="3791" t="s">
        <v>334</v>
      </c>
      <c r="M81" s="3793">
        <v>7.0</v>
      </c>
      <c r="N81" s="3791" t="s">
        <v>443</v>
      </c>
      <c r="O81" s="3794">
        <v>7.0</v>
      </c>
      <c r="P81" s="3791" t="s">
        <v>877</v>
      </c>
      <c r="Q81" s="3792">
        <v>29.0</v>
      </c>
      <c r="R81" s="3791" t="s">
        <v>878</v>
      </c>
      <c r="S81" s="3792">
        <v>35.0</v>
      </c>
      <c r="T81" s="3791" t="s">
        <v>879</v>
      </c>
      <c r="U81" s="3792">
        <v>35.0</v>
      </c>
      <c r="V81" s="3791" t="s">
        <v>877</v>
      </c>
      <c r="W81" s="3793">
        <v>45.0</v>
      </c>
      <c r="X81" s="3791" t="s">
        <v>203</v>
      </c>
      <c r="Y81" s="3793">
        <v>7.0</v>
      </c>
      <c r="Z81" s="3791" t="s">
        <v>834</v>
      </c>
      <c r="AA81" s="3794">
        <v>7.0</v>
      </c>
      <c r="AB81" s="3708">
        <f>Fighters!$S80</f>
        <v>79</v>
      </c>
      <c r="AC81" s="3708">
        <f>Fighters!$T80</f>
        <v>69</v>
      </c>
      <c r="AD81" s="3739" t="str">
        <f>Fighters!$V80</f>
        <v>brave</v>
      </c>
    </row>
    <row r="82">
      <c r="A82" s="3700">
        <f>Fighters!$A81</f>
        <v>73</v>
      </c>
      <c r="B82" s="3701" t="str">
        <f>Fighters!$B81</f>
        <v>バンジョー&amp;カズーイ</v>
      </c>
      <c r="C82" s="3801" t="s">
        <v>92</v>
      </c>
      <c r="D82" s="3802" t="s">
        <v>877</v>
      </c>
      <c r="E82" s="3803">
        <v>29.0</v>
      </c>
      <c r="F82" s="139" t="s">
        <v>874</v>
      </c>
      <c r="G82" s="3762">
        <v>35.0</v>
      </c>
      <c r="H82" s="139" t="s">
        <v>877</v>
      </c>
      <c r="I82" s="3762">
        <v>35.0</v>
      </c>
      <c r="J82" s="1676" t="s">
        <v>872</v>
      </c>
      <c r="K82" s="1672">
        <v>45.0</v>
      </c>
      <c r="L82" s="239" t="s">
        <v>334</v>
      </c>
      <c r="M82" s="138">
        <v>7.0</v>
      </c>
      <c r="N82" s="239" t="s">
        <v>443</v>
      </c>
      <c r="O82" s="3763">
        <v>7.0</v>
      </c>
      <c r="P82" s="3802" t="s">
        <v>877</v>
      </c>
      <c r="Q82" s="3803">
        <v>29.0</v>
      </c>
      <c r="R82" s="139" t="s">
        <v>878</v>
      </c>
      <c r="S82" s="3762">
        <v>35.0</v>
      </c>
      <c r="T82" s="139" t="s">
        <v>879</v>
      </c>
      <c r="U82" s="3762">
        <v>35.0</v>
      </c>
      <c r="V82" s="139" t="s">
        <v>877</v>
      </c>
      <c r="W82" s="138">
        <v>45.0</v>
      </c>
      <c r="X82" s="239" t="s">
        <v>454</v>
      </c>
      <c r="Y82" s="138">
        <v>7.0</v>
      </c>
      <c r="Z82" s="239" t="s">
        <v>834</v>
      </c>
      <c r="AA82" s="3763">
        <v>7.0</v>
      </c>
      <c r="AB82" s="3708">
        <f>Fighters!$S81</f>
        <v>80</v>
      </c>
      <c r="AC82" s="3708">
        <f>Fighters!$T81</f>
        <v>70</v>
      </c>
      <c r="AD82" s="3739" t="str">
        <f>Fighters!$V81</f>
        <v>buddy</v>
      </c>
    </row>
    <row r="83">
      <c r="A83" s="3700">
        <f>Fighters!$A82</f>
        <v>74</v>
      </c>
      <c r="B83" s="3701" t="str">
        <f>Fighters!$B82</f>
        <v>テリー</v>
      </c>
      <c r="C83" s="3797" t="s">
        <v>92</v>
      </c>
      <c r="D83" s="3798" t="s">
        <v>877</v>
      </c>
      <c r="E83" s="3762">
        <v>29.0</v>
      </c>
      <c r="F83" s="139" t="s">
        <v>874</v>
      </c>
      <c r="G83" s="3762">
        <v>35.0</v>
      </c>
      <c r="H83" s="139" t="s">
        <v>877</v>
      </c>
      <c r="I83" s="3762">
        <v>35.0</v>
      </c>
      <c r="J83" s="139" t="s">
        <v>872</v>
      </c>
      <c r="K83" s="138">
        <v>45.0</v>
      </c>
      <c r="L83" s="239" t="s">
        <v>334</v>
      </c>
      <c r="M83" s="138">
        <v>7.0</v>
      </c>
      <c r="N83" s="239" t="s">
        <v>443</v>
      </c>
      <c r="O83" s="3763">
        <v>7.0</v>
      </c>
      <c r="P83" s="3798" t="s">
        <v>877</v>
      </c>
      <c r="Q83" s="3762">
        <v>29.0</v>
      </c>
      <c r="R83" s="139" t="s">
        <v>878</v>
      </c>
      <c r="S83" s="3762">
        <v>35.0</v>
      </c>
      <c r="T83" s="139" t="s">
        <v>879</v>
      </c>
      <c r="U83" s="3762">
        <v>35.0</v>
      </c>
      <c r="V83" s="139" t="s">
        <v>877</v>
      </c>
      <c r="W83" s="138">
        <v>45.0</v>
      </c>
      <c r="X83" s="239" t="s">
        <v>454</v>
      </c>
      <c r="Y83" s="138">
        <v>7.0</v>
      </c>
      <c r="Z83" s="239" t="s">
        <v>834</v>
      </c>
      <c r="AA83" s="3763">
        <v>7.0</v>
      </c>
      <c r="AB83" s="3708">
        <f>Fighters!$S82</f>
        <v>81</v>
      </c>
      <c r="AC83" s="3708">
        <f>Fighters!$T82</f>
        <v>71</v>
      </c>
      <c r="AD83" s="3739" t="str">
        <f>Fighters!$V82</f>
        <v>dolly</v>
      </c>
    </row>
    <row r="84">
      <c r="A84" s="3700">
        <f>Fighters!$A83</f>
        <v>75</v>
      </c>
      <c r="B84" s="3701" t="str">
        <f>Fighters!$B83</f>
        <v>ベレト／ベレス</v>
      </c>
      <c r="C84" s="3797" t="s">
        <v>92</v>
      </c>
      <c r="D84" s="3798" t="s">
        <v>877</v>
      </c>
      <c r="E84" s="3762">
        <v>29.0</v>
      </c>
      <c r="F84" s="139" t="s">
        <v>874</v>
      </c>
      <c r="G84" s="3762">
        <v>35.0</v>
      </c>
      <c r="H84" s="139" t="s">
        <v>877</v>
      </c>
      <c r="I84" s="3762">
        <v>35.0</v>
      </c>
      <c r="J84" s="139" t="s">
        <v>872</v>
      </c>
      <c r="K84" s="138">
        <v>45.0</v>
      </c>
      <c r="L84" s="239" t="s">
        <v>334</v>
      </c>
      <c r="M84" s="138">
        <v>7.0</v>
      </c>
      <c r="N84" s="239" t="s">
        <v>443</v>
      </c>
      <c r="O84" s="3763">
        <v>7.0</v>
      </c>
      <c r="P84" s="3798" t="s">
        <v>877</v>
      </c>
      <c r="Q84" s="3762">
        <v>29.0</v>
      </c>
      <c r="R84" s="139" t="s">
        <v>878</v>
      </c>
      <c r="S84" s="3762">
        <v>35.0</v>
      </c>
      <c r="T84" s="139" t="s">
        <v>879</v>
      </c>
      <c r="U84" s="3762">
        <v>35.0</v>
      </c>
      <c r="V84" s="139" t="s">
        <v>872</v>
      </c>
      <c r="W84" s="138">
        <v>45.0</v>
      </c>
      <c r="X84" s="239" t="s">
        <v>334</v>
      </c>
      <c r="Y84" s="138">
        <v>7.0</v>
      </c>
      <c r="Z84" s="239" t="s">
        <v>443</v>
      </c>
      <c r="AA84" s="3763">
        <v>7.0</v>
      </c>
      <c r="AB84" s="3708">
        <f>Fighters!$S83</f>
        <v>82</v>
      </c>
      <c r="AC84" s="3708">
        <f>Fighters!$T83</f>
        <v>72</v>
      </c>
      <c r="AD84" s="3739" t="str">
        <f>Fighters!$V83</f>
        <v>master</v>
      </c>
    </row>
    <row r="85">
      <c r="A85" s="3700">
        <f>Fighters!$A84</f>
        <v>76</v>
      </c>
      <c r="B85" s="3701" t="str">
        <f>Fighters!$B84</f>
        <v>ミェンミェン</v>
      </c>
      <c r="C85" s="3797" t="s">
        <v>92</v>
      </c>
      <c r="D85" s="3798" t="s">
        <v>877</v>
      </c>
      <c r="E85" s="3762">
        <v>29.0</v>
      </c>
      <c r="F85" s="139" t="s">
        <v>874</v>
      </c>
      <c r="G85" s="3762">
        <v>35.0</v>
      </c>
      <c r="H85" s="139" t="s">
        <v>877</v>
      </c>
      <c r="I85" s="3762">
        <v>35.0</v>
      </c>
      <c r="J85" s="139" t="s">
        <v>872</v>
      </c>
      <c r="K85" s="138">
        <v>45.0</v>
      </c>
      <c r="L85" s="239" t="s">
        <v>334</v>
      </c>
      <c r="M85" s="138">
        <v>7.0</v>
      </c>
      <c r="N85" s="239" t="s">
        <v>443</v>
      </c>
      <c r="O85" s="3763">
        <v>7.0</v>
      </c>
      <c r="P85" s="3798" t="s">
        <v>877</v>
      </c>
      <c r="Q85" s="3762">
        <v>29.0</v>
      </c>
      <c r="R85" s="139" t="s">
        <v>878</v>
      </c>
      <c r="S85" s="3762">
        <v>35.0</v>
      </c>
      <c r="T85" s="139" t="s">
        <v>879</v>
      </c>
      <c r="U85" s="3762">
        <v>35.0</v>
      </c>
      <c r="V85" s="139" t="s">
        <v>872</v>
      </c>
      <c r="W85" s="138">
        <v>45.0</v>
      </c>
      <c r="X85" s="239" t="s">
        <v>334</v>
      </c>
      <c r="Y85" s="138">
        <v>7.0</v>
      </c>
      <c r="Z85" s="239" t="s">
        <v>443</v>
      </c>
      <c r="AA85" s="3763">
        <v>7.0</v>
      </c>
      <c r="AB85" s="3708">
        <f>Fighters!$S84</f>
        <v>83</v>
      </c>
      <c r="AC85" s="3708">
        <f>Fighters!$T84</f>
        <v>73</v>
      </c>
      <c r="AD85" s="3739" t="str">
        <f>Fighters!$V84</f>
        <v>tantan</v>
      </c>
    </row>
    <row r="86">
      <c r="A86" s="3700">
        <f>Fighters!$A85</f>
        <v>77</v>
      </c>
      <c r="B86" s="3701" t="str">
        <f>Fighters!$B85</f>
        <v>スティーブ／アレックス</v>
      </c>
      <c r="C86" s="3797" t="s">
        <v>92</v>
      </c>
      <c r="D86" s="3798" t="s">
        <v>877</v>
      </c>
      <c r="E86" s="3762">
        <v>29.0</v>
      </c>
      <c r="F86" s="139" t="s">
        <v>874</v>
      </c>
      <c r="G86" s="3762">
        <v>35.0</v>
      </c>
      <c r="H86" s="139" t="s">
        <v>877</v>
      </c>
      <c r="I86" s="3762">
        <v>35.0</v>
      </c>
      <c r="J86" s="139" t="s">
        <v>872</v>
      </c>
      <c r="K86" s="138">
        <v>45.0</v>
      </c>
      <c r="L86" s="239" t="s">
        <v>334</v>
      </c>
      <c r="M86" s="138">
        <v>7.0</v>
      </c>
      <c r="N86" s="239" t="s">
        <v>443</v>
      </c>
      <c r="O86" s="3763">
        <v>7.0</v>
      </c>
      <c r="P86" s="3798" t="s">
        <v>877</v>
      </c>
      <c r="Q86" s="3762">
        <v>29.0</v>
      </c>
      <c r="R86" s="139" t="s">
        <v>878</v>
      </c>
      <c r="S86" s="3762">
        <v>35.0</v>
      </c>
      <c r="T86" s="139" t="s">
        <v>879</v>
      </c>
      <c r="U86" s="3762">
        <v>35.0</v>
      </c>
      <c r="V86" s="139" t="s">
        <v>877</v>
      </c>
      <c r="W86" s="138">
        <v>45.0</v>
      </c>
      <c r="X86" s="239" t="s">
        <v>454</v>
      </c>
      <c r="Y86" s="138">
        <v>7.0</v>
      </c>
      <c r="Z86" s="239" t="s">
        <v>834</v>
      </c>
      <c r="AA86" s="3763">
        <v>7.0</v>
      </c>
      <c r="AB86" s="3708">
        <f>Fighters!$S85</f>
        <v>84</v>
      </c>
      <c r="AC86" s="3708">
        <f>Fighters!$T85</f>
        <v>74</v>
      </c>
      <c r="AD86" s="3739" t="str">
        <f>Fighters!$V85</f>
        <v>pickel</v>
      </c>
    </row>
    <row r="87">
      <c r="A87" s="3700">
        <f>Fighters!$A86</f>
        <v>78</v>
      </c>
      <c r="B87" s="3753" t="s">
        <v>7252</v>
      </c>
      <c r="C87" s="3797" t="s">
        <v>92</v>
      </c>
      <c r="D87" s="3798" t="s">
        <v>877</v>
      </c>
      <c r="E87" s="3762">
        <v>29.0</v>
      </c>
      <c r="F87" s="139" t="s">
        <v>874</v>
      </c>
      <c r="G87" s="3762">
        <v>35.0</v>
      </c>
      <c r="H87" s="139" t="s">
        <v>877</v>
      </c>
      <c r="I87" s="3762">
        <v>35.0</v>
      </c>
      <c r="J87" s="139" t="s">
        <v>872</v>
      </c>
      <c r="K87" s="138">
        <v>45.0</v>
      </c>
      <c r="L87" s="239" t="s">
        <v>334</v>
      </c>
      <c r="M87" s="138">
        <v>7.0</v>
      </c>
      <c r="N87" s="239" t="s">
        <v>443</v>
      </c>
      <c r="O87" s="3763">
        <v>7.0</v>
      </c>
      <c r="P87" s="3798" t="s">
        <v>877</v>
      </c>
      <c r="Q87" s="3762">
        <v>29.0</v>
      </c>
      <c r="R87" s="139" t="s">
        <v>878</v>
      </c>
      <c r="S87" s="3762">
        <v>35.0</v>
      </c>
      <c r="T87" s="139" t="s">
        <v>879</v>
      </c>
      <c r="U87" s="3762">
        <v>35.0</v>
      </c>
      <c r="V87" s="139" t="s">
        <v>872</v>
      </c>
      <c r="W87" s="138">
        <v>45.0</v>
      </c>
      <c r="X87" s="239" t="s">
        <v>334</v>
      </c>
      <c r="Y87" s="138">
        <v>7.0</v>
      </c>
      <c r="Z87" s="239" t="s">
        <v>443</v>
      </c>
      <c r="AA87" s="3763">
        <v>7.0</v>
      </c>
      <c r="AB87" s="3708">
        <f>Fighters!$S86</f>
        <v>85</v>
      </c>
      <c r="AC87" s="3708">
        <f>Fighters!$T86</f>
        <v>75</v>
      </c>
      <c r="AD87" s="3739" t="str">
        <f>Fighters!$V86</f>
        <v>edge</v>
      </c>
    </row>
    <row r="88">
      <c r="A88" s="3700">
        <f>Fighters!$A87</f>
        <v>79</v>
      </c>
      <c r="B88" s="3701" t="str">
        <f>Fighters!$B87</f>
        <v>ホムラ</v>
      </c>
      <c r="C88" s="3797" t="s">
        <v>92</v>
      </c>
      <c r="D88" s="3798" t="s">
        <v>877</v>
      </c>
      <c r="E88" s="3762">
        <v>29.0</v>
      </c>
      <c r="F88" s="139" t="s">
        <v>874</v>
      </c>
      <c r="G88" s="3762">
        <v>35.0</v>
      </c>
      <c r="H88" s="139" t="s">
        <v>877</v>
      </c>
      <c r="I88" s="3762">
        <v>35.0</v>
      </c>
      <c r="J88" s="139" t="s">
        <v>872</v>
      </c>
      <c r="K88" s="138">
        <v>45.0</v>
      </c>
      <c r="L88" s="239" t="s">
        <v>295</v>
      </c>
      <c r="M88" s="138">
        <v>7.0</v>
      </c>
      <c r="N88" s="239" t="s">
        <v>443</v>
      </c>
      <c r="O88" s="3763">
        <v>7.0</v>
      </c>
      <c r="P88" s="3798" t="s">
        <v>877</v>
      </c>
      <c r="Q88" s="3762">
        <v>29.0</v>
      </c>
      <c r="R88" s="139" t="s">
        <v>878</v>
      </c>
      <c r="S88" s="3762">
        <v>35.0</v>
      </c>
      <c r="T88" s="139" t="s">
        <v>879</v>
      </c>
      <c r="U88" s="3762">
        <v>35.0</v>
      </c>
      <c r="V88" s="139" t="s">
        <v>872</v>
      </c>
      <c r="W88" s="138">
        <v>45.0</v>
      </c>
      <c r="X88" s="239" t="s">
        <v>295</v>
      </c>
      <c r="Y88" s="138">
        <v>7.0</v>
      </c>
      <c r="Z88" s="239" t="s">
        <v>443</v>
      </c>
      <c r="AA88" s="3763">
        <v>7.0</v>
      </c>
      <c r="AB88" s="3708">
        <f>Fighters!$S87</f>
        <v>86</v>
      </c>
      <c r="AC88" s="3708">
        <f>Fighters!$T87</f>
        <v>76</v>
      </c>
      <c r="AD88" s="3739" t="str">
        <f>Fighters!$V87</f>
        <v>eflame</v>
      </c>
    </row>
    <row r="89">
      <c r="A89" s="3700">
        <f>Fighters!$A88</f>
        <v>80</v>
      </c>
      <c r="B89" s="3701" t="str">
        <f>Fighters!$B88</f>
        <v>ヒカリ</v>
      </c>
      <c r="C89" s="3797" t="s">
        <v>92</v>
      </c>
      <c r="D89" s="3798" t="s">
        <v>877</v>
      </c>
      <c r="E89" s="3762">
        <v>29.0</v>
      </c>
      <c r="F89" s="139" t="s">
        <v>874</v>
      </c>
      <c r="G89" s="3762">
        <v>35.0</v>
      </c>
      <c r="H89" s="139" t="s">
        <v>877</v>
      </c>
      <c r="I89" s="3762">
        <v>35.0</v>
      </c>
      <c r="J89" s="139" t="s">
        <v>872</v>
      </c>
      <c r="K89" s="138">
        <v>45.0</v>
      </c>
      <c r="L89" s="239" t="s">
        <v>295</v>
      </c>
      <c r="M89" s="138">
        <v>7.0</v>
      </c>
      <c r="N89" s="239" t="s">
        <v>443</v>
      </c>
      <c r="O89" s="3763">
        <v>7.0</v>
      </c>
      <c r="P89" s="3798" t="s">
        <v>877</v>
      </c>
      <c r="Q89" s="3762">
        <v>29.0</v>
      </c>
      <c r="R89" s="139" t="s">
        <v>878</v>
      </c>
      <c r="S89" s="3762">
        <v>35.0</v>
      </c>
      <c r="T89" s="139" t="s">
        <v>879</v>
      </c>
      <c r="U89" s="3762">
        <v>35.0</v>
      </c>
      <c r="V89" s="139" t="s">
        <v>872</v>
      </c>
      <c r="W89" s="138">
        <v>45.0</v>
      </c>
      <c r="X89" s="239" t="s">
        <v>295</v>
      </c>
      <c r="Y89" s="138">
        <v>7.0</v>
      </c>
      <c r="Z89" s="239" t="s">
        <v>443</v>
      </c>
      <c r="AA89" s="3763">
        <v>7.0</v>
      </c>
      <c r="AB89" s="3708">
        <f>Fighters!$S88</f>
        <v>87</v>
      </c>
      <c r="AC89" s="3708">
        <f>Fighters!$T88</f>
        <v>77</v>
      </c>
      <c r="AD89" s="3739" t="str">
        <f>Fighters!$V88</f>
        <v>elight</v>
      </c>
    </row>
    <row r="90">
      <c r="A90" s="3700">
        <f>Fighters!$A89</f>
        <v>81</v>
      </c>
      <c r="B90" s="3701" t="str">
        <f>Fighters!$B89</f>
        <v>カズヤ</v>
      </c>
      <c r="C90" s="3797" t="s">
        <v>92</v>
      </c>
      <c r="D90" s="3798" t="s">
        <v>877</v>
      </c>
      <c r="E90" s="3762">
        <v>29.0</v>
      </c>
      <c r="F90" s="139" t="s">
        <v>874</v>
      </c>
      <c r="G90" s="3762">
        <v>35.0</v>
      </c>
      <c r="H90" s="139" t="s">
        <v>877</v>
      </c>
      <c r="I90" s="3762">
        <v>35.0</v>
      </c>
      <c r="J90" s="139" t="s">
        <v>872</v>
      </c>
      <c r="K90" s="138">
        <v>45.0</v>
      </c>
      <c r="L90" s="239" t="s">
        <v>334</v>
      </c>
      <c r="M90" s="138">
        <v>7.0</v>
      </c>
      <c r="N90" s="239" t="s">
        <v>443</v>
      </c>
      <c r="O90" s="3763">
        <v>7.0</v>
      </c>
      <c r="P90" s="3798" t="s">
        <v>877</v>
      </c>
      <c r="Q90" s="3762">
        <v>29.0</v>
      </c>
      <c r="R90" s="139" t="s">
        <v>878</v>
      </c>
      <c r="S90" s="3762">
        <v>35.0</v>
      </c>
      <c r="T90" s="139" t="s">
        <v>879</v>
      </c>
      <c r="U90" s="3762">
        <v>35.0</v>
      </c>
      <c r="V90" s="139" t="s">
        <v>872</v>
      </c>
      <c r="W90" s="138">
        <v>45.0</v>
      </c>
      <c r="X90" s="239" t="s">
        <v>334</v>
      </c>
      <c r="Y90" s="138">
        <v>7.0</v>
      </c>
      <c r="Z90" s="239" t="s">
        <v>443</v>
      </c>
      <c r="AA90" s="3763">
        <v>7.0</v>
      </c>
      <c r="AB90" s="3708">
        <f>Fighters!$S89</f>
        <v>88</v>
      </c>
      <c r="AC90" s="3708">
        <f>Fighters!$T89</f>
        <v>78</v>
      </c>
      <c r="AD90" s="3754" t="s">
        <v>7267</v>
      </c>
    </row>
    <row r="91">
      <c r="A91" s="3755">
        <f>Fighters!$A90</f>
        <v>82</v>
      </c>
      <c r="B91" s="3756" t="str">
        <f>Fighters!$B90</f>
        <v>ソラ</v>
      </c>
      <c r="C91" s="239" t="s">
        <v>92</v>
      </c>
      <c r="D91" s="239" t="s">
        <v>877</v>
      </c>
      <c r="E91" s="138">
        <v>29.0</v>
      </c>
      <c r="F91" s="239" t="s">
        <v>874</v>
      </c>
      <c r="G91" s="138">
        <v>35.0</v>
      </c>
      <c r="H91" s="239" t="s">
        <v>877</v>
      </c>
      <c r="I91" s="138">
        <v>35.0</v>
      </c>
      <c r="J91" s="239" t="s">
        <v>872</v>
      </c>
      <c r="K91" s="138">
        <v>45.0</v>
      </c>
      <c r="L91" s="239" t="s">
        <v>351</v>
      </c>
      <c r="M91" s="138">
        <v>7.0</v>
      </c>
      <c r="N91" s="239" t="s">
        <v>443</v>
      </c>
      <c r="O91" s="3763">
        <v>7.0</v>
      </c>
      <c r="P91" s="239" t="s">
        <v>877</v>
      </c>
      <c r="Q91" s="138">
        <v>29.0</v>
      </c>
      <c r="R91" s="239" t="s">
        <v>878</v>
      </c>
      <c r="S91" s="138">
        <v>35.0</v>
      </c>
      <c r="T91" s="239" t="s">
        <v>879</v>
      </c>
      <c r="U91" s="138">
        <v>35.0</v>
      </c>
      <c r="V91" s="239" t="s">
        <v>872</v>
      </c>
      <c r="W91" s="138">
        <v>45.0</v>
      </c>
      <c r="X91" s="239" t="s">
        <v>351</v>
      </c>
      <c r="Y91" s="138">
        <v>7.0</v>
      </c>
      <c r="Z91" s="239" t="s">
        <v>443</v>
      </c>
      <c r="AA91" s="3763">
        <v>7.0</v>
      </c>
      <c r="AB91" s="3708">
        <f>Fighters!$S90</f>
        <v>89</v>
      </c>
      <c r="AC91" s="3708">
        <f>Fighters!$T90</f>
        <v>79</v>
      </c>
      <c r="AD91" s="3757" t="str">
        <f>Fighters!$V90</f>
        <v>trail</v>
      </c>
    </row>
  </sheetData>
  <autoFilter ref="$A$2:$AD$91">
    <sortState ref="A2:AD91">
      <sortCondition ref="AB2:AB91"/>
      <sortCondition ref="N2:N91"/>
      <sortCondition ref="L2:L91"/>
      <sortCondition ref="Z2:Z91"/>
      <sortCondition ref="X2:X91"/>
      <sortCondition ref="T2:T91"/>
      <sortCondition ref="R2:R91"/>
      <sortCondition ref="AD2:AD91"/>
      <sortCondition ref="AC2:AC91"/>
      <sortCondition ref="A2:A91"/>
    </sortState>
  </autoFilter>
  <mergeCells count="8">
    <mergeCell ref="D1:E1"/>
    <mergeCell ref="F1:G1"/>
    <mergeCell ref="H1:I1"/>
    <mergeCell ref="J1:O1"/>
    <mergeCell ref="P1:Q1"/>
    <mergeCell ref="R1:S1"/>
    <mergeCell ref="T1:U1"/>
    <mergeCell ref="V1:AA1"/>
  </mergeCells>
  <drawing r:id="rId1"/>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18.88"/>
    <col customWidth="1" min="3" max="18" width="8.0"/>
    <col customWidth="1" min="19" max="21" width="9.25"/>
  </cols>
  <sheetData>
    <row r="1">
      <c r="A1" s="3741"/>
      <c r="B1" s="3699"/>
      <c r="C1" s="3742" t="s">
        <v>7417</v>
      </c>
      <c r="D1" s="3744"/>
      <c r="E1" s="3743" t="s">
        <v>7418</v>
      </c>
      <c r="F1" s="109"/>
      <c r="G1" s="3742" t="s">
        <v>216</v>
      </c>
      <c r="H1" s="109"/>
      <c r="I1" s="3743" t="s">
        <v>4927</v>
      </c>
      <c r="J1" s="3744"/>
      <c r="K1" s="3777" t="s">
        <v>4930</v>
      </c>
      <c r="L1" s="3744"/>
      <c r="M1" s="3743" t="s">
        <v>243</v>
      </c>
      <c r="N1" s="110"/>
      <c r="O1" s="110"/>
      <c r="P1" s="110"/>
      <c r="Q1" s="110"/>
      <c r="R1" s="3778"/>
      <c r="S1" s="3745"/>
      <c r="T1" s="3745"/>
      <c r="U1" s="3745"/>
    </row>
    <row r="2">
      <c r="A2" s="3747" t="str">
        <f>Fighters!C$1</f>
        <v>13.0.1</v>
      </c>
      <c r="B2" s="3688" t="s">
        <v>7272</v>
      </c>
      <c r="C2" s="3748" t="s">
        <v>235</v>
      </c>
      <c r="D2" s="3779" t="s">
        <v>49</v>
      </c>
      <c r="E2" s="3780" t="s">
        <v>235</v>
      </c>
      <c r="F2" s="3779" t="s">
        <v>49</v>
      </c>
      <c r="G2" s="3748" t="s">
        <v>235</v>
      </c>
      <c r="H2" s="3779" t="s">
        <v>49</v>
      </c>
      <c r="I2" s="3780" t="s">
        <v>235</v>
      </c>
      <c r="J2" s="3779" t="s">
        <v>49</v>
      </c>
      <c r="K2" s="3780" t="s">
        <v>235</v>
      </c>
      <c r="L2" s="3779" t="s">
        <v>49</v>
      </c>
      <c r="M2" s="3781" t="s">
        <v>235</v>
      </c>
      <c r="N2" s="3750" t="s">
        <v>49</v>
      </c>
      <c r="O2" s="3783" t="s">
        <v>48</v>
      </c>
      <c r="P2" s="3783" t="s">
        <v>50</v>
      </c>
      <c r="Q2" s="3783" t="s">
        <v>48</v>
      </c>
      <c r="R2" s="3784" t="s">
        <v>50</v>
      </c>
      <c r="S2" s="3698" t="s">
        <v>6515</v>
      </c>
      <c r="T2" s="3698" t="s">
        <v>6516</v>
      </c>
      <c r="U2" s="3759" t="s">
        <v>6517</v>
      </c>
    </row>
    <row r="3">
      <c r="A3" s="3700">
        <f>Fighters!$A2</f>
        <v>1</v>
      </c>
      <c r="B3" s="3701" t="str">
        <f>Fighters!$B2</f>
        <v>マリオ</v>
      </c>
      <c r="C3" s="239" t="s">
        <v>880</v>
      </c>
      <c r="D3" s="3762">
        <v>29.0</v>
      </c>
      <c r="E3" s="239" t="s">
        <v>880</v>
      </c>
      <c r="F3" s="3762">
        <v>39.0</v>
      </c>
      <c r="G3" s="239" t="s">
        <v>881</v>
      </c>
      <c r="H3" s="3762">
        <v>21.0</v>
      </c>
      <c r="I3" s="139" t="s">
        <v>882</v>
      </c>
      <c r="J3" s="3762">
        <v>28.0</v>
      </c>
      <c r="K3" s="139" t="s">
        <v>882</v>
      </c>
      <c r="L3" s="3762">
        <v>28.0</v>
      </c>
      <c r="M3" s="139" t="s">
        <v>883</v>
      </c>
      <c r="N3" s="138">
        <v>49.0</v>
      </c>
      <c r="O3" s="239" t="s">
        <v>334</v>
      </c>
      <c r="P3" s="138">
        <v>5.0</v>
      </c>
      <c r="Q3" s="239" t="s">
        <v>523</v>
      </c>
      <c r="R3" s="3763">
        <v>5.0</v>
      </c>
      <c r="S3" s="3708">
        <f>Fighters!$S2</f>
        <v>1</v>
      </c>
      <c r="T3" s="3708">
        <f>Fighters!$T2</f>
        <v>0</v>
      </c>
      <c r="U3" s="3710" t="str">
        <f>Fighters!$V2</f>
        <v>mario</v>
      </c>
    </row>
    <row r="4">
      <c r="A4" s="3700">
        <f>Fighters!$A3</f>
        <v>2</v>
      </c>
      <c r="B4" s="3701" t="str">
        <f>Fighters!$B3</f>
        <v>ドンキーコング</v>
      </c>
      <c r="C4" s="239" t="s">
        <v>880</v>
      </c>
      <c r="D4" s="3762">
        <v>29.0</v>
      </c>
      <c r="E4" s="239" t="s">
        <v>880</v>
      </c>
      <c r="F4" s="3762">
        <v>39.0</v>
      </c>
      <c r="G4" s="239" t="s">
        <v>881</v>
      </c>
      <c r="H4" s="3762">
        <v>21.0</v>
      </c>
      <c r="I4" s="139" t="s">
        <v>882</v>
      </c>
      <c r="J4" s="3762">
        <v>28.0</v>
      </c>
      <c r="K4" s="139" t="s">
        <v>882</v>
      </c>
      <c r="L4" s="3762">
        <v>28.0</v>
      </c>
      <c r="M4" s="139" t="s">
        <v>883</v>
      </c>
      <c r="N4" s="138">
        <v>49.0</v>
      </c>
      <c r="O4" s="239" t="s">
        <v>334</v>
      </c>
      <c r="P4" s="138">
        <v>5.0</v>
      </c>
      <c r="Q4" s="239" t="s">
        <v>443</v>
      </c>
      <c r="R4" s="3763">
        <v>5.0</v>
      </c>
      <c r="S4" s="3708">
        <f>Fighters!$S3</f>
        <v>2</v>
      </c>
      <c r="T4" s="3708">
        <f>Fighters!$T3</f>
        <v>1</v>
      </c>
      <c r="U4" s="3710" t="str">
        <f>Fighters!$V3</f>
        <v>donkey</v>
      </c>
    </row>
    <row r="5">
      <c r="A5" s="3700">
        <f>Fighters!$A4</f>
        <v>3</v>
      </c>
      <c r="B5" s="3701" t="str">
        <f>Fighters!$B4</f>
        <v>リンク</v>
      </c>
      <c r="C5" s="239" t="s">
        <v>880</v>
      </c>
      <c r="D5" s="3762">
        <v>29.0</v>
      </c>
      <c r="E5" s="239" t="s">
        <v>880</v>
      </c>
      <c r="F5" s="3762">
        <v>39.0</v>
      </c>
      <c r="G5" s="239" t="s">
        <v>881</v>
      </c>
      <c r="H5" s="3762">
        <v>21.0</v>
      </c>
      <c r="I5" s="139" t="s">
        <v>882</v>
      </c>
      <c r="J5" s="3762">
        <v>28.0</v>
      </c>
      <c r="K5" s="139" t="s">
        <v>882</v>
      </c>
      <c r="L5" s="3762">
        <v>28.0</v>
      </c>
      <c r="M5" s="139" t="s">
        <v>883</v>
      </c>
      <c r="N5" s="138">
        <v>49.0</v>
      </c>
      <c r="O5" s="239" t="s">
        <v>334</v>
      </c>
      <c r="P5" s="138">
        <v>5.0</v>
      </c>
      <c r="Q5" s="239" t="s">
        <v>784</v>
      </c>
      <c r="R5" s="3763">
        <v>5.0</v>
      </c>
      <c r="S5" s="3708">
        <f>Fighters!$S4</f>
        <v>3</v>
      </c>
      <c r="T5" s="3708">
        <f>Fighters!$T4</f>
        <v>2</v>
      </c>
      <c r="U5" s="3710" t="str">
        <f>Fighters!$V4</f>
        <v>link</v>
      </c>
    </row>
    <row r="6">
      <c r="A6" s="3700">
        <f>Fighters!$A5</f>
        <v>4</v>
      </c>
      <c r="B6" s="3701" t="str">
        <f>Fighters!$B5</f>
        <v>サムス</v>
      </c>
      <c r="C6" s="239" t="s">
        <v>880</v>
      </c>
      <c r="D6" s="3762">
        <v>29.0</v>
      </c>
      <c r="E6" s="239" t="s">
        <v>880</v>
      </c>
      <c r="F6" s="3762">
        <v>39.0</v>
      </c>
      <c r="G6" s="239" t="s">
        <v>881</v>
      </c>
      <c r="H6" s="3762">
        <v>21.0</v>
      </c>
      <c r="I6" s="139" t="s">
        <v>882</v>
      </c>
      <c r="J6" s="3762">
        <v>28.0</v>
      </c>
      <c r="K6" s="139" t="s">
        <v>882</v>
      </c>
      <c r="L6" s="3762">
        <v>28.0</v>
      </c>
      <c r="M6" s="139" t="s">
        <v>883</v>
      </c>
      <c r="N6" s="138">
        <v>49.0</v>
      </c>
      <c r="O6" s="239" t="s">
        <v>334</v>
      </c>
      <c r="P6" s="138">
        <v>5.0</v>
      </c>
      <c r="Q6" s="239" t="s">
        <v>1547</v>
      </c>
      <c r="R6" s="3763">
        <v>5.0</v>
      </c>
      <c r="S6" s="3708">
        <f>Fighters!$S5</f>
        <v>4</v>
      </c>
      <c r="T6" s="3708">
        <f>Fighters!$T5</f>
        <v>3</v>
      </c>
      <c r="U6" s="3710" t="str">
        <f>Fighters!$V5</f>
        <v>samus</v>
      </c>
    </row>
    <row r="7">
      <c r="A7" s="3700" t="str">
        <f>Fighters!$A6</f>
        <v>4'</v>
      </c>
      <c r="B7" s="3701" t="str">
        <f>Fighters!$B6</f>
        <v>ダークサムス</v>
      </c>
      <c r="C7" s="239" t="s">
        <v>880</v>
      </c>
      <c r="D7" s="3762">
        <v>29.0</v>
      </c>
      <c r="E7" s="239" t="s">
        <v>880</v>
      </c>
      <c r="F7" s="3762">
        <v>39.0</v>
      </c>
      <c r="G7" s="239" t="s">
        <v>881</v>
      </c>
      <c r="H7" s="3762">
        <v>21.0</v>
      </c>
      <c r="I7" s="139" t="s">
        <v>882</v>
      </c>
      <c r="J7" s="3762">
        <v>28.0</v>
      </c>
      <c r="K7" s="139" t="s">
        <v>882</v>
      </c>
      <c r="L7" s="3762">
        <v>28.0</v>
      </c>
      <c r="M7" s="139" t="s">
        <v>883</v>
      </c>
      <c r="N7" s="138">
        <v>49.0</v>
      </c>
      <c r="O7" s="239" t="s">
        <v>334</v>
      </c>
      <c r="P7" s="138">
        <v>5.0</v>
      </c>
      <c r="Q7" s="239" t="s">
        <v>1547</v>
      </c>
      <c r="R7" s="3763">
        <v>5.0</v>
      </c>
      <c r="S7" s="3708">
        <f>Fighters!$S6</f>
        <v>5</v>
      </c>
      <c r="T7" s="3708">
        <f>Fighters!$T6</f>
        <v>72</v>
      </c>
      <c r="U7" s="3710" t="str">
        <f>Fighters!$V6</f>
        <v>samusd</v>
      </c>
    </row>
    <row r="8">
      <c r="A8" s="3700">
        <f>Fighters!$A7</f>
        <v>5</v>
      </c>
      <c r="B8" s="3701" t="str">
        <f>Fighters!$B7</f>
        <v>ヨッシー</v>
      </c>
      <c r="C8" s="239" t="s">
        <v>880</v>
      </c>
      <c r="D8" s="3762">
        <v>29.0</v>
      </c>
      <c r="E8" s="239" t="s">
        <v>880</v>
      </c>
      <c r="F8" s="3762">
        <v>39.0</v>
      </c>
      <c r="G8" s="239" t="s">
        <v>881</v>
      </c>
      <c r="H8" s="3762">
        <v>21.0</v>
      </c>
      <c r="I8" s="139" t="s">
        <v>882</v>
      </c>
      <c r="J8" s="3762">
        <v>28.0</v>
      </c>
      <c r="K8" s="139" t="s">
        <v>882</v>
      </c>
      <c r="L8" s="3762">
        <v>28.0</v>
      </c>
      <c r="M8" s="139" t="s">
        <v>883</v>
      </c>
      <c r="N8" s="138">
        <v>49.0</v>
      </c>
      <c r="O8" s="239" t="s">
        <v>334</v>
      </c>
      <c r="P8" s="138">
        <v>5.0</v>
      </c>
      <c r="Q8" s="239" t="s">
        <v>522</v>
      </c>
      <c r="R8" s="3763">
        <v>5.0</v>
      </c>
      <c r="S8" s="3708">
        <f>Fighters!$S7</f>
        <v>6</v>
      </c>
      <c r="T8" s="3708">
        <f>Fighters!$T7</f>
        <v>4</v>
      </c>
      <c r="U8" s="3710" t="str">
        <f>Fighters!$V7</f>
        <v>younglink</v>
      </c>
    </row>
    <row r="9">
      <c r="A9" s="3700">
        <f>Fighters!$A8</f>
        <v>6</v>
      </c>
      <c r="B9" s="3701" t="str">
        <f>Fighters!$B8</f>
        <v>カービィ</v>
      </c>
      <c r="C9" s="239" t="s">
        <v>880</v>
      </c>
      <c r="D9" s="3762">
        <v>29.0</v>
      </c>
      <c r="E9" s="239" t="s">
        <v>880</v>
      </c>
      <c r="F9" s="3762">
        <v>39.0</v>
      </c>
      <c r="G9" s="239" t="s">
        <v>881</v>
      </c>
      <c r="H9" s="3762">
        <v>21.0</v>
      </c>
      <c r="I9" s="139" t="s">
        <v>882</v>
      </c>
      <c r="J9" s="3762">
        <v>28.0</v>
      </c>
      <c r="K9" s="139" t="s">
        <v>882</v>
      </c>
      <c r="L9" s="3762">
        <v>28.0</v>
      </c>
      <c r="M9" s="139" t="s">
        <v>883</v>
      </c>
      <c r="N9" s="138">
        <v>49.0</v>
      </c>
      <c r="O9" s="239" t="s">
        <v>334</v>
      </c>
      <c r="P9" s="138">
        <v>5.0</v>
      </c>
      <c r="Q9" s="239" t="s">
        <v>562</v>
      </c>
      <c r="R9" s="3763">
        <v>5.0</v>
      </c>
      <c r="S9" s="3708">
        <f>Fighters!$S8</f>
        <v>7</v>
      </c>
      <c r="T9" s="3708">
        <f>Fighters!$T8</f>
        <v>5</v>
      </c>
      <c r="U9" s="3710" t="str">
        <f>Fighters!$V8</f>
        <v>kirby</v>
      </c>
    </row>
    <row r="10">
      <c r="A10" s="3700">
        <f>Fighters!$A9</f>
        <v>7</v>
      </c>
      <c r="B10" s="3701" t="str">
        <f>Fighters!$B9</f>
        <v>フォックス</v>
      </c>
      <c r="C10" s="239" t="s">
        <v>880</v>
      </c>
      <c r="D10" s="3762">
        <v>29.0</v>
      </c>
      <c r="E10" s="239" t="s">
        <v>880</v>
      </c>
      <c r="F10" s="3762">
        <v>39.0</v>
      </c>
      <c r="G10" s="239" t="s">
        <v>881</v>
      </c>
      <c r="H10" s="3762">
        <v>21.0</v>
      </c>
      <c r="I10" s="139" t="s">
        <v>882</v>
      </c>
      <c r="J10" s="3762">
        <v>28.0</v>
      </c>
      <c r="K10" s="139" t="s">
        <v>882</v>
      </c>
      <c r="L10" s="3762">
        <v>28.0</v>
      </c>
      <c r="M10" s="139" t="s">
        <v>883</v>
      </c>
      <c r="N10" s="138">
        <v>49.0</v>
      </c>
      <c r="O10" s="239" t="s">
        <v>334</v>
      </c>
      <c r="P10" s="138">
        <v>5.0</v>
      </c>
      <c r="Q10" s="239" t="s">
        <v>610</v>
      </c>
      <c r="R10" s="3763">
        <v>5.0</v>
      </c>
      <c r="S10" s="3708">
        <f>Fighters!$S9</f>
        <v>8</v>
      </c>
      <c r="T10" s="3708">
        <f>Fighters!$T9</f>
        <v>6</v>
      </c>
      <c r="U10" s="3710" t="str">
        <f>Fighters!$V9</f>
        <v>fox</v>
      </c>
    </row>
    <row r="11">
      <c r="A11" s="3700">
        <f>Fighters!$A10</f>
        <v>8</v>
      </c>
      <c r="B11" s="3701" t="str">
        <f>Fighters!$B10</f>
        <v>ピカチュウ</v>
      </c>
      <c r="C11" s="239" t="s">
        <v>880</v>
      </c>
      <c r="D11" s="3762">
        <v>29.0</v>
      </c>
      <c r="E11" s="239" t="s">
        <v>880</v>
      </c>
      <c r="F11" s="3762">
        <v>39.0</v>
      </c>
      <c r="G11" s="239" t="s">
        <v>881</v>
      </c>
      <c r="H11" s="3762">
        <v>21.0</v>
      </c>
      <c r="I11" s="139" t="s">
        <v>882</v>
      </c>
      <c r="J11" s="3762">
        <v>28.0</v>
      </c>
      <c r="K11" s="139" t="s">
        <v>882</v>
      </c>
      <c r="L11" s="3762">
        <v>28.0</v>
      </c>
      <c r="M11" s="139" t="s">
        <v>883</v>
      </c>
      <c r="N11" s="138">
        <v>49.0</v>
      </c>
      <c r="O11" s="239" t="s">
        <v>653</v>
      </c>
      <c r="P11" s="138">
        <v>5.0</v>
      </c>
      <c r="Q11" s="239" t="s">
        <v>288</v>
      </c>
      <c r="R11" s="3763">
        <v>5.0</v>
      </c>
      <c r="S11" s="3708">
        <f>Fighters!$S10</f>
        <v>9</v>
      </c>
      <c r="T11" s="3708">
        <f>Fighters!$T10</f>
        <v>7</v>
      </c>
      <c r="U11" s="3710" t="str">
        <f>Fighters!$V10</f>
        <v>pikachu</v>
      </c>
    </row>
    <row r="12">
      <c r="A12" s="3700">
        <f>Fighters!$A11</f>
        <v>9</v>
      </c>
      <c r="B12" s="3701" t="str">
        <f>Fighters!$B11</f>
        <v>ルイージ</v>
      </c>
      <c r="C12" s="239" t="s">
        <v>880</v>
      </c>
      <c r="D12" s="3762">
        <v>29.0</v>
      </c>
      <c r="E12" s="239" t="s">
        <v>880</v>
      </c>
      <c r="F12" s="3762">
        <v>39.0</v>
      </c>
      <c r="G12" s="239" t="s">
        <v>881</v>
      </c>
      <c r="H12" s="3762">
        <v>21.0</v>
      </c>
      <c r="I12" s="139" t="s">
        <v>882</v>
      </c>
      <c r="J12" s="3762">
        <v>28.0</v>
      </c>
      <c r="K12" s="139" t="s">
        <v>882</v>
      </c>
      <c r="L12" s="3762">
        <v>28.0</v>
      </c>
      <c r="M12" s="139" t="s">
        <v>883</v>
      </c>
      <c r="N12" s="138">
        <v>49.0</v>
      </c>
      <c r="O12" s="239" t="s">
        <v>351</v>
      </c>
      <c r="P12" s="138">
        <v>5.0</v>
      </c>
      <c r="Q12" s="239" t="s">
        <v>523</v>
      </c>
      <c r="R12" s="3763">
        <v>5.0</v>
      </c>
      <c r="S12" s="3708">
        <f>Fighters!$S11</f>
        <v>10</v>
      </c>
      <c r="T12" s="3708">
        <f>Fighters!$T11</f>
        <v>8</v>
      </c>
      <c r="U12" s="3710" t="str">
        <f>Fighters!$V11</f>
        <v>luigi</v>
      </c>
    </row>
    <row r="13">
      <c r="A13" s="3700">
        <f>Fighters!$A12</f>
        <v>10</v>
      </c>
      <c r="B13" s="3701" t="str">
        <f>Fighters!$B12</f>
        <v>ネス</v>
      </c>
      <c r="C13" s="239" t="s">
        <v>880</v>
      </c>
      <c r="D13" s="3762">
        <v>29.0</v>
      </c>
      <c r="E13" s="239" t="s">
        <v>880</v>
      </c>
      <c r="F13" s="3762">
        <v>39.0</v>
      </c>
      <c r="G13" s="239" t="s">
        <v>881</v>
      </c>
      <c r="H13" s="3762">
        <v>21.0</v>
      </c>
      <c r="I13" s="139" t="s">
        <v>882</v>
      </c>
      <c r="J13" s="3762">
        <v>28.0</v>
      </c>
      <c r="K13" s="139" t="s">
        <v>882</v>
      </c>
      <c r="L13" s="3762">
        <v>28.0</v>
      </c>
      <c r="M13" s="139" t="s">
        <v>883</v>
      </c>
      <c r="N13" s="138">
        <v>49.0</v>
      </c>
      <c r="O13" s="239" t="s">
        <v>334</v>
      </c>
      <c r="P13" s="138">
        <v>5.0</v>
      </c>
      <c r="Q13" s="239" t="s">
        <v>433</v>
      </c>
      <c r="R13" s="3763">
        <v>5.0</v>
      </c>
      <c r="S13" s="3708">
        <f>Fighters!$S12</f>
        <v>11</v>
      </c>
      <c r="T13" s="3708">
        <f>Fighters!$T12</f>
        <v>9</v>
      </c>
      <c r="U13" s="3710" t="str">
        <f>Fighters!$V12</f>
        <v>ness</v>
      </c>
    </row>
    <row r="14">
      <c r="A14" s="3700">
        <f>Fighters!$A13</f>
        <v>11</v>
      </c>
      <c r="B14" s="3701" t="str">
        <f>Fighters!$B13</f>
        <v>キャプテン・ファルコン</v>
      </c>
      <c r="C14" s="239" t="s">
        <v>880</v>
      </c>
      <c r="D14" s="3762">
        <v>29.0</v>
      </c>
      <c r="E14" s="239" t="s">
        <v>880</v>
      </c>
      <c r="F14" s="3762">
        <v>39.0</v>
      </c>
      <c r="G14" s="239" t="s">
        <v>881</v>
      </c>
      <c r="H14" s="3762">
        <v>21.0</v>
      </c>
      <c r="I14" s="139" t="s">
        <v>882</v>
      </c>
      <c r="J14" s="3762">
        <v>28.0</v>
      </c>
      <c r="K14" s="139" t="s">
        <v>882</v>
      </c>
      <c r="L14" s="3762">
        <v>28.0</v>
      </c>
      <c r="M14" s="139" t="s">
        <v>883</v>
      </c>
      <c r="N14" s="138">
        <v>49.0</v>
      </c>
      <c r="O14" s="239" t="s">
        <v>653</v>
      </c>
      <c r="P14" s="138">
        <v>5.0</v>
      </c>
      <c r="Q14" s="239" t="s">
        <v>377</v>
      </c>
      <c r="R14" s="3763">
        <v>5.0</v>
      </c>
      <c r="S14" s="3708">
        <f>Fighters!$S13</f>
        <v>12</v>
      </c>
      <c r="T14" s="3708">
        <f>Fighters!$T13</f>
        <v>10</v>
      </c>
      <c r="U14" s="3710" t="str">
        <f>Fighters!$V13</f>
        <v>captain</v>
      </c>
    </row>
    <row r="15">
      <c r="A15" s="3700">
        <f>Fighters!$A14</f>
        <v>12</v>
      </c>
      <c r="B15" s="3701" t="str">
        <f>Fighters!$B14</f>
        <v>プリン</v>
      </c>
      <c r="C15" s="239" t="s">
        <v>880</v>
      </c>
      <c r="D15" s="3762">
        <v>29.0</v>
      </c>
      <c r="E15" s="239" t="s">
        <v>880</v>
      </c>
      <c r="F15" s="3762">
        <v>39.0</v>
      </c>
      <c r="G15" s="239" t="s">
        <v>881</v>
      </c>
      <c r="H15" s="3762">
        <v>21.0</v>
      </c>
      <c r="I15" s="139" t="s">
        <v>882</v>
      </c>
      <c r="J15" s="3762">
        <v>28.0</v>
      </c>
      <c r="K15" s="139" t="s">
        <v>882</v>
      </c>
      <c r="L15" s="3762">
        <v>28.0</v>
      </c>
      <c r="M15" s="139" t="s">
        <v>883</v>
      </c>
      <c r="N15" s="138">
        <v>49.0</v>
      </c>
      <c r="O15" s="239" t="s">
        <v>351</v>
      </c>
      <c r="P15" s="138">
        <v>5.0</v>
      </c>
      <c r="Q15" s="239" t="s">
        <v>562</v>
      </c>
      <c r="R15" s="3763">
        <v>5.0</v>
      </c>
      <c r="S15" s="3708">
        <f>Fighters!$S14</f>
        <v>13</v>
      </c>
      <c r="T15" s="3708">
        <f>Fighters!$T14</f>
        <v>11</v>
      </c>
      <c r="U15" s="3710" t="str">
        <f>Fighters!$V14</f>
        <v>purin</v>
      </c>
    </row>
    <row r="16">
      <c r="A16" s="3700">
        <f>Fighters!$A15</f>
        <v>13</v>
      </c>
      <c r="B16" s="3701" t="str">
        <f>Fighters!$B15</f>
        <v>ピーチ</v>
      </c>
      <c r="C16" s="239" t="s">
        <v>880</v>
      </c>
      <c r="D16" s="3762">
        <v>29.0</v>
      </c>
      <c r="E16" s="239" t="s">
        <v>880</v>
      </c>
      <c r="F16" s="3762">
        <v>39.0</v>
      </c>
      <c r="G16" s="239" t="s">
        <v>881</v>
      </c>
      <c r="H16" s="3762">
        <v>21.0</v>
      </c>
      <c r="I16" s="139" t="s">
        <v>882</v>
      </c>
      <c r="J16" s="3762">
        <v>28.0</v>
      </c>
      <c r="K16" s="139" t="s">
        <v>882</v>
      </c>
      <c r="L16" s="3762">
        <v>28.0</v>
      </c>
      <c r="M16" s="139" t="s">
        <v>883</v>
      </c>
      <c r="N16" s="138">
        <v>49.0</v>
      </c>
      <c r="O16" s="239" t="s">
        <v>334</v>
      </c>
      <c r="P16" s="138">
        <v>5.0</v>
      </c>
      <c r="Q16" s="239" t="s">
        <v>562</v>
      </c>
      <c r="R16" s="3763">
        <v>5.0</v>
      </c>
      <c r="S16" s="3708">
        <f>Fighters!$S15</f>
        <v>14</v>
      </c>
      <c r="T16" s="3708">
        <f>Fighters!$T15</f>
        <v>12</v>
      </c>
      <c r="U16" s="3710" t="str">
        <f>Fighters!$V15</f>
        <v>peach</v>
      </c>
    </row>
    <row r="17">
      <c r="A17" s="3700" t="str">
        <f>Fighters!$A16</f>
        <v>13'</v>
      </c>
      <c r="B17" s="3701" t="str">
        <f>Fighters!$B16</f>
        <v>デイジー</v>
      </c>
      <c r="C17" s="239" t="s">
        <v>880</v>
      </c>
      <c r="D17" s="3762">
        <v>29.0</v>
      </c>
      <c r="E17" s="239" t="s">
        <v>880</v>
      </c>
      <c r="F17" s="3762">
        <v>39.0</v>
      </c>
      <c r="G17" s="239" t="s">
        <v>881</v>
      </c>
      <c r="H17" s="3762">
        <v>21.0</v>
      </c>
      <c r="I17" s="139" t="s">
        <v>882</v>
      </c>
      <c r="J17" s="3762">
        <v>28.0</v>
      </c>
      <c r="K17" s="139" t="s">
        <v>882</v>
      </c>
      <c r="L17" s="3762">
        <v>28.0</v>
      </c>
      <c r="M17" s="139" t="s">
        <v>883</v>
      </c>
      <c r="N17" s="138">
        <v>49.0</v>
      </c>
      <c r="O17" s="239" t="s">
        <v>334</v>
      </c>
      <c r="P17" s="138">
        <v>5.0</v>
      </c>
      <c r="Q17" s="239" t="s">
        <v>562</v>
      </c>
      <c r="R17" s="3763">
        <v>5.0</v>
      </c>
      <c r="S17" s="3708">
        <f>Fighters!$S16</f>
        <v>15</v>
      </c>
      <c r="T17" s="3708">
        <f>Fighters!$T16</f>
        <v>73</v>
      </c>
      <c r="U17" s="3710" t="str">
        <f>Fighters!$V16</f>
        <v>daisy</v>
      </c>
    </row>
    <row r="18">
      <c r="A18" s="3700">
        <f>Fighters!$A17</f>
        <v>14</v>
      </c>
      <c r="B18" s="3701" t="str">
        <f>Fighters!$B17</f>
        <v>クッパ</v>
      </c>
      <c r="C18" s="239" t="s">
        <v>880</v>
      </c>
      <c r="D18" s="3762">
        <v>29.0</v>
      </c>
      <c r="E18" s="239" t="s">
        <v>880</v>
      </c>
      <c r="F18" s="3762">
        <v>39.0</v>
      </c>
      <c r="G18" s="239" t="s">
        <v>881</v>
      </c>
      <c r="H18" s="3762">
        <v>21.0</v>
      </c>
      <c r="I18" s="139" t="s">
        <v>882</v>
      </c>
      <c r="J18" s="3762">
        <v>28.0</v>
      </c>
      <c r="K18" s="139" t="s">
        <v>882</v>
      </c>
      <c r="L18" s="3762">
        <v>28.0</v>
      </c>
      <c r="M18" s="139" t="s">
        <v>883</v>
      </c>
      <c r="N18" s="138">
        <v>49.0</v>
      </c>
      <c r="O18" s="239" t="s">
        <v>334</v>
      </c>
      <c r="P18" s="138">
        <v>5.0</v>
      </c>
      <c r="Q18" s="239" t="s">
        <v>377</v>
      </c>
      <c r="R18" s="3763">
        <v>5.0</v>
      </c>
      <c r="S18" s="3708">
        <f>Fighters!$S17</f>
        <v>16</v>
      </c>
      <c r="T18" s="3708">
        <f>Fighters!$T17</f>
        <v>13</v>
      </c>
      <c r="U18" s="3710" t="str">
        <f>Fighters!$V17</f>
        <v>koopa</v>
      </c>
    </row>
    <row r="19">
      <c r="A19" s="3700">
        <f>Fighters!$A18</f>
        <v>15</v>
      </c>
      <c r="B19" s="3701" t="str">
        <f>Fighters!$B18</f>
        <v>アイスクライマー</v>
      </c>
      <c r="C19" s="239" t="s">
        <v>880</v>
      </c>
      <c r="D19" s="3762">
        <v>29.0</v>
      </c>
      <c r="E19" s="239" t="s">
        <v>880</v>
      </c>
      <c r="F19" s="3762">
        <v>39.0</v>
      </c>
      <c r="G19" s="239" t="s">
        <v>881</v>
      </c>
      <c r="H19" s="3762">
        <v>21.0</v>
      </c>
      <c r="I19" s="139" t="s">
        <v>882</v>
      </c>
      <c r="J19" s="3762">
        <v>28.0</v>
      </c>
      <c r="K19" s="139" t="s">
        <v>882</v>
      </c>
      <c r="L19" s="3762">
        <v>28.0</v>
      </c>
      <c r="M19" s="139" t="s">
        <v>883</v>
      </c>
      <c r="N19" s="138">
        <v>49.0</v>
      </c>
      <c r="O19" s="239" t="s">
        <v>334</v>
      </c>
      <c r="P19" s="138">
        <v>5.0</v>
      </c>
      <c r="Q19" s="239" t="s">
        <v>523</v>
      </c>
      <c r="R19" s="3763">
        <v>5.0</v>
      </c>
      <c r="S19" s="3708">
        <f>Fighters!$S18</f>
        <v>17</v>
      </c>
      <c r="T19" s="3708">
        <f>Fighters!$T18</f>
        <v>14</v>
      </c>
      <c r="U19" s="3710" t="str">
        <f>Fighters!$V18</f>
        <v>popo</v>
      </c>
    </row>
    <row r="20">
      <c r="A20" s="3700">
        <f>Fighters!$A19</f>
        <v>16</v>
      </c>
      <c r="B20" s="3701" t="str">
        <f>Fighters!$B19</f>
        <v>シーク</v>
      </c>
      <c r="C20" s="239" t="s">
        <v>880</v>
      </c>
      <c r="D20" s="3762">
        <v>29.0</v>
      </c>
      <c r="E20" s="239" t="s">
        <v>880</v>
      </c>
      <c r="F20" s="3762">
        <v>39.0</v>
      </c>
      <c r="G20" s="239" t="s">
        <v>881</v>
      </c>
      <c r="H20" s="3762">
        <v>21.0</v>
      </c>
      <c r="I20" s="139" t="s">
        <v>882</v>
      </c>
      <c r="J20" s="3762">
        <v>28.0</v>
      </c>
      <c r="K20" s="139" t="s">
        <v>882</v>
      </c>
      <c r="L20" s="3762">
        <v>28.0</v>
      </c>
      <c r="M20" s="139" t="s">
        <v>883</v>
      </c>
      <c r="N20" s="138">
        <v>49.0</v>
      </c>
      <c r="O20" s="239" t="s">
        <v>334</v>
      </c>
      <c r="P20" s="138">
        <v>5.0</v>
      </c>
      <c r="Q20" s="239" t="s">
        <v>610</v>
      </c>
      <c r="R20" s="3763">
        <v>5.0</v>
      </c>
      <c r="S20" s="3708">
        <f>Fighters!$S19</f>
        <v>18</v>
      </c>
      <c r="T20" s="3708">
        <f>Fighters!$T19</f>
        <v>16</v>
      </c>
      <c r="U20" s="3710" t="str">
        <f>Fighters!$V19</f>
        <v>sheik</v>
      </c>
    </row>
    <row r="21">
      <c r="A21" s="3700">
        <f>Fighters!$A20</f>
        <v>17</v>
      </c>
      <c r="B21" s="3701" t="str">
        <f>Fighters!$B20</f>
        <v>ゼルダ</v>
      </c>
      <c r="C21" s="239" t="s">
        <v>880</v>
      </c>
      <c r="D21" s="3762">
        <v>29.0</v>
      </c>
      <c r="E21" s="239" t="s">
        <v>880</v>
      </c>
      <c r="F21" s="3762">
        <v>39.0</v>
      </c>
      <c r="G21" s="239" t="s">
        <v>881</v>
      </c>
      <c r="H21" s="3762">
        <v>21.0</v>
      </c>
      <c r="I21" s="139" t="s">
        <v>882</v>
      </c>
      <c r="J21" s="3762">
        <v>28.0</v>
      </c>
      <c r="K21" s="139" t="s">
        <v>882</v>
      </c>
      <c r="L21" s="3762">
        <v>28.0</v>
      </c>
      <c r="M21" s="139" t="s">
        <v>883</v>
      </c>
      <c r="N21" s="138">
        <v>49.0</v>
      </c>
      <c r="O21" s="239" t="s">
        <v>334</v>
      </c>
      <c r="P21" s="138">
        <v>5.0</v>
      </c>
      <c r="Q21" s="239" t="s">
        <v>562</v>
      </c>
      <c r="R21" s="3763">
        <v>5.0</v>
      </c>
      <c r="S21" s="3708">
        <f>Fighters!$S20</f>
        <v>19</v>
      </c>
      <c r="T21" s="3708">
        <f>Fighters!$T20</f>
        <v>17</v>
      </c>
      <c r="U21" s="3710" t="str">
        <f>Fighters!$V20</f>
        <v>zelda</v>
      </c>
    </row>
    <row r="22">
      <c r="A22" s="3700">
        <f>Fighters!$A21</f>
        <v>18</v>
      </c>
      <c r="B22" s="3701" t="str">
        <f>Fighters!$B21</f>
        <v>ドクターマリオ</v>
      </c>
      <c r="C22" s="239" t="s">
        <v>880</v>
      </c>
      <c r="D22" s="3762">
        <v>29.0</v>
      </c>
      <c r="E22" s="239" t="s">
        <v>880</v>
      </c>
      <c r="F22" s="3762">
        <v>39.0</v>
      </c>
      <c r="G22" s="239" t="s">
        <v>881</v>
      </c>
      <c r="H22" s="3762">
        <v>21.0</v>
      </c>
      <c r="I22" s="139" t="s">
        <v>882</v>
      </c>
      <c r="J22" s="3762">
        <v>28.0</v>
      </c>
      <c r="K22" s="139" t="s">
        <v>882</v>
      </c>
      <c r="L22" s="3762">
        <v>28.0</v>
      </c>
      <c r="M22" s="139" t="s">
        <v>883</v>
      </c>
      <c r="N22" s="138">
        <v>49.0</v>
      </c>
      <c r="O22" s="239" t="s">
        <v>334</v>
      </c>
      <c r="P22" s="1360">
        <v>5.0568</v>
      </c>
      <c r="Q22" s="239" t="s">
        <v>523</v>
      </c>
      <c r="R22" s="3788">
        <v>5.0568</v>
      </c>
      <c r="S22" s="3708">
        <f>Fighters!$S21</f>
        <v>20</v>
      </c>
      <c r="T22" s="3708">
        <f>Fighters!$T21</f>
        <v>18</v>
      </c>
      <c r="U22" s="3710" t="str">
        <f>Fighters!$V21</f>
        <v>mariod</v>
      </c>
    </row>
    <row r="23">
      <c r="A23" s="3700">
        <f>Fighters!$A22</f>
        <v>19</v>
      </c>
      <c r="B23" s="3701" t="str">
        <f>Fighters!$B22</f>
        <v>ピチュー</v>
      </c>
      <c r="C23" s="239" t="s">
        <v>880</v>
      </c>
      <c r="D23" s="3762">
        <v>29.0</v>
      </c>
      <c r="E23" s="239" t="s">
        <v>880</v>
      </c>
      <c r="F23" s="3762">
        <v>39.0</v>
      </c>
      <c r="G23" s="239" t="s">
        <v>881</v>
      </c>
      <c r="H23" s="3762">
        <v>21.0</v>
      </c>
      <c r="I23" s="139" t="s">
        <v>882</v>
      </c>
      <c r="J23" s="3762">
        <v>28.0</v>
      </c>
      <c r="K23" s="139" t="s">
        <v>882</v>
      </c>
      <c r="L23" s="3762">
        <v>28.0</v>
      </c>
      <c r="M23" s="139" t="s">
        <v>883</v>
      </c>
      <c r="N23" s="138">
        <v>49.0</v>
      </c>
      <c r="O23" s="239" t="s">
        <v>653</v>
      </c>
      <c r="P23" s="138">
        <v>5.0</v>
      </c>
      <c r="Q23" s="239" t="s">
        <v>288</v>
      </c>
      <c r="R23" s="3763">
        <v>5.0</v>
      </c>
      <c r="S23" s="3708">
        <f>Fighters!$S22</f>
        <v>21</v>
      </c>
      <c r="T23" s="3708">
        <f>Fighters!$T22</f>
        <v>19</v>
      </c>
      <c r="U23" s="3710" t="str">
        <f>Fighters!$V22</f>
        <v>pichu</v>
      </c>
    </row>
    <row r="24">
      <c r="A24" s="3700">
        <f>Fighters!$A23</f>
        <v>20</v>
      </c>
      <c r="B24" s="3701" t="str">
        <f>Fighters!$B23</f>
        <v>ファルコ</v>
      </c>
      <c r="C24" s="239" t="s">
        <v>880</v>
      </c>
      <c r="D24" s="3762">
        <v>29.0</v>
      </c>
      <c r="E24" s="239" t="s">
        <v>880</v>
      </c>
      <c r="F24" s="3762">
        <v>39.0</v>
      </c>
      <c r="G24" s="239" t="s">
        <v>881</v>
      </c>
      <c r="H24" s="3762">
        <v>21.0</v>
      </c>
      <c r="I24" s="139" t="s">
        <v>882</v>
      </c>
      <c r="J24" s="3762">
        <v>28.0</v>
      </c>
      <c r="K24" s="139" t="s">
        <v>882</v>
      </c>
      <c r="L24" s="3762">
        <v>28.0</v>
      </c>
      <c r="M24" s="139" t="s">
        <v>883</v>
      </c>
      <c r="N24" s="138">
        <v>49.0</v>
      </c>
      <c r="O24" s="239" t="s">
        <v>334</v>
      </c>
      <c r="P24" s="138">
        <v>5.0</v>
      </c>
      <c r="Q24" s="239" t="s">
        <v>610</v>
      </c>
      <c r="R24" s="3763">
        <v>5.0</v>
      </c>
      <c r="S24" s="3708">
        <f>Fighters!$S23</f>
        <v>22</v>
      </c>
      <c r="T24" s="3708">
        <f>Fighters!$T23</f>
        <v>20</v>
      </c>
      <c r="U24" s="3710" t="str">
        <f>Fighters!$V23</f>
        <v>falco</v>
      </c>
    </row>
    <row r="25">
      <c r="A25" s="3700">
        <f>Fighters!$A24</f>
        <v>21</v>
      </c>
      <c r="B25" s="3701" t="str">
        <f>Fighters!$B24</f>
        <v>マルス</v>
      </c>
      <c r="C25" s="239" t="s">
        <v>880</v>
      </c>
      <c r="D25" s="3762">
        <v>29.0</v>
      </c>
      <c r="E25" s="239" t="s">
        <v>880</v>
      </c>
      <c r="F25" s="3762">
        <v>39.0</v>
      </c>
      <c r="G25" s="239" t="s">
        <v>881</v>
      </c>
      <c r="H25" s="3762">
        <v>21.0</v>
      </c>
      <c r="I25" s="139" t="s">
        <v>882</v>
      </c>
      <c r="J25" s="3762">
        <v>28.0</v>
      </c>
      <c r="K25" s="139" t="s">
        <v>882</v>
      </c>
      <c r="L25" s="3762">
        <v>28.0</v>
      </c>
      <c r="M25" s="139" t="s">
        <v>883</v>
      </c>
      <c r="N25" s="138">
        <v>49.0</v>
      </c>
      <c r="O25" s="239" t="s">
        <v>351</v>
      </c>
      <c r="P25" s="138">
        <v>5.0</v>
      </c>
      <c r="Q25" s="239" t="s">
        <v>433</v>
      </c>
      <c r="R25" s="3763">
        <v>5.0</v>
      </c>
      <c r="S25" s="3708">
        <f>Fighters!$S24</f>
        <v>23</v>
      </c>
      <c r="T25" s="3708">
        <f>Fighters!$T24</f>
        <v>21</v>
      </c>
      <c r="U25" s="3710" t="str">
        <f>Fighters!$V24</f>
        <v>marth</v>
      </c>
    </row>
    <row r="26">
      <c r="A26" s="3700" t="str">
        <f>Fighters!$A25</f>
        <v>21'</v>
      </c>
      <c r="B26" s="3701" t="str">
        <f>Fighters!$B25</f>
        <v>ルキナ</v>
      </c>
      <c r="C26" s="239" t="s">
        <v>880</v>
      </c>
      <c r="D26" s="3762">
        <v>29.0</v>
      </c>
      <c r="E26" s="239" t="s">
        <v>880</v>
      </c>
      <c r="F26" s="3762">
        <v>39.0</v>
      </c>
      <c r="G26" s="239" t="s">
        <v>881</v>
      </c>
      <c r="H26" s="3762">
        <v>21.0</v>
      </c>
      <c r="I26" s="139" t="s">
        <v>882</v>
      </c>
      <c r="J26" s="3762">
        <v>28.0</v>
      </c>
      <c r="K26" s="139" t="s">
        <v>882</v>
      </c>
      <c r="L26" s="3762">
        <v>28.0</v>
      </c>
      <c r="M26" s="139" t="s">
        <v>883</v>
      </c>
      <c r="N26" s="138">
        <v>49.0</v>
      </c>
      <c r="O26" s="239" t="s">
        <v>351</v>
      </c>
      <c r="P26" s="138">
        <v>5.0</v>
      </c>
      <c r="Q26" s="239" t="s">
        <v>433</v>
      </c>
      <c r="R26" s="3763">
        <v>5.0</v>
      </c>
      <c r="S26" s="3708">
        <f>Fighters!$S25</f>
        <v>24</v>
      </c>
      <c r="T26" s="3708">
        <f>Fighters!$T25</f>
        <v>74</v>
      </c>
      <c r="U26" s="3710" t="str">
        <f>Fighters!$V25</f>
        <v>lucina</v>
      </c>
    </row>
    <row r="27">
      <c r="A27" s="3700">
        <f>Fighters!$A26</f>
        <v>22</v>
      </c>
      <c r="B27" s="3701" t="str">
        <f>Fighters!$B26</f>
        <v>こどもリンク</v>
      </c>
      <c r="C27" s="239" t="s">
        <v>880</v>
      </c>
      <c r="D27" s="3762">
        <v>29.0</v>
      </c>
      <c r="E27" s="239" t="s">
        <v>880</v>
      </c>
      <c r="F27" s="3762">
        <v>39.0</v>
      </c>
      <c r="G27" s="239" t="s">
        <v>881</v>
      </c>
      <c r="H27" s="3762">
        <v>21.0</v>
      </c>
      <c r="I27" s="139" t="s">
        <v>882</v>
      </c>
      <c r="J27" s="3762">
        <v>28.0</v>
      </c>
      <c r="K27" s="139" t="s">
        <v>882</v>
      </c>
      <c r="L27" s="3762">
        <v>28.0</v>
      </c>
      <c r="M27" s="139" t="s">
        <v>883</v>
      </c>
      <c r="N27" s="138">
        <v>49.0</v>
      </c>
      <c r="O27" s="239" t="s">
        <v>334</v>
      </c>
      <c r="P27" s="138">
        <v>5.0</v>
      </c>
      <c r="Q27" s="239" t="s">
        <v>784</v>
      </c>
      <c r="R27" s="3763">
        <v>5.0</v>
      </c>
      <c r="S27" s="3708">
        <f>Fighters!$S26</f>
        <v>25</v>
      </c>
      <c r="T27" s="3708">
        <f>Fighters!$T26</f>
        <v>22</v>
      </c>
      <c r="U27" s="3710" t="str">
        <f>Fighters!$V26</f>
        <v>yoshi</v>
      </c>
    </row>
    <row r="28">
      <c r="A28" s="3700">
        <f>Fighters!$A27</f>
        <v>23</v>
      </c>
      <c r="B28" s="3701" t="str">
        <f>Fighters!$B27</f>
        <v>ガノンドロフ</v>
      </c>
      <c r="C28" s="239" t="s">
        <v>880</v>
      </c>
      <c r="D28" s="3762">
        <v>29.0</v>
      </c>
      <c r="E28" s="239" t="s">
        <v>880</v>
      </c>
      <c r="F28" s="3762">
        <v>39.0</v>
      </c>
      <c r="G28" s="239" t="s">
        <v>881</v>
      </c>
      <c r="H28" s="3762">
        <v>21.0</v>
      </c>
      <c r="I28" s="139" t="s">
        <v>882</v>
      </c>
      <c r="J28" s="3762">
        <v>28.0</v>
      </c>
      <c r="K28" s="139" t="s">
        <v>882</v>
      </c>
      <c r="L28" s="3762">
        <v>28.0</v>
      </c>
      <c r="M28" s="139" t="s">
        <v>883</v>
      </c>
      <c r="N28" s="138">
        <v>49.0</v>
      </c>
      <c r="O28" s="239" t="s">
        <v>334</v>
      </c>
      <c r="P28" s="138">
        <v>5.0</v>
      </c>
      <c r="Q28" s="239" t="s">
        <v>610</v>
      </c>
      <c r="R28" s="3763">
        <v>5.0</v>
      </c>
      <c r="S28" s="3708">
        <f>Fighters!$S27</f>
        <v>26</v>
      </c>
      <c r="T28" s="3708">
        <f>Fighters!$T27</f>
        <v>23</v>
      </c>
      <c r="U28" s="3710" t="str">
        <f>Fighters!$V27</f>
        <v>ganon</v>
      </c>
    </row>
    <row r="29">
      <c r="A29" s="3700">
        <f>Fighters!$A28</f>
        <v>24</v>
      </c>
      <c r="B29" s="3701" t="str">
        <f>Fighters!$B28</f>
        <v>ミュウツー</v>
      </c>
      <c r="C29" s="239" t="s">
        <v>880</v>
      </c>
      <c r="D29" s="3762">
        <v>29.0</v>
      </c>
      <c r="E29" s="239" t="s">
        <v>880</v>
      </c>
      <c r="F29" s="3762">
        <v>39.0</v>
      </c>
      <c r="G29" s="239" t="s">
        <v>881</v>
      </c>
      <c r="H29" s="3762">
        <v>21.0</v>
      </c>
      <c r="I29" s="139" t="s">
        <v>882</v>
      </c>
      <c r="J29" s="3762">
        <v>28.0</v>
      </c>
      <c r="K29" s="139" t="s">
        <v>882</v>
      </c>
      <c r="L29" s="3762">
        <v>28.0</v>
      </c>
      <c r="M29" s="139" t="s">
        <v>883</v>
      </c>
      <c r="N29" s="138">
        <v>49.0</v>
      </c>
      <c r="O29" s="239" t="s">
        <v>334</v>
      </c>
      <c r="P29" s="138">
        <v>5.0</v>
      </c>
      <c r="Q29" s="239" t="s">
        <v>523</v>
      </c>
      <c r="R29" s="3763">
        <v>5.0</v>
      </c>
      <c r="S29" s="3708">
        <f>Fighters!$S28</f>
        <v>27</v>
      </c>
      <c r="T29" s="3708">
        <f>Fighters!$T28</f>
        <v>24</v>
      </c>
      <c r="U29" s="3710" t="str">
        <f>Fighters!$V28</f>
        <v>mewtwo</v>
      </c>
    </row>
    <row r="30">
      <c r="A30" s="3700">
        <f>Fighters!$A29</f>
        <v>25</v>
      </c>
      <c r="B30" s="3701" t="str">
        <f>Fighters!$B29</f>
        <v>ロイ</v>
      </c>
      <c r="C30" s="239" t="s">
        <v>880</v>
      </c>
      <c r="D30" s="3762">
        <v>29.0</v>
      </c>
      <c r="E30" s="239" t="s">
        <v>880</v>
      </c>
      <c r="F30" s="3762">
        <v>39.0</v>
      </c>
      <c r="G30" s="239" t="s">
        <v>881</v>
      </c>
      <c r="H30" s="3762">
        <v>21.0</v>
      </c>
      <c r="I30" s="139" t="s">
        <v>882</v>
      </c>
      <c r="J30" s="3762">
        <v>28.0</v>
      </c>
      <c r="K30" s="139" t="s">
        <v>882</v>
      </c>
      <c r="L30" s="3762">
        <v>28.0</v>
      </c>
      <c r="M30" s="139" t="s">
        <v>883</v>
      </c>
      <c r="N30" s="138">
        <v>49.0</v>
      </c>
      <c r="O30" s="239" t="s">
        <v>351</v>
      </c>
      <c r="P30" s="138">
        <v>5.0</v>
      </c>
      <c r="Q30" s="239" t="s">
        <v>574</v>
      </c>
      <c r="R30" s="3763">
        <v>5.0</v>
      </c>
      <c r="S30" s="3708">
        <f>Fighters!$S29</f>
        <v>28</v>
      </c>
      <c r="T30" s="3708">
        <f>Fighters!$T29</f>
        <v>25</v>
      </c>
      <c r="U30" s="3710" t="str">
        <f>Fighters!$V29</f>
        <v>roy</v>
      </c>
    </row>
    <row r="31">
      <c r="A31" s="3700" t="str">
        <f>Fighters!$A30</f>
        <v>25'</v>
      </c>
      <c r="B31" s="3701" t="str">
        <f>Fighters!$B30</f>
        <v>クロム</v>
      </c>
      <c r="C31" s="239" t="s">
        <v>880</v>
      </c>
      <c r="D31" s="3762">
        <v>29.0</v>
      </c>
      <c r="E31" s="239" t="s">
        <v>880</v>
      </c>
      <c r="F31" s="3762">
        <v>39.0</v>
      </c>
      <c r="G31" s="239" t="s">
        <v>881</v>
      </c>
      <c r="H31" s="3762">
        <v>21.0</v>
      </c>
      <c r="I31" s="139" t="s">
        <v>882</v>
      </c>
      <c r="J31" s="3762">
        <v>28.0</v>
      </c>
      <c r="K31" s="139" t="s">
        <v>882</v>
      </c>
      <c r="L31" s="3762">
        <v>28.0</v>
      </c>
      <c r="M31" s="139" t="s">
        <v>883</v>
      </c>
      <c r="N31" s="138">
        <v>49.0</v>
      </c>
      <c r="O31" s="239" t="s">
        <v>351</v>
      </c>
      <c r="P31" s="138">
        <v>5.0</v>
      </c>
      <c r="Q31" s="239" t="s">
        <v>574</v>
      </c>
      <c r="R31" s="3763">
        <v>5.0</v>
      </c>
      <c r="S31" s="3708">
        <f>Fighters!$S30</f>
        <v>29</v>
      </c>
      <c r="T31" s="3708">
        <f>Fighters!$T30</f>
        <v>75</v>
      </c>
      <c r="U31" s="3710" t="str">
        <f>Fighters!$V30</f>
        <v>chrom</v>
      </c>
    </row>
    <row r="32">
      <c r="A32" s="3700">
        <f>Fighters!$A31</f>
        <v>26</v>
      </c>
      <c r="B32" s="3701" t="str">
        <f>Fighters!$B31</f>
        <v>Mr. ゲーム&amp;ウォッチ</v>
      </c>
      <c r="C32" s="239" t="s">
        <v>880</v>
      </c>
      <c r="D32" s="3762">
        <v>29.0</v>
      </c>
      <c r="E32" s="239" t="s">
        <v>880</v>
      </c>
      <c r="F32" s="3762">
        <v>39.0</v>
      </c>
      <c r="G32" s="239" t="s">
        <v>881</v>
      </c>
      <c r="H32" s="3762">
        <v>21.0</v>
      </c>
      <c r="I32" s="139" t="s">
        <v>882</v>
      </c>
      <c r="J32" s="3762">
        <v>28.0</v>
      </c>
      <c r="K32" s="139" t="s">
        <v>882</v>
      </c>
      <c r="L32" s="3762">
        <v>28.0</v>
      </c>
      <c r="M32" s="139" t="s">
        <v>883</v>
      </c>
      <c r="N32" s="138">
        <v>49.0</v>
      </c>
      <c r="O32" s="239" t="s">
        <v>334</v>
      </c>
      <c r="P32" s="138">
        <v>5.0</v>
      </c>
      <c r="Q32" s="239" t="s">
        <v>433</v>
      </c>
      <c r="R32" s="3763">
        <v>5.0</v>
      </c>
      <c r="S32" s="3708">
        <f>Fighters!$S31</f>
        <v>30</v>
      </c>
      <c r="T32" s="3708">
        <f>Fighters!$T31</f>
        <v>26</v>
      </c>
      <c r="U32" s="3710" t="str">
        <f>Fighters!$V31</f>
        <v>gamewatch</v>
      </c>
    </row>
    <row r="33">
      <c r="A33" s="3700">
        <f>Fighters!$A32</f>
        <v>27</v>
      </c>
      <c r="B33" s="3701" t="str">
        <f>Fighters!$B32</f>
        <v>メタナイト</v>
      </c>
      <c r="C33" s="239" t="s">
        <v>880</v>
      </c>
      <c r="D33" s="3762">
        <v>29.0</v>
      </c>
      <c r="E33" s="239" t="s">
        <v>880</v>
      </c>
      <c r="F33" s="3762">
        <v>39.0</v>
      </c>
      <c r="G33" s="239" t="s">
        <v>881</v>
      </c>
      <c r="H33" s="3762">
        <v>21.0</v>
      </c>
      <c r="I33" s="139" t="s">
        <v>882</v>
      </c>
      <c r="J33" s="3762">
        <v>28.0</v>
      </c>
      <c r="K33" s="139" t="s">
        <v>882</v>
      </c>
      <c r="L33" s="3762">
        <v>28.0</v>
      </c>
      <c r="M33" s="139" t="s">
        <v>883</v>
      </c>
      <c r="N33" s="138">
        <v>49.0</v>
      </c>
      <c r="O33" s="239" t="s">
        <v>334</v>
      </c>
      <c r="P33" s="138">
        <v>5.0</v>
      </c>
      <c r="Q33" s="239" t="s">
        <v>610</v>
      </c>
      <c r="R33" s="3763">
        <v>5.0</v>
      </c>
      <c r="S33" s="3708">
        <f>Fighters!$S32</f>
        <v>31</v>
      </c>
      <c r="T33" s="3708">
        <f>Fighters!$T32</f>
        <v>27</v>
      </c>
      <c r="U33" s="3710" t="str">
        <f>Fighters!$V32</f>
        <v>metaknight</v>
      </c>
    </row>
    <row r="34">
      <c r="A34" s="3700">
        <f>Fighters!$A33</f>
        <v>28</v>
      </c>
      <c r="B34" s="3701" t="str">
        <f>Fighters!$B33</f>
        <v>ピット</v>
      </c>
      <c r="C34" s="239" t="s">
        <v>880</v>
      </c>
      <c r="D34" s="3762">
        <v>29.0</v>
      </c>
      <c r="E34" s="239" t="s">
        <v>880</v>
      </c>
      <c r="F34" s="3762">
        <v>39.0</v>
      </c>
      <c r="G34" s="239" t="s">
        <v>881</v>
      </c>
      <c r="H34" s="3762">
        <v>21.0</v>
      </c>
      <c r="I34" s="139" t="s">
        <v>882</v>
      </c>
      <c r="J34" s="3762">
        <v>28.0</v>
      </c>
      <c r="K34" s="139" t="s">
        <v>882</v>
      </c>
      <c r="L34" s="3762">
        <v>28.0</v>
      </c>
      <c r="M34" s="139" t="s">
        <v>883</v>
      </c>
      <c r="N34" s="1360">
        <v>49.0</v>
      </c>
      <c r="O34" s="365" t="s">
        <v>295</v>
      </c>
      <c r="P34" s="138">
        <v>5.0</v>
      </c>
      <c r="Q34" s="239" t="s">
        <v>443</v>
      </c>
      <c r="R34" s="3763">
        <v>5.0</v>
      </c>
      <c r="S34" s="3708">
        <f>Fighters!$S33</f>
        <v>32</v>
      </c>
      <c r="T34" s="3708">
        <f>Fighters!$T33</f>
        <v>28</v>
      </c>
      <c r="U34" s="3710" t="str">
        <f>Fighters!$V33</f>
        <v>pit</v>
      </c>
    </row>
    <row r="35">
      <c r="A35" s="3700" t="str">
        <f>Fighters!$A34</f>
        <v>28'</v>
      </c>
      <c r="B35" s="3701" t="str">
        <f>Fighters!$B34</f>
        <v>ブラックピット</v>
      </c>
      <c r="C35" s="239" t="s">
        <v>880</v>
      </c>
      <c r="D35" s="3762">
        <v>29.0</v>
      </c>
      <c r="E35" s="239" t="s">
        <v>880</v>
      </c>
      <c r="F35" s="3762">
        <v>39.0</v>
      </c>
      <c r="G35" s="239" t="s">
        <v>881</v>
      </c>
      <c r="H35" s="3762">
        <v>21.0</v>
      </c>
      <c r="I35" s="139" t="s">
        <v>882</v>
      </c>
      <c r="J35" s="3762">
        <v>28.0</v>
      </c>
      <c r="K35" s="139" t="s">
        <v>882</v>
      </c>
      <c r="L35" s="3762">
        <v>28.0</v>
      </c>
      <c r="M35" s="139" t="s">
        <v>883</v>
      </c>
      <c r="N35" s="1360">
        <v>49.0</v>
      </c>
      <c r="O35" s="365" t="s">
        <v>295</v>
      </c>
      <c r="P35" s="138">
        <v>5.0</v>
      </c>
      <c r="Q35" s="239" t="s">
        <v>443</v>
      </c>
      <c r="R35" s="3763">
        <v>5.0</v>
      </c>
      <c r="S35" s="3708">
        <f>Fighters!$S34</f>
        <v>33</v>
      </c>
      <c r="T35" s="3708">
        <f>Fighters!$T34</f>
        <v>76</v>
      </c>
      <c r="U35" s="3710" t="str">
        <f>Fighters!$V34</f>
        <v>pitb</v>
      </c>
    </row>
    <row r="36">
      <c r="A36" s="3700">
        <f>Fighters!$A35</f>
        <v>29</v>
      </c>
      <c r="B36" s="3701" t="str">
        <f>Fighters!$B35</f>
        <v>ゼロスーツサムス</v>
      </c>
      <c r="C36" s="239" t="s">
        <v>880</v>
      </c>
      <c r="D36" s="3762">
        <v>29.0</v>
      </c>
      <c r="E36" s="239" t="s">
        <v>880</v>
      </c>
      <c r="F36" s="3762">
        <v>39.0</v>
      </c>
      <c r="G36" s="239" t="s">
        <v>881</v>
      </c>
      <c r="H36" s="3762">
        <v>21.0</v>
      </c>
      <c r="I36" s="139" t="s">
        <v>882</v>
      </c>
      <c r="J36" s="3762">
        <v>28.0</v>
      </c>
      <c r="K36" s="139" t="s">
        <v>882</v>
      </c>
      <c r="L36" s="3762">
        <v>28.0</v>
      </c>
      <c r="M36" s="139" t="s">
        <v>883</v>
      </c>
      <c r="N36" s="138">
        <v>49.0</v>
      </c>
      <c r="O36" s="239" t="s">
        <v>334</v>
      </c>
      <c r="P36" s="138">
        <v>5.0</v>
      </c>
      <c r="Q36" s="239" t="s">
        <v>562</v>
      </c>
      <c r="R36" s="3763">
        <v>5.0</v>
      </c>
      <c r="S36" s="3708">
        <f>Fighters!$S35</f>
        <v>34</v>
      </c>
      <c r="T36" s="3708">
        <f>Fighters!$T35</f>
        <v>29</v>
      </c>
      <c r="U36" s="3710" t="str">
        <f>Fighters!$V35</f>
        <v>szerosuit</v>
      </c>
    </row>
    <row r="37">
      <c r="A37" s="3700">
        <f>Fighters!$A36</f>
        <v>30</v>
      </c>
      <c r="B37" s="3701" t="str">
        <f>Fighters!$B36</f>
        <v>ワリオ</v>
      </c>
      <c r="C37" s="239" t="s">
        <v>880</v>
      </c>
      <c r="D37" s="3762">
        <v>29.0</v>
      </c>
      <c r="E37" s="239" t="s">
        <v>880</v>
      </c>
      <c r="F37" s="3762">
        <v>39.0</v>
      </c>
      <c r="G37" s="239" t="s">
        <v>881</v>
      </c>
      <c r="H37" s="3762">
        <v>21.0</v>
      </c>
      <c r="I37" s="139" t="s">
        <v>882</v>
      </c>
      <c r="J37" s="3762">
        <v>28.0</v>
      </c>
      <c r="K37" s="139" t="s">
        <v>882</v>
      </c>
      <c r="L37" s="3762">
        <v>28.0</v>
      </c>
      <c r="M37" s="139" t="s">
        <v>883</v>
      </c>
      <c r="N37" s="138">
        <v>49.0</v>
      </c>
      <c r="O37" s="239" t="s">
        <v>334</v>
      </c>
      <c r="P37" s="138">
        <v>5.0</v>
      </c>
      <c r="Q37" s="239" t="s">
        <v>574</v>
      </c>
      <c r="R37" s="3763">
        <v>5.0</v>
      </c>
      <c r="S37" s="3708">
        <f>Fighters!$S36</f>
        <v>35</v>
      </c>
      <c r="T37" s="3708">
        <f>Fighters!$T36</f>
        <v>30</v>
      </c>
      <c r="U37" s="3710" t="str">
        <f>Fighters!$V36</f>
        <v>wario</v>
      </c>
    </row>
    <row r="38">
      <c r="A38" s="3700">
        <f>Fighters!$A37</f>
        <v>31</v>
      </c>
      <c r="B38" s="3701" t="str">
        <f>Fighters!$B37</f>
        <v>スネーク</v>
      </c>
      <c r="C38" s="239" t="s">
        <v>880</v>
      </c>
      <c r="D38" s="3762">
        <v>29.0</v>
      </c>
      <c r="E38" s="239" t="s">
        <v>880</v>
      </c>
      <c r="F38" s="3762">
        <v>39.0</v>
      </c>
      <c r="G38" s="239" t="s">
        <v>881</v>
      </c>
      <c r="H38" s="3762">
        <v>21.0</v>
      </c>
      <c r="I38" s="139" t="s">
        <v>882</v>
      </c>
      <c r="J38" s="3762">
        <v>28.0</v>
      </c>
      <c r="K38" s="139" t="s">
        <v>882</v>
      </c>
      <c r="L38" s="3762">
        <v>28.0</v>
      </c>
      <c r="M38" s="139" t="s">
        <v>883</v>
      </c>
      <c r="N38" s="138">
        <v>49.0</v>
      </c>
      <c r="O38" s="239" t="s">
        <v>334</v>
      </c>
      <c r="P38" s="138">
        <v>5.0</v>
      </c>
      <c r="Q38" s="239" t="s">
        <v>523</v>
      </c>
      <c r="R38" s="3763">
        <v>5.0</v>
      </c>
      <c r="S38" s="3708">
        <f>Fighters!$S37</f>
        <v>36</v>
      </c>
      <c r="T38" s="3708">
        <f>Fighters!$T37</f>
        <v>31</v>
      </c>
      <c r="U38" s="3710" t="str">
        <f>Fighters!$V37</f>
        <v>snake</v>
      </c>
    </row>
    <row r="39">
      <c r="A39" s="3700">
        <f>Fighters!$A38</f>
        <v>32</v>
      </c>
      <c r="B39" s="3701" t="str">
        <f>Fighters!$B38</f>
        <v>アイク</v>
      </c>
      <c r="C39" s="239" t="s">
        <v>880</v>
      </c>
      <c r="D39" s="3762">
        <v>29.0</v>
      </c>
      <c r="E39" s="239" t="s">
        <v>880</v>
      </c>
      <c r="F39" s="3762">
        <v>39.0</v>
      </c>
      <c r="G39" s="239" t="s">
        <v>881</v>
      </c>
      <c r="H39" s="3762">
        <v>21.0</v>
      </c>
      <c r="I39" s="139" t="s">
        <v>882</v>
      </c>
      <c r="J39" s="3762">
        <v>28.0</v>
      </c>
      <c r="K39" s="139" t="s">
        <v>882</v>
      </c>
      <c r="L39" s="3762">
        <v>28.0</v>
      </c>
      <c r="M39" s="139" t="s">
        <v>883</v>
      </c>
      <c r="N39" s="138">
        <v>49.0</v>
      </c>
      <c r="O39" s="239" t="s">
        <v>334</v>
      </c>
      <c r="P39" s="138">
        <v>5.0</v>
      </c>
      <c r="Q39" s="239" t="s">
        <v>377</v>
      </c>
      <c r="R39" s="3763">
        <v>5.0</v>
      </c>
      <c r="S39" s="3708">
        <f>Fighters!$S38</f>
        <v>37</v>
      </c>
      <c r="T39" s="3708">
        <f>Fighters!$T38</f>
        <v>32</v>
      </c>
      <c r="U39" s="3710" t="str">
        <f>Fighters!$V38</f>
        <v>ike</v>
      </c>
    </row>
    <row r="40">
      <c r="A40" s="3700">
        <f>Fighters!$A39</f>
        <v>33</v>
      </c>
      <c r="B40" s="3701" t="str">
        <f>Fighters!$B39</f>
        <v>ゼニガメ</v>
      </c>
      <c r="C40" s="239" t="s">
        <v>880</v>
      </c>
      <c r="D40" s="3762">
        <v>29.0</v>
      </c>
      <c r="E40" s="239" t="s">
        <v>880</v>
      </c>
      <c r="F40" s="3762">
        <v>39.0</v>
      </c>
      <c r="G40" s="239" t="s">
        <v>881</v>
      </c>
      <c r="H40" s="3762">
        <v>21.0</v>
      </c>
      <c r="I40" s="139" t="s">
        <v>882</v>
      </c>
      <c r="J40" s="3762">
        <v>28.0</v>
      </c>
      <c r="K40" s="139" t="s">
        <v>882</v>
      </c>
      <c r="L40" s="3762">
        <v>28.0</v>
      </c>
      <c r="M40" s="139" t="s">
        <v>883</v>
      </c>
      <c r="N40" s="138">
        <v>49.0</v>
      </c>
      <c r="O40" s="239" t="s">
        <v>334</v>
      </c>
      <c r="P40" s="138">
        <v>5.0</v>
      </c>
      <c r="Q40" s="239" t="s">
        <v>377</v>
      </c>
      <c r="R40" s="3763">
        <v>5.0</v>
      </c>
      <c r="S40" s="3708">
        <f>Fighters!$S39</f>
        <v>38</v>
      </c>
      <c r="T40" s="3708">
        <f>Fighters!$T39</f>
        <v>33</v>
      </c>
      <c r="U40" s="3710" t="str">
        <f>Fighters!$V39</f>
        <v>pzenigame</v>
      </c>
    </row>
    <row r="41">
      <c r="A41" s="3700">
        <f>Fighters!$A40</f>
        <v>34</v>
      </c>
      <c r="B41" s="3701" t="str">
        <f>Fighters!$B40</f>
        <v>フシギソウ</v>
      </c>
      <c r="C41" s="239" t="s">
        <v>880</v>
      </c>
      <c r="D41" s="3762">
        <v>29.0</v>
      </c>
      <c r="E41" s="239" t="s">
        <v>880</v>
      </c>
      <c r="F41" s="3762">
        <v>39.0</v>
      </c>
      <c r="G41" s="239" t="s">
        <v>881</v>
      </c>
      <c r="H41" s="3762">
        <v>21.0</v>
      </c>
      <c r="I41" s="139" t="s">
        <v>882</v>
      </c>
      <c r="J41" s="3762">
        <v>28.0</v>
      </c>
      <c r="K41" s="139" t="s">
        <v>882</v>
      </c>
      <c r="L41" s="3762">
        <v>28.0</v>
      </c>
      <c r="M41" s="139" t="s">
        <v>883</v>
      </c>
      <c r="N41" s="138">
        <v>49.0</v>
      </c>
      <c r="O41" s="239" t="s">
        <v>334</v>
      </c>
      <c r="P41" s="138">
        <v>5.0</v>
      </c>
      <c r="Q41" s="239" t="s">
        <v>523</v>
      </c>
      <c r="R41" s="3763">
        <v>5.0</v>
      </c>
      <c r="S41" s="3708">
        <f>Fighters!$S40</f>
        <v>39</v>
      </c>
      <c r="T41" s="3708">
        <f>Fighters!$T40</f>
        <v>34</v>
      </c>
      <c r="U41" s="3710" t="str">
        <f>Fighters!$V40</f>
        <v>pfushigisou</v>
      </c>
    </row>
    <row r="42">
      <c r="A42" s="3700">
        <f>Fighters!$A41</f>
        <v>35</v>
      </c>
      <c r="B42" s="3701" t="str">
        <f>Fighters!$B41</f>
        <v>リザードン</v>
      </c>
      <c r="C42" s="239" t="s">
        <v>880</v>
      </c>
      <c r="D42" s="3762">
        <v>29.0</v>
      </c>
      <c r="E42" s="239" t="s">
        <v>880</v>
      </c>
      <c r="F42" s="3762">
        <v>39.0</v>
      </c>
      <c r="G42" s="239" t="s">
        <v>881</v>
      </c>
      <c r="H42" s="3762">
        <v>21.0</v>
      </c>
      <c r="I42" s="139" t="s">
        <v>882</v>
      </c>
      <c r="J42" s="3762">
        <v>28.0</v>
      </c>
      <c r="K42" s="139" t="s">
        <v>882</v>
      </c>
      <c r="L42" s="3762">
        <v>28.0</v>
      </c>
      <c r="M42" s="139" t="s">
        <v>883</v>
      </c>
      <c r="N42" s="138">
        <v>49.0</v>
      </c>
      <c r="O42" s="239" t="s">
        <v>653</v>
      </c>
      <c r="P42" s="138">
        <v>5.0</v>
      </c>
      <c r="Q42" s="239" t="s">
        <v>377</v>
      </c>
      <c r="R42" s="3763">
        <v>5.0</v>
      </c>
      <c r="S42" s="3708">
        <f>Fighters!$S41</f>
        <v>40</v>
      </c>
      <c r="T42" s="3708">
        <f>Fighters!$T41</f>
        <v>35</v>
      </c>
      <c r="U42" s="3710" t="str">
        <f>Fighters!$V41</f>
        <v>plizardon</v>
      </c>
    </row>
    <row r="43">
      <c r="A43" s="3700">
        <f>Fighters!$A42</f>
        <v>36</v>
      </c>
      <c r="B43" s="3701" t="str">
        <f>Fighters!$B42</f>
        <v>ディディーコング</v>
      </c>
      <c r="C43" s="239" t="s">
        <v>880</v>
      </c>
      <c r="D43" s="3762">
        <v>29.0</v>
      </c>
      <c r="E43" s="239" t="s">
        <v>880</v>
      </c>
      <c r="F43" s="3762">
        <v>39.0</v>
      </c>
      <c r="G43" s="239" t="s">
        <v>881</v>
      </c>
      <c r="H43" s="3762">
        <v>21.0</v>
      </c>
      <c r="I43" s="139" t="s">
        <v>882</v>
      </c>
      <c r="J43" s="3762">
        <v>28.0</v>
      </c>
      <c r="K43" s="139" t="s">
        <v>882</v>
      </c>
      <c r="L43" s="3762">
        <v>28.0</v>
      </c>
      <c r="M43" s="139" t="s">
        <v>883</v>
      </c>
      <c r="N43" s="138">
        <v>49.0</v>
      </c>
      <c r="O43" s="239" t="s">
        <v>334</v>
      </c>
      <c r="P43" s="138">
        <v>5.0</v>
      </c>
      <c r="Q43" s="239" t="s">
        <v>562</v>
      </c>
      <c r="R43" s="3763">
        <v>5.0</v>
      </c>
      <c r="S43" s="3708">
        <f>Fighters!$S42</f>
        <v>41</v>
      </c>
      <c r="T43" s="3708">
        <f>Fighters!$T42</f>
        <v>36</v>
      </c>
      <c r="U43" s="3710" t="str">
        <f>Fighters!$V42</f>
        <v>diddy</v>
      </c>
    </row>
    <row r="44">
      <c r="A44" s="3700">
        <f>Fighters!$A43</f>
        <v>37</v>
      </c>
      <c r="B44" s="3701" t="str">
        <f>Fighters!$B43</f>
        <v>リュカ</v>
      </c>
      <c r="C44" s="239" t="s">
        <v>880</v>
      </c>
      <c r="D44" s="3762">
        <v>29.0</v>
      </c>
      <c r="E44" s="239" t="s">
        <v>880</v>
      </c>
      <c r="F44" s="3762">
        <v>39.0</v>
      </c>
      <c r="G44" s="239" t="s">
        <v>881</v>
      </c>
      <c r="H44" s="3762">
        <v>21.0</v>
      </c>
      <c r="I44" s="139" t="s">
        <v>882</v>
      </c>
      <c r="J44" s="3762">
        <v>28.0</v>
      </c>
      <c r="K44" s="139" t="s">
        <v>882</v>
      </c>
      <c r="L44" s="3762">
        <v>28.0</v>
      </c>
      <c r="M44" s="139" t="s">
        <v>883</v>
      </c>
      <c r="N44" s="138">
        <v>49.0</v>
      </c>
      <c r="O44" s="239" t="s">
        <v>334</v>
      </c>
      <c r="P44" s="138">
        <v>5.0</v>
      </c>
      <c r="Q44" s="239" t="s">
        <v>433</v>
      </c>
      <c r="R44" s="3763">
        <v>5.0</v>
      </c>
      <c r="S44" s="3708">
        <f>Fighters!$S43</f>
        <v>42</v>
      </c>
      <c r="T44" s="3708">
        <f>Fighters!$T43</f>
        <v>37</v>
      </c>
      <c r="U44" s="3710" t="str">
        <f>Fighters!$V43</f>
        <v>lucas</v>
      </c>
    </row>
    <row r="45">
      <c r="A45" s="3700">
        <f>Fighters!$A44</f>
        <v>38</v>
      </c>
      <c r="B45" s="3701" t="str">
        <f>Fighters!$B44</f>
        <v>ソニック</v>
      </c>
      <c r="C45" s="239" t="s">
        <v>880</v>
      </c>
      <c r="D45" s="3762">
        <v>29.0</v>
      </c>
      <c r="E45" s="239" t="s">
        <v>880</v>
      </c>
      <c r="F45" s="3762">
        <v>39.0</v>
      </c>
      <c r="G45" s="239" t="s">
        <v>881</v>
      </c>
      <c r="H45" s="3762">
        <v>21.0</v>
      </c>
      <c r="I45" s="139" t="s">
        <v>882</v>
      </c>
      <c r="J45" s="3762">
        <v>28.0</v>
      </c>
      <c r="K45" s="139" t="s">
        <v>882</v>
      </c>
      <c r="L45" s="3762">
        <v>28.0</v>
      </c>
      <c r="M45" s="139" t="s">
        <v>883</v>
      </c>
      <c r="N45" s="138">
        <v>49.0</v>
      </c>
      <c r="O45" s="239" t="s">
        <v>334</v>
      </c>
      <c r="P45" s="138">
        <v>5.0</v>
      </c>
      <c r="Q45" s="239" t="s">
        <v>522</v>
      </c>
      <c r="R45" s="3763">
        <v>5.0</v>
      </c>
      <c r="S45" s="3708">
        <f>Fighters!$S44</f>
        <v>43</v>
      </c>
      <c r="T45" s="3708">
        <f>Fighters!$T44</f>
        <v>38</v>
      </c>
      <c r="U45" s="3710" t="str">
        <f>Fighters!$V44</f>
        <v>sonic</v>
      </c>
    </row>
    <row r="46">
      <c r="A46" s="3700">
        <f>Fighters!$A45</f>
        <v>39</v>
      </c>
      <c r="B46" s="3701" t="str">
        <f>Fighters!$B45</f>
        <v>デデデ</v>
      </c>
      <c r="C46" s="239" t="s">
        <v>880</v>
      </c>
      <c r="D46" s="3762">
        <v>29.0</v>
      </c>
      <c r="E46" s="239" t="s">
        <v>880</v>
      </c>
      <c r="F46" s="3762">
        <v>39.0</v>
      </c>
      <c r="G46" s="239" t="s">
        <v>881</v>
      </c>
      <c r="H46" s="3762">
        <v>21.0</v>
      </c>
      <c r="I46" s="139" t="s">
        <v>882</v>
      </c>
      <c r="J46" s="3762">
        <v>28.0</v>
      </c>
      <c r="K46" s="139" t="s">
        <v>882</v>
      </c>
      <c r="L46" s="3762">
        <v>28.0</v>
      </c>
      <c r="M46" s="139" t="s">
        <v>883</v>
      </c>
      <c r="N46" s="138">
        <v>49.0</v>
      </c>
      <c r="O46" s="239" t="s">
        <v>334</v>
      </c>
      <c r="P46" s="138">
        <v>5.0</v>
      </c>
      <c r="Q46" s="239" t="s">
        <v>523</v>
      </c>
      <c r="R46" s="3763">
        <v>5.0</v>
      </c>
      <c r="S46" s="3708">
        <f>Fighters!$S45</f>
        <v>44</v>
      </c>
      <c r="T46" s="3708">
        <f>Fighters!$T45</f>
        <v>39</v>
      </c>
      <c r="U46" s="3710" t="str">
        <f>Fighters!$V45</f>
        <v>dedede</v>
      </c>
    </row>
    <row r="47">
      <c r="A47" s="3700">
        <f>Fighters!$A46</f>
        <v>40</v>
      </c>
      <c r="B47" s="3701" t="str">
        <f>Fighters!$B46</f>
        <v>ピクミン&amp;オリマー</v>
      </c>
      <c r="C47" s="239" t="s">
        <v>880</v>
      </c>
      <c r="D47" s="3762">
        <v>29.0</v>
      </c>
      <c r="E47" s="239" t="s">
        <v>880</v>
      </c>
      <c r="F47" s="3762">
        <v>39.0</v>
      </c>
      <c r="G47" s="239" t="s">
        <v>881</v>
      </c>
      <c r="H47" s="3762">
        <v>21.0</v>
      </c>
      <c r="I47" s="139" t="s">
        <v>882</v>
      </c>
      <c r="J47" s="3762">
        <v>28.0</v>
      </c>
      <c r="K47" s="139" t="s">
        <v>882</v>
      </c>
      <c r="L47" s="3762">
        <v>28.0</v>
      </c>
      <c r="M47" s="139" t="s">
        <v>883</v>
      </c>
      <c r="N47" s="138">
        <v>49.0</v>
      </c>
      <c r="O47" s="365" t="s">
        <v>373</v>
      </c>
      <c r="P47" s="138">
        <v>5.0</v>
      </c>
      <c r="Q47" s="239" t="s">
        <v>295</v>
      </c>
      <c r="R47" s="3763">
        <v>5.0</v>
      </c>
      <c r="S47" s="3708">
        <f>Fighters!$S46</f>
        <v>45</v>
      </c>
      <c r="T47" s="3708">
        <f>Fighters!$T46</f>
        <v>40</v>
      </c>
      <c r="U47" s="3710" t="str">
        <f>Fighters!$V46</f>
        <v>pikmin</v>
      </c>
    </row>
    <row r="48">
      <c r="A48" s="3700">
        <f>Fighters!$A47</f>
        <v>41</v>
      </c>
      <c r="B48" s="3701" t="str">
        <f>Fighters!$B47</f>
        <v>ルカリオ</v>
      </c>
      <c r="C48" s="239" t="s">
        <v>880</v>
      </c>
      <c r="D48" s="3762">
        <v>29.0</v>
      </c>
      <c r="E48" s="239" t="s">
        <v>880</v>
      </c>
      <c r="F48" s="3762">
        <v>39.0</v>
      </c>
      <c r="G48" s="239" t="s">
        <v>881</v>
      </c>
      <c r="H48" s="3762">
        <v>21.0</v>
      </c>
      <c r="I48" s="139" t="s">
        <v>882</v>
      </c>
      <c r="J48" s="3762">
        <v>28.0</v>
      </c>
      <c r="K48" s="139" t="s">
        <v>882</v>
      </c>
      <c r="L48" s="3762">
        <v>28.0</v>
      </c>
      <c r="M48" s="139" t="s">
        <v>883</v>
      </c>
      <c r="N48" s="138">
        <v>49.0</v>
      </c>
      <c r="O48" s="239" t="s">
        <v>334</v>
      </c>
      <c r="P48" s="138">
        <v>5.0</v>
      </c>
      <c r="Q48" s="239" t="s">
        <v>784</v>
      </c>
      <c r="R48" s="3763">
        <v>5.0</v>
      </c>
      <c r="S48" s="3708">
        <f>Fighters!$S47</f>
        <v>46</v>
      </c>
      <c r="T48" s="3708">
        <f>Fighters!$T47</f>
        <v>41</v>
      </c>
      <c r="U48" s="3710" t="str">
        <f>Fighters!$V47</f>
        <v>lucario</v>
      </c>
    </row>
    <row r="49">
      <c r="A49" s="3700">
        <f>Fighters!$A48</f>
        <v>42</v>
      </c>
      <c r="B49" s="3701" t="str">
        <f>Fighters!$B48</f>
        <v>ロボット</v>
      </c>
      <c r="C49" s="239" t="s">
        <v>880</v>
      </c>
      <c r="D49" s="3762">
        <v>29.0</v>
      </c>
      <c r="E49" s="239" t="s">
        <v>880</v>
      </c>
      <c r="F49" s="3762">
        <v>39.0</v>
      </c>
      <c r="G49" s="239" t="s">
        <v>881</v>
      </c>
      <c r="H49" s="3762">
        <v>21.0</v>
      </c>
      <c r="I49" s="139" t="s">
        <v>882</v>
      </c>
      <c r="J49" s="3762">
        <v>28.0</v>
      </c>
      <c r="K49" s="139" t="s">
        <v>882</v>
      </c>
      <c r="L49" s="3762">
        <v>28.0</v>
      </c>
      <c r="M49" s="139" t="s">
        <v>883</v>
      </c>
      <c r="N49" s="138">
        <v>49.0</v>
      </c>
      <c r="O49" s="239" t="s">
        <v>351</v>
      </c>
      <c r="P49" s="138">
        <v>5.0</v>
      </c>
      <c r="Q49" s="239" t="s">
        <v>562</v>
      </c>
      <c r="R49" s="3763">
        <v>5.0</v>
      </c>
      <c r="S49" s="3708">
        <f>Fighters!$S48</f>
        <v>47</v>
      </c>
      <c r="T49" s="3708">
        <f>Fighters!$T48</f>
        <v>42</v>
      </c>
      <c r="U49" s="3710" t="str">
        <f>Fighters!$V48</f>
        <v>robot</v>
      </c>
    </row>
    <row r="50">
      <c r="A50" s="3700">
        <f>Fighters!$A49</f>
        <v>43</v>
      </c>
      <c r="B50" s="3701" t="str">
        <f>Fighters!$B49</f>
        <v>トゥーンリンク</v>
      </c>
      <c r="C50" s="239" t="s">
        <v>880</v>
      </c>
      <c r="D50" s="3762">
        <v>29.0</v>
      </c>
      <c r="E50" s="239" t="s">
        <v>880</v>
      </c>
      <c r="F50" s="3762">
        <v>39.0</v>
      </c>
      <c r="G50" s="239" t="s">
        <v>881</v>
      </c>
      <c r="H50" s="3762">
        <v>21.0</v>
      </c>
      <c r="I50" s="139" t="s">
        <v>882</v>
      </c>
      <c r="J50" s="3762">
        <v>28.0</v>
      </c>
      <c r="K50" s="139" t="s">
        <v>882</v>
      </c>
      <c r="L50" s="3762">
        <v>28.0</v>
      </c>
      <c r="M50" s="139" t="s">
        <v>883</v>
      </c>
      <c r="N50" s="138">
        <v>49.0</v>
      </c>
      <c r="O50" s="239" t="s">
        <v>334</v>
      </c>
      <c r="P50" s="138">
        <v>5.0</v>
      </c>
      <c r="Q50" s="239" t="s">
        <v>784</v>
      </c>
      <c r="R50" s="3763">
        <v>5.0</v>
      </c>
      <c r="S50" s="3708">
        <f>Fighters!$S49</f>
        <v>48</v>
      </c>
      <c r="T50" s="3708">
        <f>Fighters!$T49</f>
        <v>43</v>
      </c>
      <c r="U50" s="3710" t="str">
        <f>Fighters!$V49</f>
        <v>toonlink</v>
      </c>
    </row>
    <row r="51">
      <c r="A51" s="3700">
        <f>Fighters!$A50</f>
        <v>44</v>
      </c>
      <c r="B51" s="3701" t="str">
        <f>Fighters!$B50</f>
        <v>ウルフ</v>
      </c>
      <c r="C51" s="239" t="s">
        <v>880</v>
      </c>
      <c r="D51" s="3762">
        <v>29.0</v>
      </c>
      <c r="E51" s="239" t="s">
        <v>880</v>
      </c>
      <c r="F51" s="3762">
        <v>39.0</v>
      </c>
      <c r="G51" s="239" t="s">
        <v>881</v>
      </c>
      <c r="H51" s="3762">
        <v>21.0</v>
      </c>
      <c r="I51" s="139" t="s">
        <v>882</v>
      </c>
      <c r="J51" s="3762">
        <v>28.0</v>
      </c>
      <c r="K51" s="139" t="s">
        <v>882</v>
      </c>
      <c r="L51" s="3762">
        <v>28.0</v>
      </c>
      <c r="M51" s="139" t="s">
        <v>883</v>
      </c>
      <c r="N51" s="138">
        <v>49.0</v>
      </c>
      <c r="O51" s="239" t="s">
        <v>334</v>
      </c>
      <c r="P51" s="138">
        <v>5.0</v>
      </c>
      <c r="Q51" s="239" t="s">
        <v>610</v>
      </c>
      <c r="R51" s="3763">
        <v>5.0</v>
      </c>
      <c r="S51" s="3708">
        <f>Fighters!$S50</f>
        <v>49</v>
      </c>
      <c r="T51" s="3708">
        <f>Fighters!$T50</f>
        <v>44</v>
      </c>
      <c r="U51" s="3710" t="str">
        <f>Fighters!$V50</f>
        <v>wolf</v>
      </c>
    </row>
    <row r="52">
      <c r="A52" s="3700">
        <f>Fighters!$A51</f>
        <v>45</v>
      </c>
      <c r="B52" s="3701" t="str">
        <f>Fighters!$B51</f>
        <v>むらびと</v>
      </c>
      <c r="C52" s="239" t="s">
        <v>880</v>
      </c>
      <c r="D52" s="3762">
        <v>29.0</v>
      </c>
      <c r="E52" s="239" t="s">
        <v>880</v>
      </c>
      <c r="F52" s="3762">
        <v>39.0</v>
      </c>
      <c r="G52" s="239" t="s">
        <v>881</v>
      </c>
      <c r="H52" s="3762">
        <v>21.0</v>
      </c>
      <c r="I52" s="139" t="s">
        <v>882</v>
      </c>
      <c r="J52" s="3762">
        <v>28.0</v>
      </c>
      <c r="K52" s="139" t="s">
        <v>882</v>
      </c>
      <c r="L52" s="3762">
        <v>28.0</v>
      </c>
      <c r="M52" s="139" t="s">
        <v>883</v>
      </c>
      <c r="N52" s="138">
        <v>49.0</v>
      </c>
      <c r="O52" s="239" t="s">
        <v>334</v>
      </c>
      <c r="P52" s="138">
        <v>5.0</v>
      </c>
      <c r="Q52" s="239" t="s">
        <v>784</v>
      </c>
      <c r="R52" s="3763">
        <v>5.0</v>
      </c>
      <c r="S52" s="3708">
        <f>Fighters!$S51</f>
        <v>50</v>
      </c>
      <c r="T52" s="3708">
        <f>Fighters!$T51</f>
        <v>45</v>
      </c>
      <c r="U52" s="3710" t="str">
        <f>Fighters!$V51</f>
        <v>murabito</v>
      </c>
    </row>
    <row r="53">
      <c r="A53" s="3700">
        <f>Fighters!$A52</f>
        <v>46</v>
      </c>
      <c r="B53" s="3701" t="str">
        <f>Fighters!$B52</f>
        <v>ロックマン</v>
      </c>
      <c r="C53" s="239" t="s">
        <v>880</v>
      </c>
      <c r="D53" s="3762">
        <v>29.0</v>
      </c>
      <c r="E53" s="239" t="s">
        <v>880</v>
      </c>
      <c r="F53" s="3762">
        <v>39.0</v>
      </c>
      <c r="G53" s="239" t="s">
        <v>881</v>
      </c>
      <c r="H53" s="3762">
        <v>21.0</v>
      </c>
      <c r="I53" s="139" t="s">
        <v>882</v>
      </c>
      <c r="J53" s="3762">
        <v>28.0</v>
      </c>
      <c r="K53" s="139" t="s">
        <v>882</v>
      </c>
      <c r="L53" s="3762">
        <v>28.0</v>
      </c>
      <c r="M53" s="139" t="s">
        <v>883</v>
      </c>
      <c r="N53" s="138">
        <v>49.0</v>
      </c>
      <c r="O53" s="365" t="s">
        <v>295</v>
      </c>
      <c r="P53" s="138">
        <v>5.0</v>
      </c>
      <c r="Q53" s="239" t="s">
        <v>443</v>
      </c>
      <c r="R53" s="3763">
        <v>5.0</v>
      </c>
      <c r="S53" s="3708">
        <f>Fighters!$S52</f>
        <v>51</v>
      </c>
      <c r="T53" s="3708">
        <f>Fighters!$T52</f>
        <v>46</v>
      </c>
      <c r="U53" s="3710" t="str">
        <f>Fighters!$V52</f>
        <v>rockman</v>
      </c>
    </row>
    <row r="54">
      <c r="A54" s="3700">
        <f>Fighters!$A53</f>
        <v>47</v>
      </c>
      <c r="B54" s="3701" t="str">
        <f>Fighters!$B53</f>
        <v>Wii Fit トレーナー</v>
      </c>
      <c r="C54" s="239" t="s">
        <v>880</v>
      </c>
      <c r="D54" s="3762">
        <v>29.0</v>
      </c>
      <c r="E54" s="239" t="s">
        <v>880</v>
      </c>
      <c r="F54" s="3762">
        <v>39.0</v>
      </c>
      <c r="G54" s="239" t="s">
        <v>881</v>
      </c>
      <c r="H54" s="3762">
        <v>21.0</v>
      </c>
      <c r="I54" s="139" t="s">
        <v>882</v>
      </c>
      <c r="J54" s="3762">
        <v>28.0</v>
      </c>
      <c r="K54" s="139" t="s">
        <v>882</v>
      </c>
      <c r="L54" s="3762">
        <v>28.0</v>
      </c>
      <c r="M54" s="139" t="s">
        <v>883</v>
      </c>
      <c r="N54" s="138">
        <v>49.0</v>
      </c>
      <c r="O54" s="239" t="s">
        <v>334</v>
      </c>
      <c r="P54" s="138">
        <v>5.0</v>
      </c>
      <c r="Q54" s="239" t="s">
        <v>562</v>
      </c>
      <c r="R54" s="3763">
        <v>5.0</v>
      </c>
      <c r="S54" s="3708">
        <f>Fighters!$S53</f>
        <v>52</v>
      </c>
      <c r="T54" s="3708">
        <f>Fighters!$T53</f>
        <v>47</v>
      </c>
      <c r="U54" s="3710" t="str">
        <f>Fighters!$V53</f>
        <v>wiifit</v>
      </c>
    </row>
    <row r="55">
      <c r="A55" s="3700">
        <f>Fighters!$A54</f>
        <v>48</v>
      </c>
      <c r="B55" s="3701" t="str">
        <f>Fighters!$B54</f>
        <v>ロゼッタ&amp;チコ</v>
      </c>
      <c r="C55" s="239" t="s">
        <v>880</v>
      </c>
      <c r="D55" s="3762">
        <v>29.0</v>
      </c>
      <c r="E55" s="239" t="s">
        <v>880</v>
      </c>
      <c r="F55" s="3762">
        <v>39.0</v>
      </c>
      <c r="G55" s="239" t="s">
        <v>881</v>
      </c>
      <c r="H55" s="3762">
        <v>21.0</v>
      </c>
      <c r="I55" s="139" t="s">
        <v>882</v>
      </c>
      <c r="J55" s="3762">
        <v>28.0</v>
      </c>
      <c r="K55" s="139" t="s">
        <v>882</v>
      </c>
      <c r="L55" s="3762">
        <v>28.0</v>
      </c>
      <c r="M55" s="139" t="s">
        <v>883</v>
      </c>
      <c r="N55" s="138">
        <v>49.0</v>
      </c>
      <c r="O55" s="239" t="s">
        <v>334</v>
      </c>
      <c r="P55" s="138">
        <v>5.0</v>
      </c>
      <c r="Q55" s="239" t="s">
        <v>522</v>
      </c>
      <c r="R55" s="3763">
        <v>5.0</v>
      </c>
      <c r="S55" s="3708">
        <f>Fighters!$S54</f>
        <v>53</v>
      </c>
      <c r="T55" s="3708">
        <f>Fighters!$T54</f>
        <v>48</v>
      </c>
      <c r="U55" s="3710" t="str">
        <f>Fighters!$V54</f>
        <v>rosetta</v>
      </c>
    </row>
    <row r="56">
      <c r="A56" s="3700">
        <f>Fighters!$A55</f>
        <v>49</v>
      </c>
      <c r="B56" s="3701" t="str">
        <f>Fighters!$B55</f>
        <v>リトル・マック</v>
      </c>
      <c r="C56" s="239" t="s">
        <v>880</v>
      </c>
      <c r="D56" s="3762">
        <v>29.0</v>
      </c>
      <c r="E56" s="239" t="s">
        <v>880</v>
      </c>
      <c r="F56" s="3762">
        <v>39.0</v>
      </c>
      <c r="G56" s="239" t="s">
        <v>881</v>
      </c>
      <c r="H56" s="3762">
        <v>21.0</v>
      </c>
      <c r="I56" s="139" t="s">
        <v>882</v>
      </c>
      <c r="J56" s="3762">
        <v>28.0</v>
      </c>
      <c r="K56" s="139" t="s">
        <v>882</v>
      </c>
      <c r="L56" s="3762">
        <v>28.0</v>
      </c>
      <c r="M56" s="139" t="s">
        <v>883</v>
      </c>
      <c r="N56" s="1360">
        <v>49.0</v>
      </c>
      <c r="O56" s="239" t="s">
        <v>653</v>
      </c>
      <c r="P56" s="138">
        <v>5.0</v>
      </c>
      <c r="Q56" s="239" t="s">
        <v>288</v>
      </c>
      <c r="R56" s="3763">
        <v>5.0</v>
      </c>
      <c r="S56" s="3708">
        <f>Fighters!$S55</f>
        <v>54</v>
      </c>
      <c r="T56" s="3708">
        <f>Fighters!$T55</f>
        <v>49</v>
      </c>
      <c r="U56" s="3710" t="str">
        <f>Fighters!$V55</f>
        <v>littlemac</v>
      </c>
    </row>
    <row r="57">
      <c r="A57" s="3700">
        <f>Fighters!$A56</f>
        <v>50</v>
      </c>
      <c r="B57" s="3701" t="str">
        <f>Fighters!$B56</f>
        <v>ゲッコウガ</v>
      </c>
      <c r="C57" s="239" t="s">
        <v>880</v>
      </c>
      <c r="D57" s="3762">
        <v>29.0</v>
      </c>
      <c r="E57" s="239" t="s">
        <v>880</v>
      </c>
      <c r="F57" s="3762">
        <v>39.0</v>
      </c>
      <c r="G57" s="239" t="s">
        <v>881</v>
      </c>
      <c r="H57" s="3762">
        <v>21.0</v>
      </c>
      <c r="I57" s="139" t="s">
        <v>882</v>
      </c>
      <c r="J57" s="3762">
        <v>28.0</v>
      </c>
      <c r="K57" s="139" t="s">
        <v>882</v>
      </c>
      <c r="L57" s="3762">
        <v>28.0</v>
      </c>
      <c r="M57" s="139" t="s">
        <v>883</v>
      </c>
      <c r="N57" s="138">
        <v>49.0</v>
      </c>
      <c r="O57" s="239" t="s">
        <v>203</v>
      </c>
      <c r="P57" s="138">
        <v>5.0</v>
      </c>
      <c r="Q57" s="239" t="s">
        <v>834</v>
      </c>
      <c r="R57" s="3763">
        <v>5.0</v>
      </c>
      <c r="S57" s="3708">
        <f>Fighters!$S56</f>
        <v>55</v>
      </c>
      <c r="T57" s="3708">
        <f>Fighters!$T56</f>
        <v>50</v>
      </c>
      <c r="U57" s="3710" t="str">
        <f>Fighters!$V56</f>
        <v>gekkouga</v>
      </c>
    </row>
    <row r="58">
      <c r="A58" s="3700">
        <f>Fighters!$A57</f>
        <v>51</v>
      </c>
      <c r="B58" s="3701" t="str">
        <f>Fighters!$B57</f>
        <v>格闘Mii</v>
      </c>
      <c r="C58" s="239" t="s">
        <v>880</v>
      </c>
      <c r="D58" s="3762">
        <v>29.0</v>
      </c>
      <c r="E58" s="239" t="s">
        <v>880</v>
      </c>
      <c r="F58" s="3762">
        <v>39.0</v>
      </c>
      <c r="G58" s="239" t="s">
        <v>881</v>
      </c>
      <c r="H58" s="3762">
        <v>21.0</v>
      </c>
      <c r="I58" s="139" t="s">
        <v>882</v>
      </c>
      <c r="J58" s="3762">
        <v>28.0</v>
      </c>
      <c r="K58" s="139" t="s">
        <v>882</v>
      </c>
      <c r="L58" s="3762">
        <v>28.0</v>
      </c>
      <c r="M58" s="139" t="s">
        <v>883</v>
      </c>
      <c r="N58" s="138">
        <v>49.0</v>
      </c>
      <c r="O58" s="239" t="s">
        <v>334</v>
      </c>
      <c r="P58" s="138">
        <v>5.0</v>
      </c>
      <c r="Q58" s="239" t="s">
        <v>523</v>
      </c>
      <c r="R58" s="3763">
        <v>5.0</v>
      </c>
      <c r="S58" s="3708">
        <f>Fighters!$S57</f>
        <v>56</v>
      </c>
      <c r="T58" s="3708">
        <f>Fighters!$T57</f>
        <v>73</v>
      </c>
      <c r="U58" s="3710" t="str">
        <f>Fighters!$V57</f>
        <v>miifighter</v>
      </c>
    </row>
    <row r="59">
      <c r="A59" s="3700">
        <f>Fighters!$A58</f>
        <v>52</v>
      </c>
      <c r="B59" s="3701" t="str">
        <f>Fighters!$B58</f>
        <v>剣術Mii</v>
      </c>
      <c r="C59" s="239" t="s">
        <v>880</v>
      </c>
      <c r="D59" s="3762">
        <v>29.0</v>
      </c>
      <c r="E59" s="239" t="s">
        <v>880</v>
      </c>
      <c r="F59" s="3762">
        <v>39.0</v>
      </c>
      <c r="G59" s="239" t="s">
        <v>881</v>
      </c>
      <c r="H59" s="3762">
        <v>21.0</v>
      </c>
      <c r="I59" s="139" t="s">
        <v>882</v>
      </c>
      <c r="J59" s="3762">
        <v>28.0</v>
      </c>
      <c r="K59" s="139" t="s">
        <v>882</v>
      </c>
      <c r="L59" s="3762">
        <v>28.0</v>
      </c>
      <c r="M59" s="139" t="s">
        <v>883</v>
      </c>
      <c r="N59" s="138">
        <v>49.0</v>
      </c>
      <c r="O59" s="239" t="s">
        <v>334</v>
      </c>
      <c r="P59" s="138">
        <v>5.0</v>
      </c>
      <c r="Q59" s="239" t="s">
        <v>784</v>
      </c>
      <c r="R59" s="3763">
        <v>5.0</v>
      </c>
      <c r="S59" s="3708">
        <f>Fighters!$S58</f>
        <v>57</v>
      </c>
      <c r="T59" s="3708">
        <f>Fighters!$T58</f>
        <v>74</v>
      </c>
      <c r="U59" s="3710" t="str">
        <f>Fighters!$V58</f>
        <v>miiswordsman</v>
      </c>
    </row>
    <row r="60">
      <c r="A60" s="3700">
        <f>Fighters!$A59</f>
        <v>53</v>
      </c>
      <c r="B60" s="3701" t="str">
        <f>Fighters!$B59</f>
        <v>射撃Mii</v>
      </c>
      <c r="C60" s="239" t="s">
        <v>880</v>
      </c>
      <c r="D60" s="3762">
        <v>29.0</v>
      </c>
      <c r="E60" s="239" t="s">
        <v>880</v>
      </c>
      <c r="F60" s="3762">
        <v>39.0</v>
      </c>
      <c r="G60" s="239" t="s">
        <v>881</v>
      </c>
      <c r="H60" s="3762">
        <v>21.0</v>
      </c>
      <c r="I60" s="139" t="s">
        <v>882</v>
      </c>
      <c r="J60" s="3762">
        <v>28.0</v>
      </c>
      <c r="K60" s="139" t="s">
        <v>882</v>
      </c>
      <c r="L60" s="3762">
        <v>28.0</v>
      </c>
      <c r="M60" s="139" t="s">
        <v>883</v>
      </c>
      <c r="N60" s="138">
        <v>49.0</v>
      </c>
      <c r="O60" s="239" t="s">
        <v>334</v>
      </c>
      <c r="P60" s="138">
        <v>5.0</v>
      </c>
      <c r="Q60" s="239" t="s">
        <v>523</v>
      </c>
      <c r="R60" s="3763">
        <v>5.0</v>
      </c>
      <c r="S60" s="3708">
        <f>Fighters!$S59</f>
        <v>58</v>
      </c>
      <c r="T60" s="3708">
        <f>Fighters!$T59</f>
        <v>75</v>
      </c>
      <c r="U60" s="3710" t="str">
        <f>Fighters!$V59</f>
        <v>miigunner</v>
      </c>
    </row>
    <row r="61">
      <c r="A61" s="3700">
        <f>Fighters!$A60</f>
        <v>54</v>
      </c>
      <c r="B61" s="3701" t="str">
        <f>Fighters!$B60</f>
        <v>パルテナ</v>
      </c>
      <c r="C61" s="239" t="s">
        <v>880</v>
      </c>
      <c r="D61" s="3762">
        <v>29.0</v>
      </c>
      <c r="E61" s="239" t="s">
        <v>880</v>
      </c>
      <c r="F61" s="3762">
        <v>39.0</v>
      </c>
      <c r="G61" s="239" t="s">
        <v>881</v>
      </c>
      <c r="H61" s="3762">
        <v>21.0</v>
      </c>
      <c r="I61" s="139" t="s">
        <v>882</v>
      </c>
      <c r="J61" s="3762">
        <v>28.0</v>
      </c>
      <c r="K61" s="139" t="s">
        <v>882</v>
      </c>
      <c r="L61" s="3762">
        <v>28.0</v>
      </c>
      <c r="M61" s="139" t="s">
        <v>883</v>
      </c>
      <c r="N61" s="138">
        <v>49.0</v>
      </c>
      <c r="O61" s="365" t="s">
        <v>305</v>
      </c>
      <c r="P61" s="138">
        <v>5.0</v>
      </c>
      <c r="Q61" s="239" t="s">
        <v>443</v>
      </c>
      <c r="R61" s="3763">
        <v>5.0</v>
      </c>
      <c r="S61" s="3708">
        <f>Fighters!$S60</f>
        <v>59</v>
      </c>
      <c r="T61" s="3708">
        <f>Fighters!$T60</f>
        <v>51</v>
      </c>
      <c r="U61" s="3710" t="str">
        <f>Fighters!$V60</f>
        <v>palutena</v>
      </c>
    </row>
    <row r="62">
      <c r="A62" s="3700">
        <f>Fighters!$A61</f>
        <v>55</v>
      </c>
      <c r="B62" s="3701" t="str">
        <f>Fighters!$B61</f>
        <v>パックマン</v>
      </c>
      <c r="C62" s="239" t="s">
        <v>880</v>
      </c>
      <c r="D62" s="3762">
        <v>29.0</v>
      </c>
      <c r="E62" s="239" t="s">
        <v>880</v>
      </c>
      <c r="F62" s="3762">
        <v>39.0</v>
      </c>
      <c r="G62" s="239" t="s">
        <v>881</v>
      </c>
      <c r="H62" s="3762">
        <v>21.0</v>
      </c>
      <c r="I62" s="139" t="s">
        <v>882</v>
      </c>
      <c r="J62" s="3762">
        <v>28.0</v>
      </c>
      <c r="K62" s="139" t="s">
        <v>882</v>
      </c>
      <c r="L62" s="3762">
        <v>28.0</v>
      </c>
      <c r="M62" s="139" t="s">
        <v>883</v>
      </c>
      <c r="N62" s="138">
        <v>49.0</v>
      </c>
      <c r="O62" s="239" t="s">
        <v>653</v>
      </c>
      <c r="P62" s="138">
        <v>5.0</v>
      </c>
      <c r="Q62" s="239" t="s">
        <v>574</v>
      </c>
      <c r="R62" s="3763">
        <v>5.0</v>
      </c>
      <c r="S62" s="3708">
        <f>Fighters!$S61</f>
        <v>60</v>
      </c>
      <c r="T62" s="3708">
        <f>Fighters!$T61</f>
        <v>52</v>
      </c>
      <c r="U62" s="3710" t="str">
        <f>Fighters!$V61</f>
        <v>pacman</v>
      </c>
    </row>
    <row r="63">
      <c r="A63" s="3700">
        <f>Fighters!$A62</f>
        <v>56</v>
      </c>
      <c r="B63" s="3701" t="str">
        <f>Fighters!$B62</f>
        <v>ルフレ</v>
      </c>
      <c r="C63" s="239" t="s">
        <v>880</v>
      </c>
      <c r="D63" s="3762">
        <v>29.0</v>
      </c>
      <c r="E63" s="239" t="s">
        <v>880</v>
      </c>
      <c r="F63" s="3762">
        <v>39.0</v>
      </c>
      <c r="G63" s="239" t="s">
        <v>881</v>
      </c>
      <c r="H63" s="3762">
        <v>21.0</v>
      </c>
      <c r="I63" s="139" t="s">
        <v>882</v>
      </c>
      <c r="J63" s="3762">
        <v>28.0</v>
      </c>
      <c r="K63" s="139" t="s">
        <v>882</v>
      </c>
      <c r="L63" s="3762">
        <v>28.0</v>
      </c>
      <c r="M63" s="139" t="s">
        <v>883</v>
      </c>
      <c r="N63" s="138">
        <v>49.0</v>
      </c>
      <c r="O63" s="239" t="s">
        <v>351</v>
      </c>
      <c r="P63" s="138">
        <v>5.0</v>
      </c>
      <c r="Q63" s="239" t="s">
        <v>433</v>
      </c>
      <c r="R63" s="3763">
        <v>5.0</v>
      </c>
      <c r="S63" s="3708">
        <f>Fighters!$S62</f>
        <v>61</v>
      </c>
      <c r="T63" s="3708">
        <f>Fighters!$T62</f>
        <v>53</v>
      </c>
      <c r="U63" s="3710" t="str">
        <f>Fighters!$V62</f>
        <v>reflet</v>
      </c>
    </row>
    <row r="64">
      <c r="A64" s="3700">
        <f>Fighters!$A63</f>
        <v>57</v>
      </c>
      <c r="B64" s="3701" t="str">
        <f>Fighters!$B63</f>
        <v>シュルク</v>
      </c>
      <c r="C64" s="239" t="s">
        <v>880</v>
      </c>
      <c r="D64" s="3762">
        <v>29.0</v>
      </c>
      <c r="E64" s="239" t="s">
        <v>880</v>
      </c>
      <c r="F64" s="3762">
        <v>39.0</v>
      </c>
      <c r="G64" s="239" t="s">
        <v>881</v>
      </c>
      <c r="H64" s="3762">
        <v>21.0</v>
      </c>
      <c r="I64" s="139" t="s">
        <v>882</v>
      </c>
      <c r="J64" s="3762">
        <v>28.0</v>
      </c>
      <c r="K64" s="139" t="s">
        <v>882</v>
      </c>
      <c r="L64" s="3762">
        <v>28.0</v>
      </c>
      <c r="M64" s="139" t="s">
        <v>883</v>
      </c>
      <c r="N64" s="138">
        <v>49.0</v>
      </c>
      <c r="O64" s="239" t="s">
        <v>334</v>
      </c>
      <c r="P64" s="138">
        <v>5.0</v>
      </c>
      <c r="Q64" s="239" t="s">
        <v>377</v>
      </c>
      <c r="R64" s="3763">
        <v>5.0</v>
      </c>
      <c r="S64" s="3708">
        <f>Fighters!$S63</f>
        <v>62</v>
      </c>
      <c r="T64" s="3708">
        <f>Fighters!$T63</f>
        <v>54</v>
      </c>
      <c r="U64" s="3710" t="str">
        <f>Fighters!$V63</f>
        <v>shulk</v>
      </c>
    </row>
    <row r="65">
      <c r="A65" s="3700">
        <f>Fighters!$A64</f>
        <v>58</v>
      </c>
      <c r="B65" s="3701" t="str">
        <f>Fighters!$B64</f>
        <v>クッパ Jr.</v>
      </c>
      <c r="C65" s="239" t="s">
        <v>880</v>
      </c>
      <c r="D65" s="3762">
        <v>29.0</v>
      </c>
      <c r="E65" s="239" t="s">
        <v>880</v>
      </c>
      <c r="F65" s="3762">
        <v>39.0</v>
      </c>
      <c r="G65" s="239" t="s">
        <v>881</v>
      </c>
      <c r="H65" s="3762">
        <v>21.0</v>
      </c>
      <c r="I65" s="139" t="s">
        <v>882</v>
      </c>
      <c r="J65" s="3762">
        <v>28.0</v>
      </c>
      <c r="K65" s="139" t="s">
        <v>882</v>
      </c>
      <c r="L65" s="3762">
        <v>28.0</v>
      </c>
      <c r="M65" s="139" t="s">
        <v>883</v>
      </c>
      <c r="N65" s="138">
        <v>49.0</v>
      </c>
      <c r="O65" s="365" t="s">
        <v>454</v>
      </c>
      <c r="P65" s="138">
        <v>5.0</v>
      </c>
      <c r="Q65" s="239" t="s">
        <v>443</v>
      </c>
      <c r="R65" s="3763">
        <v>5.0</v>
      </c>
      <c r="S65" s="3708">
        <f>Fighters!$S64</f>
        <v>63</v>
      </c>
      <c r="T65" s="3708">
        <f>Fighters!$T64</f>
        <v>55</v>
      </c>
      <c r="U65" s="3710" t="str">
        <f>Fighters!$V64</f>
        <v>koopajr</v>
      </c>
    </row>
    <row r="66">
      <c r="A66" s="3700">
        <f>Fighters!$A65</f>
        <v>59</v>
      </c>
      <c r="B66" s="3701" t="str">
        <f>Fighters!$B65</f>
        <v>ダックハント</v>
      </c>
      <c r="C66" s="239" t="s">
        <v>880</v>
      </c>
      <c r="D66" s="3762">
        <v>29.0</v>
      </c>
      <c r="E66" s="239" t="s">
        <v>880</v>
      </c>
      <c r="F66" s="3762">
        <v>39.0</v>
      </c>
      <c r="G66" s="239" t="s">
        <v>881</v>
      </c>
      <c r="H66" s="3762">
        <v>21.0</v>
      </c>
      <c r="I66" s="139" t="s">
        <v>882</v>
      </c>
      <c r="J66" s="3762">
        <v>28.0</v>
      </c>
      <c r="K66" s="139" t="s">
        <v>882</v>
      </c>
      <c r="L66" s="3762">
        <v>28.0</v>
      </c>
      <c r="M66" s="139" t="s">
        <v>883</v>
      </c>
      <c r="N66" s="138">
        <v>49.0</v>
      </c>
      <c r="O66" s="239" t="s">
        <v>653</v>
      </c>
      <c r="P66" s="138">
        <v>5.0</v>
      </c>
      <c r="Q66" s="239" t="s">
        <v>574</v>
      </c>
      <c r="R66" s="3763">
        <v>5.0</v>
      </c>
      <c r="S66" s="3708">
        <f>Fighters!$S65</f>
        <v>64</v>
      </c>
      <c r="T66" s="3708">
        <f>Fighters!$T65</f>
        <v>56</v>
      </c>
      <c r="U66" s="3710" t="str">
        <f>Fighters!$V65</f>
        <v>duckhunt</v>
      </c>
    </row>
    <row r="67">
      <c r="A67" s="3700">
        <f>Fighters!$A66</f>
        <v>60</v>
      </c>
      <c r="B67" s="3701" t="str">
        <f>Fighters!$B66</f>
        <v>リュウ</v>
      </c>
      <c r="C67" s="239" t="s">
        <v>880</v>
      </c>
      <c r="D67" s="3762">
        <v>29.0</v>
      </c>
      <c r="E67" s="239" t="s">
        <v>880</v>
      </c>
      <c r="F67" s="3762">
        <v>39.0</v>
      </c>
      <c r="G67" s="239" t="s">
        <v>881</v>
      </c>
      <c r="H67" s="3762">
        <v>21.0</v>
      </c>
      <c r="I67" s="139" t="s">
        <v>882</v>
      </c>
      <c r="J67" s="3762">
        <v>28.0</v>
      </c>
      <c r="K67" s="139" t="s">
        <v>882</v>
      </c>
      <c r="L67" s="3762">
        <v>28.0</v>
      </c>
      <c r="M67" s="139" t="s">
        <v>883</v>
      </c>
      <c r="N67" s="138">
        <v>49.0</v>
      </c>
      <c r="O67" s="239" t="s">
        <v>334</v>
      </c>
      <c r="P67" s="138">
        <v>5.0</v>
      </c>
      <c r="Q67" s="239" t="s">
        <v>443</v>
      </c>
      <c r="R67" s="3763">
        <v>5.0</v>
      </c>
      <c r="S67" s="3708">
        <f>Fighters!$S66</f>
        <v>65</v>
      </c>
      <c r="T67" s="3708">
        <f>Fighters!$T66</f>
        <v>57</v>
      </c>
      <c r="U67" s="3710" t="str">
        <f>Fighters!$V66</f>
        <v>ryu</v>
      </c>
    </row>
    <row r="68">
      <c r="A68" s="3700" t="str">
        <f>Fighters!$A67</f>
        <v>60'</v>
      </c>
      <c r="B68" s="3701" t="str">
        <f>Fighters!$B67</f>
        <v>ケン</v>
      </c>
      <c r="C68" s="239" t="s">
        <v>880</v>
      </c>
      <c r="D68" s="3762">
        <v>29.0</v>
      </c>
      <c r="E68" s="239" t="s">
        <v>880</v>
      </c>
      <c r="F68" s="3762">
        <v>39.0</v>
      </c>
      <c r="G68" s="239" t="s">
        <v>881</v>
      </c>
      <c r="H68" s="3762">
        <v>21.0</v>
      </c>
      <c r="I68" s="139" t="s">
        <v>882</v>
      </c>
      <c r="J68" s="3762">
        <v>28.0</v>
      </c>
      <c r="K68" s="139" t="s">
        <v>882</v>
      </c>
      <c r="L68" s="3762">
        <v>28.0</v>
      </c>
      <c r="M68" s="139" t="s">
        <v>883</v>
      </c>
      <c r="N68" s="138">
        <v>49.0</v>
      </c>
      <c r="O68" s="239" t="s">
        <v>334</v>
      </c>
      <c r="P68" s="138">
        <v>5.0</v>
      </c>
      <c r="Q68" s="239" t="s">
        <v>443</v>
      </c>
      <c r="R68" s="3763">
        <v>5.0</v>
      </c>
      <c r="S68" s="3708">
        <f>Fighters!$S67</f>
        <v>66</v>
      </c>
      <c r="T68" s="3708">
        <f>Fighters!$T67</f>
        <v>77</v>
      </c>
      <c r="U68" s="3710" t="str">
        <f>Fighters!$V67</f>
        <v>ken</v>
      </c>
    </row>
    <row r="69">
      <c r="A69" s="3700">
        <f>Fighters!$A68</f>
        <v>61</v>
      </c>
      <c r="B69" s="3701" t="str">
        <f>Fighters!$B68</f>
        <v>クラウド</v>
      </c>
      <c r="C69" s="239" t="s">
        <v>880</v>
      </c>
      <c r="D69" s="3762">
        <v>29.0</v>
      </c>
      <c r="E69" s="239" t="s">
        <v>880</v>
      </c>
      <c r="F69" s="3762">
        <v>39.0</v>
      </c>
      <c r="G69" s="239" t="s">
        <v>881</v>
      </c>
      <c r="H69" s="3762">
        <v>21.0</v>
      </c>
      <c r="I69" s="139" t="s">
        <v>882</v>
      </c>
      <c r="J69" s="3762">
        <v>28.0</v>
      </c>
      <c r="K69" s="139" t="s">
        <v>882</v>
      </c>
      <c r="L69" s="3762">
        <v>28.0</v>
      </c>
      <c r="M69" s="139" t="s">
        <v>883</v>
      </c>
      <c r="N69" s="138">
        <v>49.0</v>
      </c>
      <c r="O69" s="239" t="s">
        <v>351</v>
      </c>
      <c r="P69" s="138">
        <v>5.0</v>
      </c>
      <c r="Q69" s="239" t="s">
        <v>443</v>
      </c>
      <c r="R69" s="3763">
        <v>5.0</v>
      </c>
      <c r="S69" s="3708">
        <f>Fighters!$S68</f>
        <v>67</v>
      </c>
      <c r="T69" s="3708">
        <f>Fighters!$T68</f>
        <v>58</v>
      </c>
      <c r="U69" s="3710" t="str">
        <f>Fighters!$V68</f>
        <v>cloud</v>
      </c>
    </row>
    <row r="70">
      <c r="A70" s="3700">
        <f>Fighters!$A69</f>
        <v>62</v>
      </c>
      <c r="B70" s="3701" t="str">
        <f>Fighters!$B69</f>
        <v>カムイ</v>
      </c>
      <c r="C70" s="239" t="s">
        <v>880</v>
      </c>
      <c r="D70" s="3762">
        <v>29.0</v>
      </c>
      <c r="E70" s="239" t="s">
        <v>880</v>
      </c>
      <c r="F70" s="3762">
        <v>39.0</v>
      </c>
      <c r="G70" s="239" t="s">
        <v>881</v>
      </c>
      <c r="H70" s="3762">
        <v>21.0</v>
      </c>
      <c r="I70" s="139" t="s">
        <v>882</v>
      </c>
      <c r="J70" s="3762">
        <v>28.0</v>
      </c>
      <c r="K70" s="139" t="s">
        <v>882</v>
      </c>
      <c r="L70" s="3762">
        <v>28.0</v>
      </c>
      <c r="M70" s="139" t="s">
        <v>883</v>
      </c>
      <c r="N70" s="138">
        <v>49.0</v>
      </c>
      <c r="O70" s="239" t="s">
        <v>334</v>
      </c>
      <c r="P70" s="138">
        <v>5.0</v>
      </c>
      <c r="Q70" s="239" t="s">
        <v>443</v>
      </c>
      <c r="R70" s="3763">
        <v>5.0</v>
      </c>
      <c r="S70" s="3708">
        <f>Fighters!$S69</f>
        <v>68</v>
      </c>
      <c r="T70" s="3708">
        <f>Fighters!$T69</f>
        <v>59</v>
      </c>
      <c r="U70" s="3710" t="str">
        <f>Fighters!$V69</f>
        <v>kamui</v>
      </c>
    </row>
    <row r="71">
      <c r="A71" s="3700">
        <f>Fighters!$A70</f>
        <v>63</v>
      </c>
      <c r="B71" s="3701" t="str">
        <f>Fighters!$B70</f>
        <v>ベヨネッタ</v>
      </c>
      <c r="C71" s="239" t="s">
        <v>880</v>
      </c>
      <c r="D71" s="3762">
        <v>29.0</v>
      </c>
      <c r="E71" s="239" t="s">
        <v>880</v>
      </c>
      <c r="F71" s="3762">
        <v>39.0</v>
      </c>
      <c r="G71" s="239" t="s">
        <v>881</v>
      </c>
      <c r="H71" s="3762">
        <v>21.0</v>
      </c>
      <c r="I71" s="139" t="s">
        <v>882</v>
      </c>
      <c r="J71" s="3762">
        <v>28.0</v>
      </c>
      <c r="K71" s="139" t="s">
        <v>882</v>
      </c>
      <c r="L71" s="3762">
        <v>28.0</v>
      </c>
      <c r="M71" s="139" t="s">
        <v>883</v>
      </c>
      <c r="N71" s="138">
        <v>49.0</v>
      </c>
      <c r="O71" s="365" t="s">
        <v>454</v>
      </c>
      <c r="P71" s="138">
        <v>5.0</v>
      </c>
      <c r="Q71" s="239" t="s">
        <v>443</v>
      </c>
      <c r="R71" s="3763">
        <v>5.0</v>
      </c>
      <c r="S71" s="3708">
        <f>Fighters!$S70</f>
        <v>69</v>
      </c>
      <c r="T71" s="3708">
        <f>Fighters!$T70</f>
        <v>60</v>
      </c>
      <c r="U71" s="3710" t="str">
        <f>Fighters!$V70</f>
        <v>bayonetta</v>
      </c>
    </row>
    <row r="72">
      <c r="A72" s="3700">
        <f>Fighters!$A71</f>
        <v>64</v>
      </c>
      <c r="B72" s="3701" t="str">
        <f>Fighters!$B71</f>
        <v>インクリング</v>
      </c>
      <c r="C72" s="239" t="s">
        <v>880</v>
      </c>
      <c r="D72" s="3762">
        <v>29.0</v>
      </c>
      <c r="E72" s="239" t="s">
        <v>880</v>
      </c>
      <c r="F72" s="3762">
        <v>39.0</v>
      </c>
      <c r="G72" s="239" t="s">
        <v>881</v>
      </c>
      <c r="H72" s="3762">
        <v>21.0</v>
      </c>
      <c r="I72" s="139" t="s">
        <v>882</v>
      </c>
      <c r="J72" s="3762">
        <v>28.0</v>
      </c>
      <c r="K72" s="139" t="s">
        <v>882</v>
      </c>
      <c r="L72" s="3762">
        <v>28.0</v>
      </c>
      <c r="M72" s="139" t="s">
        <v>883</v>
      </c>
      <c r="N72" s="138">
        <v>49.0</v>
      </c>
      <c r="O72" s="239" t="s">
        <v>334</v>
      </c>
      <c r="P72" s="138">
        <v>5.0</v>
      </c>
      <c r="Q72" s="239" t="s">
        <v>523</v>
      </c>
      <c r="R72" s="3763">
        <v>5.0</v>
      </c>
      <c r="S72" s="3708">
        <f>Fighters!$S71</f>
        <v>70</v>
      </c>
      <c r="T72" s="3708">
        <f>Fighters!$T71</f>
        <v>61</v>
      </c>
      <c r="U72" s="3710" t="str">
        <f>Fighters!$V71</f>
        <v>inkling</v>
      </c>
    </row>
    <row r="73">
      <c r="A73" s="3700">
        <f>Fighters!$A72</f>
        <v>65</v>
      </c>
      <c r="B73" s="3701" t="str">
        <f>Fighters!$B72</f>
        <v>リドリー</v>
      </c>
      <c r="C73" s="239" t="s">
        <v>880</v>
      </c>
      <c r="D73" s="3762">
        <v>29.0</v>
      </c>
      <c r="E73" s="239" t="s">
        <v>880</v>
      </c>
      <c r="F73" s="3762">
        <v>39.0</v>
      </c>
      <c r="G73" s="239" t="s">
        <v>881</v>
      </c>
      <c r="H73" s="3762">
        <v>21.0</v>
      </c>
      <c r="I73" s="139" t="s">
        <v>882</v>
      </c>
      <c r="J73" s="3762">
        <v>28.0</v>
      </c>
      <c r="K73" s="139" t="s">
        <v>882</v>
      </c>
      <c r="L73" s="3762">
        <v>28.0</v>
      </c>
      <c r="M73" s="139" t="s">
        <v>883</v>
      </c>
      <c r="N73" s="138">
        <v>49.0</v>
      </c>
      <c r="O73" s="239" t="s">
        <v>334</v>
      </c>
      <c r="P73" s="138">
        <v>5.0</v>
      </c>
      <c r="Q73" s="239" t="s">
        <v>443</v>
      </c>
      <c r="R73" s="3763">
        <v>5.0</v>
      </c>
      <c r="S73" s="3708">
        <f>Fighters!$S72</f>
        <v>71</v>
      </c>
      <c r="T73" s="3708">
        <f>Fighters!$T72</f>
        <v>62</v>
      </c>
      <c r="U73" s="3710" t="str">
        <f>Fighters!$V72</f>
        <v>ridley</v>
      </c>
    </row>
    <row r="74">
      <c r="A74" s="3700">
        <f>Fighters!$A73</f>
        <v>66</v>
      </c>
      <c r="B74" s="3701" t="str">
        <f>Fighters!$B73</f>
        <v>シモン</v>
      </c>
      <c r="C74" s="239" t="s">
        <v>880</v>
      </c>
      <c r="D74" s="3762">
        <v>29.0</v>
      </c>
      <c r="E74" s="239" t="s">
        <v>880</v>
      </c>
      <c r="F74" s="3762">
        <v>39.0</v>
      </c>
      <c r="G74" s="239" t="s">
        <v>881</v>
      </c>
      <c r="H74" s="3762">
        <v>21.0</v>
      </c>
      <c r="I74" s="139" t="s">
        <v>882</v>
      </c>
      <c r="J74" s="3762">
        <v>28.0</v>
      </c>
      <c r="K74" s="139" t="s">
        <v>882</v>
      </c>
      <c r="L74" s="3762">
        <v>28.0</v>
      </c>
      <c r="M74" s="139" t="s">
        <v>883</v>
      </c>
      <c r="N74" s="138">
        <v>49.0</v>
      </c>
      <c r="O74" s="239" t="s">
        <v>334</v>
      </c>
      <c r="P74" s="138">
        <v>5.0</v>
      </c>
      <c r="Q74" s="239" t="s">
        <v>523</v>
      </c>
      <c r="R74" s="3763">
        <v>5.0</v>
      </c>
      <c r="S74" s="3708">
        <f>Fighters!$S73</f>
        <v>72</v>
      </c>
      <c r="T74" s="3708">
        <f>Fighters!$T73</f>
        <v>63</v>
      </c>
      <c r="U74" s="3710" t="str">
        <f>Fighters!$V73</f>
        <v>simon</v>
      </c>
    </row>
    <row r="75">
      <c r="A75" s="3700" t="str">
        <f>Fighters!$A74</f>
        <v>66'</v>
      </c>
      <c r="B75" s="3701" t="str">
        <f>Fighters!$B74</f>
        <v>リヒター</v>
      </c>
      <c r="C75" s="239" t="s">
        <v>880</v>
      </c>
      <c r="D75" s="3762">
        <v>29.0</v>
      </c>
      <c r="E75" s="239" t="s">
        <v>880</v>
      </c>
      <c r="F75" s="3762">
        <v>39.0</v>
      </c>
      <c r="G75" s="239" t="s">
        <v>881</v>
      </c>
      <c r="H75" s="3762">
        <v>21.0</v>
      </c>
      <c r="I75" s="139" t="s">
        <v>882</v>
      </c>
      <c r="J75" s="3762">
        <v>28.0</v>
      </c>
      <c r="K75" s="139" t="s">
        <v>882</v>
      </c>
      <c r="L75" s="3762">
        <v>28.0</v>
      </c>
      <c r="M75" s="139" t="s">
        <v>883</v>
      </c>
      <c r="N75" s="138">
        <v>49.0</v>
      </c>
      <c r="O75" s="239" t="s">
        <v>334</v>
      </c>
      <c r="P75" s="138">
        <v>5.0</v>
      </c>
      <c r="Q75" s="239" t="s">
        <v>523</v>
      </c>
      <c r="R75" s="3763">
        <v>5.0</v>
      </c>
      <c r="S75" s="3708">
        <f>Fighters!$S74</f>
        <v>73</v>
      </c>
      <c r="T75" s="3708">
        <f>Fighters!$T74</f>
        <v>78</v>
      </c>
      <c r="U75" s="3710" t="str">
        <f>Fighters!$V74</f>
        <v>richter</v>
      </c>
    </row>
    <row r="76">
      <c r="A76" s="3700">
        <f>Fighters!$A75</f>
        <v>67</v>
      </c>
      <c r="B76" s="3701" t="str">
        <f>Fighters!$B75</f>
        <v>キングクルール</v>
      </c>
      <c r="C76" s="239" t="s">
        <v>880</v>
      </c>
      <c r="D76" s="3762">
        <v>29.0</v>
      </c>
      <c r="E76" s="239" t="s">
        <v>880</v>
      </c>
      <c r="F76" s="3762">
        <v>39.0</v>
      </c>
      <c r="G76" s="239" t="s">
        <v>881</v>
      </c>
      <c r="H76" s="3762">
        <v>21.0</v>
      </c>
      <c r="I76" s="139" t="s">
        <v>882</v>
      </c>
      <c r="J76" s="3762">
        <v>28.0</v>
      </c>
      <c r="K76" s="139" t="s">
        <v>882</v>
      </c>
      <c r="L76" s="3762">
        <v>28.0</v>
      </c>
      <c r="M76" s="139" t="s">
        <v>883</v>
      </c>
      <c r="N76" s="138">
        <v>49.0</v>
      </c>
      <c r="O76" s="239" t="s">
        <v>334</v>
      </c>
      <c r="P76" s="138">
        <v>5.0</v>
      </c>
      <c r="Q76" s="239" t="s">
        <v>574</v>
      </c>
      <c r="R76" s="3763">
        <v>5.0</v>
      </c>
      <c r="S76" s="3708">
        <f>Fighters!$S75</f>
        <v>74</v>
      </c>
      <c r="T76" s="3708">
        <f>Fighters!$T75</f>
        <v>64</v>
      </c>
      <c r="U76" s="3710" t="str">
        <f>Fighters!$V75</f>
        <v>krool</v>
      </c>
    </row>
    <row r="77">
      <c r="A77" s="3700">
        <f>Fighters!$A76</f>
        <v>68</v>
      </c>
      <c r="B77" s="3701" t="str">
        <f>Fighters!$B76</f>
        <v>しずえ</v>
      </c>
      <c r="C77" s="239" t="s">
        <v>880</v>
      </c>
      <c r="D77" s="3762">
        <v>29.0</v>
      </c>
      <c r="E77" s="239" t="s">
        <v>880</v>
      </c>
      <c r="F77" s="3762">
        <v>39.0</v>
      </c>
      <c r="G77" s="239" t="s">
        <v>881</v>
      </c>
      <c r="H77" s="3762">
        <v>21.0</v>
      </c>
      <c r="I77" s="139" t="s">
        <v>882</v>
      </c>
      <c r="J77" s="3762">
        <v>28.0</v>
      </c>
      <c r="K77" s="139" t="s">
        <v>882</v>
      </c>
      <c r="L77" s="3762">
        <v>28.0</v>
      </c>
      <c r="M77" s="139" t="s">
        <v>883</v>
      </c>
      <c r="N77" s="138">
        <v>49.0</v>
      </c>
      <c r="O77" s="239" t="s">
        <v>334</v>
      </c>
      <c r="P77" s="138">
        <v>5.0</v>
      </c>
      <c r="Q77" s="239" t="s">
        <v>523</v>
      </c>
      <c r="R77" s="3763">
        <v>5.0</v>
      </c>
      <c r="S77" s="3708">
        <f>Fighters!$S76</f>
        <v>75</v>
      </c>
      <c r="T77" s="3708">
        <f>Fighters!$T76</f>
        <v>65</v>
      </c>
      <c r="U77" s="3710" t="str">
        <f>Fighters!$V76</f>
        <v>shizue</v>
      </c>
    </row>
    <row r="78">
      <c r="A78" s="3700">
        <f>Fighters!$A77</f>
        <v>69</v>
      </c>
      <c r="B78" s="3701" t="str">
        <f>Fighters!$B77</f>
        <v>ガオガエン</v>
      </c>
      <c r="C78" s="239" t="s">
        <v>880</v>
      </c>
      <c r="D78" s="3762">
        <v>29.0</v>
      </c>
      <c r="E78" s="239" t="s">
        <v>880</v>
      </c>
      <c r="F78" s="3762">
        <v>39.0</v>
      </c>
      <c r="G78" s="239" t="s">
        <v>881</v>
      </c>
      <c r="H78" s="3762">
        <v>21.0</v>
      </c>
      <c r="I78" s="139" t="s">
        <v>882</v>
      </c>
      <c r="J78" s="3762">
        <v>28.0</v>
      </c>
      <c r="K78" s="139" t="s">
        <v>882</v>
      </c>
      <c r="L78" s="3762">
        <v>28.0</v>
      </c>
      <c r="M78" s="139" t="s">
        <v>883</v>
      </c>
      <c r="N78" s="138">
        <v>49.0</v>
      </c>
      <c r="O78" s="239" t="s">
        <v>334</v>
      </c>
      <c r="P78" s="138">
        <v>5.0</v>
      </c>
      <c r="Q78" s="239" t="s">
        <v>523</v>
      </c>
      <c r="R78" s="3763">
        <v>5.0</v>
      </c>
      <c r="S78" s="3708">
        <f>Fighters!$S77</f>
        <v>76</v>
      </c>
      <c r="T78" s="3708">
        <f>Fighters!$T77</f>
        <v>66</v>
      </c>
      <c r="U78" s="3710" t="str">
        <f>Fighters!$V77</f>
        <v>gaogaen</v>
      </c>
    </row>
    <row r="79">
      <c r="A79" s="3700">
        <f>Fighters!$A78</f>
        <v>70</v>
      </c>
      <c r="B79" s="3701" t="str">
        <f>Fighters!$B78</f>
        <v>パックンフラワー</v>
      </c>
      <c r="C79" s="239" t="s">
        <v>880</v>
      </c>
      <c r="D79" s="3762">
        <v>29.0</v>
      </c>
      <c r="E79" s="239" t="s">
        <v>880</v>
      </c>
      <c r="F79" s="3762">
        <v>39.0</v>
      </c>
      <c r="G79" s="239" t="s">
        <v>881</v>
      </c>
      <c r="H79" s="3762">
        <v>21.0</v>
      </c>
      <c r="I79" s="139" t="s">
        <v>882</v>
      </c>
      <c r="J79" s="3762">
        <v>28.0</v>
      </c>
      <c r="K79" s="139" t="s">
        <v>882</v>
      </c>
      <c r="L79" s="3762">
        <v>28.0</v>
      </c>
      <c r="M79" s="139" t="s">
        <v>883</v>
      </c>
      <c r="N79" s="138">
        <v>49.0</v>
      </c>
      <c r="O79" s="239" t="s">
        <v>334</v>
      </c>
      <c r="P79" s="138">
        <v>5.0</v>
      </c>
      <c r="Q79" s="239" t="s">
        <v>523</v>
      </c>
      <c r="R79" s="3763">
        <v>5.0</v>
      </c>
      <c r="S79" s="3708">
        <f>Fighters!$S78</f>
        <v>77</v>
      </c>
      <c r="T79" s="3708">
        <f>Fighters!$T78</f>
        <v>67</v>
      </c>
      <c r="U79" s="3739" t="str">
        <f>Fighters!$V78</f>
        <v>packun</v>
      </c>
    </row>
    <row r="80">
      <c r="A80" s="3700">
        <f>Fighters!$A79</f>
        <v>71</v>
      </c>
      <c r="B80" s="3701" t="str">
        <f>Fighters!$B79</f>
        <v>ジョーカー</v>
      </c>
      <c r="C80" s="239" t="s">
        <v>880</v>
      </c>
      <c r="D80" s="3762">
        <v>29.0</v>
      </c>
      <c r="E80" s="239" t="s">
        <v>880</v>
      </c>
      <c r="F80" s="3762">
        <v>39.0</v>
      </c>
      <c r="G80" s="239" t="s">
        <v>881</v>
      </c>
      <c r="H80" s="3762">
        <v>21.0</v>
      </c>
      <c r="I80" s="139" t="s">
        <v>882</v>
      </c>
      <c r="J80" s="3762">
        <v>28.0</v>
      </c>
      <c r="K80" s="139" t="s">
        <v>882</v>
      </c>
      <c r="L80" s="3762">
        <v>28.0</v>
      </c>
      <c r="M80" s="139" t="s">
        <v>883</v>
      </c>
      <c r="N80" s="138">
        <v>49.0</v>
      </c>
      <c r="O80" s="239" t="s">
        <v>334</v>
      </c>
      <c r="P80" s="138">
        <v>5.0</v>
      </c>
      <c r="Q80" s="239" t="s">
        <v>523</v>
      </c>
      <c r="R80" s="3763">
        <v>5.0</v>
      </c>
      <c r="S80" s="3708">
        <f>Fighters!$S79</f>
        <v>78</v>
      </c>
      <c r="T80" s="3708">
        <f>Fighters!$T79</f>
        <v>68</v>
      </c>
      <c r="U80" s="3739" t="str">
        <f>Fighters!$V79</f>
        <v>jack</v>
      </c>
    </row>
    <row r="81">
      <c r="A81" s="3700">
        <f>Fighters!$A80</f>
        <v>72</v>
      </c>
      <c r="B81" s="3701" t="str">
        <f>Fighters!$B80</f>
        <v>勇者</v>
      </c>
      <c r="C81" s="3804" t="s">
        <v>880</v>
      </c>
      <c r="D81" s="3792">
        <v>29.0</v>
      </c>
      <c r="E81" s="3791" t="s">
        <v>880</v>
      </c>
      <c r="F81" s="3792">
        <v>39.0</v>
      </c>
      <c r="G81" s="3791" t="s">
        <v>881</v>
      </c>
      <c r="H81" s="3792">
        <v>21.0</v>
      </c>
      <c r="I81" s="3791" t="s">
        <v>882</v>
      </c>
      <c r="J81" s="3792">
        <v>28.0</v>
      </c>
      <c r="K81" s="3791" t="s">
        <v>882</v>
      </c>
      <c r="L81" s="3792">
        <v>28.0</v>
      </c>
      <c r="M81" s="3791" t="s">
        <v>883</v>
      </c>
      <c r="N81" s="3793">
        <v>49.0</v>
      </c>
      <c r="O81" s="3791" t="s">
        <v>334</v>
      </c>
      <c r="P81" s="3793">
        <v>5.0</v>
      </c>
      <c r="Q81" s="3791" t="s">
        <v>784</v>
      </c>
      <c r="R81" s="3794">
        <v>5.0</v>
      </c>
      <c r="S81" s="3708">
        <f>Fighters!$S80</f>
        <v>79</v>
      </c>
      <c r="T81" s="3708">
        <f>Fighters!$T80</f>
        <v>69</v>
      </c>
      <c r="U81" s="3739" t="str">
        <f>Fighters!$V80</f>
        <v>brave</v>
      </c>
    </row>
    <row r="82">
      <c r="A82" s="3700">
        <f>Fighters!$A81</f>
        <v>73</v>
      </c>
      <c r="B82" s="3701" t="str">
        <f>Fighters!$B81</f>
        <v>バンジョー&amp;カズーイ</v>
      </c>
      <c r="C82" s="215" t="s">
        <v>880</v>
      </c>
      <c r="D82" s="3803">
        <v>29.0</v>
      </c>
      <c r="E82" s="215" t="s">
        <v>880</v>
      </c>
      <c r="F82" s="3803">
        <v>39.0</v>
      </c>
      <c r="G82" s="215" t="s">
        <v>881</v>
      </c>
      <c r="H82" s="3803">
        <v>21.0</v>
      </c>
      <c r="I82" s="1676" t="s">
        <v>882</v>
      </c>
      <c r="J82" s="3803">
        <v>28.0</v>
      </c>
      <c r="K82" s="1676" t="s">
        <v>882</v>
      </c>
      <c r="L82" s="3803">
        <v>28.0</v>
      </c>
      <c r="M82" s="1676" t="s">
        <v>883</v>
      </c>
      <c r="N82" s="1672">
        <v>49.0</v>
      </c>
      <c r="O82" s="239" t="s">
        <v>334</v>
      </c>
      <c r="P82" s="138">
        <v>5.0</v>
      </c>
      <c r="Q82" s="239" t="s">
        <v>523</v>
      </c>
      <c r="R82" s="3763">
        <v>5.0</v>
      </c>
      <c r="S82" s="3708">
        <f>Fighters!$S81</f>
        <v>80</v>
      </c>
      <c r="T82" s="3708">
        <f>Fighters!$T81</f>
        <v>70</v>
      </c>
      <c r="U82" s="3739" t="str">
        <f>Fighters!$V81</f>
        <v>buddy</v>
      </c>
    </row>
    <row r="83">
      <c r="A83" s="3700">
        <f>Fighters!$A82</f>
        <v>74</v>
      </c>
      <c r="B83" s="3701" t="str">
        <f>Fighters!$B82</f>
        <v>テリー</v>
      </c>
      <c r="C83" s="239" t="s">
        <v>880</v>
      </c>
      <c r="D83" s="3762">
        <v>29.0</v>
      </c>
      <c r="E83" s="239" t="s">
        <v>880</v>
      </c>
      <c r="F83" s="3762">
        <v>39.0</v>
      </c>
      <c r="G83" s="239" t="s">
        <v>881</v>
      </c>
      <c r="H83" s="3762">
        <v>21.0</v>
      </c>
      <c r="I83" s="139" t="s">
        <v>882</v>
      </c>
      <c r="J83" s="3762">
        <v>28.0</v>
      </c>
      <c r="K83" s="139" t="s">
        <v>882</v>
      </c>
      <c r="L83" s="3762">
        <v>28.0</v>
      </c>
      <c r="M83" s="139" t="s">
        <v>883</v>
      </c>
      <c r="N83" s="138">
        <v>49.0</v>
      </c>
      <c r="O83" s="239" t="s">
        <v>334</v>
      </c>
      <c r="P83" s="138">
        <v>5.0</v>
      </c>
      <c r="Q83" s="239" t="s">
        <v>443</v>
      </c>
      <c r="R83" s="3763">
        <v>5.0</v>
      </c>
      <c r="S83" s="3708">
        <f>Fighters!$S82</f>
        <v>81</v>
      </c>
      <c r="T83" s="3708">
        <f>Fighters!$T82</f>
        <v>71</v>
      </c>
      <c r="U83" s="3739" t="str">
        <f>Fighters!$V82</f>
        <v>dolly</v>
      </c>
    </row>
    <row r="84">
      <c r="A84" s="3700">
        <f>Fighters!$A83</f>
        <v>75</v>
      </c>
      <c r="B84" s="3701" t="str">
        <f>Fighters!$B83</f>
        <v>ベレト／ベレス</v>
      </c>
      <c r="C84" s="239" t="s">
        <v>880</v>
      </c>
      <c r="D84" s="3762">
        <v>29.0</v>
      </c>
      <c r="E84" s="239" t="s">
        <v>880</v>
      </c>
      <c r="F84" s="3762">
        <v>39.0</v>
      </c>
      <c r="G84" s="239" t="s">
        <v>881</v>
      </c>
      <c r="H84" s="3762">
        <v>21.0</v>
      </c>
      <c r="I84" s="139" t="s">
        <v>882</v>
      </c>
      <c r="J84" s="3762">
        <v>28.0</v>
      </c>
      <c r="K84" s="139" t="s">
        <v>882</v>
      </c>
      <c r="L84" s="3762">
        <v>28.0</v>
      </c>
      <c r="M84" s="139" t="s">
        <v>883</v>
      </c>
      <c r="N84" s="138">
        <v>49.0</v>
      </c>
      <c r="O84" s="239" t="s">
        <v>334</v>
      </c>
      <c r="P84" s="138">
        <v>5.0</v>
      </c>
      <c r="Q84" s="239" t="s">
        <v>443</v>
      </c>
      <c r="R84" s="3763">
        <v>5.0</v>
      </c>
      <c r="S84" s="3708">
        <f>Fighters!$S83</f>
        <v>82</v>
      </c>
      <c r="T84" s="3708">
        <f>Fighters!$T83</f>
        <v>72</v>
      </c>
      <c r="U84" s="3739" t="str">
        <f>Fighters!$V83</f>
        <v>master</v>
      </c>
    </row>
    <row r="85">
      <c r="A85" s="3700">
        <f>Fighters!$A84</f>
        <v>76</v>
      </c>
      <c r="B85" s="3701" t="str">
        <f>Fighters!$B84</f>
        <v>ミェンミェン</v>
      </c>
      <c r="C85" s="239" t="s">
        <v>880</v>
      </c>
      <c r="D85" s="3762">
        <v>29.0</v>
      </c>
      <c r="E85" s="239" t="s">
        <v>880</v>
      </c>
      <c r="F85" s="3762">
        <v>39.0</v>
      </c>
      <c r="G85" s="239" t="s">
        <v>881</v>
      </c>
      <c r="H85" s="3762">
        <v>21.0</v>
      </c>
      <c r="I85" s="139" t="s">
        <v>882</v>
      </c>
      <c r="J85" s="3762">
        <v>28.0</v>
      </c>
      <c r="K85" s="139" t="s">
        <v>882</v>
      </c>
      <c r="L85" s="3762">
        <v>28.0</v>
      </c>
      <c r="M85" s="139" t="s">
        <v>883</v>
      </c>
      <c r="N85" s="138">
        <v>49.0</v>
      </c>
      <c r="O85" s="239" t="s">
        <v>334</v>
      </c>
      <c r="P85" s="138">
        <v>5.0</v>
      </c>
      <c r="Q85" s="239" t="s">
        <v>523</v>
      </c>
      <c r="R85" s="3763">
        <v>5.0</v>
      </c>
      <c r="S85" s="3708">
        <f>Fighters!$S84</f>
        <v>83</v>
      </c>
      <c r="T85" s="3708">
        <f>Fighters!$T84</f>
        <v>73</v>
      </c>
      <c r="U85" s="3739" t="str">
        <f>Fighters!$V84</f>
        <v>tantan</v>
      </c>
    </row>
    <row r="86">
      <c r="A86" s="3700">
        <f>Fighters!$A85</f>
        <v>77</v>
      </c>
      <c r="B86" s="3701" t="str">
        <f>Fighters!$B85</f>
        <v>スティーブ／アレックス</v>
      </c>
      <c r="C86" s="239" t="s">
        <v>880</v>
      </c>
      <c r="D86" s="3762">
        <v>29.0</v>
      </c>
      <c r="E86" s="239" t="s">
        <v>880</v>
      </c>
      <c r="F86" s="3762">
        <v>39.0</v>
      </c>
      <c r="G86" s="239" t="s">
        <v>881</v>
      </c>
      <c r="H86" s="3762">
        <v>21.0</v>
      </c>
      <c r="I86" s="139" t="s">
        <v>882</v>
      </c>
      <c r="J86" s="3762">
        <v>28.0</v>
      </c>
      <c r="K86" s="139" t="s">
        <v>882</v>
      </c>
      <c r="L86" s="3762">
        <v>28.0</v>
      </c>
      <c r="M86" s="139" t="s">
        <v>883</v>
      </c>
      <c r="N86" s="138">
        <v>49.0</v>
      </c>
      <c r="O86" s="239" t="s">
        <v>334</v>
      </c>
      <c r="P86" s="138">
        <v>5.0</v>
      </c>
      <c r="Q86" s="239" t="s">
        <v>523</v>
      </c>
      <c r="R86" s="3763">
        <v>5.0</v>
      </c>
      <c r="S86" s="3708">
        <f>Fighters!$S85</f>
        <v>84</v>
      </c>
      <c r="T86" s="3708">
        <f>Fighters!$T85</f>
        <v>74</v>
      </c>
      <c r="U86" s="3739" t="str">
        <f>Fighters!$V85</f>
        <v>pickel</v>
      </c>
    </row>
    <row r="87">
      <c r="A87" s="3700">
        <f>Fighters!$A86</f>
        <v>78</v>
      </c>
      <c r="B87" s="3753" t="s">
        <v>7252</v>
      </c>
      <c r="C87" s="239" t="s">
        <v>880</v>
      </c>
      <c r="D87" s="3762">
        <v>29.0</v>
      </c>
      <c r="E87" s="239" t="s">
        <v>880</v>
      </c>
      <c r="F87" s="3762">
        <v>39.0</v>
      </c>
      <c r="G87" s="239" t="s">
        <v>881</v>
      </c>
      <c r="H87" s="3762">
        <v>21.0</v>
      </c>
      <c r="I87" s="139" t="s">
        <v>882</v>
      </c>
      <c r="J87" s="3762">
        <v>28.0</v>
      </c>
      <c r="K87" s="139" t="s">
        <v>882</v>
      </c>
      <c r="L87" s="3762">
        <v>28.0</v>
      </c>
      <c r="M87" s="139" t="s">
        <v>883</v>
      </c>
      <c r="N87" s="138">
        <v>49.0</v>
      </c>
      <c r="O87" s="239" t="s">
        <v>334</v>
      </c>
      <c r="P87" s="138">
        <v>5.0</v>
      </c>
      <c r="Q87" s="239" t="s">
        <v>523</v>
      </c>
      <c r="R87" s="3763">
        <v>5.0</v>
      </c>
      <c r="S87" s="3708">
        <f>Fighters!$S86</f>
        <v>85</v>
      </c>
      <c r="T87" s="3708">
        <f>Fighters!$T86</f>
        <v>75</v>
      </c>
      <c r="U87" s="3739" t="str">
        <f>Fighters!$V86</f>
        <v>edge</v>
      </c>
    </row>
    <row r="88">
      <c r="A88" s="3700">
        <f>Fighters!$A87</f>
        <v>79</v>
      </c>
      <c r="B88" s="3701" t="str">
        <f>Fighters!$B87</f>
        <v>ホムラ</v>
      </c>
      <c r="C88" s="239" t="s">
        <v>880</v>
      </c>
      <c r="D88" s="3762">
        <v>29.0</v>
      </c>
      <c r="E88" s="239" t="s">
        <v>880</v>
      </c>
      <c r="F88" s="3762">
        <v>39.0</v>
      </c>
      <c r="G88" s="239" t="s">
        <v>881</v>
      </c>
      <c r="H88" s="3762">
        <v>21.0</v>
      </c>
      <c r="I88" s="139" t="s">
        <v>882</v>
      </c>
      <c r="J88" s="3762">
        <v>28.0</v>
      </c>
      <c r="K88" s="139" t="s">
        <v>882</v>
      </c>
      <c r="L88" s="3762">
        <v>28.0</v>
      </c>
      <c r="M88" s="139" t="s">
        <v>883</v>
      </c>
      <c r="N88" s="138">
        <v>49.0</v>
      </c>
      <c r="O88" s="239" t="s">
        <v>334</v>
      </c>
      <c r="P88" s="138">
        <v>5.0</v>
      </c>
      <c r="Q88" s="239" t="s">
        <v>523</v>
      </c>
      <c r="R88" s="3763">
        <v>5.0</v>
      </c>
      <c r="S88" s="3708">
        <f>Fighters!$S87</f>
        <v>86</v>
      </c>
      <c r="T88" s="3708">
        <f>Fighters!$T87</f>
        <v>76</v>
      </c>
      <c r="U88" s="3739" t="str">
        <f>Fighters!$V87</f>
        <v>eflame</v>
      </c>
    </row>
    <row r="89">
      <c r="A89" s="3700">
        <f>Fighters!$A88</f>
        <v>80</v>
      </c>
      <c r="B89" s="3701" t="str">
        <f>Fighters!$B88</f>
        <v>ヒカリ</v>
      </c>
      <c r="C89" s="239" t="s">
        <v>880</v>
      </c>
      <c r="D89" s="3762">
        <v>29.0</v>
      </c>
      <c r="E89" s="239" t="s">
        <v>880</v>
      </c>
      <c r="F89" s="3762">
        <v>39.0</v>
      </c>
      <c r="G89" s="239" t="s">
        <v>881</v>
      </c>
      <c r="H89" s="3762">
        <v>21.0</v>
      </c>
      <c r="I89" s="139" t="s">
        <v>882</v>
      </c>
      <c r="J89" s="3762">
        <v>28.0</v>
      </c>
      <c r="K89" s="139" t="s">
        <v>882</v>
      </c>
      <c r="L89" s="3762">
        <v>28.0</v>
      </c>
      <c r="M89" s="139" t="s">
        <v>883</v>
      </c>
      <c r="N89" s="138">
        <v>49.0</v>
      </c>
      <c r="O89" s="239" t="s">
        <v>334</v>
      </c>
      <c r="P89" s="138">
        <v>5.0</v>
      </c>
      <c r="Q89" s="239" t="s">
        <v>523</v>
      </c>
      <c r="R89" s="3763">
        <v>5.0</v>
      </c>
      <c r="S89" s="3708">
        <f>Fighters!$S88</f>
        <v>87</v>
      </c>
      <c r="T89" s="3708">
        <f>Fighters!$T88</f>
        <v>77</v>
      </c>
      <c r="U89" s="3739" t="str">
        <f>Fighters!$V88</f>
        <v>elight</v>
      </c>
    </row>
    <row r="90">
      <c r="A90" s="3700">
        <f>Fighters!$A89</f>
        <v>81</v>
      </c>
      <c r="B90" s="3701" t="str">
        <f>Fighters!$B89</f>
        <v>カズヤ</v>
      </c>
      <c r="C90" s="239" t="s">
        <v>880</v>
      </c>
      <c r="D90" s="3762">
        <v>29.0</v>
      </c>
      <c r="E90" s="239" t="s">
        <v>880</v>
      </c>
      <c r="F90" s="3762">
        <v>39.0</v>
      </c>
      <c r="G90" s="239" t="s">
        <v>881</v>
      </c>
      <c r="H90" s="3762">
        <v>21.0</v>
      </c>
      <c r="I90" s="139" t="s">
        <v>882</v>
      </c>
      <c r="J90" s="3762">
        <v>28.0</v>
      </c>
      <c r="K90" s="139" t="s">
        <v>882</v>
      </c>
      <c r="L90" s="3762">
        <v>28.0</v>
      </c>
      <c r="M90" s="139" t="s">
        <v>883</v>
      </c>
      <c r="N90" s="138">
        <v>49.0</v>
      </c>
      <c r="O90" s="239" t="s">
        <v>334</v>
      </c>
      <c r="P90" s="138">
        <v>5.0</v>
      </c>
      <c r="Q90" s="239" t="s">
        <v>443</v>
      </c>
      <c r="R90" s="3763">
        <v>5.0</v>
      </c>
      <c r="S90" s="3708">
        <f>Fighters!$S89</f>
        <v>88</v>
      </c>
      <c r="T90" s="3708">
        <f>Fighters!$T89</f>
        <v>78</v>
      </c>
      <c r="U90" s="3754" t="s">
        <v>7267</v>
      </c>
    </row>
    <row r="91">
      <c r="A91" s="3700">
        <f>Fighters!$A90</f>
        <v>82</v>
      </c>
      <c r="B91" s="3701" t="str">
        <f>Fighters!$B90</f>
        <v>ソラ</v>
      </c>
      <c r="C91" s="239" t="s">
        <v>880</v>
      </c>
      <c r="D91" s="3762">
        <v>29.0</v>
      </c>
      <c r="E91" s="239" t="s">
        <v>880</v>
      </c>
      <c r="F91" s="3762">
        <v>39.0</v>
      </c>
      <c r="G91" s="239" t="s">
        <v>881</v>
      </c>
      <c r="H91" s="3762">
        <v>21.0</v>
      </c>
      <c r="I91" s="139" t="s">
        <v>882</v>
      </c>
      <c r="J91" s="3762">
        <v>28.0</v>
      </c>
      <c r="K91" s="139" t="s">
        <v>882</v>
      </c>
      <c r="L91" s="3762">
        <v>28.0</v>
      </c>
      <c r="M91" s="139" t="s">
        <v>883</v>
      </c>
      <c r="N91" s="138">
        <v>49.0</v>
      </c>
      <c r="O91" s="239" t="s">
        <v>351</v>
      </c>
      <c r="P91" s="138">
        <v>5.0</v>
      </c>
      <c r="Q91" s="239" t="s">
        <v>443</v>
      </c>
      <c r="R91" s="3763">
        <v>5.0</v>
      </c>
      <c r="S91" s="3708">
        <f>Fighters!$S90</f>
        <v>89</v>
      </c>
      <c r="T91" s="3708">
        <f>Fighters!$T90</f>
        <v>79</v>
      </c>
      <c r="U91" s="3739" t="str">
        <f>Fighters!$V90</f>
        <v>trail</v>
      </c>
    </row>
  </sheetData>
  <autoFilter ref="$A$2:$U$91"/>
  <mergeCells count="6">
    <mergeCell ref="C1:D1"/>
    <mergeCell ref="E1:F1"/>
    <mergeCell ref="G1:H1"/>
    <mergeCell ref="I1:J1"/>
    <mergeCell ref="K1:L1"/>
    <mergeCell ref="M1:R1"/>
  </mergeCells>
  <drawing r:id="rId2"/>
  <legacyDrawing r:id="rId3"/>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18.88"/>
    <col customWidth="1" min="3" max="36" width="6.0"/>
    <col customWidth="1" min="37" max="39" width="9.25"/>
  </cols>
  <sheetData>
    <row r="1">
      <c r="A1" s="3741"/>
      <c r="B1" s="3699"/>
      <c r="C1" s="3742" t="s">
        <v>7419</v>
      </c>
      <c r="D1" s="3744"/>
      <c r="E1" s="3743" t="s">
        <v>7420</v>
      </c>
      <c r="F1" s="3778"/>
      <c r="G1" s="3743" t="s">
        <v>226</v>
      </c>
      <c r="H1" s="3744"/>
      <c r="I1" s="3743" t="s">
        <v>229</v>
      </c>
      <c r="J1" s="3744"/>
      <c r="K1" s="3777" t="s">
        <v>233</v>
      </c>
      <c r="L1" s="3744"/>
      <c r="M1" s="3777" t="s">
        <v>234</v>
      </c>
      <c r="N1" s="3744"/>
      <c r="O1" s="3777" t="s">
        <v>219</v>
      </c>
      <c r="P1" s="3744"/>
      <c r="Q1" s="3777" t="s">
        <v>263</v>
      </c>
      <c r="R1" s="3778"/>
      <c r="S1" s="3743" t="s">
        <v>226</v>
      </c>
      <c r="T1" s="3744"/>
      <c r="U1" s="3743" t="s">
        <v>229</v>
      </c>
      <c r="V1" s="3744"/>
      <c r="W1" s="3777" t="s">
        <v>233</v>
      </c>
      <c r="X1" s="3744"/>
      <c r="Y1" s="3777" t="s">
        <v>234</v>
      </c>
      <c r="Z1" s="3778"/>
      <c r="AA1" s="3805" t="s">
        <v>7421</v>
      </c>
      <c r="AB1" s="3744"/>
      <c r="AC1" s="3806" t="s">
        <v>7422</v>
      </c>
      <c r="AD1" s="3744"/>
      <c r="AE1" s="3806" t="s">
        <v>7423</v>
      </c>
      <c r="AF1" s="3744"/>
      <c r="AG1" s="3806" t="s">
        <v>7424</v>
      </c>
      <c r="AH1" s="3744"/>
      <c r="AI1" s="3806" t="s">
        <v>7425</v>
      </c>
      <c r="AJ1" s="3778"/>
      <c r="AK1" s="3745"/>
      <c r="AL1" s="3745"/>
      <c r="AM1" s="3745"/>
    </row>
    <row r="2">
      <c r="A2" s="3747" t="str">
        <f>Fighters!C$1</f>
        <v>13.0.1</v>
      </c>
      <c r="B2" s="3688" t="s">
        <v>7272</v>
      </c>
      <c r="C2" s="3748" t="s">
        <v>257</v>
      </c>
      <c r="D2" s="3779" t="s">
        <v>49</v>
      </c>
      <c r="E2" s="3780" t="s">
        <v>257</v>
      </c>
      <c r="F2" s="3807" t="s">
        <v>49</v>
      </c>
      <c r="G2" s="3780" t="s">
        <v>261</v>
      </c>
      <c r="H2" s="3779" t="s">
        <v>49</v>
      </c>
      <c r="I2" s="3780" t="s">
        <v>261</v>
      </c>
      <c r="J2" s="3779" t="s">
        <v>49</v>
      </c>
      <c r="K2" s="3780" t="s">
        <v>261</v>
      </c>
      <c r="L2" s="3779" t="s">
        <v>49</v>
      </c>
      <c r="M2" s="3780" t="s">
        <v>261</v>
      </c>
      <c r="N2" s="3779" t="s">
        <v>49</v>
      </c>
      <c r="O2" s="3780" t="s">
        <v>261</v>
      </c>
      <c r="P2" s="3779" t="s">
        <v>49</v>
      </c>
      <c r="Q2" s="3780" t="s">
        <v>261</v>
      </c>
      <c r="R2" s="3807" t="s">
        <v>49</v>
      </c>
      <c r="S2" s="3780" t="s">
        <v>261</v>
      </c>
      <c r="T2" s="3779" t="s">
        <v>49</v>
      </c>
      <c r="U2" s="3780" t="s">
        <v>261</v>
      </c>
      <c r="V2" s="3779" t="s">
        <v>49</v>
      </c>
      <c r="W2" s="3780" t="s">
        <v>261</v>
      </c>
      <c r="X2" s="3779" t="s">
        <v>49</v>
      </c>
      <c r="Y2" s="3780" t="s">
        <v>261</v>
      </c>
      <c r="Z2" s="3749" t="s">
        <v>49</v>
      </c>
      <c r="AA2" s="3808" t="s">
        <v>261</v>
      </c>
      <c r="AB2" s="3782" t="s">
        <v>49</v>
      </c>
      <c r="AC2" s="3781" t="s">
        <v>261</v>
      </c>
      <c r="AD2" s="3782" t="s">
        <v>49</v>
      </c>
      <c r="AE2" s="3781" t="s">
        <v>261</v>
      </c>
      <c r="AF2" s="3782" t="s">
        <v>49</v>
      </c>
      <c r="AG2" s="3781" t="s">
        <v>261</v>
      </c>
      <c r="AH2" s="3782" t="s">
        <v>49</v>
      </c>
      <c r="AI2" s="3781" t="s">
        <v>261</v>
      </c>
      <c r="AJ2" s="3785" t="s">
        <v>49</v>
      </c>
      <c r="AK2" s="3698" t="s">
        <v>6515</v>
      </c>
      <c r="AL2" s="3698" t="s">
        <v>6516</v>
      </c>
      <c r="AM2" s="3759" t="s">
        <v>6517</v>
      </c>
    </row>
    <row r="3">
      <c r="A3" s="3700">
        <f>Fighters!$A2</f>
        <v>1</v>
      </c>
      <c r="B3" s="3701" t="str">
        <f>Fighters!$B2</f>
        <v>マリオ</v>
      </c>
      <c r="C3" s="239" t="s">
        <v>176</v>
      </c>
      <c r="D3" s="3762">
        <v>7.0</v>
      </c>
      <c r="E3" s="307" t="s">
        <v>176</v>
      </c>
      <c r="F3" s="3763">
        <v>19.0</v>
      </c>
      <c r="G3" s="239" t="s">
        <v>80</v>
      </c>
      <c r="H3" s="3762">
        <v>24.0</v>
      </c>
      <c r="I3" s="239" t="s">
        <v>232</v>
      </c>
      <c r="J3" s="3762">
        <v>24.0</v>
      </c>
      <c r="K3" s="239" t="s">
        <v>129</v>
      </c>
      <c r="L3" s="3762">
        <v>23.0</v>
      </c>
      <c r="M3" s="239" t="s">
        <v>93</v>
      </c>
      <c r="N3" s="3762">
        <v>19.0</v>
      </c>
      <c r="O3" s="239" t="s">
        <v>150</v>
      </c>
      <c r="P3" s="3762">
        <v>29.0</v>
      </c>
      <c r="Q3" s="239" t="s">
        <v>86</v>
      </c>
      <c r="R3" s="3763">
        <v>23.0</v>
      </c>
      <c r="S3" s="239" t="s">
        <v>80</v>
      </c>
      <c r="T3" s="3762">
        <v>24.0</v>
      </c>
      <c r="U3" s="139" t="s">
        <v>232</v>
      </c>
      <c r="V3" s="3762">
        <v>24.0</v>
      </c>
      <c r="W3" s="239" t="s">
        <v>129</v>
      </c>
      <c r="X3" s="3762">
        <v>23.0</v>
      </c>
      <c r="Y3" s="239" t="s">
        <v>93</v>
      </c>
      <c r="Z3" s="3761">
        <v>19.0</v>
      </c>
      <c r="AA3" s="3809">
        <v>3.0</v>
      </c>
      <c r="AB3" s="3810" t="s">
        <v>129</v>
      </c>
      <c r="AC3" s="3811">
        <v>14.0</v>
      </c>
      <c r="AD3" s="3810" t="s">
        <v>164</v>
      </c>
      <c r="AE3" s="3812">
        <v>15.0</v>
      </c>
      <c r="AF3" s="3810" t="s">
        <v>164</v>
      </c>
      <c r="AG3" s="3811">
        <v>11.0</v>
      </c>
      <c r="AH3" s="3810" t="s">
        <v>1114</v>
      </c>
      <c r="AI3" s="3811">
        <v>9.0</v>
      </c>
      <c r="AJ3" s="3813" t="s">
        <v>1114</v>
      </c>
      <c r="AK3" s="3709">
        <f>Fighters!$S2</f>
        <v>1</v>
      </c>
      <c r="AL3" s="3708">
        <f>Fighters!$T2</f>
        <v>0</v>
      </c>
      <c r="AM3" s="3710" t="str">
        <f>Fighters!$V2</f>
        <v>mario</v>
      </c>
    </row>
    <row r="4">
      <c r="A4" s="3700">
        <f>Fighters!$A3</f>
        <v>2</v>
      </c>
      <c r="B4" s="3701" t="str">
        <f>Fighters!$B3</f>
        <v>ドンキーコング</v>
      </c>
      <c r="C4" s="239" t="s">
        <v>176</v>
      </c>
      <c r="D4" s="3762">
        <v>7.0</v>
      </c>
      <c r="E4" s="307" t="s">
        <v>176</v>
      </c>
      <c r="F4" s="3763">
        <v>19.0</v>
      </c>
      <c r="G4" s="239" t="s">
        <v>128</v>
      </c>
      <c r="H4" s="3762">
        <v>24.0</v>
      </c>
      <c r="I4" s="239" t="s">
        <v>119</v>
      </c>
      <c r="J4" s="3762">
        <v>24.0</v>
      </c>
      <c r="K4" s="239" t="s">
        <v>386</v>
      </c>
      <c r="L4" s="3762">
        <v>23.0</v>
      </c>
      <c r="M4" s="239" t="s">
        <v>80</v>
      </c>
      <c r="N4" s="3762">
        <v>19.0</v>
      </c>
      <c r="O4" s="239" t="s">
        <v>86</v>
      </c>
      <c r="P4" s="3762">
        <v>29.0</v>
      </c>
      <c r="Q4" s="239" t="s">
        <v>93</v>
      </c>
      <c r="R4" s="3763">
        <v>23.0</v>
      </c>
      <c r="S4" s="239" t="s">
        <v>128</v>
      </c>
      <c r="T4" s="3762">
        <v>24.0</v>
      </c>
      <c r="U4" s="139" t="s">
        <v>119</v>
      </c>
      <c r="V4" s="3762">
        <v>24.0</v>
      </c>
      <c r="W4" s="239" t="s">
        <v>386</v>
      </c>
      <c r="X4" s="3762">
        <v>23.0</v>
      </c>
      <c r="Y4" s="239" t="s">
        <v>80</v>
      </c>
      <c r="Z4" s="3761">
        <v>19.0</v>
      </c>
      <c r="AA4" s="3809">
        <v>3.0</v>
      </c>
      <c r="AB4" s="3810" t="s">
        <v>129</v>
      </c>
      <c r="AC4" s="3811">
        <v>14.0</v>
      </c>
      <c r="AD4" s="3810" t="s">
        <v>164</v>
      </c>
      <c r="AE4" s="3812">
        <v>17.0</v>
      </c>
      <c r="AF4" s="3810" t="s">
        <v>164</v>
      </c>
      <c r="AG4" s="3811">
        <v>12.0</v>
      </c>
      <c r="AH4" s="3810" t="s">
        <v>1114</v>
      </c>
      <c r="AI4" s="3811">
        <v>11.0</v>
      </c>
      <c r="AJ4" s="3813" t="s">
        <v>1114</v>
      </c>
      <c r="AK4" s="3709">
        <f>Fighters!$S3</f>
        <v>2</v>
      </c>
      <c r="AL4" s="3708">
        <f>Fighters!$T3</f>
        <v>1</v>
      </c>
      <c r="AM4" s="3710" t="str">
        <f>Fighters!$V3</f>
        <v>donkey</v>
      </c>
    </row>
    <row r="5">
      <c r="A5" s="3700">
        <f>Fighters!$A4</f>
        <v>3</v>
      </c>
      <c r="B5" s="3701" t="str">
        <f>Fighters!$B4</f>
        <v>リンク</v>
      </c>
      <c r="C5" s="239" t="s">
        <v>176</v>
      </c>
      <c r="D5" s="3762">
        <v>7.0</v>
      </c>
      <c r="E5" s="307" t="s">
        <v>176</v>
      </c>
      <c r="F5" s="3763">
        <v>19.0</v>
      </c>
      <c r="G5" s="239" t="s">
        <v>93</v>
      </c>
      <c r="H5" s="3762">
        <v>24.0</v>
      </c>
      <c r="I5" s="239" t="s">
        <v>274</v>
      </c>
      <c r="J5" s="3762">
        <v>24.0</v>
      </c>
      <c r="K5" s="239" t="s">
        <v>232</v>
      </c>
      <c r="L5" s="3762">
        <v>23.0</v>
      </c>
      <c r="M5" s="239" t="s">
        <v>86</v>
      </c>
      <c r="N5" s="3762">
        <v>19.0</v>
      </c>
      <c r="O5" s="239" t="s">
        <v>73</v>
      </c>
      <c r="P5" s="3762">
        <v>29.0</v>
      </c>
      <c r="Q5" s="239" t="s">
        <v>150</v>
      </c>
      <c r="R5" s="3763">
        <v>23.0</v>
      </c>
      <c r="S5" s="239" t="s">
        <v>93</v>
      </c>
      <c r="T5" s="3762">
        <v>24.0</v>
      </c>
      <c r="U5" s="139" t="s">
        <v>274</v>
      </c>
      <c r="V5" s="3762">
        <v>24.0</v>
      </c>
      <c r="W5" s="239" t="s">
        <v>232</v>
      </c>
      <c r="X5" s="3762">
        <v>23.0</v>
      </c>
      <c r="Y5" s="239" t="s">
        <v>86</v>
      </c>
      <c r="Z5" s="3761">
        <v>19.0</v>
      </c>
      <c r="AA5" s="3809">
        <v>3.0</v>
      </c>
      <c r="AB5" s="3810" t="s">
        <v>129</v>
      </c>
      <c r="AC5" s="3811">
        <v>16.0</v>
      </c>
      <c r="AD5" s="3810" t="s">
        <v>164</v>
      </c>
      <c r="AE5" s="3812">
        <v>17.0</v>
      </c>
      <c r="AF5" s="3810" t="s">
        <v>164</v>
      </c>
      <c r="AG5" s="3811">
        <v>11.0</v>
      </c>
      <c r="AH5" s="3810" t="s">
        <v>1114</v>
      </c>
      <c r="AI5" s="3811">
        <v>11.0</v>
      </c>
      <c r="AJ5" s="3813" t="s">
        <v>1114</v>
      </c>
      <c r="AK5" s="3709">
        <f>Fighters!$S4</f>
        <v>3</v>
      </c>
      <c r="AL5" s="3708">
        <f>Fighters!$T4</f>
        <v>2</v>
      </c>
      <c r="AM5" s="3710" t="str">
        <f>Fighters!$V4</f>
        <v>link</v>
      </c>
    </row>
    <row r="6">
      <c r="A6" s="3700">
        <f>Fighters!$A5</f>
        <v>4</v>
      </c>
      <c r="B6" s="3701" t="str">
        <f>Fighters!$B5</f>
        <v>サムス</v>
      </c>
      <c r="C6" s="239" t="s">
        <v>176</v>
      </c>
      <c r="D6" s="3762">
        <v>7.0</v>
      </c>
      <c r="E6" s="307" t="s">
        <v>176</v>
      </c>
      <c r="F6" s="3763">
        <v>19.0</v>
      </c>
      <c r="G6" s="239" t="s">
        <v>80</v>
      </c>
      <c r="H6" s="3762">
        <v>24.0</v>
      </c>
      <c r="I6" s="239" t="s">
        <v>232</v>
      </c>
      <c r="J6" s="3762">
        <v>24.0</v>
      </c>
      <c r="K6" s="239" t="s">
        <v>129</v>
      </c>
      <c r="L6" s="3762">
        <v>23.0</v>
      </c>
      <c r="M6" s="239" t="s">
        <v>93</v>
      </c>
      <c r="N6" s="3762">
        <v>19.0</v>
      </c>
      <c r="O6" s="239" t="s">
        <v>150</v>
      </c>
      <c r="P6" s="3762">
        <v>29.0</v>
      </c>
      <c r="Q6" s="239" t="s">
        <v>86</v>
      </c>
      <c r="R6" s="3763">
        <v>23.0</v>
      </c>
      <c r="S6" s="239" t="s">
        <v>80</v>
      </c>
      <c r="T6" s="3762">
        <v>24.0</v>
      </c>
      <c r="U6" s="139" t="s">
        <v>232</v>
      </c>
      <c r="V6" s="3762">
        <v>24.0</v>
      </c>
      <c r="W6" s="239" t="s">
        <v>129</v>
      </c>
      <c r="X6" s="3762">
        <v>23.0</v>
      </c>
      <c r="Y6" s="239" t="s">
        <v>93</v>
      </c>
      <c r="Z6" s="3761">
        <v>19.0</v>
      </c>
      <c r="AA6" s="3809">
        <v>3.0</v>
      </c>
      <c r="AB6" s="3810" t="s">
        <v>129</v>
      </c>
      <c r="AC6" s="3811">
        <v>17.0</v>
      </c>
      <c r="AD6" s="3810" t="s">
        <v>164</v>
      </c>
      <c r="AE6" s="3812">
        <v>18.0</v>
      </c>
      <c r="AF6" s="3810" t="s">
        <v>164</v>
      </c>
      <c r="AG6" s="3811">
        <v>11.0</v>
      </c>
      <c r="AH6" s="3810" t="s">
        <v>1114</v>
      </c>
      <c r="AI6" s="3811">
        <v>8.0</v>
      </c>
      <c r="AJ6" s="3813" t="s">
        <v>1114</v>
      </c>
      <c r="AK6" s="3709">
        <f>Fighters!$S5</f>
        <v>4</v>
      </c>
      <c r="AL6" s="3708">
        <f>Fighters!$T5</f>
        <v>3</v>
      </c>
      <c r="AM6" s="3710" t="str">
        <f>Fighters!$V5</f>
        <v>samus</v>
      </c>
    </row>
    <row r="7">
      <c r="A7" s="3700" t="str">
        <f>Fighters!$A6</f>
        <v>4'</v>
      </c>
      <c r="B7" s="3701" t="str">
        <f>Fighters!$B6</f>
        <v>ダークサムス</v>
      </c>
      <c r="C7" s="239" t="s">
        <v>176</v>
      </c>
      <c r="D7" s="3762">
        <v>7.0</v>
      </c>
      <c r="E7" s="307" t="s">
        <v>176</v>
      </c>
      <c r="F7" s="3763">
        <v>19.0</v>
      </c>
      <c r="G7" s="239" t="s">
        <v>80</v>
      </c>
      <c r="H7" s="3762">
        <v>24.0</v>
      </c>
      <c r="I7" s="239" t="s">
        <v>232</v>
      </c>
      <c r="J7" s="3762">
        <v>24.0</v>
      </c>
      <c r="K7" s="239" t="s">
        <v>129</v>
      </c>
      <c r="L7" s="3762">
        <v>23.0</v>
      </c>
      <c r="M7" s="239" t="s">
        <v>93</v>
      </c>
      <c r="N7" s="3762">
        <v>19.0</v>
      </c>
      <c r="O7" s="239" t="s">
        <v>150</v>
      </c>
      <c r="P7" s="3762">
        <v>29.0</v>
      </c>
      <c r="Q7" s="239" t="s">
        <v>86</v>
      </c>
      <c r="R7" s="3763">
        <v>23.0</v>
      </c>
      <c r="S7" s="239" t="s">
        <v>80</v>
      </c>
      <c r="T7" s="3762">
        <v>24.0</v>
      </c>
      <c r="U7" s="139" t="s">
        <v>232</v>
      </c>
      <c r="V7" s="3762">
        <v>24.0</v>
      </c>
      <c r="W7" s="239" t="s">
        <v>129</v>
      </c>
      <c r="X7" s="3762">
        <v>23.0</v>
      </c>
      <c r="Y7" s="239" t="s">
        <v>93</v>
      </c>
      <c r="Z7" s="3761">
        <v>19.0</v>
      </c>
      <c r="AA7" s="3809">
        <v>3.0</v>
      </c>
      <c r="AB7" s="3810" t="s">
        <v>129</v>
      </c>
      <c r="AC7" s="3811">
        <v>17.0</v>
      </c>
      <c r="AD7" s="3810" t="s">
        <v>164</v>
      </c>
      <c r="AE7" s="3812">
        <v>18.0</v>
      </c>
      <c r="AF7" s="3810" t="s">
        <v>164</v>
      </c>
      <c r="AG7" s="3811">
        <v>11.0</v>
      </c>
      <c r="AH7" s="3810" t="s">
        <v>1114</v>
      </c>
      <c r="AI7" s="3811">
        <v>8.0</v>
      </c>
      <c r="AJ7" s="3813" t="s">
        <v>1114</v>
      </c>
      <c r="AK7" s="3709">
        <f>Fighters!$S6</f>
        <v>5</v>
      </c>
      <c r="AL7" s="3708">
        <f>Fighters!$T6</f>
        <v>72</v>
      </c>
      <c r="AM7" s="3710" t="str">
        <f>Fighters!$V6</f>
        <v>samusd</v>
      </c>
    </row>
    <row r="8">
      <c r="A8" s="3700">
        <f>Fighters!$A7</f>
        <v>5</v>
      </c>
      <c r="B8" s="3701" t="str">
        <f>Fighters!$B7</f>
        <v>ヨッシー</v>
      </c>
      <c r="C8" s="239" t="s">
        <v>176</v>
      </c>
      <c r="D8" s="3762">
        <v>7.0</v>
      </c>
      <c r="E8" s="307" t="s">
        <v>176</v>
      </c>
      <c r="F8" s="3763">
        <v>19.0</v>
      </c>
      <c r="G8" s="239" t="s">
        <v>80</v>
      </c>
      <c r="H8" s="3762">
        <v>24.0</v>
      </c>
      <c r="I8" s="239" t="s">
        <v>93</v>
      </c>
      <c r="J8" s="3762">
        <v>24.0</v>
      </c>
      <c r="K8" s="239" t="s">
        <v>80</v>
      </c>
      <c r="L8" s="3762">
        <v>23.0</v>
      </c>
      <c r="M8" s="239" t="s">
        <v>93</v>
      </c>
      <c r="N8" s="3762">
        <v>19.0</v>
      </c>
      <c r="O8" s="239" t="s">
        <v>93</v>
      </c>
      <c r="P8" s="3762">
        <v>29.0</v>
      </c>
      <c r="Q8" s="239" t="s">
        <v>86</v>
      </c>
      <c r="R8" s="3763">
        <v>23.0</v>
      </c>
      <c r="S8" s="239" t="s">
        <v>80</v>
      </c>
      <c r="T8" s="3762">
        <v>24.0</v>
      </c>
      <c r="U8" s="139" t="s">
        <v>93</v>
      </c>
      <c r="V8" s="3762">
        <v>24.0</v>
      </c>
      <c r="W8" s="239" t="s">
        <v>80</v>
      </c>
      <c r="X8" s="3762">
        <v>23.0</v>
      </c>
      <c r="Y8" s="239" t="s">
        <v>93</v>
      </c>
      <c r="Z8" s="3761">
        <v>19.0</v>
      </c>
      <c r="AA8" s="3809">
        <v>3.0</v>
      </c>
      <c r="AB8" s="3810" t="s">
        <v>129</v>
      </c>
      <c r="AC8" s="3811">
        <v>16.0</v>
      </c>
      <c r="AD8" s="3810" t="s">
        <v>164</v>
      </c>
      <c r="AE8" s="3812">
        <v>18.0</v>
      </c>
      <c r="AF8" s="3810" t="s">
        <v>164</v>
      </c>
      <c r="AG8" s="3811">
        <v>10.0</v>
      </c>
      <c r="AH8" s="3810" t="s">
        <v>1114</v>
      </c>
      <c r="AI8" s="3811">
        <v>12.0</v>
      </c>
      <c r="AJ8" s="3813" t="s">
        <v>1114</v>
      </c>
      <c r="AK8" s="3709">
        <f>Fighters!$S7</f>
        <v>6</v>
      </c>
      <c r="AL8" s="3708">
        <f>Fighters!$T7</f>
        <v>4</v>
      </c>
      <c r="AM8" s="3710" t="str">
        <f>Fighters!$V7</f>
        <v>younglink</v>
      </c>
    </row>
    <row r="9">
      <c r="A9" s="3700">
        <f>Fighters!$A8</f>
        <v>6</v>
      </c>
      <c r="B9" s="3701" t="str">
        <f>Fighters!$B8</f>
        <v>カービィ</v>
      </c>
      <c r="C9" s="239" t="s">
        <v>176</v>
      </c>
      <c r="D9" s="3762">
        <v>7.0</v>
      </c>
      <c r="E9" s="307" t="s">
        <v>176</v>
      </c>
      <c r="F9" s="3763">
        <v>19.0</v>
      </c>
      <c r="G9" s="239" t="s">
        <v>80</v>
      </c>
      <c r="H9" s="3762">
        <v>24.0</v>
      </c>
      <c r="I9" s="239" t="s">
        <v>232</v>
      </c>
      <c r="J9" s="3762">
        <v>24.0</v>
      </c>
      <c r="K9" s="239" t="s">
        <v>129</v>
      </c>
      <c r="L9" s="3762">
        <v>23.0</v>
      </c>
      <c r="M9" s="239" t="s">
        <v>93</v>
      </c>
      <c r="N9" s="3762">
        <v>19.0</v>
      </c>
      <c r="O9" s="239" t="s">
        <v>150</v>
      </c>
      <c r="P9" s="3762">
        <v>29.0</v>
      </c>
      <c r="Q9" s="239" t="s">
        <v>93</v>
      </c>
      <c r="R9" s="3763">
        <v>23.0</v>
      </c>
      <c r="S9" s="239" t="s">
        <v>80</v>
      </c>
      <c r="T9" s="3762">
        <v>24.0</v>
      </c>
      <c r="U9" s="139" t="s">
        <v>232</v>
      </c>
      <c r="V9" s="3762">
        <v>24.0</v>
      </c>
      <c r="W9" s="239" t="s">
        <v>129</v>
      </c>
      <c r="X9" s="3762">
        <v>23.0</v>
      </c>
      <c r="Y9" s="239" t="s">
        <v>93</v>
      </c>
      <c r="Z9" s="3761">
        <v>19.0</v>
      </c>
      <c r="AA9" s="3809">
        <v>3.0</v>
      </c>
      <c r="AB9" s="3810" t="s">
        <v>129</v>
      </c>
      <c r="AC9" s="3811">
        <v>15.0</v>
      </c>
      <c r="AD9" s="3810" t="s">
        <v>164</v>
      </c>
      <c r="AE9" s="3811">
        <v>15.0</v>
      </c>
      <c r="AF9" s="3810" t="s">
        <v>164</v>
      </c>
      <c r="AG9" s="3811">
        <v>11.0</v>
      </c>
      <c r="AH9" s="3810" t="s">
        <v>1114</v>
      </c>
      <c r="AI9" s="3811">
        <v>11.0</v>
      </c>
      <c r="AJ9" s="3813" t="s">
        <v>1114</v>
      </c>
      <c r="AK9" s="3709">
        <f>Fighters!$S8</f>
        <v>7</v>
      </c>
      <c r="AL9" s="3708">
        <f>Fighters!$T8</f>
        <v>5</v>
      </c>
      <c r="AM9" s="3710" t="str">
        <f>Fighters!$V8</f>
        <v>kirby</v>
      </c>
    </row>
    <row r="10">
      <c r="A10" s="3700">
        <f>Fighters!$A9</f>
        <v>7</v>
      </c>
      <c r="B10" s="3701" t="str">
        <f>Fighters!$B9</f>
        <v>フォックス</v>
      </c>
      <c r="C10" s="239" t="s">
        <v>176</v>
      </c>
      <c r="D10" s="3762">
        <v>7.0</v>
      </c>
      <c r="E10" s="307" t="s">
        <v>176</v>
      </c>
      <c r="F10" s="3763">
        <v>19.0</v>
      </c>
      <c r="G10" s="239" t="s">
        <v>80</v>
      </c>
      <c r="H10" s="3762">
        <v>24.0</v>
      </c>
      <c r="I10" s="239" t="s">
        <v>232</v>
      </c>
      <c r="J10" s="3762">
        <v>24.0</v>
      </c>
      <c r="K10" s="239" t="s">
        <v>129</v>
      </c>
      <c r="L10" s="3762">
        <v>23.0</v>
      </c>
      <c r="M10" s="239" t="s">
        <v>93</v>
      </c>
      <c r="N10" s="3762">
        <v>19.0</v>
      </c>
      <c r="O10" s="239" t="s">
        <v>150</v>
      </c>
      <c r="P10" s="3762">
        <v>29.0</v>
      </c>
      <c r="Q10" s="239" t="s">
        <v>86</v>
      </c>
      <c r="R10" s="3763">
        <v>23.0</v>
      </c>
      <c r="S10" s="239" t="s">
        <v>80</v>
      </c>
      <c r="T10" s="3762">
        <v>24.0</v>
      </c>
      <c r="U10" s="139" t="s">
        <v>232</v>
      </c>
      <c r="V10" s="3762">
        <v>24.0</v>
      </c>
      <c r="W10" s="239" t="s">
        <v>129</v>
      </c>
      <c r="X10" s="3762">
        <v>23.0</v>
      </c>
      <c r="Y10" s="239" t="s">
        <v>93</v>
      </c>
      <c r="Z10" s="3761">
        <v>19.0</v>
      </c>
      <c r="AA10" s="3809">
        <v>3.0</v>
      </c>
      <c r="AB10" s="3810" t="s">
        <v>129</v>
      </c>
      <c r="AC10" s="3811">
        <v>16.0</v>
      </c>
      <c r="AD10" s="3810" t="s">
        <v>164</v>
      </c>
      <c r="AE10" s="3811">
        <v>16.0</v>
      </c>
      <c r="AF10" s="3810" t="s">
        <v>164</v>
      </c>
      <c r="AG10" s="3811">
        <v>11.0</v>
      </c>
      <c r="AH10" s="3810" t="s">
        <v>1114</v>
      </c>
      <c r="AI10" s="3811">
        <v>8.0</v>
      </c>
      <c r="AJ10" s="3813" t="s">
        <v>1114</v>
      </c>
      <c r="AK10" s="3709">
        <f>Fighters!$S9</f>
        <v>8</v>
      </c>
      <c r="AL10" s="3708">
        <f>Fighters!$T9</f>
        <v>6</v>
      </c>
      <c r="AM10" s="3710" t="str">
        <f>Fighters!$V9</f>
        <v>fox</v>
      </c>
    </row>
    <row r="11">
      <c r="A11" s="3700">
        <f>Fighters!$A10</f>
        <v>8</v>
      </c>
      <c r="B11" s="3701" t="str">
        <f>Fighters!$B10</f>
        <v>ピカチュウ</v>
      </c>
      <c r="C11" s="3798" t="s">
        <v>176</v>
      </c>
      <c r="D11" s="3762">
        <v>7.0</v>
      </c>
      <c r="E11" s="307" t="s">
        <v>176</v>
      </c>
      <c r="F11" s="3763">
        <v>19.0</v>
      </c>
      <c r="G11" s="3798" t="s">
        <v>129</v>
      </c>
      <c r="H11" s="3762">
        <v>24.0</v>
      </c>
      <c r="I11" s="3798" t="s">
        <v>119</v>
      </c>
      <c r="J11" s="3762">
        <v>24.0</v>
      </c>
      <c r="K11" s="3798" t="s">
        <v>386</v>
      </c>
      <c r="L11" s="3762">
        <v>23.0</v>
      </c>
      <c r="M11" s="3798" t="s">
        <v>80</v>
      </c>
      <c r="N11" s="3762">
        <v>19.0</v>
      </c>
      <c r="O11" s="3798" t="s">
        <v>150</v>
      </c>
      <c r="P11" s="3762">
        <v>29.0</v>
      </c>
      <c r="Q11" s="3798" t="s">
        <v>93</v>
      </c>
      <c r="R11" s="3763">
        <v>23.0</v>
      </c>
      <c r="S11" s="3798" t="s">
        <v>129</v>
      </c>
      <c r="T11" s="3762">
        <v>24.0</v>
      </c>
      <c r="U11" s="3798" t="s">
        <v>119</v>
      </c>
      <c r="V11" s="3762">
        <v>24.0</v>
      </c>
      <c r="W11" s="3798" t="s">
        <v>386</v>
      </c>
      <c r="X11" s="3762">
        <v>23.0</v>
      </c>
      <c r="Y11" s="3798" t="s">
        <v>80</v>
      </c>
      <c r="Z11" s="3761">
        <v>19.0</v>
      </c>
      <c r="AA11" s="3809">
        <v>3.0</v>
      </c>
      <c r="AB11" s="3810" t="s">
        <v>129</v>
      </c>
      <c r="AC11" s="3811">
        <v>17.0</v>
      </c>
      <c r="AD11" s="3810" t="s">
        <v>164</v>
      </c>
      <c r="AE11" s="3811">
        <v>17.0</v>
      </c>
      <c r="AF11" s="3810" t="s">
        <v>164</v>
      </c>
      <c r="AG11" s="3811">
        <v>12.0</v>
      </c>
      <c r="AH11" s="3810" t="s">
        <v>1114</v>
      </c>
      <c r="AI11" s="3811">
        <v>11.0</v>
      </c>
      <c r="AJ11" s="3813" t="s">
        <v>1114</v>
      </c>
      <c r="AK11" s="3709">
        <f>Fighters!$S10</f>
        <v>9</v>
      </c>
      <c r="AL11" s="3708">
        <f>Fighters!$T10</f>
        <v>7</v>
      </c>
      <c r="AM11" s="3710" t="str">
        <f>Fighters!$V10</f>
        <v>pikachu</v>
      </c>
    </row>
    <row r="12">
      <c r="A12" s="3700">
        <f>Fighters!$A11</f>
        <v>9</v>
      </c>
      <c r="B12" s="3701" t="str">
        <f>Fighters!$B11</f>
        <v>ルイージ</v>
      </c>
      <c r="C12" s="3798" t="s">
        <v>176</v>
      </c>
      <c r="D12" s="3762">
        <v>7.0</v>
      </c>
      <c r="E12" s="307" t="s">
        <v>176</v>
      </c>
      <c r="F12" s="3763">
        <v>19.0</v>
      </c>
      <c r="G12" s="3798" t="s">
        <v>80</v>
      </c>
      <c r="H12" s="3762">
        <v>24.0</v>
      </c>
      <c r="I12" s="3798" t="s">
        <v>232</v>
      </c>
      <c r="J12" s="3762">
        <v>24.0</v>
      </c>
      <c r="K12" s="3798" t="s">
        <v>129</v>
      </c>
      <c r="L12" s="3762">
        <v>23.0</v>
      </c>
      <c r="M12" s="3798" t="s">
        <v>93</v>
      </c>
      <c r="N12" s="3762">
        <v>19.0</v>
      </c>
      <c r="O12" s="3798" t="s">
        <v>86</v>
      </c>
      <c r="P12" s="3762">
        <v>29.0</v>
      </c>
      <c r="Q12" s="3798" t="s">
        <v>86</v>
      </c>
      <c r="R12" s="3763">
        <v>23.0</v>
      </c>
      <c r="S12" s="3798" t="s">
        <v>80</v>
      </c>
      <c r="T12" s="3762">
        <v>24.0</v>
      </c>
      <c r="U12" s="3798" t="s">
        <v>232</v>
      </c>
      <c r="V12" s="3762">
        <v>24.0</v>
      </c>
      <c r="W12" s="3798" t="s">
        <v>129</v>
      </c>
      <c r="X12" s="3762">
        <v>23.0</v>
      </c>
      <c r="Y12" s="3798" t="s">
        <v>93</v>
      </c>
      <c r="Z12" s="3761">
        <v>19.0</v>
      </c>
      <c r="AA12" s="3809">
        <v>3.0</v>
      </c>
      <c r="AB12" s="3810" t="s">
        <v>129</v>
      </c>
      <c r="AC12" s="3811">
        <v>14.0</v>
      </c>
      <c r="AD12" s="3810" t="s">
        <v>164</v>
      </c>
      <c r="AE12" s="3812">
        <v>15.0</v>
      </c>
      <c r="AF12" s="3810" t="s">
        <v>164</v>
      </c>
      <c r="AG12" s="3811">
        <v>11.0</v>
      </c>
      <c r="AH12" s="3810" t="s">
        <v>1114</v>
      </c>
      <c r="AI12" s="3811">
        <v>9.0</v>
      </c>
      <c r="AJ12" s="3813" t="s">
        <v>1114</v>
      </c>
      <c r="AK12" s="3709">
        <f>Fighters!$S11</f>
        <v>10</v>
      </c>
      <c r="AL12" s="3708">
        <f>Fighters!$T11</f>
        <v>8</v>
      </c>
      <c r="AM12" s="3710" t="str">
        <f>Fighters!$V11</f>
        <v>luigi</v>
      </c>
    </row>
    <row r="13">
      <c r="A13" s="3700">
        <f>Fighters!$A12</f>
        <v>10</v>
      </c>
      <c r="B13" s="3701" t="str">
        <f>Fighters!$B12</f>
        <v>ネス</v>
      </c>
      <c r="C13" s="3798" t="s">
        <v>176</v>
      </c>
      <c r="D13" s="3762">
        <v>7.0</v>
      </c>
      <c r="E13" s="307" t="s">
        <v>176</v>
      </c>
      <c r="F13" s="3763">
        <v>19.0</v>
      </c>
      <c r="G13" s="3798" t="s">
        <v>93</v>
      </c>
      <c r="H13" s="3762">
        <v>24.0</v>
      </c>
      <c r="I13" s="3798" t="s">
        <v>232</v>
      </c>
      <c r="J13" s="3762">
        <v>24.0</v>
      </c>
      <c r="K13" s="3798" t="s">
        <v>129</v>
      </c>
      <c r="L13" s="3762">
        <v>23.0</v>
      </c>
      <c r="M13" s="3798" t="s">
        <v>93</v>
      </c>
      <c r="N13" s="3762">
        <v>19.0</v>
      </c>
      <c r="O13" s="3798" t="s">
        <v>150</v>
      </c>
      <c r="P13" s="3762">
        <v>29.0</v>
      </c>
      <c r="Q13" s="3798" t="s">
        <v>86</v>
      </c>
      <c r="R13" s="3763">
        <v>23.0</v>
      </c>
      <c r="S13" s="3798" t="s">
        <v>93</v>
      </c>
      <c r="T13" s="3762">
        <v>24.0</v>
      </c>
      <c r="U13" s="3798" t="s">
        <v>232</v>
      </c>
      <c r="V13" s="3762">
        <v>24.0</v>
      </c>
      <c r="W13" s="3798" t="s">
        <v>129</v>
      </c>
      <c r="X13" s="3762">
        <v>23.0</v>
      </c>
      <c r="Y13" s="3798" t="s">
        <v>93</v>
      </c>
      <c r="Z13" s="3761">
        <v>19.0</v>
      </c>
      <c r="AA13" s="3809">
        <v>2.0</v>
      </c>
      <c r="AB13" s="3810" t="s">
        <v>129</v>
      </c>
      <c r="AC13" s="3811">
        <v>14.0</v>
      </c>
      <c r="AD13" s="3810" t="s">
        <v>164</v>
      </c>
      <c r="AE13" s="3811">
        <v>14.0</v>
      </c>
      <c r="AF13" s="3810" t="s">
        <v>164</v>
      </c>
      <c r="AG13" s="3811">
        <v>11.0</v>
      </c>
      <c r="AH13" s="3810" t="s">
        <v>1114</v>
      </c>
      <c r="AI13" s="3811">
        <v>9.0</v>
      </c>
      <c r="AJ13" s="3813" t="s">
        <v>1114</v>
      </c>
      <c r="AK13" s="3709">
        <f>Fighters!$S12</f>
        <v>11</v>
      </c>
      <c r="AL13" s="3708">
        <f>Fighters!$T12</f>
        <v>9</v>
      </c>
      <c r="AM13" s="3710" t="str">
        <f>Fighters!$V12</f>
        <v>ness</v>
      </c>
    </row>
    <row r="14">
      <c r="A14" s="3700">
        <f>Fighters!$A13</f>
        <v>11</v>
      </c>
      <c r="B14" s="3701" t="str">
        <f>Fighters!$B13</f>
        <v>キャプテン・ファルコン</v>
      </c>
      <c r="C14" s="3814" t="s">
        <v>204</v>
      </c>
      <c r="D14" s="3762">
        <v>7.0</v>
      </c>
      <c r="E14" s="307" t="s">
        <v>176</v>
      </c>
      <c r="F14" s="3763">
        <v>19.0</v>
      </c>
      <c r="G14" s="3798" t="s">
        <v>80</v>
      </c>
      <c r="H14" s="3762">
        <v>24.0</v>
      </c>
      <c r="I14" s="3798" t="s">
        <v>232</v>
      </c>
      <c r="J14" s="3762">
        <v>24.0</v>
      </c>
      <c r="K14" s="3798" t="s">
        <v>129</v>
      </c>
      <c r="L14" s="3762">
        <v>23.0</v>
      </c>
      <c r="M14" s="3798" t="s">
        <v>93</v>
      </c>
      <c r="N14" s="3762">
        <v>19.0</v>
      </c>
      <c r="O14" s="3798" t="s">
        <v>150</v>
      </c>
      <c r="P14" s="3762">
        <v>29.0</v>
      </c>
      <c r="Q14" s="3798" t="s">
        <v>86</v>
      </c>
      <c r="R14" s="3763">
        <v>23.0</v>
      </c>
      <c r="S14" s="3798" t="s">
        <v>80</v>
      </c>
      <c r="T14" s="3762">
        <v>24.0</v>
      </c>
      <c r="U14" s="3798" t="s">
        <v>232</v>
      </c>
      <c r="V14" s="3762">
        <v>24.0</v>
      </c>
      <c r="W14" s="3798" t="s">
        <v>129</v>
      </c>
      <c r="X14" s="3762">
        <v>23.0</v>
      </c>
      <c r="Y14" s="3798" t="s">
        <v>93</v>
      </c>
      <c r="Z14" s="3761">
        <v>19.0</v>
      </c>
      <c r="AA14" s="3809">
        <v>3.0</v>
      </c>
      <c r="AB14" s="3810" t="s">
        <v>129</v>
      </c>
      <c r="AC14" s="3811">
        <v>18.0</v>
      </c>
      <c r="AD14" s="3810" t="s">
        <v>164</v>
      </c>
      <c r="AE14" s="3811">
        <v>16.0</v>
      </c>
      <c r="AF14" s="3810" t="s">
        <v>164</v>
      </c>
      <c r="AG14" s="3811">
        <v>11.0</v>
      </c>
      <c r="AH14" s="3810" t="s">
        <v>1114</v>
      </c>
      <c r="AI14" s="3811">
        <v>15.0</v>
      </c>
      <c r="AJ14" s="3813" t="s">
        <v>1114</v>
      </c>
      <c r="AK14" s="3709">
        <f>Fighters!$S13</f>
        <v>12</v>
      </c>
      <c r="AL14" s="3708">
        <f>Fighters!$T13</f>
        <v>10</v>
      </c>
      <c r="AM14" s="3710" t="str">
        <f>Fighters!$V13</f>
        <v>captain</v>
      </c>
    </row>
    <row r="15">
      <c r="A15" s="3700">
        <f>Fighters!$A14</f>
        <v>12</v>
      </c>
      <c r="B15" s="3701" t="str">
        <f>Fighters!$B14</f>
        <v>プリン</v>
      </c>
      <c r="C15" s="3798" t="s">
        <v>176</v>
      </c>
      <c r="D15" s="3762">
        <v>7.0</v>
      </c>
      <c r="E15" s="307" t="s">
        <v>176</v>
      </c>
      <c r="F15" s="3763">
        <v>19.0</v>
      </c>
      <c r="G15" s="3798" t="s">
        <v>129</v>
      </c>
      <c r="H15" s="3762">
        <v>24.0</v>
      </c>
      <c r="I15" s="3798" t="s">
        <v>129</v>
      </c>
      <c r="J15" s="3762">
        <v>24.0</v>
      </c>
      <c r="K15" s="3798" t="s">
        <v>228</v>
      </c>
      <c r="L15" s="3762">
        <v>23.0</v>
      </c>
      <c r="M15" s="3798" t="s">
        <v>93</v>
      </c>
      <c r="N15" s="3762">
        <v>19.0</v>
      </c>
      <c r="O15" s="3798" t="s">
        <v>73</v>
      </c>
      <c r="P15" s="3762">
        <v>29.0</v>
      </c>
      <c r="Q15" s="3798" t="s">
        <v>86</v>
      </c>
      <c r="R15" s="3763">
        <v>23.0</v>
      </c>
      <c r="S15" s="3798" t="s">
        <v>129</v>
      </c>
      <c r="T15" s="3762">
        <v>24.0</v>
      </c>
      <c r="U15" s="3798" t="s">
        <v>129</v>
      </c>
      <c r="V15" s="3762">
        <v>24.0</v>
      </c>
      <c r="W15" s="3798" t="s">
        <v>228</v>
      </c>
      <c r="X15" s="3762">
        <v>23.0</v>
      </c>
      <c r="Y15" s="3798" t="s">
        <v>93</v>
      </c>
      <c r="Z15" s="3761">
        <v>19.0</v>
      </c>
      <c r="AA15" s="3809">
        <v>3.0</v>
      </c>
      <c r="AB15" s="3810" t="s">
        <v>129</v>
      </c>
      <c r="AC15" s="3811">
        <v>16.0</v>
      </c>
      <c r="AD15" s="3810" t="s">
        <v>164</v>
      </c>
      <c r="AE15" s="3812">
        <v>17.0</v>
      </c>
      <c r="AF15" s="3810" t="s">
        <v>164</v>
      </c>
      <c r="AG15" s="3811">
        <v>11.0</v>
      </c>
      <c r="AH15" s="3810" t="s">
        <v>1114</v>
      </c>
      <c r="AI15" s="3811">
        <v>11.0</v>
      </c>
      <c r="AJ15" s="3813" t="s">
        <v>1114</v>
      </c>
      <c r="AK15" s="3709">
        <f>Fighters!$S14</f>
        <v>13</v>
      </c>
      <c r="AL15" s="3708">
        <f>Fighters!$T14</f>
        <v>11</v>
      </c>
      <c r="AM15" s="3710" t="str">
        <f>Fighters!$V14</f>
        <v>purin</v>
      </c>
    </row>
    <row r="16">
      <c r="A16" s="3700">
        <f>Fighters!$A15</f>
        <v>13</v>
      </c>
      <c r="B16" s="3701" t="str">
        <f>Fighters!$B15</f>
        <v>ピーチ</v>
      </c>
      <c r="C16" s="3798" t="s">
        <v>176</v>
      </c>
      <c r="D16" s="3762">
        <v>7.0</v>
      </c>
      <c r="E16" s="307" t="s">
        <v>176</v>
      </c>
      <c r="F16" s="3763">
        <v>19.0</v>
      </c>
      <c r="G16" s="3798" t="s">
        <v>80</v>
      </c>
      <c r="H16" s="3762">
        <v>24.0</v>
      </c>
      <c r="I16" s="3798" t="s">
        <v>232</v>
      </c>
      <c r="J16" s="3762">
        <v>24.0</v>
      </c>
      <c r="K16" s="3798" t="s">
        <v>232</v>
      </c>
      <c r="L16" s="3762">
        <v>23.0</v>
      </c>
      <c r="M16" s="3798" t="s">
        <v>93</v>
      </c>
      <c r="N16" s="3762">
        <v>19.0</v>
      </c>
      <c r="O16" s="3798" t="s">
        <v>150</v>
      </c>
      <c r="P16" s="3762">
        <v>29.0</v>
      </c>
      <c r="Q16" s="3798" t="s">
        <v>93</v>
      </c>
      <c r="R16" s="3763">
        <v>23.0</v>
      </c>
      <c r="S16" s="3798" t="s">
        <v>80</v>
      </c>
      <c r="T16" s="3762">
        <v>24.0</v>
      </c>
      <c r="U16" s="3798" t="s">
        <v>232</v>
      </c>
      <c r="V16" s="3762">
        <v>24.0</v>
      </c>
      <c r="W16" s="3798" t="s">
        <v>232</v>
      </c>
      <c r="X16" s="3762">
        <v>23.0</v>
      </c>
      <c r="Y16" s="3798" t="s">
        <v>93</v>
      </c>
      <c r="Z16" s="3761">
        <v>19.0</v>
      </c>
      <c r="AA16" s="3809">
        <v>3.0</v>
      </c>
      <c r="AB16" s="3810" t="s">
        <v>129</v>
      </c>
      <c r="AC16" s="3811">
        <v>14.0</v>
      </c>
      <c r="AD16" s="3810" t="s">
        <v>164</v>
      </c>
      <c r="AE16" s="3812">
        <v>17.0</v>
      </c>
      <c r="AF16" s="3810" t="s">
        <v>164</v>
      </c>
      <c r="AG16" s="3811">
        <v>11.0</v>
      </c>
      <c r="AH16" s="3810" t="s">
        <v>1114</v>
      </c>
      <c r="AI16" s="3811">
        <v>12.0</v>
      </c>
      <c r="AJ16" s="3813" t="s">
        <v>1114</v>
      </c>
      <c r="AK16" s="3709">
        <f>Fighters!$S15</f>
        <v>14</v>
      </c>
      <c r="AL16" s="3708">
        <f>Fighters!$T15</f>
        <v>12</v>
      </c>
      <c r="AM16" s="3710" t="str">
        <f>Fighters!$V15</f>
        <v>peach</v>
      </c>
    </row>
    <row r="17">
      <c r="A17" s="3700" t="str">
        <f>Fighters!$A16</f>
        <v>13'</v>
      </c>
      <c r="B17" s="3701" t="str">
        <f>Fighters!$B16</f>
        <v>デイジー</v>
      </c>
      <c r="C17" s="3798" t="s">
        <v>176</v>
      </c>
      <c r="D17" s="3762">
        <v>7.0</v>
      </c>
      <c r="E17" s="307" t="s">
        <v>176</v>
      </c>
      <c r="F17" s="3763">
        <v>19.0</v>
      </c>
      <c r="G17" s="3798" t="s">
        <v>80</v>
      </c>
      <c r="H17" s="3762">
        <v>24.0</v>
      </c>
      <c r="I17" s="3798" t="s">
        <v>232</v>
      </c>
      <c r="J17" s="3762">
        <v>24.0</v>
      </c>
      <c r="K17" s="3798" t="s">
        <v>232</v>
      </c>
      <c r="L17" s="3762">
        <v>23.0</v>
      </c>
      <c r="M17" s="3798" t="s">
        <v>93</v>
      </c>
      <c r="N17" s="3762">
        <v>19.0</v>
      </c>
      <c r="O17" s="3798" t="s">
        <v>150</v>
      </c>
      <c r="P17" s="3762">
        <v>29.0</v>
      </c>
      <c r="Q17" s="3798" t="s">
        <v>93</v>
      </c>
      <c r="R17" s="3763">
        <v>23.0</v>
      </c>
      <c r="S17" s="3798" t="s">
        <v>80</v>
      </c>
      <c r="T17" s="3762">
        <v>24.0</v>
      </c>
      <c r="U17" s="3798" t="s">
        <v>232</v>
      </c>
      <c r="V17" s="3762">
        <v>24.0</v>
      </c>
      <c r="W17" s="3798" t="s">
        <v>232</v>
      </c>
      <c r="X17" s="3762">
        <v>23.0</v>
      </c>
      <c r="Y17" s="3798" t="s">
        <v>93</v>
      </c>
      <c r="Z17" s="3761">
        <v>19.0</v>
      </c>
      <c r="AA17" s="3809">
        <v>3.0</v>
      </c>
      <c r="AB17" s="3810" t="s">
        <v>129</v>
      </c>
      <c r="AC17" s="3811">
        <v>14.0</v>
      </c>
      <c r="AD17" s="3810" t="s">
        <v>164</v>
      </c>
      <c r="AE17" s="3812">
        <v>17.0</v>
      </c>
      <c r="AF17" s="3810" t="s">
        <v>164</v>
      </c>
      <c r="AG17" s="3811">
        <v>11.0</v>
      </c>
      <c r="AH17" s="3810" t="s">
        <v>1114</v>
      </c>
      <c r="AI17" s="3811">
        <v>12.0</v>
      </c>
      <c r="AJ17" s="3813" t="s">
        <v>1114</v>
      </c>
      <c r="AK17" s="3709">
        <f>Fighters!$S16</f>
        <v>15</v>
      </c>
      <c r="AL17" s="3708">
        <f>Fighters!$T16</f>
        <v>73</v>
      </c>
      <c r="AM17" s="3710" t="str">
        <f>Fighters!$V16</f>
        <v>daisy</v>
      </c>
    </row>
    <row r="18">
      <c r="A18" s="3700">
        <f>Fighters!$A17</f>
        <v>14</v>
      </c>
      <c r="B18" s="3701" t="str">
        <f>Fighters!$B17</f>
        <v>クッパ</v>
      </c>
      <c r="C18" s="3798" t="s">
        <v>176</v>
      </c>
      <c r="D18" s="3762">
        <v>7.0</v>
      </c>
      <c r="E18" s="307" t="s">
        <v>176</v>
      </c>
      <c r="F18" s="3763">
        <v>19.0</v>
      </c>
      <c r="G18" s="3798" t="s">
        <v>128</v>
      </c>
      <c r="H18" s="3762">
        <v>24.0</v>
      </c>
      <c r="I18" s="3798" t="s">
        <v>228</v>
      </c>
      <c r="J18" s="3762">
        <v>24.0</v>
      </c>
      <c r="K18" s="3798" t="s">
        <v>394</v>
      </c>
      <c r="L18" s="3762">
        <v>23.0</v>
      </c>
      <c r="M18" s="3798" t="s">
        <v>80</v>
      </c>
      <c r="N18" s="3762">
        <v>19.0</v>
      </c>
      <c r="O18" s="3798" t="s">
        <v>93</v>
      </c>
      <c r="P18" s="3762">
        <v>29.0</v>
      </c>
      <c r="Q18" s="3798" t="s">
        <v>93</v>
      </c>
      <c r="R18" s="3763">
        <v>23.0</v>
      </c>
      <c r="S18" s="3798" t="s">
        <v>128</v>
      </c>
      <c r="T18" s="3762">
        <v>24.0</v>
      </c>
      <c r="U18" s="3798" t="s">
        <v>228</v>
      </c>
      <c r="V18" s="3762">
        <v>24.0</v>
      </c>
      <c r="W18" s="3798" t="s">
        <v>394</v>
      </c>
      <c r="X18" s="3762">
        <v>23.0</v>
      </c>
      <c r="Y18" s="3798" t="s">
        <v>80</v>
      </c>
      <c r="Z18" s="3761">
        <v>19.0</v>
      </c>
      <c r="AA18" s="3809">
        <v>3.0</v>
      </c>
      <c r="AB18" s="3810" t="s">
        <v>129</v>
      </c>
      <c r="AC18" s="3811">
        <v>16.0</v>
      </c>
      <c r="AD18" s="3810" t="s">
        <v>164</v>
      </c>
      <c r="AE18" s="3811">
        <v>15.0</v>
      </c>
      <c r="AF18" s="3810" t="s">
        <v>164</v>
      </c>
      <c r="AG18" s="3811">
        <v>11.0</v>
      </c>
      <c r="AH18" s="3810" t="s">
        <v>1114</v>
      </c>
      <c r="AI18" s="3811">
        <v>13.0</v>
      </c>
      <c r="AJ18" s="3813" t="s">
        <v>1114</v>
      </c>
      <c r="AK18" s="3709">
        <f>Fighters!$S17</f>
        <v>16</v>
      </c>
      <c r="AL18" s="3708">
        <f>Fighters!$T17</f>
        <v>13</v>
      </c>
      <c r="AM18" s="3710" t="str">
        <f>Fighters!$V17</f>
        <v>koopa</v>
      </c>
    </row>
    <row r="19">
      <c r="A19" s="3700">
        <f>Fighters!$A18</f>
        <v>15</v>
      </c>
      <c r="B19" s="3701" t="str">
        <f>Fighters!$B18</f>
        <v>アイスクライマー</v>
      </c>
      <c r="C19" s="3798" t="s">
        <v>176</v>
      </c>
      <c r="D19" s="3762">
        <v>7.0</v>
      </c>
      <c r="E19" s="307" t="s">
        <v>176</v>
      </c>
      <c r="F19" s="3763">
        <v>19.0</v>
      </c>
      <c r="G19" s="3798" t="s">
        <v>80</v>
      </c>
      <c r="H19" s="3762">
        <v>24.0</v>
      </c>
      <c r="I19" s="3798" t="s">
        <v>274</v>
      </c>
      <c r="J19" s="3762">
        <v>24.0</v>
      </c>
      <c r="K19" s="3798" t="s">
        <v>232</v>
      </c>
      <c r="L19" s="3762">
        <v>23.0</v>
      </c>
      <c r="M19" s="3798" t="s">
        <v>86</v>
      </c>
      <c r="N19" s="3762">
        <v>19.0</v>
      </c>
      <c r="O19" s="3798" t="s">
        <v>73</v>
      </c>
      <c r="P19" s="3762">
        <v>29.0</v>
      </c>
      <c r="Q19" s="3798" t="s">
        <v>150</v>
      </c>
      <c r="R19" s="3763">
        <v>23.0</v>
      </c>
      <c r="S19" s="3798" t="s">
        <v>80</v>
      </c>
      <c r="T19" s="3762">
        <v>24.0</v>
      </c>
      <c r="U19" s="3798" t="s">
        <v>274</v>
      </c>
      <c r="V19" s="3762">
        <v>24.0</v>
      </c>
      <c r="W19" s="3798" t="s">
        <v>232</v>
      </c>
      <c r="X19" s="3762">
        <v>23.0</v>
      </c>
      <c r="Y19" s="3798" t="s">
        <v>86</v>
      </c>
      <c r="Z19" s="3761">
        <v>19.0</v>
      </c>
      <c r="AA19" s="3809">
        <v>3.0</v>
      </c>
      <c r="AB19" s="3810" t="s">
        <v>129</v>
      </c>
      <c r="AC19" s="3811">
        <v>14.0</v>
      </c>
      <c r="AD19" s="3810" t="s">
        <v>164</v>
      </c>
      <c r="AE19" s="3811">
        <v>14.0</v>
      </c>
      <c r="AF19" s="3810" t="s">
        <v>164</v>
      </c>
      <c r="AG19" s="3811">
        <v>11.0</v>
      </c>
      <c r="AH19" s="3810" t="s">
        <v>1114</v>
      </c>
      <c r="AI19" s="3811">
        <v>10.0</v>
      </c>
      <c r="AJ19" s="3813" t="s">
        <v>1114</v>
      </c>
      <c r="AK19" s="3709">
        <f>Fighters!$S18</f>
        <v>17</v>
      </c>
      <c r="AL19" s="3708">
        <f>Fighters!$T18</f>
        <v>14</v>
      </c>
      <c r="AM19" s="3710" t="str">
        <f>Fighters!$V18</f>
        <v>popo</v>
      </c>
    </row>
    <row r="20">
      <c r="A20" s="3700">
        <f>Fighters!$A19</f>
        <v>16</v>
      </c>
      <c r="B20" s="3701" t="str">
        <f>Fighters!$B19</f>
        <v>シーク</v>
      </c>
      <c r="C20" s="3798" t="s">
        <v>176</v>
      </c>
      <c r="D20" s="3762">
        <v>7.0</v>
      </c>
      <c r="E20" s="307" t="s">
        <v>176</v>
      </c>
      <c r="F20" s="3763">
        <v>19.0</v>
      </c>
      <c r="G20" s="3798" t="s">
        <v>80</v>
      </c>
      <c r="H20" s="3762">
        <v>24.0</v>
      </c>
      <c r="I20" s="3798" t="s">
        <v>232</v>
      </c>
      <c r="J20" s="3762">
        <v>24.0</v>
      </c>
      <c r="K20" s="3798" t="s">
        <v>232</v>
      </c>
      <c r="L20" s="3762">
        <v>23.0</v>
      </c>
      <c r="M20" s="3798" t="s">
        <v>80</v>
      </c>
      <c r="N20" s="3762">
        <v>19.0</v>
      </c>
      <c r="O20" s="3798" t="s">
        <v>86</v>
      </c>
      <c r="P20" s="3762">
        <v>29.0</v>
      </c>
      <c r="Q20" s="3798" t="s">
        <v>86</v>
      </c>
      <c r="R20" s="3763">
        <v>23.0</v>
      </c>
      <c r="S20" s="3798" t="s">
        <v>80</v>
      </c>
      <c r="T20" s="3762">
        <v>24.0</v>
      </c>
      <c r="U20" s="3798" t="s">
        <v>232</v>
      </c>
      <c r="V20" s="3762">
        <v>24.0</v>
      </c>
      <c r="W20" s="3798" t="s">
        <v>232</v>
      </c>
      <c r="X20" s="3762">
        <v>23.0</v>
      </c>
      <c r="Y20" s="3798" t="s">
        <v>80</v>
      </c>
      <c r="Z20" s="3761">
        <v>19.0</v>
      </c>
      <c r="AA20" s="3809">
        <v>3.0</v>
      </c>
      <c r="AB20" s="3810" t="s">
        <v>129</v>
      </c>
      <c r="AC20" s="3811">
        <v>17.0</v>
      </c>
      <c r="AD20" s="3810" t="s">
        <v>164</v>
      </c>
      <c r="AE20" s="3811">
        <v>16.0</v>
      </c>
      <c r="AF20" s="3810" t="s">
        <v>164</v>
      </c>
      <c r="AG20" s="3811">
        <v>11.0</v>
      </c>
      <c r="AH20" s="3810" t="s">
        <v>1114</v>
      </c>
      <c r="AI20" s="3811">
        <v>11.0</v>
      </c>
      <c r="AJ20" s="3813" t="s">
        <v>1114</v>
      </c>
      <c r="AK20" s="3709">
        <f>Fighters!$S19</f>
        <v>18</v>
      </c>
      <c r="AL20" s="3708">
        <f>Fighters!$T19</f>
        <v>16</v>
      </c>
      <c r="AM20" s="3710" t="str">
        <f>Fighters!$V19</f>
        <v>sheik</v>
      </c>
    </row>
    <row r="21">
      <c r="A21" s="3700">
        <f>Fighters!$A20</f>
        <v>17</v>
      </c>
      <c r="B21" s="3701" t="str">
        <f>Fighters!$B20</f>
        <v>ゼルダ</v>
      </c>
      <c r="C21" s="3798" t="s">
        <v>176</v>
      </c>
      <c r="D21" s="3762">
        <v>7.0</v>
      </c>
      <c r="E21" s="307" t="s">
        <v>176</v>
      </c>
      <c r="F21" s="3763">
        <v>19.0</v>
      </c>
      <c r="G21" s="3798" t="s">
        <v>128</v>
      </c>
      <c r="H21" s="3762">
        <v>24.0</v>
      </c>
      <c r="I21" s="3798" t="s">
        <v>128</v>
      </c>
      <c r="J21" s="3762">
        <v>24.0</v>
      </c>
      <c r="K21" s="3798" t="s">
        <v>232</v>
      </c>
      <c r="L21" s="3762">
        <v>23.0</v>
      </c>
      <c r="M21" s="3798" t="s">
        <v>274</v>
      </c>
      <c r="N21" s="3762">
        <v>19.0</v>
      </c>
      <c r="O21" s="3798" t="s">
        <v>150</v>
      </c>
      <c r="P21" s="3762">
        <v>29.0</v>
      </c>
      <c r="Q21" s="3798" t="s">
        <v>150</v>
      </c>
      <c r="R21" s="3763">
        <v>23.0</v>
      </c>
      <c r="S21" s="3798" t="s">
        <v>128</v>
      </c>
      <c r="T21" s="3762">
        <v>24.0</v>
      </c>
      <c r="U21" s="3798" t="s">
        <v>128</v>
      </c>
      <c r="V21" s="3762">
        <v>24.0</v>
      </c>
      <c r="W21" s="3798" t="s">
        <v>232</v>
      </c>
      <c r="X21" s="3762">
        <v>23.0</v>
      </c>
      <c r="Y21" s="3798" t="s">
        <v>274</v>
      </c>
      <c r="Z21" s="3761">
        <v>19.0</v>
      </c>
      <c r="AA21" s="3809">
        <v>3.0</v>
      </c>
      <c r="AB21" s="3810" t="s">
        <v>129</v>
      </c>
      <c r="AC21" s="3811">
        <v>14.0</v>
      </c>
      <c r="AD21" s="3810" t="s">
        <v>164</v>
      </c>
      <c r="AE21" s="3811">
        <v>15.0</v>
      </c>
      <c r="AF21" s="3810" t="s">
        <v>164</v>
      </c>
      <c r="AG21" s="3811">
        <v>11.0</v>
      </c>
      <c r="AH21" s="3810" t="s">
        <v>1114</v>
      </c>
      <c r="AI21" s="3811">
        <v>13.0</v>
      </c>
      <c r="AJ21" s="3813" t="s">
        <v>1114</v>
      </c>
      <c r="AK21" s="3709">
        <f>Fighters!$S20</f>
        <v>19</v>
      </c>
      <c r="AL21" s="3708">
        <f>Fighters!$T20</f>
        <v>17</v>
      </c>
      <c r="AM21" s="3710" t="str">
        <f>Fighters!$V20</f>
        <v>zelda</v>
      </c>
    </row>
    <row r="22">
      <c r="A22" s="3700">
        <f>Fighters!$A21</f>
        <v>18</v>
      </c>
      <c r="B22" s="3701" t="str">
        <f>Fighters!$B21</f>
        <v>ドクターマリオ</v>
      </c>
      <c r="C22" s="3798" t="s">
        <v>176</v>
      </c>
      <c r="D22" s="3762">
        <v>7.0</v>
      </c>
      <c r="E22" s="307" t="s">
        <v>176</v>
      </c>
      <c r="F22" s="3763">
        <v>19.0</v>
      </c>
      <c r="G22" s="3798" t="s">
        <v>80</v>
      </c>
      <c r="H22" s="3762">
        <v>24.0</v>
      </c>
      <c r="I22" s="3798" t="s">
        <v>232</v>
      </c>
      <c r="J22" s="3762">
        <v>24.0</v>
      </c>
      <c r="K22" s="3798" t="s">
        <v>129</v>
      </c>
      <c r="L22" s="3762">
        <v>23.0</v>
      </c>
      <c r="M22" s="3798" t="s">
        <v>93</v>
      </c>
      <c r="N22" s="3762">
        <v>19.0</v>
      </c>
      <c r="O22" s="3798" t="s">
        <v>150</v>
      </c>
      <c r="P22" s="3762">
        <v>29.0</v>
      </c>
      <c r="Q22" s="3798" t="s">
        <v>86</v>
      </c>
      <c r="R22" s="3763">
        <v>23.0</v>
      </c>
      <c r="S22" s="3798" t="s">
        <v>80</v>
      </c>
      <c r="T22" s="3762">
        <v>24.0</v>
      </c>
      <c r="U22" s="3798" t="s">
        <v>232</v>
      </c>
      <c r="V22" s="3762">
        <v>24.0</v>
      </c>
      <c r="W22" s="3798" t="s">
        <v>129</v>
      </c>
      <c r="X22" s="3762">
        <v>23.0</v>
      </c>
      <c r="Y22" s="3798" t="s">
        <v>93</v>
      </c>
      <c r="Z22" s="3761">
        <v>19.0</v>
      </c>
      <c r="AA22" s="3809">
        <v>3.0</v>
      </c>
      <c r="AB22" s="3810" t="s">
        <v>129</v>
      </c>
      <c r="AC22" s="3811">
        <v>14.0</v>
      </c>
      <c r="AD22" s="3810" t="s">
        <v>164</v>
      </c>
      <c r="AE22" s="3812">
        <v>15.0</v>
      </c>
      <c r="AF22" s="3810" t="s">
        <v>164</v>
      </c>
      <c r="AG22" s="3811">
        <v>11.0</v>
      </c>
      <c r="AH22" s="3810" t="s">
        <v>1114</v>
      </c>
      <c r="AI22" s="3811">
        <v>9.0</v>
      </c>
      <c r="AJ22" s="3813" t="s">
        <v>1114</v>
      </c>
      <c r="AK22" s="3709">
        <f>Fighters!$S21</f>
        <v>20</v>
      </c>
      <c r="AL22" s="3708">
        <f>Fighters!$T21</f>
        <v>18</v>
      </c>
      <c r="AM22" s="3710" t="str">
        <f>Fighters!$V21</f>
        <v>mariod</v>
      </c>
    </row>
    <row r="23">
      <c r="A23" s="3700">
        <f>Fighters!$A22</f>
        <v>19</v>
      </c>
      <c r="B23" s="3701" t="str">
        <f>Fighters!$B22</f>
        <v>ピチュー</v>
      </c>
      <c r="C23" s="3798" t="s">
        <v>176</v>
      </c>
      <c r="D23" s="3762">
        <v>7.0</v>
      </c>
      <c r="E23" s="307" t="s">
        <v>176</v>
      </c>
      <c r="F23" s="3763">
        <v>19.0</v>
      </c>
      <c r="G23" s="3798" t="s">
        <v>228</v>
      </c>
      <c r="H23" s="3762">
        <v>24.0</v>
      </c>
      <c r="I23" s="3798" t="s">
        <v>128</v>
      </c>
      <c r="J23" s="3762">
        <v>24.0</v>
      </c>
      <c r="K23" s="3798" t="s">
        <v>129</v>
      </c>
      <c r="L23" s="3762">
        <v>23.0</v>
      </c>
      <c r="M23" s="3798" t="s">
        <v>119</v>
      </c>
      <c r="N23" s="3762">
        <v>19.0</v>
      </c>
      <c r="O23" s="3798" t="s">
        <v>150</v>
      </c>
      <c r="P23" s="3762">
        <v>29.0</v>
      </c>
      <c r="Q23" s="3798" t="s">
        <v>93</v>
      </c>
      <c r="R23" s="3763">
        <v>23.0</v>
      </c>
      <c r="S23" s="3798" t="s">
        <v>228</v>
      </c>
      <c r="T23" s="3762">
        <v>24.0</v>
      </c>
      <c r="U23" s="3798" t="s">
        <v>128</v>
      </c>
      <c r="V23" s="3762">
        <v>24.0</v>
      </c>
      <c r="W23" s="3798" t="s">
        <v>129</v>
      </c>
      <c r="X23" s="3762">
        <v>23.0</v>
      </c>
      <c r="Y23" s="3798" t="s">
        <v>119</v>
      </c>
      <c r="Z23" s="3761">
        <v>19.0</v>
      </c>
      <c r="AA23" s="3809">
        <v>3.0</v>
      </c>
      <c r="AB23" s="3810" t="s">
        <v>129</v>
      </c>
      <c r="AC23" s="3811">
        <v>17.0</v>
      </c>
      <c r="AD23" s="3810" t="s">
        <v>164</v>
      </c>
      <c r="AE23" s="3812">
        <v>18.0</v>
      </c>
      <c r="AF23" s="3810" t="s">
        <v>164</v>
      </c>
      <c r="AG23" s="3811">
        <v>12.0</v>
      </c>
      <c r="AH23" s="3810" t="s">
        <v>1114</v>
      </c>
      <c r="AI23" s="3811">
        <v>11.0</v>
      </c>
      <c r="AJ23" s="3813" t="s">
        <v>1114</v>
      </c>
      <c r="AK23" s="3709">
        <f>Fighters!$S22</f>
        <v>21</v>
      </c>
      <c r="AL23" s="3708">
        <f>Fighters!$T22</f>
        <v>19</v>
      </c>
      <c r="AM23" s="3710" t="str">
        <f>Fighters!$V22</f>
        <v>pichu</v>
      </c>
    </row>
    <row r="24">
      <c r="A24" s="3700">
        <f>Fighters!$A23</f>
        <v>20</v>
      </c>
      <c r="B24" s="3701" t="str">
        <f>Fighters!$B23</f>
        <v>ファルコ</v>
      </c>
      <c r="C24" s="3798" t="s">
        <v>176</v>
      </c>
      <c r="D24" s="3762">
        <v>7.0</v>
      </c>
      <c r="E24" s="3815" t="s">
        <v>204</v>
      </c>
      <c r="F24" s="3763">
        <v>19.0</v>
      </c>
      <c r="G24" s="3798" t="s">
        <v>274</v>
      </c>
      <c r="H24" s="3762">
        <v>24.0</v>
      </c>
      <c r="I24" s="3798" t="s">
        <v>129</v>
      </c>
      <c r="J24" s="3762">
        <v>24.0</v>
      </c>
      <c r="K24" s="3798" t="s">
        <v>228</v>
      </c>
      <c r="L24" s="3762">
        <v>23.0</v>
      </c>
      <c r="M24" s="3798" t="s">
        <v>80</v>
      </c>
      <c r="N24" s="3762">
        <v>19.0</v>
      </c>
      <c r="O24" s="3798" t="s">
        <v>86</v>
      </c>
      <c r="P24" s="3762">
        <v>29.0</v>
      </c>
      <c r="Q24" s="3798" t="s">
        <v>93</v>
      </c>
      <c r="R24" s="3763">
        <v>23.0</v>
      </c>
      <c r="S24" s="3798" t="s">
        <v>274</v>
      </c>
      <c r="T24" s="3762">
        <v>24.0</v>
      </c>
      <c r="U24" s="3798" t="s">
        <v>129</v>
      </c>
      <c r="V24" s="3762">
        <v>24.0</v>
      </c>
      <c r="W24" s="3798" t="s">
        <v>228</v>
      </c>
      <c r="X24" s="3762">
        <v>23.0</v>
      </c>
      <c r="Y24" s="3798" t="s">
        <v>80</v>
      </c>
      <c r="Z24" s="3761">
        <v>19.0</v>
      </c>
      <c r="AA24" s="3809">
        <v>3.0</v>
      </c>
      <c r="AB24" s="3810" t="s">
        <v>129</v>
      </c>
      <c r="AC24" s="3811">
        <v>16.0</v>
      </c>
      <c r="AD24" s="3810" t="s">
        <v>164</v>
      </c>
      <c r="AE24" s="3811">
        <v>16.0</v>
      </c>
      <c r="AF24" s="3810" t="s">
        <v>164</v>
      </c>
      <c r="AG24" s="3811">
        <v>12.0</v>
      </c>
      <c r="AH24" s="3810" t="s">
        <v>1114</v>
      </c>
      <c r="AI24" s="3811">
        <v>9.0</v>
      </c>
      <c r="AJ24" s="3813" t="s">
        <v>1114</v>
      </c>
      <c r="AK24" s="3709">
        <f>Fighters!$S23</f>
        <v>22</v>
      </c>
      <c r="AL24" s="3708">
        <f>Fighters!$T23</f>
        <v>20</v>
      </c>
      <c r="AM24" s="3710" t="str">
        <f>Fighters!$V23</f>
        <v>falco</v>
      </c>
    </row>
    <row r="25">
      <c r="A25" s="3700">
        <f>Fighters!$A24</f>
        <v>21</v>
      </c>
      <c r="B25" s="3701" t="str">
        <f>Fighters!$B24</f>
        <v>マルス</v>
      </c>
      <c r="C25" s="3814" t="s">
        <v>204</v>
      </c>
      <c r="D25" s="3762">
        <v>7.0</v>
      </c>
      <c r="E25" s="307" t="s">
        <v>176</v>
      </c>
      <c r="F25" s="3763">
        <v>19.0</v>
      </c>
      <c r="G25" s="3798" t="s">
        <v>128</v>
      </c>
      <c r="H25" s="3762">
        <v>24.0</v>
      </c>
      <c r="I25" s="3798" t="s">
        <v>119</v>
      </c>
      <c r="J25" s="3762">
        <v>24.0</v>
      </c>
      <c r="K25" s="3798" t="s">
        <v>386</v>
      </c>
      <c r="L25" s="3762">
        <v>23.0</v>
      </c>
      <c r="M25" s="3798" t="s">
        <v>80</v>
      </c>
      <c r="N25" s="3762">
        <v>19.0</v>
      </c>
      <c r="O25" s="3798" t="s">
        <v>86</v>
      </c>
      <c r="P25" s="3762">
        <v>29.0</v>
      </c>
      <c r="Q25" s="3798" t="s">
        <v>93</v>
      </c>
      <c r="R25" s="3763">
        <v>23.0</v>
      </c>
      <c r="S25" s="3798" t="s">
        <v>128</v>
      </c>
      <c r="T25" s="3762">
        <v>24.0</v>
      </c>
      <c r="U25" s="3798" t="s">
        <v>119</v>
      </c>
      <c r="V25" s="3762">
        <v>24.0</v>
      </c>
      <c r="W25" s="3798" t="s">
        <v>386</v>
      </c>
      <c r="X25" s="3762">
        <v>23.0</v>
      </c>
      <c r="Y25" s="3798" t="s">
        <v>80</v>
      </c>
      <c r="Z25" s="3761">
        <v>19.0</v>
      </c>
      <c r="AA25" s="3809">
        <v>5.0</v>
      </c>
      <c r="AB25" s="3810" t="s">
        <v>129</v>
      </c>
      <c r="AC25" s="3811">
        <v>18.0</v>
      </c>
      <c r="AD25" s="3810" t="s">
        <v>164</v>
      </c>
      <c r="AE25" s="3811">
        <v>16.0</v>
      </c>
      <c r="AF25" s="3810" t="s">
        <v>164</v>
      </c>
      <c r="AG25" s="3811">
        <v>12.0</v>
      </c>
      <c r="AH25" s="3810" t="s">
        <v>1114</v>
      </c>
      <c r="AI25" s="3811">
        <v>11.0</v>
      </c>
      <c r="AJ25" s="3813" t="s">
        <v>1114</v>
      </c>
      <c r="AK25" s="3709">
        <f>Fighters!$S24</f>
        <v>23</v>
      </c>
      <c r="AL25" s="3708">
        <f>Fighters!$T24</f>
        <v>21</v>
      </c>
      <c r="AM25" s="3710" t="str">
        <f>Fighters!$V24</f>
        <v>marth</v>
      </c>
    </row>
    <row r="26">
      <c r="A26" s="3700" t="str">
        <f>Fighters!$A25</f>
        <v>21'</v>
      </c>
      <c r="B26" s="3701" t="str">
        <f>Fighters!$B25</f>
        <v>ルキナ</v>
      </c>
      <c r="C26" s="3814" t="s">
        <v>204</v>
      </c>
      <c r="D26" s="3762">
        <v>7.0</v>
      </c>
      <c r="E26" s="307" t="s">
        <v>176</v>
      </c>
      <c r="F26" s="3763">
        <v>19.0</v>
      </c>
      <c r="G26" s="3798" t="s">
        <v>128</v>
      </c>
      <c r="H26" s="3762">
        <v>24.0</v>
      </c>
      <c r="I26" s="3798" t="s">
        <v>119</v>
      </c>
      <c r="J26" s="3762">
        <v>24.0</v>
      </c>
      <c r="K26" s="3798" t="s">
        <v>386</v>
      </c>
      <c r="L26" s="3762">
        <v>23.0</v>
      </c>
      <c r="M26" s="3798" t="s">
        <v>80</v>
      </c>
      <c r="N26" s="3762">
        <v>19.0</v>
      </c>
      <c r="O26" s="3798" t="s">
        <v>86</v>
      </c>
      <c r="P26" s="3762">
        <v>29.0</v>
      </c>
      <c r="Q26" s="3798" t="s">
        <v>93</v>
      </c>
      <c r="R26" s="3763">
        <v>23.0</v>
      </c>
      <c r="S26" s="3798" t="s">
        <v>128</v>
      </c>
      <c r="T26" s="3762">
        <v>24.0</v>
      </c>
      <c r="U26" s="3798" t="s">
        <v>119</v>
      </c>
      <c r="V26" s="3762">
        <v>24.0</v>
      </c>
      <c r="W26" s="3798" t="s">
        <v>386</v>
      </c>
      <c r="X26" s="3762">
        <v>23.0</v>
      </c>
      <c r="Y26" s="3798" t="s">
        <v>80</v>
      </c>
      <c r="Z26" s="3761">
        <v>19.0</v>
      </c>
      <c r="AA26" s="3809">
        <v>5.0</v>
      </c>
      <c r="AB26" s="3810" t="s">
        <v>129</v>
      </c>
      <c r="AC26" s="3811">
        <v>18.0</v>
      </c>
      <c r="AD26" s="3810" t="s">
        <v>164</v>
      </c>
      <c r="AE26" s="3811">
        <v>16.0</v>
      </c>
      <c r="AF26" s="3810" t="s">
        <v>164</v>
      </c>
      <c r="AG26" s="3811">
        <v>12.0</v>
      </c>
      <c r="AH26" s="3810" t="s">
        <v>1114</v>
      </c>
      <c r="AI26" s="3811">
        <v>11.0</v>
      </c>
      <c r="AJ26" s="3813" t="s">
        <v>1114</v>
      </c>
      <c r="AK26" s="3709">
        <f>Fighters!$S25</f>
        <v>24</v>
      </c>
      <c r="AL26" s="3708">
        <f>Fighters!$T25</f>
        <v>74</v>
      </c>
      <c r="AM26" s="3710" t="str">
        <f>Fighters!$V25</f>
        <v>lucina</v>
      </c>
    </row>
    <row r="27">
      <c r="A27" s="3700">
        <f>Fighters!$A26</f>
        <v>22</v>
      </c>
      <c r="B27" s="3701" t="str">
        <f>Fighters!$B26</f>
        <v>こどもリンク</v>
      </c>
      <c r="C27" s="3798" t="s">
        <v>176</v>
      </c>
      <c r="D27" s="3762">
        <v>7.0</v>
      </c>
      <c r="E27" s="307" t="s">
        <v>176</v>
      </c>
      <c r="F27" s="3763">
        <v>19.0</v>
      </c>
      <c r="G27" s="3798" t="s">
        <v>80</v>
      </c>
      <c r="H27" s="3762">
        <v>24.0</v>
      </c>
      <c r="I27" s="3798" t="s">
        <v>128</v>
      </c>
      <c r="J27" s="3762">
        <v>24.0</v>
      </c>
      <c r="K27" s="3798" t="s">
        <v>129</v>
      </c>
      <c r="L27" s="3762">
        <v>23.0</v>
      </c>
      <c r="M27" s="3798" t="s">
        <v>86</v>
      </c>
      <c r="N27" s="3762">
        <v>19.0</v>
      </c>
      <c r="O27" s="3798" t="s">
        <v>150</v>
      </c>
      <c r="P27" s="3762">
        <v>29.0</v>
      </c>
      <c r="Q27" s="3798" t="s">
        <v>86</v>
      </c>
      <c r="R27" s="3763">
        <v>23.0</v>
      </c>
      <c r="S27" s="3798" t="s">
        <v>80</v>
      </c>
      <c r="T27" s="3762">
        <v>24.0</v>
      </c>
      <c r="U27" s="3798" t="s">
        <v>128</v>
      </c>
      <c r="V27" s="3762">
        <v>24.0</v>
      </c>
      <c r="W27" s="3798" t="s">
        <v>129</v>
      </c>
      <c r="X27" s="3762">
        <v>23.0</v>
      </c>
      <c r="Y27" s="3798" t="s">
        <v>86</v>
      </c>
      <c r="Z27" s="3761">
        <v>19.0</v>
      </c>
      <c r="AA27" s="3809">
        <v>3.0</v>
      </c>
      <c r="AB27" s="3810" t="s">
        <v>129</v>
      </c>
      <c r="AC27" s="3811">
        <v>15.0</v>
      </c>
      <c r="AD27" s="3810" t="s">
        <v>164</v>
      </c>
      <c r="AE27" s="3812">
        <v>16.0</v>
      </c>
      <c r="AF27" s="3810" t="s">
        <v>164</v>
      </c>
      <c r="AG27" s="3811">
        <v>11.0</v>
      </c>
      <c r="AH27" s="3810" t="s">
        <v>1114</v>
      </c>
      <c r="AI27" s="3811">
        <v>11.0</v>
      </c>
      <c r="AJ27" s="3813" t="s">
        <v>1114</v>
      </c>
      <c r="AK27" s="3709">
        <f>Fighters!$S26</f>
        <v>25</v>
      </c>
      <c r="AL27" s="3708">
        <f>Fighters!$T26</f>
        <v>22</v>
      </c>
      <c r="AM27" s="3710" t="str">
        <f>Fighters!$V26</f>
        <v>yoshi</v>
      </c>
    </row>
    <row r="28">
      <c r="A28" s="3700">
        <f>Fighters!$A27</f>
        <v>23</v>
      </c>
      <c r="B28" s="3701" t="str">
        <f>Fighters!$B27</f>
        <v>ガノンドロフ</v>
      </c>
      <c r="C28" s="3814" t="s">
        <v>204</v>
      </c>
      <c r="D28" s="3762">
        <v>7.0</v>
      </c>
      <c r="E28" s="307" t="s">
        <v>176</v>
      </c>
      <c r="F28" s="3763">
        <v>19.0</v>
      </c>
      <c r="G28" s="3798" t="s">
        <v>274</v>
      </c>
      <c r="H28" s="3762">
        <v>24.0</v>
      </c>
      <c r="I28" s="3798" t="s">
        <v>80</v>
      </c>
      <c r="J28" s="3762">
        <v>24.0</v>
      </c>
      <c r="K28" s="3798" t="s">
        <v>80</v>
      </c>
      <c r="L28" s="3762">
        <v>23.0</v>
      </c>
      <c r="M28" s="3798" t="s">
        <v>80</v>
      </c>
      <c r="N28" s="3762">
        <v>19.0</v>
      </c>
      <c r="O28" s="3798" t="s">
        <v>150</v>
      </c>
      <c r="P28" s="3762">
        <v>29.0</v>
      </c>
      <c r="Q28" s="3798" t="s">
        <v>80</v>
      </c>
      <c r="R28" s="3763">
        <v>23.0</v>
      </c>
      <c r="S28" s="3798" t="s">
        <v>274</v>
      </c>
      <c r="T28" s="3762">
        <v>24.0</v>
      </c>
      <c r="U28" s="3798" t="s">
        <v>80</v>
      </c>
      <c r="V28" s="3762">
        <v>24.0</v>
      </c>
      <c r="W28" s="3798" t="s">
        <v>80</v>
      </c>
      <c r="X28" s="3762">
        <v>23.0</v>
      </c>
      <c r="Y28" s="3798" t="s">
        <v>80</v>
      </c>
      <c r="Z28" s="3761">
        <v>19.0</v>
      </c>
      <c r="AA28" s="3809">
        <v>3.0</v>
      </c>
      <c r="AB28" s="3810" t="s">
        <v>129</v>
      </c>
      <c r="AC28" s="3811">
        <v>18.0</v>
      </c>
      <c r="AD28" s="3810" t="s">
        <v>164</v>
      </c>
      <c r="AE28" s="3811">
        <v>16.0</v>
      </c>
      <c r="AF28" s="3810" t="s">
        <v>164</v>
      </c>
      <c r="AG28" s="3811">
        <v>11.0</v>
      </c>
      <c r="AH28" s="3810" t="s">
        <v>1114</v>
      </c>
      <c r="AI28" s="3811">
        <v>14.0</v>
      </c>
      <c r="AJ28" s="3813" t="s">
        <v>1114</v>
      </c>
      <c r="AK28" s="3709">
        <f>Fighters!$S27</f>
        <v>26</v>
      </c>
      <c r="AL28" s="3708">
        <f>Fighters!$T27</f>
        <v>23</v>
      </c>
      <c r="AM28" s="3710" t="str">
        <f>Fighters!$V27</f>
        <v>ganon</v>
      </c>
    </row>
    <row r="29">
      <c r="A29" s="3700">
        <f>Fighters!$A28</f>
        <v>24</v>
      </c>
      <c r="B29" s="3701" t="str">
        <f>Fighters!$B28</f>
        <v>ミュウツー</v>
      </c>
      <c r="C29" s="3814" t="s">
        <v>204</v>
      </c>
      <c r="D29" s="3762">
        <v>7.0</v>
      </c>
      <c r="E29" s="3815" t="s">
        <v>204</v>
      </c>
      <c r="F29" s="3763">
        <v>19.0</v>
      </c>
      <c r="G29" s="3798" t="s">
        <v>274</v>
      </c>
      <c r="H29" s="3762">
        <v>24.0</v>
      </c>
      <c r="I29" s="3798" t="s">
        <v>232</v>
      </c>
      <c r="J29" s="3762">
        <v>24.0</v>
      </c>
      <c r="K29" s="3798" t="s">
        <v>129</v>
      </c>
      <c r="L29" s="3762">
        <v>23.0</v>
      </c>
      <c r="M29" s="3798" t="s">
        <v>274</v>
      </c>
      <c r="N29" s="3762">
        <v>19.0</v>
      </c>
      <c r="O29" s="3798" t="s">
        <v>93</v>
      </c>
      <c r="P29" s="3762">
        <v>29.0</v>
      </c>
      <c r="Q29" s="3798" t="s">
        <v>93</v>
      </c>
      <c r="R29" s="3763">
        <v>23.0</v>
      </c>
      <c r="S29" s="3798" t="s">
        <v>274</v>
      </c>
      <c r="T29" s="3762">
        <v>24.0</v>
      </c>
      <c r="U29" s="3798" t="s">
        <v>232</v>
      </c>
      <c r="V29" s="3762">
        <v>24.0</v>
      </c>
      <c r="W29" s="3798" t="s">
        <v>129</v>
      </c>
      <c r="X29" s="3762">
        <v>23.0</v>
      </c>
      <c r="Y29" s="3798" t="s">
        <v>274</v>
      </c>
      <c r="Z29" s="3761">
        <v>19.0</v>
      </c>
      <c r="AA29" s="3809">
        <v>3.0</v>
      </c>
      <c r="AB29" s="3810" t="s">
        <v>129</v>
      </c>
      <c r="AC29" s="3811">
        <v>16.0</v>
      </c>
      <c r="AD29" s="3810" t="s">
        <v>164</v>
      </c>
      <c r="AE29" s="3812">
        <v>17.0</v>
      </c>
      <c r="AF29" s="3810" t="s">
        <v>164</v>
      </c>
      <c r="AG29" s="3811">
        <v>11.0</v>
      </c>
      <c r="AH29" s="3810" t="s">
        <v>1114</v>
      </c>
      <c r="AI29" s="3811">
        <v>11.0</v>
      </c>
      <c r="AJ29" s="3813" t="s">
        <v>1114</v>
      </c>
      <c r="AK29" s="3709">
        <f>Fighters!$S28</f>
        <v>27</v>
      </c>
      <c r="AL29" s="3708">
        <f>Fighters!$T28</f>
        <v>24</v>
      </c>
      <c r="AM29" s="3710" t="str">
        <f>Fighters!$V28</f>
        <v>mewtwo</v>
      </c>
    </row>
    <row r="30">
      <c r="A30" s="3700">
        <f>Fighters!$A29</f>
        <v>25</v>
      </c>
      <c r="B30" s="3701" t="str">
        <f>Fighters!$B29</f>
        <v>ロイ</v>
      </c>
      <c r="C30" s="3814" t="s">
        <v>204</v>
      </c>
      <c r="D30" s="3762">
        <v>7.0</v>
      </c>
      <c r="E30" s="307" t="s">
        <v>176</v>
      </c>
      <c r="F30" s="3763">
        <v>19.0</v>
      </c>
      <c r="G30" s="3798" t="s">
        <v>128</v>
      </c>
      <c r="H30" s="3762">
        <v>24.0</v>
      </c>
      <c r="I30" s="3798" t="s">
        <v>119</v>
      </c>
      <c r="J30" s="3762">
        <v>24.0</v>
      </c>
      <c r="K30" s="3798" t="s">
        <v>386</v>
      </c>
      <c r="L30" s="3762">
        <v>23.0</v>
      </c>
      <c r="M30" s="3798" t="s">
        <v>80</v>
      </c>
      <c r="N30" s="3762">
        <v>19.0</v>
      </c>
      <c r="O30" s="3798" t="s">
        <v>86</v>
      </c>
      <c r="P30" s="3762">
        <v>29.0</v>
      </c>
      <c r="Q30" s="3798" t="s">
        <v>93</v>
      </c>
      <c r="R30" s="3763">
        <v>23.0</v>
      </c>
      <c r="S30" s="3798" t="s">
        <v>128</v>
      </c>
      <c r="T30" s="3762">
        <v>24.0</v>
      </c>
      <c r="U30" s="3798" t="s">
        <v>119</v>
      </c>
      <c r="V30" s="3762">
        <v>24.0</v>
      </c>
      <c r="W30" s="3798" t="s">
        <v>386</v>
      </c>
      <c r="X30" s="3762">
        <v>23.0</v>
      </c>
      <c r="Y30" s="3798" t="s">
        <v>80</v>
      </c>
      <c r="Z30" s="3761">
        <v>19.0</v>
      </c>
      <c r="AA30" s="3809">
        <v>5.0</v>
      </c>
      <c r="AB30" s="3810" t="s">
        <v>129</v>
      </c>
      <c r="AC30" s="3811">
        <v>18.0</v>
      </c>
      <c r="AD30" s="3810" t="s">
        <v>164</v>
      </c>
      <c r="AE30" s="3811">
        <v>16.0</v>
      </c>
      <c r="AF30" s="3810" t="s">
        <v>164</v>
      </c>
      <c r="AG30" s="3811">
        <v>12.0</v>
      </c>
      <c r="AH30" s="3810" t="s">
        <v>1114</v>
      </c>
      <c r="AI30" s="3811">
        <v>11.0</v>
      </c>
      <c r="AJ30" s="3813" t="s">
        <v>1114</v>
      </c>
      <c r="AK30" s="3709">
        <f>Fighters!$S29</f>
        <v>28</v>
      </c>
      <c r="AL30" s="3708">
        <f>Fighters!$T29</f>
        <v>25</v>
      </c>
      <c r="AM30" s="3710" t="str">
        <f>Fighters!$V29</f>
        <v>roy</v>
      </c>
    </row>
    <row r="31">
      <c r="A31" s="3700" t="str">
        <f>Fighters!$A30</f>
        <v>25'</v>
      </c>
      <c r="B31" s="3701" t="str">
        <f>Fighters!$B30</f>
        <v>クロム</v>
      </c>
      <c r="C31" s="3814" t="s">
        <v>204</v>
      </c>
      <c r="D31" s="3762">
        <v>7.0</v>
      </c>
      <c r="E31" s="307" t="s">
        <v>176</v>
      </c>
      <c r="F31" s="3763">
        <v>19.0</v>
      </c>
      <c r="G31" s="3798" t="s">
        <v>128</v>
      </c>
      <c r="H31" s="3762">
        <v>24.0</v>
      </c>
      <c r="I31" s="3798" t="s">
        <v>119</v>
      </c>
      <c r="J31" s="3762">
        <v>24.0</v>
      </c>
      <c r="K31" s="3798" t="s">
        <v>386</v>
      </c>
      <c r="L31" s="3762">
        <v>23.0</v>
      </c>
      <c r="M31" s="3798" t="s">
        <v>80</v>
      </c>
      <c r="N31" s="3762">
        <v>19.0</v>
      </c>
      <c r="O31" s="3798" t="s">
        <v>86</v>
      </c>
      <c r="P31" s="3762">
        <v>29.0</v>
      </c>
      <c r="Q31" s="3798" t="s">
        <v>93</v>
      </c>
      <c r="R31" s="3763">
        <v>23.0</v>
      </c>
      <c r="S31" s="3798" t="s">
        <v>128</v>
      </c>
      <c r="T31" s="3762">
        <v>24.0</v>
      </c>
      <c r="U31" s="3798" t="s">
        <v>119</v>
      </c>
      <c r="V31" s="3762">
        <v>24.0</v>
      </c>
      <c r="W31" s="3798" t="s">
        <v>386</v>
      </c>
      <c r="X31" s="3762">
        <v>23.0</v>
      </c>
      <c r="Y31" s="3798" t="s">
        <v>80</v>
      </c>
      <c r="Z31" s="3761">
        <v>19.0</v>
      </c>
      <c r="AA31" s="3809">
        <v>5.0</v>
      </c>
      <c r="AB31" s="3810" t="s">
        <v>129</v>
      </c>
      <c r="AC31" s="3811">
        <v>18.0</v>
      </c>
      <c r="AD31" s="3810" t="s">
        <v>164</v>
      </c>
      <c r="AE31" s="3811">
        <v>16.0</v>
      </c>
      <c r="AF31" s="3810" t="s">
        <v>164</v>
      </c>
      <c r="AG31" s="3811">
        <v>12.0</v>
      </c>
      <c r="AH31" s="3810" t="s">
        <v>1114</v>
      </c>
      <c r="AI31" s="3811">
        <v>11.0</v>
      </c>
      <c r="AJ31" s="3813" t="s">
        <v>1114</v>
      </c>
      <c r="AK31" s="3709">
        <f>Fighters!$S30</f>
        <v>29</v>
      </c>
      <c r="AL31" s="3708">
        <f>Fighters!$T30</f>
        <v>75</v>
      </c>
      <c r="AM31" s="3710" t="str">
        <f>Fighters!$V30</f>
        <v>chrom</v>
      </c>
    </row>
    <row r="32">
      <c r="A32" s="3700">
        <f>Fighters!$A31</f>
        <v>26</v>
      </c>
      <c r="B32" s="3701" t="str">
        <f>Fighters!$B31</f>
        <v>Mr. ゲーム&amp;ウォッチ</v>
      </c>
      <c r="C32" s="3816" t="s">
        <v>150</v>
      </c>
      <c r="D32" s="3762">
        <v>7.0</v>
      </c>
      <c r="E32" s="3815" t="s">
        <v>204</v>
      </c>
      <c r="F32" s="3763">
        <v>19.0</v>
      </c>
      <c r="G32" s="3798" t="s">
        <v>232</v>
      </c>
      <c r="H32" s="3762">
        <v>24.0</v>
      </c>
      <c r="I32" s="3798" t="s">
        <v>232</v>
      </c>
      <c r="J32" s="3762">
        <v>24.0</v>
      </c>
      <c r="K32" s="3798" t="s">
        <v>232</v>
      </c>
      <c r="L32" s="3762">
        <v>23.0</v>
      </c>
      <c r="M32" s="3798" t="s">
        <v>232</v>
      </c>
      <c r="N32" s="3762">
        <v>19.0</v>
      </c>
      <c r="O32" s="3798" t="s">
        <v>129</v>
      </c>
      <c r="P32" s="3762">
        <v>29.0</v>
      </c>
      <c r="Q32" s="3798" t="s">
        <v>128</v>
      </c>
      <c r="R32" s="3763">
        <v>23.0</v>
      </c>
      <c r="S32" s="3798" t="s">
        <v>232</v>
      </c>
      <c r="T32" s="3762">
        <v>24.0</v>
      </c>
      <c r="U32" s="3798" t="s">
        <v>232</v>
      </c>
      <c r="V32" s="3762">
        <v>24.0</v>
      </c>
      <c r="W32" s="3798" t="s">
        <v>232</v>
      </c>
      <c r="X32" s="3762">
        <v>23.0</v>
      </c>
      <c r="Y32" s="3798" t="s">
        <v>232</v>
      </c>
      <c r="Z32" s="3761">
        <v>19.0</v>
      </c>
      <c r="AA32" s="3809">
        <v>8.0</v>
      </c>
      <c r="AB32" s="3810" t="s">
        <v>129</v>
      </c>
      <c r="AC32" s="3811">
        <v>20.0</v>
      </c>
      <c r="AD32" s="3810" t="s">
        <v>164</v>
      </c>
      <c r="AE32" s="3811">
        <v>20.0</v>
      </c>
      <c r="AF32" s="3810" t="s">
        <v>164</v>
      </c>
      <c r="AG32" s="3811">
        <v>12.0</v>
      </c>
      <c r="AH32" s="3810" t="s">
        <v>1114</v>
      </c>
      <c r="AI32" s="3811">
        <v>16.0</v>
      </c>
      <c r="AJ32" s="3813" t="s">
        <v>1114</v>
      </c>
      <c r="AK32" s="3709">
        <f>Fighters!$S31</f>
        <v>30</v>
      </c>
      <c r="AL32" s="3708">
        <f>Fighters!$T31</f>
        <v>26</v>
      </c>
      <c r="AM32" s="3710" t="str">
        <f>Fighters!$V31</f>
        <v>gamewatch</v>
      </c>
    </row>
    <row r="33">
      <c r="A33" s="3700">
        <f>Fighters!$A32</f>
        <v>27</v>
      </c>
      <c r="B33" s="3701" t="str">
        <f>Fighters!$B32</f>
        <v>メタナイト</v>
      </c>
      <c r="C33" s="3798" t="s">
        <v>176</v>
      </c>
      <c r="D33" s="3762">
        <v>7.0</v>
      </c>
      <c r="E33" s="307" t="s">
        <v>176</v>
      </c>
      <c r="F33" s="3763">
        <v>19.0</v>
      </c>
      <c r="G33" s="3798" t="s">
        <v>80</v>
      </c>
      <c r="H33" s="3762">
        <v>24.0</v>
      </c>
      <c r="I33" s="3798" t="s">
        <v>232</v>
      </c>
      <c r="J33" s="3762">
        <v>24.0</v>
      </c>
      <c r="K33" s="3798" t="s">
        <v>129</v>
      </c>
      <c r="L33" s="3762">
        <v>23.0</v>
      </c>
      <c r="M33" s="3798" t="s">
        <v>93</v>
      </c>
      <c r="N33" s="3762">
        <v>19.0</v>
      </c>
      <c r="O33" s="3798" t="s">
        <v>86</v>
      </c>
      <c r="P33" s="3762">
        <v>29.0</v>
      </c>
      <c r="Q33" s="3798" t="s">
        <v>86</v>
      </c>
      <c r="R33" s="3763">
        <v>23.0</v>
      </c>
      <c r="S33" s="3798" t="s">
        <v>80</v>
      </c>
      <c r="T33" s="3762">
        <v>24.0</v>
      </c>
      <c r="U33" s="3798" t="s">
        <v>232</v>
      </c>
      <c r="V33" s="3762">
        <v>24.0</v>
      </c>
      <c r="W33" s="3798" t="s">
        <v>129</v>
      </c>
      <c r="X33" s="3762">
        <v>23.0</v>
      </c>
      <c r="Y33" s="3798" t="s">
        <v>93</v>
      </c>
      <c r="Z33" s="3761">
        <v>19.0</v>
      </c>
      <c r="AA33" s="3809">
        <v>2.0</v>
      </c>
      <c r="AB33" s="3810" t="s">
        <v>129</v>
      </c>
      <c r="AC33" s="3811">
        <v>16.0</v>
      </c>
      <c r="AD33" s="3810" t="s">
        <v>164</v>
      </c>
      <c r="AE33" s="3812">
        <v>17.0</v>
      </c>
      <c r="AF33" s="3810" t="s">
        <v>164</v>
      </c>
      <c r="AG33" s="3811">
        <v>11.0</v>
      </c>
      <c r="AH33" s="3810" t="s">
        <v>1114</v>
      </c>
      <c r="AI33" s="3811">
        <v>11.0</v>
      </c>
      <c r="AJ33" s="3813" t="s">
        <v>1114</v>
      </c>
      <c r="AK33" s="3709">
        <f>Fighters!$S32</f>
        <v>31</v>
      </c>
      <c r="AL33" s="3708">
        <f>Fighters!$T32</f>
        <v>27</v>
      </c>
      <c r="AM33" s="3710" t="str">
        <f>Fighters!$V32</f>
        <v>metaknight</v>
      </c>
    </row>
    <row r="34">
      <c r="A34" s="3700">
        <f>Fighters!$A33</f>
        <v>28</v>
      </c>
      <c r="B34" s="3701" t="str">
        <f>Fighters!$B33</f>
        <v>ピット</v>
      </c>
      <c r="C34" s="3798" t="s">
        <v>176</v>
      </c>
      <c r="D34" s="3762">
        <v>7.0</v>
      </c>
      <c r="E34" s="307" t="s">
        <v>176</v>
      </c>
      <c r="F34" s="3763">
        <v>19.0</v>
      </c>
      <c r="G34" s="3798" t="s">
        <v>80</v>
      </c>
      <c r="H34" s="3762">
        <v>24.0</v>
      </c>
      <c r="I34" s="3798" t="s">
        <v>232</v>
      </c>
      <c r="J34" s="3762">
        <v>24.0</v>
      </c>
      <c r="K34" s="3798" t="s">
        <v>129</v>
      </c>
      <c r="L34" s="3762">
        <v>23.0</v>
      </c>
      <c r="M34" s="3798" t="s">
        <v>93</v>
      </c>
      <c r="N34" s="3762">
        <v>19.0</v>
      </c>
      <c r="O34" s="3798" t="s">
        <v>150</v>
      </c>
      <c r="P34" s="3762">
        <v>29.0</v>
      </c>
      <c r="Q34" s="3798" t="s">
        <v>86</v>
      </c>
      <c r="R34" s="3763">
        <v>23.0</v>
      </c>
      <c r="S34" s="3798" t="s">
        <v>80</v>
      </c>
      <c r="T34" s="3762">
        <v>24.0</v>
      </c>
      <c r="U34" s="3798" t="s">
        <v>232</v>
      </c>
      <c r="V34" s="3762">
        <v>24.0</v>
      </c>
      <c r="W34" s="3798" t="s">
        <v>129</v>
      </c>
      <c r="X34" s="3762">
        <v>23.0</v>
      </c>
      <c r="Y34" s="3798" t="s">
        <v>93</v>
      </c>
      <c r="Z34" s="3761">
        <v>19.0</v>
      </c>
      <c r="AA34" s="3809">
        <v>2.0</v>
      </c>
      <c r="AB34" s="3810" t="s">
        <v>129</v>
      </c>
      <c r="AC34" s="3811">
        <v>16.0</v>
      </c>
      <c r="AD34" s="3810" t="s">
        <v>164</v>
      </c>
      <c r="AE34" s="3811">
        <v>16.0</v>
      </c>
      <c r="AF34" s="3810" t="s">
        <v>164</v>
      </c>
      <c r="AG34" s="3811">
        <v>11.0</v>
      </c>
      <c r="AH34" s="3810" t="s">
        <v>1114</v>
      </c>
      <c r="AI34" s="3811">
        <v>11.0</v>
      </c>
      <c r="AJ34" s="3813" t="s">
        <v>1114</v>
      </c>
      <c r="AK34" s="3709">
        <f>Fighters!$S33</f>
        <v>32</v>
      </c>
      <c r="AL34" s="3708">
        <f>Fighters!$T33</f>
        <v>28</v>
      </c>
      <c r="AM34" s="3710" t="str">
        <f>Fighters!$V33</f>
        <v>pit</v>
      </c>
    </row>
    <row r="35">
      <c r="A35" s="3700" t="str">
        <f>Fighters!$A34</f>
        <v>28'</v>
      </c>
      <c r="B35" s="3701" t="str">
        <f>Fighters!$B34</f>
        <v>ブラックピット</v>
      </c>
      <c r="C35" s="3798" t="s">
        <v>176</v>
      </c>
      <c r="D35" s="3762">
        <v>7.0</v>
      </c>
      <c r="E35" s="307" t="s">
        <v>176</v>
      </c>
      <c r="F35" s="3763">
        <v>19.0</v>
      </c>
      <c r="G35" s="3798" t="s">
        <v>80</v>
      </c>
      <c r="H35" s="3762">
        <v>24.0</v>
      </c>
      <c r="I35" s="3798" t="s">
        <v>232</v>
      </c>
      <c r="J35" s="3762">
        <v>24.0</v>
      </c>
      <c r="K35" s="3798" t="s">
        <v>129</v>
      </c>
      <c r="L35" s="3762">
        <v>23.0</v>
      </c>
      <c r="M35" s="3798" t="s">
        <v>93</v>
      </c>
      <c r="N35" s="3762">
        <v>19.0</v>
      </c>
      <c r="O35" s="3798" t="s">
        <v>150</v>
      </c>
      <c r="P35" s="3762">
        <v>29.0</v>
      </c>
      <c r="Q35" s="3798" t="s">
        <v>86</v>
      </c>
      <c r="R35" s="3763">
        <v>23.0</v>
      </c>
      <c r="S35" s="3798" t="s">
        <v>80</v>
      </c>
      <c r="T35" s="3762">
        <v>24.0</v>
      </c>
      <c r="U35" s="3798" t="s">
        <v>232</v>
      </c>
      <c r="V35" s="3762">
        <v>24.0</v>
      </c>
      <c r="W35" s="3798" t="s">
        <v>129</v>
      </c>
      <c r="X35" s="3762">
        <v>23.0</v>
      </c>
      <c r="Y35" s="3798" t="s">
        <v>93</v>
      </c>
      <c r="Z35" s="3761">
        <v>19.0</v>
      </c>
      <c r="AA35" s="3809">
        <v>2.0</v>
      </c>
      <c r="AB35" s="3810" t="s">
        <v>129</v>
      </c>
      <c r="AC35" s="3811">
        <v>16.0</v>
      </c>
      <c r="AD35" s="3810" t="s">
        <v>164</v>
      </c>
      <c r="AE35" s="3811">
        <v>16.0</v>
      </c>
      <c r="AF35" s="3810" t="s">
        <v>164</v>
      </c>
      <c r="AG35" s="3811">
        <v>11.0</v>
      </c>
      <c r="AH35" s="3810" t="s">
        <v>1114</v>
      </c>
      <c r="AI35" s="3811">
        <v>11.0</v>
      </c>
      <c r="AJ35" s="3813" t="s">
        <v>1114</v>
      </c>
      <c r="AK35" s="3709">
        <f>Fighters!$S34</f>
        <v>33</v>
      </c>
      <c r="AL35" s="3708">
        <f>Fighters!$T34</f>
        <v>76</v>
      </c>
      <c r="AM35" s="3710" t="str">
        <f>Fighters!$V34</f>
        <v>pitb</v>
      </c>
    </row>
    <row r="36">
      <c r="A36" s="3700">
        <f>Fighters!$A35</f>
        <v>29</v>
      </c>
      <c r="B36" s="3701" t="str">
        <f>Fighters!$B35</f>
        <v>ゼロスーツサムス</v>
      </c>
      <c r="C36" s="3798" t="s">
        <v>176</v>
      </c>
      <c r="D36" s="3762">
        <v>7.0</v>
      </c>
      <c r="E36" s="307" t="s">
        <v>176</v>
      </c>
      <c r="F36" s="3763">
        <v>19.0</v>
      </c>
      <c r="G36" s="3798" t="s">
        <v>93</v>
      </c>
      <c r="H36" s="3762">
        <v>24.0</v>
      </c>
      <c r="I36" s="3798" t="s">
        <v>274</v>
      </c>
      <c r="J36" s="3762">
        <v>24.0</v>
      </c>
      <c r="K36" s="3798" t="s">
        <v>232</v>
      </c>
      <c r="L36" s="3762">
        <v>23.0</v>
      </c>
      <c r="M36" s="3798" t="s">
        <v>86</v>
      </c>
      <c r="N36" s="3762">
        <v>19.0</v>
      </c>
      <c r="O36" s="3798" t="s">
        <v>73</v>
      </c>
      <c r="P36" s="3762">
        <v>29.0</v>
      </c>
      <c r="Q36" s="3798" t="s">
        <v>150</v>
      </c>
      <c r="R36" s="3763">
        <v>23.0</v>
      </c>
      <c r="S36" s="3798" t="s">
        <v>93</v>
      </c>
      <c r="T36" s="3762">
        <v>24.0</v>
      </c>
      <c r="U36" s="3798" t="s">
        <v>274</v>
      </c>
      <c r="V36" s="3762">
        <v>24.0</v>
      </c>
      <c r="W36" s="3798" t="s">
        <v>232</v>
      </c>
      <c r="X36" s="3762">
        <v>23.0</v>
      </c>
      <c r="Y36" s="3798" t="s">
        <v>86</v>
      </c>
      <c r="Z36" s="3761">
        <v>19.0</v>
      </c>
      <c r="AA36" s="3809">
        <v>2.0</v>
      </c>
      <c r="AB36" s="3810" t="s">
        <v>129</v>
      </c>
      <c r="AC36" s="3811">
        <v>16.0</v>
      </c>
      <c r="AD36" s="3810" t="s">
        <v>164</v>
      </c>
      <c r="AE36" s="3811">
        <v>16.0</v>
      </c>
      <c r="AF36" s="3810" t="s">
        <v>164</v>
      </c>
      <c r="AG36" s="3811">
        <v>11.0</v>
      </c>
      <c r="AH36" s="3810" t="s">
        <v>1114</v>
      </c>
      <c r="AI36" s="3811">
        <v>11.0</v>
      </c>
      <c r="AJ36" s="3813" t="s">
        <v>1114</v>
      </c>
      <c r="AK36" s="3709">
        <f>Fighters!$S35</f>
        <v>34</v>
      </c>
      <c r="AL36" s="3708">
        <f>Fighters!$T35</f>
        <v>29</v>
      </c>
      <c r="AM36" s="3710" t="str">
        <f>Fighters!$V35</f>
        <v>szerosuit</v>
      </c>
    </row>
    <row r="37">
      <c r="A37" s="3700">
        <f>Fighters!$A36</f>
        <v>30</v>
      </c>
      <c r="B37" s="3701" t="str">
        <f>Fighters!$B36</f>
        <v>ワリオ</v>
      </c>
      <c r="C37" s="3798" t="s">
        <v>176</v>
      </c>
      <c r="D37" s="3762">
        <v>7.0</v>
      </c>
      <c r="E37" s="307" t="s">
        <v>176</v>
      </c>
      <c r="F37" s="3763">
        <v>19.0</v>
      </c>
      <c r="G37" s="3798" t="s">
        <v>128</v>
      </c>
      <c r="H37" s="3762">
        <v>24.0</v>
      </c>
      <c r="I37" s="3798" t="s">
        <v>119</v>
      </c>
      <c r="J37" s="3762">
        <v>24.0</v>
      </c>
      <c r="K37" s="3798" t="s">
        <v>386</v>
      </c>
      <c r="L37" s="3762">
        <v>23.0</v>
      </c>
      <c r="M37" s="3798" t="s">
        <v>80</v>
      </c>
      <c r="N37" s="3762">
        <v>19.0</v>
      </c>
      <c r="O37" s="3798" t="s">
        <v>86</v>
      </c>
      <c r="P37" s="3762">
        <v>29.0</v>
      </c>
      <c r="Q37" s="3798" t="s">
        <v>93</v>
      </c>
      <c r="R37" s="3763">
        <v>23.0</v>
      </c>
      <c r="S37" s="3798" t="s">
        <v>128</v>
      </c>
      <c r="T37" s="3762">
        <v>24.0</v>
      </c>
      <c r="U37" s="3798" t="s">
        <v>119</v>
      </c>
      <c r="V37" s="3762">
        <v>24.0</v>
      </c>
      <c r="W37" s="3798" t="s">
        <v>386</v>
      </c>
      <c r="X37" s="3762">
        <v>23.0</v>
      </c>
      <c r="Y37" s="3798" t="s">
        <v>80</v>
      </c>
      <c r="Z37" s="3761">
        <v>19.0</v>
      </c>
      <c r="AA37" s="3809">
        <v>2.0</v>
      </c>
      <c r="AB37" s="3810" t="s">
        <v>129</v>
      </c>
      <c r="AC37" s="3811">
        <v>16.0</v>
      </c>
      <c r="AD37" s="3810" t="s">
        <v>164</v>
      </c>
      <c r="AE37" s="3811">
        <v>16.0</v>
      </c>
      <c r="AF37" s="3810" t="s">
        <v>164</v>
      </c>
      <c r="AG37" s="3811">
        <v>11.0</v>
      </c>
      <c r="AH37" s="3810" t="s">
        <v>1114</v>
      </c>
      <c r="AI37" s="3811">
        <v>11.0</v>
      </c>
      <c r="AJ37" s="3813" t="s">
        <v>1114</v>
      </c>
      <c r="AK37" s="3709">
        <f>Fighters!$S36</f>
        <v>35</v>
      </c>
      <c r="AL37" s="3708">
        <f>Fighters!$T36</f>
        <v>30</v>
      </c>
      <c r="AM37" s="3710" t="str">
        <f>Fighters!$V36</f>
        <v>wario</v>
      </c>
    </row>
    <row r="38">
      <c r="A38" s="3700">
        <f>Fighters!$A37</f>
        <v>31</v>
      </c>
      <c r="B38" s="3701" t="str">
        <f>Fighters!$B37</f>
        <v>スネーク</v>
      </c>
      <c r="C38" s="3798" t="s">
        <v>176</v>
      </c>
      <c r="D38" s="3762">
        <v>7.0</v>
      </c>
      <c r="E38" s="307" t="s">
        <v>176</v>
      </c>
      <c r="F38" s="3763">
        <v>19.0</v>
      </c>
      <c r="G38" s="3798" t="s">
        <v>80</v>
      </c>
      <c r="H38" s="3762">
        <v>24.0</v>
      </c>
      <c r="I38" s="3798" t="s">
        <v>232</v>
      </c>
      <c r="J38" s="3762">
        <v>24.0</v>
      </c>
      <c r="K38" s="3798" t="s">
        <v>129</v>
      </c>
      <c r="L38" s="3762">
        <v>23.0</v>
      </c>
      <c r="M38" s="3798" t="s">
        <v>93</v>
      </c>
      <c r="N38" s="3762">
        <v>19.0</v>
      </c>
      <c r="O38" s="3798" t="s">
        <v>150</v>
      </c>
      <c r="P38" s="3762">
        <v>29.0</v>
      </c>
      <c r="Q38" s="3798" t="s">
        <v>86</v>
      </c>
      <c r="R38" s="3763">
        <v>23.0</v>
      </c>
      <c r="S38" s="3798" t="s">
        <v>80</v>
      </c>
      <c r="T38" s="3762">
        <v>24.0</v>
      </c>
      <c r="U38" s="3798" t="s">
        <v>232</v>
      </c>
      <c r="V38" s="3762">
        <v>24.0</v>
      </c>
      <c r="W38" s="3798" t="s">
        <v>129</v>
      </c>
      <c r="X38" s="3762">
        <v>23.0</v>
      </c>
      <c r="Y38" s="3798" t="s">
        <v>93</v>
      </c>
      <c r="Z38" s="3761">
        <v>19.0</v>
      </c>
      <c r="AA38" s="3809">
        <v>3.0</v>
      </c>
      <c r="AB38" s="3810" t="s">
        <v>129</v>
      </c>
      <c r="AC38" s="3811">
        <v>14.0</v>
      </c>
      <c r="AD38" s="3810" t="s">
        <v>164</v>
      </c>
      <c r="AE38" s="3812">
        <v>15.0</v>
      </c>
      <c r="AF38" s="3810" t="s">
        <v>164</v>
      </c>
      <c r="AG38" s="3811">
        <v>11.0</v>
      </c>
      <c r="AH38" s="3810" t="s">
        <v>1114</v>
      </c>
      <c r="AI38" s="3811">
        <v>9.0</v>
      </c>
      <c r="AJ38" s="3813" t="s">
        <v>1114</v>
      </c>
      <c r="AK38" s="3709">
        <f>Fighters!$S37</f>
        <v>36</v>
      </c>
      <c r="AL38" s="3708">
        <f>Fighters!$T37</f>
        <v>31</v>
      </c>
      <c r="AM38" s="3710" t="str">
        <f>Fighters!$V37</f>
        <v>snake</v>
      </c>
    </row>
    <row r="39">
      <c r="A39" s="3700">
        <f>Fighters!$A38</f>
        <v>32</v>
      </c>
      <c r="B39" s="3701" t="str">
        <f>Fighters!$B38</f>
        <v>アイク</v>
      </c>
      <c r="C39" s="3798" t="s">
        <v>176</v>
      </c>
      <c r="D39" s="3762">
        <v>7.0</v>
      </c>
      <c r="E39" s="307" t="s">
        <v>176</v>
      </c>
      <c r="F39" s="3763">
        <v>19.0</v>
      </c>
      <c r="G39" s="3798" t="s">
        <v>232</v>
      </c>
      <c r="H39" s="3762">
        <v>24.0</v>
      </c>
      <c r="I39" s="3798" t="s">
        <v>119</v>
      </c>
      <c r="J39" s="3762">
        <v>24.0</v>
      </c>
      <c r="K39" s="3798" t="s">
        <v>386</v>
      </c>
      <c r="L39" s="3762">
        <v>23.0</v>
      </c>
      <c r="M39" s="3798" t="s">
        <v>80</v>
      </c>
      <c r="N39" s="3762">
        <v>19.0</v>
      </c>
      <c r="O39" s="3798" t="s">
        <v>86</v>
      </c>
      <c r="P39" s="3762">
        <v>29.0</v>
      </c>
      <c r="Q39" s="3798" t="s">
        <v>93</v>
      </c>
      <c r="R39" s="3763">
        <v>23.0</v>
      </c>
      <c r="S39" s="3798" t="s">
        <v>232</v>
      </c>
      <c r="T39" s="3762">
        <v>24.0</v>
      </c>
      <c r="U39" s="3798" t="s">
        <v>119</v>
      </c>
      <c r="V39" s="3762">
        <v>24.0</v>
      </c>
      <c r="W39" s="3798" t="s">
        <v>386</v>
      </c>
      <c r="X39" s="3762">
        <v>23.0</v>
      </c>
      <c r="Y39" s="3798" t="s">
        <v>80</v>
      </c>
      <c r="Z39" s="3761">
        <v>19.0</v>
      </c>
      <c r="AA39" s="3809">
        <v>2.0</v>
      </c>
      <c r="AB39" s="3810" t="s">
        <v>129</v>
      </c>
      <c r="AC39" s="3811">
        <v>16.0</v>
      </c>
      <c r="AD39" s="3810" t="s">
        <v>164</v>
      </c>
      <c r="AE39" s="3811">
        <v>16.0</v>
      </c>
      <c r="AF39" s="3810" t="s">
        <v>164</v>
      </c>
      <c r="AG39" s="3811">
        <v>11.0</v>
      </c>
      <c r="AH39" s="3810" t="s">
        <v>1114</v>
      </c>
      <c r="AI39" s="3811">
        <v>11.0</v>
      </c>
      <c r="AJ39" s="3813" t="s">
        <v>1114</v>
      </c>
      <c r="AK39" s="3709">
        <f>Fighters!$S38</f>
        <v>37</v>
      </c>
      <c r="AL39" s="3708">
        <f>Fighters!$T38</f>
        <v>32</v>
      </c>
      <c r="AM39" s="3710" t="str">
        <f>Fighters!$V38</f>
        <v>ike</v>
      </c>
    </row>
    <row r="40">
      <c r="A40" s="3700">
        <f>Fighters!$A39</f>
        <v>33</v>
      </c>
      <c r="B40" s="3701" t="str">
        <f>Fighters!$B39</f>
        <v>ゼニガメ</v>
      </c>
      <c r="C40" s="3798" t="s">
        <v>176</v>
      </c>
      <c r="D40" s="3762">
        <v>7.0</v>
      </c>
      <c r="E40" s="307" t="s">
        <v>176</v>
      </c>
      <c r="F40" s="3763">
        <v>19.0</v>
      </c>
      <c r="G40" s="3798" t="s">
        <v>80</v>
      </c>
      <c r="H40" s="3762">
        <v>24.0</v>
      </c>
      <c r="I40" s="3798" t="s">
        <v>232</v>
      </c>
      <c r="J40" s="3762">
        <v>24.0</v>
      </c>
      <c r="K40" s="3798" t="s">
        <v>129</v>
      </c>
      <c r="L40" s="3762">
        <v>23.0</v>
      </c>
      <c r="M40" s="3798" t="s">
        <v>93</v>
      </c>
      <c r="N40" s="3762">
        <v>19.0</v>
      </c>
      <c r="O40" s="3798" t="s">
        <v>150</v>
      </c>
      <c r="P40" s="3762">
        <v>29.0</v>
      </c>
      <c r="Q40" s="3798" t="s">
        <v>86</v>
      </c>
      <c r="R40" s="3763">
        <v>23.0</v>
      </c>
      <c r="S40" s="3798" t="s">
        <v>80</v>
      </c>
      <c r="T40" s="3762">
        <v>24.0</v>
      </c>
      <c r="U40" s="3798" t="s">
        <v>232</v>
      </c>
      <c r="V40" s="3762">
        <v>24.0</v>
      </c>
      <c r="W40" s="3798" t="s">
        <v>129</v>
      </c>
      <c r="X40" s="3762">
        <v>23.0</v>
      </c>
      <c r="Y40" s="3798" t="s">
        <v>93</v>
      </c>
      <c r="Z40" s="3761">
        <v>19.0</v>
      </c>
      <c r="AA40" s="3809">
        <v>2.0</v>
      </c>
      <c r="AB40" s="3810" t="s">
        <v>129</v>
      </c>
      <c r="AC40" s="3811">
        <v>16.0</v>
      </c>
      <c r="AD40" s="3810" t="s">
        <v>164</v>
      </c>
      <c r="AE40" s="3812">
        <v>17.0</v>
      </c>
      <c r="AF40" s="3810" t="s">
        <v>164</v>
      </c>
      <c r="AG40" s="3811">
        <v>11.0</v>
      </c>
      <c r="AH40" s="3810" t="s">
        <v>1114</v>
      </c>
      <c r="AI40" s="3811">
        <v>11.0</v>
      </c>
      <c r="AJ40" s="3813" t="s">
        <v>1114</v>
      </c>
      <c r="AK40" s="3709">
        <f>Fighters!$S39</f>
        <v>38</v>
      </c>
      <c r="AL40" s="3708">
        <f>Fighters!$T39</f>
        <v>33</v>
      </c>
      <c r="AM40" s="3710" t="str">
        <f>Fighters!$V39</f>
        <v>pzenigame</v>
      </c>
    </row>
    <row r="41">
      <c r="A41" s="3700">
        <f>Fighters!$A40</f>
        <v>34</v>
      </c>
      <c r="B41" s="3701" t="str">
        <f>Fighters!$B40</f>
        <v>フシギソウ</v>
      </c>
      <c r="C41" s="3798" t="s">
        <v>176</v>
      </c>
      <c r="D41" s="3762">
        <v>7.0</v>
      </c>
      <c r="E41" s="307" t="s">
        <v>176</v>
      </c>
      <c r="F41" s="3763">
        <v>19.0</v>
      </c>
      <c r="G41" s="3798" t="s">
        <v>80</v>
      </c>
      <c r="H41" s="3762">
        <v>24.0</v>
      </c>
      <c r="I41" s="3798" t="s">
        <v>232</v>
      </c>
      <c r="J41" s="3762">
        <v>24.0</v>
      </c>
      <c r="K41" s="3798" t="s">
        <v>129</v>
      </c>
      <c r="L41" s="3762">
        <v>23.0</v>
      </c>
      <c r="M41" s="3798" t="s">
        <v>93</v>
      </c>
      <c r="N41" s="3762">
        <v>19.0</v>
      </c>
      <c r="O41" s="3798" t="s">
        <v>150</v>
      </c>
      <c r="P41" s="3762">
        <v>29.0</v>
      </c>
      <c r="Q41" s="3798" t="s">
        <v>86</v>
      </c>
      <c r="R41" s="3763">
        <v>23.0</v>
      </c>
      <c r="S41" s="3798" t="s">
        <v>80</v>
      </c>
      <c r="T41" s="3762">
        <v>24.0</v>
      </c>
      <c r="U41" s="3798" t="s">
        <v>232</v>
      </c>
      <c r="V41" s="3762">
        <v>24.0</v>
      </c>
      <c r="W41" s="3798" t="s">
        <v>129</v>
      </c>
      <c r="X41" s="3762">
        <v>23.0</v>
      </c>
      <c r="Y41" s="3798" t="s">
        <v>93</v>
      </c>
      <c r="Z41" s="3761">
        <v>19.0</v>
      </c>
      <c r="AA41" s="3809">
        <v>3.0</v>
      </c>
      <c r="AB41" s="3810" t="s">
        <v>129</v>
      </c>
      <c r="AC41" s="3811">
        <v>14.0</v>
      </c>
      <c r="AD41" s="3810" t="s">
        <v>164</v>
      </c>
      <c r="AE41" s="3812">
        <v>15.0</v>
      </c>
      <c r="AF41" s="3810" t="s">
        <v>164</v>
      </c>
      <c r="AG41" s="3811">
        <v>11.0</v>
      </c>
      <c r="AH41" s="3810" t="s">
        <v>1114</v>
      </c>
      <c r="AI41" s="3811">
        <v>9.0</v>
      </c>
      <c r="AJ41" s="3813" t="s">
        <v>1114</v>
      </c>
      <c r="AK41" s="3709">
        <f>Fighters!$S40</f>
        <v>39</v>
      </c>
      <c r="AL41" s="3708">
        <f>Fighters!$T40</f>
        <v>34</v>
      </c>
      <c r="AM41" s="3710" t="str">
        <f>Fighters!$V40</f>
        <v>pfushigisou</v>
      </c>
    </row>
    <row r="42">
      <c r="A42" s="3700">
        <f>Fighters!$A41</f>
        <v>35</v>
      </c>
      <c r="B42" s="3701" t="str">
        <f>Fighters!$B41</f>
        <v>リザードン</v>
      </c>
      <c r="C42" s="3798" t="s">
        <v>176</v>
      </c>
      <c r="D42" s="3762">
        <v>7.0</v>
      </c>
      <c r="E42" s="307" t="s">
        <v>176</v>
      </c>
      <c r="F42" s="3763">
        <v>19.0</v>
      </c>
      <c r="G42" s="3798" t="s">
        <v>128</v>
      </c>
      <c r="H42" s="3762">
        <v>24.0</v>
      </c>
      <c r="I42" s="3798" t="s">
        <v>119</v>
      </c>
      <c r="J42" s="3762">
        <v>24.0</v>
      </c>
      <c r="K42" s="3798" t="s">
        <v>386</v>
      </c>
      <c r="L42" s="3762">
        <v>23.0</v>
      </c>
      <c r="M42" s="3798" t="s">
        <v>80</v>
      </c>
      <c r="N42" s="3762">
        <v>19.0</v>
      </c>
      <c r="O42" s="3798" t="s">
        <v>86</v>
      </c>
      <c r="P42" s="3762">
        <v>29.0</v>
      </c>
      <c r="Q42" s="3798" t="s">
        <v>80</v>
      </c>
      <c r="R42" s="3763">
        <v>23.0</v>
      </c>
      <c r="S42" s="3798" t="s">
        <v>128</v>
      </c>
      <c r="T42" s="3762">
        <v>24.0</v>
      </c>
      <c r="U42" s="3798" t="s">
        <v>119</v>
      </c>
      <c r="V42" s="3762">
        <v>24.0</v>
      </c>
      <c r="W42" s="3798" t="s">
        <v>386</v>
      </c>
      <c r="X42" s="3762">
        <v>23.0</v>
      </c>
      <c r="Y42" s="3798" t="s">
        <v>80</v>
      </c>
      <c r="Z42" s="3761">
        <v>19.0</v>
      </c>
      <c r="AA42" s="3809">
        <v>2.0</v>
      </c>
      <c r="AB42" s="3810" t="s">
        <v>129</v>
      </c>
      <c r="AC42" s="3811">
        <v>16.0</v>
      </c>
      <c r="AD42" s="3810" t="s">
        <v>164</v>
      </c>
      <c r="AE42" s="3811">
        <v>16.0</v>
      </c>
      <c r="AF42" s="3810" t="s">
        <v>164</v>
      </c>
      <c r="AG42" s="3811">
        <v>11.0</v>
      </c>
      <c r="AH42" s="3810" t="s">
        <v>1114</v>
      </c>
      <c r="AI42" s="3811">
        <v>11.0</v>
      </c>
      <c r="AJ42" s="3813" t="s">
        <v>1114</v>
      </c>
      <c r="AK42" s="3709">
        <f>Fighters!$S41</f>
        <v>40</v>
      </c>
      <c r="AL42" s="3708">
        <f>Fighters!$T41</f>
        <v>35</v>
      </c>
      <c r="AM42" s="3710" t="str">
        <f>Fighters!$V41</f>
        <v>plizardon</v>
      </c>
    </row>
    <row r="43">
      <c r="A43" s="3700">
        <f>Fighters!$A42</f>
        <v>36</v>
      </c>
      <c r="B43" s="3701" t="str">
        <f>Fighters!$B42</f>
        <v>ディディーコング</v>
      </c>
      <c r="C43" s="3798" t="s">
        <v>176</v>
      </c>
      <c r="D43" s="3762">
        <v>7.0</v>
      </c>
      <c r="E43" s="307" t="s">
        <v>176</v>
      </c>
      <c r="F43" s="3763">
        <v>19.0</v>
      </c>
      <c r="G43" s="3798" t="s">
        <v>93</v>
      </c>
      <c r="H43" s="3762">
        <v>24.0</v>
      </c>
      <c r="I43" s="3798" t="s">
        <v>274</v>
      </c>
      <c r="J43" s="3762">
        <v>24.0</v>
      </c>
      <c r="K43" s="3798" t="s">
        <v>232</v>
      </c>
      <c r="L43" s="3762">
        <v>23.0</v>
      </c>
      <c r="M43" s="3798" t="s">
        <v>86</v>
      </c>
      <c r="N43" s="3762">
        <v>19.0</v>
      </c>
      <c r="O43" s="3798" t="s">
        <v>73</v>
      </c>
      <c r="P43" s="3762">
        <v>29.0</v>
      </c>
      <c r="Q43" s="3798" t="s">
        <v>150</v>
      </c>
      <c r="R43" s="3763">
        <v>23.0</v>
      </c>
      <c r="S43" s="3798" t="s">
        <v>93</v>
      </c>
      <c r="T43" s="3762">
        <v>24.0</v>
      </c>
      <c r="U43" s="3798" t="s">
        <v>274</v>
      </c>
      <c r="V43" s="3762">
        <v>24.0</v>
      </c>
      <c r="W43" s="3798" t="s">
        <v>232</v>
      </c>
      <c r="X43" s="3762">
        <v>23.0</v>
      </c>
      <c r="Y43" s="3798" t="s">
        <v>86</v>
      </c>
      <c r="Z43" s="3761">
        <v>19.0</v>
      </c>
      <c r="AA43" s="3809">
        <v>2.0</v>
      </c>
      <c r="AB43" s="3810" t="s">
        <v>129</v>
      </c>
      <c r="AC43" s="3811">
        <v>16.0</v>
      </c>
      <c r="AD43" s="3810" t="s">
        <v>164</v>
      </c>
      <c r="AE43" s="3811">
        <v>16.0</v>
      </c>
      <c r="AF43" s="3810" t="s">
        <v>164</v>
      </c>
      <c r="AG43" s="3811">
        <v>11.0</v>
      </c>
      <c r="AH43" s="3810" t="s">
        <v>1114</v>
      </c>
      <c r="AI43" s="3811">
        <v>11.0</v>
      </c>
      <c r="AJ43" s="3813" t="s">
        <v>1114</v>
      </c>
      <c r="AK43" s="3709">
        <f>Fighters!$S42</f>
        <v>41</v>
      </c>
      <c r="AL43" s="3708">
        <f>Fighters!$T42</f>
        <v>36</v>
      </c>
      <c r="AM43" s="3710" t="str">
        <f>Fighters!$V42</f>
        <v>diddy</v>
      </c>
    </row>
    <row r="44">
      <c r="A44" s="3700">
        <f>Fighters!$A43</f>
        <v>37</v>
      </c>
      <c r="B44" s="3701" t="str">
        <f>Fighters!$B43</f>
        <v>リュカ</v>
      </c>
      <c r="C44" s="3798" t="s">
        <v>176</v>
      </c>
      <c r="D44" s="3762">
        <v>7.0</v>
      </c>
      <c r="E44" s="307" t="s">
        <v>176</v>
      </c>
      <c r="F44" s="3763">
        <v>19.0</v>
      </c>
      <c r="G44" s="3798" t="s">
        <v>93</v>
      </c>
      <c r="H44" s="3762">
        <v>24.0</v>
      </c>
      <c r="I44" s="3798" t="s">
        <v>232</v>
      </c>
      <c r="J44" s="3762">
        <v>24.0</v>
      </c>
      <c r="K44" s="3798" t="s">
        <v>129</v>
      </c>
      <c r="L44" s="3762">
        <v>23.0</v>
      </c>
      <c r="M44" s="3798" t="s">
        <v>93</v>
      </c>
      <c r="N44" s="3762">
        <v>19.0</v>
      </c>
      <c r="O44" s="3798" t="s">
        <v>150</v>
      </c>
      <c r="P44" s="3762">
        <v>29.0</v>
      </c>
      <c r="Q44" s="3798" t="s">
        <v>86</v>
      </c>
      <c r="R44" s="3763">
        <v>23.0</v>
      </c>
      <c r="S44" s="3798" t="s">
        <v>93</v>
      </c>
      <c r="T44" s="3762">
        <v>24.0</v>
      </c>
      <c r="U44" s="3798" t="s">
        <v>232</v>
      </c>
      <c r="V44" s="3762">
        <v>24.0</v>
      </c>
      <c r="W44" s="3798" t="s">
        <v>129</v>
      </c>
      <c r="X44" s="3762">
        <v>23.0</v>
      </c>
      <c r="Y44" s="3798" t="s">
        <v>93</v>
      </c>
      <c r="Z44" s="3761">
        <v>19.0</v>
      </c>
      <c r="AA44" s="3809">
        <v>2.0</v>
      </c>
      <c r="AB44" s="3810" t="s">
        <v>129</v>
      </c>
      <c r="AC44" s="3811">
        <v>14.0</v>
      </c>
      <c r="AD44" s="3810" t="s">
        <v>164</v>
      </c>
      <c r="AE44" s="3811">
        <v>14.0</v>
      </c>
      <c r="AF44" s="3810" t="s">
        <v>164</v>
      </c>
      <c r="AG44" s="3811">
        <v>11.0</v>
      </c>
      <c r="AH44" s="3810" t="s">
        <v>1114</v>
      </c>
      <c r="AI44" s="3811">
        <v>9.0</v>
      </c>
      <c r="AJ44" s="3813" t="s">
        <v>1114</v>
      </c>
      <c r="AK44" s="3709">
        <f>Fighters!$S43</f>
        <v>42</v>
      </c>
      <c r="AL44" s="3708">
        <f>Fighters!$T43</f>
        <v>37</v>
      </c>
      <c r="AM44" s="3710" t="str">
        <f>Fighters!$V43</f>
        <v>lucas</v>
      </c>
    </row>
    <row r="45">
      <c r="A45" s="3700">
        <f>Fighters!$A44</f>
        <v>38</v>
      </c>
      <c r="B45" s="3701" t="str">
        <f>Fighters!$B44</f>
        <v>ソニック</v>
      </c>
      <c r="C45" s="3798" t="s">
        <v>176</v>
      </c>
      <c r="D45" s="3762">
        <v>7.0</v>
      </c>
      <c r="E45" s="307" t="s">
        <v>176</v>
      </c>
      <c r="F45" s="3763">
        <v>19.0</v>
      </c>
      <c r="G45" s="3798" t="s">
        <v>80</v>
      </c>
      <c r="H45" s="3762">
        <v>24.0</v>
      </c>
      <c r="I45" s="3798" t="s">
        <v>232</v>
      </c>
      <c r="J45" s="3762">
        <v>24.0</v>
      </c>
      <c r="K45" s="3798" t="s">
        <v>129</v>
      </c>
      <c r="L45" s="3762">
        <v>23.0</v>
      </c>
      <c r="M45" s="3798" t="s">
        <v>93</v>
      </c>
      <c r="N45" s="3762">
        <v>19.0</v>
      </c>
      <c r="O45" s="3798" t="s">
        <v>150</v>
      </c>
      <c r="P45" s="3762">
        <v>29.0</v>
      </c>
      <c r="Q45" s="3798" t="s">
        <v>86</v>
      </c>
      <c r="R45" s="3763">
        <v>23.0</v>
      </c>
      <c r="S45" s="3798" t="s">
        <v>80</v>
      </c>
      <c r="T45" s="3762">
        <v>24.0</v>
      </c>
      <c r="U45" s="3798" t="s">
        <v>232</v>
      </c>
      <c r="V45" s="3762">
        <v>24.0</v>
      </c>
      <c r="W45" s="3798" t="s">
        <v>129</v>
      </c>
      <c r="X45" s="3762">
        <v>23.0</v>
      </c>
      <c r="Y45" s="3798" t="s">
        <v>93</v>
      </c>
      <c r="Z45" s="3761">
        <v>19.0</v>
      </c>
      <c r="AA45" s="3809">
        <v>3.0</v>
      </c>
      <c r="AB45" s="3810" t="s">
        <v>129</v>
      </c>
      <c r="AC45" s="3811">
        <v>14.0</v>
      </c>
      <c r="AD45" s="3810" t="s">
        <v>164</v>
      </c>
      <c r="AE45" s="3812">
        <v>16.0</v>
      </c>
      <c r="AF45" s="3810" t="s">
        <v>164</v>
      </c>
      <c r="AG45" s="3811">
        <v>11.0</v>
      </c>
      <c r="AH45" s="3810" t="s">
        <v>1114</v>
      </c>
      <c r="AI45" s="3811">
        <v>9.0</v>
      </c>
      <c r="AJ45" s="3813" t="s">
        <v>1114</v>
      </c>
      <c r="AK45" s="3709">
        <f>Fighters!$S44</f>
        <v>43</v>
      </c>
      <c r="AL45" s="3708">
        <f>Fighters!$T44</f>
        <v>38</v>
      </c>
      <c r="AM45" s="3710" t="str">
        <f>Fighters!$V44</f>
        <v>sonic</v>
      </c>
    </row>
    <row r="46">
      <c r="A46" s="3700">
        <f>Fighters!$A45</f>
        <v>39</v>
      </c>
      <c r="B46" s="3701" t="str">
        <f>Fighters!$B45</f>
        <v>デデデ</v>
      </c>
      <c r="C46" s="3798" t="s">
        <v>176</v>
      </c>
      <c r="D46" s="3762">
        <v>7.0</v>
      </c>
      <c r="E46" s="307" t="s">
        <v>176</v>
      </c>
      <c r="F46" s="3763">
        <v>19.0</v>
      </c>
      <c r="G46" s="3798" t="s">
        <v>128</v>
      </c>
      <c r="H46" s="3762">
        <v>24.0</v>
      </c>
      <c r="I46" s="3798" t="s">
        <v>119</v>
      </c>
      <c r="J46" s="3762">
        <v>24.0</v>
      </c>
      <c r="K46" s="3798" t="s">
        <v>386</v>
      </c>
      <c r="L46" s="3762">
        <v>23.0</v>
      </c>
      <c r="M46" s="3798" t="s">
        <v>80</v>
      </c>
      <c r="N46" s="3762">
        <v>19.0</v>
      </c>
      <c r="O46" s="3798" t="s">
        <v>86</v>
      </c>
      <c r="P46" s="3762">
        <v>29.0</v>
      </c>
      <c r="Q46" s="3798" t="s">
        <v>93</v>
      </c>
      <c r="R46" s="3763">
        <v>23.0</v>
      </c>
      <c r="S46" s="3798" t="s">
        <v>128</v>
      </c>
      <c r="T46" s="3762">
        <v>24.0</v>
      </c>
      <c r="U46" s="3798" t="s">
        <v>119</v>
      </c>
      <c r="V46" s="3762">
        <v>24.0</v>
      </c>
      <c r="W46" s="3798" t="s">
        <v>386</v>
      </c>
      <c r="X46" s="3762">
        <v>23.0</v>
      </c>
      <c r="Y46" s="3798" t="s">
        <v>80</v>
      </c>
      <c r="Z46" s="3761">
        <v>19.0</v>
      </c>
      <c r="AA46" s="3809">
        <v>3.0</v>
      </c>
      <c r="AB46" s="3810" t="s">
        <v>129</v>
      </c>
      <c r="AC46" s="3811">
        <v>16.0</v>
      </c>
      <c r="AD46" s="3810" t="s">
        <v>164</v>
      </c>
      <c r="AE46" s="3812">
        <v>17.0</v>
      </c>
      <c r="AF46" s="3810" t="s">
        <v>164</v>
      </c>
      <c r="AG46" s="3811">
        <v>11.0</v>
      </c>
      <c r="AH46" s="3810" t="s">
        <v>1114</v>
      </c>
      <c r="AI46" s="3811">
        <v>11.0</v>
      </c>
      <c r="AJ46" s="3813" t="s">
        <v>1114</v>
      </c>
      <c r="AK46" s="3709">
        <f>Fighters!$S45</f>
        <v>44</v>
      </c>
      <c r="AL46" s="3708">
        <f>Fighters!$T45</f>
        <v>39</v>
      </c>
      <c r="AM46" s="3710" t="str">
        <f>Fighters!$V45</f>
        <v>dedede</v>
      </c>
    </row>
    <row r="47">
      <c r="A47" s="3700">
        <f>Fighters!$A46</f>
        <v>40</v>
      </c>
      <c r="B47" s="3701" t="str">
        <f>Fighters!$B46</f>
        <v>ピクミン&amp;オリマー</v>
      </c>
      <c r="C47" s="3798" t="s">
        <v>176</v>
      </c>
      <c r="D47" s="3762">
        <v>7.0</v>
      </c>
      <c r="E47" s="307" t="s">
        <v>176</v>
      </c>
      <c r="F47" s="3763">
        <v>19.0</v>
      </c>
      <c r="G47" s="3798" t="s">
        <v>80</v>
      </c>
      <c r="H47" s="3762">
        <v>24.0</v>
      </c>
      <c r="I47" s="3798" t="s">
        <v>232</v>
      </c>
      <c r="J47" s="3762">
        <v>24.0</v>
      </c>
      <c r="K47" s="3798" t="s">
        <v>129</v>
      </c>
      <c r="L47" s="3762">
        <v>23.0</v>
      </c>
      <c r="M47" s="3798" t="s">
        <v>93</v>
      </c>
      <c r="N47" s="3762">
        <v>19.0</v>
      </c>
      <c r="O47" s="3798" t="s">
        <v>150</v>
      </c>
      <c r="P47" s="3762">
        <v>29.0</v>
      </c>
      <c r="Q47" s="3798" t="s">
        <v>86</v>
      </c>
      <c r="R47" s="3763">
        <v>23.0</v>
      </c>
      <c r="S47" s="3798" t="s">
        <v>80</v>
      </c>
      <c r="T47" s="3762">
        <v>24.0</v>
      </c>
      <c r="U47" s="3798" t="s">
        <v>232</v>
      </c>
      <c r="V47" s="3762">
        <v>24.0</v>
      </c>
      <c r="W47" s="3798" t="s">
        <v>129</v>
      </c>
      <c r="X47" s="3762">
        <v>23.0</v>
      </c>
      <c r="Y47" s="3798" t="s">
        <v>93</v>
      </c>
      <c r="Z47" s="3761">
        <v>19.0</v>
      </c>
      <c r="AA47" s="3809">
        <v>2.0</v>
      </c>
      <c r="AB47" s="3810" t="s">
        <v>129</v>
      </c>
      <c r="AC47" s="3811">
        <v>15.0</v>
      </c>
      <c r="AD47" s="3810" t="s">
        <v>164</v>
      </c>
      <c r="AE47" s="3812">
        <v>16.0</v>
      </c>
      <c r="AF47" s="3810" t="s">
        <v>164</v>
      </c>
      <c r="AG47" s="3811">
        <v>11.0</v>
      </c>
      <c r="AH47" s="3810" t="s">
        <v>1114</v>
      </c>
      <c r="AI47" s="3811">
        <v>11.0</v>
      </c>
      <c r="AJ47" s="3813" t="s">
        <v>1114</v>
      </c>
      <c r="AK47" s="3709">
        <f>Fighters!$S46</f>
        <v>45</v>
      </c>
      <c r="AL47" s="3708">
        <f>Fighters!$T46</f>
        <v>40</v>
      </c>
      <c r="AM47" s="3710" t="str">
        <f>Fighters!$V46</f>
        <v>pikmin</v>
      </c>
    </row>
    <row r="48">
      <c r="A48" s="3700">
        <f>Fighters!$A47</f>
        <v>41</v>
      </c>
      <c r="B48" s="3701" t="str">
        <f>Fighters!$B47</f>
        <v>ルカリオ</v>
      </c>
      <c r="C48" s="3798" t="s">
        <v>176</v>
      </c>
      <c r="D48" s="3762">
        <v>7.0</v>
      </c>
      <c r="E48" s="307" t="s">
        <v>176</v>
      </c>
      <c r="F48" s="3763">
        <v>19.0</v>
      </c>
      <c r="G48" s="3798" t="s">
        <v>80</v>
      </c>
      <c r="H48" s="3762">
        <v>24.0</v>
      </c>
      <c r="I48" s="3798" t="s">
        <v>232</v>
      </c>
      <c r="J48" s="3762">
        <v>24.0</v>
      </c>
      <c r="K48" s="3798" t="s">
        <v>129</v>
      </c>
      <c r="L48" s="3762">
        <v>23.0</v>
      </c>
      <c r="M48" s="3798" t="s">
        <v>93</v>
      </c>
      <c r="N48" s="3762">
        <v>19.0</v>
      </c>
      <c r="O48" s="3798" t="s">
        <v>150</v>
      </c>
      <c r="P48" s="3762">
        <v>29.0</v>
      </c>
      <c r="Q48" s="3798" t="s">
        <v>86</v>
      </c>
      <c r="R48" s="3763">
        <v>23.0</v>
      </c>
      <c r="S48" s="3798" t="s">
        <v>80</v>
      </c>
      <c r="T48" s="3762">
        <v>24.0</v>
      </c>
      <c r="U48" s="3798" t="s">
        <v>232</v>
      </c>
      <c r="V48" s="3762">
        <v>24.0</v>
      </c>
      <c r="W48" s="3798" t="s">
        <v>129</v>
      </c>
      <c r="X48" s="3762">
        <v>23.0</v>
      </c>
      <c r="Y48" s="3798" t="s">
        <v>93</v>
      </c>
      <c r="Z48" s="3761">
        <v>19.0</v>
      </c>
      <c r="AA48" s="3809">
        <v>2.0</v>
      </c>
      <c r="AB48" s="3810" t="s">
        <v>129</v>
      </c>
      <c r="AC48" s="3811">
        <v>16.0</v>
      </c>
      <c r="AD48" s="3810" t="s">
        <v>164</v>
      </c>
      <c r="AE48" s="3812">
        <v>17.0</v>
      </c>
      <c r="AF48" s="3810" t="s">
        <v>164</v>
      </c>
      <c r="AG48" s="3811">
        <v>11.0</v>
      </c>
      <c r="AH48" s="3810" t="s">
        <v>1114</v>
      </c>
      <c r="AI48" s="3811">
        <v>11.0</v>
      </c>
      <c r="AJ48" s="3813" t="s">
        <v>1114</v>
      </c>
      <c r="AK48" s="3709">
        <f>Fighters!$S47</f>
        <v>46</v>
      </c>
      <c r="AL48" s="3708">
        <f>Fighters!$T47</f>
        <v>41</v>
      </c>
      <c r="AM48" s="3710" t="str">
        <f>Fighters!$V47</f>
        <v>lucario</v>
      </c>
    </row>
    <row r="49">
      <c r="A49" s="3700">
        <f>Fighters!$A48</f>
        <v>42</v>
      </c>
      <c r="B49" s="3701" t="str">
        <f>Fighters!$B48</f>
        <v>ロボット</v>
      </c>
      <c r="C49" s="3798" t="s">
        <v>176</v>
      </c>
      <c r="D49" s="3762">
        <v>7.0</v>
      </c>
      <c r="E49" s="307" t="s">
        <v>176</v>
      </c>
      <c r="F49" s="3763">
        <v>19.0</v>
      </c>
      <c r="G49" s="3798" t="s">
        <v>93</v>
      </c>
      <c r="H49" s="3762">
        <v>24.0</v>
      </c>
      <c r="I49" s="3798" t="s">
        <v>274</v>
      </c>
      <c r="J49" s="3762">
        <v>24.0</v>
      </c>
      <c r="K49" s="3798" t="s">
        <v>232</v>
      </c>
      <c r="L49" s="3762">
        <v>23.0</v>
      </c>
      <c r="M49" s="3798" t="s">
        <v>86</v>
      </c>
      <c r="N49" s="3762">
        <v>19.0</v>
      </c>
      <c r="O49" s="3798" t="s">
        <v>73</v>
      </c>
      <c r="P49" s="3762">
        <v>29.0</v>
      </c>
      <c r="Q49" s="3798" t="s">
        <v>150</v>
      </c>
      <c r="R49" s="3763">
        <v>23.0</v>
      </c>
      <c r="S49" s="3798" t="s">
        <v>93</v>
      </c>
      <c r="T49" s="3762">
        <v>24.0</v>
      </c>
      <c r="U49" s="3798" t="s">
        <v>274</v>
      </c>
      <c r="V49" s="3762">
        <v>24.0</v>
      </c>
      <c r="W49" s="3798" t="s">
        <v>232</v>
      </c>
      <c r="X49" s="3762">
        <v>23.0</v>
      </c>
      <c r="Y49" s="3798" t="s">
        <v>86</v>
      </c>
      <c r="Z49" s="3761">
        <v>19.0</v>
      </c>
      <c r="AA49" s="3809">
        <v>2.0</v>
      </c>
      <c r="AB49" s="3810" t="s">
        <v>129</v>
      </c>
      <c r="AC49" s="3811">
        <v>16.0</v>
      </c>
      <c r="AD49" s="3810" t="s">
        <v>164</v>
      </c>
      <c r="AE49" s="3812">
        <v>17.0</v>
      </c>
      <c r="AF49" s="3810" t="s">
        <v>164</v>
      </c>
      <c r="AG49" s="3811">
        <v>11.0</v>
      </c>
      <c r="AH49" s="3810" t="s">
        <v>1114</v>
      </c>
      <c r="AI49" s="3811">
        <v>11.0</v>
      </c>
      <c r="AJ49" s="3813" t="s">
        <v>1114</v>
      </c>
      <c r="AK49" s="3709">
        <f>Fighters!$S48</f>
        <v>47</v>
      </c>
      <c r="AL49" s="3708">
        <f>Fighters!$T48</f>
        <v>42</v>
      </c>
      <c r="AM49" s="3710" t="str">
        <f>Fighters!$V48</f>
        <v>robot</v>
      </c>
    </row>
    <row r="50">
      <c r="A50" s="3700">
        <f>Fighters!$A49</f>
        <v>43</v>
      </c>
      <c r="B50" s="3701" t="str">
        <f>Fighters!$B49</f>
        <v>トゥーンリンク</v>
      </c>
      <c r="C50" s="3798" t="s">
        <v>176</v>
      </c>
      <c r="D50" s="3762">
        <v>7.0</v>
      </c>
      <c r="E50" s="307" t="s">
        <v>176</v>
      </c>
      <c r="F50" s="3763">
        <v>19.0</v>
      </c>
      <c r="G50" s="3798" t="s">
        <v>93</v>
      </c>
      <c r="H50" s="3762">
        <v>24.0</v>
      </c>
      <c r="I50" s="3798" t="s">
        <v>274</v>
      </c>
      <c r="J50" s="3762">
        <v>24.0</v>
      </c>
      <c r="K50" s="3798" t="s">
        <v>232</v>
      </c>
      <c r="L50" s="3762">
        <v>23.0</v>
      </c>
      <c r="M50" s="3798" t="s">
        <v>86</v>
      </c>
      <c r="N50" s="3762">
        <v>19.0</v>
      </c>
      <c r="O50" s="3798" t="s">
        <v>73</v>
      </c>
      <c r="P50" s="3762">
        <v>29.0</v>
      </c>
      <c r="Q50" s="3798" t="s">
        <v>150</v>
      </c>
      <c r="R50" s="3763">
        <v>23.0</v>
      </c>
      <c r="S50" s="3798" t="s">
        <v>93</v>
      </c>
      <c r="T50" s="3762">
        <v>24.0</v>
      </c>
      <c r="U50" s="3798" t="s">
        <v>274</v>
      </c>
      <c r="V50" s="3762">
        <v>24.0</v>
      </c>
      <c r="W50" s="3798" t="s">
        <v>232</v>
      </c>
      <c r="X50" s="3762">
        <v>23.0</v>
      </c>
      <c r="Y50" s="3798" t="s">
        <v>86</v>
      </c>
      <c r="Z50" s="3761">
        <v>19.0</v>
      </c>
      <c r="AA50" s="3809">
        <v>3.0</v>
      </c>
      <c r="AB50" s="3810" t="s">
        <v>129</v>
      </c>
      <c r="AC50" s="3811">
        <v>16.0</v>
      </c>
      <c r="AD50" s="3810" t="s">
        <v>164</v>
      </c>
      <c r="AE50" s="3812">
        <v>17.0</v>
      </c>
      <c r="AF50" s="3810" t="s">
        <v>164</v>
      </c>
      <c r="AG50" s="3811">
        <v>11.0</v>
      </c>
      <c r="AH50" s="3810" t="s">
        <v>1114</v>
      </c>
      <c r="AI50" s="3811">
        <v>11.0</v>
      </c>
      <c r="AJ50" s="3813" t="s">
        <v>1114</v>
      </c>
      <c r="AK50" s="3709">
        <f>Fighters!$S49</f>
        <v>48</v>
      </c>
      <c r="AL50" s="3708">
        <f>Fighters!$T49</f>
        <v>43</v>
      </c>
      <c r="AM50" s="3710" t="str">
        <f>Fighters!$V49</f>
        <v>toonlink</v>
      </c>
    </row>
    <row r="51">
      <c r="A51" s="3700">
        <f>Fighters!$A50</f>
        <v>44</v>
      </c>
      <c r="B51" s="3701" t="str">
        <f>Fighters!$B50</f>
        <v>ウルフ</v>
      </c>
      <c r="C51" s="3798" t="s">
        <v>176</v>
      </c>
      <c r="D51" s="3762">
        <v>7.0</v>
      </c>
      <c r="E51" s="307" t="s">
        <v>176</v>
      </c>
      <c r="F51" s="3763">
        <v>19.0</v>
      </c>
      <c r="G51" s="3798" t="s">
        <v>80</v>
      </c>
      <c r="H51" s="3762">
        <v>24.0</v>
      </c>
      <c r="I51" s="3798" t="s">
        <v>232</v>
      </c>
      <c r="J51" s="3762">
        <v>24.0</v>
      </c>
      <c r="K51" s="3798" t="s">
        <v>129</v>
      </c>
      <c r="L51" s="3762">
        <v>23.0</v>
      </c>
      <c r="M51" s="3798" t="s">
        <v>93</v>
      </c>
      <c r="N51" s="3762">
        <v>19.0</v>
      </c>
      <c r="O51" s="3798" t="s">
        <v>150</v>
      </c>
      <c r="P51" s="3762">
        <v>29.0</v>
      </c>
      <c r="Q51" s="3798" t="s">
        <v>86</v>
      </c>
      <c r="R51" s="3763">
        <v>23.0</v>
      </c>
      <c r="S51" s="3798" t="s">
        <v>80</v>
      </c>
      <c r="T51" s="3762">
        <v>24.0</v>
      </c>
      <c r="U51" s="3798" t="s">
        <v>232</v>
      </c>
      <c r="V51" s="3762">
        <v>24.0</v>
      </c>
      <c r="W51" s="3798" t="s">
        <v>129</v>
      </c>
      <c r="X51" s="3762">
        <v>23.0</v>
      </c>
      <c r="Y51" s="3798" t="s">
        <v>93</v>
      </c>
      <c r="Z51" s="3761">
        <v>19.0</v>
      </c>
      <c r="AA51" s="3809">
        <v>3.0</v>
      </c>
      <c r="AB51" s="3810" t="s">
        <v>129</v>
      </c>
      <c r="AC51" s="3811">
        <v>14.0</v>
      </c>
      <c r="AD51" s="3810" t="s">
        <v>164</v>
      </c>
      <c r="AE51" s="3812">
        <v>15.0</v>
      </c>
      <c r="AF51" s="3810" t="s">
        <v>164</v>
      </c>
      <c r="AG51" s="3811">
        <v>11.0</v>
      </c>
      <c r="AH51" s="3810" t="s">
        <v>1114</v>
      </c>
      <c r="AI51" s="3811">
        <v>9.0</v>
      </c>
      <c r="AJ51" s="3813" t="s">
        <v>1114</v>
      </c>
      <c r="AK51" s="3709">
        <f>Fighters!$S50</f>
        <v>49</v>
      </c>
      <c r="AL51" s="3708">
        <f>Fighters!$T50</f>
        <v>44</v>
      </c>
      <c r="AM51" s="3710" t="str">
        <f>Fighters!$V50</f>
        <v>wolf</v>
      </c>
    </row>
    <row r="52">
      <c r="A52" s="3700">
        <f>Fighters!$A51</f>
        <v>45</v>
      </c>
      <c r="B52" s="3701" t="str">
        <f>Fighters!$B51</f>
        <v>むらびと</v>
      </c>
      <c r="C52" s="3798" t="s">
        <v>176</v>
      </c>
      <c r="D52" s="3762">
        <v>7.0</v>
      </c>
      <c r="E52" s="307" t="s">
        <v>176</v>
      </c>
      <c r="F52" s="3763">
        <v>19.0</v>
      </c>
      <c r="G52" s="3798" t="s">
        <v>232</v>
      </c>
      <c r="H52" s="3762">
        <v>24.0</v>
      </c>
      <c r="I52" s="3798" t="s">
        <v>232</v>
      </c>
      <c r="J52" s="3762">
        <v>24.0</v>
      </c>
      <c r="K52" s="3798" t="s">
        <v>128</v>
      </c>
      <c r="L52" s="3762">
        <v>23.0</v>
      </c>
      <c r="M52" s="3798" t="s">
        <v>128</v>
      </c>
      <c r="N52" s="3762">
        <v>19.0</v>
      </c>
      <c r="O52" s="3798" t="s">
        <v>150</v>
      </c>
      <c r="P52" s="3762">
        <v>29.0</v>
      </c>
      <c r="Q52" s="3798" t="s">
        <v>86</v>
      </c>
      <c r="R52" s="3763">
        <v>23.0</v>
      </c>
      <c r="S52" s="3798" t="s">
        <v>232</v>
      </c>
      <c r="T52" s="3762">
        <v>24.0</v>
      </c>
      <c r="U52" s="3798" t="s">
        <v>232</v>
      </c>
      <c r="V52" s="3762">
        <v>24.0</v>
      </c>
      <c r="W52" s="3798" t="s">
        <v>128</v>
      </c>
      <c r="X52" s="3762">
        <v>23.0</v>
      </c>
      <c r="Y52" s="3798" t="s">
        <v>128</v>
      </c>
      <c r="Z52" s="3761">
        <v>19.0</v>
      </c>
      <c r="AA52" s="3809">
        <v>2.0</v>
      </c>
      <c r="AB52" s="3810" t="s">
        <v>129</v>
      </c>
      <c r="AC52" s="3811">
        <v>14.0</v>
      </c>
      <c r="AD52" s="3810" t="s">
        <v>164</v>
      </c>
      <c r="AE52" s="3811">
        <v>14.0</v>
      </c>
      <c r="AF52" s="3810" t="s">
        <v>164</v>
      </c>
      <c r="AG52" s="3811">
        <v>11.0</v>
      </c>
      <c r="AH52" s="3810" t="s">
        <v>1114</v>
      </c>
      <c r="AI52" s="3811">
        <v>9.0</v>
      </c>
      <c r="AJ52" s="3813" t="s">
        <v>1114</v>
      </c>
      <c r="AK52" s="3709">
        <f>Fighters!$S51</f>
        <v>50</v>
      </c>
      <c r="AL52" s="3708">
        <f>Fighters!$T51</f>
        <v>45</v>
      </c>
      <c r="AM52" s="3710" t="str">
        <f>Fighters!$V51</f>
        <v>murabito</v>
      </c>
    </row>
    <row r="53">
      <c r="A53" s="3700">
        <f>Fighters!$A52</f>
        <v>46</v>
      </c>
      <c r="B53" s="3701" t="str">
        <f>Fighters!$B52</f>
        <v>ロックマン</v>
      </c>
      <c r="C53" s="3798" t="s">
        <v>176</v>
      </c>
      <c r="D53" s="3762">
        <v>7.0</v>
      </c>
      <c r="E53" s="307" t="s">
        <v>176</v>
      </c>
      <c r="F53" s="3763">
        <v>19.0</v>
      </c>
      <c r="G53" s="3798" t="s">
        <v>232</v>
      </c>
      <c r="H53" s="3762">
        <v>24.0</v>
      </c>
      <c r="I53" s="3798" t="s">
        <v>232</v>
      </c>
      <c r="J53" s="3762">
        <v>24.0</v>
      </c>
      <c r="K53" s="3798" t="s">
        <v>232</v>
      </c>
      <c r="L53" s="3762">
        <v>23.0</v>
      </c>
      <c r="M53" s="3798" t="s">
        <v>232</v>
      </c>
      <c r="N53" s="3762">
        <v>19.0</v>
      </c>
      <c r="O53" s="3798" t="s">
        <v>232</v>
      </c>
      <c r="P53" s="3762">
        <v>29.0</v>
      </c>
      <c r="Q53" s="3798" t="s">
        <v>232</v>
      </c>
      <c r="R53" s="3763">
        <v>23.0</v>
      </c>
      <c r="S53" s="3798" t="s">
        <v>232</v>
      </c>
      <c r="T53" s="3762">
        <v>24.0</v>
      </c>
      <c r="U53" s="3798" t="s">
        <v>232</v>
      </c>
      <c r="V53" s="3762">
        <v>24.0</v>
      </c>
      <c r="W53" s="3798" t="s">
        <v>232</v>
      </c>
      <c r="X53" s="3762">
        <v>23.0</v>
      </c>
      <c r="Y53" s="3798" t="s">
        <v>232</v>
      </c>
      <c r="Z53" s="3761">
        <v>19.0</v>
      </c>
      <c r="AA53" s="3809">
        <v>3.0</v>
      </c>
      <c r="AB53" s="3810" t="s">
        <v>129</v>
      </c>
      <c r="AC53" s="3811">
        <v>14.0</v>
      </c>
      <c r="AD53" s="3810" t="s">
        <v>164</v>
      </c>
      <c r="AE53" s="3812">
        <v>15.0</v>
      </c>
      <c r="AF53" s="3810" t="s">
        <v>164</v>
      </c>
      <c r="AG53" s="3811">
        <v>11.0</v>
      </c>
      <c r="AH53" s="3810" t="s">
        <v>1114</v>
      </c>
      <c r="AI53" s="3811">
        <v>9.0</v>
      </c>
      <c r="AJ53" s="3813" t="s">
        <v>1114</v>
      </c>
      <c r="AK53" s="3709">
        <f>Fighters!$S52</f>
        <v>51</v>
      </c>
      <c r="AL53" s="3708">
        <f>Fighters!$T52</f>
        <v>46</v>
      </c>
      <c r="AM53" s="3710" t="str">
        <f>Fighters!$V52</f>
        <v>rockman</v>
      </c>
    </row>
    <row r="54">
      <c r="A54" s="3700">
        <f>Fighters!$A53</f>
        <v>47</v>
      </c>
      <c r="B54" s="3701" t="str">
        <f>Fighters!$B53</f>
        <v>Wii Fit トレーナー</v>
      </c>
      <c r="C54" s="3798" t="s">
        <v>176</v>
      </c>
      <c r="D54" s="3762">
        <v>7.0</v>
      </c>
      <c r="E54" s="307" t="s">
        <v>176</v>
      </c>
      <c r="F54" s="3763">
        <v>19.0</v>
      </c>
      <c r="G54" s="3798" t="s">
        <v>128</v>
      </c>
      <c r="H54" s="3762">
        <v>24.0</v>
      </c>
      <c r="I54" s="3798" t="s">
        <v>128</v>
      </c>
      <c r="J54" s="3762">
        <v>24.0</v>
      </c>
      <c r="K54" s="3798" t="s">
        <v>232</v>
      </c>
      <c r="L54" s="3762">
        <v>23.0</v>
      </c>
      <c r="M54" s="3798" t="s">
        <v>274</v>
      </c>
      <c r="N54" s="3762">
        <v>19.0</v>
      </c>
      <c r="O54" s="3798" t="s">
        <v>150</v>
      </c>
      <c r="P54" s="3762">
        <v>29.0</v>
      </c>
      <c r="Q54" s="3798" t="s">
        <v>150</v>
      </c>
      <c r="R54" s="3763">
        <v>23.0</v>
      </c>
      <c r="S54" s="3798" t="s">
        <v>128</v>
      </c>
      <c r="T54" s="3762">
        <v>24.0</v>
      </c>
      <c r="U54" s="3798" t="s">
        <v>128</v>
      </c>
      <c r="V54" s="3762">
        <v>24.0</v>
      </c>
      <c r="W54" s="3798" t="s">
        <v>232</v>
      </c>
      <c r="X54" s="3762">
        <v>23.0</v>
      </c>
      <c r="Y54" s="3798" t="s">
        <v>274</v>
      </c>
      <c r="Z54" s="3761">
        <v>19.0</v>
      </c>
      <c r="AA54" s="3809">
        <v>3.0</v>
      </c>
      <c r="AB54" s="3810" t="s">
        <v>129</v>
      </c>
      <c r="AC54" s="3811">
        <v>14.0</v>
      </c>
      <c r="AD54" s="3810" t="s">
        <v>164</v>
      </c>
      <c r="AE54" s="3811">
        <v>15.0</v>
      </c>
      <c r="AF54" s="3810" t="s">
        <v>164</v>
      </c>
      <c r="AG54" s="3811">
        <v>11.0</v>
      </c>
      <c r="AH54" s="3810" t="s">
        <v>1114</v>
      </c>
      <c r="AI54" s="3811">
        <v>13.0</v>
      </c>
      <c r="AJ54" s="3813" t="s">
        <v>1114</v>
      </c>
      <c r="AK54" s="3709">
        <f>Fighters!$S53</f>
        <v>52</v>
      </c>
      <c r="AL54" s="3708">
        <f>Fighters!$T53</f>
        <v>47</v>
      </c>
      <c r="AM54" s="3710" t="str">
        <f>Fighters!$V53</f>
        <v>wiifit</v>
      </c>
    </row>
    <row r="55">
      <c r="A55" s="3700">
        <f>Fighters!$A54</f>
        <v>48</v>
      </c>
      <c r="B55" s="3701" t="str">
        <f>Fighters!$B54</f>
        <v>ロゼッタ&amp;チコ</v>
      </c>
      <c r="C55" s="3798" t="s">
        <v>176</v>
      </c>
      <c r="D55" s="3762">
        <v>7.0</v>
      </c>
      <c r="E55" s="307" t="s">
        <v>176</v>
      </c>
      <c r="F55" s="3763">
        <v>19.0</v>
      </c>
      <c r="G55" s="3798" t="s">
        <v>80</v>
      </c>
      <c r="H55" s="3762">
        <v>24.0</v>
      </c>
      <c r="I55" s="3798" t="s">
        <v>232</v>
      </c>
      <c r="J55" s="3762">
        <v>24.0</v>
      </c>
      <c r="K55" s="3798" t="s">
        <v>232</v>
      </c>
      <c r="L55" s="3762">
        <v>23.0</v>
      </c>
      <c r="M55" s="3798" t="s">
        <v>128</v>
      </c>
      <c r="N55" s="3762">
        <v>19.0</v>
      </c>
      <c r="O55" s="3798" t="s">
        <v>128</v>
      </c>
      <c r="P55" s="3762">
        <v>29.0</v>
      </c>
      <c r="Q55" s="3798" t="s">
        <v>93</v>
      </c>
      <c r="R55" s="3763">
        <v>23.0</v>
      </c>
      <c r="S55" s="3798" t="s">
        <v>80</v>
      </c>
      <c r="T55" s="3762">
        <v>24.0</v>
      </c>
      <c r="U55" s="3798" t="s">
        <v>232</v>
      </c>
      <c r="V55" s="3762">
        <v>24.0</v>
      </c>
      <c r="W55" s="3798" t="s">
        <v>232</v>
      </c>
      <c r="X55" s="3762">
        <v>23.0</v>
      </c>
      <c r="Y55" s="3798" t="s">
        <v>128</v>
      </c>
      <c r="Z55" s="3761">
        <v>19.0</v>
      </c>
      <c r="AA55" s="3809">
        <v>3.0</v>
      </c>
      <c r="AB55" s="3810" t="s">
        <v>129</v>
      </c>
      <c r="AC55" s="3811">
        <v>14.0</v>
      </c>
      <c r="AD55" s="3810" t="s">
        <v>164</v>
      </c>
      <c r="AE55" s="3812">
        <v>17.0</v>
      </c>
      <c r="AF55" s="3810" t="s">
        <v>164</v>
      </c>
      <c r="AG55" s="3811">
        <v>11.0</v>
      </c>
      <c r="AH55" s="3810" t="s">
        <v>1114</v>
      </c>
      <c r="AI55" s="3811">
        <v>12.0</v>
      </c>
      <c r="AJ55" s="3813" t="s">
        <v>1114</v>
      </c>
      <c r="AK55" s="3709">
        <f>Fighters!$S54</f>
        <v>53</v>
      </c>
      <c r="AL55" s="3708">
        <f>Fighters!$T54</f>
        <v>48</v>
      </c>
      <c r="AM55" s="3710" t="str">
        <f>Fighters!$V54</f>
        <v>rosetta</v>
      </c>
    </row>
    <row r="56">
      <c r="A56" s="3700">
        <f>Fighters!$A55</f>
        <v>49</v>
      </c>
      <c r="B56" s="3701" t="str">
        <f>Fighters!$B55</f>
        <v>リトル・マック</v>
      </c>
      <c r="C56" s="3814" t="s">
        <v>204</v>
      </c>
      <c r="D56" s="3762">
        <v>7.0</v>
      </c>
      <c r="E56" s="307" t="s">
        <v>176</v>
      </c>
      <c r="F56" s="3763">
        <v>19.0</v>
      </c>
      <c r="G56" s="3798" t="s">
        <v>128</v>
      </c>
      <c r="H56" s="3762">
        <v>24.0</v>
      </c>
      <c r="I56" s="3798" t="s">
        <v>232</v>
      </c>
      <c r="J56" s="3762">
        <v>24.0</v>
      </c>
      <c r="K56" s="3798" t="s">
        <v>128</v>
      </c>
      <c r="L56" s="3762">
        <v>23.0</v>
      </c>
      <c r="M56" s="3798" t="s">
        <v>128</v>
      </c>
      <c r="N56" s="3762">
        <v>19.0</v>
      </c>
      <c r="O56" s="3798" t="s">
        <v>150</v>
      </c>
      <c r="P56" s="3762">
        <v>29.0</v>
      </c>
      <c r="Q56" s="3798" t="s">
        <v>86</v>
      </c>
      <c r="R56" s="3763">
        <v>23.0</v>
      </c>
      <c r="S56" s="3798" t="s">
        <v>128</v>
      </c>
      <c r="T56" s="3762">
        <v>24.0</v>
      </c>
      <c r="U56" s="3798" t="s">
        <v>232</v>
      </c>
      <c r="V56" s="3762">
        <v>24.0</v>
      </c>
      <c r="W56" s="3798" t="s">
        <v>128</v>
      </c>
      <c r="X56" s="3762">
        <v>23.0</v>
      </c>
      <c r="Y56" s="3798" t="s">
        <v>128</v>
      </c>
      <c r="Z56" s="3761">
        <v>19.0</v>
      </c>
      <c r="AA56" s="3809">
        <v>3.0</v>
      </c>
      <c r="AB56" s="3810" t="s">
        <v>129</v>
      </c>
      <c r="AC56" s="3811">
        <v>18.0</v>
      </c>
      <c r="AD56" s="3810" t="s">
        <v>164</v>
      </c>
      <c r="AE56" s="3811">
        <v>16.0</v>
      </c>
      <c r="AF56" s="3810" t="s">
        <v>164</v>
      </c>
      <c r="AG56" s="3811">
        <v>11.0</v>
      </c>
      <c r="AH56" s="3810" t="s">
        <v>1114</v>
      </c>
      <c r="AI56" s="3811">
        <v>15.0</v>
      </c>
      <c r="AJ56" s="3813" t="s">
        <v>1114</v>
      </c>
      <c r="AK56" s="3709">
        <f>Fighters!$S55</f>
        <v>54</v>
      </c>
      <c r="AL56" s="3708">
        <f>Fighters!$T55</f>
        <v>49</v>
      </c>
      <c r="AM56" s="3710" t="str">
        <f>Fighters!$V55</f>
        <v>littlemac</v>
      </c>
    </row>
    <row r="57">
      <c r="A57" s="3700">
        <f>Fighters!$A56</f>
        <v>50</v>
      </c>
      <c r="B57" s="3701" t="str">
        <f>Fighters!$B56</f>
        <v>ゲッコウガ</v>
      </c>
      <c r="C57" s="3814" t="s">
        <v>204</v>
      </c>
      <c r="D57" s="3762">
        <v>7.0</v>
      </c>
      <c r="E57" s="307" t="s">
        <v>176</v>
      </c>
      <c r="F57" s="3763">
        <v>19.0</v>
      </c>
      <c r="G57" s="3798" t="s">
        <v>128</v>
      </c>
      <c r="H57" s="3762">
        <v>24.0</v>
      </c>
      <c r="I57" s="3798" t="s">
        <v>119</v>
      </c>
      <c r="J57" s="3762">
        <v>24.0</v>
      </c>
      <c r="K57" s="3798" t="s">
        <v>386</v>
      </c>
      <c r="L57" s="3762">
        <v>23.0</v>
      </c>
      <c r="M57" s="3798" t="s">
        <v>80</v>
      </c>
      <c r="N57" s="3762">
        <v>19.0</v>
      </c>
      <c r="O57" s="3798" t="s">
        <v>150</v>
      </c>
      <c r="P57" s="3762">
        <v>29.0</v>
      </c>
      <c r="Q57" s="3798" t="s">
        <v>93</v>
      </c>
      <c r="R57" s="3763">
        <v>23.0</v>
      </c>
      <c r="S57" s="3798" t="s">
        <v>128</v>
      </c>
      <c r="T57" s="3762">
        <v>24.0</v>
      </c>
      <c r="U57" s="3798" t="s">
        <v>119</v>
      </c>
      <c r="V57" s="3762">
        <v>24.0</v>
      </c>
      <c r="W57" s="3798" t="s">
        <v>386</v>
      </c>
      <c r="X57" s="3762">
        <v>23.0</v>
      </c>
      <c r="Y57" s="3798" t="s">
        <v>80</v>
      </c>
      <c r="Z57" s="3761">
        <v>19.0</v>
      </c>
      <c r="AA57" s="3809">
        <v>5.0</v>
      </c>
      <c r="AB57" s="3810" t="s">
        <v>129</v>
      </c>
      <c r="AC57" s="3811">
        <v>18.0</v>
      </c>
      <c r="AD57" s="3810" t="s">
        <v>164</v>
      </c>
      <c r="AE57" s="3811">
        <v>16.0</v>
      </c>
      <c r="AF57" s="3810" t="s">
        <v>164</v>
      </c>
      <c r="AG57" s="3811">
        <v>12.0</v>
      </c>
      <c r="AH57" s="3810" t="s">
        <v>1114</v>
      </c>
      <c r="AI57" s="3811">
        <v>11.0</v>
      </c>
      <c r="AJ57" s="3813" t="s">
        <v>1114</v>
      </c>
      <c r="AK57" s="3709">
        <f>Fighters!$S56</f>
        <v>55</v>
      </c>
      <c r="AL57" s="3708">
        <f>Fighters!$T56</f>
        <v>50</v>
      </c>
      <c r="AM57" s="3710" t="str">
        <f>Fighters!$V56</f>
        <v>gekkouga</v>
      </c>
    </row>
    <row r="58">
      <c r="A58" s="3700">
        <f>Fighters!$A57</f>
        <v>51</v>
      </c>
      <c r="B58" s="3701" t="str">
        <f>Fighters!$B57</f>
        <v>格闘Mii</v>
      </c>
      <c r="C58" s="3798" t="s">
        <v>176</v>
      </c>
      <c r="D58" s="3762">
        <v>7.0</v>
      </c>
      <c r="E58" s="307" t="s">
        <v>176</v>
      </c>
      <c r="F58" s="3763">
        <v>19.0</v>
      </c>
      <c r="G58" s="3798" t="s">
        <v>80</v>
      </c>
      <c r="H58" s="3762">
        <v>24.0</v>
      </c>
      <c r="I58" s="3798" t="s">
        <v>232</v>
      </c>
      <c r="J58" s="3762">
        <v>24.0</v>
      </c>
      <c r="K58" s="3798" t="s">
        <v>129</v>
      </c>
      <c r="L58" s="3762">
        <v>23.0</v>
      </c>
      <c r="M58" s="3798" t="s">
        <v>93</v>
      </c>
      <c r="N58" s="3762">
        <v>19.0</v>
      </c>
      <c r="O58" s="3798" t="s">
        <v>150</v>
      </c>
      <c r="P58" s="3762">
        <v>29.0</v>
      </c>
      <c r="Q58" s="3798" t="s">
        <v>86</v>
      </c>
      <c r="R58" s="3763">
        <v>23.0</v>
      </c>
      <c r="S58" s="3798" t="s">
        <v>80</v>
      </c>
      <c r="T58" s="3762">
        <v>24.0</v>
      </c>
      <c r="U58" s="3798" t="s">
        <v>232</v>
      </c>
      <c r="V58" s="3762">
        <v>24.0</v>
      </c>
      <c r="W58" s="3798" t="s">
        <v>129</v>
      </c>
      <c r="X58" s="3762">
        <v>23.0</v>
      </c>
      <c r="Y58" s="3798" t="s">
        <v>93</v>
      </c>
      <c r="Z58" s="3761">
        <v>19.0</v>
      </c>
      <c r="AA58" s="3809">
        <v>3.0</v>
      </c>
      <c r="AB58" s="3810" t="s">
        <v>129</v>
      </c>
      <c r="AC58" s="3811">
        <v>14.0</v>
      </c>
      <c r="AD58" s="3810" t="s">
        <v>164</v>
      </c>
      <c r="AE58" s="3812">
        <v>15.0</v>
      </c>
      <c r="AF58" s="3810" t="s">
        <v>164</v>
      </c>
      <c r="AG58" s="3811">
        <v>11.0</v>
      </c>
      <c r="AH58" s="3810" t="s">
        <v>1114</v>
      </c>
      <c r="AI58" s="3811">
        <v>9.0</v>
      </c>
      <c r="AJ58" s="3813" t="s">
        <v>1114</v>
      </c>
      <c r="AK58" s="3709">
        <f>Fighters!$S57</f>
        <v>56</v>
      </c>
      <c r="AL58" s="3708">
        <f>Fighters!$T57</f>
        <v>73</v>
      </c>
      <c r="AM58" s="3710" t="str">
        <f>Fighters!$V57</f>
        <v>miifighter</v>
      </c>
    </row>
    <row r="59">
      <c r="A59" s="3700">
        <f>Fighters!$A58</f>
        <v>52</v>
      </c>
      <c r="B59" s="3701" t="str">
        <f>Fighters!$B58</f>
        <v>剣術Mii</v>
      </c>
      <c r="C59" s="3798" t="s">
        <v>176</v>
      </c>
      <c r="D59" s="3762">
        <v>7.0</v>
      </c>
      <c r="E59" s="307" t="s">
        <v>176</v>
      </c>
      <c r="F59" s="3763">
        <v>19.0</v>
      </c>
      <c r="G59" s="3798" t="s">
        <v>128</v>
      </c>
      <c r="H59" s="3762">
        <v>24.0</v>
      </c>
      <c r="I59" s="3798" t="s">
        <v>119</v>
      </c>
      <c r="J59" s="3762">
        <v>24.0</v>
      </c>
      <c r="K59" s="3798" t="s">
        <v>386</v>
      </c>
      <c r="L59" s="3762">
        <v>23.0</v>
      </c>
      <c r="M59" s="3798" t="s">
        <v>80</v>
      </c>
      <c r="N59" s="3762">
        <v>19.0</v>
      </c>
      <c r="O59" s="3798" t="s">
        <v>86</v>
      </c>
      <c r="P59" s="3762">
        <v>29.0</v>
      </c>
      <c r="Q59" s="3798" t="s">
        <v>150</v>
      </c>
      <c r="R59" s="3763">
        <v>23.0</v>
      </c>
      <c r="S59" s="3798" t="s">
        <v>128</v>
      </c>
      <c r="T59" s="3762">
        <v>24.0</v>
      </c>
      <c r="U59" s="3798" t="s">
        <v>119</v>
      </c>
      <c r="V59" s="3762">
        <v>24.0</v>
      </c>
      <c r="W59" s="3798" t="s">
        <v>386</v>
      </c>
      <c r="X59" s="3762">
        <v>23.0</v>
      </c>
      <c r="Y59" s="3798" t="s">
        <v>80</v>
      </c>
      <c r="Z59" s="3761">
        <v>19.0</v>
      </c>
      <c r="AA59" s="3809">
        <v>3.0</v>
      </c>
      <c r="AB59" s="3810" t="s">
        <v>129</v>
      </c>
      <c r="AC59" s="3811">
        <v>14.0</v>
      </c>
      <c r="AD59" s="3810" t="s">
        <v>164</v>
      </c>
      <c r="AE59" s="3812">
        <v>15.0</v>
      </c>
      <c r="AF59" s="3810" t="s">
        <v>164</v>
      </c>
      <c r="AG59" s="3811">
        <v>11.0</v>
      </c>
      <c r="AH59" s="3810" t="s">
        <v>1114</v>
      </c>
      <c r="AI59" s="3811">
        <v>9.0</v>
      </c>
      <c r="AJ59" s="3813" t="s">
        <v>1114</v>
      </c>
      <c r="AK59" s="3709">
        <f>Fighters!$S58</f>
        <v>57</v>
      </c>
      <c r="AL59" s="3708">
        <f>Fighters!$T58</f>
        <v>74</v>
      </c>
      <c r="AM59" s="3710" t="str">
        <f>Fighters!$V58</f>
        <v>miiswordsman</v>
      </c>
    </row>
    <row r="60">
      <c r="A60" s="3700">
        <f>Fighters!$A59</f>
        <v>53</v>
      </c>
      <c r="B60" s="3701" t="str">
        <f>Fighters!$B59</f>
        <v>射撃Mii</v>
      </c>
      <c r="C60" s="3798" t="s">
        <v>176</v>
      </c>
      <c r="D60" s="3762">
        <v>7.0</v>
      </c>
      <c r="E60" s="307" t="s">
        <v>176</v>
      </c>
      <c r="F60" s="3763">
        <v>19.0</v>
      </c>
      <c r="G60" s="3798" t="s">
        <v>80</v>
      </c>
      <c r="H60" s="3762">
        <v>24.0</v>
      </c>
      <c r="I60" s="3798" t="s">
        <v>232</v>
      </c>
      <c r="J60" s="3762">
        <v>24.0</v>
      </c>
      <c r="K60" s="3798" t="s">
        <v>129</v>
      </c>
      <c r="L60" s="3762">
        <v>23.0</v>
      </c>
      <c r="M60" s="3798" t="s">
        <v>93</v>
      </c>
      <c r="N60" s="3762">
        <v>19.0</v>
      </c>
      <c r="O60" s="3798" t="s">
        <v>150</v>
      </c>
      <c r="P60" s="3762">
        <v>29.0</v>
      </c>
      <c r="Q60" s="3798" t="s">
        <v>150</v>
      </c>
      <c r="R60" s="3763">
        <v>23.0</v>
      </c>
      <c r="S60" s="3798" t="s">
        <v>80</v>
      </c>
      <c r="T60" s="3762">
        <v>24.0</v>
      </c>
      <c r="U60" s="3798" t="s">
        <v>232</v>
      </c>
      <c r="V60" s="3762">
        <v>24.0</v>
      </c>
      <c r="W60" s="3798" t="s">
        <v>129</v>
      </c>
      <c r="X60" s="3762">
        <v>23.0</v>
      </c>
      <c r="Y60" s="3798" t="s">
        <v>93</v>
      </c>
      <c r="Z60" s="3761">
        <v>19.0</v>
      </c>
      <c r="AA60" s="3809">
        <v>3.0</v>
      </c>
      <c r="AB60" s="3810" t="s">
        <v>129</v>
      </c>
      <c r="AC60" s="3811">
        <v>14.0</v>
      </c>
      <c r="AD60" s="3810" t="s">
        <v>164</v>
      </c>
      <c r="AE60" s="3812">
        <v>15.0</v>
      </c>
      <c r="AF60" s="3810" t="s">
        <v>164</v>
      </c>
      <c r="AG60" s="3811">
        <v>11.0</v>
      </c>
      <c r="AH60" s="3810" t="s">
        <v>1114</v>
      </c>
      <c r="AI60" s="3811">
        <v>9.0</v>
      </c>
      <c r="AJ60" s="3813" t="s">
        <v>1114</v>
      </c>
      <c r="AK60" s="3709">
        <f>Fighters!$S59</f>
        <v>58</v>
      </c>
      <c r="AL60" s="3708">
        <f>Fighters!$T59</f>
        <v>75</v>
      </c>
      <c r="AM60" s="3710" t="str">
        <f>Fighters!$V59</f>
        <v>miigunner</v>
      </c>
    </row>
    <row r="61">
      <c r="A61" s="3700">
        <f>Fighters!$A60</f>
        <v>54</v>
      </c>
      <c r="B61" s="3701" t="str">
        <f>Fighters!$B60</f>
        <v>パルテナ</v>
      </c>
      <c r="C61" s="3798" t="s">
        <v>176</v>
      </c>
      <c r="D61" s="3762">
        <v>7.0</v>
      </c>
      <c r="E61" s="307" t="s">
        <v>176</v>
      </c>
      <c r="F61" s="3763">
        <v>19.0</v>
      </c>
      <c r="G61" s="3798" t="s">
        <v>93</v>
      </c>
      <c r="H61" s="3762">
        <v>24.0</v>
      </c>
      <c r="I61" s="3798" t="s">
        <v>274</v>
      </c>
      <c r="J61" s="3762">
        <v>24.0</v>
      </c>
      <c r="K61" s="3798" t="s">
        <v>232</v>
      </c>
      <c r="L61" s="3762">
        <v>23.0</v>
      </c>
      <c r="M61" s="3798" t="s">
        <v>86</v>
      </c>
      <c r="N61" s="3762">
        <v>19.0</v>
      </c>
      <c r="O61" s="3798" t="s">
        <v>73</v>
      </c>
      <c r="P61" s="3762">
        <v>29.0</v>
      </c>
      <c r="Q61" s="3798" t="s">
        <v>150</v>
      </c>
      <c r="R61" s="3763">
        <v>23.0</v>
      </c>
      <c r="S61" s="3798" t="s">
        <v>93</v>
      </c>
      <c r="T61" s="3762">
        <v>24.0</v>
      </c>
      <c r="U61" s="3798" t="s">
        <v>274</v>
      </c>
      <c r="V61" s="3762">
        <v>24.0</v>
      </c>
      <c r="W61" s="3798" t="s">
        <v>232</v>
      </c>
      <c r="X61" s="3762">
        <v>23.0</v>
      </c>
      <c r="Y61" s="3798" t="s">
        <v>86</v>
      </c>
      <c r="Z61" s="3761">
        <v>19.0</v>
      </c>
      <c r="AA61" s="3809">
        <v>2.0</v>
      </c>
      <c r="AB61" s="3810" t="s">
        <v>129</v>
      </c>
      <c r="AC61" s="3811">
        <v>16.0</v>
      </c>
      <c r="AD61" s="3810" t="s">
        <v>164</v>
      </c>
      <c r="AE61" s="3811">
        <v>16.0</v>
      </c>
      <c r="AF61" s="3810" t="s">
        <v>164</v>
      </c>
      <c r="AG61" s="3811">
        <v>11.0</v>
      </c>
      <c r="AH61" s="3810" t="s">
        <v>1114</v>
      </c>
      <c r="AI61" s="3811">
        <v>11.0</v>
      </c>
      <c r="AJ61" s="3813" t="s">
        <v>1114</v>
      </c>
      <c r="AK61" s="3709">
        <f>Fighters!$S60</f>
        <v>59</v>
      </c>
      <c r="AL61" s="3708">
        <f>Fighters!$T60</f>
        <v>51</v>
      </c>
      <c r="AM61" s="3710" t="str">
        <f>Fighters!$V60</f>
        <v>palutena</v>
      </c>
    </row>
    <row r="62">
      <c r="A62" s="3700">
        <f>Fighters!$A61</f>
        <v>55</v>
      </c>
      <c r="B62" s="3701" t="str">
        <f>Fighters!$B61</f>
        <v>パックマン</v>
      </c>
      <c r="C62" s="3798" t="s">
        <v>176</v>
      </c>
      <c r="D62" s="3762">
        <v>7.0</v>
      </c>
      <c r="E62" s="307" t="s">
        <v>176</v>
      </c>
      <c r="F62" s="3763">
        <v>19.0</v>
      </c>
      <c r="G62" s="3798" t="s">
        <v>80</v>
      </c>
      <c r="H62" s="3762">
        <v>24.0</v>
      </c>
      <c r="I62" s="3798" t="s">
        <v>232</v>
      </c>
      <c r="J62" s="3762">
        <v>24.0</v>
      </c>
      <c r="K62" s="3798" t="s">
        <v>129</v>
      </c>
      <c r="L62" s="3762">
        <v>23.0</v>
      </c>
      <c r="M62" s="3798" t="s">
        <v>93</v>
      </c>
      <c r="N62" s="3762">
        <v>19.0</v>
      </c>
      <c r="O62" s="3798" t="s">
        <v>150</v>
      </c>
      <c r="P62" s="3762">
        <v>29.0</v>
      </c>
      <c r="Q62" s="3798" t="s">
        <v>86</v>
      </c>
      <c r="R62" s="3763">
        <v>23.0</v>
      </c>
      <c r="S62" s="3798" t="s">
        <v>80</v>
      </c>
      <c r="T62" s="3762">
        <v>24.0</v>
      </c>
      <c r="U62" s="3798" t="s">
        <v>232</v>
      </c>
      <c r="V62" s="3762">
        <v>24.0</v>
      </c>
      <c r="W62" s="3798" t="s">
        <v>129</v>
      </c>
      <c r="X62" s="3762">
        <v>23.0</v>
      </c>
      <c r="Y62" s="3798" t="s">
        <v>93</v>
      </c>
      <c r="Z62" s="3761">
        <v>19.0</v>
      </c>
      <c r="AA62" s="3809">
        <v>3.0</v>
      </c>
      <c r="AB62" s="3810" t="s">
        <v>129</v>
      </c>
      <c r="AC62" s="3811">
        <v>14.0</v>
      </c>
      <c r="AD62" s="3810" t="s">
        <v>164</v>
      </c>
      <c r="AE62" s="3812">
        <v>15.0</v>
      </c>
      <c r="AF62" s="3810" t="s">
        <v>164</v>
      </c>
      <c r="AG62" s="3811">
        <v>11.0</v>
      </c>
      <c r="AH62" s="3810" t="s">
        <v>1114</v>
      </c>
      <c r="AI62" s="3811">
        <v>9.0</v>
      </c>
      <c r="AJ62" s="3813" t="s">
        <v>1114</v>
      </c>
      <c r="AK62" s="3709">
        <f>Fighters!$S61</f>
        <v>60</v>
      </c>
      <c r="AL62" s="3708">
        <f>Fighters!$T61</f>
        <v>52</v>
      </c>
      <c r="AM62" s="3710" t="str">
        <f>Fighters!$V61</f>
        <v>pacman</v>
      </c>
    </row>
    <row r="63">
      <c r="A63" s="3700">
        <f>Fighters!$A62</f>
        <v>56</v>
      </c>
      <c r="B63" s="3701" t="str">
        <f>Fighters!$B62</f>
        <v>ルフレ</v>
      </c>
      <c r="C63" s="3814" t="s">
        <v>204</v>
      </c>
      <c r="D63" s="3762">
        <v>7.0</v>
      </c>
      <c r="E63" s="307" t="s">
        <v>176</v>
      </c>
      <c r="F63" s="3763">
        <v>19.0</v>
      </c>
      <c r="G63" s="3798" t="s">
        <v>128</v>
      </c>
      <c r="H63" s="3762">
        <v>24.0</v>
      </c>
      <c r="I63" s="3798" t="s">
        <v>119</v>
      </c>
      <c r="J63" s="3762">
        <v>24.0</v>
      </c>
      <c r="K63" s="3798" t="s">
        <v>386</v>
      </c>
      <c r="L63" s="3762">
        <v>23.0</v>
      </c>
      <c r="M63" s="3798" t="s">
        <v>80</v>
      </c>
      <c r="N63" s="3762">
        <v>19.0</v>
      </c>
      <c r="O63" s="3798" t="s">
        <v>86</v>
      </c>
      <c r="P63" s="3762">
        <v>29.0</v>
      </c>
      <c r="Q63" s="3798" t="s">
        <v>93</v>
      </c>
      <c r="R63" s="3763">
        <v>23.0</v>
      </c>
      <c r="S63" s="3798" t="s">
        <v>128</v>
      </c>
      <c r="T63" s="3762">
        <v>24.0</v>
      </c>
      <c r="U63" s="3798" t="s">
        <v>119</v>
      </c>
      <c r="V63" s="3762">
        <v>24.0</v>
      </c>
      <c r="W63" s="3798" t="s">
        <v>386</v>
      </c>
      <c r="X63" s="3762">
        <v>23.0</v>
      </c>
      <c r="Y63" s="3798" t="s">
        <v>80</v>
      </c>
      <c r="Z63" s="3761">
        <v>19.0</v>
      </c>
      <c r="AA63" s="3809">
        <v>5.0</v>
      </c>
      <c r="AB63" s="3810" t="s">
        <v>129</v>
      </c>
      <c r="AC63" s="3811">
        <v>18.0</v>
      </c>
      <c r="AD63" s="3810" t="s">
        <v>164</v>
      </c>
      <c r="AE63" s="3811">
        <v>16.0</v>
      </c>
      <c r="AF63" s="3810" t="s">
        <v>164</v>
      </c>
      <c r="AG63" s="3811">
        <v>12.0</v>
      </c>
      <c r="AH63" s="3810" t="s">
        <v>1114</v>
      </c>
      <c r="AI63" s="3811">
        <v>11.0</v>
      </c>
      <c r="AJ63" s="3813" t="s">
        <v>1114</v>
      </c>
      <c r="AK63" s="3709">
        <f>Fighters!$S62</f>
        <v>61</v>
      </c>
      <c r="AL63" s="3708">
        <f>Fighters!$T62</f>
        <v>53</v>
      </c>
      <c r="AM63" s="3710" t="str">
        <f>Fighters!$V62</f>
        <v>reflet</v>
      </c>
    </row>
    <row r="64">
      <c r="A64" s="3700">
        <f>Fighters!$A63</f>
        <v>57</v>
      </c>
      <c r="B64" s="3701" t="str">
        <f>Fighters!$B63</f>
        <v>シュルク</v>
      </c>
      <c r="C64" s="3798" t="s">
        <v>176</v>
      </c>
      <c r="D64" s="3762">
        <v>7.0</v>
      </c>
      <c r="E64" s="307" t="s">
        <v>176</v>
      </c>
      <c r="F64" s="3763">
        <v>19.0</v>
      </c>
      <c r="G64" s="3798" t="s">
        <v>128</v>
      </c>
      <c r="H64" s="3762">
        <v>24.0</v>
      </c>
      <c r="I64" s="3798" t="s">
        <v>228</v>
      </c>
      <c r="J64" s="3762">
        <v>24.0</v>
      </c>
      <c r="K64" s="3798" t="s">
        <v>386</v>
      </c>
      <c r="L64" s="3762">
        <v>23.0</v>
      </c>
      <c r="M64" s="3798" t="s">
        <v>80</v>
      </c>
      <c r="N64" s="3762">
        <v>19.0</v>
      </c>
      <c r="O64" s="3798" t="s">
        <v>86</v>
      </c>
      <c r="P64" s="3762">
        <v>29.0</v>
      </c>
      <c r="Q64" s="3798" t="s">
        <v>86</v>
      </c>
      <c r="R64" s="3763">
        <v>23.0</v>
      </c>
      <c r="S64" s="3798" t="s">
        <v>128</v>
      </c>
      <c r="T64" s="3762">
        <v>24.0</v>
      </c>
      <c r="U64" s="3798" t="s">
        <v>228</v>
      </c>
      <c r="V64" s="3762">
        <v>24.0</v>
      </c>
      <c r="W64" s="3798" t="s">
        <v>386</v>
      </c>
      <c r="X64" s="3762">
        <v>23.0</v>
      </c>
      <c r="Y64" s="3798" t="s">
        <v>80</v>
      </c>
      <c r="Z64" s="3761">
        <v>19.0</v>
      </c>
      <c r="AA64" s="3809">
        <v>3.0</v>
      </c>
      <c r="AB64" s="3810" t="s">
        <v>129</v>
      </c>
      <c r="AC64" s="3811">
        <v>17.0</v>
      </c>
      <c r="AD64" s="3810" t="s">
        <v>164</v>
      </c>
      <c r="AE64" s="3812">
        <v>17.0</v>
      </c>
      <c r="AF64" s="3810" t="s">
        <v>164</v>
      </c>
      <c r="AG64" s="3811">
        <v>11.0</v>
      </c>
      <c r="AH64" s="3810" t="s">
        <v>1114</v>
      </c>
      <c r="AI64" s="3811">
        <v>11.0</v>
      </c>
      <c r="AJ64" s="3813" t="s">
        <v>1114</v>
      </c>
      <c r="AK64" s="3709">
        <f>Fighters!$S63</f>
        <v>62</v>
      </c>
      <c r="AL64" s="3708">
        <f>Fighters!$T63</f>
        <v>54</v>
      </c>
      <c r="AM64" s="3710" t="str">
        <f>Fighters!$V63</f>
        <v>shulk</v>
      </c>
    </row>
    <row r="65">
      <c r="A65" s="3700">
        <f>Fighters!$A64</f>
        <v>58</v>
      </c>
      <c r="B65" s="3701" t="str">
        <f>Fighters!$B64</f>
        <v>クッパ Jr.</v>
      </c>
      <c r="C65" s="3798" t="s">
        <v>176</v>
      </c>
      <c r="D65" s="3762">
        <v>7.0</v>
      </c>
      <c r="E65" s="307" t="s">
        <v>176</v>
      </c>
      <c r="F65" s="3763">
        <v>19.0</v>
      </c>
      <c r="G65" s="3798" t="s">
        <v>80</v>
      </c>
      <c r="H65" s="3762">
        <v>24.0</v>
      </c>
      <c r="I65" s="3798" t="s">
        <v>232</v>
      </c>
      <c r="J65" s="3762">
        <v>24.0</v>
      </c>
      <c r="K65" s="3798" t="s">
        <v>129</v>
      </c>
      <c r="L65" s="3762">
        <v>23.0</v>
      </c>
      <c r="M65" s="3798" t="s">
        <v>93</v>
      </c>
      <c r="N65" s="3762">
        <v>19.0</v>
      </c>
      <c r="O65" s="3798" t="s">
        <v>150</v>
      </c>
      <c r="P65" s="3762">
        <v>29.0</v>
      </c>
      <c r="Q65" s="3798" t="s">
        <v>86</v>
      </c>
      <c r="R65" s="3763">
        <v>23.0</v>
      </c>
      <c r="S65" s="3798" t="s">
        <v>80</v>
      </c>
      <c r="T65" s="3762">
        <v>24.0</v>
      </c>
      <c r="U65" s="3798" t="s">
        <v>232</v>
      </c>
      <c r="V65" s="3762">
        <v>24.0</v>
      </c>
      <c r="W65" s="3798" t="s">
        <v>129</v>
      </c>
      <c r="X65" s="3762">
        <v>23.0</v>
      </c>
      <c r="Y65" s="3798" t="s">
        <v>93</v>
      </c>
      <c r="Z65" s="3761">
        <v>19.0</v>
      </c>
      <c r="AA65" s="3809">
        <v>3.0</v>
      </c>
      <c r="AB65" s="3810" t="s">
        <v>129</v>
      </c>
      <c r="AC65" s="3811">
        <v>14.0</v>
      </c>
      <c r="AD65" s="3810" t="s">
        <v>164</v>
      </c>
      <c r="AE65" s="3812">
        <v>15.0</v>
      </c>
      <c r="AF65" s="3810" t="s">
        <v>164</v>
      </c>
      <c r="AG65" s="3811">
        <v>11.0</v>
      </c>
      <c r="AH65" s="3810" t="s">
        <v>1114</v>
      </c>
      <c r="AI65" s="3811">
        <v>9.0</v>
      </c>
      <c r="AJ65" s="3813" t="s">
        <v>1114</v>
      </c>
      <c r="AK65" s="3709">
        <f>Fighters!$S64</f>
        <v>63</v>
      </c>
      <c r="AL65" s="3708">
        <f>Fighters!$T64</f>
        <v>55</v>
      </c>
      <c r="AM65" s="3710" t="str">
        <f>Fighters!$V64</f>
        <v>koopajr</v>
      </c>
    </row>
    <row r="66">
      <c r="A66" s="3700">
        <f>Fighters!$A65</f>
        <v>59</v>
      </c>
      <c r="B66" s="3701" t="str">
        <f>Fighters!$B65</f>
        <v>ダックハント</v>
      </c>
      <c r="C66" s="3798" t="s">
        <v>176</v>
      </c>
      <c r="D66" s="3762">
        <v>7.0</v>
      </c>
      <c r="E66" s="307" t="s">
        <v>176</v>
      </c>
      <c r="F66" s="3763">
        <v>19.0</v>
      </c>
      <c r="G66" s="3798" t="s">
        <v>86</v>
      </c>
      <c r="H66" s="3762">
        <v>24.0</v>
      </c>
      <c r="I66" s="3798" t="s">
        <v>232</v>
      </c>
      <c r="J66" s="3762">
        <v>24.0</v>
      </c>
      <c r="K66" s="3798" t="s">
        <v>129</v>
      </c>
      <c r="L66" s="3762">
        <v>23.0</v>
      </c>
      <c r="M66" s="3798" t="s">
        <v>93</v>
      </c>
      <c r="N66" s="3762">
        <v>19.0</v>
      </c>
      <c r="O66" s="3798" t="s">
        <v>150</v>
      </c>
      <c r="P66" s="3762">
        <v>29.0</v>
      </c>
      <c r="Q66" s="3798" t="s">
        <v>86</v>
      </c>
      <c r="R66" s="3763">
        <v>23.0</v>
      </c>
      <c r="S66" s="3798" t="s">
        <v>86</v>
      </c>
      <c r="T66" s="3762">
        <v>24.0</v>
      </c>
      <c r="U66" s="3798" t="s">
        <v>232</v>
      </c>
      <c r="V66" s="3762">
        <v>24.0</v>
      </c>
      <c r="W66" s="3798" t="s">
        <v>129</v>
      </c>
      <c r="X66" s="3762">
        <v>23.0</v>
      </c>
      <c r="Y66" s="3798" t="s">
        <v>93</v>
      </c>
      <c r="Z66" s="3761">
        <v>19.0</v>
      </c>
      <c r="AA66" s="3809">
        <v>3.0</v>
      </c>
      <c r="AB66" s="3810" t="s">
        <v>129</v>
      </c>
      <c r="AC66" s="3811">
        <v>14.0</v>
      </c>
      <c r="AD66" s="3810" t="s">
        <v>164</v>
      </c>
      <c r="AE66" s="3812">
        <v>15.0</v>
      </c>
      <c r="AF66" s="3810" t="s">
        <v>164</v>
      </c>
      <c r="AG66" s="3811">
        <v>11.0</v>
      </c>
      <c r="AH66" s="3810" t="s">
        <v>1114</v>
      </c>
      <c r="AI66" s="3811">
        <v>9.0</v>
      </c>
      <c r="AJ66" s="3813" t="s">
        <v>1114</v>
      </c>
      <c r="AK66" s="3709">
        <f>Fighters!$S65</f>
        <v>64</v>
      </c>
      <c r="AL66" s="3708">
        <f>Fighters!$T65</f>
        <v>56</v>
      </c>
      <c r="AM66" s="3710" t="str">
        <f>Fighters!$V65</f>
        <v>duckhunt</v>
      </c>
    </row>
    <row r="67">
      <c r="A67" s="3700">
        <f>Fighters!$A66</f>
        <v>60</v>
      </c>
      <c r="B67" s="3701" t="str">
        <f>Fighters!$B66</f>
        <v>リュウ</v>
      </c>
      <c r="C67" s="3798" t="s">
        <v>176</v>
      </c>
      <c r="D67" s="3762">
        <v>7.0</v>
      </c>
      <c r="E67" s="3815" t="s">
        <v>204</v>
      </c>
      <c r="F67" s="3763">
        <v>19.0</v>
      </c>
      <c r="G67" s="3798" t="s">
        <v>80</v>
      </c>
      <c r="H67" s="3762">
        <v>24.0</v>
      </c>
      <c r="I67" s="3798" t="s">
        <v>232</v>
      </c>
      <c r="J67" s="3762">
        <v>24.0</v>
      </c>
      <c r="K67" s="3798" t="s">
        <v>129</v>
      </c>
      <c r="L67" s="3762">
        <v>23.0</v>
      </c>
      <c r="M67" s="3798" t="s">
        <v>80</v>
      </c>
      <c r="N67" s="3762">
        <v>19.0</v>
      </c>
      <c r="O67" s="3798" t="s">
        <v>150</v>
      </c>
      <c r="P67" s="3762">
        <v>29.0</v>
      </c>
      <c r="Q67" s="3798" t="s">
        <v>86</v>
      </c>
      <c r="R67" s="3763">
        <v>23.0</v>
      </c>
      <c r="S67" s="3798" t="s">
        <v>80</v>
      </c>
      <c r="T67" s="3762">
        <v>24.0</v>
      </c>
      <c r="U67" s="3798" t="s">
        <v>232</v>
      </c>
      <c r="V67" s="3762">
        <v>24.0</v>
      </c>
      <c r="W67" s="3798" t="s">
        <v>129</v>
      </c>
      <c r="X67" s="3762">
        <v>23.0</v>
      </c>
      <c r="Y67" s="3798" t="s">
        <v>80</v>
      </c>
      <c r="Z67" s="3761">
        <v>19.0</v>
      </c>
      <c r="AA67" s="3809">
        <v>3.0</v>
      </c>
      <c r="AB67" s="3810" t="s">
        <v>129</v>
      </c>
      <c r="AC67" s="3811">
        <v>14.0</v>
      </c>
      <c r="AD67" s="3810" t="s">
        <v>164</v>
      </c>
      <c r="AE67" s="3812">
        <v>15.0</v>
      </c>
      <c r="AF67" s="3810" t="s">
        <v>164</v>
      </c>
      <c r="AG67" s="3811">
        <v>11.0</v>
      </c>
      <c r="AH67" s="3810" t="s">
        <v>1114</v>
      </c>
      <c r="AI67" s="3811">
        <v>10.0</v>
      </c>
      <c r="AJ67" s="3813" t="s">
        <v>1114</v>
      </c>
      <c r="AK67" s="3709">
        <f>Fighters!$S66</f>
        <v>65</v>
      </c>
      <c r="AL67" s="3708">
        <f>Fighters!$T66</f>
        <v>57</v>
      </c>
      <c r="AM67" s="3710" t="str">
        <f>Fighters!$V66</f>
        <v>ryu</v>
      </c>
    </row>
    <row r="68">
      <c r="A68" s="3700" t="str">
        <f>Fighters!$A67</f>
        <v>60'</v>
      </c>
      <c r="B68" s="3701" t="str">
        <f>Fighters!$B67</f>
        <v>ケン</v>
      </c>
      <c r="C68" s="3798" t="s">
        <v>176</v>
      </c>
      <c r="D68" s="3762">
        <v>7.0</v>
      </c>
      <c r="E68" s="3815" t="s">
        <v>204</v>
      </c>
      <c r="F68" s="3763">
        <v>19.0</v>
      </c>
      <c r="G68" s="3798" t="s">
        <v>80</v>
      </c>
      <c r="H68" s="3762">
        <v>24.0</v>
      </c>
      <c r="I68" s="3798" t="s">
        <v>232</v>
      </c>
      <c r="J68" s="3762">
        <v>24.0</v>
      </c>
      <c r="K68" s="3798" t="s">
        <v>129</v>
      </c>
      <c r="L68" s="3762">
        <v>23.0</v>
      </c>
      <c r="M68" s="3798" t="s">
        <v>80</v>
      </c>
      <c r="N68" s="3762">
        <v>19.0</v>
      </c>
      <c r="O68" s="3798" t="s">
        <v>150</v>
      </c>
      <c r="P68" s="3762">
        <v>29.0</v>
      </c>
      <c r="Q68" s="3798" t="s">
        <v>86</v>
      </c>
      <c r="R68" s="3763">
        <v>23.0</v>
      </c>
      <c r="S68" s="3798" t="s">
        <v>80</v>
      </c>
      <c r="T68" s="3762">
        <v>24.0</v>
      </c>
      <c r="U68" s="3798" t="s">
        <v>232</v>
      </c>
      <c r="V68" s="3762">
        <v>24.0</v>
      </c>
      <c r="W68" s="3798" t="s">
        <v>129</v>
      </c>
      <c r="X68" s="3762">
        <v>23.0</v>
      </c>
      <c r="Y68" s="3798" t="s">
        <v>80</v>
      </c>
      <c r="Z68" s="3761">
        <v>19.0</v>
      </c>
      <c r="AA68" s="3809">
        <v>3.0</v>
      </c>
      <c r="AB68" s="3810" t="s">
        <v>129</v>
      </c>
      <c r="AC68" s="3811">
        <v>14.0</v>
      </c>
      <c r="AD68" s="3810" t="s">
        <v>164</v>
      </c>
      <c r="AE68" s="3812">
        <v>15.0</v>
      </c>
      <c r="AF68" s="3810" t="s">
        <v>164</v>
      </c>
      <c r="AG68" s="3811">
        <v>11.0</v>
      </c>
      <c r="AH68" s="3810" t="s">
        <v>1114</v>
      </c>
      <c r="AI68" s="3811">
        <v>10.0</v>
      </c>
      <c r="AJ68" s="3813" t="s">
        <v>1114</v>
      </c>
      <c r="AK68" s="3709">
        <f>Fighters!$S67</f>
        <v>66</v>
      </c>
      <c r="AL68" s="3708">
        <f>Fighters!$T67</f>
        <v>77</v>
      </c>
      <c r="AM68" s="3710" t="str">
        <f>Fighters!$V67</f>
        <v>ken</v>
      </c>
    </row>
    <row r="69">
      <c r="A69" s="3700">
        <f>Fighters!$A68</f>
        <v>61</v>
      </c>
      <c r="B69" s="3701" t="str">
        <f>Fighters!$B68</f>
        <v>クラウド</v>
      </c>
      <c r="C69" s="3814" t="s">
        <v>204</v>
      </c>
      <c r="D69" s="3762">
        <v>7.0</v>
      </c>
      <c r="E69" s="3815" t="s">
        <v>204</v>
      </c>
      <c r="F69" s="3763">
        <v>19.0</v>
      </c>
      <c r="G69" s="3798" t="s">
        <v>80</v>
      </c>
      <c r="H69" s="3762">
        <v>24.0</v>
      </c>
      <c r="I69" s="3798" t="s">
        <v>232</v>
      </c>
      <c r="J69" s="3762">
        <v>24.0</v>
      </c>
      <c r="K69" s="3798" t="s">
        <v>129</v>
      </c>
      <c r="L69" s="3762">
        <v>23.0</v>
      </c>
      <c r="M69" s="3798" t="s">
        <v>93</v>
      </c>
      <c r="N69" s="3762">
        <v>19.0</v>
      </c>
      <c r="O69" s="3798" t="s">
        <v>150</v>
      </c>
      <c r="P69" s="3762">
        <v>29.0</v>
      </c>
      <c r="Q69" s="3798" t="s">
        <v>86</v>
      </c>
      <c r="R69" s="3763">
        <v>23.0</v>
      </c>
      <c r="S69" s="3798" t="s">
        <v>80</v>
      </c>
      <c r="T69" s="3762">
        <v>24.0</v>
      </c>
      <c r="U69" s="3798" t="s">
        <v>232</v>
      </c>
      <c r="V69" s="3762">
        <v>24.0</v>
      </c>
      <c r="W69" s="3798" t="s">
        <v>129</v>
      </c>
      <c r="X69" s="3762">
        <v>23.0</v>
      </c>
      <c r="Y69" s="3798" t="s">
        <v>93</v>
      </c>
      <c r="Z69" s="3761">
        <v>19.0</v>
      </c>
      <c r="AA69" s="3809">
        <v>3.0</v>
      </c>
      <c r="AB69" s="3810" t="s">
        <v>129</v>
      </c>
      <c r="AC69" s="3811">
        <v>14.0</v>
      </c>
      <c r="AD69" s="3810" t="s">
        <v>164</v>
      </c>
      <c r="AE69" s="3812">
        <v>15.0</v>
      </c>
      <c r="AF69" s="3810" t="s">
        <v>164</v>
      </c>
      <c r="AG69" s="3811">
        <v>11.0</v>
      </c>
      <c r="AH69" s="3810" t="s">
        <v>1114</v>
      </c>
      <c r="AI69" s="3811">
        <v>7.0</v>
      </c>
      <c r="AJ69" s="3813" t="s">
        <v>1114</v>
      </c>
      <c r="AK69" s="3709">
        <f>Fighters!$S68</f>
        <v>67</v>
      </c>
      <c r="AL69" s="3708">
        <f>Fighters!$T68</f>
        <v>58</v>
      </c>
      <c r="AM69" s="3710" t="str">
        <f>Fighters!$V68</f>
        <v>cloud</v>
      </c>
    </row>
    <row r="70">
      <c r="A70" s="3700">
        <f>Fighters!$A69</f>
        <v>62</v>
      </c>
      <c r="B70" s="3701" t="str">
        <f>Fighters!$B69</f>
        <v>カムイ</v>
      </c>
      <c r="C70" s="3814" t="s">
        <v>204</v>
      </c>
      <c r="D70" s="3762">
        <v>7.0</v>
      </c>
      <c r="E70" s="3815" t="s">
        <v>204</v>
      </c>
      <c r="F70" s="3763">
        <v>19.0</v>
      </c>
      <c r="G70" s="3798" t="s">
        <v>93</v>
      </c>
      <c r="H70" s="3762">
        <v>24.0</v>
      </c>
      <c r="I70" s="3798" t="s">
        <v>128</v>
      </c>
      <c r="J70" s="3762">
        <v>24.0</v>
      </c>
      <c r="K70" s="3798" t="s">
        <v>129</v>
      </c>
      <c r="L70" s="3762">
        <v>23.0</v>
      </c>
      <c r="M70" s="3798" t="s">
        <v>93</v>
      </c>
      <c r="N70" s="3762">
        <v>19.0</v>
      </c>
      <c r="O70" s="3798" t="s">
        <v>150</v>
      </c>
      <c r="P70" s="3762">
        <v>29.0</v>
      </c>
      <c r="Q70" s="3798" t="s">
        <v>86</v>
      </c>
      <c r="R70" s="3763">
        <v>23.0</v>
      </c>
      <c r="S70" s="3798" t="s">
        <v>93</v>
      </c>
      <c r="T70" s="3762">
        <v>24.0</v>
      </c>
      <c r="U70" s="3798" t="s">
        <v>128</v>
      </c>
      <c r="V70" s="3762">
        <v>24.0</v>
      </c>
      <c r="W70" s="3798" t="s">
        <v>129</v>
      </c>
      <c r="X70" s="3762">
        <v>23.0</v>
      </c>
      <c r="Y70" s="3798" t="s">
        <v>93</v>
      </c>
      <c r="Z70" s="3761">
        <v>19.0</v>
      </c>
      <c r="AA70" s="3809">
        <v>3.0</v>
      </c>
      <c r="AB70" s="3810" t="s">
        <v>129</v>
      </c>
      <c r="AC70" s="3811">
        <v>13.0</v>
      </c>
      <c r="AD70" s="3810" t="s">
        <v>164</v>
      </c>
      <c r="AE70" s="3811">
        <v>14.0</v>
      </c>
      <c r="AF70" s="3810" t="s">
        <v>164</v>
      </c>
      <c r="AG70" s="3811">
        <v>11.0</v>
      </c>
      <c r="AH70" s="3810" t="s">
        <v>1114</v>
      </c>
      <c r="AI70" s="3811">
        <v>8.0</v>
      </c>
      <c r="AJ70" s="3813" t="s">
        <v>1114</v>
      </c>
      <c r="AK70" s="3709">
        <f>Fighters!$S69</f>
        <v>68</v>
      </c>
      <c r="AL70" s="3708">
        <f>Fighters!$T69</f>
        <v>59</v>
      </c>
      <c r="AM70" s="3710" t="str">
        <f>Fighters!$V69</f>
        <v>kamui</v>
      </c>
    </row>
    <row r="71">
      <c r="A71" s="3700">
        <f>Fighters!$A70</f>
        <v>63</v>
      </c>
      <c r="B71" s="3701" t="str">
        <f>Fighters!$B70</f>
        <v>ベヨネッタ</v>
      </c>
      <c r="C71" s="3798" t="s">
        <v>176</v>
      </c>
      <c r="D71" s="3762">
        <v>7.0</v>
      </c>
      <c r="E71" s="307" t="s">
        <v>176</v>
      </c>
      <c r="F71" s="3763">
        <v>19.0</v>
      </c>
      <c r="G71" s="3798" t="s">
        <v>128</v>
      </c>
      <c r="H71" s="3762">
        <v>24.0</v>
      </c>
      <c r="I71" s="3798" t="s">
        <v>128</v>
      </c>
      <c r="J71" s="3762">
        <v>24.0</v>
      </c>
      <c r="K71" s="3798" t="s">
        <v>129</v>
      </c>
      <c r="L71" s="3762">
        <v>23.0</v>
      </c>
      <c r="M71" s="3798" t="s">
        <v>93</v>
      </c>
      <c r="N71" s="3762">
        <v>19.0</v>
      </c>
      <c r="O71" s="3798" t="s">
        <v>150</v>
      </c>
      <c r="P71" s="3762">
        <v>29.0</v>
      </c>
      <c r="Q71" s="3798" t="s">
        <v>93</v>
      </c>
      <c r="R71" s="3763">
        <v>23.0</v>
      </c>
      <c r="S71" s="3798" t="s">
        <v>128</v>
      </c>
      <c r="T71" s="3762">
        <v>24.0</v>
      </c>
      <c r="U71" s="3798" t="s">
        <v>232</v>
      </c>
      <c r="V71" s="3762">
        <v>24.0</v>
      </c>
      <c r="W71" s="3798" t="s">
        <v>129</v>
      </c>
      <c r="X71" s="3762">
        <v>23.0</v>
      </c>
      <c r="Y71" s="3798" t="s">
        <v>93</v>
      </c>
      <c r="Z71" s="3761">
        <v>19.0</v>
      </c>
      <c r="AA71" s="3809">
        <v>3.0</v>
      </c>
      <c r="AB71" s="3810" t="s">
        <v>129</v>
      </c>
      <c r="AC71" s="3811">
        <v>14.0</v>
      </c>
      <c r="AD71" s="3810" t="s">
        <v>164</v>
      </c>
      <c r="AE71" s="3812">
        <v>15.0</v>
      </c>
      <c r="AF71" s="3810" t="s">
        <v>164</v>
      </c>
      <c r="AG71" s="3811">
        <v>11.0</v>
      </c>
      <c r="AH71" s="3810" t="s">
        <v>1114</v>
      </c>
      <c r="AI71" s="3811">
        <v>11.0</v>
      </c>
      <c r="AJ71" s="3813" t="s">
        <v>1114</v>
      </c>
      <c r="AK71" s="3709">
        <f>Fighters!$S70</f>
        <v>69</v>
      </c>
      <c r="AL71" s="3708">
        <f>Fighters!$T70</f>
        <v>60</v>
      </c>
      <c r="AM71" s="3710" t="str">
        <f>Fighters!$V70</f>
        <v>bayonetta</v>
      </c>
    </row>
    <row r="72">
      <c r="A72" s="3700">
        <f>Fighters!$A71</f>
        <v>64</v>
      </c>
      <c r="B72" s="3701" t="str">
        <f>Fighters!$B71</f>
        <v>インクリング</v>
      </c>
      <c r="C72" s="3798" t="s">
        <v>176</v>
      </c>
      <c r="D72" s="3762">
        <v>7.0</v>
      </c>
      <c r="E72" s="307" t="s">
        <v>176</v>
      </c>
      <c r="F72" s="3763">
        <v>19.0</v>
      </c>
      <c r="G72" s="3798" t="s">
        <v>80</v>
      </c>
      <c r="H72" s="3762">
        <v>24.0</v>
      </c>
      <c r="I72" s="3798" t="s">
        <v>232</v>
      </c>
      <c r="J72" s="3762">
        <v>24.0</v>
      </c>
      <c r="K72" s="3798" t="s">
        <v>129</v>
      </c>
      <c r="L72" s="3762">
        <v>23.0</v>
      </c>
      <c r="M72" s="3798" t="s">
        <v>93</v>
      </c>
      <c r="N72" s="3762">
        <v>19.0</v>
      </c>
      <c r="O72" s="3798" t="s">
        <v>150</v>
      </c>
      <c r="P72" s="3762">
        <v>29.0</v>
      </c>
      <c r="Q72" s="3798" t="s">
        <v>86</v>
      </c>
      <c r="R72" s="3763">
        <v>23.0</v>
      </c>
      <c r="S72" s="3798" t="s">
        <v>80</v>
      </c>
      <c r="T72" s="3762">
        <v>24.0</v>
      </c>
      <c r="U72" s="3798" t="s">
        <v>232</v>
      </c>
      <c r="V72" s="3762">
        <v>24.0</v>
      </c>
      <c r="W72" s="3798" t="s">
        <v>129</v>
      </c>
      <c r="X72" s="3762">
        <v>23.0</v>
      </c>
      <c r="Y72" s="3798" t="s">
        <v>93</v>
      </c>
      <c r="Z72" s="3761">
        <v>19.0</v>
      </c>
      <c r="AA72" s="3809">
        <v>3.0</v>
      </c>
      <c r="AB72" s="3810" t="s">
        <v>129</v>
      </c>
      <c r="AC72" s="3811">
        <v>14.0</v>
      </c>
      <c r="AD72" s="3810" t="s">
        <v>164</v>
      </c>
      <c r="AE72" s="3812">
        <v>15.0</v>
      </c>
      <c r="AF72" s="3810" t="s">
        <v>164</v>
      </c>
      <c r="AG72" s="3811">
        <v>11.0</v>
      </c>
      <c r="AH72" s="3810" t="s">
        <v>1114</v>
      </c>
      <c r="AI72" s="3811">
        <v>9.0</v>
      </c>
      <c r="AJ72" s="3813" t="s">
        <v>1114</v>
      </c>
      <c r="AK72" s="3709">
        <f>Fighters!$S71</f>
        <v>70</v>
      </c>
      <c r="AL72" s="3708">
        <f>Fighters!$T71</f>
        <v>61</v>
      </c>
      <c r="AM72" s="3710" t="str">
        <f>Fighters!$V71</f>
        <v>inkling</v>
      </c>
    </row>
    <row r="73">
      <c r="A73" s="3700">
        <f>Fighters!$A72</f>
        <v>65</v>
      </c>
      <c r="B73" s="3701" t="str">
        <f>Fighters!$B72</f>
        <v>リドリー</v>
      </c>
      <c r="C73" s="3798" t="s">
        <v>176</v>
      </c>
      <c r="D73" s="3762">
        <v>7.0</v>
      </c>
      <c r="E73" s="307" t="s">
        <v>176</v>
      </c>
      <c r="F73" s="3763">
        <v>19.0</v>
      </c>
      <c r="G73" s="3798" t="s">
        <v>80</v>
      </c>
      <c r="H73" s="3762">
        <v>24.0</v>
      </c>
      <c r="I73" s="3798" t="s">
        <v>232</v>
      </c>
      <c r="J73" s="3762">
        <v>24.0</v>
      </c>
      <c r="K73" s="3798" t="s">
        <v>129</v>
      </c>
      <c r="L73" s="3762">
        <v>23.0</v>
      </c>
      <c r="M73" s="3798" t="s">
        <v>93</v>
      </c>
      <c r="N73" s="3762">
        <v>19.0</v>
      </c>
      <c r="O73" s="3798" t="s">
        <v>150</v>
      </c>
      <c r="P73" s="3762">
        <v>29.0</v>
      </c>
      <c r="Q73" s="3798" t="s">
        <v>86</v>
      </c>
      <c r="R73" s="3763">
        <v>23.0</v>
      </c>
      <c r="S73" s="3798" t="s">
        <v>80</v>
      </c>
      <c r="T73" s="3762">
        <v>24.0</v>
      </c>
      <c r="U73" s="3798" t="s">
        <v>232</v>
      </c>
      <c r="V73" s="3762">
        <v>24.0</v>
      </c>
      <c r="W73" s="3798" t="s">
        <v>129</v>
      </c>
      <c r="X73" s="3762">
        <v>23.0</v>
      </c>
      <c r="Y73" s="3798" t="s">
        <v>93</v>
      </c>
      <c r="Z73" s="3761">
        <v>19.0</v>
      </c>
      <c r="AA73" s="3809">
        <v>3.0</v>
      </c>
      <c r="AB73" s="3810" t="s">
        <v>129</v>
      </c>
      <c r="AC73" s="3811">
        <v>14.0</v>
      </c>
      <c r="AD73" s="3810" t="s">
        <v>164</v>
      </c>
      <c r="AE73" s="3812">
        <v>15.0</v>
      </c>
      <c r="AF73" s="3810" t="s">
        <v>164</v>
      </c>
      <c r="AG73" s="3811">
        <v>11.0</v>
      </c>
      <c r="AH73" s="3810" t="s">
        <v>1114</v>
      </c>
      <c r="AI73" s="3811">
        <v>9.0</v>
      </c>
      <c r="AJ73" s="3813" t="s">
        <v>1114</v>
      </c>
      <c r="AK73" s="3709">
        <f>Fighters!$S72</f>
        <v>71</v>
      </c>
      <c r="AL73" s="3708">
        <f>Fighters!$T72</f>
        <v>62</v>
      </c>
      <c r="AM73" s="3710" t="str">
        <f>Fighters!$V72</f>
        <v>ridley</v>
      </c>
    </row>
    <row r="74">
      <c r="A74" s="3700">
        <f>Fighters!$A73</f>
        <v>66</v>
      </c>
      <c r="B74" s="3701" t="str">
        <f>Fighters!$B73</f>
        <v>シモン</v>
      </c>
      <c r="C74" s="3798" t="s">
        <v>176</v>
      </c>
      <c r="D74" s="3762">
        <v>7.0</v>
      </c>
      <c r="E74" s="307" t="s">
        <v>176</v>
      </c>
      <c r="F74" s="3763">
        <v>19.0</v>
      </c>
      <c r="G74" s="3798" t="s">
        <v>80</v>
      </c>
      <c r="H74" s="3762">
        <v>24.0</v>
      </c>
      <c r="I74" s="3798" t="s">
        <v>232</v>
      </c>
      <c r="J74" s="3762">
        <v>24.0</v>
      </c>
      <c r="K74" s="3798" t="s">
        <v>129</v>
      </c>
      <c r="L74" s="3762">
        <v>23.0</v>
      </c>
      <c r="M74" s="3798" t="s">
        <v>93</v>
      </c>
      <c r="N74" s="3762">
        <v>19.0</v>
      </c>
      <c r="O74" s="3798" t="s">
        <v>150</v>
      </c>
      <c r="P74" s="3762">
        <v>29.0</v>
      </c>
      <c r="Q74" s="3798" t="s">
        <v>86</v>
      </c>
      <c r="R74" s="3763">
        <v>23.0</v>
      </c>
      <c r="S74" s="3798" t="s">
        <v>80</v>
      </c>
      <c r="T74" s="3762">
        <v>24.0</v>
      </c>
      <c r="U74" s="3798" t="s">
        <v>232</v>
      </c>
      <c r="V74" s="3762">
        <v>24.0</v>
      </c>
      <c r="W74" s="3798" t="s">
        <v>129</v>
      </c>
      <c r="X74" s="3762">
        <v>23.0</v>
      </c>
      <c r="Y74" s="3798" t="s">
        <v>93</v>
      </c>
      <c r="Z74" s="3761">
        <v>19.0</v>
      </c>
      <c r="AA74" s="3809">
        <v>3.0</v>
      </c>
      <c r="AB74" s="3810" t="s">
        <v>129</v>
      </c>
      <c r="AC74" s="3811">
        <v>14.0</v>
      </c>
      <c r="AD74" s="3810" t="s">
        <v>164</v>
      </c>
      <c r="AE74" s="3812">
        <v>15.0</v>
      </c>
      <c r="AF74" s="3810" t="s">
        <v>164</v>
      </c>
      <c r="AG74" s="3811">
        <v>11.0</v>
      </c>
      <c r="AH74" s="3810" t="s">
        <v>1114</v>
      </c>
      <c r="AI74" s="3811">
        <v>9.0</v>
      </c>
      <c r="AJ74" s="3813" t="s">
        <v>1114</v>
      </c>
      <c r="AK74" s="3709">
        <f>Fighters!$S73</f>
        <v>72</v>
      </c>
      <c r="AL74" s="3708">
        <f>Fighters!$T73</f>
        <v>63</v>
      </c>
      <c r="AM74" s="3710" t="str">
        <f>Fighters!$V73</f>
        <v>simon</v>
      </c>
    </row>
    <row r="75">
      <c r="A75" s="3700" t="str">
        <f>Fighters!$A74</f>
        <v>66'</v>
      </c>
      <c r="B75" s="3701" t="str">
        <f>Fighters!$B74</f>
        <v>リヒター</v>
      </c>
      <c r="C75" s="3798" t="s">
        <v>176</v>
      </c>
      <c r="D75" s="3762">
        <v>7.0</v>
      </c>
      <c r="E75" s="307" t="s">
        <v>176</v>
      </c>
      <c r="F75" s="3763">
        <v>19.0</v>
      </c>
      <c r="G75" s="3798" t="s">
        <v>80</v>
      </c>
      <c r="H75" s="3762">
        <v>24.0</v>
      </c>
      <c r="I75" s="3798" t="s">
        <v>232</v>
      </c>
      <c r="J75" s="3762">
        <v>24.0</v>
      </c>
      <c r="K75" s="3798" t="s">
        <v>129</v>
      </c>
      <c r="L75" s="3762">
        <v>23.0</v>
      </c>
      <c r="M75" s="3798" t="s">
        <v>93</v>
      </c>
      <c r="N75" s="3762">
        <v>19.0</v>
      </c>
      <c r="O75" s="3798" t="s">
        <v>150</v>
      </c>
      <c r="P75" s="3762">
        <v>29.0</v>
      </c>
      <c r="Q75" s="3798" t="s">
        <v>86</v>
      </c>
      <c r="R75" s="3763">
        <v>23.0</v>
      </c>
      <c r="S75" s="3798" t="s">
        <v>80</v>
      </c>
      <c r="T75" s="3762">
        <v>24.0</v>
      </c>
      <c r="U75" s="3798" t="s">
        <v>232</v>
      </c>
      <c r="V75" s="3762">
        <v>24.0</v>
      </c>
      <c r="W75" s="3798" t="s">
        <v>129</v>
      </c>
      <c r="X75" s="3762">
        <v>23.0</v>
      </c>
      <c r="Y75" s="3798" t="s">
        <v>93</v>
      </c>
      <c r="Z75" s="3761">
        <v>19.0</v>
      </c>
      <c r="AA75" s="3809">
        <v>3.0</v>
      </c>
      <c r="AB75" s="3810" t="s">
        <v>129</v>
      </c>
      <c r="AC75" s="3811">
        <v>14.0</v>
      </c>
      <c r="AD75" s="3810" t="s">
        <v>164</v>
      </c>
      <c r="AE75" s="3812">
        <v>15.0</v>
      </c>
      <c r="AF75" s="3810" t="s">
        <v>164</v>
      </c>
      <c r="AG75" s="3811">
        <v>11.0</v>
      </c>
      <c r="AH75" s="3810" t="s">
        <v>1114</v>
      </c>
      <c r="AI75" s="3811">
        <v>9.0</v>
      </c>
      <c r="AJ75" s="3813" t="s">
        <v>1114</v>
      </c>
      <c r="AK75" s="3709">
        <f>Fighters!$S74</f>
        <v>73</v>
      </c>
      <c r="AL75" s="3708">
        <f>Fighters!$T74</f>
        <v>78</v>
      </c>
      <c r="AM75" s="3710" t="str">
        <f>Fighters!$V74</f>
        <v>richter</v>
      </c>
    </row>
    <row r="76">
      <c r="A76" s="3700">
        <f>Fighters!$A75</f>
        <v>67</v>
      </c>
      <c r="B76" s="3701" t="str">
        <f>Fighters!$B75</f>
        <v>キングクルール</v>
      </c>
      <c r="C76" s="3798" t="s">
        <v>176</v>
      </c>
      <c r="D76" s="3762">
        <v>7.0</v>
      </c>
      <c r="E76" s="307" t="s">
        <v>176</v>
      </c>
      <c r="F76" s="3763">
        <v>19.0</v>
      </c>
      <c r="G76" s="3798" t="s">
        <v>128</v>
      </c>
      <c r="H76" s="3762">
        <v>24.0</v>
      </c>
      <c r="I76" s="3798" t="s">
        <v>228</v>
      </c>
      <c r="J76" s="3762">
        <v>24.0</v>
      </c>
      <c r="K76" s="3798" t="s">
        <v>394</v>
      </c>
      <c r="L76" s="3762">
        <v>23.0</v>
      </c>
      <c r="M76" s="3798" t="s">
        <v>80</v>
      </c>
      <c r="N76" s="3762">
        <v>19.0</v>
      </c>
      <c r="O76" s="3798" t="s">
        <v>93</v>
      </c>
      <c r="P76" s="3762">
        <v>29.0</v>
      </c>
      <c r="Q76" s="3798" t="s">
        <v>86</v>
      </c>
      <c r="R76" s="3763">
        <v>23.0</v>
      </c>
      <c r="S76" s="3798" t="s">
        <v>128</v>
      </c>
      <c r="T76" s="3762">
        <v>24.0</v>
      </c>
      <c r="U76" s="3798" t="s">
        <v>228</v>
      </c>
      <c r="V76" s="3762">
        <v>24.0</v>
      </c>
      <c r="W76" s="3798" t="s">
        <v>394</v>
      </c>
      <c r="X76" s="3762">
        <v>23.0</v>
      </c>
      <c r="Y76" s="3798" t="s">
        <v>80</v>
      </c>
      <c r="Z76" s="3761">
        <v>19.0</v>
      </c>
      <c r="AA76" s="3809">
        <v>3.0</v>
      </c>
      <c r="AB76" s="3810" t="s">
        <v>129</v>
      </c>
      <c r="AC76" s="3811">
        <v>14.0</v>
      </c>
      <c r="AD76" s="3810" t="s">
        <v>164</v>
      </c>
      <c r="AE76" s="3811">
        <v>15.0</v>
      </c>
      <c r="AF76" s="3810" t="s">
        <v>164</v>
      </c>
      <c r="AG76" s="3811">
        <v>11.0</v>
      </c>
      <c r="AH76" s="3810" t="s">
        <v>1114</v>
      </c>
      <c r="AI76" s="3811">
        <v>11.0</v>
      </c>
      <c r="AJ76" s="3813" t="s">
        <v>1114</v>
      </c>
      <c r="AK76" s="3709">
        <f>Fighters!$S75</f>
        <v>74</v>
      </c>
      <c r="AL76" s="3708">
        <f>Fighters!$T75</f>
        <v>64</v>
      </c>
      <c r="AM76" s="3710" t="str">
        <f>Fighters!$V75</f>
        <v>krool</v>
      </c>
    </row>
    <row r="77">
      <c r="A77" s="3700">
        <f>Fighters!$A76</f>
        <v>68</v>
      </c>
      <c r="B77" s="3701" t="str">
        <f>Fighters!$B76</f>
        <v>しずえ</v>
      </c>
      <c r="C77" s="3798" t="s">
        <v>176</v>
      </c>
      <c r="D77" s="3762">
        <v>7.0</v>
      </c>
      <c r="E77" s="307" t="s">
        <v>176</v>
      </c>
      <c r="F77" s="3763">
        <v>19.0</v>
      </c>
      <c r="G77" s="3798" t="s">
        <v>80</v>
      </c>
      <c r="H77" s="3762">
        <v>24.0</v>
      </c>
      <c r="I77" s="3798" t="s">
        <v>232</v>
      </c>
      <c r="J77" s="3762">
        <v>24.0</v>
      </c>
      <c r="K77" s="3798" t="s">
        <v>129</v>
      </c>
      <c r="L77" s="3762">
        <v>23.0</v>
      </c>
      <c r="M77" s="3798" t="s">
        <v>93</v>
      </c>
      <c r="N77" s="3762">
        <v>19.0</v>
      </c>
      <c r="O77" s="3798" t="s">
        <v>150</v>
      </c>
      <c r="P77" s="3762">
        <v>29.0</v>
      </c>
      <c r="Q77" s="3798" t="s">
        <v>86</v>
      </c>
      <c r="R77" s="3763">
        <v>23.0</v>
      </c>
      <c r="S77" s="3798" t="s">
        <v>80</v>
      </c>
      <c r="T77" s="3762">
        <v>24.0</v>
      </c>
      <c r="U77" s="3798" t="s">
        <v>232</v>
      </c>
      <c r="V77" s="3762">
        <v>24.0</v>
      </c>
      <c r="W77" s="3798" t="s">
        <v>129</v>
      </c>
      <c r="X77" s="3762">
        <v>23.0</v>
      </c>
      <c r="Y77" s="3798" t="s">
        <v>93</v>
      </c>
      <c r="Z77" s="3761">
        <v>19.0</v>
      </c>
      <c r="AA77" s="3809">
        <v>3.0</v>
      </c>
      <c r="AB77" s="3810" t="s">
        <v>129</v>
      </c>
      <c r="AC77" s="3811">
        <v>14.0</v>
      </c>
      <c r="AD77" s="3810" t="s">
        <v>164</v>
      </c>
      <c r="AE77" s="3812">
        <v>15.0</v>
      </c>
      <c r="AF77" s="3810" t="s">
        <v>164</v>
      </c>
      <c r="AG77" s="3811">
        <v>11.0</v>
      </c>
      <c r="AH77" s="3810" t="s">
        <v>1114</v>
      </c>
      <c r="AI77" s="3811">
        <v>9.0</v>
      </c>
      <c r="AJ77" s="3813" t="s">
        <v>1114</v>
      </c>
      <c r="AK77" s="3709">
        <f>Fighters!$S76</f>
        <v>75</v>
      </c>
      <c r="AL77" s="3708">
        <f>Fighters!$T76</f>
        <v>65</v>
      </c>
      <c r="AM77" s="3710" t="str">
        <f>Fighters!$V76</f>
        <v>shizue</v>
      </c>
    </row>
    <row r="78">
      <c r="A78" s="3700">
        <f>Fighters!$A77</f>
        <v>69</v>
      </c>
      <c r="B78" s="3701" t="str">
        <f>Fighters!$B77</f>
        <v>ガオガエン</v>
      </c>
      <c r="C78" s="239" t="s">
        <v>176</v>
      </c>
      <c r="D78" s="3762">
        <v>7.0</v>
      </c>
      <c r="E78" s="307" t="s">
        <v>176</v>
      </c>
      <c r="F78" s="3763">
        <v>19.0</v>
      </c>
      <c r="G78" s="3798" t="s">
        <v>80</v>
      </c>
      <c r="H78" s="3762">
        <v>24.0</v>
      </c>
      <c r="I78" s="3798" t="s">
        <v>232</v>
      </c>
      <c r="J78" s="3762">
        <v>24.0</v>
      </c>
      <c r="K78" s="3798" t="s">
        <v>129</v>
      </c>
      <c r="L78" s="3762">
        <v>23.0</v>
      </c>
      <c r="M78" s="3798" t="s">
        <v>93</v>
      </c>
      <c r="N78" s="3762">
        <v>19.0</v>
      </c>
      <c r="O78" s="3798" t="s">
        <v>150</v>
      </c>
      <c r="P78" s="3762">
        <v>29.0</v>
      </c>
      <c r="Q78" s="3798" t="s">
        <v>86</v>
      </c>
      <c r="R78" s="3763">
        <v>23.0</v>
      </c>
      <c r="S78" s="3798" t="s">
        <v>80</v>
      </c>
      <c r="T78" s="3762">
        <v>24.0</v>
      </c>
      <c r="U78" s="3798" t="s">
        <v>232</v>
      </c>
      <c r="V78" s="3762">
        <v>24.0</v>
      </c>
      <c r="W78" s="3798" t="s">
        <v>129</v>
      </c>
      <c r="X78" s="3762">
        <v>23.0</v>
      </c>
      <c r="Y78" s="3798" t="s">
        <v>93</v>
      </c>
      <c r="Z78" s="3761">
        <v>19.0</v>
      </c>
      <c r="AA78" s="3809">
        <v>3.0</v>
      </c>
      <c r="AB78" s="3810" t="s">
        <v>129</v>
      </c>
      <c r="AC78" s="3811">
        <v>14.0</v>
      </c>
      <c r="AD78" s="3810" t="s">
        <v>164</v>
      </c>
      <c r="AE78" s="3812">
        <v>15.0</v>
      </c>
      <c r="AF78" s="3810" t="s">
        <v>164</v>
      </c>
      <c r="AG78" s="3811">
        <v>11.0</v>
      </c>
      <c r="AH78" s="3810" t="s">
        <v>1114</v>
      </c>
      <c r="AI78" s="3811">
        <v>9.0</v>
      </c>
      <c r="AJ78" s="3813" t="s">
        <v>1114</v>
      </c>
      <c r="AK78" s="3709">
        <f>Fighters!$S77</f>
        <v>76</v>
      </c>
      <c r="AL78" s="3708">
        <f>Fighters!$T77</f>
        <v>66</v>
      </c>
      <c r="AM78" s="3710" t="str">
        <f>Fighters!$V77</f>
        <v>gaogaen</v>
      </c>
    </row>
    <row r="79">
      <c r="A79" s="3700">
        <f>Fighters!$A78</f>
        <v>70</v>
      </c>
      <c r="B79" s="3701" t="str">
        <f>Fighters!$B78</f>
        <v>パックンフラワー</v>
      </c>
      <c r="C79" s="239" t="s">
        <v>176</v>
      </c>
      <c r="D79" s="3762">
        <v>7.0</v>
      </c>
      <c r="E79" s="307" t="s">
        <v>176</v>
      </c>
      <c r="F79" s="3763">
        <v>19.0</v>
      </c>
      <c r="G79" s="3798" t="s">
        <v>80</v>
      </c>
      <c r="H79" s="3762">
        <v>24.0</v>
      </c>
      <c r="I79" s="3798" t="s">
        <v>232</v>
      </c>
      <c r="J79" s="3762">
        <v>24.0</v>
      </c>
      <c r="K79" s="3798" t="s">
        <v>129</v>
      </c>
      <c r="L79" s="3762">
        <v>23.0</v>
      </c>
      <c r="M79" s="3798" t="s">
        <v>93</v>
      </c>
      <c r="N79" s="3762">
        <v>19.0</v>
      </c>
      <c r="O79" s="3798" t="s">
        <v>150</v>
      </c>
      <c r="P79" s="3762">
        <v>29.0</v>
      </c>
      <c r="Q79" s="3798" t="s">
        <v>86</v>
      </c>
      <c r="R79" s="3763">
        <v>23.0</v>
      </c>
      <c r="S79" s="3798" t="s">
        <v>80</v>
      </c>
      <c r="T79" s="3762">
        <v>24.0</v>
      </c>
      <c r="U79" s="3798" t="s">
        <v>232</v>
      </c>
      <c r="V79" s="3762">
        <v>24.0</v>
      </c>
      <c r="W79" s="3798" t="s">
        <v>129</v>
      </c>
      <c r="X79" s="3762">
        <v>23.0</v>
      </c>
      <c r="Y79" s="3798" t="s">
        <v>93</v>
      </c>
      <c r="Z79" s="3761">
        <v>19.0</v>
      </c>
      <c r="AA79" s="3809">
        <v>3.0</v>
      </c>
      <c r="AB79" s="3810" t="s">
        <v>129</v>
      </c>
      <c r="AC79" s="3811">
        <v>14.0</v>
      </c>
      <c r="AD79" s="3810" t="s">
        <v>164</v>
      </c>
      <c r="AE79" s="3812">
        <v>15.0</v>
      </c>
      <c r="AF79" s="3810" t="s">
        <v>164</v>
      </c>
      <c r="AG79" s="3811">
        <v>11.0</v>
      </c>
      <c r="AH79" s="3810" t="s">
        <v>1114</v>
      </c>
      <c r="AI79" s="3811">
        <v>9.0</v>
      </c>
      <c r="AJ79" s="3813" t="s">
        <v>1114</v>
      </c>
      <c r="AK79" s="3709">
        <f>Fighters!$S78</f>
        <v>77</v>
      </c>
      <c r="AL79" s="3708">
        <f>Fighters!$T78</f>
        <v>67</v>
      </c>
      <c r="AM79" s="3739" t="str">
        <f>Fighters!$V78</f>
        <v>packun</v>
      </c>
    </row>
    <row r="80">
      <c r="A80" s="3700">
        <f>Fighters!$A79</f>
        <v>71</v>
      </c>
      <c r="B80" s="3701" t="str">
        <f>Fighters!$B79</f>
        <v>ジョーカー</v>
      </c>
      <c r="C80" s="239" t="s">
        <v>176</v>
      </c>
      <c r="D80" s="3762">
        <v>7.0</v>
      </c>
      <c r="E80" s="307" t="s">
        <v>176</v>
      </c>
      <c r="F80" s="3763">
        <v>19.0</v>
      </c>
      <c r="G80" s="3798" t="s">
        <v>80</v>
      </c>
      <c r="H80" s="3762">
        <v>24.0</v>
      </c>
      <c r="I80" s="3798" t="s">
        <v>232</v>
      </c>
      <c r="J80" s="3762">
        <v>24.0</v>
      </c>
      <c r="K80" s="3798" t="s">
        <v>129</v>
      </c>
      <c r="L80" s="3762">
        <v>23.0</v>
      </c>
      <c r="M80" s="3798" t="s">
        <v>93</v>
      </c>
      <c r="N80" s="3762">
        <v>19.0</v>
      </c>
      <c r="O80" s="3798" t="s">
        <v>150</v>
      </c>
      <c r="P80" s="3762">
        <v>29.0</v>
      </c>
      <c r="Q80" s="3798" t="s">
        <v>86</v>
      </c>
      <c r="R80" s="3763">
        <v>23.0</v>
      </c>
      <c r="S80" s="3798" t="s">
        <v>80</v>
      </c>
      <c r="T80" s="3762">
        <v>24.0</v>
      </c>
      <c r="U80" s="3798" t="s">
        <v>232</v>
      </c>
      <c r="V80" s="3762">
        <v>24.0</v>
      </c>
      <c r="W80" s="3798" t="s">
        <v>129</v>
      </c>
      <c r="X80" s="3762">
        <v>23.0</v>
      </c>
      <c r="Y80" s="3798" t="s">
        <v>93</v>
      </c>
      <c r="Z80" s="3761">
        <v>19.0</v>
      </c>
      <c r="AA80" s="3809">
        <v>3.0</v>
      </c>
      <c r="AB80" s="3810" t="s">
        <v>129</v>
      </c>
      <c r="AC80" s="3811">
        <v>14.0</v>
      </c>
      <c r="AD80" s="3810" t="s">
        <v>164</v>
      </c>
      <c r="AE80" s="3812">
        <v>15.0</v>
      </c>
      <c r="AF80" s="3810" t="s">
        <v>164</v>
      </c>
      <c r="AG80" s="3811">
        <v>11.0</v>
      </c>
      <c r="AH80" s="3810" t="s">
        <v>1114</v>
      </c>
      <c r="AI80" s="3811">
        <v>9.0</v>
      </c>
      <c r="AJ80" s="3813" t="s">
        <v>1114</v>
      </c>
      <c r="AK80" s="3709">
        <f>Fighters!$S79</f>
        <v>78</v>
      </c>
      <c r="AL80" s="3708">
        <f>Fighters!$T79</f>
        <v>68</v>
      </c>
      <c r="AM80" s="3739" t="str">
        <f>Fighters!$V79</f>
        <v>jack</v>
      </c>
    </row>
    <row r="81">
      <c r="A81" s="3700">
        <f>Fighters!$A80</f>
        <v>72</v>
      </c>
      <c r="B81" s="3701" t="str">
        <f>Fighters!$B80</f>
        <v>勇者</v>
      </c>
      <c r="C81" s="239" t="s">
        <v>176</v>
      </c>
      <c r="D81" s="3792">
        <v>7.0</v>
      </c>
      <c r="E81" s="3817" t="s">
        <v>176</v>
      </c>
      <c r="F81" s="3794">
        <v>19.0</v>
      </c>
      <c r="G81" s="3791" t="s">
        <v>93</v>
      </c>
      <c r="H81" s="3792">
        <v>24.0</v>
      </c>
      <c r="I81" s="3791" t="s">
        <v>274</v>
      </c>
      <c r="J81" s="3792">
        <v>24.0</v>
      </c>
      <c r="K81" s="3791" t="s">
        <v>232</v>
      </c>
      <c r="L81" s="3792">
        <v>23.0</v>
      </c>
      <c r="M81" s="3791" t="s">
        <v>86</v>
      </c>
      <c r="N81" s="3792">
        <v>19.0</v>
      </c>
      <c r="O81" s="3791" t="s">
        <v>73</v>
      </c>
      <c r="P81" s="3792">
        <v>29.0</v>
      </c>
      <c r="Q81" s="3791" t="s">
        <v>150</v>
      </c>
      <c r="R81" s="3794">
        <v>23.0</v>
      </c>
      <c r="S81" s="3791" t="s">
        <v>93</v>
      </c>
      <c r="T81" s="3792">
        <v>24.0</v>
      </c>
      <c r="U81" s="3791" t="s">
        <v>274</v>
      </c>
      <c r="V81" s="3792">
        <v>24.0</v>
      </c>
      <c r="W81" s="3791" t="s">
        <v>232</v>
      </c>
      <c r="X81" s="3792">
        <v>23.0</v>
      </c>
      <c r="Y81" s="3791" t="s">
        <v>86</v>
      </c>
      <c r="Z81" s="3818">
        <v>19.0</v>
      </c>
      <c r="AA81" s="3809">
        <v>3.0</v>
      </c>
      <c r="AB81" s="3810" t="s">
        <v>129</v>
      </c>
      <c r="AC81" s="3811">
        <v>16.0</v>
      </c>
      <c r="AD81" s="3810" t="s">
        <v>164</v>
      </c>
      <c r="AE81" s="3812">
        <v>17.0</v>
      </c>
      <c r="AF81" s="3810" t="s">
        <v>164</v>
      </c>
      <c r="AG81" s="3811">
        <v>11.0</v>
      </c>
      <c r="AH81" s="3810" t="s">
        <v>1114</v>
      </c>
      <c r="AI81" s="3811">
        <v>11.0</v>
      </c>
      <c r="AJ81" s="3813" t="s">
        <v>1114</v>
      </c>
      <c r="AK81" s="3709">
        <f>Fighters!$S80</f>
        <v>79</v>
      </c>
      <c r="AL81" s="3708">
        <f>Fighters!$T80</f>
        <v>69</v>
      </c>
      <c r="AM81" s="3739" t="str">
        <f>Fighters!$V80</f>
        <v>brave</v>
      </c>
    </row>
    <row r="82">
      <c r="A82" s="3700">
        <f>Fighters!$A81</f>
        <v>73</v>
      </c>
      <c r="B82" s="3701" t="str">
        <f>Fighters!$B81</f>
        <v>バンジョー&amp;カズーイ</v>
      </c>
      <c r="C82" s="239" t="s">
        <v>176</v>
      </c>
      <c r="D82" s="3762">
        <v>7.0</v>
      </c>
      <c r="E82" s="307" t="s">
        <v>176</v>
      </c>
      <c r="F82" s="3763">
        <v>19.0</v>
      </c>
      <c r="G82" s="3798" t="s">
        <v>80</v>
      </c>
      <c r="H82" s="3762">
        <v>24.0</v>
      </c>
      <c r="I82" s="3798" t="s">
        <v>232</v>
      </c>
      <c r="J82" s="3762">
        <v>24.0</v>
      </c>
      <c r="K82" s="3798" t="s">
        <v>129</v>
      </c>
      <c r="L82" s="3762">
        <v>23.0</v>
      </c>
      <c r="M82" s="3798" t="s">
        <v>93</v>
      </c>
      <c r="N82" s="3762">
        <v>19.0</v>
      </c>
      <c r="O82" s="3798" t="s">
        <v>150</v>
      </c>
      <c r="P82" s="3762">
        <v>29.0</v>
      </c>
      <c r="Q82" s="3798" t="s">
        <v>86</v>
      </c>
      <c r="R82" s="3763">
        <v>23.0</v>
      </c>
      <c r="S82" s="3798" t="s">
        <v>80</v>
      </c>
      <c r="T82" s="3762">
        <v>24.0</v>
      </c>
      <c r="U82" s="3798" t="s">
        <v>232</v>
      </c>
      <c r="V82" s="3762">
        <v>24.0</v>
      </c>
      <c r="W82" s="3798" t="s">
        <v>129</v>
      </c>
      <c r="X82" s="3762">
        <v>23.0</v>
      </c>
      <c r="Y82" s="3798" t="s">
        <v>93</v>
      </c>
      <c r="Z82" s="3761">
        <v>19.0</v>
      </c>
      <c r="AA82" s="3809">
        <v>3.0</v>
      </c>
      <c r="AB82" s="3810" t="s">
        <v>129</v>
      </c>
      <c r="AC82" s="3811">
        <v>14.0</v>
      </c>
      <c r="AD82" s="3810" t="s">
        <v>164</v>
      </c>
      <c r="AE82" s="3812">
        <v>15.0</v>
      </c>
      <c r="AF82" s="3810" t="s">
        <v>164</v>
      </c>
      <c r="AG82" s="3811">
        <v>11.0</v>
      </c>
      <c r="AH82" s="3810" t="s">
        <v>1114</v>
      </c>
      <c r="AI82" s="3811">
        <v>9.0</v>
      </c>
      <c r="AJ82" s="3813" t="s">
        <v>1114</v>
      </c>
      <c r="AK82" s="3709">
        <f>Fighters!$S81</f>
        <v>80</v>
      </c>
      <c r="AL82" s="3708">
        <f>Fighters!$T81</f>
        <v>70</v>
      </c>
      <c r="AM82" s="3739" t="str">
        <f>Fighters!$V81</f>
        <v>buddy</v>
      </c>
    </row>
    <row r="83">
      <c r="A83" s="3700">
        <f>Fighters!$A82</f>
        <v>74</v>
      </c>
      <c r="B83" s="3701" t="str">
        <f>Fighters!$B82</f>
        <v>テリー</v>
      </c>
      <c r="C83" s="239" t="s">
        <v>176</v>
      </c>
      <c r="D83" s="3762">
        <v>7.0</v>
      </c>
      <c r="E83" s="3815" t="s">
        <v>204</v>
      </c>
      <c r="F83" s="3763">
        <v>19.0</v>
      </c>
      <c r="G83" s="3798" t="s">
        <v>80</v>
      </c>
      <c r="H83" s="3762">
        <v>24.0</v>
      </c>
      <c r="I83" s="3798" t="s">
        <v>232</v>
      </c>
      <c r="J83" s="3762">
        <v>24.0</v>
      </c>
      <c r="K83" s="3798" t="s">
        <v>129</v>
      </c>
      <c r="L83" s="3762">
        <v>23.0</v>
      </c>
      <c r="M83" s="3798" t="s">
        <v>93</v>
      </c>
      <c r="N83" s="3762">
        <v>19.0</v>
      </c>
      <c r="O83" s="3798" t="s">
        <v>150</v>
      </c>
      <c r="P83" s="3762">
        <v>29.0</v>
      </c>
      <c r="Q83" s="3798" t="s">
        <v>86</v>
      </c>
      <c r="R83" s="3763">
        <v>23.0</v>
      </c>
      <c r="S83" s="3798" t="s">
        <v>80</v>
      </c>
      <c r="T83" s="3762">
        <v>24.0</v>
      </c>
      <c r="U83" s="3798" t="s">
        <v>232</v>
      </c>
      <c r="V83" s="3762">
        <v>24.0</v>
      </c>
      <c r="W83" s="3798" t="s">
        <v>129</v>
      </c>
      <c r="X83" s="3762">
        <v>23.0</v>
      </c>
      <c r="Y83" s="3798" t="s">
        <v>93</v>
      </c>
      <c r="Z83" s="3761">
        <v>19.0</v>
      </c>
      <c r="AA83" s="3809">
        <v>3.0</v>
      </c>
      <c r="AB83" s="3810" t="s">
        <v>129</v>
      </c>
      <c r="AC83" s="3811">
        <v>14.0</v>
      </c>
      <c r="AD83" s="3810" t="s">
        <v>164</v>
      </c>
      <c r="AE83" s="3812">
        <v>15.0</v>
      </c>
      <c r="AF83" s="3810" t="s">
        <v>164</v>
      </c>
      <c r="AG83" s="3811">
        <v>11.0</v>
      </c>
      <c r="AH83" s="3810" t="s">
        <v>1114</v>
      </c>
      <c r="AI83" s="3811">
        <v>9.0</v>
      </c>
      <c r="AJ83" s="3813" t="s">
        <v>1114</v>
      </c>
      <c r="AK83" s="3709">
        <f>Fighters!$S82</f>
        <v>81</v>
      </c>
      <c r="AL83" s="3708">
        <f>Fighters!$T82</f>
        <v>71</v>
      </c>
      <c r="AM83" s="3739" t="str">
        <f>Fighters!$V82</f>
        <v>dolly</v>
      </c>
    </row>
    <row r="84">
      <c r="A84" s="3700">
        <f>Fighters!$A83</f>
        <v>75</v>
      </c>
      <c r="B84" s="3701" t="str">
        <f>Fighters!$B83</f>
        <v>ベレト／ベレス</v>
      </c>
      <c r="C84" s="239" t="s">
        <v>176</v>
      </c>
      <c r="D84" s="3792">
        <v>7.0</v>
      </c>
      <c r="E84" s="3817" t="s">
        <v>176</v>
      </c>
      <c r="F84" s="3794">
        <v>19.0</v>
      </c>
      <c r="G84" s="3791" t="s">
        <v>80</v>
      </c>
      <c r="H84" s="3792">
        <v>24.0</v>
      </c>
      <c r="I84" s="3791" t="s">
        <v>232</v>
      </c>
      <c r="J84" s="3792">
        <v>24.0</v>
      </c>
      <c r="K84" s="3791" t="s">
        <v>129</v>
      </c>
      <c r="L84" s="3792">
        <v>23.0</v>
      </c>
      <c r="M84" s="3791" t="s">
        <v>93</v>
      </c>
      <c r="N84" s="3792">
        <v>19.0</v>
      </c>
      <c r="O84" s="3791" t="s">
        <v>150</v>
      </c>
      <c r="P84" s="3792">
        <v>29.0</v>
      </c>
      <c r="Q84" s="3791" t="s">
        <v>86</v>
      </c>
      <c r="R84" s="3794">
        <v>23.0</v>
      </c>
      <c r="S84" s="3791" t="s">
        <v>80</v>
      </c>
      <c r="T84" s="3792">
        <v>24.0</v>
      </c>
      <c r="U84" s="3791" t="s">
        <v>232</v>
      </c>
      <c r="V84" s="3792">
        <v>24.0</v>
      </c>
      <c r="W84" s="3791" t="s">
        <v>129</v>
      </c>
      <c r="X84" s="3792">
        <v>23.0</v>
      </c>
      <c r="Y84" s="3791" t="s">
        <v>93</v>
      </c>
      <c r="Z84" s="3818">
        <v>19.0</v>
      </c>
      <c r="AA84" s="3809">
        <v>3.0</v>
      </c>
      <c r="AB84" s="3810" t="s">
        <v>129</v>
      </c>
      <c r="AC84" s="3811">
        <v>14.0</v>
      </c>
      <c r="AD84" s="3810" t="s">
        <v>164</v>
      </c>
      <c r="AE84" s="3812">
        <v>15.0</v>
      </c>
      <c r="AF84" s="3810" t="s">
        <v>164</v>
      </c>
      <c r="AG84" s="3811">
        <v>11.0</v>
      </c>
      <c r="AH84" s="3810" t="s">
        <v>1114</v>
      </c>
      <c r="AI84" s="3811">
        <v>9.0</v>
      </c>
      <c r="AJ84" s="3813" t="s">
        <v>1114</v>
      </c>
      <c r="AK84" s="3709">
        <f>Fighters!$S83</f>
        <v>82</v>
      </c>
      <c r="AL84" s="3708">
        <f>Fighters!$T83</f>
        <v>72</v>
      </c>
      <c r="AM84" s="3739" t="str">
        <f>Fighters!$V83</f>
        <v>master</v>
      </c>
    </row>
    <row r="85">
      <c r="A85" s="3700">
        <f>Fighters!$A84</f>
        <v>76</v>
      </c>
      <c r="B85" s="3701" t="str">
        <f>Fighters!$B84</f>
        <v>ミェンミェン</v>
      </c>
      <c r="C85" s="239" t="s">
        <v>176</v>
      </c>
      <c r="D85" s="3762">
        <v>7.0</v>
      </c>
      <c r="E85" s="307" t="s">
        <v>176</v>
      </c>
      <c r="F85" s="3763">
        <v>19.0</v>
      </c>
      <c r="G85" s="3798" t="s">
        <v>80</v>
      </c>
      <c r="H85" s="3762">
        <v>24.0</v>
      </c>
      <c r="I85" s="3798" t="s">
        <v>232</v>
      </c>
      <c r="J85" s="3762">
        <v>24.0</v>
      </c>
      <c r="K85" s="3798" t="s">
        <v>129</v>
      </c>
      <c r="L85" s="3762">
        <v>23.0</v>
      </c>
      <c r="M85" s="3798" t="s">
        <v>93</v>
      </c>
      <c r="N85" s="3762">
        <v>19.0</v>
      </c>
      <c r="O85" s="3798" t="s">
        <v>150</v>
      </c>
      <c r="P85" s="3762">
        <v>29.0</v>
      </c>
      <c r="Q85" s="3798" t="s">
        <v>86</v>
      </c>
      <c r="R85" s="3763">
        <v>23.0</v>
      </c>
      <c r="S85" s="3798" t="s">
        <v>80</v>
      </c>
      <c r="T85" s="3762">
        <v>24.0</v>
      </c>
      <c r="U85" s="3798" t="s">
        <v>232</v>
      </c>
      <c r="V85" s="3762">
        <v>24.0</v>
      </c>
      <c r="W85" s="3798" t="s">
        <v>129</v>
      </c>
      <c r="X85" s="3762">
        <v>23.0</v>
      </c>
      <c r="Y85" s="3798" t="s">
        <v>93</v>
      </c>
      <c r="Z85" s="3761">
        <v>19.0</v>
      </c>
      <c r="AA85" s="3809">
        <v>3.0</v>
      </c>
      <c r="AB85" s="3810" t="s">
        <v>129</v>
      </c>
      <c r="AC85" s="3811">
        <v>14.0</v>
      </c>
      <c r="AD85" s="3810" t="s">
        <v>164</v>
      </c>
      <c r="AE85" s="3812">
        <v>15.0</v>
      </c>
      <c r="AF85" s="3810" t="s">
        <v>164</v>
      </c>
      <c r="AG85" s="3811">
        <v>11.0</v>
      </c>
      <c r="AH85" s="3810" t="s">
        <v>1114</v>
      </c>
      <c r="AI85" s="3811">
        <v>9.0</v>
      </c>
      <c r="AJ85" s="3813" t="s">
        <v>1114</v>
      </c>
      <c r="AK85" s="3709">
        <f>Fighters!$S84</f>
        <v>83</v>
      </c>
      <c r="AL85" s="3708">
        <f>Fighters!$T84</f>
        <v>73</v>
      </c>
      <c r="AM85" s="3739" t="str">
        <f>Fighters!$V84</f>
        <v>tantan</v>
      </c>
    </row>
    <row r="86">
      <c r="A86" s="3700">
        <f>Fighters!$A85</f>
        <v>77</v>
      </c>
      <c r="B86" s="3701" t="str">
        <f>Fighters!$B85</f>
        <v>スティーブ／アレックス</v>
      </c>
      <c r="C86" s="239" t="s">
        <v>176</v>
      </c>
      <c r="D86" s="3762">
        <v>7.0</v>
      </c>
      <c r="E86" s="307" t="s">
        <v>176</v>
      </c>
      <c r="F86" s="3763">
        <v>19.0</v>
      </c>
      <c r="G86" s="3798" t="s">
        <v>80</v>
      </c>
      <c r="H86" s="3762">
        <v>24.0</v>
      </c>
      <c r="I86" s="3798" t="s">
        <v>232</v>
      </c>
      <c r="J86" s="3762">
        <v>24.0</v>
      </c>
      <c r="K86" s="3798" t="s">
        <v>129</v>
      </c>
      <c r="L86" s="3762">
        <v>23.0</v>
      </c>
      <c r="M86" s="3798" t="s">
        <v>93</v>
      </c>
      <c r="N86" s="3762">
        <v>19.0</v>
      </c>
      <c r="O86" s="3798" t="s">
        <v>150</v>
      </c>
      <c r="P86" s="3762">
        <v>29.0</v>
      </c>
      <c r="Q86" s="3798" t="s">
        <v>86</v>
      </c>
      <c r="R86" s="3763">
        <v>23.0</v>
      </c>
      <c r="S86" s="3798" t="s">
        <v>80</v>
      </c>
      <c r="T86" s="3762">
        <v>24.0</v>
      </c>
      <c r="U86" s="3798" t="s">
        <v>232</v>
      </c>
      <c r="V86" s="3762">
        <v>24.0</v>
      </c>
      <c r="W86" s="3798" t="s">
        <v>129</v>
      </c>
      <c r="X86" s="3762">
        <v>23.0</v>
      </c>
      <c r="Y86" s="3798" t="s">
        <v>93</v>
      </c>
      <c r="Z86" s="3761">
        <v>19.0</v>
      </c>
      <c r="AA86" s="3809">
        <v>3.0</v>
      </c>
      <c r="AB86" s="3810" t="s">
        <v>129</v>
      </c>
      <c r="AC86" s="3811">
        <v>14.0</v>
      </c>
      <c r="AD86" s="3810" t="s">
        <v>164</v>
      </c>
      <c r="AE86" s="3812">
        <v>15.0</v>
      </c>
      <c r="AF86" s="3810" t="s">
        <v>164</v>
      </c>
      <c r="AG86" s="3811">
        <v>11.0</v>
      </c>
      <c r="AH86" s="3810" t="s">
        <v>1114</v>
      </c>
      <c r="AI86" s="3811">
        <v>9.0</v>
      </c>
      <c r="AJ86" s="3813" t="s">
        <v>1114</v>
      </c>
      <c r="AK86" s="3709">
        <f>Fighters!$S85</f>
        <v>84</v>
      </c>
      <c r="AL86" s="3708">
        <f>Fighters!$T85</f>
        <v>74</v>
      </c>
      <c r="AM86" s="3739" t="str">
        <f>Fighters!$V85</f>
        <v>pickel</v>
      </c>
    </row>
    <row r="87">
      <c r="A87" s="3700">
        <f>Fighters!$A86</f>
        <v>78</v>
      </c>
      <c r="B87" s="3753" t="s">
        <v>7252</v>
      </c>
      <c r="C87" s="239" t="s">
        <v>176</v>
      </c>
      <c r="D87" s="3762">
        <v>7.0</v>
      </c>
      <c r="E87" s="307" t="s">
        <v>176</v>
      </c>
      <c r="F87" s="3763">
        <v>19.0</v>
      </c>
      <c r="G87" s="3798" t="s">
        <v>80</v>
      </c>
      <c r="H87" s="3762">
        <v>24.0</v>
      </c>
      <c r="I87" s="3798" t="s">
        <v>232</v>
      </c>
      <c r="J87" s="3762">
        <v>24.0</v>
      </c>
      <c r="K87" s="3798" t="s">
        <v>129</v>
      </c>
      <c r="L87" s="3762">
        <v>23.0</v>
      </c>
      <c r="M87" s="3798" t="s">
        <v>93</v>
      </c>
      <c r="N87" s="3762">
        <v>19.0</v>
      </c>
      <c r="O87" s="3798" t="s">
        <v>150</v>
      </c>
      <c r="P87" s="3762">
        <v>29.0</v>
      </c>
      <c r="Q87" s="3798" t="s">
        <v>86</v>
      </c>
      <c r="R87" s="3763">
        <v>23.0</v>
      </c>
      <c r="S87" s="3798" t="s">
        <v>80</v>
      </c>
      <c r="T87" s="3762">
        <v>24.0</v>
      </c>
      <c r="U87" s="3798" t="s">
        <v>232</v>
      </c>
      <c r="V87" s="3762">
        <v>24.0</v>
      </c>
      <c r="W87" s="3798" t="s">
        <v>129</v>
      </c>
      <c r="X87" s="3762">
        <v>23.0</v>
      </c>
      <c r="Y87" s="3798" t="s">
        <v>93</v>
      </c>
      <c r="Z87" s="3761">
        <v>19.0</v>
      </c>
      <c r="AA87" s="3809">
        <v>3.0</v>
      </c>
      <c r="AB87" s="3810" t="s">
        <v>129</v>
      </c>
      <c r="AC87" s="3811">
        <v>14.0</v>
      </c>
      <c r="AD87" s="3810" t="s">
        <v>164</v>
      </c>
      <c r="AE87" s="3812">
        <v>15.0</v>
      </c>
      <c r="AF87" s="3810" t="s">
        <v>164</v>
      </c>
      <c r="AG87" s="3811">
        <v>11.0</v>
      </c>
      <c r="AH87" s="3810" t="s">
        <v>1114</v>
      </c>
      <c r="AI87" s="3811">
        <v>9.0</v>
      </c>
      <c r="AJ87" s="3813" t="s">
        <v>1114</v>
      </c>
      <c r="AK87" s="3709">
        <f>Fighters!$S86</f>
        <v>85</v>
      </c>
      <c r="AL87" s="3708">
        <f>Fighters!$T86</f>
        <v>75</v>
      </c>
      <c r="AM87" s="3739" t="str">
        <f>Fighters!$V86</f>
        <v>edge</v>
      </c>
    </row>
    <row r="88">
      <c r="A88" s="3700">
        <f>Fighters!$A87</f>
        <v>79</v>
      </c>
      <c r="B88" s="3701" t="str">
        <f>Fighters!$B87</f>
        <v>ホムラ</v>
      </c>
      <c r="C88" s="239" t="s">
        <v>176</v>
      </c>
      <c r="D88" s="3762">
        <v>7.0</v>
      </c>
      <c r="E88" s="3819" t="s">
        <v>176</v>
      </c>
      <c r="F88" s="3763">
        <v>19.0</v>
      </c>
      <c r="G88" s="3798" t="s">
        <v>80</v>
      </c>
      <c r="H88" s="3762">
        <v>24.0</v>
      </c>
      <c r="I88" s="3798" t="s">
        <v>232</v>
      </c>
      <c r="J88" s="3762">
        <v>24.0</v>
      </c>
      <c r="K88" s="3798" t="s">
        <v>129</v>
      </c>
      <c r="L88" s="3762">
        <v>23.0</v>
      </c>
      <c r="M88" s="3798" t="s">
        <v>93</v>
      </c>
      <c r="N88" s="3762">
        <v>19.0</v>
      </c>
      <c r="O88" s="3798" t="s">
        <v>150</v>
      </c>
      <c r="P88" s="3762">
        <v>29.0</v>
      </c>
      <c r="Q88" s="3798" t="s">
        <v>86</v>
      </c>
      <c r="R88" s="3763">
        <v>23.0</v>
      </c>
      <c r="S88" s="3798" t="s">
        <v>80</v>
      </c>
      <c r="T88" s="3762">
        <v>24.0</v>
      </c>
      <c r="U88" s="3798" t="s">
        <v>232</v>
      </c>
      <c r="V88" s="3762">
        <v>24.0</v>
      </c>
      <c r="W88" s="3798" t="s">
        <v>129</v>
      </c>
      <c r="X88" s="3762">
        <v>23.0</v>
      </c>
      <c r="Y88" s="3798" t="s">
        <v>93</v>
      </c>
      <c r="Z88" s="3761">
        <v>19.0</v>
      </c>
      <c r="AA88" s="3809">
        <v>3.0</v>
      </c>
      <c r="AB88" s="3810" t="s">
        <v>129</v>
      </c>
      <c r="AC88" s="3811">
        <v>14.0</v>
      </c>
      <c r="AD88" s="3810" t="s">
        <v>164</v>
      </c>
      <c r="AE88" s="3812">
        <v>15.0</v>
      </c>
      <c r="AF88" s="3810" t="s">
        <v>164</v>
      </c>
      <c r="AG88" s="3811">
        <v>11.0</v>
      </c>
      <c r="AH88" s="3810" t="s">
        <v>1114</v>
      </c>
      <c r="AI88" s="3811">
        <v>9.0</v>
      </c>
      <c r="AJ88" s="3813" t="s">
        <v>1114</v>
      </c>
      <c r="AK88" s="3709">
        <f>Fighters!$S87</f>
        <v>86</v>
      </c>
      <c r="AL88" s="3708">
        <f>Fighters!$T87</f>
        <v>76</v>
      </c>
      <c r="AM88" s="3739" t="str">
        <f>Fighters!$V87</f>
        <v>eflame</v>
      </c>
    </row>
    <row r="89">
      <c r="A89" s="3700">
        <f>Fighters!$A88</f>
        <v>80</v>
      </c>
      <c r="B89" s="3701" t="str">
        <f>Fighters!$B88</f>
        <v>ヒカリ</v>
      </c>
      <c r="C89" s="239" t="s">
        <v>176</v>
      </c>
      <c r="D89" s="3762">
        <v>7.0</v>
      </c>
      <c r="E89" s="3819" t="s">
        <v>176</v>
      </c>
      <c r="F89" s="3763">
        <v>19.0</v>
      </c>
      <c r="G89" s="3798" t="s">
        <v>80</v>
      </c>
      <c r="H89" s="3762">
        <v>24.0</v>
      </c>
      <c r="I89" s="3798" t="s">
        <v>232</v>
      </c>
      <c r="J89" s="3762">
        <v>24.0</v>
      </c>
      <c r="K89" s="3798" t="s">
        <v>129</v>
      </c>
      <c r="L89" s="3762">
        <v>23.0</v>
      </c>
      <c r="M89" s="3798" t="s">
        <v>93</v>
      </c>
      <c r="N89" s="3762">
        <v>19.0</v>
      </c>
      <c r="O89" s="3798" t="s">
        <v>150</v>
      </c>
      <c r="P89" s="3762">
        <v>29.0</v>
      </c>
      <c r="Q89" s="3798" t="s">
        <v>86</v>
      </c>
      <c r="R89" s="3763">
        <v>23.0</v>
      </c>
      <c r="S89" s="3798" t="s">
        <v>80</v>
      </c>
      <c r="T89" s="3762">
        <v>24.0</v>
      </c>
      <c r="U89" s="3798" t="s">
        <v>232</v>
      </c>
      <c r="V89" s="3762">
        <v>24.0</v>
      </c>
      <c r="W89" s="3798" t="s">
        <v>129</v>
      </c>
      <c r="X89" s="3762">
        <v>23.0</v>
      </c>
      <c r="Y89" s="3798" t="s">
        <v>93</v>
      </c>
      <c r="Z89" s="3761">
        <v>19.0</v>
      </c>
      <c r="AA89" s="3809">
        <v>3.0</v>
      </c>
      <c r="AB89" s="3810" t="s">
        <v>129</v>
      </c>
      <c r="AC89" s="3811">
        <v>14.0</v>
      </c>
      <c r="AD89" s="3810" t="s">
        <v>164</v>
      </c>
      <c r="AE89" s="3812">
        <v>15.0</v>
      </c>
      <c r="AF89" s="3810" t="s">
        <v>164</v>
      </c>
      <c r="AG89" s="3811">
        <v>11.0</v>
      </c>
      <c r="AH89" s="3810" t="s">
        <v>1114</v>
      </c>
      <c r="AI89" s="3811">
        <v>9.0</v>
      </c>
      <c r="AJ89" s="3813" t="s">
        <v>1114</v>
      </c>
      <c r="AK89" s="3709">
        <f>Fighters!$S88</f>
        <v>87</v>
      </c>
      <c r="AL89" s="3708">
        <f>Fighters!$T88</f>
        <v>77</v>
      </c>
      <c r="AM89" s="3739" t="str">
        <f>Fighters!$V88</f>
        <v>elight</v>
      </c>
    </row>
    <row r="90">
      <c r="A90" s="3700">
        <f>Fighters!$A89</f>
        <v>81</v>
      </c>
      <c r="B90" s="3701" t="str">
        <f>Fighters!$B89</f>
        <v>カズヤ</v>
      </c>
      <c r="C90" s="239" t="s">
        <v>176</v>
      </c>
      <c r="D90" s="3762">
        <v>7.0</v>
      </c>
      <c r="E90" s="3819" t="s">
        <v>176</v>
      </c>
      <c r="F90" s="3763">
        <v>19.0</v>
      </c>
      <c r="G90" s="3798" t="s">
        <v>80</v>
      </c>
      <c r="H90" s="3762">
        <v>24.0</v>
      </c>
      <c r="I90" s="3798" t="s">
        <v>232</v>
      </c>
      <c r="J90" s="3762">
        <v>24.0</v>
      </c>
      <c r="K90" s="3798" t="s">
        <v>129</v>
      </c>
      <c r="L90" s="3762">
        <v>23.0</v>
      </c>
      <c r="M90" s="3798" t="s">
        <v>93</v>
      </c>
      <c r="N90" s="3762">
        <v>19.0</v>
      </c>
      <c r="O90" s="3798" t="s">
        <v>150</v>
      </c>
      <c r="P90" s="3762">
        <v>29.0</v>
      </c>
      <c r="Q90" s="3798" t="s">
        <v>86</v>
      </c>
      <c r="R90" s="3763">
        <v>23.0</v>
      </c>
      <c r="S90" s="3798" t="s">
        <v>80</v>
      </c>
      <c r="T90" s="3762">
        <v>24.0</v>
      </c>
      <c r="U90" s="3798" t="s">
        <v>232</v>
      </c>
      <c r="V90" s="3762">
        <v>24.0</v>
      </c>
      <c r="W90" s="3798" t="s">
        <v>129</v>
      </c>
      <c r="X90" s="3762">
        <v>23.0</v>
      </c>
      <c r="Y90" s="3798" t="s">
        <v>93</v>
      </c>
      <c r="Z90" s="3761">
        <v>19.0</v>
      </c>
      <c r="AA90" s="3820">
        <v>3.0</v>
      </c>
      <c r="AB90" s="3821">
        <v>12.0</v>
      </c>
      <c r="AC90" s="3822">
        <v>14.0</v>
      </c>
      <c r="AD90" s="3821">
        <v>30.0</v>
      </c>
      <c r="AE90" s="3812">
        <v>15.0</v>
      </c>
      <c r="AF90" s="3821">
        <v>30.0</v>
      </c>
      <c r="AG90" s="3822">
        <v>11.0</v>
      </c>
      <c r="AH90" s="3821">
        <v>22.0</v>
      </c>
      <c r="AI90" s="3822">
        <v>9.0</v>
      </c>
      <c r="AJ90" s="3823">
        <v>22.0</v>
      </c>
      <c r="AK90" s="3709">
        <f>Fighters!$S89</f>
        <v>88</v>
      </c>
      <c r="AL90" s="3708">
        <f>Fighters!$T89</f>
        <v>78</v>
      </c>
      <c r="AM90" s="3754" t="s">
        <v>7267</v>
      </c>
    </row>
    <row r="91">
      <c r="A91" s="3700">
        <f>Fighters!$A90</f>
        <v>82</v>
      </c>
      <c r="B91" s="3701" t="str">
        <f>Fighters!$B90</f>
        <v>ソラ</v>
      </c>
      <c r="C91" s="2214" t="s">
        <v>204</v>
      </c>
      <c r="D91" s="3762">
        <v>7.0</v>
      </c>
      <c r="E91" s="3824" t="s">
        <v>204</v>
      </c>
      <c r="F91" s="3763">
        <v>19.0</v>
      </c>
      <c r="G91" s="3798" t="s">
        <v>80</v>
      </c>
      <c r="H91" s="3762">
        <v>24.0</v>
      </c>
      <c r="I91" s="3798" t="s">
        <v>232</v>
      </c>
      <c r="J91" s="3762">
        <v>24.0</v>
      </c>
      <c r="K91" s="3798" t="s">
        <v>129</v>
      </c>
      <c r="L91" s="3762">
        <v>23.0</v>
      </c>
      <c r="M91" s="3798" t="s">
        <v>93</v>
      </c>
      <c r="N91" s="3762">
        <v>19.0</v>
      </c>
      <c r="O91" s="3798" t="s">
        <v>150</v>
      </c>
      <c r="P91" s="3762">
        <v>29.0</v>
      </c>
      <c r="Q91" s="3798" t="s">
        <v>86</v>
      </c>
      <c r="R91" s="3763">
        <v>23.0</v>
      </c>
      <c r="S91" s="3798" t="s">
        <v>80</v>
      </c>
      <c r="T91" s="3762">
        <v>24.0</v>
      </c>
      <c r="U91" s="3798" t="s">
        <v>232</v>
      </c>
      <c r="V91" s="3762">
        <v>24.0</v>
      </c>
      <c r="W91" s="3798" t="s">
        <v>129</v>
      </c>
      <c r="X91" s="3762">
        <v>23.0</v>
      </c>
      <c r="Y91" s="3798" t="s">
        <v>93</v>
      </c>
      <c r="Z91" s="3761">
        <v>19.0</v>
      </c>
      <c r="AA91" s="3820">
        <v>3.0</v>
      </c>
      <c r="AB91" s="3821">
        <v>12.0</v>
      </c>
      <c r="AC91" s="3822">
        <v>14.0</v>
      </c>
      <c r="AD91" s="3821">
        <v>30.0</v>
      </c>
      <c r="AE91" s="3825">
        <v>15.0</v>
      </c>
      <c r="AF91" s="3821">
        <v>30.0</v>
      </c>
      <c r="AG91" s="3822">
        <v>11.0</v>
      </c>
      <c r="AH91" s="3821">
        <v>22.0</v>
      </c>
      <c r="AI91" s="3822">
        <v>9.0</v>
      </c>
      <c r="AJ91" s="3823">
        <v>22.0</v>
      </c>
      <c r="AK91" s="3709">
        <f>Fighters!$S90</f>
        <v>89</v>
      </c>
      <c r="AL91" s="3708">
        <f>Fighters!$T90</f>
        <v>79</v>
      </c>
      <c r="AM91" s="3739" t="str">
        <f>Fighters!$V90</f>
        <v>trail</v>
      </c>
    </row>
  </sheetData>
  <autoFilter ref="$A$2:$AM$91"/>
  <mergeCells count="17">
    <mergeCell ref="C1:D1"/>
    <mergeCell ref="E1:F1"/>
    <mergeCell ref="G1:H1"/>
    <mergeCell ref="I1:J1"/>
    <mergeCell ref="K1:L1"/>
    <mergeCell ref="M1:N1"/>
    <mergeCell ref="O1:P1"/>
    <mergeCell ref="AE1:AF1"/>
    <mergeCell ref="AG1:AH1"/>
    <mergeCell ref="AI1:AJ1"/>
    <mergeCell ref="Q1:R1"/>
    <mergeCell ref="S1:T1"/>
    <mergeCell ref="U1:V1"/>
    <mergeCell ref="W1:X1"/>
    <mergeCell ref="Y1:Z1"/>
    <mergeCell ref="AA1:AB1"/>
    <mergeCell ref="AC1:AD1"/>
  </mergeCells>
  <drawing r:id="rId1"/>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9" width="11.63"/>
    <col collapsed="1" customWidth="1" min="10" max="10" width="11.63"/>
    <col customWidth="1" hidden="1" min="11" max="14" width="11.63" outlineLevel="1"/>
    <col customWidth="1" hidden="1" min="15" max="20" width="7.0" outlineLevel="1"/>
    <col customWidth="1" min="21" max="21" width="7.5"/>
    <col customWidth="1" min="22" max="22" width="7.0"/>
  </cols>
  <sheetData>
    <row r="1">
      <c r="A1" s="2250">
        <v>50.0</v>
      </c>
      <c r="B1" s="2251"/>
      <c r="C1" s="2252" t="str">
        <f>IMAGE(VLOOKUP($A$1,Fighters!A2:AI114,12,FALSE),1)</f>
        <v>#REF!</v>
      </c>
      <c r="D1" s="2253"/>
      <c r="E1" s="2253"/>
      <c r="F1" s="2253"/>
      <c r="G1" s="2254"/>
      <c r="H1" s="2255"/>
      <c r="I1" s="2253"/>
      <c r="J1" s="2254"/>
      <c r="K1" s="2256"/>
      <c r="L1" s="2253"/>
      <c r="M1" s="2254"/>
      <c r="N1" s="2257"/>
      <c r="O1" s="2257"/>
      <c r="P1" s="2257"/>
      <c r="Q1" s="2257"/>
      <c r="R1" s="2258"/>
      <c r="S1" s="2258"/>
      <c r="T1" s="2258"/>
      <c r="U1" s="2258"/>
      <c r="V1" s="2258"/>
    </row>
    <row r="2">
      <c r="A2" s="2259" t="str">
        <f>VLOOKUP($A$1,Fighters!$A$2:$AI$81,6,FALSE)</f>
        <v>#1a1e54</v>
      </c>
      <c r="B2" s="2251"/>
      <c r="C2" s="2260"/>
      <c r="G2" s="2261"/>
      <c r="H2" s="2262"/>
      <c r="I2" s="2263"/>
      <c r="J2" s="2264"/>
      <c r="K2" s="2262"/>
      <c r="L2" s="2263"/>
      <c r="M2" s="2264"/>
      <c r="N2" s="2257"/>
      <c r="O2" s="2257"/>
      <c r="P2" s="2257"/>
      <c r="Q2" s="2257"/>
      <c r="R2" s="2258"/>
      <c r="S2" s="2258"/>
      <c r="T2" s="2258"/>
      <c r="U2" s="2258"/>
      <c r="V2" s="2258"/>
    </row>
    <row r="3">
      <c r="A3" s="2259" t="str">
        <f>VLOOKUP($A$1,Fighters!$A$2:$AI$81,14,FALSE)</f>
        <v>50. ゲッコウガ</v>
      </c>
      <c r="B3" s="2251"/>
      <c r="C3" s="2260"/>
      <c r="G3" s="2261"/>
      <c r="H3" s="2265"/>
      <c r="I3" s="2265"/>
      <c r="J3" s="2265"/>
      <c r="K3" s="2266"/>
      <c r="L3" s="2266"/>
      <c r="M3" s="2266"/>
      <c r="N3" s="2257"/>
      <c r="O3" s="2257"/>
      <c r="P3" s="2257"/>
      <c r="Q3" s="2257"/>
      <c r="R3" s="2267"/>
      <c r="S3" s="2258"/>
      <c r="T3" s="2258"/>
      <c r="U3" s="2258"/>
      <c r="V3" s="2258"/>
    </row>
    <row r="4">
      <c r="A4" s="2259" t="str">
        <f>VLOOKUP($A$1,Fighters!$A$2:$AI$81,13,FALSE)</f>
        <v>1</v>
      </c>
      <c r="B4" s="2251"/>
      <c r="C4" s="2260"/>
      <c r="G4" s="2261"/>
      <c r="H4" s="2268"/>
      <c r="I4" s="2268"/>
      <c r="J4" s="2265"/>
      <c r="K4" s="2266"/>
      <c r="L4" s="2266"/>
      <c r="M4" s="2266"/>
      <c r="N4" s="2257"/>
      <c r="O4" s="2257"/>
      <c r="P4" s="2257"/>
      <c r="Q4" s="2257"/>
      <c r="R4" s="2267"/>
      <c r="S4" s="2258"/>
      <c r="T4" s="2258"/>
      <c r="U4" s="2258"/>
      <c r="V4" s="2258"/>
    </row>
    <row r="5" ht="16.5" customHeight="1">
      <c r="A5" s="2250"/>
      <c r="B5" s="2251"/>
      <c r="C5" s="2260"/>
      <c r="G5" s="2261"/>
      <c r="H5" s="2269"/>
      <c r="I5" s="2269"/>
      <c r="J5" s="2270"/>
      <c r="K5" s="2271"/>
      <c r="L5" s="2272"/>
      <c r="M5" s="2272"/>
      <c r="N5" s="2257"/>
      <c r="O5" s="2257"/>
      <c r="P5" s="2257"/>
      <c r="Q5" s="2257"/>
      <c r="R5" s="2267"/>
      <c r="S5" s="2258"/>
      <c r="T5" s="2258"/>
      <c r="U5" s="2258"/>
      <c r="V5" s="2258"/>
    </row>
    <row r="6">
      <c r="A6" s="2251"/>
      <c r="B6" s="2251"/>
      <c r="C6" s="2260"/>
      <c r="G6" s="2261"/>
      <c r="H6" s="2268"/>
      <c r="I6" s="2273" t="s">
        <v>39</v>
      </c>
      <c r="J6" s="2271"/>
      <c r="K6" s="2274"/>
      <c r="L6" s="2272"/>
      <c r="M6" s="2272"/>
      <c r="N6" s="2257"/>
      <c r="O6" s="2257"/>
      <c r="P6" s="2257"/>
      <c r="Q6" s="2257"/>
      <c r="R6" s="2267"/>
      <c r="S6" s="2258"/>
      <c r="T6" s="2258"/>
      <c r="U6" s="2258"/>
      <c r="V6" s="2258"/>
    </row>
    <row r="7">
      <c r="A7" s="2251"/>
      <c r="B7" s="2251"/>
      <c r="C7" s="2260"/>
      <c r="G7" s="2261"/>
      <c r="H7" s="2269"/>
      <c r="I7" s="2269"/>
      <c r="J7" s="2271"/>
      <c r="K7" s="2274"/>
      <c r="L7" s="2272"/>
      <c r="M7" s="2272"/>
      <c r="N7" s="2257"/>
      <c r="O7" s="2257"/>
      <c r="P7" s="2257"/>
      <c r="Q7" s="2257"/>
      <c r="R7" s="2267"/>
      <c r="S7" s="2258"/>
      <c r="T7" s="2258"/>
      <c r="U7" s="2258"/>
      <c r="V7" s="2258"/>
    </row>
    <row r="8">
      <c r="A8" s="2251"/>
      <c r="B8" s="2251"/>
      <c r="C8" s="2260"/>
      <c r="G8" s="2261"/>
      <c r="H8" s="2275">
        <v>43410.93825011574</v>
      </c>
      <c r="I8" s="2253"/>
      <c r="J8" s="2254"/>
      <c r="K8" s="2271"/>
      <c r="L8" s="2272"/>
      <c r="M8" s="2272"/>
      <c r="N8" s="2257"/>
      <c r="O8" s="2257"/>
      <c r="P8" s="2257"/>
      <c r="Q8" s="2257"/>
      <c r="R8" s="2267"/>
      <c r="S8" s="2258"/>
      <c r="T8" s="2258"/>
      <c r="U8" s="2258"/>
      <c r="V8" s="2258"/>
    </row>
    <row r="9">
      <c r="A9" s="2251"/>
      <c r="B9" s="2251"/>
      <c r="C9" s="2260"/>
      <c r="G9" s="2261"/>
      <c r="H9" s="2262"/>
      <c r="I9" s="2263"/>
      <c r="J9" s="2264"/>
      <c r="K9" s="2258"/>
      <c r="L9" s="2257"/>
      <c r="M9" s="2257"/>
      <c r="N9" s="2257"/>
      <c r="O9" s="2257"/>
      <c r="P9" s="2257"/>
      <c r="Q9" s="2257"/>
      <c r="R9" s="2267"/>
      <c r="S9" s="2258"/>
      <c r="T9" s="2258"/>
      <c r="U9" s="2258"/>
      <c r="V9" s="2258"/>
    </row>
    <row r="10">
      <c r="A10" s="3826"/>
      <c r="B10" s="2251"/>
      <c r="C10" s="2260"/>
      <c r="G10" s="2261"/>
      <c r="H10" s="2276"/>
      <c r="I10" s="2276"/>
      <c r="J10" s="2258"/>
      <c r="K10" s="2258"/>
      <c r="L10" s="2257"/>
      <c r="M10" s="2257"/>
      <c r="N10" s="2257"/>
      <c r="O10" s="2257"/>
      <c r="P10" s="2257"/>
      <c r="Q10" s="2257"/>
      <c r="R10" s="2267"/>
      <c r="S10" s="2258"/>
      <c r="T10" s="2258"/>
      <c r="U10" s="2258"/>
      <c r="V10" s="2258"/>
    </row>
    <row r="11">
      <c r="A11" s="3827"/>
      <c r="B11" s="2251"/>
      <c r="C11" s="2260"/>
      <c r="G11" s="2261"/>
      <c r="H11" s="2269"/>
      <c r="I11" s="2269"/>
      <c r="J11" s="2258"/>
      <c r="K11" s="2258"/>
      <c r="L11" s="2257"/>
      <c r="M11" s="2257"/>
      <c r="N11" s="2257"/>
      <c r="O11" s="2257"/>
      <c r="P11" s="2257"/>
      <c r="Q11" s="2257"/>
      <c r="R11" s="2267"/>
      <c r="S11" s="2258"/>
      <c r="T11" s="2258"/>
      <c r="U11" s="2258"/>
      <c r="V11" s="2258"/>
    </row>
    <row r="12">
      <c r="A12" s="2269"/>
      <c r="B12" s="2251"/>
      <c r="C12" s="2262"/>
      <c r="D12" s="2263"/>
      <c r="E12" s="2263"/>
      <c r="F12" s="2263"/>
      <c r="G12" s="2264"/>
      <c r="H12" s="2278"/>
      <c r="I12" s="2278"/>
      <c r="J12" s="2251"/>
      <c r="K12" s="2251"/>
      <c r="L12" s="2257"/>
      <c r="M12" s="2257"/>
      <c r="N12" s="2257"/>
      <c r="O12" s="2257"/>
      <c r="P12" s="2257"/>
      <c r="Q12" s="2257"/>
      <c r="R12" s="2267"/>
      <c r="S12" s="2258"/>
      <c r="T12" s="2258"/>
      <c r="U12" s="2258"/>
      <c r="V12" s="2258"/>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
        <v>41</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
        <v>42</v>
      </c>
      <c r="D16" s="109"/>
      <c r="E16" s="108" t="s">
        <v>43</v>
      </c>
      <c r="F16" s="109"/>
      <c r="G16" s="108" t="s">
        <v>44</v>
      </c>
      <c r="H16" s="109"/>
      <c r="I16" s="101"/>
      <c r="J16" s="101"/>
      <c r="K16" s="108" t="s">
        <v>5279</v>
      </c>
      <c r="L16" s="110"/>
      <c r="M16" s="110"/>
      <c r="N16" s="109"/>
      <c r="O16" s="99"/>
      <c r="P16" s="99"/>
      <c r="Q16" s="99"/>
      <c r="R16" s="99"/>
      <c r="S16" s="111"/>
      <c r="T16" s="111"/>
      <c r="U16" s="111"/>
      <c r="V16" s="111"/>
    </row>
    <row r="17" outlineLevel="1">
      <c r="A17" s="112" t="s">
        <v>5280</v>
      </c>
      <c r="B17" s="113" t="str">
        <f t="array" ref="B17">INDEX('行動フレーム・能力値'!$C$2:$AD$81, MATCH($A$1,'行動フレーム・能力値'!$A$2:$A$95,0), MATCH(A17,'行動フレーム・能力値'!$C$1:$AD$1,0))&amp;"回"</f>
        <v>2回</v>
      </c>
      <c r="C17" s="112" t="s">
        <v>2922</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
        <v>5281</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88 [66th]</v>
      </c>
      <c r="G17" s="112" t="s">
        <v>5282</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32F</v>
      </c>
      <c r="I17" s="114"/>
      <c r="J17" s="101"/>
      <c r="K17" s="112" t="s">
        <v>3400</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2.178 [14th]</v>
      </c>
      <c r="M17" s="112" t="s">
        <v>5283</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
        <v>5284</v>
      </c>
      <c r="B18" s="113" t="b">
        <f t="array" ref="B18">INDEX('行動フレーム・能力値'!$C$2:$AD$81, MATCH($A$1,'行動フレーム・能力値'!$A$2:$A$95,0), MATCH(A18,'行動フレーム・能力値'!$C$1:$AD$1,0))</f>
        <v>1</v>
      </c>
      <c r="C18" s="112" t="s">
        <v>5285</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
        <v>3399</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1.502 [4th]</v>
      </c>
      <c r="G18" s="112" t="s">
        <v>5286</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49F</v>
      </c>
      <c r="I18" s="114"/>
      <c r="J18" s="101"/>
      <c r="K18" s="112" t="s">
        <v>3402</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0.187 [6th]</v>
      </c>
      <c r="M18" s="112" t="s">
        <v>5287</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46 [2nd]</v>
      </c>
      <c r="O18" s="99"/>
      <c r="P18" s="99"/>
      <c r="Q18" s="99"/>
      <c r="R18" s="99"/>
      <c r="S18" s="111"/>
      <c r="T18" s="111"/>
      <c r="U18" s="111"/>
      <c r="V18" s="111"/>
    </row>
    <row r="19" outlineLevel="1">
      <c r="A19" s="112" t="s">
        <v>5288</v>
      </c>
      <c r="B19" s="113" t="b">
        <f t="array" ref="B19">INDEX('行動フレーム・能力値'!$C$2:$AD$81, MATCH($A$1,'行動フレーム・能力値'!$A$2:$A$95,0), MATCH(A19,'行動フレーム・能力値'!$C$1:$AD$1,0))</f>
        <v>1</v>
      </c>
      <c r="C19" s="112" t="s">
        <v>5289</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
        <v>3403</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2.288 [8th]</v>
      </c>
      <c r="G19" s="112" t="s">
        <v>5290</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24F</v>
      </c>
      <c r="I19" s="114"/>
      <c r="J19" s="101"/>
      <c r="K19" s="112" t="s">
        <v>3404</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0.087 [75th]</v>
      </c>
      <c r="M19" s="112" t="s">
        <v>5291</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22.11 [1st]</v>
      </c>
      <c r="O19" s="99"/>
      <c r="P19" s="99"/>
      <c r="Q19" s="99"/>
      <c r="R19" s="99"/>
      <c r="S19" s="111"/>
      <c r="T19" s="111"/>
      <c r="U19" s="111"/>
      <c r="V19" s="111"/>
    </row>
    <row r="20" outlineLevel="1">
      <c r="A20" s="112" t="s">
        <v>5292</v>
      </c>
      <c r="B20" s="113" t="b">
        <f t="array" ref="B20">INDEX('行動フレーム・能力値'!$C$2:$AD$81, MATCH($A$1,'行動フレーム・能力値'!$A$2:$A$95,0), MATCH(A20,'行動フレーム・能力値'!$C$1:$AD$1,0))</f>
        <v>0</v>
      </c>
      <c r="C20" s="116" t="s">
        <v>46</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10F [5th]</v>
      </c>
      <c r="E20" s="112" t="s">
        <v>1584</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1.239 [10th]</v>
      </c>
      <c r="G20" s="112" t="s">
        <v>5293</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35F</v>
      </c>
      <c r="I20" s="114"/>
      <c r="J20" s="101"/>
      <c r="K20" s="112" t="s">
        <v>3405</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
        <v>5294</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46 [5th]</v>
      </c>
      <c r="O20" s="99"/>
      <c r="P20" s="99"/>
      <c r="Q20" s="99"/>
      <c r="R20" s="99"/>
      <c r="S20" s="100"/>
      <c r="T20" s="100"/>
      <c r="U20" s="100"/>
      <c r="V20" s="100"/>
    </row>
    <row r="21" outlineLevel="1">
      <c r="A21" s="112" t="s">
        <v>587</v>
      </c>
      <c r="B21" s="113" t="b">
        <f t="array" ref="B21">INDEX('行動フレーム・能力値'!$C$2:$AD$81, MATCH($A$1,'行動フレーム・能力値'!$A$2:$A$95,0), MATCH(A21,'行動フレーム・能力値'!$C$1:$AD$1,0))</f>
        <v>0</v>
      </c>
      <c r="C21" s="116" t="s">
        <v>5295</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23F [85th]</v>
      </c>
      <c r="E21" s="112" t="s">
        <v>3407</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1.85 [9th]</v>
      </c>
      <c r="G21" s="101"/>
      <c r="H21" s="101"/>
      <c r="I21" s="114"/>
      <c r="J21" s="101"/>
      <c r="K21" s="112" t="s">
        <v>4520</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
        <v>5296</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2.96 [9th]</v>
      </c>
      <c r="G22" s="98"/>
      <c r="H22" s="98"/>
      <c r="I22" s="114"/>
      <c r="J22" s="101"/>
      <c r="K22" s="112" t="s">
        <v>3408</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0.18 [2nd]</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
        <v>47</v>
      </c>
      <c r="B24" s="104"/>
      <c r="C24" s="120"/>
      <c r="D24" s="121"/>
      <c r="E24" s="121"/>
      <c r="F24" s="122"/>
      <c r="G24" s="123"/>
      <c r="H24" s="121"/>
      <c r="I24" s="121"/>
      <c r="J24" s="121"/>
      <c r="K24" s="121"/>
      <c r="L24" s="124"/>
      <c r="M24" s="124"/>
      <c r="N24" s="125"/>
      <c r="O24" s="125"/>
      <c r="P24" s="125"/>
      <c r="Q24" s="126"/>
      <c r="R24" s="100"/>
      <c r="S24" s="100"/>
      <c r="T24" s="100"/>
      <c r="U24" s="124"/>
      <c r="V24" s="124"/>
    </row>
    <row r="25" outlineLevel="1">
      <c r="A25" s="106"/>
      <c r="B25" s="107"/>
      <c r="C25" s="127" t="s">
        <v>48</v>
      </c>
      <c r="D25" s="128" t="s">
        <v>49</v>
      </c>
      <c r="E25" s="128" t="s">
        <v>50</v>
      </c>
      <c r="F25" s="129" t="s">
        <v>51</v>
      </c>
      <c r="G25" s="128" t="s">
        <v>52</v>
      </c>
      <c r="H25" s="361" t="s">
        <v>53</v>
      </c>
      <c r="I25" s="110"/>
      <c r="J25" s="109"/>
      <c r="K25" s="131" t="s">
        <v>137</v>
      </c>
      <c r="L25" s="131" t="s">
        <v>138</v>
      </c>
      <c r="M25" s="131" t="s">
        <v>139</v>
      </c>
      <c r="N25" s="131" t="s">
        <v>140</v>
      </c>
      <c r="O25" s="132" t="s">
        <v>141</v>
      </c>
      <c r="P25" s="131" t="s">
        <v>142</v>
      </c>
      <c r="Q25" s="132" t="s">
        <v>143</v>
      </c>
      <c r="R25" s="100"/>
      <c r="S25" s="100"/>
      <c r="T25" s="100"/>
      <c r="U25" s="127" t="s">
        <v>54</v>
      </c>
      <c r="V25" s="100"/>
    </row>
    <row r="26" outlineLevel="1">
      <c r="A26" s="133" t="s">
        <v>266</v>
      </c>
      <c r="B26" s="134" t="s">
        <v>55</v>
      </c>
      <c r="C26" s="701"/>
      <c r="D26" s="701"/>
      <c r="E26" s="139"/>
      <c r="F26" s="138">
        <f t="shared" ref="F26:F28" si="1">IFERROR(IFS(E26="-","-",LEN(E26)-LEN(SUBSTITUTE(E26,"/",""))=0,MULTIPLY(E26,1.2),LEN(E26)-LEN(SUBSTITUTE(E26,"/",""))=1,MULTIPLY(LEFT(E26,FIND("/",E26)-1),1.2)&amp;"/"&amp;MULTIPLY(MID(E26,FIND("/",E26)+1,10),1.2),LEN(E26)-LEN(SUBSTITUTE(E26,"/",""))=2,MULTIPLY(LEFT(E26,FIND("!",SUBSTITUTE(E26,"/","!",1))-1),1.2)&amp;"/"&amp;MULTIPLY(MID(E26,FIND("!",SUBSTITUTE(E26,"/","!",1))+1,FIND("!",SUBSTITUTE(E26,"/","!",2))-FIND("!",SUBSTITUTE(E26,"/","!",1))-1),1.2)&amp;"/"&amp;MULTIPLY(RIGHT(E26,LEN(E26)-FIND("!",SUBSTITUTE(E26,"/","!",2))),1.2),LEN(E26)-LEN(SUBSTITUTE(E26,"/",""))=3,MULTIPLY(LEFT(E26,FIND("!",SUBSTITUTE(E26,"/","!",1))-1),1.2)&amp;"/"&amp;MULTIPLY(MID(E26,FIND("!",SUBSTITUTE(E26,"/","!",1))+1,FIND("!",SUBSTITUTE(E26,"/","!",2))-FIND("!",SUBSTITUTE(E26,"/","!",1))-1),1.2)&amp;"/"&amp;MULTIPLY(MID(E26,FIND("!",SUBSTITUTE(E26,"/","!",2))+1,FIND("!",SUBSTITUTE(E26,"/","!",3))-FIND("!",SUBSTITUTE(E26,"/","!",2))-1),1.2)&amp;"/"&amp;MULTIPLY(RIGHT(E26,LEN(E26)-FIND("!",SUBSTITUTE(E26,"/","!",3))),1.2),LEN(E26)-LEN(SUBSTITUTE(E26,"/",""))=4,MULTIPLY(LEFT(E26,FIND("!",SUBSTITUTE(E26,"/","!",1))-1),1.2)&amp;"/"&amp;MULTIPLY(MID(E26,FIND("!",SUBSTITUTE(E26,"/","!",1))+1,FIND("!",SUBSTITUTE(E26,"/","!",2))-FIND("!",SUBSTITUTE(E26,"/","!",1))-1),1.2)&amp;"/"&amp;MULTIPLY(MID(E26,FIND("!",SUBSTITUTE(E26,"/","!",2))+1,FIND("!",SUBSTITUTE(E26,"/","!",3))-FIND("!",SUBSTITUTE(E26,"/","!",2))-1),1.2)&amp;"/"&amp;MULTIPLY(MID(E26,FIND("!",SUBSTITUTE(E26,"/","!",3))+1,FIND("!",SUBSTITUTE(E26,"/","!",4))-FIND("!",SUBSTITUTE(E26,"/","!",3))-1),1.2)&amp;"/"&amp;MULTIPLY(RIGHT(E26,LEN(E26)-FIND("!",SUBSTITUTE(E26,"/","!",4))),1.2)),"")</f>
        <v>0</v>
      </c>
      <c r="G26" s="139"/>
      <c r="H26" s="151" t="s">
        <v>7426</v>
      </c>
      <c r="I26" s="110"/>
      <c r="J26" s="109"/>
      <c r="K26" s="282"/>
      <c r="L26" s="282"/>
      <c r="M26" s="363"/>
      <c r="N26" s="363"/>
      <c r="O26" s="145">
        <v>0.0</v>
      </c>
      <c r="P26" s="145">
        <v>1.0</v>
      </c>
      <c r="Q26" s="145">
        <v>1.0</v>
      </c>
      <c r="R26" s="100"/>
      <c r="S26" s="100"/>
      <c r="T26" s="100"/>
      <c r="U26" s="1584"/>
      <c r="V26" s="100"/>
    </row>
    <row r="27" outlineLevel="1">
      <c r="A27" s="146"/>
      <c r="B27" s="147" t="s">
        <v>63</v>
      </c>
      <c r="C27" s="774"/>
      <c r="D27" s="774"/>
      <c r="E27" s="216"/>
      <c r="F27" s="138">
        <f t="shared" si="1"/>
        <v>0</v>
      </c>
      <c r="G27" s="216"/>
      <c r="H27" s="151" t="s">
        <v>7427</v>
      </c>
      <c r="I27" s="110"/>
      <c r="J27" s="109"/>
      <c r="K27" s="282"/>
      <c r="L27" s="282"/>
      <c r="M27" s="363"/>
      <c r="N27" s="363"/>
      <c r="O27" s="145">
        <v>0.0</v>
      </c>
      <c r="P27" s="145">
        <v>1.0</v>
      </c>
      <c r="Q27" s="145">
        <v>1.0</v>
      </c>
      <c r="R27" s="100"/>
      <c r="S27" s="100"/>
      <c r="T27" s="100"/>
      <c r="U27" s="1584"/>
      <c r="V27" s="100"/>
    </row>
    <row r="28" outlineLevel="1">
      <c r="A28" s="146"/>
      <c r="B28" s="147" t="s">
        <v>70</v>
      </c>
      <c r="C28" s="774"/>
      <c r="D28" s="774"/>
      <c r="E28" s="216"/>
      <c r="F28" s="138">
        <f t="shared" si="1"/>
        <v>0</v>
      </c>
      <c r="G28" s="216"/>
      <c r="H28" s="151"/>
      <c r="I28" s="110"/>
      <c r="J28" s="109"/>
      <c r="K28" s="282"/>
      <c r="L28" s="282"/>
      <c r="M28" s="363"/>
      <c r="N28" s="363"/>
      <c r="O28" s="145">
        <v>0.0</v>
      </c>
      <c r="P28" s="145">
        <v>1.0</v>
      </c>
      <c r="Q28" s="145">
        <v>1.0</v>
      </c>
      <c r="R28" s="100"/>
      <c r="S28" s="100"/>
      <c r="T28" s="100"/>
      <c r="U28" s="1584"/>
      <c r="V28" s="100"/>
    </row>
    <row r="29" outlineLevel="1">
      <c r="A29" s="146"/>
      <c r="B29" s="147" t="s">
        <v>703</v>
      </c>
      <c r="C29" s="659"/>
      <c r="D29" s="774"/>
      <c r="E29" s="659"/>
      <c r="F29" s="658"/>
      <c r="G29" s="659"/>
      <c r="H29" s="151"/>
      <c r="I29" s="110"/>
      <c r="J29" s="109"/>
      <c r="K29" s="261"/>
      <c r="L29" s="261"/>
      <c r="M29" s="261"/>
      <c r="N29" s="261"/>
      <c r="O29" s="261"/>
      <c r="P29" s="261"/>
      <c r="Q29" s="261"/>
      <c r="R29" s="100"/>
      <c r="S29" s="100"/>
      <c r="T29" s="100"/>
      <c r="U29" s="1584"/>
      <c r="V29" s="100"/>
    </row>
    <row r="30" outlineLevel="1">
      <c r="A30" s="146"/>
      <c r="B30" s="147" t="s">
        <v>704</v>
      </c>
      <c r="C30" s="774"/>
      <c r="D30" s="774"/>
      <c r="E30" s="774"/>
      <c r="F30" s="138">
        <f t="shared" ref="F30:F53" si="2">IFERROR(IFS(E30="-","-",LEN(E30)-LEN(SUBSTITUTE(E30,"/",""))=0,MULTIPLY(E30,1.2),LEN(E30)-LEN(SUBSTITUTE(E30,"/",""))=1,MULTIPLY(LEFT(E30,FIND("/",E30)-1),1.2)&amp;"/"&amp;MULTIPLY(MID(E30,FIND("/",E30)+1,10),1.2),LEN(E30)-LEN(SUBSTITUTE(E30,"/",""))=2,MULTIPLY(LEFT(E30,FIND("!",SUBSTITUTE(E30,"/","!",1))-1),1.2)&amp;"/"&amp;MULTIPLY(MID(E30,FIND("!",SUBSTITUTE(E30,"/","!",1))+1,FIND("!",SUBSTITUTE(E30,"/","!",2))-FIND("!",SUBSTITUTE(E30,"/","!",1))-1),1.2)&amp;"/"&amp;MULTIPLY(RIGHT(E30,LEN(E30)-FIND("!",SUBSTITUTE(E30,"/","!",2))),1.2),LEN(E30)-LEN(SUBSTITUTE(E30,"/",""))=3,MULTIPLY(LEFT(E30,FIND("!",SUBSTITUTE(E30,"/","!",1))-1),1.2)&amp;"/"&amp;MULTIPLY(MID(E30,FIND("!",SUBSTITUTE(E30,"/","!",1))+1,FIND("!",SUBSTITUTE(E30,"/","!",2))-FIND("!",SUBSTITUTE(E30,"/","!",1))-1),1.2)&amp;"/"&amp;MULTIPLY(MID(E30,FIND("!",SUBSTITUTE(E30,"/","!",2))+1,FIND("!",SUBSTITUTE(E30,"/","!",3))-FIND("!",SUBSTITUTE(E30,"/","!",2))-1),1.2)&amp;"/"&amp;MULTIPLY(RIGHT(E30,LEN(E30)-FIND("!",SUBSTITUTE(E30,"/","!",3))),1.2),LEN(E30)-LEN(SUBSTITUTE(E30,"/",""))=4,MULTIPLY(LEFT(E30,FIND("!",SUBSTITUTE(E30,"/","!",1))-1),1.2)&amp;"/"&amp;MULTIPLY(MID(E30,FIND("!",SUBSTITUTE(E30,"/","!",1))+1,FIND("!",SUBSTITUTE(E30,"/","!",2))-FIND("!",SUBSTITUTE(E30,"/","!",1))-1),1.2)&amp;"/"&amp;MULTIPLY(MID(E30,FIND("!",SUBSTITUTE(E30,"/","!",2))+1,FIND("!",SUBSTITUTE(E30,"/","!",3))-FIND("!",SUBSTITUTE(E30,"/","!",2))-1),1.2)&amp;"/"&amp;MULTIPLY(MID(E30,FIND("!",SUBSTITUTE(E30,"/","!",3))+1,FIND("!",SUBSTITUTE(E30,"/","!",4))-FIND("!",SUBSTITUTE(E30,"/","!",3))-1),1.2)&amp;"/"&amp;MULTIPLY(RIGHT(E30,LEN(E30)-FIND("!",SUBSTITUTE(E30,"/","!",4))),1.2)),"")</f>
        <v>0</v>
      </c>
      <c r="G30" s="774"/>
      <c r="H30" s="151"/>
      <c r="I30" s="110"/>
      <c r="J30" s="109"/>
      <c r="K30" s="282"/>
      <c r="L30" s="282"/>
      <c r="M30" s="363"/>
      <c r="N30" s="363"/>
      <c r="O30" s="145">
        <v>0.0</v>
      </c>
      <c r="P30" s="145">
        <v>1.0</v>
      </c>
      <c r="Q30" s="145">
        <v>1.0</v>
      </c>
      <c r="R30" s="100"/>
      <c r="S30" s="100"/>
      <c r="T30" s="100"/>
      <c r="U30" s="1584"/>
      <c r="V30" s="100"/>
    </row>
    <row r="31" outlineLevel="1">
      <c r="A31" s="156"/>
      <c r="B31" s="147" t="s">
        <v>708</v>
      </c>
      <c r="C31" s="774"/>
      <c r="D31" s="774"/>
      <c r="E31" s="774"/>
      <c r="F31" s="138">
        <f t="shared" si="2"/>
        <v>0</v>
      </c>
      <c r="G31" s="774"/>
      <c r="H31" s="151"/>
      <c r="I31" s="110"/>
      <c r="J31" s="109"/>
      <c r="K31" s="282"/>
      <c r="L31" s="282"/>
      <c r="M31" s="363"/>
      <c r="N31" s="363"/>
      <c r="O31" s="145">
        <v>0.0</v>
      </c>
      <c r="P31" s="145">
        <v>1.0</v>
      </c>
      <c r="Q31" s="145">
        <v>1.0</v>
      </c>
      <c r="R31" s="100"/>
      <c r="S31" s="100"/>
      <c r="T31" s="100"/>
      <c r="U31" s="1584"/>
      <c r="V31" s="100"/>
    </row>
    <row r="32" outlineLevel="1">
      <c r="A32" s="133" t="s">
        <v>77</v>
      </c>
      <c r="B32" s="160"/>
      <c r="C32" s="774"/>
      <c r="D32" s="452"/>
      <c r="E32" s="774"/>
      <c r="F32" s="138">
        <f t="shared" si="2"/>
        <v>0</v>
      </c>
      <c r="G32" s="774"/>
      <c r="H32" s="163"/>
      <c r="I32" s="164"/>
      <c r="J32" s="104"/>
      <c r="K32" s="282"/>
      <c r="L32" s="282"/>
      <c r="M32" s="363"/>
      <c r="N32" s="363"/>
      <c r="O32" s="145">
        <v>0.0</v>
      </c>
      <c r="P32" s="145">
        <v>1.0</v>
      </c>
      <c r="Q32" s="145">
        <v>1.0</v>
      </c>
      <c r="R32" s="100"/>
      <c r="S32" s="100"/>
      <c r="T32" s="100"/>
      <c r="U32" s="3301"/>
      <c r="V32" s="100"/>
    </row>
    <row r="33" outlineLevel="1">
      <c r="A33" s="156"/>
      <c r="B33" s="147" t="s">
        <v>84</v>
      </c>
      <c r="C33" s="774"/>
      <c r="D33" s="107"/>
      <c r="E33" s="774"/>
      <c r="F33" s="138">
        <f t="shared" si="2"/>
        <v>0</v>
      </c>
      <c r="G33" s="774"/>
      <c r="H33" s="106"/>
      <c r="I33" s="168"/>
      <c r="J33" s="107"/>
      <c r="K33" s="282"/>
      <c r="L33" s="282"/>
      <c r="M33" s="363"/>
      <c r="N33" s="363"/>
      <c r="O33" s="145">
        <v>0.0</v>
      </c>
      <c r="P33" s="145">
        <v>1.0</v>
      </c>
      <c r="Q33" s="145">
        <v>1.0</v>
      </c>
      <c r="R33" s="100"/>
      <c r="S33" s="100"/>
      <c r="T33" s="100"/>
      <c r="U33" s="156"/>
      <c r="V33" s="100"/>
    </row>
    <row r="34" outlineLevel="1">
      <c r="A34" s="133" t="s">
        <v>89</v>
      </c>
      <c r="B34" s="147"/>
      <c r="C34" s="774"/>
      <c r="D34" s="452"/>
      <c r="E34" s="774"/>
      <c r="F34" s="138">
        <f t="shared" si="2"/>
        <v>0</v>
      </c>
      <c r="G34" s="774"/>
      <c r="H34" s="163"/>
      <c r="I34" s="164"/>
      <c r="J34" s="104"/>
      <c r="K34" s="282"/>
      <c r="L34" s="282"/>
      <c r="M34" s="363"/>
      <c r="N34" s="363"/>
      <c r="O34" s="145">
        <v>0.0</v>
      </c>
      <c r="P34" s="145">
        <v>1.0</v>
      </c>
      <c r="Q34" s="145">
        <v>1.0</v>
      </c>
      <c r="R34" s="100"/>
      <c r="S34" s="100"/>
      <c r="T34" s="100"/>
      <c r="U34" s="3301"/>
      <c r="V34" s="100"/>
    </row>
    <row r="35" outlineLevel="1">
      <c r="A35" s="146"/>
      <c r="B35" s="147" t="s">
        <v>84</v>
      </c>
      <c r="C35" s="774"/>
      <c r="D35" s="107"/>
      <c r="E35" s="774"/>
      <c r="F35" s="138">
        <f t="shared" si="2"/>
        <v>0</v>
      </c>
      <c r="G35" s="774"/>
      <c r="H35" s="212"/>
      <c r="J35" s="210"/>
      <c r="K35" s="282"/>
      <c r="L35" s="282"/>
      <c r="M35" s="363"/>
      <c r="N35" s="363"/>
      <c r="O35" s="145">
        <v>0.0</v>
      </c>
      <c r="P35" s="145">
        <v>1.0</v>
      </c>
      <c r="Q35" s="145">
        <v>1.0</v>
      </c>
      <c r="R35" s="100"/>
      <c r="S35" s="100"/>
      <c r="T35" s="100"/>
      <c r="U35" s="146"/>
      <c r="V35" s="100"/>
    </row>
    <row r="36" outlineLevel="1">
      <c r="A36" s="146"/>
      <c r="B36" s="147" t="s">
        <v>276</v>
      </c>
      <c r="C36" s="774"/>
      <c r="D36" s="452"/>
      <c r="E36" s="774"/>
      <c r="F36" s="138">
        <f t="shared" si="2"/>
        <v>0</v>
      </c>
      <c r="G36" s="774"/>
      <c r="H36" s="212"/>
      <c r="J36" s="210"/>
      <c r="K36" s="282"/>
      <c r="L36" s="282"/>
      <c r="M36" s="363"/>
      <c r="N36" s="363"/>
      <c r="O36" s="145">
        <v>0.0</v>
      </c>
      <c r="P36" s="145">
        <v>1.0</v>
      </c>
      <c r="Q36" s="145">
        <v>1.0</v>
      </c>
      <c r="R36" s="100"/>
      <c r="S36" s="100"/>
      <c r="T36" s="100"/>
      <c r="U36" s="146"/>
      <c r="V36" s="100"/>
    </row>
    <row r="37" outlineLevel="1">
      <c r="A37" s="146"/>
      <c r="B37" s="147" t="s">
        <v>7428</v>
      </c>
      <c r="C37" s="774"/>
      <c r="D37" s="107"/>
      <c r="E37" s="774"/>
      <c r="F37" s="138">
        <f t="shared" si="2"/>
        <v>0</v>
      </c>
      <c r="G37" s="774"/>
      <c r="H37" s="212"/>
      <c r="J37" s="210"/>
      <c r="K37" s="282"/>
      <c r="L37" s="282"/>
      <c r="M37" s="363"/>
      <c r="N37" s="363"/>
      <c r="O37" s="145">
        <v>0.0</v>
      </c>
      <c r="P37" s="145">
        <v>1.0</v>
      </c>
      <c r="Q37" s="145">
        <v>1.0</v>
      </c>
      <c r="R37" s="100"/>
      <c r="S37" s="100"/>
      <c r="T37" s="100"/>
      <c r="U37" s="146"/>
      <c r="V37" s="100"/>
    </row>
    <row r="38" outlineLevel="1">
      <c r="A38" s="146"/>
      <c r="B38" s="147" t="s">
        <v>280</v>
      </c>
      <c r="C38" s="774"/>
      <c r="D38" s="452"/>
      <c r="E38" s="774"/>
      <c r="F38" s="138">
        <f t="shared" si="2"/>
        <v>0</v>
      </c>
      <c r="G38" s="774"/>
      <c r="H38" s="212"/>
      <c r="J38" s="210"/>
      <c r="K38" s="282"/>
      <c r="L38" s="282"/>
      <c r="M38" s="363"/>
      <c r="N38" s="363"/>
      <c r="O38" s="145">
        <v>0.0</v>
      </c>
      <c r="P38" s="145">
        <v>1.0</v>
      </c>
      <c r="Q38" s="145">
        <v>1.0</v>
      </c>
      <c r="R38" s="100"/>
      <c r="S38" s="100"/>
      <c r="T38" s="100"/>
      <c r="U38" s="146"/>
      <c r="V38" s="100"/>
    </row>
    <row r="39" outlineLevel="1">
      <c r="A39" s="156"/>
      <c r="B39" s="147" t="s">
        <v>7429</v>
      </c>
      <c r="C39" s="774"/>
      <c r="D39" s="107"/>
      <c r="E39" s="774"/>
      <c r="F39" s="138">
        <f t="shared" si="2"/>
        <v>0</v>
      </c>
      <c r="G39" s="774"/>
      <c r="H39" s="106"/>
      <c r="I39" s="168"/>
      <c r="J39" s="107"/>
      <c r="K39" s="282"/>
      <c r="L39" s="282"/>
      <c r="M39" s="363"/>
      <c r="N39" s="363"/>
      <c r="O39" s="145">
        <v>0.0</v>
      </c>
      <c r="P39" s="145">
        <v>1.0</v>
      </c>
      <c r="Q39" s="145">
        <v>1.0</v>
      </c>
      <c r="R39" s="100"/>
      <c r="S39" s="100"/>
      <c r="T39" s="100"/>
      <c r="U39" s="156"/>
      <c r="V39" s="100"/>
    </row>
    <row r="40" outlineLevel="1">
      <c r="A40" s="133" t="s">
        <v>97</v>
      </c>
      <c r="B40" s="160"/>
      <c r="C40" s="774"/>
      <c r="D40" s="452"/>
      <c r="E40" s="774"/>
      <c r="F40" s="138">
        <f t="shared" si="2"/>
        <v>0</v>
      </c>
      <c r="G40" s="774"/>
      <c r="H40" s="163"/>
      <c r="I40" s="164"/>
      <c r="J40" s="104"/>
      <c r="K40" s="282"/>
      <c r="L40" s="282"/>
      <c r="M40" s="363"/>
      <c r="N40" s="363"/>
      <c r="O40" s="145">
        <v>0.0</v>
      </c>
      <c r="P40" s="145">
        <v>1.0</v>
      </c>
      <c r="Q40" s="145">
        <v>1.0</v>
      </c>
      <c r="R40" s="100"/>
      <c r="S40" s="100"/>
      <c r="T40" s="100"/>
      <c r="U40" s="3301"/>
      <c r="V40" s="100"/>
    </row>
    <row r="41" outlineLevel="1">
      <c r="A41" s="156"/>
      <c r="B41" s="147" t="s">
        <v>84</v>
      </c>
      <c r="C41" s="774"/>
      <c r="D41" s="107"/>
      <c r="E41" s="774"/>
      <c r="F41" s="138">
        <f t="shared" si="2"/>
        <v>0</v>
      </c>
      <c r="G41" s="774"/>
      <c r="H41" s="106"/>
      <c r="I41" s="168"/>
      <c r="J41" s="107"/>
      <c r="K41" s="145"/>
      <c r="L41" s="363"/>
      <c r="M41" s="363"/>
      <c r="N41" s="363"/>
      <c r="O41" s="145">
        <v>0.0</v>
      </c>
      <c r="P41" s="145">
        <v>1.0</v>
      </c>
      <c r="Q41" s="145">
        <v>1.0</v>
      </c>
      <c r="R41" s="100"/>
      <c r="S41" s="100"/>
      <c r="T41" s="100"/>
      <c r="U41" s="156"/>
      <c r="V41" s="100"/>
    </row>
    <row r="42" outlineLevel="1">
      <c r="A42" s="133" t="s">
        <v>103</v>
      </c>
      <c r="B42" s="160"/>
      <c r="C42" s="774"/>
      <c r="D42" s="452"/>
      <c r="E42" s="774"/>
      <c r="F42" s="138">
        <f t="shared" si="2"/>
        <v>0</v>
      </c>
      <c r="G42" s="774"/>
      <c r="H42" s="163"/>
      <c r="I42" s="164"/>
      <c r="J42" s="104"/>
      <c r="K42" s="145"/>
      <c r="L42" s="363"/>
      <c r="M42" s="363"/>
      <c r="N42" s="363"/>
      <c r="O42" s="145">
        <v>0.0</v>
      </c>
      <c r="P42" s="145">
        <v>1.0</v>
      </c>
      <c r="Q42" s="145">
        <v>1.0</v>
      </c>
      <c r="R42" s="100"/>
      <c r="S42" s="100"/>
      <c r="T42" s="100"/>
      <c r="U42" s="3301"/>
      <c r="V42" s="100"/>
    </row>
    <row r="43" outlineLevel="1">
      <c r="A43" s="156"/>
      <c r="B43" s="147" t="s">
        <v>84</v>
      </c>
      <c r="C43" s="774"/>
      <c r="D43" s="107"/>
      <c r="E43" s="774"/>
      <c r="F43" s="138">
        <f t="shared" si="2"/>
        <v>0</v>
      </c>
      <c r="G43" s="774"/>
      <c r="H43" s="106"/>
      <c r="I43" s="168"/>
      <c r="J43" s="107"/>
      <c r="K43" s="363"/>
      <c r="L43" s="363"/>
      <c r="M43" s="363"/>
      <c r="N43" s="363"/>
      <c r="O43" s="145">
        <v>0.0</v>
      </c>
      <c r="P43" s="145">
        <v>1.0</v>
      </c>
      <c r="Q43" s="145">
        <v>1.0</v>
      </c>
      <c r="R43" s="100"/>
      <c r="S43" s="100"/>
      <c r="T43" s="100"/>
      <c r="U43" s="156"/>
      <c r="V43" s="100"/>
    </row>
    <row r="44" outlineLevel="1">
      <c r="A44" s="133" t="s">
        <v>109</v>
      </c>
      <c r="B44" s="147"/>
      <c r="C44" s="774"/>
      <c r="D44" s="452"/>
      <c r="E44" s="774"/>
      <c r="F44" s="138">
        <f t="shared" si="2"/>
        <v>0</v>
      </c>
      <c r="G44" s="774"/>
      <c r="H44" s="163" t="s">
        <v>7430</v>
      </c>
      <c r="I44" s="164"/>
      <c r="J44" s="104"/>
      <c r="K44" s="282"/>
      <c r="L44" s="282"/>
      <c r="M44" s="363"/>
      <c r="N44" s="363"/>
      <c r="O44" s="145">
        <v>0.0</v>
      </c>
      <c r="P44" s="145">
        <v>1.0</v>
      </c>
      <c r="Q44" s="145">
        <v>1.0</v>
      </c>
      <c r="R44" s="100"/>
      <c r="S44" s="100"/>
      <c r="T44" s="100"/>
      <c r="U44" s="3301"/>
      <c r="V44" s="100"/>
    </row>
    <row r="45" outlineLevel="1">
      <c r="A45" s="146"/>
      <c r="B45" s="147" t="s">
        <v>84</v>
      </c>
      <c r="C45" s="774"/>
      <c r="D45" s="107"/>
      <c r="E45" s="774"/>
      <c r="F45" s="138">
        <f t="shared" si="2"/>
        <v>0</v>
      </c>
      <c r="G45" s="774"/>
      <c r="H45" s="212"/>
      <c r="J45" s="210"/>
      <c r="K45" s="282"/>
      <c r="L45" s="282"/>
      <c r="M45" s="363"/>
      <c r="N45" s="363"/>
      <c r="O45" s="145">
        <v>0.0</v>
      </c>
      <c r="P45" s="145">
        <v>1.0</v>
      </c>
      <c r="Q45" s="145">
        <v>1.0</v>
      </c>
      <c r="R45" s="100"/>
      <c r="S45" s="100"/>
      <c r="T45" s="100"/>
      <c r="U45" s="146"/>
      <c r="V45" s="100"/>
    </row>
    <row r="46" outlineLevel="1">
      <c r="A46" s="146"/>
      <c r="B46" s="147" t="s">
        <v>276</v>
      </c>
      <c r="C46" s="774"/>
      <c r="D46" s="452"/>
      <c r="E46" s="774"/>
      <c r="F46" s="138">
        <f t="shared" si="2"/>
        <v>0</v>
      </c>
      <c r="G46" s="774"/>
      <c r="H46" s="212"/>
      <c r="J46" s="210"/>
      <c r="K46" s="282"/>
      <c r="L46" s="282"/>
      <c r="M46" s="363"/>
      <c r="N46" s="363"/>
      <c r="O46" s="145">
        <v>0.0</v>
      </c>
      <c r="P46" s="145">
        <v>1.0</v>
      </c>
      <c r="Q46" s="145">
        <v>1.0</v>
      </c>
      <c r="R46" s="100"/>
      <c r="S46" s="100"/>
      <c r="T46" s="100"/>
      <c r="U46" s="146"/>
      <c r="V46" s="100"/>
    </row>
    <row r="47" outlineLevel="1">
      <c r="A47" s="146"/>
      <c r="B47" s="147" t="s">
        <v>7428</v>
      </c>
      <c r="C47" s="774"/>
      <c r="D47" s="107"/>
      <c r="E47" s="774"/>
      <c r="F47" s="138">
        <f t="shared" si="2"/>
        <v>0</v>
      </c>
      <c r="G47" s="774"/>
      <c r="H47" s="212"/>
      <c r="J47" s="210"/>
      <c r="K47" s="282"/>
      <c r="L47" s="282"/>
      <c r="M47" s="363"/>
      <c r="N47" s="363"/>
      <c r="O47" s="145">
        <v>0.0</v>
      </c>
      <c r="P47" s="145">
        <v>1.0</v>
      </c>
      <c r="Q47" s="145">
        <v>1.0</v>
      </c>
      <c r="R47" s="100"/>
      <c r="S47" s="100"/>
      <c r="T47" s="100"/>
      <c r="U47" s="146"/>
      <c r="V47" s="100"/>
    </row>
    <row r="48" outlineLevel="1">
      <c r="A48" s="146"/>
      <c r="B48" s="147" t="s">
        <v>280</v>
      </c>
      <c r="C48" s="774"/>
      <c r="D48" s="452"/>
      <c r="E48" s="774"/>
      <c r="F48" s="138">
        <f t="shared" si="2"/>
        <v>0</v>
      </c>
      <c r="G48" s="774"/>
      <c r="H48" s="212"/>
      <c r="J48" s="210"/>
      <c r="K48" s="282"/>
      <c r="L48" s="282"/>
      <c r="M48" s="363"/>
      <c r="N48" s="363"/>
      <c r="O48" s="145">
        <v>0.0</v>
      </c>
      <c r="P48" s="145">
        <v>1.0</v>
      </c>
      <c r="Q48" s="145">
        <v>1.0</v>
      </c>
      <c r="R48" s="100"/>
      <c r="S48" s="100"/>
      <c r="T48" s="100"/>
      <c r="U48" s="146"/>
      <c r="V48" s="100"/>
    </row>
    <row r="49" outlineLevel="1">
      <c r="A49" s="156"/>
      <c r="B49" s="147" t="s">
        <v>7429</v>
      </c>
      <c r="C49" s="774"/>
      <c r="D49" s="107"/>
      <c r="E49" s="774"/>
      <c r="F49" s="138">
        <f t="shared" si="2"/>
        <v>0</v>
      </c>
      <c r="G49" s="774"/>
      <c r="H49" s="106"/>
      <c r="I49" s="168"/>
      <c r="J49" s="107"/>
      <c r="K49" s="282"/>
      <c r="L49" s="282"/>
      <c r="M49" s="363"/>
      <c r="N49" s="363"/>
      <c r="O49" s="145">
        <v>0.0</v>
      </c>
      <c r="P49" s="145">
        <v>1.0</v>
      </c>
      <c r="Q49" s="145">
        <v>1.0</v>
      </c>
      <c r="R49" s="100"/>
      <c r="S49" s="100"/>
      <c r="T49" s="100"/>
      <c r="U49" s="156"/>
      <c r="V49" s="100"/>
    </row>
    <row r="50" outlineLevel="1">
      <c r="A50" s="133" t="s">
        <v>116</v>
      </c>
      <c r="B50" s="160"/>
      <c r="C50" s="774"/>
      <c r="D50" s="452"/>
      <c r="E50" s="774"/>
      <c r="F50" s="138">
        <f t="shared" si="2"/>
        <v>0</v>
      </c>
      <c r="G50" s="774"/>
      <c r="H50" s="163" t="s">
        <v>7430</v>
      </c>
      <c r="I50" s="164"/>
      <c r="J50" s="104"/>
      <c r="K50" s="363"/>
      <c r="L50" s="363"/>
      <c r="M50" s="363"/>
      <c r="N50" s="363"/>
      <c r="O50" s="145">
        <v>0.0</v>
      </c>
      <c r="P50" s="145">
        <v>1.0</v>
      </c>
      <c r="Q50" s="145">
        <v>1.0</v>
      </c>
      <c r="R50" s="100"/>
      <c r="S50" s="100"/>
      <c r="T50" s="100"/>
      <c r="U50" s="3301"/>
      <c r="V50" s="100"/>
    </row>
    <row r="51" outlineLevel="1">
      <c r="A51" s="156"/>
      <c r="B51" s="147" t="s">
        <v>84</v>
      </c>
      <c r="C51" s="380"/>
      <c r="D51" s="107"/>
      <c r="E51" s="774"/>
      <c r="F51" s="138">
        <f t="shared" si="2"/>
        <v>0</v>
      </c>
      <c r="G51" s="774"/>
      <c r="H51" s="106"/>
      <c r="I51" s="168"/>
      <c r="J51" s="107"/>
      <c r="K51" s="363"/>
      <c r="L51" s="363"/>
      <c r="M51" s="363"/>
      <c r="N51" s="363"/>
      <c r="O51" s="145">
        <v>0.0</v>
      </c>
      <c r="P51" s="145">
        <v>1.0</v>
      </c>
      <c r="Q51" s="145">
        <v>1.0</v>
      </c>
      <c r="R51" s="100"/>
      <c r="S51" s="100"/>
      <c r="T51" s="100"/>
      <c r="U51" s="156"/>
      <c r="V51" s="100"/>
    </row>
    <row r="52" outlineLevel="1">
      <c r="A52" s="133" t="s">
        <v>124</v>
      </c>
      <c r="B52" s="147" t="s">
        <v>125</v>
      </c>
      <c r="C52" s="380"/>
      <c r="D52" s="452"/>
      <c r="E52" s="774"/>
      <c r="F52" s="138">
        <f t="shared" si="2"/>
        <v>0</v>
      </c>
      <c r="G52" s="774"/>
      <c r="H52" s="163" t="s">
        <v>7430</v>
      </c>
      <c r="I52" s="164"/>
      <c r="J52" s="104"/>
      <c r="K52" s="282"/>
      <c r="L52" s="282"/>
      <c r="M52" s="363"/>
      <c r="N52" s="363"/>
      <c r="O52" s="145">
        <v>0.0</v>
      </c>
      <c r="P52" s="145">
        <v>1.0</v>
      </c>
      <c r="Q52" s="145">
        <v>1.0</v>
      </c>
      <c r="R52" s="100"/>
      <c r="S52" s="100"/>
      <c r="T52" s="100"/>
      <c r="U52" s="3301"/>
      <c r="V52" s="100"/>
    </row>
    <row r="53" outlineLevel="1">
      <c r="A53" s="156"/>
      <c r="B53" s="147" t="s">
        <v>131</v>
      </c>
      <c r="C53" s="380"/>
      <c r="D53" s="107"/>
      <c r="E53" s="774"/>
      <c r="F53" s="138">
        <f t="shared" si="2"/>
        <v>0</v>
      </c>
      <c r="G53" s="774"/>
      <c r="H53" s="106"/>
      <c r="I53" s="168"/>
      <c r="J53" s="107"/>
      <c r="K53" s="282"/>
      <c r="L53" s="282"/>
      <c r="M53" s="363"/>
      <c r="N53" s="363"/>
      <c r="O53" s="145">
        <v>0.0</v>
      </c>
      <c r="P53" s="145">
        <v>1.0</v>
      </c>
      <c r="Q53" s="145">
        <v>1.0</v>
      </c>
      <c r="R53" s="100"/>
      <c r="S53" s="100"/>
      <c r="T53" s="100"/>
      <c r="U53" s="156"/>
      <c r="V53" s="100"/>
    </row>
    <row r="54">
      <c r="A54" s="118"/>
      <c r="B54" s="176"/>
      <c r="C54" s="118"/>
      <c r="D54" s="118"/>
      <c r="E54" s="118"/>
      <c r="F54" s="177"/>
      <c r="G54" s="177"/>
      <c r="H54" s="118"/>
      <c r="I54" s="118"/>
      <c r="J54" s="118"/>
      <c r="K54" s="118"/>
      <c r="L54" s="118"/>
      <c r="M54" s="118"/>
      <c r="N54" s="118"/>
      <c r="O54" s="118"/>
      <c r="P54" s="118"/>
      <c r="Q54" s="118"/>
      <c r="R54" s="118"/>
      <c r="S54" s="118"/>
      <c r="T54" s="118"/>
      <c r="U54" s="118"/>
      <c r="V54" s="118"/>
    </row>
    <row r="55">
      <c r="A55" s="178" t="s">
        <v>133</v>
      </c>
      <c r="B55" s="104"/>
      <c r="C55" s="179"/>
      <c r="D55" s="179"/>
      <c r="E55" s="179"/>
      <c r="F55" s="180"/>
      <c r="G55" s="179"/>
      <c r="H55" s="180"/>
      <c r="I55" s="180"/>
      <c r="J55" s="181"/>
      <c r="K55" s="180"/>
      <c r="L55" s="180"/>
      <c r="M55" s="180"/>
      <c r="N55" s="180"/>
      <c r="O55" s="180"/>
      <c r="P55" s="180"/>
      <c r="Q55" s="180"/>
      <c r="R55" s="180"/>
      <c r="S55" s="180"/>
      <c r="T55" s="180"/>
      <c r="U55" s="180"/>
      <c r="V55" s="180"/>
    </row>
    <row r="56" outlineLevel="1">
      <c r="A56" s="106"/>
      <c r="B56" s="107"/>
      <c r="C56" s="182" t="s">
        <v>48</v>
      </c>
      <c r="D56" s="183" t="s">
        <v>49</v>
      </c>
      <c r="E56" s="182" t="s">
        <v>50</v>
      </c>
      <c r="F56" s="184" t="s">
        <v>51</v>
      </c>
      <c r="G56" s="184" t="s">
        <v>134</v>
      </c>
      <c r="H56" s="185" t="s">
        <v>52</v>
      </c>
      <c r="I56" s="184" t="s">
        <v>135</v>
      </c>
      <c r="J56" s="186" t="s">
        <v>136</v>
      </c>
      <c r="K56" s="184" t="s">
        <v>137</v>
      </c>
      <c r="L56" s="184" t="s">
        <v>138</v>
      </c>
      <c r="M56" s="184" t="s">
        <v>139</v>
      </c>
      <c r="N56" s="184" t="s">
        <v>140</v>
      </c>
      <c r="O56" s="186" t="s">
        <v>141</v>
      </c>
      <c r="P56" s="184" t="s">
        <v>142</v>
      </c>
      <c r="Q56" s="186" t="s">
        <v>143</v>
      </c>
      <c r="R56" s="372" t="s">
        <v>53</v>
      </c>
      <c r="S56" s="110"/>
      <c r="T56" s="110"/>
      <c r="U56" s="110"/>
      <c r="V56" s="109"/>
    </row>
    <row r="57" outlineLevel="1">
      <c r="A57" s="188" t="s">
        <v>144</v>
      </c>
      <c r="B57" s="373"/>
      <c r="C57" s="239"/>
      <c r="D57" s="452"/>
      <c r="E57" s="401" t="s">
        <v>213</v>
      </c>
      <c r="F57" s="193">
        <f t="shared" ref="F57:F69" si="3">IFERROR(IFS(E57="-","-",LEN(E57)-LEN(SUBSTITUTE(E57,"/",""))=0,MULTIPLY(E57,1.2),LEN(E57)-LEN(SUBSTITUTE(E57,"/",""))=1,MULTIPLY(LEFT(E57,FIND("/",E57)-1),1.2)&amp;"/"&amp;MULTIPLY(MID(E57,FIND("/",E57)+1,10),1.2),LEN(E57)-LEN(SUBSTITUTE(E57,"/",""))=2,MULTIPLY(LEFT(E57,FIND("!",SUBSTITUTE(E57,"/","!",1))-1),1.2)&amp;"/"&amp;MULTIPLY(MID(E57,FIND("!",SUBSTITUTE(E57,"/","!",1))+1,FIND("!",SUBSTITUTE(E57,"/","!",2))-FIND("!",SUBSTITUTE(E57,"/","!",1))-1),1.2)&amp;"/"&amp;MULTIPLY(RIGHT(E57,LEN(E57)-FIND("!",SUBSTITUTE(E57,"/","!",2))),1.2),LEN(E57)-LEN(SUBSTITUTE(E57,"/",""))=3,MULTIPLY(LEFT(E57,FIND("!",SUBSTITUTE(E57,"/","!",1))-1),1.2)&amp;"/"&amp;MULTIPLY(MID(E57,FIND("!",SUBSTITUTE(E57,"/","!",1))+1,FIND("!",SUBSTITUTE(E57,"/","!",2))-FIND("!",SUBSTITUTE(E57,"/","!",1))-1),1.2)&amp;"/"&amp;MULTIPLY(MID(E57,FIND("!",SUBSTITUTE(E57,"/","!",2))+1,FIND("!",SUBSTITUTE(E57,"/","!",3))-FIND("!",SUBSTITUTE(E57,"/","!",2))-1),1.2)&amp;"/"&amp;MULTIPLY(RIGHT(E57,LEN(E57)-FIND("!",SUBSTITUTE(E57,"/","!",3))),1.2),LEN(E57)-LEN(SUBSTITUTE(E57,"/",""))=4,MULTIPLY(LEFT(E57,FIND("!",SUBSTITUTE(E57,"/","!",1))-1),1.2)&amp;"/"&amp;MULTIPLY(MID(E57,FIND("!",SUBSTITUTE(E57,"/","!",1))+1,FIND("!",SUBSTITUTE(E57,"/","!",2))-FIND("!",SUBSTITUTE(E57,"/","!",1))-1),1.2)&amp;"/"&amp;MULTIPLY(MID(E57,FIND("!",SUBSTITUTE(E57,"/","!",2))+1,FIND("!",SUBSTITUTE(E57,"/","!",3))-FIND("!",SUBSTITUTE(E57,"/","!",2))-1),1.2)&amp;"/"&amp;MULTIPLY(MID(E57,FIND("!",SUBSTITUTE(E57,"/","!",3))+1,FIND("!",SUBSTITUTE(E57,"/","!",4))-FIND("!",SUBSTITUTE(E57,"/","!",3))-1),1.2)&amp;"/"&amp;MULTIPLY(RIGHT(E57,LEN(E57)-FIND("!",SUBSTITUTE(E57,"/","!",4))),1.2)),"")</f>
        <v>1.2</v>
      </c>
      <c r="G57" s="193">
        <f t="shared" ref="G57:G69" si="4">IFERROR(IFS(E57="-","-",LEN(E57)-LEN(SUBSTITUTE(E57,"/",""))=0,MULTIPLY(E57,1.02),LEN(E57)-LEN(SUBSTITUTE(E57,"/",""))=1,MULTIPLY(LEFT(E57,FIND("/",E57)-1),1.02)&amp;"/"&amp;MULTIPLY(MID(E57,FIND("/",E57)+1,10),1.02),LEN(E57)-LEN(SUBSTITUTE(E57,"/",""))=2,MULTIPLY(LEFT(E57,FIND("!",SUBSTITUTE(E57,"/","!",1))-1),1.02)&amp;"/"&amp;MULTIPLY(MID(E57,FIND("!",SUBSTITUTE(E57,"/","!",1))+1,FIND("!",SUBSTITUTE(E57,"/","!",2))-FIND("!",SUBSTITUTE(E57,"/","!",1))-1),1.02)&amp;"/"&amp;MULTIPLY(RIGHT(E57,LEN(E57)-FIND("!",SUBSTITUTE(E57,"/","!",2))),1.02),LEN(E57)-LEN(SUBSTITUTE(E57,"/",""))=3,MULTIPLY(LEFT(E57,FIND("!",SUBSTITUTE(E57,"/","!",1))-1),1.02)&amp;"/"&amp;MULTIPLY(MID(E57,FIND("!",SUBSTITUTE(E57,"/","!",1))+1,FIND("!",SUBSTITUTE(E57,"/","!",2))-FIND("!",SUBSTITUTE(E57,"/","!",1))-1),1.02)&amp;"/"&amp;MULTIPLY(MID(E57,FIND("!",SUBSTITUTE(E57,"/","!",2))+1,FIND("!",SUBSTITUTE(E57,"/","!",3))-FIND("!",SUBSTITUTE(E57,"/","!",2))-1),1.02)&amp;"/"&amp;MULTIPLY(RIGHT(E57,LEN(E57)-FIND("!",SUBSTITUTE(E57,"/","!",3))),1.02),LEN(E57)-LEN(SUBSTITUTE(E57,"/",""))=4,MULTIPLY(LEFT(E57,FIND("!",SUBSTITUTE(E57,"/","!",1))-1),1.02)&amp;"/"&amp;MULTIPLY(MID(E57,FIND("!",SUBSTITUTE(E57,"/","!",1))+1,FIND("!",SUBSTITUTE(E57,"/","!",2))-FIND("!",SUBSTITUTE(E57,"/","!",1))-1),1.02)&amp;"/"&amp;MULTIPLY(MID(E57,FIND("!",SUBSTITUTE(E57,"/","!",2))+1,FIND("!",SUBSTITUTE(E57,"/","!",3))-FIND("!",SUBSTITUTE(E57,"/","!",2))-1),1.02)&amp;"/"&amp;MULTIPLY(MID(E57,FIND("!",SUBSTITUTE(E57,"/","!",3))+1,FIND("!",SUBSTITUTE(E57,"/","!",4))-FIND("!",SUBSTITUTE(E57,"/","!",3))-1),1.02)&amp;"/"&amp;MULTIPLY(RIGHT(E57,LEN(E57)-FIND("!",SUBSTITUTE(E57,"/","!",4))),1.02)),"")</f>
        <v>1.02</v>
      </c>
      <c r="H57" s="138"/>
      <c r="I57" s="452" t="str">
        <f t="array" ref="I57">INDEX('空中攻撃'!$O$3:$AB$109, MATCH($A$1,'空中攻撃'!$A$3:$A$109,0), MATCH(A57,'空中攻撃'!$O$2:$S$2,0))</f>
        <v>7</v>
      </c>
      <c r="J57" s="452" t="str">
        <f t="array" ref="J57">INDEX('空中攻撃'!$T$3:$AB$109, MATCH($A$1,'空中攻撃'!$A$3:$A$109,0), MATCH(A57,'空中攻撃'!$T$2:$X$2,0))</f>
        <v/>
      </c>
      <c r="K57" s="138">
        <v>361.0</v>
      </c>
      <c r="L57" s="282"/>
      <c r="M57" s="363"/>
      <c r="N57" s="363"/>
      <c r="O57" s="145">
        <v>0.0</v>
      </c>
      <c r="P57" s="145">
        <v>1.0</v>
      </c>
      <c r="Q57" s="145">
        <v>1.0</v>
      </c>
      <c r="R57" s="163"/>
      <c r="S57" s="164"/>
      <c r="T57" s="164"/>
      <c r="U57" s="164"/>
      <c r="V57" s="104"/>
    </row>
    <row r="58" outlineLevel="1">
      <c r="A58" s="156"/>
      <c r="B58" s="373" t="s">
        <v>84</v>
      </c>
      <c r="C58" s="239"/>
      <c r="D58" s="107"/>
      <c r="E58" s="239" t="s">
        <v>7431</v>
      </c>
      <c r="F58" s="138" t="str">
        <f t="shared" si="3"/>
        <v>1.8/3.6</v>
      </c>
      <c r="G58" s="138" t="str">
        <f t="shared" si="4"/>
        <v>1.53/3.06</v>
      </c>
      <c r="H58" s="138"/>
      <c r="I58" s="107"/>
      <c r="J58" s="107"/>
      <c r="K58" s="138">
        <v>363.0</v>
      </c>
      <c r="L58" s="282"/>
      <c r="M58" s="363"/>
      <c r="N58" s="363"/>
      <c r="O58" s="145">
        <v>0.0</v>
      </c>
      <c r="P58" s="145">
        <v>1.0</v>
      </c>
      <c r="Q58" s="145">
        <v>1.0</v>
      </c>
      <c r="R58" s="106"/>
      <c r="S58" s="168"/>
      <c r="T58" s="168"/>
      <c r="U58" s="168"/>
      <c r="V58" s="107"/>
    </row>
    <row r="59" outlineLevel="1">
      <c r="A59" s="188" t="s">
        <v>151</v>
      </c>
      <c r="B59" s="373"/>
      <c r="C59" s="239"/>
      <c r="D59" s="452"/>
      <c r="E59" s="239"/>
      <c r="F59" s="138">
        <f t="shared" si="3"/>
        <v>0</v>
      </c>
      <c r="G59" s="138">
        <f t="shared" si="4"/>
        <v>0</v>
      </c>
      <c r="H59" s="138"/>
      <c r="I59" s="452" t="str">
        <f t="array" ref="I59">INDEX('空中攻撃'!$O$3:$AB$109, MATCH($A$1,'空中攻撃'!$A$3:$A$109,0), MATCH(A59,'空中攻撃'!$O$2:$S$2,0))</f>
        <v>11</v>
      </c>
      <c r="J59" s="452" t="str">
        <f t="array" ref="J59">INDEX('空中攻撃'!$T$3:$AB$109, MATCH($A$1,'空中攻撃'!$A$3:$A$109,0), MATCH(A59,'空中攻撃'!$T$2:$X$2,0))</f>
        <v/>
      </c>
      <c r="K59" s="138">
        <v>45.0</v>
      </c>
      <c r="L59" s="282"/>
      <c r="M59" s="363"/>
      <c r="N59" s="363"/>
      <c r="O59" s="145">
        <v>0.0</v>
      </c>
      <c r="P59" s="145">
        <v>1.0</v>
      </c>
      <c r="Q59" s="145">
        <v>1.0</v>
      </c>
      <c r="R59" s="163"/>
      <c r="S59" s="164"/>
      <c r="T59" s="164"/>
      <c r="U59" s="164"/>
      <c r="V59" s="104"/>
    </row>
    <row r="60" outlineLevel="1">
      <c r="A60" s="156"/>
      <c r="B60" s="373" t="s">
        <v>84</v>
      </c>
      <c r="C60" s="239"/>
      <c r="D60" s="107"/>
      <c r="E60" s="239"/>
      <c r="F60" s="138">
        <f t="shared" si="3"/>
        <v>0</v>
      </c>
      <c r="G60" s="138">
        <f t="shared" si="4"/>
        <v>0</v>
      </c>
      <c r="H60" s="138"/>
      <c r="I60" s="107"/>
      <c r="J60" s="107"/>
      <c r="K60" s="138">
        <v>365.0</v>
      </c>
      <c r="L60" s="282"/>
      <c r="M60" s="363"/>
      <c r="N60" s="363"/>
      <c r="O60" s="145">
        <v>0.0</v>
      </c>
      <c r="P60" s="145">
        <v>1.0</v>
      </c>
      <c r="Q60" s="145">
        <v>1.0</v>
      </c>
      <c r="R60" s="106"/>
      <c r="S60" s="168"/>
      <c r="T60" s="168"/>
      <c r="U60" s="168"/>
      <c r="V60" s="107"/>
    </row>
    <row r="61" outlineLevel="1">
      <c r="A61" s="188" t="s">
        <v>157</v>
      </c>
      <c r="B61" s="373"/>
      <c r="C61" s="239"/>
      <c r="D61" s="452"/>
      <c r="E61" s="239"/>
      <c r="F61" s="138">
        <f t="shared" si="3"/>
        <v>0</v>
      </c>
      <c r="G61" s="138">
        <f t="shared" si="4"/>
        <v>0</v>
      </c>
      <c r="H61" s="138"/>
      <c r="I61" s="452">
        <f t="array" ref="I61">INDEX('空中攻撃'!$O$3:$AB$109, MATCH($A$1,'空中攻撃'!$A$3:$A$109,0), MATCH(A61,'空中攻撃'!$O$2:$S$2,0))</f>
        <v>10</v>
      </c>
      <c r="J61" s="452" t="str">
        <f t="array" ref="J61">INDEX('空中攻撃'!$T$3:$AB$109, MATCH($A$1,'空中攻撃'!$A$3:$A$109,0), MATCH(A61,'空中攻撃'!$T$2:$X$2,0))</f>
        <v/>
      </c>
      <c r="K61" s="138">
        <v>57.0</v>
      </c>
      <c r="L61" s="282"/>
      <c r="M61" s="363"/>
      <c r="N61" s="363"/>
      <c r="O61" s="145">
        <v>0.0</v>
      </c>
      <c r="P61" s="145">
        <v>1.0</v>
      </c>
      <c r="Q61" s="145">
        <v>1.0</v>
      </c>
      <c r="R61" s="163"/>
      <c r="S61" s="164"/>
      <c r="T61" s="164"/>
      <c r="U61" s="164"/>
      <c r="V61" s="104"/>
    </row>
    <row r="62" outlineLevel="1">
      <c r="A62" s="156"/>
      <c r="B62" s="373" t="s">
        <v>84</v>
      </c>
      <c r="C62" s="239"/>
      <c r="D62" s="107"/>
      <c r="E62" s="239"/>
      <c r="F62" s="138">
        <f t="shared" si="3"/>
        <v>0</v>
      </c>
      <c r="G62" s="138">
        <f t="shared" si="4"/>
        <v>0</v>
      </c>
      <c r="H62" s="138"/>
      <c r="I62" s="107"/>
      <c r="J62" s="107"/>
      <c r="K62" s="138">
        <v>241.0</v>
      </c>
      <c r="L62" s="282"/>
      <c r="M62" s="363"/>
      <c r="N62" s="363"/>
      <c r="O62" s="145">
        <v>0.0</v>
      </c>
      <c r="P62" s="145">
        <v>1.0</v>
      </c>
      <c r="Q62" s="145">
        <v>1.0</v>
      </c>
      <c r="R62" s="106"/>
      <c r="S62" s="168"/>
      <c r="T62" s="168"/>
      <c r="U62" s="168"/>
      <c r="V62" s="107"/>
    </row>
    <row r="63" outlineLevel="1">
      <c r="A63" s="188" t="s">
        <v>162</v>
      </c>
      <c r="B63" s="373"/>
      <c r="C63" s="239"/>
      <c r="D63" s="452"/>
      <c r="E63" s="239"/>
      <c r="F63" s="138">
        <f t="shared" si="3"/>
        <v>0</v>
      </c>
      <c r="G63" s="138">
        <f t="shared" si="4"/>
        <v>0</v>
      </c>
      <c r="H63" s="138"/>
      <c r="I63" s="452" t="str">
        <f t="array" ref="I63">INDEX('空中攻撃'!$O$3:$AB$109, MATCH($A$1,'空中攻撃'!$A$3:$A$109,0), MATCH(A63,'空中攻撃'!$O$2:$S$2,0))</f>
        <v>14</v>
      </c>
      <c r="J63" s="452" t="str">
        <f t="array" ref="J63">INDEX('空中攻撃'!$T$3:$AB$109, MATCH($A$1,'空中攻撃'!$A$3:$A$109,0), MATCH(A63,'空中攻撃'!$T$2:$X$2,0))</f>
        <v/>
      </c>
      <c r="K63" s="282"/>
      <c r="L63" s="282"/>
      <c r="M63" s="363"/>
      <c r="N63" s="363"/>
      <c r="O63" s="145">
        <v>0.0</v>
      </c>
      <c r="P63" s="145">
        <v>1.0</v>
      </c>
      <c r="Q63" s="145">
        <v>1.0</v>
      </c>
      <c r="R63" s="163"/>
      <c r="S63" s="164"/>
      <c r="T63" s="164"/>
      <c r="U63" s="164"/>
      <c r="V63" s="104"/>
    </row>
    <row r="64" outlineLevel="1">
      <c r="A64" s="156"/>
      <c r="B64" s="373" t="s">
        <v>84</v>
      </c>
      <c r="C64" s="239"/>
      <c r="D64" s="107"/>
      <c r="E64" s="239"/>
      <c r="F64" s="138">
        <f t="shared" si="3"/>
        <v>0</v>
      </c>
      <c r="G64" s="138">
        <f t="shared" si="4"/>
        <v>0</v>
      </c>
      <c r="H64" s="138"/>
      <c r="I64" s="107"/>
      <c r="J64" s="107"/>
      <c r="K64" s="282"/>
      <c r="L64" s="282"/>
      <c r="M64" s="363"/>
      <c r="N64" s="363"/>
      <c r="O64" s="145">
        <v>0.0</v>
      </c>
      <c r="P64" s="145">
        <v>1.0</v>
      </c>
      <c r="Q64" s="145">
        <v>1.0</v>
      </c>
      <c r="R64" s="106"/>
      <c r="S64" s="168"/>
      <c r="T64" s="168"/>
      <c r="U64" s="168"/>
      <c r="V64" s="107"/>
    </row>
    <row r="65" outlineLevel="1">
      <c r="A65" s="188" t="s">
        <v>166</v>
      </c>
      <c r="B65" s="373"/>
      <c r="C65" s="239"/>
      <c r="D65" s="452"/>
      <c r="E65" s="239"/>
      <c r="F65" s="138">
        <f t="shared" si="3"/>
        <v>0</v>
      </c>
      <c r="G65" s="138">
        <f t="shared" si="4"/>
        <v>0</v>
      </c>
      <c r="H65" s="138"/>
      <c r="I65" s="452">
        <f t="array" ref="I65">INDEX('空中攻撃'!$O$3:$AB$109, MATCH($A$1,'空中攻撃'!$A$3:$A$109,0), MATCH(A65,'空中攻撃'!$O$2:$S$2,0))</f>
        <v>30</v>
      </c>
      <c r="J65" s="452" t="str">
        <f t="array" ref="J65">INDEX('空中攻撃'!$T$3:$AB$109, MATCH($A$1,'空中攻撃'!$A$3:$A$109,0), MATCH(A65,'空中攻撃'!$T$2:$X$2,0))</f>
        <v/>
      </c>
      <c r="K65" s="282"/>
      <c r="L65" s="282"/>
      <c r="M65" s="363"/>
      <c r="N65" s="363"/>
      <c r="O65" s="145">
        <v>0.0</v>
      </c>
      <c r="P65" s="145">
        <v>1.0</v>
      </c>
      <c r="Q65" s="145">
        <v>1.0</v>
      </c>
      <c r="R65" s="163"/>
      <c r="S65" s="164"/>
      <c r="T65" s="164"/>
      <c r="U65" s="164"/>
      <c r="V65" s="104"/>
    </row>
    <row r="66" outlineLevel="1">
      <c r="A66" s="146"/>
      <c r="B66" s="373" t="s">
        <v>84</v>
      </c>
      <c r="C66" s="239"/>
      <c r="D66" s="210"/>
      <c r="E66" s="239"/>
      <c r="F66" s="138">
        <f t="shared" si="3"/>
        <v>0</v>
      </c>
      <c r="G66" s="138">
        <f t="shared" si="4"/>
        <v>0</v>
      </c>
      <c r="H66" s="138"/>
      <c r="I66" s="210"/>
      <c r="J66" s="210"/>
      <c r="K66" s="282"/>
      <c r="L66" s="282"/>
      <c r="M66" s="363"/>
      <c r="N66" s="363"/>
      <c r="O66" s="145">
        <v>0.0</v>
      </c>
      <c r="P66" s="145">
        <v>1.0</v>
      </c>
      <c r="Q66" s="145">
        <v>1.0</v>
      </c>
      <c r="R66" s="212"/>
      <c r="V66" s="210"/>
    </row>
    <row r="67" outlineLevel="1">
      <c r="A67" s="156"/>
      <c r="B67" s="373" t="s">
        <v>174</v>
      </c>
      <c r="C67" s="239"/>
      <c r="D67" s="107"/>
      <c r="E67" s="239"/>
      <c r="F67" s="138">
        <f t="shared" si="3"/>
        <v>0</v>
      </c>
      <c r="G67" s="138">
        <f t="shared" si="4"/>
        <v>0</v>
      </c>
      <c r="H67" s="138"/>
      <c r="I67" s="107"/>
      <c r="J67" s="107"/>
      <c r="K67" s="282"/>
      <c r="L67" s="282"/>
      <c r="M67" s="363"/>
      <c r="N67" s="363"/>
      <c r="O67" s="145">
        <v>0.0</v>
      </c>
      <c r="P67" s="145">
        <v>1.0</v>
      </c>
      <c r="Q67" s="145">
        <v>1.0</v>
      </c>
      <c r="R67" s="106"/>
      <c r="S67" s="168"/>
      <c r="T67" s="168"/>
      <c r="U67" s="168"/>
      <c r="V67" s="107"/>
    </row>
    <row r="68" outlineLevel="1">
      <c r="A68" s="188" t="s">
        <v>587</v>
      </c>
      <c r="B68" s="373" t="s">
        <v>125</v>
      </c>
      <c r="C68" s="239"/>
      <c r="D68" s="452"/>
      <c r="E68" s="239"/>
      <c r="F68" s="138">
        <f t="shared" si="3"/>
        <v>0</v>
      </c>
      <c r="G68" s="138">
        <f t="shared" si="4"/>
        <v>0</v>
      </c>
      <c r="H68" s="138"/>
      <c r="I68" s="166">
        <v>8.0</v>
      </c>
      <c r="J68" s="532"/>
      <c r="K68" s="282"/>
      <c r="L68" s="282"/>
      <c r="M68" s="363"/>
      <c r="N68" s="363"/>
      <c r="O68" s="145">
        <v>0.0</v>
      </c>
      <c r="P68" s="145">
        <v>1.0</v>
      </c>
      <c r="Q68" s="145">
        <v>1.0</v>
      </c>
      <c r="R68" s="163"/>
      <c r="S68" s="164"/>
      <c r="T68" s="164"/>
      <c r="U68" s="164"/>
      <c r="V68" s="104"/>
    </row>
    <row r="69" outlineLevel="1">
      <c r="A69" s="156"/>
      <c r="B69" s="373" t="s">
        <v>131</v>
      </c>
      <c r="C69" s="239"/>
      <c r="D69" s="107"/>
      <c r="E69" s="239"/>
      <c r="F69" s="138">
        <f t="shared" si="3"/>
        <v>0</v>
      </c>
      <c r="G69" s="138">
        <f t="shared" si="4"/>
        <v>0</v>
      </c>
      <c r="H69" s="138"/>
      <c r="I69" s="156"/>
      <c r="J69" s="156"/>
      <c r="K69" s="282"/>
      <c r="L69" s="282"/>
      <c r="M69" s="363"/>
      <c r="N69" s="363"/>
      <c r="O69" s="145">
        <v>0.0</v>
      </c>
      <c r="P69" s="145">
        <v>1.0</v>
      </c>
      <c r="Q69" s="145">
        <v>1.0</v>
      </c>
      <c r="R69" s="106"/>
      <c r="S69" s="168"/>
      <c r="T69" s="168"/>
      <c r="U69" s="168"/>
      <c r="V69" s="107"/>
    </row>
    <row r="70">
      <c r="A70" s="223"/>
      <c r="B70" s="224"/>
      <c r="C70" s="225"/>
      <c r="D70" s="225"/>
      <c r="E70" s="226"/>
      <c r="F70" s="226"/>
      <c r="G70" s="226"/>
      <c r="H70" s="227"/>
      <c r="I70" s="227"/>
      <c r="J70" s="228"/>
      <c r="K70" s="228"/>
      <c r="L70" s="228"/>
      <c r="M70" s="228"/>
      <c r="N70" s="228"/>
      <c r="O70" s="228"/>
      <c r="P70" s="228"/>
      <c r="Q70" s="118"/>
      <c r="R70" s="118"/>
      <c r="S70" s="118"/>
      <c r="T70" s="118"/>
      <c r="U70" s="118"/>
      <c r="V70" s="118"/>
    </row>
    <row r="71">
      <c r="A71" s="229" t="s">
        <v>177</v>
      </c>
      <c r="B71" s="109"/>
      <c r="C71" s="225"/>
      <c r="D71" s="225"/>
      <c r="E71" s="226"/>
      <c r="F71" s="226"/>
      <c r="G71" s="226"/>
      <c r="H71" s="227"/>
      <c r="I71" s="227"/>
      <c r="J71" s="228"/>
      <c r="K71" s="228"/>
      <c r="L71" s="228"/>
      <c r="M71" s="228"/>
      <c r="N71" s="228"/>
      <c r="O71" s="228"/>
      <c r="P71" s="228"/>
      <c r="Q71" s="118"/>
      <c r="R71" s="118"/>
      <c r="S71" s="118"/>
      <c r="T71" s="118"/>
      <c r="U71" s="118"/>
      <c r="V71" s="118"/>
    </row>
    <row r="72" outlineLevel="1">
      <c r="A72" s="230" t="str">
        <f>"NB ("&amp;VLOOKUP($A$1,Fighters!$A$2:$AI$81,15,FALSE)&amp;")"</f>
        <v>NB (みずしゅりけん)</v>
      </c>
      <c r="B72" s="109"/>
      <c r="C72" s="231" t="s">
        <v>48</v>
      </c>
      <c r="D72" s="231" t="s">
        <v>49</v>
      </c>
      <c r="E72" s="232" t="s">
        <v>50</v>
      </c>
      <c r="F72" s="233" t="s">
        <v>51</v>
      </c>
      <c r="G72" s="232" t="s">
        <v>52</v>
      </c>
      <c r="H72" s="382" t="s">
        <v>53</v>
      </c>
      <c r="I72" s="110"/>
      <c r="J72" s="109"/>
      <c r="K72" s="235" t="s">
        <v>137</v>
      </c>
      <c r="L72" s="235" t="s">
        <v>138</v>
      </c>
      <c r="M72" s="235" t="s">
        <v>139</v>
      </c>
      <c r="N72" s="235" t="s">
        <v>140</v>
      </c>
      <c r="O72" s="236" t="s">
        <v>141</v>
      </c>
      <c r="P72" s="235" t="s">
        <v>142</v>
      </c>
      <c r="Q72" s="236" t="s">
        <v>143</v>
      </c>
      <c r="R72" s="235" t="s">
        <v>179</v>
      </c>
      <c r="S72" s="236" t="s">
        <v>180</v>
      </c>
      <c r="T72" s="236" t="s">
        <v>181</v>
      </c>
      <c r="U72" s="236" t="s">
        <v>182</v>
      </c>
      <c r="V72" s="3198" t="s">
        <v>183</v>
      </c>
    </row>
    <row r="73" outlineLevel="1">
      <c r="A73" s="237" t="s">
        <v>184</v>
      </c>
      <c r="B73" s="243"/>
      <c r="C73" s="239"/>
      <c r="D73" s="452"/>
      <c r="E73" s="239"/>
      <c r="F73" s="138">
        <f t="shared" ref="F73:F74" si="5">IFERROR(IFS(E73="-","-",LEN(E73)-LEN(SUBSTITUTE(E73,"/",""))=0,MULTIPLY(E73,1.2),LEN(E73)-LEN(SUBSTITUTE(E73,"/",""))=1,MULTIPLY(LEFT(E73,FIND("/",E73)-1),1.2)&amp;"/"&amp;MULTIPLY(MID(E73,FIND("/",E73)+1,10),1.2),LEN(E73)-LEN(SUBSTITUTE(E73,"/",""))=2,MULTIPLY(LEFT(E73,FIND("!",SUBSTITUTE(E73,"/","!",1))-1),1.2)&amp;"/"&amp;MULTIPLY(MID(E73,FIND("!",SUBSTITUTE(E73,"/","!",1))+1,FIND("!",SUBSTITUTE(E73,"/","!",2))-FIND("!",SUBSTITUTE(E73,"/","!",1))-1),1.2)&amp;"/"&amp;MULTIPLY(RIGHT(E73,LEN(E73)-FIND("!",SUBSTITUTE(E73,"/","!",2))),1.2),LEN(E73)-LEN(SUBSTITUTE(E73,"/",""))=3,MULTIPLY(LEFT(E73,FIND("!",SUBSTITUTE(E73,"/","!",1))-1),1.2)&amp;"/"&amp;MULTIPLY(MID(E73,FIND("!",SUBSTITUTE(E73,"/","!",1))+1,FIND("!",SUBSTITUTE(E73,"/","!",2))-FIND("!",SUBSTITUTE(E73,"/","!",1))-1),1.2)&amp;"/"&amp;MULTIPLY(MID(E73,FIND("!",SUBSTITUTE(E73,"/","!",2))+1,FIND("!",SUBSTITUTE(E73,"/","!",3))-FIND("!",SUBSTITUTE(E73,"/","!",2))-1),1.2)&amp;"/"&amp;MULTIPLY(RIGHT(E73,LEN(E73)-FIND("!",SUBSTITUTE(E73,"/","!",3))),1.2),LEN(E73)-LEN(SUBSTITUTE(E73,"/",""))=4,MULTIPLY(LEFT(E73,FIND("!",SUBSTITUTE(E73,"/","!",1))-1),1.2)&amp;"/"&amp;MULTIPLY(MID(E73,FIND("!",SUBSTITUTE(E73,"/","!",1))+1,FIND("!",SUBSTITUTE(E73,"/","!",2))-FIND("!",SUBSTITUTE(E73,"/","!",1))-1),1.2)&amp;"/"&amp;MULTIPLY(MID(E73,FIND("!",SUBSTITUTE(E73,"/","!",2))+1,FIND("!",SUBSTITUTE(E73,"/","!",3))-FIND("!",SUBSTITUTE(E73,"/","!",2))-1),1.2)&amp;"/"&amp;MULTIPLY(MID(E73,FIND("!",SUBSTITUTE(E73,"/","!",3))+1,FIND("!",SUBSTITUTE(E73,"/","!",4))-FIND("!",SUBSTITUTE(E73,"/","!",3))-1),1.2)&amp;"/"&amp;MULTIPLY(RIGHT(E73,LEN(E73)-FIND("!",SUBSTITUTE(E73,"/","!",4))),1.2)),"")</f>
        <v>0</v>
      </c>
      <c r="G73" s="239"/>
      <c r="H73" s="3644"/>
      <c r="I73" s="164"/>
      <c r="J73" s="104"/>
      <c r="K73" s="282"/>
      <c r="L73" s="282"/>
      <c r="M73" s="363"/>
      <c r="N73" s="363"/>
      <c r="O73" s="145">
        <v>0.0</v>
      </c>
      <c r="P73" s="145">
        <v>1.0</v>
      </c>
      <c r="Q73" s="145">
        <v>1.0</v>
      </c>
      <c r="R73" s="145" t="b">
        <v>1</v>
      </c>
      <c r="S73" s="145" t="b">
        <v>1</v>
      </c>
      <c r="T73" s="145"/>
      <c r="U73" s="166" t="b">
        <v>1</v>
      </c>
      <c r="V73" s="166" t="b">
        <v>1</v>
      </c>
    </row>
    <row r="74" outlineLevel="1">
      <c r="A74" s="146"/>
      <c r="B74" s="663"/>
      <c r="C74" s="239"/>
      <c r="D74" s="107"/>
      <c r="E74" s="239"/>
      <c r="F74" s="138">
        <f t="shared" si="5"/>
        <v>0</v>
      </c>
      <c r="G74" s="239"/>
      <c r="H74" s="106"/>
      <c r="I74" s="168"/>
      <c r="J74" s="107"/>
      <c r="K74" s="282"/>
      <c r="L74" s="282"/>
      <c r="M74" s="363"/>
      <c r="N74" s="363"/>
      <c r="O74" s="145">
        <v>0.0</v>
      </c>
      <c r="P74" s="145">
        <v>1.0</v>
      </c>
      <c r="Q74" s="145">
        <v>1.0</v>
      </c>
      <c r="R74" s="145" t="b">
        <v>1</v>
      </c>
      <c r="S74" s="145" t="b">
        <v>1</v>
      </c>
      <c r="T74" s="145"/>
      <c r="U74" s="156"/>
      <c r="V74" s="156"/>
    </row>
    <row r="75" outlineLevel="1">
      <c r="A75" s="230" t="str">
        <f>"横B ("&amp;VLOOKUP($A$1,Fighters!$A$2:$AI$81,16,FALSE)&amp;")"</f>
        <v>横B (かげうち)</v>
      </c>
      <c r="B75" s="109"/>
      <c r="C75" s="231" t="s">
        <v>48</v>
      </c>
      <c r="D75" s="231" t="s">
        <v>49</v>
      </c>
      <c r="E75" s="232" t="s">
        <v>50</v>
      </c>
      <c r="F75" s="233" t="s">
        <v>51</v>
      </c>
      <c r="G75" s="232" t="s">
        <v>52</v>
      </c>
      <c r="H75" s="382" t="s">
        <v>53</v>
      </c>
      <c r="I75" s="110"/>
      <c r="J75" s="109"/>
      <c r="K75" s="235" t="s">
        <v>137</v>
      </c>
      <c r="L75" s="235" t="s">
        <v>138</v>
      </c>
      <c r="M75" s="235" t="s">
        <v>139</v>
      </c>
      <c r="N75" s="235" t="s">
        <v>140</v>
      </c>
      <c r="O75" s="236" t="s">
        <v>141</v>
      </c>
      <c r="P75" s="235" t="s">
        <v>142</v>
      </c>
      <c r="Q75" s="236" t="s">
        <v>143</v>
      </c>
      <c r="R75" s="235" t="s">
        <v>179</v>
      </c>
      <c r="S75" s="236" t="s">
        <v>180</v>
      </c>
      <c r="T75" s="236" t="s">
        <v>181</v>
      </c>
      <c r="U75" s="236" t="s">
        <v>182</v>
      </c>
      <c r="V75" s="3198" t="s">
        <v>183</v>
      </c>
    </row>
    <row r="76" outlineLevel="1">
      <c r="A76" s="237" t="s">
        <v>332</v>
      </c>
      <c r="B76" s="243"/>
      <c r="C76" s="239"/>
      <c r="D76" s="452"/>
      <c r="E76" s="239"/>
      <c r="F76" s="138">
        <f t="shared" ref="F76:F79" si="6">IFERROR(IFS(E76="-","-",LEN(E76)-LEN(SUBSTITUTE(E76,"/",""))=0,MULTIPLY(E76,1.2),LEN(E76)-LEN(SUBSTITUTE(E76,"/",""))=1,MULTIPLY(LEFT(E76,FIND("/",E76)-1),1.2)&amp;"/"&amp;MULTIPLY(MID(E76,FIND("/",E76)+1,10),1.2),LEN(E76)-LEN(SUBSTITUTE(E76,"/",""))=2,MULTIPLY(LEFT(E76,FIND("!",SUBSTITUTE(E76,"/","!",1))-1),1.2)&amp;"/"&amp;MULTIPLY(MID(E76,FIND("!",SUBSTITUTE(E76,"/","!",1))+1,FIND("!",SUBSTITUTE(E76,"/","!",2))-FIND("!",SUBSTITUTE(E76,"/","!",1))-1),1.2)&amp;"/"&amp;MULTIPLY(RIGHT(E76,LEN(E76)-FIND("!",SUBSTITUTE(E76,"/","!",2))),1.2),LEN(E76)-LEN(SUBSTITUTE(E76,"/",""))=3,MULTIPLY(LEFT(E76,FIND("!",SUBSTITUTE(E76,"/","!",1))-1),1.2)&amp;"/"&amp;MULTIPLY(MID(E76,FIND("!",SUBSTITUTE(E76,"/","!",1))+1,FIND("!",SUBSTITUTE(E76,"/","!",2))-FIND("!",SUBSTITUTE(E76,"/","!",1))-1),1.2)&amp;"/"&amp;MULTIPLY(MID(E76,FIND("!",SUBSTITUTE(E76,"/","!",2))+1,FIND("!",SUBSTITUTE(E76,"/","!",3))-FIND("!",SUBSTITUTE(E76,"/","!",2))-1),1.2)&amp;"/"&amp;MULTIPLY(RIGHT(E76,LEN(E76)-FIND("!",SUBSTITUTE(E76,"/","!",3))),1.2),LEN(E76)-LEN(SUBSTITUTE(E76,"/",""))=4,MULTIPLY(LEFT(E76,FIND("!",SUBSTITUTE(E76,"/","!",1))-1),1.2)&amp;"/"&amp;MULTIPLY(MID(E76,FIND("!",SUBSTITUTE(E76,"/","!",1))+1,FIND("!",SUBSTITUTE(E76,"/","!",2))-FIND("!",SUBSTITUTE(E76,"/","!",1))-1),1.2)&amp;"/"&amp;MULTIPLY(MID(E76,FIND("!",SUBSTITUTE(E76,"/","!",2))+1,FIND("!",SUBSTITUTE(E76,"/","!",3))-FIND("!",SUBSTITUTE(E76,"/","!",2))-1),1.2)&amp;"/"&amp;MULTIPLY(MID(E76,FIND("!",SUBSTITUTE(E76,"/","!",3))+1,FIND("!",SUBSTITUTE(E76,"/","!",4))-FIND("!",SUBSTITUTE(E76,"/","!",3))-1),1.2)&amp;"/"&amp;MULTIPLY(RIGHT(E76,LEN(E76)-FIND("!",SUBSTITUTE(E76,"/","!",4))),1.2)),"")</f>
        <v>0</v>
      </c>
      <c r="G76" s="239"/>
      <c r="H76" s="3644"/>
      <c r="I76" s="164"/>
      <c r="J76" s="104"/>
      <c r="K76" s="282"/>
      <c r="L76" s="282"/>
      <c r="M76" s="363"/>
      <c r="N76" s="363"/>
      <c r="O76" s="145">
        <v>0.0</v>
      </c>
      <c r="P76" s="145">
        <v>1.0</v>
      </c>
      <c r="Q76" s="145">
        <v>1.0</v>
      </c>
      <c r="R76" s="145" t="b">
        <v>1</v>
      </c>
      <c r="S76" s="145" t="b">
        <v>1</v>
      </c>
      <c r="T76" s="145"/>
      <c r="U76" s="166" t="b">
        <v>1</v>
      </c>
      <c r="V76" s="166" t="b">
        <v>1</v>
      </c>
    </row>
    <row r="77" outlineLevel="1">
      <c r="A77" s="146"/>
      <c r="B77" s="243"/>
      <c r="C77" s="239"/>
      <c r="D77" s="107"/>
      <c r="E77" s="239"/>
      <c r="F77" s="138">
        <f t="shared" si="6"/>
        <v>0</v>
      </c>
      <c r="G77" s="239"/>
      <c r="H77" s="212"/>
      <c r="J77" s="210"/>
      <c r="K77" s="138"/>
      <c r="L77" s="138"/>
      <c r="M77" s="145"/>
      <c r="N77" s="145"/>
      <c r="O77" s="145">
        <v>0.0</v>
      </c>
      <c r="P77" s="145">
        <v>1.0</v>
      </c>
      <c r="Q77" s="145">
        <v>1.0</v>
      </c>
      <c r="R77" s="145" t="b">
        <v>1</v>
      </c>
      <c r="S77" s="145" t="b">
        <v>1</v>
      </c>
      <c r="T77" s="145"/>
      <c r="U77" s="146"/>
      <c r="V77" s="146"/>
    </row>
    <row r="78" outlineLevel="1">
      <c r="A78" s="237" t="s">
        <v>344</v>
      </c>
      <c r="B78" s="243"/>
      <c r="C78" s="239"/>
      <c r="D78" s="452"/>
      <c r="E78" s="239"/>
      <c r="F78" s="138">
        <f t="shared" si="6"/>
        <v>0</v>
      </c>
      <c r="G78" s="239"/>
      <c r="H78" s="212"/>
      <c r="J78" s="210"/>
      <c r="K78" s="138"/>
      <c r="L78" s="138"/>
      <c r="M78" s="145"/>
      <c r="N78" s="145"/>
      <c r="O78" s="145">
        <v>0.0</v>
      </c>
      <c r="P78" s="145">
        <v>1.0</v>
      </c>
      <c r="Q78" s="145">
        <v>1.0</v>
      </c>
      <c r="R78" s="145" t="b">
        <v>1</v>
      </c>
      <c r="S78" s="145" t="b">
        <v>1</v>
      </c>
      <c r="T78" s="145"/>
      <c r="U78" s="146"/>
      <c r="V78" s="146"/>
    </row>
    <row r="79" outlineLevel="1">
      <c r="A79" s="146"/>
      <c r="B79" s="243"/>
      <c r="C79" s="239"/>
      <c r="D79" s="107"/>
      <c r="E79" s="239"/>
      <c r="F79" s="138">
        <f t="shared" si="6"/>
        <v>0</v>
      </c>
      <c r="G79" s="239"/>
      <c r="H79" s="106"/>
      <c r="I79" s="168"/>
      <c r="J79" s="107"/>
      <c r="K79" s="138"/>
      <c r="L79" s="138"/>
      <c r="M79" s="145"/>
      <c r="N79" s="145"/>
      <c r="O79" s="145">
        <v>0.0</v>
      </c>
      <c r="P79" s="145">
        <v>1.0</v>
      </c>
      <c r="Q79" s="145">
        <v>1.0</v>
      </c>
      <c r="R79" s="145" t="b">
        <v>1</v>
      </c>
      <c r="S79" s="145" t="b">
        <v>1</v>
      </c>
      <c r="T79" s="145"/>
      <c r="U79" s="156"/>
      <c r="V79" s="156"/>
    </row>
    <row r="80" outlineLevel="1">
      <c r="A80" s="230" t="str">
        <f>"上B ("&amp;VLOOKUP($A$1,Fighters!$A$2:$AI$81,17,FALSE)&amp;")"</f>
        <v>上B (ハイドロポンプ)</v>
      </c>
      <c r="B80" s="109"/>
      <c r="C80" s="231" t="s">
        <v>48</v>
      </c>
      <c r="D80" s="231" t="s">
        <v>49</v>
      </c>
      <c r="E80" s="232" t="s">
        <v>50</v>
      </c>
      <c r="F80" s="233" t="s">
        <v>51</v>
      </c>
      <c r="G80" s="232" t="s">
        <v>52</v>
      </c>
      <c r="H80" s="382" t="s">
        <v>53</v>
      </c>
      <c r="I80" s="110"/>
      <c r="J80" s="109"/>
      <c r="K80" s="235" t="s">
        <v>137</v>
      </c>
      <c r="L80" s="235" t="s">
        <v>138</v>
      </c>
      <c r="M80" s="235" t="s">
        <v>139</v>
      </c>
      <c r="N80" s="235" t="s">
        <v>140</v>
      </c>
      <c r="O80" s="236" t="s">
        <v>141</v>
      </c>
      <c r="P80" s="235" t="s">
        <v>142</v>
      </c>
      <c r="Q80" s="236" t="s">
        <v>143</v>
      </c>
      <c r="R80" s="235" t="s">
        <v>179</v>
      </c>
      <c r="S80" s="236" t="s">
        <v>180</v>
      </c>
      <c r="T80" s="236" t="s">
        <v>181</v>
      </c>
      <c r="U80" s="236" t="s">
        <v>182</v>
      </c>
      <c r="V80" s="3198" t="s">
        <v>183</v>
      </c>
    </row>
    <row r="81" outlineLevel="1">
      <c r="A81" s="396" t="s">
        <v>332</v>
      </c>
      <c r="B81" s="870"/>
      <c r="C81" s="239"/>
      <c r="D81" s="250"/>
      <c r="E81" s="239"/>
      <c r="F81" s="138">
        <f t="shared" ref="F81:F84" si="7">IFERROR(IFS(E81="-","-",LEN(E81)-LEN(SUBSTITUTE(E81,"/",""))=0,MULTIPLY(E81,1.2),LEN(E81)-LEN(SUBSTITUTE(E81,"/",""))=1,MULTIPLY(LEFT(E81,FIND("/",E81)-1),1.2)&amp;"/"&amp;MULTIPLY(MID(E81,FIND("/",E81)+1,10),1.2),LEN(E81)-LEN(SUBSTITUTE(E81,"/",""))=2,MULTIPLY(LEFT(E81,FIND("!",SUBSTITUTE(E81,"/","!",1))-1),1.2)&amp;"/"&amp;MULTIPLY(MID(E81,FIND("!",SUBSTITUTE(E81,"/","!",1))+1,FIND("!",SUBSTITUTE(E81,"/","!",2))-FIND("!",SUBSTITUTE(E81,"/","!",1))-1),1.2)&amp;"/"&amp;MULTIPLY(RIGHT(E81,LEN(E81)-FIND("!",SUBSTITUTE(E81,"/","!",2))),1.2),LEN(E81)-LEN(SUBSTITUTE(E81,"/",""))=3,MULTIPLY(LEFT(E81,FIND("!",SUBSTITUTE(E81,"/","!",1))-1),1.2)&amp;"/"&amp;MULTIPLY(MID(E81,FIND("!",SUBSTITUTE(E81,"/","!",1))+1,FIND("!",SUBSTITUTE(E81,"/","!",2))-FIND("!",SUBSTITUTE(E81,"/","!",1))-1),1.2)&amp;"/"&amp;MULTIPLY(MID(E81,FIND("!",SUBSTITUTE(E81,"/","!",2))+1,FIND("!",SUBSTITUTE(E81,"/","!",3))-FIND("!",SUBSTITUTE(E81,"/","!",2))-1),1.2)&amp;"/"&amp;MULTIPLY(RIGHT(E81,LEN(E81)-FIND("!",SUBSTITUTE(E81,"/","!",3))),1.2),LEN(E81)-LEN(SUBSTITUTE(E81,"/",""))=4,MULTIPLY(LEFT(E81,FIND("!",SUBSTITUTE(E81,"/","!",1))-1),1.2)&amp;"/"&amp;MULTIPLY(MID(E81,FIND("!",SUBSTITUTE(E81,"/","!",1))+1,FIND("!",SUBSTITUTE(E81,"/","!",2))-FIND("!",SUBSTITUTE(E81,"/","!",1))-1),1.2)&amp;"/"&amp;MULTIPLY(MID(E81,FIND("!",SUBSTITUTE(E81,"/","!",2))+1,FIND("!",SUBSTITUTE(E81,"/","!",3))-FIND("!",SUBSTITUTE(E81,"/","!",2))-1),1.2)&amp;"/"&amp;MULTIPLY(MID(E81,FIND("!",SUBSTITUTE(E81,"/","!",3))+1,FIND("!",SUBSTITUTE(E81,"/","!",4))-FIND("!",SUBSTITUTE(E81,"/","!",3))-1),1.2)&amp;"/"&amp;MULTIPLY(RIGHT(E81,LEN(E81)-FIND("!",SUBSTITUTE(E81,"/","!",4))),1.2)),"")</f>
        <v>0</v>
      </c>
      <c r="G81" s="239"/>
      <c r="H81" s="163" t="s">
        <v>7432</v>
      </c>
      <c r="I81" s="164"/>
      <c r="J81" s="104"/>
      <c r="K81" s="138"/>
      <c r="L81" s="138"/>
      <c r="M81" s="145"/>
      <c r="N81" s="145"/>
      <c r="O81" s="145">
        <v>0.0</v>
      </c>
      <c r="P81" s="145">
        <v>1.0</v>
      </c>
      <c r="Q81" s="145">
        <v>1.0</v>
      </c>
      <c r="R81" s="145" t="b">
        <v>1</v>
      </c>
      <c r="S81" s="145" t="b">
        <v>1</v>
      </c>
      <c r="T81" s="145"/>
      <c r="U81" s="166" t="b">
        <v>1</v>
      </c>
      <c r="V81" s="166" t="b">
        <v>1</v>
      </c>
    </row>
    <row r="82" outlineLevel="1">
      <c r="A82" s="156"/>
      <c r="B82" s="870"/>
      <c r="C82" s="239"/>
      <c r="D82" s="146"/>
      <c r="E82" s="239"/>
      <c r="F82" s="138">
        <f t="shared" si="7"/>
        <v>0</v>
      </c>
      <c r="G82" s="239"/>
      <c r="H82" s="212"/>
      <c r="J82" s="210"/>
      <c r="K82" s="138"/>
      <c r="L82" s="138"/>
      <c r="M82" s="145"/>
      <c r="N82" s="145"/>
      <c r="O82" s="145">
        <v>0.0</v>
      </c>
      <c r="P82" s="145">
        <v>1.0</v>
      </c>
      <c r="Q82" s="145">
        <v>1.0</v>
      </c>
      <c r="R82" s="145" t="b">
        <v>1</v>
      </c>
      <c r="S82" s="145" t="b">
        <v>1</v>
      </c>
      <c r="T82" s="145"/>
      <c r="U82" s="146"/>
      <c r="V82" s="146"/>
    </row>
    <row r="83" outlineLevel="1">
      <c r="A83" s="396" t="s">
        <v>344</v>
      </c>
      <c r="B83" s="870"/>
      <c r="C83" s="239"/>
      <c r="D83" s="146"/>
      <c r="E83" s="239"/>
      <c r="F83" s="138">
        <f t="shared" si="7"/>
        <v>0</v>
      </c>
      <c r="G83" s="239"/>
      <c r="H83" s="212"/>
      <c r="J83" s="210"/>
      <c r="K83" s="138"/>
      <c r="L83" s="138"/>
      <c r="M83" s="145"/>
      <c r="N83" s="145"/>
      <c r="O83" s="145">
        <v>0.0</v>
      </c>
      <c r="P83" s="145">
        <v>1.0</v>
      </c>
      <c r="Q83" s="145">
        <v>1.0</v>
      </c>
      <c r="R83" s="145" t="b">
        <v>1</v>
      </c>
      <c r="S83" s="145" t="b">
        <v>1</v>
      </c>
      <c r="T83" s="145"/>
      <c r="U83" s="146"/>
      <c r="V83" s="146"/>
    </row>
    <row r="84" outlineLevel="1">
      <c r="A84" s="156"/>
      <c r="B84" s="870"/>
      <c r="C84" s="239"/>
      <c r="D84" s="156"/>
      <c r="E84" s="239"/>
      <c r="F84" s="138">
        <f t="shared" si="7"/>
        <v>0</v>
      </c>
      <c r="G84" s="239"/>
      <c r="H84" s="106"/>
      <c r="I84" s="168"/>
      <c r="J84" s="107"/>
      <c r="K84" s="138"/>
      <c r="L84" s="138"/>
      <c r="M84" s="145"/>
      <c r="N84" s="145"/>
      <c r="O84" s="145">
        <v>0.0</v>
      </c>
      <c r="P84" s="145">
        <v>1.0</v>
      </c>
      <c r="Q84" s="145">
        <v>1.0</v>
      </c>
      <c r="R84" s="145" t="b">
        <v>1</v>
      </c>
      <c r="S84" s="145" t="b">
        <v>1</v>
      </c>
      <c r="T84" s="145"/>
      <c r="U84" s="156"/>
      <c r="V84" s="156"/>
    </row>
    <row r="85" outlineLevel="1">
      <c r="A85" s="230" t="str">
        <f>"下B ("&amp;VLOOKUP($A$1,Fighters!$A$2:$AI$81,18,FALSE)&amp;")"</f>
        <v>下B (みがわり)</v>
      </c>
      <c r="B85" s="109"/>
      <c r="C85" s="231" t="s">
        <v>48</v>
      </c>
      <c r="D85" s="231" t="s">
        <v>49</v>
      </c>
      <c r="E85" s="232" t="s">
        <v>50</v>
      </c>
      <c r="F85" s="233" t="s">
        <v>51</v>
      </c>
      <c r="G85" s="232" t="s">
        <v>52</v>
      </c>
      <c r="H85" s="382" t="s">
        <v>53</v>
      </c>
      <c r="I85" s="110"/>
      <c r="J85" s="109"/>
      <c r="K85" s="235" t="s">
        <v>137</v>
      </c>
      <c r="L85" s="235" t="s">
        <v>138</v>
      </c>
      <c r="M85" s="235" t="s">
        <v>139</v>
      </c>
      <c r="N85" s="235" t="s">
        <v>140</v>
      </c>
      <c r="O85" s="236" t="s">
        <v>141</v>
      </c>
      <c r="P85" s="235" t="s">
        <v>142</v>
      </c>
      <c r="Q85" s="236" t="s">
        <v>143</v>
      </c>
      <c r="R85" s="235" t="s">
        <v>179</v>
      </c>
      <c r="S85" s="236" t="s">
        <v>180</v>
      </c>
      <c r="T85" s="236" t="s">
        <v>181</v>
      </c>
      <c r="U85" s="236" t="s">
        <v>182</v>
      </c>
      <c r="V85" s="3198" t="s">
        <v>183</v>
      </c>
    </row>
    <row r="86" outlineLevel="1">
      <c r="A86" s="396" t="s">
        <v>332</v>
      </c>
      <c r="B86" s="870"/>
      <c r="C86" s="239"/>
      <c r="D86" s="452"/>
      <c r="E86" s="239"/>
      <c r="F86" s="138">
        <f t="shared" ref="F86:F89" si="8">IFERROR(IFS(E86="-","-",LEN(E86)-LEN(SUBSTITUTE(E86,"/",""))=0,MULTIPLY(E86,1.2),LEN(E86)-LEN(SUBSTITUTE(E86,"/",""))=1,MULTIPLY(LEFT(E86,FIND("/",E86)-1),1.2)&amp;"/"&amp;MULTIPLY(MID(E86,FIND("/",E86)+1,10),1.2),LEN(E86)-LEN(SUBSTITUTE(E86,"/",""))=2,MULTIPLY(LEFT(E86,FIND("!",SUBSTITUTE(E86,"/","!",1))-1),1.2)&amp;"/"&amp;MULTIPLY(MID(E86,FIND("!",SUBSTITUTE(E86,"/","!",1))+1,FIND("!",SUBSTITUTE(E86,"/","!",2))-FIND("!",SUBSTITUTE(E86,"/","!",1))-1),1.2)&amp;"/"&amp;MULTIPLY(RIGHT(E86,LEN(E86)-FIND("!",SUBSTITUTE(E86,"/","!",2))),1.2),LEN(E86)-LEN(SUBSTITUTE(E86,"/",""))=3,MULTIPLY(LEFT(E86,FIND("!",SUBSTITUTE(E86,"/","!",1))-1),1.2)&amp;"/"&amp;MULTIPLY(MID(E86,FIND("!",SUBSTITUTE(E86,"/","!",1))+1,FIND("!",SUBSTITUTE(E86,"/","!",2))-FIND("!",SUBSTITUTE(E86,"/","!",1))-1),1.2)&amp;"/"&amp;MULTIPLY(MID(E86,FIND("!",SUBSTITUTE(E86,"/","!",2))+1,FIND("!",SUBSTITUTE(E86,"/","!",3))-FIND("!",SUBSTITUTE(E86,"/","!",2))-1),1.2)&amp;"/"&amp;MULTIPLY(RIGHT(E86,LEN(E86)-FIND("!",SUBSTITUTE(E86,"/","!",3))),1.2),LEN(E86)-LEN(SUBSTITUTE(E86,"/",""))=4,MULTIPLY(LEFT(E86,FIND("!",SUBSTITUTE(E86,"/","!",1))-1),1.2)&amp;"/"&amp;MULTIPLY(MID(E86,FIND("!",SUBSTITUTE(E86,"/","!",1))+1,FIND("!",SUBSTITUTE(E86,"/","!",2))-FIND("!",SUBSTITUTE(E86,"/","!",1))-1),1.2)&amp;"/"&amp;MULTIPLY(MID(E86,FIND("!",SUBSTITUTE(E86,"/","!",2))+1,FIND("!",SUBSTITUTE(E86,"/","!",3))-FIND("!",SUBSTITUTE(E86,"/","!",2))-1),1.2)&amp;"/"&amp;MULTIPLY(MID(E86,FIND("!",SUBSTITUTE(E86,"/","!",3))+1,FIND("!",SUBSTITUTE(E86,"/","!",4))-FIND("!",SUBSTITUTE(E86,"/","!",3))-1),1.2)&amp;"/"&amp;MULTIPLY(RIGHT(E86,LEN(E86)-FIND("!",SUBSTITUTE(E86,"/","!",4))),1.2)),"")</f>
        <v>0</v>
      </c>
      <c r="G86" s="239"/>
      <c r="H86" s="3644"/>
      <c r="I86" s="164"/>
      <c r="J86" s="104"/>
      <c r="K86" s="138"/>
      <c r="L86" s="138"/>
      <c r="M86" s="145"/>
      <c r="N86" s="145"/>
      <c r="O86" s="145">
        <v>0.0</v>
      </c>
      <c r="P86" s="145">
        <v>1.0</v>
      </c>
      <c r="Q86" s="145">
        <v>1.0</v>
      </c>
      <c r="R86" s="145" t="b">
        <v>1</v>
      </c>
      <c r="S86" s="145" t="b">
        <v>1</v>
      </c>
      <c r="T86" s="145"/>
      <c r="U86" s="166" t="b">
        <v>1</v>
      </c>
      <c r="V86" s="166" t="b">
        <v>1</v>
      </c>
    </row>
    <row r="87" outlineLevel="1">
      <c r="A87" s="156"/>
      <c r="B87" s="870"/>
      <c r="C87" s="239"/>
      <c r="D87" s="107"/>
      <c r="E87" s="239"/>
      <c r="F87" s="138">
        <f t="shared" si="8"/>
        <v>0</v>
      </c>
      <c r="G87" s="239"/>
      <c r="H87" s="212"/>
      <c r="J87" s="210"/>
      <c r="K87" s="138"/>
      <c r="L87" s="138"/>
      <c r="M87" s="145"/>
      <c r="N87" s="145"/>
      <c r="O87" s="145">
        <v>0.0</v>
      </c>
      <c r="P87" s="145">
        <v>1.0</v>
      </c>
      <c r="Q87" s="145">
        <v>1.0</v>
      </c>
      <c r="R87" s="145" t="b">
        <v>1</v>
      </c>
      <c r="S87" s="145" t="b">
        <v>1</v>
      </c>
      <c r="T87" s="145"/>
      <c r="U87" s="146"/>
      <c r="V87" s="146"/>
    </row>
    <row r="88" outlineLevel="1">
      <c r="A88" s="396" t="s">
        <v>344</v>
      </c>
      <c r="B88" s="870"/>
      <c r="C88" s="239"/>
      <c r="D88" s="452"/>
      <c r="E88" s="239"/>
      <c r="F88" s="138">
        <f t="shared" si="8"/>
        <v>0</v>
      </c>
      <c r="G88" s="239"/>
      <c r="H88" s="212"/>
      <c r="J88" s="210"/>
      <c r="K88" s="138"/>
      <c r="L88" s="138"/>
      <c r="M88" s="145"/>
      <c r="N88" s="145"/>
      <c r="O88" s="145">
        <v>0.0</v>
      </c>
      <c r="P88" s="145">
        <v>1.0</v>
      </c>
      <c r="Q88" s="145">
        <v>1.0</v>
      </c>
      <c r="R88" s="145" t="b">
        <v>1</v>
      </c>
      <c r="S88" s="145" t="b">
        <v>1</v>
      </c>
      <c r="T88" s="145"/>
      <c r="U88" s="146"/>
      <c r="V88" s="146"/>
    </row>
    <row r="89" outlineLevel="1">
      <c r="A89" s="156"/>
      <c r="B89" s="870"/>
      <c r="C89" s="239"/>
      <c r="D89" s="107"/>
      <c r="E89" s="239"/>
      <c r="F89" s="138">
        <f t="shared" si="8"/>
        <v>0</v>
      </c>
      <c r="G89" s="239"/>
      <c r="H89" s="106"/>
      <c r="I89" s="168"/>
      <c r="J89" s="107"/>
      <c r="K89" s="138"/>
      <c r="L89" s="282"/>
      <c r="M89" s="363"/>
      <c r="N89" s="363"/>
      <c r="O89" s="145">
        <v>0.0</v>
      </c>
      <c r="P89" s="145">
        <v>1.0</v>
      </c>
      <c r="Q89" s="145">
        <v>1.0</v>
      </c>
      <c r="R89" s="145" t="b">
        <v>1</v>
      </c>
      <c r="S89" s="145" t="b">
        <v>1</v>
      </c>
      <c r="T89" s="145"/>
      <c r="U89" s="156"/>
      <c r="V89" s="156"/>
    </row>
    <row r="90">
      <c r="A90" s="223"/>
      <c r="B90" s="224"/>
      <c r="C90" s="225"/>
      <c r="D90" s="225"/>
      <c r="E90" s="226"/>
      <c r="F90" s="226"/>
      <c r="G90" s="226"/>
      <c r="H90" s="227"/>
      <c r="I90" s="227"/>
      <c r="J90" s="228"/>
      <c r="K90" s="228"/>
      <c r="L90" s="228"/>
      <c r="M90" s="228"/>
      <c r="N90" s="228"/>
      <c r="O90" s="228"/>
      <c r="P90" s="228"/>
      <c r="Q90" s="118"/>
      <c r="R90" s="118"/>
      <c r="S90" s="118"/>
      <c r="T90" s="118"/>
      <c r="U90" s="118"/>
      <c r="V90" s="118"/>
    </row>
    <row r="91">
      <c r="A91" s="264" t="s">
        <v>211</v>
      </c>
      <c r="B91" s="104"/>
      <c r="C91" s="227"/>
      <c r="D91" s="227"/>
      <c r="E91" s="228"/>
      <c r="F91" s="265"/>
      <c r="G91" s="265"/>
      <c r="H91" s="228"/>
      <c r="I91" s="228"/>
      <c r="J91" s="228"/>
      <c r="K91" s="228"/>
      <c r="L91" s="228"/>
      <c r="M91" s="228"/>
      <c r="N91" s="118"/>
      <c r="O91" s="118"/>
      <c r="P91" s="118"/>
      <c r="Q91" s="228"/>
      <c r="R91" s="228"/>
      <c r="S91" s="228"/>
      <c r="T91" s="228"/>
      <c r="U91" s="228"/>
      <c r="V91" s="228"/>
    </row>
    <row r="92" outlineLevel="1">
      <c r="A92" s="106"/>
      <c r="B92" s="107"/>
      <c r="C92" s="266" t="s">
        <v>48</v>
      </c>
      <c r="D92" s="266" t="s">
        <v>49</v>
      </c>
      <c r="E92" s="266" t="s">
        <v>50</v>
      </c>
      <c r="F92" s="267" t="s">
        <v>51</v>
      </c>
      <c r="G92" s="227"/>
      <c r="H92" s="227"/>
      <c r="I92" s="227"/>
      <c r="J92" s="228"/>
      <c r="K92" s="228"/>
      <c r="L92" s="228"/>
      <c r="M92" s="228"/>
      <c r="N92" s="228"/>
      <c r="O92" s="228"/>
      <c r="P92" s="228"/>
      <c r="Q92" s="228"/>
      <c r="R92" s="228"/>
      <c r="S92" s="228"/>
      <c r="T92" s="228"/>
      <c r="U92" s="228"/>
      <c r="V92" s="228"/>
    </row>
    <row r="93" outlineLevel="1">
      <c r="A93" s="268" t="s">
        <v>212</v>
      </c>
      <c r="B93" s="269" t="s">
        <v>212</v>
      </c>
      <c r="C93" s="113"/>
      <c r="D93" s="113"/>
      <c r="E93" s="113"/>
      <c r="F93" s="138"/>
      <c r="G93" s="227"/>
      <c r="H93" s="227"/>
      <c r="I93" s="227"/>
      <c r="J93" s="228"/>
      <c r="K93" s="228"/>
      <c r="L93" s="228"/>
      <c r="M93" s="228"/>
      <c r="N93" s="228"/>
      <c r="O93" s="228"/>
      <c r="P93" s="228"/>
      <c r="Q93" s="228"/>
      <c r="R93" s="228"/>
      <c r="S93" s="228"/>
      <c r="T93" s="228"/>
      <c r="U93" s="228"/>
      <c r="V93" s="228"/>
    </row>
    <row r="94" outlineLevel="1">
      <c r="A94" s="270" t="s">
        <v>215</v>
      </c>
      <c r="B94" s="269" t="s">
        <v>216</v>
      </c>
      <c r="C94" s="113"/>
      <c r="D94" s="113"/>
      <c r="E94" s="271"/>
      <c r="F94" s="272"/>
      <c r="G94" s="272"/>
      <c r="H94" s="227"/>
      <c r="I94" s="227"/>
      <c r="J94" s="228"/>
      <c r="K94" s="228"/>
      <c r="L94" s="228"/>
      <c r="M94" s="228"/>
      <c r="N94" s="228"/>
      <c r="O94" s="228"/>
      <c r="P94" s="228"/>
      <c r="Q94" s="228"/>
      <c r="R94" s="228"/>
      <c r="S94" s="228"/>
      <c r="T94" s="228"/>
      <c r="U94" s="228"/>
      <c r="V94" s="228"/>
    </row>
    <row r="95" outlineLevel="1">
      <c r="A95" s="212"/>
      <c r="B95" s="269" t="s">
        <v>219</v>
      </c>
      <c r="C95" s="113"/>
      <c r="D95" s="113"/>
      <c r="E95" s="271"/>
      <c r="F95" s="272"/>
      <c r="G95" s="272"/>
      <c r="H95" s="227"/>
      <c r="I95" s="227"/>
      <c r="J95" s="228"/>
      <c r="K95" s="228"/>
      <c r="L95" s="228"/>
      <c r="M95" s="228"/>
      <c r="N95" s="228"/>
      <c r="O95" s="228"/>
      <c r="P95" s="228"/>
      <c r="Q95" s="228"/>
      <c r="R95" s="228"/>
      <c r="S95" s="228"/>
      <c r="T95" s="228"/>
      <c r="U95" s="228"/>
      <c r="V95" s="228"/>
    </row>
    <row r="96" outlineLevel="1">
      <c r="A96" s="106"/>
      <c r="B96" s="269" t="s">
        <v>222</v>
      </c>
      <c r="C96" s="113"/>
      <c r="D96" s="113"/>
      <c r="E96" s="227"/>
      <c r="F96" s="272"/>
      <c r="G96" s="272"/>
      <c r="H96" s="227"/>
      <c r="I96" s="227"/>
      <c r="J96" s="228"/>
      <c r="K96" s="228"/>
      <c r="L96" s="228"/>
      <c r="M96" s="228"/>
      <c r="N96" s="228"/>
      <c r="O96" s="228"/>
      <c r="P96" s="228"/>
      <c r="Q96" s="228"/>
      <c r="R96" s="228"/>
      <c r="S96" s="228"/>
      <c r="T96" s="228"/>
      <c r="U96" s="228"/>
      <c r="V96" s="228"/>
    </row>
    <row r="97" outlineLevel="1">
      <c r="A97" s="273" t="s">
        <v>225</v>
      </c>
      <c r="B97" s="109"/>
      <c r="C97" s="266" t="s">
        <v>48</v>
      </c>
      <c r="D97" s="266" t="s">
        <v>49</v>
      </c>
      <c r="E97" s="266" t="s">
        <v>50</v>
      </c>
      <c r="F97" s="267" t="s">
        <v>51</v>
      </c>
      <c r="G97" s="1168" t="s">
        <v>53</v>
      </c>
      <c r="H97" s="110"/>
      <c r="I97" s="110"/>
      <c r="J97" s="109"/>
      <c r="K97" s="275" t="s">
        <v>137</v>
      </c>
      <c r="L97" s="275" t="s">
        <v>138</v>
      </c>
      <c r="M97" s="275" t="s">
        <v>139</v>
      </c>
      <c r="N97" s="275" t="s">
        <v>140</v>
      </c>
      <c r="O97" s="276" t="s">
        <v>141</v>
      </c>
      <c r="P97" s="275" t="s">
        <v>142</v>
      </c>
      <c r="Q97" s="276" t="s">
        <v>143</v>
      </c>
      <c r="R97" s="277"/>
      <c r="S97" s="277"/>
      <c r="T97" s="277"/>
      <c r="U97" s="277"/>
      <c r="V97" s="277"/>
    </row>
    <row r="98" outlineLevel="1">
      <c r="A98" s="278" t="s">
        <v>226</v>
      </c>
      <c r="B98" s="269" t="s">
        <v>227</v>
      </c>
      <c r="C98" s="113"/>
      <c r="D98" s="279"/>
      <c r="E98" s="239"/>
      <c r="F98" s="138">
        <f t="shared" ref="F98:F105" si="9">IFERROR(E98*1.2, "-")</f>
        <v>0</v>
      </c>
      <c r="G98" s="1170"/>
      <c r="H98" s="164"/>
      <c r="I98" s="164"/>
      <c r="J98" s="104"/>
      <c r="K98" s="282"/>
      <c r="L98" s="282"/>
      <c r="M98" s="363"/>
      <c r="N98" s="145"/>
      <c r="O98" s="145">
        <v>0.0</v>
      </c>
      <c r="P98" s="145">
        <v>1.0</v>
      </c>
      <c r="Q98" s="145">
        <v>1.0</v>
      </c>
      <c r="R98" s="277"/>
      <c r="S98" s="228"/>
      <c r="T98" s="228"/>
      <c r="U98" s="228"/>
      <c r="V98" s="228"/>
    </row>
    <row r="99" outlineLevel="1">
      <c r="A99" s="156"/>
      <c r="B99" s="269" t="s">
        <v>225</v>
      </c>
      <c r="C99" s="113"/>
      <c r="D99" s="156"/>
      <c r="E99" s="239"/>
      <c r="F99" s="138">
        <f t="shared" si="9"/>
        <v>0</v>
      </c>
      <c r="G99" s="106"/>
      <c r="H99" s="168"/>
      <c r="I99" s="168"/>
      <c r="J99" s="107"/>
      <c r="K99" s="282"/>
      <c r="L99" s="282"/>
      <c r="M99" s="363"/>
      <c r="N99" s="145"/>
      <c r="O99" s="261"/>
      <c r="P99" s="261"/>
      <c r="Q99" s="261"/>
      <c r="R99" s="277"/>
      <c r="S99" s="228"/>
      <c r="T99" s="228"/>
      <c r="U99" s="228"/>
      <c r="V99" s="228"/>
    </row>
    <row r="100" outlineLevel="1">
      <c r="A100" s="278" t="s">
        <v>229</v>
      </c>
      <c r="B100" s="269" t="s">
        <v>227</v>
      </c>
      <c r="C100" s="113"/>
      <c r="D100" s="279"/>
      <c r="E100" s="239"/>
      <c r="F100" s="138">
        <f t="shared" si="9"/>
        <v>0</v>
      </c>
      <c r="G100" s="1170"/>
      <c r="H100" s="164"/>
      <c r="I100" s="164"/>
      <c r="J100" s="104"/>
      <c r="K100" s="282"/>
      <c r="L100" s="282"/>
      <c r="M100" s="363"/>
      <c r="N100" s="363"/>
      <c r="O100" s="145">
        <v>0.0</v>
      </c>
      <c r="P100" s="145">
        <v>1.0</v>
      </c>
      <c r="Q100" s="145">
        <v>1.0</v>
      </c>
      <c r="R100" s="277"/>
      <c r="S100" s="228"/>
      <c r="T100" s="228"/>
      <c r="U100" s="228"/>
      <c r="V100" s="228"/>
    </row>
    <row r="101" outlineLevel="1">
      <c r="A101" s="156"/>
      <c r="B101" s="269" t="s">
        <v>225</v>
      </c>
      <c r="C101" s="113"/>
      <c r="D101" s="156"/>
      <c r="E101" s="239"/>
      <c r="F101" s="138">
        <f t="shared" si="9"/>
        <v>0</v>
      </c>
      <c r="G101" s="106"/>
      <c r="H101" s="168"/>
      <c r="I101" s="168"/>
      <c r="J101" s="107"/>
      <c r="K101" s="282"/>
      <c r="L101" s="282"/>
      <c r="M101" s="363"/>
      <c r="N101" s="363"/>
      <c r="O101" s="261"/>
      <c r="P101" s="261"/>
      <c r="Q101" s="261"/>
      <c r="R101" s="277"/>
      <c r="S101" s="228"/>
      <c r="T101" s="228"/>
      <c r="U101" s="228"/>
      <c r="V101" s="228"/>
    </row>
    <row r="102" outlineLevel="1">
      <c r="A102" s="278" t="s">
        <v>233</v>
      </c>
      <c r="B102" s="269" t="s">
        <v>227</v>
      </c>
      <c r="C102" s="113"/>
      <c r="D102" s="279"/>
      <c r="E102" s="239"/>
      <c r="F102" s="138">
        <f t="shared" si="9"/>
        <v>0</v>
      </c>
      <c r="G102" s="1170"/>
      <c r="H102" s="164"/>
      <c r="I102" s="164"/>
      <c r="J102" s="104"/>
      <c r="K102" s="282"/>
      <c r="L102" s="282"/>
      <c r="M102" s="363"/>
      <c r="N102" s="363"/>
      <c r="O102" s="145">
        <v>0.0</v>
      </c>
      <c r="P102" s="145">
        <v>1.0</v>
      </c>
      <c r="Q102" s="145">
        <v>1.0</v>
      </c>
      <c r="R102" s="277"/>
      <c r="S102" s="228"/>
      <c r="T102" s="228"/>
      <c r="U102" s="228"/>
      <c r="V102" s="228"/>
    </row>
    <row r="103" outlineLevel="1">
      <c r="A103" s="156"/>
      <c r="B103" s="269" t="s">
        <v>225</v>
      </c>
      <c r="C103" s="113"/>
      <c r="D103" s="156"/>
      <c r="E103" s="239"/>
      <c r="F103" s="138">
        <f t="shared" si="9"/>
        <v>0</v>
      </c>
      <c r="G103" s="106"/>
      <c r="H103" s="168"/>
      <c r="I103" s="168"/>
      <c r="J103" s="107"/>
      <c r="K103" s="282"/>
      <c r="L103" s="282"/>
      <c r="M103" s="363"/>
      <c r="N103" s="363"/>
      <c r="O103" s="261"/>
      <c r="P103" s="261"/>
      <c r="Q103" s="261"/>
      <c r="R103" s="277"/>
      <c r="S103" s="117"/>
      <c r="T103" s="117"/>
      <c r="U103" s="117"/>
      <c r="V103" s="117"/>
    </row>
    <row r="104" outlineLevel="1">
      <c r="A104" s="278" t="s">
        <v>234</v>
      </c>
      <c r="B104" s="269" t="s">
        <v>227</v>
      </c>
      <c r="C104" s="113"/>
      <c r="D104" s="279"/>
      <c r="E104" s="239"/>
      <c r="F104" s="138">
        <f t="shared" si="9"/>
        <v>0</v>
      </c>
      <c r="G104" s="1170"/>
      <c r="H104" s="164"/>
      <c r="I104" s="164"/>
      <c r="J104" s="104"/>
      <c r="K104" s="282"/>
      <c r="L104" s="282"/>
      <c r="M104" s="363"/>
      <c r="N104" s="363"/>
      <c r="O104" s="145">
        <v>0.0</v>
      </c>
      <c r="P104" s="145">
        <v>1.0</v>
      </c>
      <c r="Q104" s="145">
        <v>1.0</v>
      </c>
      <c r="R104" s="277"/>
      <c r="S104" s="117"/>
      <c r="T104" s="117"/>
      <c r="U104" s="117"/>
      <c r="V104" s="117"/>
    </row>
    <row r="105" outlineLevel="1">
      <c r="A105" s="156"/>
      <c r="B105" s="269" t="s">
        <v>225</v>
      </c>
      <c r="C105" s="113"/>
      <c r="D105" s="156"/>
      <c r="E105" s="239"/>
      <c r="F105" s="138">
        <f t="shared" si="9"/>
        <v>0</v>
      </c>
      <c r="G105" s="106"/>
      <c r="H105" s="168"/>
      <c r="I105" s="168"/>
      <c r="J105" s="107"/>
      <c r="K105" s="282"/>
      <c r="L105" s="282"/>
      <c r="M105" s="363"/>
      <c r="N105" s="363"/>
      <c r="O105" s="261"/>
      <c r="P105" s="261"/>
      <c r="Q105" s="261"/>
      <c r="R105" s="277"/>
      <c r="S105" s="117"/>
      <c r="T105" s="117"/>
      <c r="U105" s="117"/>
      <c r="V105" s="117"/>
    </row>
    <row r="106">
      <c r="A106" s="223"/>
      <c r="B106" s="224"/>
      <c r="C106" s="225"/>
      <c r="D106" s="225"/>
      <c r="E106" s="227"/>
      <c r="F106" s="177"/>
      <c r="G106" s="177"/>
      <c r="H106" s="227"/>
      <c r="I106" s="227"/>
      <c r="J106" s="228"/>
      <c r="K106" s="228"/>
      <c r="L106" s="111"/>
      <c r="M106" s="111"/>
      <c r="N106" s="111"/>
      <c r="O106" s="117"/>
      <c r="P106" s="117"/>
      <c r="Q106" s="111"/>
      <c r="R106" s="111"/>
      <c r="S106" s="111"/>
      <c r="T106" s="111"/>
      <c r="U106" s="111"/>
      <c r="V106" s="111"/>
    </row>
    <row r="107">
      <c r="A107" s="284" t="s">
        <v>241</v>
      </c>
      <c r="B107" s="104"/>
      <c r="C107" s="265"/>
      <c r="D107" s="111"/>
      <c r="E107" s="111"/>
      <c r="F107" s="111"/>
      <c r="G107" s="111"/>
      <c r="H107" s="111"/>
      <c r="I107" s="111"/>
      <c r="J107" s="118"/>
      <c r="K107" s="111"/>
      <c r="L107" s="111"/>
      <c r="M107" s="111"/>
      <c r="N107" s="111"/>
      <c r="O107" s="111"/>
      <c r="P107" s="111"/>
      <c r="Q107" s="118"/>
      <c r="R107" s="111"/>
      <c r="S107" s="111"/>
      <c r="T107" s="111"/>
      <c r="U107" s="111"/>
      <c r="V107" s="111"/>
    </row>
    <row r="108" outlineLevel="1">
      <c r="A108" s="106"/>
      <c r="B108" s="107"/>
      <c r="C108" s="285" t="s">
        <v>235</v>
      </c>
      <c r="D108" s="285" t="s">
        <v>236</v>
      </c>
      <c r="E108" s="285" t="s">
        <v>49</v>
      </c>
      <c r="F108" s="285" t="s">
        <v>237</v>
      </c>
      <c r="G108" s="286"/>
      <c r="H108" s="227"/>
      <c r="I108" s="227"/>
      <c r="J108" s="228"/>
      <c r="K108" s="228"/>
      <c r="L108" s="111"/>
      <c r="M108" s="111"/>
      <c r="N108" s="111"/>
      <c r="O108" s="111"/>
      <c r="P108" s="111"/>
      <c r="Q108" s="111"/>
      <c r="R108" s="111"/>
      <c r="S108" s="111"/>
      <c r="T108" s="111"/>
      <c r="U108" s="111"/>
      <c r="V108" s="111"/>
    </row>
    <row r="109" outlineLevel="1">
      <c r="A109" s="287" t="s">
        <v>395</v>
      </c>
      <c r="B109" s="288" t="s">
        <v>216</v>
      </c>
      <c r="C109" s="113" t="str">
        <f t="array" ref="C109">INDEX('回避'!$C$3:$U$84, MATCH($A$1,'回避'!$A$3:$A$91,0), MATCH(C108,'回避'!$C$2:$F$2,0))</f>
        <v>3-16</v>
      </c>
      <c r="D109" s="113" t="str">
        <f t="array" ref="D109">INDEX('回避'!$C$3:$U$84, MATCH($A$1,'回避'!$A$3:$A$91,0), MATCH(D108,'回避'!$C$2:$F$2,0))</f>
        <v>6-16</v>
      </c>
      <c r="E109" s="113" t="str">
        <f t="array" ref="E109">INDEX('回避'!$C$3:$U$84, MATCH($A$1,'回避'!$A$3:$A$91,0), MATCH(E108,'回避'!$C$2:$F$2,0))</f>
        <v>24 (19)</v>
      </c>
      <c r="F109" s="113" t="str">
        <f t="array" ref="F109">INDEX('回避'!$C$3:$U$84, MATCH($A$1,'回避'!$A$3:$A$91,0), MATCH(F108,'回避'!$C$2:$F$2,0))</f>
        <v>32 (25)</v>
      </c>
      <c r="G109" s="272"/>
      <c r="H109" s="227"/>
      <c r="I109" s="227"/>
      <c r="J109" s="228"/>
      <c r="K109" s="228"/>
      <c r="L109" s="228"/>
      <c r="M109" s="111"/>
      <c r="N109" s="111"/>
      <c r="O109" s="111"/>
      <c r="P109" s="111"/>
      <c r="Q109" s="111"/>
      <c r="R109" s="111"/>
      <c r="S109" s="111"/>
      <c r="T109" s="111"/>
      <c r="U109" s="111"/>
      <c r="V109" s="111"/>
    </row>
    <row r="110" outlineLevel="1">
      <c r="A110" s="212"/>
      <c r="B110" s="288" t="s">
        <v>245</v>
      </c>
      <c r="C110" s="113" t="str">
        <f t="array" ref="C110">INDEX('回避'!$G$3:$U$84, MATCH($A$1,'回避'!$A$3:$A$91,0), MATCH(C108,'回避'!$G$2:$J$2,0))</f>
        <v>4-14</v>
      </c>
      <c r="D110" s="113" t="str">
        <f t="array" ref="D110">INDEX('回避'!$G$3:$U$84, MATCH($A$1,'回避'!$A$3:$A$91,0), MATCH(D108,'回避'!$G$2:$J$2,0))</f>
        <v>8-14</v>
      </c>
      <c r="E110" s="113" t="str">
        <f t="array" ref="E110">INDEX('回避'!$G$3:$U$84, MATCH($A$1,'回避'!$A$3:$A$91,0), MATCH(E108,'回避'!$G$2:$J$2,0))</f>
        <v>28</v>
      </c>
      <c r="F110" s="113">
        <f t="array" ref="F110">INDEX('回避'!$G$3:$U$84, MATCH($A$1,'回避'!$A$3:$A$91,0), MATCH(F108,'回避'!$G$2:$J$2,0))</f>
        <v>37</v>
      </c>
      <c r="G110" s="289"/>
      <c r="H110" s="227"/>
      <c r="I110" s="227"/>
      <c r="J110" s="228"/>
      <c r="K110" s="228"/>
      <c r="L110" s="228"/>
      <c r="M110" s="228"/>
      <c r="N110" s="228"/>
      <c r="O110" s="111"/>
      <c r="P110" s="111"/>
      <c r="Q110" s="111"/>
      <c r="R110" s="111"/>
      <c r="S110" s="111"/>
      <c r="T110" s="111"/>
      <c r="U110" s="111"/>
      <c r="V110" s="111"/>
    </row>
    <row r="111" outlineLevel="1">
      <c r="A111" s="106"/>
      <c r="B111" s="288" t="s">
        <v>246</v>
      </c>
      <c r="C111" s="113" t="str">
        <f t="array" ref="C111">INDEX('回避'!$K$3:$U$84, MATCH($A$1,'回避'!$A$3:$A$91,0), MATCH(C108,'回避'!$K$2:$N$2,0))</f>
        <v>4-15</v>
      </c>
      <c r="D111" s="113" t="str">
        <f t="array" ref="D111">INDEX('回避'!$K$3:$U$84, MATCH($A$1,'回避'!$A$3:$A$91,0), MATCH(D108,'回避'!$K$2:$N$2,0))</f>
        <v>8-13</v>
      </c>
      <c r="E111" s="113" t="str">
        <f t="array" ref="E111">INDEX('回避'!$K$3:$U$84, MATCH($A$1,'回避'!$A$3:$A$91,0), MATCH(E108,'回避'!$K$2:$N$2,0))</f>
        <v>33</v>
      </c>
      <c r="F111" s="113" t="str">
        <f t="array" ref="F111">INDEX('回避'!$K$3:$U$84, MATCH($A$1,'回避'!$A$3:$A$91,0), MATCH(F108,'回避'!$K$2:$N$2,0))</f>
        <v>50</v>
      </c>
      <c r="G111" s="289"/>
      <c r="H111" s="290"/>
      <c r="I111" s="290"/>
      <c r="J111" s="117"/>
      <c r="K111" s="117"/>
      <c r="L111" s="117"/>
      <c r="M111" s="117"/>
      <c r="N111" s="117"/>
      <c r="O111" s="111"/>
      <c r="P111" s="111"/>
      <c r="Q111" s="111"/>
      <c r="R111" s="111"/>
      <c r="S111" s="111"/>
      <c r="T111" s="111"/>
      <c r="U111" s="111"/>
      <c r="V111" s="111"/>
    </row>
    <row r="112" outlineLevel="1">
      <c r="A112" s="287" t="s">
        <v>396</v>
      </c>
      <c r="B112" s="288" t="s">
        <v>397</v>
      </c>
      <c r="C112" s="113" t="str">
        <f t="array" ref="C112">INDEX('回避'!$O$3:$U$84, MATCH($A$1,'回避'!$A$3:$A$91,0), MATCH(C108,'回避'!$O$2:$R$2,0))</f>
        <v>2-27</v>
      </c>
      <c r="D112" s="113" t="str">
        <f t="array" ref="D112">INDEX('回避'!$O$3:$U$84, MATCH($A$1,'回避'!$A$3:$A$91,0), MATCH(D108,'回避'!$O$2:$R$2,0))</f>
        <v>5-25</v>
      </c>
      <c r="E112" s="113" t="str">
        <f t="array" ref="E112">INDEX('回避'!$O$3:$U$84, MATCH($A$1,'回避'!$A$3:$A$91,0), MATCH(E108,'回避'!$O$2:$R$2,0))</f>
        <v>41</v>
      </c>
      <c r="F112" s="177"/>
      <c r="G112" s="177"/>
      <c r="H112" s="118"/>
      <c r="I112" s="118"/>
      <c r="J112" s="111"/>
      <c r="K112" s="111"/>
      <c r="L112" s="111"/>
      <c r="M112" s="111"/>
      <c r="N112" s="111"/>
      <c r="O112" s="228"/>
      <c r="P112" s="228"/>
      <c r="Q112" s="228"/>
      <c r="R112" s="228"/>
      <c r="S112" s="228"/>
      <c r="T112" s="228"/>
      <c r="U112" s="228"/>
      <c r="V112" s="228"/>
    </row>
    <row r="113" outlineLevel="1">
      <c r="A113" s="106"/>
      <c r="B113" s="288" t="s">
        <v>398</v>
      </c>
      <c r="C113" s="113" t="str">
        <f t="array" ref="C113">INDEX('回避'!$S$3:$U$84, MATCH($A$1,'回避'!$A$3:$A$91,0), MATCH(C108,'回避'!$S$2:$U$2,0))</f>
        <v>2-19</v>
      </c>
      <c r="D113" s="113" t="str">
        <f t="array" ref="D113">INDEX('回避'!$S$3:$U$84, MATCH($A$1,'回避'!$A$3:$A$91,0), MATCH(D108,'回避'!$S$2:$U$2,0))</f>
        <v>5-18</v>
      </c>
      <c r="E113" s="113" t="str">
        <f t="array" ref="E113">INDEX('回避'!$S$3:$U$84, MATCH($A$1,'回避'!$A$3:$A$91,0), MATCH(E108,'回避'!$S$2:$U$2,0))</f>
        <v>真横：71
真上：85
真下：60</v>
      </c>
      <c r="F113" s="289"/>
      <c r="G113" s="289"/>
      <c r="H113" s="118"/>
      <c r="I113" s="118"/>
      <c r="J113" s="117"/>
      <c r="K113" s="117"/>
      <c r="L113" s="117"/>
      <c r="M113" s="117"/>
      <c r="N113" s="111"/>
      <c r="O113" s="118"/>
      <c r="P113" s="118"/>
      <c r="Q113" s="118"/>
      <c r="R113" s="118"/>
      <c r="S113" s="118"/>
      <c r="T113" s="118"/>
      <c r="U113" s="118"/>
      <c r="V113" s="118"/>
    </row>
    <row r="114">
      <c r="A114" s="291"/>
      <c r="B114" s="292"/>
      <c r="C114" s="286"/>
      <c r="D114" s="286"/>
      <c r="E114" s="293"/>
      <c r="F114" s="286"/>
      <c r="G114" s="286"/>
      <c r="H114" s="286"/>
      <c r="I114" s="286"/>
      <c r="J114" s="111"/>
      <c r="K114" s="227"/>
      <c r="L114" s="227"/>
      <c r="M114" s="227"/>
      <c r="N114" s="227"/>
      <c r="O114" s="118"/>
      <c r="P114" s="118"/>
      <c r="Q114" s="118"/>
      <c r="R114" s="118"/>
      <c r="S114" s="118"/>
      <c r="T114" s="118"/>
      <c r="U114" s="118"/>
      <c r="V114" s="118"/>
    </row>
    <row r="115">
      <c r="A115" s="294" t="s">
        <v>238</v>
      </c>
      <c r="B115" s="104"/>
      <c r="C115" s="228"/>
      <c r="D115" s="117"/>
      <c r="E115" s="228"/>
      <c r="F115" s="114"/>
      <c r="G115" s="114"/>
      <c r="H115" s="117"/>
      <c r="I115" s="117"/>
      <c r="J115" s="118"/>
      <c r="K115" s="118"/>
      <c r="L115" s="118"/>
      <c r="M115" s="118"/>
      <c r="N115" s="118"/>
      <c r="O115" s="118"/>
      <c r="P115" s="118"/>
      <c r="Q115" s="118"/>
      <c r="R115" s="118"/>
      <c r="S115" s="118"/>
      <c r="T115" s="118"/>
      <c r="U115" s="118"/>
      <c r="V115" s="118"/>
    </row>
    <row r="116" outlineLevel="1">
      <c r="A116" s="106"/>
      <c r="B116" s="107"/>
      <c r="C116" s="295" t="s">
        <v>235</v>
      </c>
      <c r="D116" s="295" t="s">
        <v>49</v>
      </c>
      <c r="E116" s="295" t="s">
        <v>48</v>
      </c>
      <c r="F116" s="295" t="s">
        <v>50</v>
      </c>
      <c r="G116" s="296" t="s">
        <v>51</v>
      </c>
      <c r="H116" s="228"/>
      <c r="I116" s="228"/>
      <c r="J116" s="117"/>
      <c r="K116" s="297" t="s">
        <v>256</v>
      </c>
      <c r="L116" s="109"/>
      <c r="M116" s="298" t="s">
        <v>257</v>
      </c>
      <c r="N116" s="298" t="s">
        <v>49</v>
      </c>
      <c r="O116" s="118"/>
      <c r="P116" s="118"/>
      <c r="Q116" s="118"/>
      <c r="R116" s="118"/>
      <c r="S116" s="118"/>
      <c r="T116" s="118"/>
      <c r="U116" s="118"/>
      <c r="V116" s="118"/>
    </row>
    <row r="117" outlineLevel="1">
      <c r="A117" s="299" t="s">
        <v>239</v>
      </c>
      <c r="B117" s="300" t="s">
        <v>240</v>
      </c>
      <c r="C117" s="301"/>
      <c r="D117" s="113">
        <f t="array" ref="D117">INDEX('崖行動・受け身'!$C$3:$C$115, MATCH($A$1,'崖行動・受け身'!$A$3:$A$115,0), MATCH(D116,'崖行動・受け身'!$C$2,0))</f>
        <v>19</v>
      </c>
      <c r="E117" s="301"/>
      <c r="F117" s="301"/>
      <c r="G117" s="301"/>
      <c r="H117" s="228"/>
      <c r="I117" s="228"/>
      <c r="J117" s="111"/>
      <c r="K117" s="302" t="s">
        <v>258</v>
      </c>
      <c r="L117" s="303" t="s">
        <v>216</v>
      </c>
      <c r="M117" s="113" t="str">
        <f t="array" ref="M117">INDEX('アイテム'!$C$3:$D$115, MATCH($A$1,'アイテム'!$A$3:$A$115,0), MATCH(M$116,'アイテム'!$C$2:$AK$2,0))</f>
        <v>3</v>
      </c>
      <c r="N117" s="113">
        <f t="array" ref="N117">INDEX('アイテム'!$C$3:$D$115, MATCH($A$1,'アイテム'!$A$3:$A$115,0), MATCH(N$116,'アイテム'!$C$2:$AK$2,0))</f>
        <v>7</v>
      </c>
      <c r="O117" s="118"/>
      <c r="P117" s="118"/>
      <c r="Q117" s="118"/>
      <c r="R117" s="118"/>
      <c r="S117" s="118"/>
      <c r="T117" s="118"/>
      <c r="U117" s="118"/>
      <c r="V117" s="118"/>
    </row>
    <row r="118" outlineLevel="1">
      <c r="A118" s="146"/>
      <c r="B118" s="300" t="s">
        <v>216</v>
      </c>
      <c r="C118" s="113" t="str">
        <f t="array" ref="C118">INDEX('崖行動・受け身'!$D$3:$E$115, MATCH($A$1,'崖行動・受け身'!$A$3:$A$115,0), MATCH(C$116,'崖行動・受け身'!$D$2:$E$2,0))</f>
        <v>1-33</v>
      </c>
      <c r="D118" s="113">
        <f t="array" ref="D118">INDEX('崖行動・受け身'!$D$3:$E$115, MATCH($A$1,'崖行動・受け身'!$A$3:$A$115,0), MATCH(D$116,'崖行動・受け身'!$D$2:$E$2,0))</f>
        <v>34</v>
      </c>
      <c r="E118" s="301"/>
      <c r="F118" s="301"/>
      <c r="G118" s="301"/>
      <c r="H118" s="228"/>
      <c r="I118" s="228"/>
      <c r="J118" s="117"/>
      <c r="K118" s="156"/>
      <c r="L118" s="303" t="s">
        <v>5389</v>
      </c>
      <c r="M118" s="113" t="str">
        <f t="array" ref="M118">INDEX('アイテム'!$E$3:$F$115, MATCH($A$1,'アイテム'!$A$3:$A$115,0), MATCH(M$116,'アイテム'!$E$2:$AK$2,0))</f>
        <v>2</v>
      </c>
      <c r="N118" s="113">
        <f t="array" ref="N118">INDEX('アイテム'!$E$3:$F$115, MATCH($A$1,'アイテム'!$A$3:$A$115,0), MATCH(N$116,'アイテム'!$E$2:$AK$2,0))</f>
        <v>19</v>
      </c>
      <c r="O118" s="118"/>
      <c r="P118" s="118"/>
      <c r="Q118" s="118"/>
      <c r="R118" s="118"/>
      <c r="S118" s="118"/>
      <c r="T118" s="118"/>
      <c r="U118" s="118"/>
      <c r="V118" s="118"/>
    </row>
    <row r="119" outlineLevel="1">
      <c r="A119" s="146"/>
      <c r="B119" s="300" t="s">
        <v>241</v>
      </c>
      <c r="C119" s="113" t="str">
        <f t="array" ref="C119">INDEX('崖行動・受け身'!$F$3:$G$115, MATCH($A$1,'崖行動・受け身'!$A$3:$A$115,0), MATCH(C$116,'崖行動・受け身'!$F$2:$G$2,0))</f>
        <v>1-25</v>
      </c>
      <c r="D119" s="113">
        <f t="array" ref="D119">INDEX('崖行動・受け身'!$F$3:$G$115, MATCH($A$1,'崖行動・受け身'!$A$3:$A$115,0), MATCH(D$116,'崖行動・受け身'!$F$2:$G$2,0))</f>
        <v>45</v>
      </c>
      <c r="E119" s="301"/>
      <c r="F119" s="301"/>
      <c r="G119" s="301"/>
      <c r="H119" s="228"/>
      <c r="I119" s="228"/>
      <c r="J119" s="111"/>
      <c r="K119" s="304" t="s">
        <v>260</v>
      </c>
      <c r="L119" s="109"/>
      <c r="M119" s="298" t="s">
        <v>261</v>
      </c>
      <c r="N119" s="298" t="s">
        <v>49</v>
      </c>
      <c r="O119" s="118"/>
      <c r="P119" s="118"/>
      <c r="Q119" s="118"/>
      <c r="R119" s="118"/>
      <c r="S119" s="118"/>
      <c r="T119" s="118"/>
      <c r="U119" s="118"/>
      <c r="V119" s="118"/>
    </row>
    <row r="120" outlineLevel="1">
      <c r="A120" s="146"/>
      <c r="B120" s="300" t="s">
        <v>242</v>
      </c>
      <c r="C120" s="113" t="str">
        <f t="array" ref="C120">INDEX('崖行動・受け身'!$H$3:$I$115, MATCH($A$1,'崖行動・受け身'!$A$3:$A$115,0), MATCH(C$116,'崖行動・受け身'!$H$2:$I$2,0))</f>
        <v>1-12</v>
      </c>
      <c r="D120" s="113">
        <f t="array" ref="D120">INDEX('崖行動・受け身'!$H$3:$I$115, MATCH($A$1,'崖行動・受け身'!$A$3:$A$115,0), MATCH(D$116,'崖行動・受け身'!$H$2:$I$2,0))</f>
        <v>14</v>
      </c>
      <c r="E120" s="301"/>
      <c r="F120" s="301"/>
      <c r="G120" s="301"/>
      <c r="H120" s="228"/>
      <c r="I120" s="228"/>
      <c r="J120" s="117"/>
      <c r="K120" s="305" t="s">
        <v>262</v>
      </c>
      <c r="L120" s="303" t="s">
        <v>226</v>
      </c>
      <c r="M120" s="113" t="str">
        <f t="array" ref="M120">INDEX('アイテム'!$G$3:$H$115, MATCH($A$1,'アイテム'!$A$3:$A$115,0), MATCH(M$119,'アイテム'!$G$2:$AK$2,0))</f>
        <v>10</v>
      </c>
      <c r="N120" s="113">
        <f t="array" ref="N120">INDEX('アイテム'!$G$3:$H$115, MATCH($A$1,'アイテム'!$A$3:$A$115,0), MATCH(N$119,'アイテム'!$G$2:$AK$2,0))</f>
        <v>24</v>
      </c>
      <c r="O120" s="111"/>
      <c r="P120" s="111"/>
      <c r="Q120" s="111"/>
      <c r="R120" s="111"/>
      <c r="S120" s="111"/>
      <c r="T120" s="111"/>
      <c r="U120" s="111"/>
      <c r="V120" s="111"/>
    </row>
    <row r="121" outlineLevel="1">
      <c r="A121" s="156"/>
      <c r="B121" s="300" t="s">
        <v>243</v>
      </c>
      <c r="C121" s="113" t="str">
        <f t="array" ref="C121">INDEX('崖行動・受け身'!$J$3:$M$115, MATCH($A$1,'崖行動・受け身'!$A$3:$A$115,0), MATCH(C$116,'崖行動・受け身'!$J$2:$M$2,0))</f>
        <v>1-24</v>
      </c>
      <c r="D121" s="113">
        <f t="array" ref="D121">INDEX('崖行動・受け身'!$J$3:$M$115, MATCH($A$1,'崖行動・受け身'!$A$3:$A$115,0), MATCH(D$116,'崖行動・受け身'!$J$2:$M$2,0))</f>
        <v>55</v>
      </c>
      <c r="E121" s="113" t="str">
        <f t="array" ref="E121">INDEX('崖行動・受け身'!$J$3:$M$115, MATCH($A$1,'崖行動・受け身'!$A$3:$A$115,0), MATCH(E$116,'崖行動・受け身'!$J$2:$M$2,0))</f>
        <v>22-24</v>
      </c>
      <c r="F121" s="113">
        <f t="array" ref="F121">INDEX('崖行動・受け身'!$J$3:$M$115, MATCH($A$1,'崖行動・受け身'!$A$3:$A$115,0), MATCH(F$116,'崖行動・受け身'!$J$2:$M$2,0))</f>
        <v>9</v>
      </c>
      <c r="G121" s="113">
        <f>F121*1.2</f>
        <v>10.8</v>
      </c>
      <c r="H121" s="228"/>
      <c r="I121" s="228"/>
      <c r="J121" s="111"/>
      <c r="K121" s="146"/>
      <c r="L121" s="303" t="s">
        <v>229</v>
      </c>
      <c r="M121" s="113" t="str">
        <f t="array" ref="M121">INDEX('アイテム'!$I$3:$J$115, MATCH($A$1,'アイテム'!$A$3:$A$115,0), MATCH(M$119,'アイテム'!$I$2:$AK$2,0))</f>
        <v>14</v>
      </c>
      <c r="N121" s="113">
        <f t="array" ref="N121">INDEX('アイテム'!$I$3:$J$115, MATCH($A$1,'アイテム'!$A$3:$A$115,0), MATCH(N$119,'アイテム'!$I$2:$AK$2,0))</f>
        <v>24</v>
      </c>
      <c r="O121" s="111"/>
      <c r="P121" s="111"/>
      <c r="Q121" s="111"/>
      <c r="R121" s="111"/>
      <c r="S121" s="111"/>
      <c r="T121" s="111"/>
      <c r="U121" s="111"/>
      <c r="V121" s="111"/>
    </row>
    <row r="122" outlineLevel="1">
      <c r="A122" s="299" t="s">
        <v>244</v>
      </c>
      <c r="B122" s="300" t="s">
        <v>216</v>
      </c>
      <c r="C122" s="113" t="str">
        <f t="array" ref="C122">INDEX('崖行動・受け身'!$N$3:$O$115, MATCH($A$1,'崖行動・受け身'!$A$3:$A$115,0), MATCH(C$116,'崖行動・受け身'!$N$2:$O$2,0))</f>
        <v>1-20</v>
      </c>
      <c r="D122" s="113">
        <f t="array" ref="D122">INDEX('崖行動・受け身'!$N$3:$O$115, MATCH($A$1,'崖行動・受け身'!$A$3:$A$115,0), MATCH(D$116,'崖行動・受け身'!$N$2:$O$2,0))</f>
        <v>26</v>
      </c>
      <c r="E122" s="301"/>
      <c r="F122" s="301"/>
      <c r="G122" s="301"/>
      <c r="H122" s="228"/>
      <c r="I122" s="228"/>
      <c r="J122" s="117"/>
      <c r="K122" s="146"/>
      <c r="L122" s="303" t="s">
        <v>233</v>
      </c>
      <c r="M122" s="113" t="str">
        <f t="array" ref="M122">INDEX('アイテム'!$K$3:$L$115, MATCH($A$1,'アイテム'!$A$3:$A$115,0), MATCH(M$119,'アイテム'!$K$2:$AK$2,0))</f>
        <v>15</v>
      </c>
      <c r="N122" s="113">
        <f t="array" ref="N122">INDEX('アイテム'!$K$3:$L$115, MATCH($A$1,'アイテム'!$A$3:$A$115,0), MATCH(N$119,'アイテム'!$K$2:$AK$2,0))</f>
        <v>23</v>
      </c>
      <c r="O122" s="228"/>
      <c r="P122" s="228"/>
      <c r="Q122" s="228"/>
      <c r="R122" s="228"/>
      <c r="S122" s="228"/>
      <c r="T122" s="228"/>
      <c r="U122" s="228"/>
      <c r="V122" s="228"/>
    </row>
    <row r="123" outlineLevel="1">
      <c r="A123" s="146"/>
      <c r="B123" s="300" t="s">
        <v>245</v>
      </c>
      <c r="C123" s="113" t="str">
        <f t="array" ref="C123">INDEX('崖行動・受け身'!$P$3:$Q$115, MATCH($A$1,'崖行動・受け身'!$A$3:$A$115,0), MATCH(C$116,'崖行動・受け身'!$P$2:$Q$2,0))</f>
        <v>1-20</v>
      </c>
      <c r="D123" s="113">
        <f t="array" ref="D123">INDEX('崖行動・受け身'!$P$3:$Q$115, MATCH($A$1,'崖行動・受け身'!$A$3:$A$115,0), MATCH(D$116,'崖行動・受け身'!$P$2:$Q$2,0))</f>
        <v>40</v>
      </c>
      <c r="E123" s="301"/>
      <c r="F123" s="301"/>
      <c r="G123" s="301"/>
      <c r="H123" s="228"/>
      <c r="I123" s="228"/>
      <c r="J123" s="111"/>
      <c r="K123" s="146"/>
      <c r="L123" s="303" t="s">
        <v>234</v>
      </c>
      <c r="M123" s="113" t="str">
        <f t="array" ref="M123">INDEX('アイテム'!$M$3:$N$115, MATCH($A$1,'アイテム'!$A$3:$A$115,0), MATCH(M$119,'アイテム'!$M$2:$AK$2,0))</f>
        <v>8</v>
      </c>
      <c r="N123" s="113">
        <f t="array" ref="N123">INDEX('アイテム'!$M$3:$N$115, MATCH($A$1,'アイテム'!$A$3:$A$115,0), MATCH(N$119,'アイテム'!$M$2:$AK$2,0))</f>
        <v>19</v>
      </c>
      <c r="O123" s="118"/>
      <c r="P123" s="118"/>
      <c r="Q123" s="118"/>
      <c r="R123" s="118"/>
      <c r="S123" s="118"/>
      <c r="T123" s="118"/>
      <c r="U123" s="118"/>
      <c r="V123" s="118"/>
    </row>
    <row r="124" outlineLevel="1">
      <c r="A124" s="156"/>
      <c r="B124" s="300" t="s">
        <v>246</v>
      </c>
      <c r="C124" s="113" t="str">
        <f t="array" ref="C124">INDEX('崖行動・受け身'!$R$3:$S$115, MATCH($A$1,'崖行動・受け身'!$A$3:$A$115,0), MATCH(C$116,'崖行動・受け身'!$R$2:$S$2,0))</f>
        <v>1-20</v>
      </c>
      <c r="D124" s="113">
        <f t="array" ref="D124">INDEX('崖行動・受け身'!$R$3:$S$115, MATCH($A$1,'崖行動・受け身'!$A$3:$A$115,0), MATCH(D$116,'崖行動・受け身'!$R$2:$S$2,0))</f>
        <v>40</v>
      </c>
      <c r="E124" s="301"/>
      <c r="F124" s="301"/>
      <c r="G124" s="301"/>
      <c r="H124" s="228"/>
      <c r="I124" s="228"/>
      <c r="J124" s="117"/>
      <c r="K124" s="146"/>
      <c r="L124" s="306" t="s">
        <v>219</v>
      </c>
      <c r="M124" s="113" t="str">
        <f t="array" ref="M124">INDEX('アイテム'!$O$3:$P$115, MATCH($A$1,'アイテム'!$A$3:$A$115,0), MATCH(M$119,'アイテム'!$O$2:$AK$2,0))</f>
        <v>5</v>
      </c>
      <c r="N124" s="113">
        <f t="array" ref="N124">INDEX('アイテム'!$O$3:$P$115, MATCH($A$1,'アイテム'!$A$3:$A$115,0), MATCH(N$119,'アイテム'!$O$2:$AK$2,0))</f>
        <v>29</v>
      </c>
      <c r="O124" s="118"/>
      <c r="P124" s="118"/>
      <c r="Q124" s="118"/>
      <c r="R124" s="118"/>
      <c r="S124" s="118"/>
      <c r="T124" s="118"/>
      <c r="U124" s="118"/>
      <c r="V124" s="118"/>
    </row>
    <row r="125" outlineLevel="1">
      <c r="A125" s="299" t="s">
        <v>247</v>
      </c>
      <c r="B125" s="300" t="s">
        <v>248</v>
      </c>
      <c r="C125" s="301"/>
      <c r="D125" s="113" t="str">
        <f t="array" ref="D125">INDEX('起きあがり'!$C$3:$C$115, MATCH($A$1,'起きあがり'!$A$3:$A$115,0), MATCH(D$116,'起きあがり'!$C$2:$AD$2,0))</f>
        <v>25</v>
      </c>
      <c r="E125" s="301"/>
      <c r="F125" s="301"/>
      <c r="G125" s="301"/>
      <c r="H125" s="228"/>
      <c r="I125" s="228"/>
      <c r="J125" s="111"/>
      <c r="K125" s="156"/>
      <c r="L125" s="306" t="s">
        <v>263</v>
      </c>
      <c r="M125" s="113" t="str">
        <f t="array" ref="M125">INDEX('アイテム'!$Q$3:$R$115, MATCH($A$1,'アイテム'!$A$3:$A$115,0), MATCH(M$119,'アイテム'!$Q$2:$AK$2,0))</f>
        <v>7</v>
      </c>
      <c r="N125" s="113">
        <f t="array" ref="N125">INDEX('アイテム'!$Q$3:$R$115, MATCH($A$1,'アイテム'!$A$3:$A$115,0), MATCH(N$119,'アイテム'!$Q$2:$AK$2,0))</f>
        <v>23</v>
      </c>
      <c r="O125" s="118"/>
      <c r="P125" s="118"/>
      <c r="Q125" s="118"/>
      <c r="R125" s="118"/>
      <c r="S125" s="118"/>
      <c r="T125" s="118"/>
      <c r="U125" s="118"/>
      <c r="V125" s="118"/>
    </row>
    <row r="126" outlineLevel="1">
      <c r="A126" s="146"/>
      <c r="B126" s="300" t="s">
        <v>216</v>
      </c>
      <c r="C126" s="307" t="str">
        <f t="array" ref="C126">INDEX('起きあがり'!$D$3:$E$115, MATCH($A$1,'起きあがり'!$A$3:$A$115,0), MATCH(C$116,'起きあがり'!$D$2:$AD$2,0))</f>
        <v>1-22</v>
      </c>
      <c r="D126" s="308">
        <f t="array" ref="D126">INDEX('起きあがり'!$D$3:$E$115, MATCH($A$1,'起きあがり'!$A$3:$A$115,0), MATCH(D$116,'起きあがり'!$D$2:$AD$2,0))</f>
        <v>29</v>
      </c>
      <c r="E126" s="301"/>
      <c r="F126" s="301"/>
      <c r="G126" s="301"/>
      <c r="H126" s="228"/>
      <c r="I126" s="228"/>
      <c r="J126" s="117"/>
      <c r="K126" s="305" t="s">
        <v>264</v>
      </c>
      <c r="L126" s="303" t="s">
        <v>226</v>
      </c>
      <c r="M126" s="113" t="str">
        <f t="array" ref="M126">INDEX('アイテム'!$S$3:$T$115, MATCH($A$1,'アイテム'!$A$3:$A$115,0), MATCH(M$119,'アイテム'!$S$2:$AK$2,0))</f>
        <v>10</v>
      </c>
      <c r="N126" s="113">
        <f t="array" ref="N126">INDEX('アイテム'!$S$3:$T$115, MATCH($A$1,'アイテム'!$A$3:$A$115,0), MATCH(N$119,'アイテム'!$S$2:$AK$2,0))</f>
        <v>24</v>
      </c>
      <c r="O126" s="118"/>
      <c r="P126" s="118"/>
      <c r="Q126" s="118"/>
      <c r="R126" s="118"/>
      <c r="S126" s="118"/>
      <c r="T126" s="118"/>
      <c r="U126" s="118"/>
      <c r="V126" s="118"/>
    </row>
    <row r="127" outlineLevel="1">
      <c r="A127" s="146"/>
      <c r="B127" s="300" t="s">
        <v>245</v>
      </c>
      <c r="C127" s="307" t="str">
        <f t="array" ref="C127">INDEX('起きあがり'!$F$3:$G$115, MATCH($A$1,'起きあがり'!$A$3:$A$115,0), MATCH(C$116,'起きあがり'!$F$2:$AD$2,0))</f>
        <v>1-19</v>
      </c>
      <c r="D127" s="308">
        <f t="array" ref="D127">INDEX('起きあがり'!$F$3:$G$115, MATCH($A$1,'起きあがり'!$A$3:$A$115,0), MATCH(D$116,'起きあがり'!$F$2:$AD$2,0))</f>
        <v>35</v>
      </c>
      <c r="E127" s="301"/>
      <c r="F127" s="301"/>
      <c r="G127" s="301"/>
      <c r="H127" s="228"/>
      <c r="I127" s="228"/>
      <c r="J127" s="111"/>
      <c r="K127" s="146"/>
      <c r="L127" s="303" t="s">
        <v>229</v>
      </c>
      <c r="M127" s="113" t="str">
        <f t="array" ref="M127">INDEX('アイテム'!$U$3:$V$115, MATCH($A$1,'アイテム'!$A$3:$A$115,0), MATCH(M$119,'アイテム'!$U$2:$AK$2,0))</f>
        <v>14</v>
      </c>
      <c r="N127" s="113">
        <f t="array" ref="N127">INDEX('アイテム'!$U$3:$V$115, MATCH($A$1,'アイテム'!$A$3:$A$115,0), MATCH(N$119,'アイテム'!$U$2:$AK$2,0))</f>
        <v>24</v>
      </c>
      <c r="O127" s="118"/>
      <c r="P127" s="118"/>
      <c r="Q127" s="118"/>
      <c r="R127" s="118"/>
      <c r="S127" s="118"/>
      <c r="T127" s="118"/>
      <c r="U127" s="118"/>
      <c r="V127" s="118"/>
    </row>
    <row r="128" outlineLevel="1">
      <c r="A128" s="146"/>
      <c r="B128" s="300" t="s">
        <v>246</v>
      </c>
      <c r="C128" s="113" t="str">
        <f t="array" ref="C128">INDEX('起きあがり'!$H$3:$I$115, MATCH($A$1,'起きあがり'!$A$3:$A$115,0), MATCH(C$116,'起きあがり'!$H$2:$AD$2,0))</f>
        <v>1-19</v>
      </c>
      <c r="D128" s="113">
        <f t="array" ref="D128">INDEX('起きあがり'!$H$3:$I$115, MATCH($A$1,'起きあがり'!$A$3:$A$115,0), MATCH(D$116,'起きあがり'!$H$2:$AD$2,0))</f>
        <v>35</v>
      </c>
      <c r="E128" s="301"/>
      <c r="F128" s="301"/>
      <c r="G128" s="301"/>
      <c r="H128" s="228"/>
      <c r="I128" s="228"/>
      <c r="J128" s="117"/>
      <c r="K128" s="146"/>
      <c r="L128" s="303" t="s">
        <v>233</v>
      </c>
      <c r="M128" s="113" t="str">
        <f t="array" ref="M128">INDEX('アイテム'!$W$3:$X$115, MATCH($A$1,'アイテム'!$A$3:$A$115,0), MATCH(M$119,'アイテム'!$W$2:$AK$2,0))</f>
        <v>15</v>
      </c>
      <c r="N128" s="113">
        <f t="array" ref="N128">INDEX('アイテム'!$W$3:$X$115, MATCH($A$1,'アイテム'!$A$3:$A$115,0), MATCH(N$119,'アイテム'!$W$2:$AK$2,0))</f>
        <v>23</v>
      </c>
      <c r="O128" s="118"/>
      <c r="P128" s="118"/>
      <c r="Q128" s="118"/>
      <c r="R128" s="118"/>
      <c r="S128" s="118"/>
      <c r="T128" s="118"/>
      <c r="U128" s="118"/>
      <c r="V128" s="118"/>
    </row>
    <row r="129" outlineLevel="1">
      <c r="A129" s="146"/>
      <c r="B129" s="300" t="s">
        <v>249</v>
      </c>
      <c r="C129" s="309" t="str">
        <f t="array" ref="C129">INDEX('起きあがり'!$J$3:$M$115, MATCH($A$1,'起きあがり'!$A$3:$A$115,0), MATCH(C$116,'起きあがり'!$J$2:$AD$2,0))</f>
        <v>1-22</v>
      </c>
      <c r="D129" s="310">
        <f t="array" ref="D129">INDEX('起きあがり'!$J$3:$M$115, MATCH($A$1,'起きあがり'!$A$3:$A$115,0), MATCH(D$116,'起きあがり'!$J$2:$AD$2,0))</f>
        <v>45</v>
      </c>
      <c r="E129" s="307" t="str">
        <f t="array" ref="E129">INDEX('起きあがり'!$J$3:$M$115, MATCH($A$1,'起きあがり'!$A$3:$A$115,0), MATCH(E$116,'起きあがり'!$J$2:$AD$2,0))</f>
        <v>17-18</v>
      </c>
      <c r="F129" s="308">
        <f t="array" ref="F129">INDEX('起きあがり'!$J$3:$M$115, MATCH($A$1,'起きあがり'!$A$3:$A$115,0), MATCH(F$116,'起きあがり'!$J$2:$AD$2,0))</f>
        <v>7</v>
      </c>
      <c r="G129" s="113">
        <f t="shared" ref="G129:G130" si="10">F129*1.2</f>
        <v>8.4</v>
      </c>
      <c r="H129" s="228"/>
      <c r="I129" s="228"/>
      <c r="J129" s="111"/>
      <c r="K129" s="156"/>
      <c r="L129" s="303" t="s">
        <v>234</v>
      </c>
      <c r="M129" s="113" t="str">
        <f t="array" ref="M129">INDEX('アイテム'!$Y$3:$Z$115, MATCH($A$1,'アイテム'!$A$3:$A$115,0), MATCH(M$119,'アイテム'!$Y$2:$AK$2,0))</f>
        <v>8</v>
      </c>
      <c r="N129" s="113">
        <f t="array" ref="N129">INDEX('アイテム'!$Y$3:$Z$115, MATCH($A$1,'アイテム'!$A$3:$A$115,0), MATCH(N$119,'アイテム'!$Y$2:$AK$2,0))</f>
        <v>19</v>
      </c>
      <c r="O129" s="111"/>
      <c r="P129" s="111"/>
      <c r="Q129" s="111"/>
      <c r="R129" s="111"/>
      <c r="S129" s="111"/>
      <c r="T129" s="111"/>
      <c r="U129" s="111"/>
      <c r="V129" s="111"/>
    </row>
    <row r="130" outlineLevel="1">
      <c r="A130" s="156"/>
      <c r="B130" s="311" t="s">
        <v>250</v>
      </c>
      <c r="C130" s="156"/>
      <c r="D130" s="156"/>
      <c r="E130" s="307" t="str">
        <f t="array" ref="E130">INDEX('起きあがり'!$N$3:$O$115, MATCH($A$1,'起きあがり'!$A$3:$A$115,0), MATCH(E$116,'起きあがり'!$N$2:$AD$2,0))</f>
        <v>21-22</v>
      </c>
      <c r="F130" s="308">
        <f t="array" ref="F130">INDEX('起きあがり'!$N$3:$O$115, MATCH($A$1,'起きあがり'!$A$3:$A$115,0), MATCH(F$116,'起きあがり'!$N$2:$AD$2,0))</f>
        <v>7</v>
      </c>
      <c r="G130" s="113">
        <f t="shared" si="10"/>
        <v>8.4</v>
      </c>
      <c r="H130" s="228"/>
      <c r="I130" s="228"/>
      <c r="J130" s="111"/>
      <c r="K130" s="312" t="s">
        <v>5390</v>
      </c>
      <c r="L130" s="168"/>
      <c r="M130" s="298" t="s">
        <v>49</v>
      </c>
      <c r="N130" s="114"/>
      <c r="O130" s="111"/>
      <c r="P130" s="111"/>
      <c r="Q130" s="111"/>
      <c r="R130" s="111"/>
      <c r="S130" s="111"/>
      <c r="T130" s="111"/>
      <c r="U130" s="111"/>
      <c r="V130" s="111"/>
    </row>
    <row r="131" outlineLevel="1">
      <c r="A131" s="299" t="s">
        <v>251</v>
      </c>
      <c r="B131" s="300" t="s">
        <v>248</v>
      </c>
      <c r="C131" s="301"/>
      <c r="D131" s="307" t="str">
        <f t="array" ref="D131">INDEX('起きあがり'!$C$3:$C$115, MATCH($A$1,'起きあがり'!$A$3:$A$115,0), MATCH(D$116,'起きあがり'!$C$2:$AD$2,0))</f>
        <v>25</v>
      </c>
      <c r="E131" s="301"/>
      <c r="F131" s="301"/>
      <c r="G131" s="301"/>
      <c r="H131" s="228"/>
      <c r="I131" s="228"/>
      <c r="J131" s="117"/>
      <c r="K131" s="313" t="s">
        <v>693</v>
      </c>
      <c r="L131" s="314" t="s">
        <v>693</v>
      </c>
      <c r="M131" s="113">
        <f t="array" ref="M131">INDEX('共通動作その他'!$C$3:$C$102, MATCH($A$1,'共通動作その他'!$A$3:$A$102,0), MATCH(M$130,'共通動作その他'!$C$2:$AA$2,0))</f>
        <v>7</v>
      </c>
      <c r="N131" s="315"/>
      <c r="O131" s="111"/>
      <c r="P131" s="111"/>
      <c r="Q131" s="111"/>
      <c r="R131" s="111"/>
      <c r="S131" s="111"/>
      <c r="T131" s="111"/>
      <c r="U131" s="111"/>
      <c r="V131" s="111"/>
    </row>
    <row r="132" outlineLevel="1">
      <c r="A132" s="146"/>
      <c r="B132" s="300" t="s">
        <v>216</v>
      </c>
      <c r="C132" s="307" t="str">
        <f t="array" ref="C132">INDEX('起きあがり'!$P$3:$Q$115, MATCH($A$1,'起きあがり'!$A$3:$A$115,0), MATCH(C$116,'起きあがり'!$P$2:$AD$2,0))</f>
        <v>1-22</v>
      </c>
      <c r="D132" s="308">
        <f t="array" ref="D132">INDEX('起きあがり'!$P$3:$Q$115, MATCH($A$1,'起きあがり'!$A$3:$A$115,0), MATCH(D$116,'起きあがり'!$P$2:$AD$2,0))</f>
        <v>29</v>
      </c>
      <c r="E132" s="301"/>
      <c r="F132" s="301"/>
      <c r="G132" s="301"/>
      <c r="H132" s="228"/>
      <c r="I132" s="228"/>
      <c r="J132" s="111"/>
      <c r="K132" s="305" t="s">
        <v>2602</v>
      </c>
      <c r="L132" s="314" t="s">
        <v>5391</v>
      </c>
      <c r="M132" s="113" t="str">
        <f t="array" ref="M132">INDEX('共通動作その他'!$D$3:$D$102, MATCH($A$1,'共通動作その他'!$A$3:$A$102,0), MATCH(M$130,'共通動作その他'!$D$2:$AA$2,0))</f>
        <v>-</v>
      </c>
      <c r="N132" s="315"/>
      <c r="O132" s="228"/>
      <c r="P132" s="228"/>
      <c r="Q132" s="228"/>
      <c r="R132" s="228"/>
      <c r="S132" s="228"/>
      <c r="T132" s="228"/>
      <c r="U132" s="228"/>
      <c r="V132" s="228"/>
    </row>
    <row r="133" outlineLevel="1">
      <c r="A133" s="146"/>
      <c r="B133" s="300" t="s">
        <v>245</v>
      </c>
      <c r="C133" s="307" t="str">
        <f t="array" ref="C133">INDEX('起きあがり'!$R$3:$S$115, MATCH($A$1,'起きあがり'!$A$3:$A$115,0), MATCH(C$116,'起きあがり'!$R$2:$AD$2,0))</f>
        <v>1-19</v>
      </c>
      <c r="D133" s="308">
        <f t="array" ref="D133">INDEX('起きあがり'!$R$3:$S$115, MATCH($A$1,'起きあがり'!$A$3:$A$115,0), MATCH(D$116,'起きあがり'!$R$2:$AD$2,0))</f>
        <v>35</v>
      </c>
      <c r="E133" s="301"/>
      <c r="F133" s="301"/>
      <c r="G133" s="301"/>
      <c r="H133" s="228"/>
      <c r="I133" s="228"/>
      <c r="J133" s="117"/>
      <c r="K133" s="146"/>
      <c r="L133" s="314" t="s">
        <v>5392</v>
      </c>
      <c r="M133" s="113">
        <f t="array" ref="M133">INDEX('共通動作その他'!$E$3:$E$102, MATCH($A$1,'共通動作その他'!$A$3:$A$102,0), MATCH(M$130,'共通動作その他'!$E$2:$AA$2,0))</f>
        <v>27</v>
      </c>
      <c r="N133" s="102"/>
      <c r="O133" s="118"/>
      <c r="P133" s="118"/>
      <c r="Q133" s="118"/>
      <c r="R133" s="118"/>
      <c r="S133" s="118"/>
      <c r="T133" s="118"/>
      <c r="U133" s="118"/>
      <c r="V133" s="118"/>
    </row>
    <row r="134" outlineLevel="1">
      <c r="A134" s="146"/>
      <c r="B134" s="300" t="s">
        <v>246</v>
      </c>
      <c r="C134" s="307" t="str">
        <f t="array" ref="C134">INDEX('起きあがり'!$T$3:$U$115, MATCH($A$1,'起きあがり'!$A$3:$A$115,0), MATCH(C$116,'起きあがり'!$T$2:$AD$2,0))</f>
        <v>1-19</v>
      </c>
      <c r="D134" s="308">
        <f t="array" ref="D134">INDEX('起きあがり'!$T$3:$U$115, MATCH($A$1,'起きあがり'!$A$3:$A$115,0), MATCH(D$116,'起きあがり'!$T$2:$AD$2,0))</f>
        <v>35</v>
      </c>
      <c r="E134" s="301"/>
      <c r="F134" s="301"/>
      <c r="G134" s="301"/>
      <c r="H134" s="228"/>
      <c r="I134" s="228"/>
      <c r="J134" s="111"/>
      <c r="K134" s="146"/>
      <c r="L134" s="314" t="s">
        <v>5393</v>
      </c>
      <c r="M134" s="113">
        <f t="array" ref="M134">INDEX('共通動作その他'!$F$3:$F$102, MATCH($A$1,'共通動作その他'!$A$3:$A$102,0), MATCH(M$130,'共通動作その他'!$F$2:$AA$2,0))</f>
        <v>8</v>
      </c>
      <c r="N134" s="102"/>
      <c r="O134" s="118"/>
      <c r="P134" s="118"/>
      <c r="Q134" s="118"/>
      <c r="R134" s="118"/>
      <c r="S134" s="118"/>
      <c r="T134" s="118"/>
      <c r="U134" s="118"/>
      <c r="V134" s="118"/>
    </row>
    <row r="135" outlineLevel="1">
      <c r="A135" s="146"/>
      <c r="B135" s="300" t="s">
        <v>249</v>
      </c>
      <c r="C135" s="309" t="str">
        <f t="array" ref="C135">INDEX('起きあがり'!$V$3:$Y$115, MATCH($A$1,'起きあがり'!$A$3:$A$115,0), MATCH(C$116,'起きあがり'!$V$2:$AD$2,0))</f>
        <v>1-22</v>
      </c>
      <c r="D135" s="310">
        <f t="array" ref="D135">INDEX('起きあがり'!$V$3:$Y$115, MATCH($A$1,'起きあがり'!$A$3:$A$115,0), MATCH(D$116,'起きあがり'!$V$2:$AD$2,0))</f>
        <v>45</v>
      </c>
      <c r="E135" s="307" t="str">
        <f t="array" ref="E135">INDEX('起きあがり'!$V$3:$Y$115, MATCH($A$1,'起きあがり'!$A$3:$A$115,0), MATCH(E$116,'起きあがり'!$V$2:$AD$2,0))</f>
        <v>17-18</v>
      </c>
      <c r="F135" s="308">
        <f t="array" ref="F135">INDEX('起きあがり'!$V$3:$Y$115, MATCH($A$1,'起きあがり'!$A$3:$A$115,0), MATCH(F$116,'起きあがり'!$V$2:$AD$2,0))</f>
        <v>7</v>
      </c>
      <c r="G135" s="113">
        <f t="shared" ref="G135:G136" si="11">F135*1.2</f>
        <v>8.4</v>
      </c>
      <c r="H135" s="228"/>
      <c r="I135" s="228"/>
      <c r="J135" s="117"/>
      <c r="K135" s="146"/>
      <c r="L135" s="314" t="s">
        <v>5394</v>
      </c>
      <c r="M135" s="113">
        <f t="array" ref="M135">INDEX('共通動作その他'!$G$3:$G$102, MATCH($A$1,'共通動作その他'!$A$3:$A$102,0), MATCH(M$130,'共通動作その他'!$G$2:$AA$2,0))</f>
        <v>32</v>
      </c>
      <c r="N135" s="102"/>
      <c r="O135" s="118"/>
      <c r="P135" s="118"/>
      <c r="Q135" s="118"/>
      <c r="R135" s="118"/>
      <c r="S135" s="118"/>
      <c r="T135" s="118"/>
      <c r="U135" s="118"/>
      <c r="V135" s="118"/>
    </row>
    <row r="136" outlineLevel="1">
      <c r="A136" s="156"/>
      <c r="B136" s="311" t="s">
        <v>250</v>
      </c>
      <c r="C136" s="156"/>
      <c r="D136" s="156"/>
      <c r="E136" s="307" t="str">
        <f t="array" ref="E136">INDEX('起きあがり'!$Z$3:$AA$115, MATCH($A$1,'起きあがり'!$A$3:$A$115,0), MATCH(E$116,'起きあがり'!$Z$2:$AD$2,0))</f>
        <v>21-22</v>
      </c>
      <c r="F136" s="308">
        <f t="array" ref="F136">INDEX('起きあがり'!$Z$3:$AA$115, MATCH($A$1,'起きあがり'!$A$3:$A$115,0), MATCH(F$116,'起きあがり'!$Z$2:$AD$2,0))</f>
        <v>7</v>
      </c>
      <c r="G136" s="113">
        <f t="shared" si="11"/>
        <v>8.4</v>
      </c>
      <c r="H136" s="228"/>
      <c r="I136" s="228"/>
      <c r="J136" s="117"/>
      <c r="K136" s="304" t="s">
        <v>5395</v>
      </c>
      <c r="L136" s="110"/>
      <c r="M136" s="298" t="s">
        <v>49</v>
      </c>
      <c r="N136" s="102"/>
      <c r="O136" s="118"/>
      <c r="P136" s="118"/>
      <c r="Q136" s="118"/>
      <c r="R136" s="118"/>
      <c r="S136" s="118"/>
      <c r="T136" s="118"/>
      <c r="U136" s="118"/>
      <c r="V136" s="118"/>
    </row>
    <row r="137" outlineLevel="1">
      <c r="A137" s="299" t="s">
        <v>252</v>
      </c>
      <c r="B137" s="300" t="s">
        <v>253</v>
      </c>
      <c r="C137" s="307" t="str">
        <f t="array" ref="C137">INDEX('転倒'!$C$3:$D$115, MATCH($A$1,'転倒'!$A$3:$A$115,0), MATCH(C$116,'転倒'!$C$2:$AC$2,0))</f>
        <v>1-5</v>
      </c>
      <c r="D137" s="308">
        <f t="array" ref="D137">INDEX('転倒'!$C$3:$D$115, MATCH($A$1,'転倒'!$A$3:$A$115,0), MATCH(D$116,'転倒'!$C$2:$AC$2,0))</f>
        <v>29</v>
      </c>
      <c r="E137" s="301"/>
      <c r="F137" s="301"/>
      <c r="G137" s="301"/>
      <c r="H137" s="228"/>
      <c r="I137" s="228"/>
      <c r="J137" s="111"/>
      <c r="K137" s="313" t="s">
        <v>5396</v>
      </c>
      <c r="L137" s="306" t="s">
        <v>5397</v>
      </c>
      <c r="M137" s="113">
        <f t="array" ref="M137">INDEX('共通動作その他'!$H$3:$H$102, MATCH($A$1,'共通動作その他'!$A$3:$A$102,0), MATCH(M$136,'共通動作その他'!$H$2:$AA$2,0))</f>
        <v>39</v>
      </c>
      <c r="N137" s="315"/>
      <c r="O137" s="118"/>
      <c r="P137" s="118"/>
      <c r="Q137" s="118"/>
      <c r="R137" s="118"/>
      <c r="S137" s="118"/>
      <c r="T137" s="118"/>
      <c r="U137" s="118"/>
      <c r="V137" s="118"/>
    </row>
    <row r="138" outlineLevel="1">
      <c r="A138" s="146"/>
      <c r="B138" s="300" t="s">
        <v>254</v>
      </c>
      <c r="C138" s="307" t="str">
        <f t="array" ref="C138">INDEX('転倒'!$E$3:$F$115, MATCH($A$1,'転倒'!$A$3:$A$115,0), MATCH(C$116,'転倒'!$E$2:$AC$2,0))</f>
        <v>1-5</v>
      </c>
      <c r="D138" s="308">
        <f t="array" ref="D138">INDEX('転倒'!$E$3:$F$115, MATCH($A$1,'転倒'!$A$3:$A$115,0), MATCH(D$116,'転倒'!$E$2:$AC$2,0))</f>
        <v>39</v>
      </c>
      <c r="E138" s="301"/>
      <c r="F138" s="301"/>
      <c r="G138" s="301"/>
      <c r="H138" s="228"/>
      <c r="I138" s="228"/>
      <c r="J138" s="117"/>
      <c r="K138" s="313" t="s">
        <v>5398</v>
      </c>
      <c r="L138" s="306" t="s">
        <v>5397</v>
      </c>
      <c r="M138" s="113" t="str">
        <f t="array" ref="M138">INDEX('共通動作その他'!$I$3:$I$102, MATCH($A$1,'共通動作その他'!$A$3:$A$102,0), MATCH(M$136,'共通動作その他'!$I$2:$AA$2,0))</f>
        <v>39</v>
      </c>
      <c r="N138" s="315"/>
      <c r="O138" s="118"/>
      <c r="P138" s="118"/>
      <c r="Q138" s="118"/>
      <c r="R138" s="118"/>
      <c r="S138" s="118"/>
      <c r="T138" s="118"/>
      <c r="U138" s="118"/>
      <c r="V138" s="118"/>
    </row>
    <row r="139" outlineLevel="1">
      <c r="A139" s="146"/>
      <c r="B139" s="300" t="s">
        <v>216</v>
      </c>
      <c r="C139" s="307" t="str">
        <f t="array" ref="C139">INDEX('転倒'!$G$3:$H$115, MATCH($A$1,'転倒'!$A$3:$A$115,0), MATCH(C$116,'転倒'!$G$2:$AC$2,0))</f>
        <v>1-16</v>
      </c>
      <c r="D139" s="308">
        <f t="array" ref="D139">INDEX('転倒'!$G$3:$H$115, MATCH($A$1,'転倒'!$A$3:$A$115,0), MATCH(D$116,'転倒'!$G$2:$AC$2,0))</f>
        <v>21</v>
      </c>
      <c r="E139" s="301"/>
      <c r="F139" s="301"/>
      <c r="G139" s="301"/>
      <c r="H139" s="228"/>
      <c r="I139" s="228"/>
      <c r="J139" s="111"/>
      <c r="K139" s="102"/>
      <c r="L139" s="118"/>
      <c r="M139" s="118"/>
      <c r="N139" s="102"/>
      <c r="O139" s="118"/>
      <c r="P139" s="118"/>
      <c r="Q139" s="118"/>
      <c r="R139" s="118"/>
      <c r="S139" s="118"/>
      <c r="T139" s="118"/>
      <c r="U139" s="118"/>
      <c r="V139" s="118"/>
    </row>
    <row r="140" outlineLevel="1">
      <c r="A140" s="146"/>
      <c r="B140" s="300" t="s">
        <v>245</v>
      </c>
      <c r="C140" s="307" t="str">
        <f t="array" ref="C140">INDEX('転倒'!$I$3:$J$115, MATCH($A$1,'転倒'!$A$3:$A$115,0), MATCH(C$116,'転倒'!$I$2:$AC$2,0))</f>
        <v>1-9</v>
      </c>
      <c r="D140" s="308">
        <f t="array" ref="D140">INDEX('転倒'!$I$3:$J$115, MATCH($A$1,'転倒'!$A$3:$A$115,0), MATCH(D$116,'転倒'!$I$2:$AC$2,0))</f>
        <v>28</v>
      </c>
      <c r="E140" s="301"/>
      <c r="F140" s="301"/>
      <c r="G140" s="301"/>
      <c r="H140" s="228"/>
      <c r="I140" s="228"/>
      <c r="J140" s="228"/>
      <c r="K140" s="102"/>
      <c r="L140" s="118"/>
      <c r="M140" s="118"/>
      <c r="N140" s="102"/>
      <c r="O140" s="118"/>
      <c r="P140" s="118"/>
      <c r="Q140" s="118"/>
      <c r="R140" s="118"/>
      <c r="S140" s="118"/>
      <c r="T140" s="118"/>
      <c r="U140" s="118"/>
      <c r="V140" s="118"/>
    </row>
    <row r="141" outlineLevel="1">
      <c r="A141" s="146"/>
      <c r="B141" s="300" t="s">
        <v>246</v>
      </c>
      <c r="C141" s="307" t="str">
        <f t="array" ref="C141">INDEX('転倒'!$K$3:$L$115, MATCH($A$1,'転倒'!$A$3:$A$115,0), MATCH(C$116,'転倒'!$K$2:$AC$2,0))</f>
        <v>1-9</v>
      </c>
      <c r="D141" s="308">
        <f t="array" ref="D141">INDEX('転倒'!$K$3:$L$115, MATCH($A$1,'転倒'!$A$3:$A$115,0), MATCH(D$116,'転倒'!$K$2:$AC$2,0))</f>
        <v>28</v>
      </c>
      <c r="E141" s="301"/>
      <c r="F141" s="301"/>
      <c r="G141" s="301"/>
      <c r="H141" s="228"/>
      <c r="I141" s="228"/>
      <c r="J141" s="228"/>
      <c r="K141" s="102"/>
      <c r="L141" s="118"/>
      <c r="M141" s="118"/>
      <c r="N141" s="102"/>
      <c r="O141" s="118"/>
      <c r="P141" s="118"/>
      <c r="Q141" s="118"/>
      <c r="R141" s="118"/>
      <c r="S141" s="118"/>
      <c r="T141" s="118"/>
      <c r="U141" s="118"/>
      <c r="V141" s="118"/>
    </row>
    <row r="142" outlineLevel="1">
      <c r="A142" s="146"/>
      <c r="B142" s="300" t="s">
        <v>249</v>
      </c>
      <c r="C142" s="309" t="str">
        <f t="array" ref="C142">INDEX('転倒'!$M$3:$P$115, MATCH($A$1,'転倒'!$A$3:$A$115,0), MATCH(C$116,'転倒'!$M$2:$AC$2,0))</f>
        <v>1-7</v>
      </c>
      <c r="D142" s="310">
        <f t="array" ref="D142">INDEX('転倒'!$M$3:$P$115, MATCH($A$1,'転倒'!$A$3:$A$115,0), MATCH(D$116,'転倒'!$M$2:$AC$2,0))</f>
        <v>49</v>
      </c>
      <c r="E142" s="307" t="str">
        <f t="array" ref="E142">INDEX('転倒'!$M$3:$P$115, MATCH($A$1,'転倒'!$A$3:$A$115,0), MATCH(E$116,'転倒'!$M$2:$AC$2,0))</f>
        <v>17-18</v>
      </c>
      <c r="F142" s="308">
        <f t="array" ref="F142">INDEX('転倒'!$M$3:$P$115, MATCH($A$1,'転倒'!$A$3:$A$115,0), MATCH(F$116,'転倒'!$M$2:$AC$2,0))</f>
        <v>5</v>
      </c>
      <c r="G142" s="113">
        <f t="shared" ref="G142:G143" si="12">F142*1.2</f>
        <v>6</v>
      </c>
      <c r="H142" s="228"/>
      <c r="I142" s="228"/>
      <c r="J142" s="228"/>
      <c r="K142" s="118"/>
      <c r="L142" s="118"/>
      <c r="M142" s="118"/>
      <c r="N142" s="102"/>
      <c r="O142" s="102"/>
      <c r="P142" s="102"/>
      <c r="Q142" s="102"/>
      <c r="R142" s="118"/>
      <c r="S142" s="118"/>
      <c r="T142" s="118"/>
      <c r="U142" s="118"/>
      <c r="V142" s="118"/>
    </row>
    <row r="143" outlineLevel="1">
      <c r="A143" s="156"/>
      <c r="B143" s="311" t="s">
        <v>250</v>
      </c>
      <c r="C143" s="156"/>
      <c r="D143" s="156"/>
      <c r="E143" s="307" t="str">
        <f t="array" ref="E143">INDEX('転倒'!$Q$3:$R$115, MATCH($A$1,'転倒'!$A$3:$A$115,0), MATCH(E$116,'転倒'!$Q$2:$AC$2,0))</f>
        <v>21-22</v>
      </c>
      <c r="F143" s="308">
        <f t="array" ref="F143">INDEX('転倒'!$Q$3:$R$115, MATCH($A$1,'転倒'!$A$3:$A$115,0), MATCH(F$116,'転倒'!$Q$2:$AC$2,0))</f>
        <v>5</v>
      </c>
      <c r="G143" s="113">
        <f t="shared" si="12"/>
        <v>6</v>
      </c>
      <c r="H143" s="228"/>
      <c r="I143" s="228"/>
      <c r="J143" s="228"/>
      <c r="K143" s="118"/>
      <c r="L143" s="118"/>
      <c r="M143" s="118"/>
      <c r="N143" s="102"/>
      <c r="O143" s="102"/>
      <c r="P143" s="102"/>
      <c r="Q143" s="102"/>
      <c r="R143" s="118"/>
      <c r="S143" s="118"/>
      <c r="T143" s="118"/>
      <c r="U143" s="118"/>
      <c r="V143" s="118"/>
    </row>
  </sheetData>
  <mergeCells count="162">
    <mergeCell ref="R57:V58"/>
    <mergeCell ref="R59:V60"/>
    <mergeCell ref="R61:V62"/>
    <mergeCell ref="R63:V64"/>
    <mergeCell ref="R65:V67"/>
    <mergeCell ref="R68:V69"/>
    <mergeCell ref="V73:V74"/>
    <mergeCell ref="U34:U39"/>
    <mergeCell ref="U40:U41"/>
    <mergeCell ref="U42:U43"/>
    <mergeCell ref="U44:U49"/>
    <mergeCell ref="U50:U51"/>
    <mergeCell ref="U52:U53"/>
    <mergeCell ref="R56:V56"/>
    <mergeCell ref="U76:U79"/>
    <mergeCell ref="V76:V79"/>
    <mergeCell ref="U81:U84"/>
    <mergeCell ref="V81:V84"/>
    <mergeCell ref="U86:U89"/>
    <mergeCell ref="V86:V89"/>
    <mergeCell ref="I63:I64"/>
    <mergeCell ref="I65:I67"/>
    <mergeCell ref="J65:J67"/>
    <mergeCell ref="I68:I69"/>
    <mergeCell ref="J68:J69"/>
    <mergeCell ref="H72:J72"/>
    <mergeCell ref="U73:U74"/>
    <mergeCell ref="H73:J74"/>
    <mergeCell ref="H75:J75"/>
    <mergeCell ref="H76:J79"/>
    <mergeCell ref="H80:J80"/>
    <mergeCell ref="H81:J84"/>
    <mergeCell ref="H85:J85"/>
    <mergeCell ref="H86:J89"/>
    <mergeCell ref="K117:K118"/>
    <mergeCell ref="K120:K125"/>
    <mergeCell ref="K126:K129"/>
    <mergeCell ref="K130:L130"/>
    <mergeCell ref="K132:K135"/>
    <mergeCell ref="K136:L136"/>
    <mergeCell ref="G97:J97"/>
    <mergeCell ref="G98:J99"/>
    <mergeCell ref="G100:J101"/>
    <mergeCell ref="G102:J103"/>
    <mergeCell ref="G104:J105"/>
    <mergeCell ref="K116:L116"/>
    <mergeCell ref="K119:L119"/>
    <mergeCell ref="H10:H11"/>
    <mergeCell ref="I10:I11"/>
    <mergeCell ref="K16:N16"/>
    <mergeCell ref="H1:J2"/>
    <mergeCell ref="K1:M2"/>
    <mergeCell ref="H4:H5"/>
    <mergeCell ref="I4:I5"/>
    <mergeCell ref="H6:H7"/>
    <mergeCell ref="I6:I7"/>
    <mergeCell ref="H8:J9"/>
    <mergeCell ref="C1:G12"/>
    <mergeCell ref="A10:A12"/>
    <mergeCell ref="A15:B16"/>
    <mergeCell ref="C16:D16"/>
    <mergeCell ref="E16:F16"/>
    <mergeCell ref="G16:H16"/>
    <mergeCell ref="H25:J25"/>
    <mergeCell ref="H26:J26"/>
    <mergeCell ref="H27:J27"/>
    <mergeCell ref="H28:J28"/>
    <mergeCell ref="H29:J29"/>
    <mergeCell ref="H30:J30"/>
    <mergeCell ref="H31:J31"/>
    <mergeCell ref="U32:U33"/>
    <mergeCell ref="D40:D41"/>
    <mergeCell ref="D42:D43"/>
    <mergeCell ref="H32:J33"/>
    <mergeCell ref="H34:J39"/>
    <mergeCell ref="H40:J41"/>
    <mergeCell ref="H42:J43"/>
    <mergeCell ref="H44:J49"/>
    <mergeCell ref="H50:J51"/>
    <mergeCell ref="H52:J53"/>
    <mergeCell ref="I57:I58"/>
    <mergeCell ref="J57:J58"/>
    <mergeCell ref="I59:I60"/>
    <mergeCell ref="J59:J60"/>
    <mergeCell ref="I61:I62"/>
    <mergeCell ref="J61:J62"/>
    <mergeCell ref="J63:J64"/>
    <mergeCell ref="A72:B72"/>
    <mergeCell ref="A73:A74"/>
    <mergeCell ref="A75:B75"/>
    <mergeCell ref="A76:A77"/>
    <mergeCell ref="A78:A79"/>
    <mergeCell ref="A80:B80"/>
    <mergeCell ref="A81:A82"/>
    <mergeCell ref="A83:A84"/>
    <mergeCell ref="A85:B85"/>
    <mergeCell ref="A86:A87"/>
    <mergeCell ref="A88:A89"/>
    <mergeCell ref="A91:B92"/>
    <mergeCell ref="A94:A96"/>
    <mergeCell ref="A97:B97"/>
    <mergeCell ref="C135:C136"/>
    <mergeCell ref="D135:D136"/>
    <mergeCell ref="C129:C130"/>
    <mergeCell ref="C142:C143"/>
    <mergeCell ref="A112:A113"/>
    <mergeCell ref="A117:A121"/>
    <mergeCell ref="A122:A124"/>
    <mergeCell ref="A125:A130"/>
    <mergeCell ref="D129:D130"/>
    <mergeCell ref="A131:A136"/>
    <mergeCell ref="A137:A143"/>
    <mergeCell ref="D142:D143"/>
    <mergeCell ref="A24:B25"/>
    <mergeCell ref="A26:A31"/>
    <mergeCell ref="A32:A33"/>
    <mergeCell ref="D32:D33"/>
    <mergeCell ref="D34:D35"/>
    <mergeCell ref="D36:D37"/>
    <mergeCell ref="D38:D39"/>
    <mergeCell ref="A34:A39"/>
    <mergeCell ref="A40:A41"/>
    <mergeCell ref="A42:A43"/>
    <mergeCell ref="A44:A49"/>
    <mergeCell ref="A50:A51"/>
    <mergeCell ref="A52:A53"/>
    <mergeCell ref="A55:B56"/>
    <mergeCell ref="D44:D45"/>
    <mergeCell ref="D46:D47"/>
    <mergeCell ref="D48:D49"/>
    <mergeCell ref="D50:D51"/>
    <mergeCell ref="D52:D53"/>
    <mergeCell ref="D57:D58"/>
    <mergeCell ref="D59:D60"/>
    <mergeCell ref="A57:A58"/>
    <mergeCell ref="A59:A60"/>
    <mergeCell ref="A61:A62"/>
    <mergeCell ref="A63:A64"/>
    <mergeCell ref="A65:A67"/>
    <mergeCell ref="A68:A69"/>
    <mergeCell ref="A71:B71"/>
    <mergeCell ref="D81:D84"/>
    <mergeCell ref="D86:D87"/>
    <mergeCell ref="D88:D89"/>
    <mergeCell ref="D98:D99"/>
    <mergeCell ref="D100:D101"/>
    <mergeCell ref="D102:D103"/>
    <mergeCell ref="D104:D105"/>
    <mergeCell ref="D61:D62"/>
    <mergeCell ref="D63:D64"/>
    <mergeCell ref="D65:D67"/>
    <mergeCell ref="D68:D69"/>
    <mergeCell ref="D73:D74"/>
    <mergeCell ref="D76:D77"/>
    <mergeCell ref="D78:D79"/>
    <mergeCell ref="A98:A99"/>
    <mergeCell ref="A100:A101"/>
    <mergeCell ref="A102:A103"/>
    <mergeCell ref="A104:A105"/>
    <mergeCell ref="A107:B108"/>
    <mergeCell ref="A109:A111"/>
    <mergeCell ref="A115:B116"/>
  </mergeCells>
  <conditionalFormatting sqref="K1:K140 L97:L105">
    <cfRule type="containsText" dxfId="0" priority="1" operator="containsText" text="361">
      <formula>NOT(ISERROR(SEARCH(("361"),(K1))))</formula>
    </cfRule>
  </conditionalFormatting>
  <conditionalFormatting sqref="O98:Q105">
    <cfRule type="cellIs" dxfId="2" priority="2" operator="equal">
      <formula>"敵のみ"</formula>
    </cfRule>
  </conditionalFormatting>
  <conditionalFormatting sqref="C98:D105">
    <cfRule type="cellIs" dxfId="3" priority="3" operator="equal">
      <formula>"-"</formula>
    </cfRule>
  </conditionalFormatting>
  <conditionalFormatting sqref="O1:O143 N97:N105 P97:P105 Q105 L139:L140">
    <cfRule type="cellIs" dxfId="4" priority="4" operator="greaterThan">
      <formula>0</formula>
    </cfRule>
  </conditionalFormatting>
  <conditionalFormatting sqref="P1:Q143 O97:O105 M139:M140">
    <cfRule type="cellIs" dxfId="5" priority="5" operator="lessThan">
      <formula>1</formula>
    </cfRule>
  </conditionalFormatting>
  <conditionalFormatting sqref="P1:Q143 O97:O105 M139:M140">
    <cfRule type="cellIs" dxfId="4" priority="6" operator="greaterThan">
      <formula>1</formula>
    </cfRule>
  </conditionalFormatting>
  <conditionalFormatting sqref="N25:N116 M97:M105 O97:O105">
    <cfRule type="cellIs" dxfId="6" priority="7" operator="greaterThan">
      <formula>0</formula>
    </cfRule>
  </conditionalFormatting>
  <conditionalFormatting sqref="K1:K143 L97:L105">
    <cfRule type="containsText" dxfId="6" priority="8" operator="containsText" text="363">
      <formula>NOT(ISERROR(SEARCH(("363"),(K1))))</formula>
    </cfRule>
  </conditionalFormatting>
  <conditionalFormatting sqref="K1:K143 L97:L105">
    <cfRule type="containsText" dxfId="6" priority="9" operator="containsText" text="365">
      <formula>NOT(ISERROR(SEARCH(("365"),(K1))))</formula>
    </cfRule>
  </conditionalFormatting>
  <conditionalFormatting sqref="K1:K143 L97:L105">
    <cfRule type="containsText" dxfId="6" priority="10" operator="containsText" text="366">
      <formula>NOT(ISERROR(SEARCH(("366"),(K1))))</formula>
    </cfRule>
  </conditionalFormatting>
  <conditionalFormatting sqref="K1:K143 L97:L105">
    <cfRule type="containsText" dxfId="6" priority="11" operator="containsText" text="367">
      <formula>NOT(ISERROR(SEARCH(("367"),(K1))))</formula>
    </cfRule>
  </conditionalFormatting>
  <conditionalFormatting sqref="N1:N143 M97:M105 O97:O105 K139:K140">
    <cfRule type="containsText" dxfId="6" priority="12" operator="containsText" text="/">
      <formula>NOT(ISERROR(SEARCH(("/"),(N1))))</formula>
    </cfRule>
  </conditionalFormatting>
  <drawing r:id="rId2"/>
  <legacyDrawing r:id="rId3"/>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FF"/>
    <outlinePr summaryBelow="0" summaryRight="0"/>
  </sheetPr>
  <sheetViews>
    <sheetView workbookViewId="0">
      <pane xSplit="2.0" topLeftCell="C1" activePane="topRight" state="frozen"/>
      <selection activeCell="D2" sqref="D2" pane="topRight"/>
    </sheetView>
  </sheetViews>
  <sheetFormatPr customHeight="1" defaultColWidth="12.63" defaultRowHeight="15.75" outlineLevelCol="1" outlineLevelRow="1"/>
  <cols>
    <col customWidth="1" min="1" max="1" width="11.63" outlineLevel="1"/>
    <col customWidth="1" min="2" max="9" width="11.63"/>
    <col collapsed="1" customWidth="1" min="10" max="10" width="11.63"/>
    <col customWidth="1" hidden="1" min="11" max="14" width="11.63" outlineLevel="1"/>
    <col customWidth="1" hidden="1" min="15" max="20" width="7.0" outlineLevel="1"/>
    <col customWidth="1" min="21" max="22" width="7.0"/>
  </cols>
  <sheetData>
    <row r="1">
      <c r="A1" s="1092">
        <v>64.0</v>
      </c>
      <c r="B1" s="1093"/>
      <c r="C1" s="1094" t="str">
        <f>IMAGE(VLOOKUP($A$1,Fighters!A2:AI114,12,FALSE),1)</f>
        <v>#REF!</v>
      </c>
      <c r="D1" s="1095"/>
      <c r="E1" s="1095"/>
      <c r="F1" s="1095"/>
      <c r="G1" s="1096"/>
      <c r="H1" s="1097"/>
      <c r="I1" s="1095"/>
      <c r="J1" s="1096"/>
      <c r="K1" s="1098"/>
      <c r="L1" s="1095"/>
      <c r="M1" s="1096"/>
      <c r="N1" s="1099"/>
      <c r="O1" s="1099"/>
      <c r="P1" s="1099"/>
      <c r="Q1" s="1099"/>
      <c r="R1" s="1100"/>
      <c r="S1" s="1100"/>
      <c r="T1" s="1100"/>
      <c r="U1" s="1100"/>
      <c r="V1" s="1100"/>
    </row>
    <row r="2">
      <c r="A2" s="1101" t="str">
        <f>VLOOKUP($A$1,Fighters!$A$2:$AI$81,6,FALSE)</f>
        <v>#ee9426</v>
      </c>
      <c r="B2" s="1093"/>
      <c r="C2" s="1102"/>
      <c r="G2" s="1103"/>
      <c r="H2" s="1104"/>
      <c r="I2" s="1105"/>
      <c r="J2" s="1106"/>
      <c r="K2" s="1104"/>
      <c r="L2" s="1105"/>
      <c r="M2" s="1106"/>
      <c r="N2" s="1099"/>
      <c r="O2" s="1099"/>
      <c r="P2" s="1099"/>
      <c r="Q2" s="1099"/>
      <c r="R2" s="1100"/>
      <c r="S2" s="1100"/>
      <c r="T2" s="1100"/>
      <c r="U2" s="1100"/>
      <c r="V2" s="1100"/>
    </row>
    <row r="3">
      <c r="A3" s="1101" t="str">
        <f>VLOOKUP($A$1,Fighters!$A$2:$AI$81,14,FALSE)</f>
        <v>64. インクリング</v>
      </c>
      <c r="B3" s="1093"/>
      <c r="C3" s="1102"/>
      <c r="G3" s="1103"/>
      <c r="H3" s="1107"/>
      <c r="I3" s="1107"/>
      <c r="J3" s="1107"/>
      <c r="K3" s="1108"/>
      <c r="L3" s="1108"/>
      <c r="M3" s="1108"/>
      <c r="N3" s="1099"/>
      <c r="O3" s="1099"/>
      <c r="P3" s="1099"/>
      <c r="Q3" s="1099"/>
      <c r="R3" s="1109"/>
      <c r="S3" s="1100"/>
      <c r="T3" s="1100"/>
      <c r="U3" s="1100"/>
      <c r="V3" s="1100"/>
    </row>
    <row r="4">
      <c r="A4" s="1101" t="str">
        <f>VLOOKUP($A$1,Fighters!$A$2:$AI$81,13,FALSE)</f>
        <v>0</v>
      </c>
      <c r="B4" s="1093"/>
      <c r="C4" s="1102"/>
      <c r="G4" s="1103"/>
      <c r="H4" s="1110"/>
      <c r="I4" s="1110"/>
      <c r="J4" s="1107"/>
      <c r="K4" s="1108"/>
      <c r="L4" s="1108"/>
      <c r="M4" s="1108"/>
      <c r="N4" s="1099"/>
      <c r="O4" s="1099"/>
      <c r="P4" s="1099"/>
      <c r="Q4" s="1099"/>
      <c r="R4" s="1109"/>
      <c r="S4" s="1100"/>
      <c r="T4" s="1100"/>
      <c r="U4" s="1100"/>
      <c r="V4" s="1100"/>
    </row>
    <row r="5" ht="16.5" customHeight="1">
      <c r="A5" s="1092"/>
      <c r="B5" s="1093"/>
      <c r="C5" s="1102"/>
      <c r="G5" s="1103"/>
      <c r="H5" s="1111"/>
      <c r="I5" s="1111"/>
      <c r="J5" s="1112"/>
      <c r="K5" s="1113"/>
      <c r="L5" s="1114"/>
      <c r="M5" s="1114"/>
      <c r="N5" s="1099"/>
      <c r="O5" s="1099"/>
      <c r="P5" s="1099"/>
      <c r="Q5" s="1099"/>
      <c r="R5" s="1109"/>
      <c r="S5" s="1100"/>
      <c r="T5" s="1100"/>
      <c r="U5" s="1100"/>
      <c r="V5" s="1100"/>
    </row>
    <row r="6">
      <c r="A6" s="1093"/>
      <c r="B6" s="1093"/>
      <c r="C6" s="1102"/>
      <c r="G6" s="1103"/>
      <c r="H6" s="1110"/>
      <c r="I6" s="1115" t="s">
        <v>39</v>
      </c>
      <c r="J6" s="1113"/>
      <c r="K6" s="1116"/>
      <c r="L6" s="1114"/>
      <c r="M6" s="1114"/>
      <c r="N6" s="1099"/>
      <c r="O6" s="1099"/>
      <c r="P6" s="1099"/>
      <c r="Q6" s="1099"/>
      <c r="R6" s="1109"/>
      <c r="S6" s="1100"/>
      <c r="T6" s="1100"/>
      <c r="U6" s="1100"/>
      <c r="V6" s="1100"/>
    </row>
    <row r="7">
      <c r="A7" s="1093"/>
      <c r="B7" s="1093"/>
      <c r="C7" s="1102"/>
      <c r="G7" s="1103"/>
      <c r="H7" s="1111"/>
      <c r="I7" s="1111"/>
      <c r="J7" s="1113"/>
      <c r="K7" s="1116"/>
      <c r="L7" s="1114"/>
      <c r="M7" s="1114"/>
      <c r="N7" s="1099"/>
      <c r="O7" s="1099"/>
      <c r="P7" s="1099"/>
      <c r="Q7" s="1099"/>
      <c r="R7" s="1109"/>
      <c r="S7" s="1100"/>
      <c r="T7" s="1100"/>
      <c r="U7" s="1100"/>
      <c r="V7" s="1100"/>
    </row>
    <row r="8">
      <c r="A8" s="1093"/>
      <c r="B8" s="1093"/>
      <c r="C8" s="1102"/>
      <c r="G8" s="1103"/>
      <c r="H8" s="1117">
        <v>43392.12236822917</v>
      </c>
      <c r="I8" s="1095"/>
      <c r="J8" s="1096"/>
      <c r="K8" s="1113"/>
      <c r="L8" s="1114"/>
      <c r="M8" s="1114"/>
      <c r="N8" s="1099"/>
      <c r="O8" s="1099"/>
      <c r="P8" s="1099"/>
      <c r="Q8" s="1099"/>
      <c r="R8" s="1109"/>
      <c r="S8" s="1100"/>
      <c r="T8" s="1100"/>
      <c r="U8" s="1100"/>
      <c r="V8" s="1100"/>
    </row>
    <row r="9">
      <c r="A9" s="1093"/>
      <c r="B9" s="1093"/>
      <c r="C9" s="1102"/>
      <c r="G9" s="1103"/>
      <c r="H9" s="1104"/>
      <c r="I9" s="1105"/>
      <c r="J9" s="1106"/>
      <c r="K9" s="1100"/>
      <c r="L9" s="1099"/>
      <c r="M9" s="1099"/>
      <c r="N9" s="1099"/>
      <c r="O9" s="1099"/>
      <c r="P9" s="1099"/>
      <c r="Q9" s="1099"/>
      <c r="R9" s="1109"/>
      <c r="S9" s="1100"/>
      <c r="T9" s="1100"/>
      <c r="U9" s="1100"/>
      <c r="V9" s="1100"/>
    </row>
    <row r="10">
      <c r="A10" s="1093"/>
      <c r="B10" s="1093"/>
      <c r="C10" s="1102"/>
      <c r="G10" s="1103"/>
      <c r="H10" s="1118"/>
      <c r="I10" s="1118"/>
      <c r="J10" s="1100"/>
      <c r="K10" s="1100"/>
      <c r="L10" s="1099"/>
      <c r="M10" s="1099"/>
      <c r="N10" s="1099"/>
      <c r="O10" s="1099"/>
      <c r="P10" s="1099"/>
      <c r="Q10" s="1099"/>
      <c r="R10" s="1109"/>
      <c r="S10" s="1100"/>
      <c r="T10" s="1100"/>
      <c r="U10" s="1100"/>
      <c r="V10" s="1100"/>
    </row>
    <row r="11">
      <c r="A11" s="1119" t="s">
        <v>40</v>
      </c>
      <c r="B11" s="1096"/>
      <c r="C11" s="1102"/>
      <c r="G11" s="1103"/>
      <c r="H11" s="1111"/>
      <c r="I11" s="1111"/>
      <c r="J11" s="1100"/>
      <c r="K11" s="1100"/>
      <c r="L11" s="1099"/>
      <c r="M11" s="1099"/>
      <c r="N11" s="1099"/>
      <c r="O11" s="1099"/>
      <c r="P11" s="1099"/>
      <c r="Q11" s="1099"/>
      <c r="R11" s="1109"/>
      <c r="S11" s="1100"/>
      <c r="T11" s="1100"/>
      <c r="U11" s="1100"/>
      <c r="V11" s="1100"/>
    </row>
    <row r="12">
      <c r="A12" s="1104"/>
      <c r="B12" s="1106"/>
      <c r="C12" s="1104"/>
      <c r="D12" s="1105"/>
      <c r="E12" s="1105"/>
      <c r="F12" s="1105"/>
      <c r="G12" s="1106"/>
      <c r="H12" s="1120"/>
      <c r="I12" s="1120"/>
      <c r="J12" s="1093"/>
      <c r="K12" s="1093"/>
      <c r="L12" s="1099"/>
      <c r="M12" s="1099"/>
      <c r="N12" s="1099"/>
      <c r="O12" s="1099"/>
      <c r="P12" s="1099"/>
      <c r="Q12" s="1099"/>
      <c r="R12" s="1109"/>
      <c r="S12" s="1100"/>
      <c r="T12" s="1100"/>
      <c r="U12" s="1100"/>
      <c r="V12" s="1100"/>
    </row>
    <row r="13">
      <c r="A13" s="88"/>
      <c r="B13" s="89"/>
      <c r="C13" s="89"/>
      <c r="D13" s="90"/>
      <c r="E13" s="90"/>
      <c r="F13" s="90"/>
      <c r="G13" s="91"/>
      <c r="H13" s="91"/>
      <c r="I13" s="92"/>
      <c r="J13" s="88"/>
      <c r="K13" s="90"/>
      <c r="L13" s="93"/>
      <c r="M13" s="93"/>
      <c r="N13" s="93"/>
      <c r="O13" s="93"/>
      <c r="P13" s="93"/>
      <c r="Q13" s="93"/>
      <c r="R13" s="91"/>
      <c r="S13" s="88"/>
      <c r="T13" s="88"/>
      <c r="U13" s="88"/>
      <c r="V13" s="88"/>
    </row>
    <row r="14">
      <c r="A14" s="94"/>
      <c r="B14" s="95"/>
      <c r="C14" s="95"/>
      <c r="D14" s="96"/>
      <c r="E14" s="96"/>
      <c r="F14" s="96"/>
      <c r="G14" s="360"/>
      <c r="H14" s="98"/>
      <c r="I14" s="99"/>
      <c r="J14" s="100"/>
      <c r="K14" s="101"/>
      <c r="L14" s="102"/>
      <c r="M14" s="102"/>
      <c r="N14" s="102"/>
      <c r="O14" s="102"/>
      <c r="P14" s="102"/>
      <c r="Q14" s="102"/>
      <c r="R14" s="98"/>
      <c r="S14" s="100"/>
      <c r="T14" s="100"/>
      <c r="U14" s="100"/>
      <c r="V14" s="100"/>
    </row>
    <row r="15">
      <c r="A15" s="103" t="str">
        <f>'テンプレート'!A15</f>
        <v>行動フレーム・能力値</v>
      </c>
      <c r="B15" s="104"/>
      <c r="C15" s="101"/>
      <c r="D15" s="101"/>
      <c r="E15" s="101"/>
      <c r="F15" s="101"/>
      <c r="G15" s="98"/>
      <c r="H15" s="98"/>
      <c r="I15" s="101"/>
      <c r="J15" s="101"/>
      <c r="K15" s="101"/>
      <c r="L15" s="101"/>
      <c r="M15" s="101"/>
      <c r="N15" s="101"/>
      <c r="O15" s="99"/>
      <c r="P15" s="99"/>
      <c r="Q15" s="99"/>
      <c r="R15" s="99"/>
      <c r="S15" s="100"/>
      <c r="T15" s="100"/>
      <c r="U15" s="100"/>
      <c r="V15" s="100"/>
    </row>
    <row r="16" outlineLevel="1">
      <c r="A16" s="106"/>
      <c r="B16" s="107"/>
      <c r="C16" s="108" t="str">
        <f>'テンプレート'!C16</f>
        <v>行動フレーム</v>
      </c>
      <c r="D16" s="109"/>
      <c r="E16" s="108" t="str">
        <f>'テンプレート'!E16</f>
        <v>能力値</v>
      </c>
      <c r="F16" s="109"/>
      <c r="G16" s="108" t="str">
        <f>'テンプレート'!G16</f>
        <v>滞空フレーム</v>
      </c>
      <c r="H16" s="109"/>
      <c r="I16" s="101"/>
      <c r="J16" s="101"/>
      <c r="K16" s="108" t="str">
        <f>'テンプレート'!K16</f>
        <v>能力値その他</v>
      </c>
      <c r="L16" s="110"/>
      <c r="M16" s="110"/>
      <c r="N16" s="109"/>
      <c r="O16" s="99"/>
      <c r="P16" s="99"/>
      <c r="Q16" s="99"/>
      <c r="R16" s="99"/>
      <c r="S16" s="111"/>
      <c r="T16" s="111"/>
      <c r="U16" s="111"/>
      <c r="V16" s="111"/>
    </row>
    <row r="17" outlineLevel="1">
      <c r="A17" s="112" t="str">
        <f>'テンプレート'!A17</f>
        <v>ジャンプ回数</v>
      </c>
      <c r="B17" s="113" t="str">
        <f t="array" ref="B17">INDEX('行動フレーム・能力値'!$C$2:$AD$81, MATCH($A$1,'行動フレーム・能力値'!$A$2:$A$95,0), MATCH(A17,'行動フレーム・能力値'!$C$1:$AD$1,0))&amp;"回"</f>
        <v>2回</v>
      </c>
      <c r="C17" s="112" t="str">
        <f>'テンプレート'!C17</f>
        <v>ジャンプ踏切</v>
      </c>
      <c r="D17" s="113" t="str">
        <f t="array" ref="D17">IF(INDEX('行動フレーム・能力値'!$C$2:$AD$115, MATCH($A$1,'行動フレーム・能力値'!$A$2:$A$115,0), MATCH(C17,'行動フレーム・能力値'!$C$1:$AD$1,0))="-", "-", INDEX('行動フレーム・能力値'!$C$2:$AD$115, MATCH($A$1,'行動フレーム・能力値'!$A$2:$A$115,0), MATCH(C17,'行動フレーム・能力値'!$C$1:$AD$1,0))&amp;"F")</f>
        <v>3F</v>
      </c>
      <c r="E17" s="112" t="str">
        <f>'テンプレート'!E17</f>
        <v>体重</v>
      </c>
      <c r="F17" s="113" t="str">
        <f t="array" ref="F17">IF(INDEX('行動フレーム・能力値'!$C$2:$AD$115, MATCH($A$1,'行動フレーム・能力値'!$A$2:$A$115,0), MATCH(E17,'行動フレーム・能力値'!$C$1:$AD$1,0))="-", "-", INDEX('行動フレーム・能力値'!$C$2:$AD$115, MATCH($A$1,'行動フレーム・能力値'!$A$2:$A$115,0), MATCH(E17,'行動フレーム・能力値'!$C$1:$AD$1,0))&amp;" ["&amp;INDEX('行動フレーム・能力値'!$C$2:$AD$115, MATCH($A$1,'行動フレーム・能力値'!$A$2:$A$115,0), MATCH(E17,'行動フレーム・能力値'!$C$1:$AD$1,0)-1)&amp;IF(AND(INDEX('行動フレーム・能力値'!$C$2:$AD$115, MATCH($A$1,'行動フレーム・能力値'!$A$2:$A$115,0), MATCH(E17,'行動フレーム・能力値'!$C$1:$AD$1,0)-1)&gt;=11, INDEX('行動フレーム・能力値'!$C$2:$AD$115, MATCH($A$1,'行動フレーム・能力値'!$A$2:$A$115,0), MATCH(E17,'行動フレーム・能力値'!$C$1:$AD$1,0)-1)&lt;=13),"th",CHOOSE(MIN(5,RIGHT(INDEX('行動フレーム・能力値'!$C$2:$AD$115, MATCH($A$1,'行動フレーム・能力値'!$A$2:$A$115,0), MATCH(E17,'行動フレーム・能力値'!$C$1:$AD$1,0)-1))+1),"th","st","nd","rd","th"))&amp;"]")</f>
        <v>94 [48th]</v>
      </c>
      <c r="G17" s="112" t="str">
        <f>'テンプレート'!G17</f>
        <v>小J滞空</v>
      </c>
      <c r="H17" s="113" t="str">
        <f t="array" ref="H17">IF(INDEX('行動フレーム・能力値'!$C$2:$AD$115, MATCH($A$1,'行動フレーム・能力値'!$A$2:$A$115,0), MATCH(G17,'行動フレーム・能力値'!$C$1:$AD$1,0))="-", "-", INDEX('行動フレーム・能力値'!$C$2:$AD$115, MATCH($A$1,'行動フレーム・能力値'!$A$2:$A$115,0), MATCH(G17,'行動フレーム・能力値'!$C$1:$AD$1,0))&amp;"F")</f>
        <v>40F</v>
      </c>
      <c r="I17" s="114"/>
      <c r="J17" s="101"/>
      <c r="K17" s="112" t="str">
        <f>'テンプレート'!K17</f>
        <v>ダッシュ初速</v>
      </c>
      <c r="L17" s="113" t="str">
        <f t="array" ref="L17">IF(INDEX('能力値その他'!$C$2:$AD$115, MATCH($A$1,'能力値その他'!$A$2:$A$115,0), MATCH(K17,'能力値その他'!$C$1:$AD$1,0))="-", "-", INDEX('能力値その他'!$C$2:$AD$115, MATCH($A$1,'能力値その他'!$A$2:$A$115,0), MATCH(K17,'能力値その他'!$C$1:$AD$1,0))&amp;" ["&amp;INDEX('能力値その他'!$C$2:$AD$115, MATCH($A$1,'能力値その他'!$A$2:$A$115,0), MATCH(K17,'能力値その他'!$C$1:$AD$1,0)-1)&amp;IF(AND(INDEX('能力値その他'!$C$2:$AD$115, MATCH($A$1,'能力値その他'!$A$2:$A$115,0), MATCH(K17,'能力値その他'!$C$1:$AD$1,0)-1)&gt;=11, INDEX('能力値その他'!$C$2:$AD$115, MATCH($A$1,'能力値その他'!$A$2:$A$115,0), MATCH(K17,'能力値その他'!$C$1:$AD$1,0)-1)&lt;=13),"th",CHOOSE(MIN(5,RIGHT(INDEX('能力値その他'!$C$2:$AD$115, MATCH($A$1,'能力値その他'!$A$2:$A$115,0), MATCH(K17,'能力値その他'!$C$1:$AD$1,0)-1))+1),"th","st","nd","rd","th"))&amp;"]")</f>
        <v>2.118 [17th]</v>
      </c>
      <c r="M17" s="112" t="str">
        <f>'テンプレート'!M17</f>
        <v>大J初速</v>
      </c>
      <c r="N17" s="113" t="str">
        <f t="array" ref="N17">IF(INDEX('能力値その他'!$C$2:$AD$115, MATCH($A$1,'能力値その他'!$A$2:$A$115,0), MATCH(M17,'能力値その他'!$C$1:$AD$1,0))="-", "-", INDEX('能力値その他'!$C$2:$AD$115, MATCH($A$1,'能力値その他'!$A$2:$A$115,0), MATCH(M17,'能力値その他'!$C$1:$AD$1,0))&amp;" ["&amp;INDEX('能力値その他'!$C$2:$AD$115, MATCH($A$1,'能力値その他'!$A$2:$A$115,0), MATCH(M17,'能力値その他'!$C$1:$AD$1,0)-1)&amp;IF(AND(INDEX('能力値その他'!$C$2:$AD$115, MATCH($A$1,'能力値その他'!$A$2:$A$115,0), MATCH(M17,'能力値その他'!$C$1:$AD$1,0)-1)&gt;=11, INDEX('能力値その他'!$C$2:$AD$115, MATCH($A$1,'能力値その他'!$A$2:$A$115,0), MATCH(M17,'能力値その他'!$C$1:$AD$1,0)-1)&lt;=13),"th",CHOOSE(MIN(5,RIGHT(INDEX('能力値その他'!$C$2:$AD$115, MATCH($A$1,'能力値その他'!$A$2:$A$115,0), MATCH(M17,'能力値その他'!$C$1:$AD$1,0)-1))+1),"th","st","nd","rd","th"))&amp;"]")</f>
        <v>-</v>
      </c>
      <c r="O17" s="99"/>
      <c r="P17" s="99"/>
      <c r="Q17" s="99"/>
      <c r="R17" s="99"/>
      <c r="S17" s="111"/>
      <c r="T17" s="111"/>
      <c r="U17" s="111"/>
      <c r="V17" s="111"/>
    </row>
    <row r="18" outlineLevel="1">
      <c r="A18" s="112" t="str">
        <f>'テンプレート'!A18</f>
        <v>しゃがみ歩き</v>
      </c>
      <c r="B18" s="113" t="b">
        <f t="array" ref="B18">INDEX('行動フレーム・能力値'!$C$2:$AD$81, MATCH($A$1,'行動フレーム・能力値'!$A$2:$A$95,0), MATCH(A18,'行動フレーム・能力値'!$C$1:$AD$1,0))</f>
        <v>1</v>
      </c>
      <c r="C18" s="112" t="str">
        <f>'テンプレート'!C18</f>
        <v>小着地</v>
      </c>
      <c r="D18" s="113" t="str">
        <f t="array" ref="D18">IF(INDEX('行動フレーム・能力値'!$C$2:$AD$115, MATCH($A$1,'行動フレーム・能力値'!$A$2:$A$115,0), MATCH(C18,'行動フレーム・能力値'!$C$1:$AD$1,0))="-", "-", INDEX('行動フレーム・能力値'!$C$2:$AD$115, MATCH($A$1,'行動フレーム・能力値'!$A$2:$A$115,0), MATCH(C18,'行動フレーム・能力値'!$C$1:$AD$1,0))&amp;"F")</f>
        <v>2F</v>
      </c>
      <c r="E18" s="112" t="str">
        <f>'テンプレート'!E18</f>
        <v>歩行速度</v>
      </c>
      <c r="F18" s="113" t="str">
        <f t="array" ref="F18">IF(INDEX('行動フレーム・能力値'!$C$2:$AD$115, MATCH($A$1,'行動フレーム・能力値'!$A$2:$A$115,0), MATCH(E18,'行動フレーム・能力値'!$C$1:$AD$1,0))="-", "-", INDEX('行動フレーム・能力値'!$C$2:$AD$115, MATCH($A$1,'行動フレーム・能力値'!$A$2:$A$115,0), MATCH(E18,'行動フレーム・能力値'!$C$1:$AD$1,0))&amp;" ["&amp;INDEX('行動フレーム・能力値'!$C$2:$AD$115, MATCH($A$1,'行動フレーム・能力値'!$A$2:$A$115,0), MATCH(E18,'行動フレーム・能力値'!$C$1:$AD$1,0)-1)&amp;IF(AND(INDEX('行動フレーム・能力値'!$C$2:$AD$115, MATCH($A$1,'行動フレーム・能力値'!$A$2:$A$115,0), MATCH(E18,'行動フレーム・能力値'!$C$1:$AD$1,0)-1)&gt;=11, INDEX('行動フレーム・能力値'!$C$2:$AD$115, MATCH($A$1,'行動フレーム・能力値'!$A$2:$A$115,0), MATCH(E18,'行動フレーム・能力値'!$C$1:$AD$1,0)-1)&lt;=13),"th",CHOOSE(MIN(5,RIGHT(INDEX('行動フレーム・能力値'!$C$2:$AD$115, MATCH($A$1,'行動フレーム・能力値'!$A$2:$A$115,0), MATCH(E18,'行動フレーム・能力値'!$C$1:$AD$1,0)-1))+1),"th","st","nd","rd","th"))&amp;"]")</f>
        <v>1.134 [40th]</v>
      </c>
      <c r="G18" s="112" t="str">
        <f>'テンプレート'!G18</f>
        <v>大J滞空</v>
      </c>
      <c r="H18" s="113" t="str">
        <f t="array" ref="H18">IF(INDEX('行動フレーム・能力値'!$C$2:$AD$115, MATCH($A$1,'行動フレーム・能力値'!$A$2:$A$115,0), MATCH(G18,'行動フレーム・能力値'!$C$1:$AD$1,0))="-", "-", INDEX('行動フレーム・能力値'!$C$2:$AD$115, MATCH($A$1,'行動フレーム・能力値'!$A$2:$A$115,0), MATCH(G18,'行動フレーム・能力値'!$C$1:$AD$1,0))&amp;"F")</f>
        <v>52F</v>
      </c>
      <c r="I18" s="114"/>
      <c r="J18" s="101"/>
      <c r="K18" s="112" t="str">
        <f>'テンプレート'!K18</f>
        <v>走行加速</v>
      </c>
      <c r="L18" s="113" t="str">
        <f t="array" ref="L18">IF(INDEX('能力値その他'!$C$2:$AD$115, MATCH($A$1,'能力値その他'!$A$2:$A$115,0), MATCH(K18,'能力値その他'!$C$1:$AD$1,0))="-", "-", INDEX('能力値その他'!$C$2:$AD$115, MATCH($A$1,'能力値その他'!$A$2:$A$115,0), MATCH(K18,'能力値その他'!$C$1:$AD$1,0))&amp;" ["&amp;INDEX('能力値その他'!$C$2:$AD$115, MATCH($A$1,'能力値その他'!$A$2:$A$115,0), MATCH(K18,'能力値その他'!$C$1:$AD$1,0)-1)&amp;IF(AND(INDEX('能力値その他'!$C$2:$AD$115, MATCH($A$1,'能力値その他'!$A$2:$A$115,0), MATCH(K18,'能力値その他'!$C$1:$AD$1,0)-1)&gt;=11, INDEX('能力値その他'!$C$2:$AD$115, MATCH($A$1,'能力値その他'!$A$2:$A$115,0), MATCH(K18,'能力値その他'!$C$1:$AD$1,0)-1)&lt;=13),"th",CHOOSE(MIN(5,RIGHT(INDEX('能力値その他'!$C$2:$AD$115, MATCH($A$1,'能力値その他'!$A$2:$A$115,0), MATCH(K18,'能力値その他'!$C$1:$AD$1,0)-1))+1),"th","st","nd","rd","th"))&amp;"]")</f>
        <v>0.15378 [27th]</v>
      </c>
      <c r="M18" s="112" t="str">
        <f>'テンプレート'!M18</f>
        <v>大J高度</v>
      </c>
      <c r="N18" s="113" t="str">
        <f t="array" ref="N18">IF(INDEX('能力値その他'!$C$2:$AD$115, MATCH($A$1,'能力値その他'!$A$2:$A$115,0), MATCH(M18,'能力値その他'!$C$1:$AD$1,0))="-", "-", INDEX('能力値その他'!$C$2:$AD$115, MATCH($A$1,'能力値その他'!$A$2:$A$115,0), MATCH(M18,'能力値その他'!$C$1:$AD$1,0))&amp;" ["&amp;INDEX('能力値その他'!$C$2:$AD$115, MATCH($A$1,'能力値その他'!$A$2:$A$115,0), MATCH(M18,'能力値その他'!$C$1:$AD$1,0)-1)&amp;IF(AND(INDEX('能力値その他'!$C$2:$AD$115, MATCH($A$1,'能力値その他'!$A$2:$A$115,0), MATCH(M18,'能力値その他'!$C$1:$AD$1,0)-1)&gt;=11, INDEX('能力値その他'!$C$2:$AD$115, MATCH($A$1,'能力値その他'!$A$2:$A$115,0), MATCH(M18,'能力値その他'!$C$1:$AD$1,0)-1)&lt;=13),"th",CHOOSE(MIN(5,RIGHT(INDEX('能力値その他'!$C$2:$AD$115, MATCH($A$1,'能力値その他'!$A$2:$A$115,0), MATCH(M18,'能力値その他'!$C$1:$AD$1,0)-1))+1),"th","st","nd","rd","th"))&amp;"]")</f>
        <v>33 [39th]</v>
      </c>
      <c r="O18" s="99"/>
      <c r="P18" s="99"/>
      <c r="Q18" s="99"/>
      <c r="R18" s="99"/>
      <c r="S18" s="111"/>
      <c r="T18" s="111"/>
      <c r="U18" s="111"/>
      <c r="V18" s="111"/>
    </row>
    <row r="19" outlineLevel="1">
      <c r="A19" s="112" t="str">
        <f>'テンプレート'!A19</f>
        <v>カベジャンプ</v>
      </c>
      <c r="B19" s="113" t="b">
        <f t="array" ref="B19">INDEX('行動フレーム・能力値'!$C$2:$AD$81, MATCH($A$1,'行動フレーム・能力値'!$A$2:$A$95,0), MATCH(A19,'行動フレーム・能力値'!$C$1:$AD$1,0))</f>
        <v>1</v>
      </c>
      <c r="C19" s="112" t="str">
        <f>'テンプレート'!C19</f>
        <v>大着地</v>
      </c>
      <c r="D19" s="113" t="str">
        <f t="array" ref="D19">IF(INDEX('行動フレーム・能力値'!$C$2:$AD$115, MATCH($A$1,'行動フレーム・能力値'!$A$2:$A$115,0), MATCH(C19,'行動フレーム・能力値'!$C$1:$AD$1,0))="-", "-", INDEX('行動フレーム・能力値'!$C$2:$AD$115, MATCH($A$1,'行動フレーム・能力値'!$A$2:$A$115,0), MATCH(C19,'行動フレーム・能力値'!$C$1:$AD$1,0))&amp;"F")</f>
        <v>4F</v>
      </c>
      <c r="E19" s="112" t="str">
        <f>'テンプレート'!E19</f>
        <v>走行速度</v>
      </c>
      <c r="F19" s="113" t="str">
        <f t="array" ref="F19">IF(INDEX('行動フレーム・能力値'!$C$2:$AD$115, MATCH($A$1,'行動フレーム・能力値'!$A$2:$A$115,0), MATCH(E19,'行動フレーム・能力値'!$C$1:$AD$1,0))="-", "-", INDEX('行動フレーム・能力値'!$C$2:$AD$115, MATCH($A$1,'行動フレーム・能力値'!$A$2:$A$115,0), MATCH(E19,'行動フレーム・能力値'!$C$1:$AD$1,0))&amp;" ["&amp;INDEX('行動フレーム・能力値'!$C$2:$AD$115, MATCH($A$1,'行動フレーム・能力値'!$A$2:$A$115,0), MATCH(E19,'行動フレーム・能力値'!$C$1:$AD$1,0)-1)&amp;IF(AND(INDEX('行動フレーム・能力値'!$C$2:$AD$115, MATCH($A$1,'行動フレーム・能力値'!$A$2:$A$115,0), MATCH(E19,'行動フレーム・能力値'!$C$1:$AD$1,0)-1)&gt;=11, INDEX('行動フレーム・能力値'!$C$2:$AD$115, MATCH($A$1,'行動フレーム・能力値'!$A$2:$A$115,0), MATCH(E19,'行動フレーム・能力値'!$C$1:$AD$1,0)-1)&lt;=13),"th",CHOOSE(MIN(5,RIGHT(INDEX('行動フレーム・能力値'!$C$2:$AD$115, MATCH($A$1,'行動フレーム・能力値'!$A$2:$A$115,0), MATCH(E19,'行動フレーム・能力値'!$C$1:$AD$1,0)-1))+1),"th","st","nd","rd","th"))&amp;"]")</f>
        <v>1.925 [25th]</v>
      </c>
      <c r="G19" s="112" t="str">
        <f>'テンプレート'!G19</f>
        <v>小J急降下滞空</v>
      </c>
      <c r="H19" s="113" t="str">
        <f t="array" ref="H19">IF(INDEX('行動フレーム・能力値'!$C$2:$AD$115, MATCH($A$1,'行動フレーム・能力値'!$A$2:$A$115,0), MATCH(G19,'行動フレーム・能力値'!$C$1:$AD$1,0))="-", "-", INDEX('行動フレーム・能力値'!$C$2:$AD$115, MATCH($A$1,'行動フレーム・能力値'!$A$2:$A$115,0), MATCH(G19,'行動フレーム・能力値'!$C$1:$AD$1,0))&amp;"F")</f>
        <v>27F</v>
      </c>
      <c r="I19" s="114"/>
      <c r="J19" s="101"/>
      <c r="K19" s="112" t="str">
        <f>'テンプレート'!K19</f>
        <v>地上抵抗</v>
      </c>
      <c r="L19" s="113" t="str">
        <f t="array" ref="L19">IF(INDEX('能力値その他'!$C$2:$AD$115, MATCH($A$1,'能力値その他'!$A$2:$A$115,0), MATCH(K19,'能力値その他'!$C$1:$AD$1,0))="-", "-", INDEX('能力値その他'!$C$2:$AD$115, MATCH($A$1,'能力値その他'!$A$2:$A$115,0), MATCH(K19,'能力値その他'!$C$1:$AD$1,0))&amp;" ["&amp;INDEX('能力値その他'!$C$2:$AD$115, MATCH($A$1,'能力値その他'!$A$2:$A$115,0), MATCH(K19,'能力値その他'!$C$1:$AD$1,0)-1)&amp;IF(AND(INDEX('能力値その他'!$C$2:$AD$115, MATCH($A$1,'能力値その他'!$A$2:$A$115,0), MATCH(K19,'能力値その他'!$C$1:$AD$1,0)-1)&gt;=11, INDEX('能力値その他'!$C$2:$AD$115, MATCH($A$1,'能力値その他'!$A$2:$A$115,0), MATCH(K19,'能力値その他'!$C$1:$AD$1,0)-1)&lt;=13),"th",CHOOSE(MIN(5,RIGHT(INDEX('能力値その他'!$C$2:$AD$115, MATCH($A$1,'能力値その他'!$A$2:$A$115,0), MATCH(K19,'能力値その他'!$C$1:$AD$1,0)-1))+1),"th","st","nd","rd","th"))&amp;"]")</f>
        <v>0.102 [61st]</v>
      </c>
      <c r="M19" s="112" t="str">
        <f>'テンプレート'!M19</f>
        <v>小J高度</v>
      </c>
      <c r="N19" s="113" t="str">
        <f t="array" ref="N19">IF(INDEX('能力値その他'!$C$2:$AD$115, MATCH($A$1,'能力値その他'!$A$2:$A$115,0), MATCH(M19,'能力値その他'!$C$1:$AD$1,0))="-", "-", INDEX('能力値その他'!$C$2:$AD$115, MATCH($A$1,'能力値その他'!$A$2:$A$115,0), MATCH(M19,'能力値その他'!$C$1:$AD$1,0))&amp;" ["&amp;INDEX('能力値その他'!$C$2:$AD$115, MATCH($A$1,'能力値その他'!$A$2:$A$115,0), MATCH(M19,'能力値その他'!$C$1:$AD$1,0)-1)&amp;IF(AND(INDEX('能力値その他'!$C$2:$AD$115, MATCH($A$1,'能力値その他'!$A$2:$A$115,0), MATCH(M19,'能力値その他'!$C$1:$AD$1,0)-1)&gt;=11, INDEX('能力値その他'!$C$2:$AD$115, MATCH($A$1,'能力値その他'!$A$2:$A$115,0), MATCH(M19,'能力値その他'!$C$1:$AD$1,0)-1)&lt;=13),"th",CHOOSE(MIN(5,RIGHT(INDEX('能力値その他'!$C$2:$AD$115, MATCH($A$1,'能力値その他'!$A$2:$A$115,0), MATCH(M19,'能力値その他'!$C$1:$AD$1,0)-1))+1),"th","st","nd","rd","th"))&amp;"]")</f>
        <v>17.54 [16th]</v>
      </c>
      <c r="O19" s="99"/>
      <c r="P19" s="99"/>
      <c r="Q19" s="99"/>
      <c r="R19" s="99"/>
      <c r="S19" s="111"/>
      <c r="T19" s="111"/>
      <c r="U19" s="111"/>
      <c r="V19" s="111"/>
    </row>
    <row r="20" outlineLevel="1">
      <c r="A20" s="112" t="str">
        <f>'テンプレート'!A20</f>
        <v>カベ張りつき</v>
      </c>
      <c r="B20" s="113" t="b">
        <f t="array" ref="B20">INDEX('行動フレーム・能力値'!$C$2:$AD$81, MATCH($A$1,'行動フレーム・能力値'!$A$2:$A$95,0), MATCH(A20,'行動フレーム・能力値'!$C$1:$AD$1,0))</f>
        <v>0</v>
      </c>
      <c r="C20" s="116" t="str">
        <f>'テンプレート'!C20</f>
        <v>走行移行前F</v>
      </c>
      <c r="D20" s="113" t="str">
        <f t="array" ref="D20">IF(INDEX('行動フレーム・能力値'!$C$2:$AD$115, MATCH($A$1,'行動フレーム・能力値'!$A$2:$A$115,0), MATCH(C20,'行動フレーム・能力値'!$C$1:$AD$1,0))="-", "-", INDEX('行動フレーム・能力値'!$C$2:$AD$115, MATCH($A$1,'行動フレーム・能力値'!$A$2:$A$115,0), MATCH(C20,'行動フレーム・能力値'!$C$1:$AD$1,0))&amp;"F ["&amp;INDEX('行動フレーム・能力値'!$C$2:$AD$115, MATCH($A$1,'行動フレーム・能力値'!$A$2:$A$115,0), MATCH(C20,'行動フレーム・能力値'!$C$1:$AD$1,0)-1)&amp;IF(AND(INDEX('行動フレーム・能力値'!$C$2:$AD$115, MATCH($A$1,'行動フレーム・能力値'!$A$2:$A$115,0), MATCH(C20,'行動フレーム・能力値'!$C$1:$AD$1,0)-1)&gt;=11, INDEX('行動フレーム・能力値'!$C$2:$AD$115, MATCH($A$1,'行動フレーム・能力値'!$A$2:$A$115,0), MATCH(C20,'行動フレーム・能力値'!$C$1:$AD$1,0)-1)&lt;=13),"th",CHOOSE(MIN(5,RIGHT(INDEX('行動フレーム・能力値'!$C$2:$AD$115, MATCH($A$1,'行動フレーム・能力値'!$A$2:$A$115,0), MATCH(C20,'行動フレーム・能力値'!$C$1:$AD$1,0)-1))+1),"th","st","nd","rd","th"))&amp;"]")</f>
        <v>12F [62nd]</v>
      </c>
      <c r="E20" s="112" t="str">
        <f>'テンプレート'!E20</f>
        <v>空中速度</v>
      </c>
      <c r="F20" s="113" t="str">
        <f t="array" ref="F20">IF(INDEX('行動フレーム・能力値'!$C$2:$AD$115, MATCH($A$1,'行動フレーム・能力値'!$A$2:$A$115,0), MATCH(E20,'行動フレーム・能力値'!$C$1:$AD$1,0))="-", "-", INDEX('行動フレーム・能力値'!$C$2:$AD$115, MATCH($A$1,'行動フレーム・能力値'!$A$2:$A$115,0), MATCH(E20,'行動フレーム・能力値'!$C$1:$AD$1,0))&amp;" ["&amp;INDEX('行動フレーム・能力値'!$C$2:$AD$115, MATCH($A$1,'行動フレーム・能力値'!$A$2:$A$115,0), MATCH(E20,'行動フレーム・能力値'!$C$1:$AD$1,0)-1)&amp;IF(AND(INDEX('行動フレーム・能力値'!$C$2:$AD$115, MATCH($A$1,'行動フレーム・能力値'!$A$2:$A$115,0), MATCH(E20,'行動フレーム・能力値'!$C$1:$AD$1,0)-1)&gt;=11, INDEX('行動フレーム・能力値'!$C$2:$AD$115, MATCH($A$1,'行動フレーム・能力値'!$A$2:$A$115,0), MATCH(E20,'行動フレーム・能力値'!$C$1:$AD$1,0)-1)&lt;=13),"th",CHOOSE(MIN(5,RIGHT(INDEX('行動フレーム・能力値'!$C$2:$AD$115, MATCH($A$1,'行動フレーム・能力値'!$A$2:$A$115,0), MATCH(E20,'行動フレーム・能力値'!$C$1:$AD$1,0)-1))+1),"th","st","nd","rd","th"))&amp;"]")</f>
        <v>1.208 [13th]</v>
      </c>
      <c r="G20" s="112" t="str">
        <f>'テンプレート'!G20</f>
        <v>大J急降下滞空</v>
      </c>
      <c r="H20" s="113" t="str">
        <f t="array" ref="H20">IF(INDEX('行動フレーム・能力値'!$C$2:$AD$115, MATCH($A$1,'行動フレーム・能力値'!$A$2:$A$115,0), MATCH(G20,'行動フレーム・能力値'!$C$1:$AD$1,0))="-", "-", INDEX('行動フレーム・能力値'!$C$2:$AD$115, MATCH($A$1,'行動フレーム・能力値'!$A$2:$A$115,0), MATCH(G20,'行動フレーム・能力値'!$C$1:$AD$1,0))&amp;"F")</f>
        <v>36F</v>
      </c>
      <c r="I20" s="114"/>
      <c r="J20" s="101"/>
      <c r="K20" s="112" t="str">
        <f>'テンプレート'!K20</f>
        <v>空中加速</v>
      </c>
      <c r="L20" s="113" t="str">
        <f t="array" ref="L20">IF(INDEX('能力値その他'!$C$2:$AD$115, MATCH($A$1,'能力値その他'!$A$2:$A$115,0), MATCH(K20,'能力値その他'!$C$1:$AD$1,0))="-", "-", INDEX('能力値その他'!$C$2:$AD$115, MATCH($A$1,'能力値その他'!$A$2:$A$115,0), MATCH(K20,'能力値その他'!$C$1:$AD$1,0))&amp;" ["&amp;INDEX('能力値その他'!$C$2:$AD$115, MATCH($A$1,'能力値その他'!$A$2:$A$115,0), MATCH(K20,'能力値その他'!$C$1:$AD$1,0)-1)&amp;IF(AND(INDEX('能力値その他'!$C$2:$AD$115, MATCH($A$1,'能力値その他'!$A$2:$A$115,0), MATCH(K20,'能力値その他'!$C$1:$AD$1,0)-1)&gt;=11, INDEX('能力値その他'!$C$2:$AD$115, MATCH($A$1,'能力値その他'!$A$2:$A$115,0), MATCH(K20,'能力値その他'!$C$1:$AD$1,0)-1)&lt;=13),"th",CHOOSE(MIN(5,RIGHT(INDEX('能力値その他'!$C$2:$AD$115, MATCH($A$1,'能力値その他'!$A$2:$A$115,0), MATCH(K20,'能力値その他'!$C$1:$AD$1,0)-1))+1),"th","st","nd","rd","th"))&amp;"]")</f>
        <v>0.08 [31st]</v>
      </c>
      <c r="M20" s="112" t="str">
        <f>'テンプレート'!M20</f>
        <v>空中J高度</v>
      </c>
      <c r="N20" s="113" t="str">
        <f t="array" ref="N20">IF(INDEX('能力値その他'!$C$2:$AD$115, MATCH($A$1,'能力値その他'!$A$2:$A$115,0), MATCH(M20,'能力値その他'!$C$1:$AD$1,0))="-", "-", INDEX('能力値その他'!$C$2:$AD$115, MATCH($A$1,'能力値その他'!$A$2:$A$115,0), MATCH(M20,'能力値その他'!$C$1:$AD$1,0))&amp;" ["&amp;INDEX('能力値その他'!$C$2:$AD$115, MATCH($A$1,'能力値その他'!$A$2:$A$115,0), MATCH(M20,'能力値その他'!$C$1:$AD$1,0)-1)&amp;IF(AND(INDEX('能力値その他'!$C$2:$AD$115, MATCH($A$1,'能力値その他'!$A$2:$A$115,0), MATCH(M20,'能力値その他'!$C$1:$AD$1,0)-1)&gt;=11, INDEX('能力値その他'!$C$2:$AD$115, MATCH($A$1,'能力値その他'!$A$2:$A$115,0), MATCH(M20,'能力値その他'!$C$1:$AD$1,0)-1)&lt;=13),"th",CHOOSE(MIN(5,RIGHT(INDEX('能力値その他'!$C$2:$AD$115, MATCH($A$1,'能力値その他'!$A$2:$A$115,0), MATCH(M20,'能力値その他'!$C$1:$AD$1,0)-1))+1),"th","st","nd","rd","th"))&amp;"]")</f>
        <v>36.33 [22nd]</v>
      </c>
      <c r="O20" s="99"/>
      <c r="P20" s="99"/>
      <c r="Q20" s="99"/>
      <c r="R20" s="99"/>
      <c r="S20" s="100"/>
      <c r="T20" s="100"/>
      <c r="U20" s="100"/>
      <c r="V20" s="100"/>
    </row>
    <row r="21" outlineLevel="1">
      <c r="A21" s="112" t="str">
        <f>'テンプレート'!A21</f>
        <v>空中ワイヤー</v>
      </c>
      <c r="B21" s="113" t="b">
        <f t="array" ref="B21">INDEX('行動フレーム・能力値'!$C$2:$AD$81, MATCH($A$1,'行動フレーム・能力値'!$A$2:$A$95,0), MATCH(A21,'行動フレーム・能力値'!$C$1:$AD$1,0))</f>
        <v>0</v>
      </c>
      <c r="C21" s="116" t="str">
        <f>'テンプレート'!C21</f>
        <v>ステップ全体F</v>
      </c>
      <c r="D21" s="113" t="str">
        <f t="array" ref="D21">IF(INDEX('行動フレーム・能力値'!$C$2:$AD$115, MATCH($A$1,'行動フレーム・能力値'!$A$2:$A$115,0), MATCH(C21,'行動フレーム・能力値'!$C$1:$AD$1,0))="-", "-", INDEX('行動フレーム・能力値'!$C$2:$AD$115, MATCH($A$1,'行動フレーム・能力値'!$A$2:$A$115,0), MATCH(C21,'行動フレーム・能力値'!$C$1:$AD$1,0))&amp;"F ["&amp;INDEX('行動フレーム・能力値'!$C$2:$AD$115, MATCH($A$1,'行動フレーム・能力値'!$A$2:$A$115,0), MATCH(C21,'行動フレーム・能力値'!$C$1:$AD$1,0)-1)&amp;IF(AND(INDEX('行動フレーム・能力値'!$C$2:$AD$115, MATCH($A$1,'行動フレーム・能力値'!$A$2:$A$115,0), MATCH(C21,'行動フレーム・能力値'!$C$1:$AD$1,0)-1)&gt;=11, INDEX('行動フレーム・能力値'!$C$2:$AD$115, MATCH($A$1,'行動フレーム・能力値'!$A$2:$A$115,0), MATCH(C21,'行動フレーム・能力値'!$C$1:$AD$1,0)-1)&lt;=13),"th",CHOOSE(MIN(5,RIGHT(INDEX('行動フレーム・能力値'!$C$2:$AD$115, MATCH($A$1,'行動フレーム・能力値'!$A$2:$A$115,0), MATCH(C21,'行動フレーム・能力値'!$C$1:$AD$1,0)-1))+1),"th","st","nd","rd","th"))&amp;"]")</f>
        <v>19F [13th]</v>
      </c>
      <c r="E21" s="112" t="str">
        <f>'テンプレート'!E21</f>
        <v>落下速度</v>
      </c>
      <c r="F21" s="113" t="str">
        <f t="array" ref="F21">IF(INDEX('行動フレーム・能力値'!$C$2:$AD$115, MATCH($A$1,'行動フレーム・能力値'!$A$2:$A$115,0), MATCH(E21,'行動フレーム・能力値'!$C$1:$AD$1,0))="-", "-", INDEX('行動フレーム・能力値'!$C$2:$AD$115, MATCH($A$1,'行動フレーム・能力値'!$A$2:$A$115,0), MATCH(E21,'行動フレーム・能力値'!$C$1:$AD$1,0))&amp;" ["&amp;INDEX('行動フレーム・能力値'!$C$2:$AD$115, MATCH($A$1,'行動フレーム・能力値'!$A$2:$A$115,0), MATCH(E21,'行動フレーム・能力値'!$C$1:$AD$1,0)-1)&amp;IF(AND(INDEX('行動フレーム・能力値'!$C$2:$AD$115, MATCH($A$1,'行動フレーム・能力値'!$A$2:$A$115,0), MATCH(E21,'行動フレーム・能力値'!$C$1:$AD$1,0)-1)&gt;=11, INDEX('行動フレーム・能力値'!$C$2:$AD$115, MATCH($A$1,'行動フレーム・能力値'!$A$2:$A$115,0), MATCH(E21,'行動フレーム・能力値'!$C$1:$AD$1,0)-1)&lt;=13),"th",CHOOSE(MIN(5,RIGHT(INDEX('行動フレーム・能力値'!$C$2:$AD$115, MATCH($A$1,'行動フレーム・能力値'!$A$2:$A$115,0), MATCH(E21,'行動フレーム・能力値'!$C$1:$AD$1,0)-1))+1),"th","st","nd","rd","th"))&amp;"]")</f>
        <v>1.58 [48th]</v>
      </c>
      <c r="G21" s="101"/>
      <c r="H21" s="101"/>
      <c r="I21" s="114"/>
      <c r="J21" s="101"/>
      <c r="K21" s="112" t="str">
        <f>'テンプレート'!K21</f>
        <v>空中抵抗</v>
      </c>
      <c r="L21" s="113" t="str">
        <f t="array" ref="L21">IF(INDEX('能力値その他'!$C$2:$AD$115, MATCH($A$1,'能力値その他'!$A$2:$A$115,0), MATCH(K21,'能力値その他'!$C$1:$AD$1,0))="-", "-", INDEX('能力値その他'!$C$2:$AD$115, MATCH($A$1,'能力値その他'!$A$2:$A$115,0), MATCH(K21,'能力値その他'!$C$1:$AD$1,0))&amp;" ["&amp;INDEX('能力値その他'!$C$2:$AD$115, MATCH($A$1,'能力値その他'!$A$2:$A$115,0), MATCH(K21,'能力値その他'!$C$1:$AD$1,0)-1)&amp;IF(AND(INDEX('能力値その他'!$C$2:$AD$115, MATCH($A$1,'能力値その他'!$A$2:$A$115,0), MATCH(K21,'能力値その他'!$C$1:$AD$1,0)-1)&gt;=11, INDEX('能力値その他'!$C$2:$AD$115, MATCH($A$1,'能力値その他'!$A$2:$A$115,0), MATCH(K21,'能力値その他'!$C$1:$AD$1,0)-1)&lt;=13),"th",CHOOSE(MIN(5,RIGHT(INDEX('能力値その他'!$C$2:$AD$115, MATCH($A$1,'能力値その他'!$A$2:$A$115,0), MATCH(K21,'能力値その他'!$C$1:$AD$1,0)-1))+1),"th","st","nd","rd","th"))&amp;"]")</f>
        <v>0.015 [9th]</v>
      </c>
      <c r="M21" s="100"/>
      <c r="N21" s="117"/>
      <c r="O21" s="99"/>
      <c r="P21" s="99"/>
      <c r="Q21" s="99"/>
      <c r="R21" s="99"/>
      <c r="S21" s="100"/>
      <c r="T21" s="100"/>
      <c r="U21" s="100"/>
      <c r="V21" s="100"/>
    </row>
    <row r="22" outlineLevel="1">
      <c r="A22" s="101"/>
      <c r="B22" s="101"/>
      <c r="C22" s="101"/>
      <c r="D22" s="101"/>
      <c r="E22" s="112" t="str">
        <f>'テンプレート'!E22</f>
        <v>急降下速度</v>
      </c>
      <c r="F22" s="113" t="str">
        <f t="array" ref="F22">IF(INDEX('行動フレーム・能力値'!$C$2:$AD$115, MATCH($A$1,'行動フレーム・能力値'!$A$2:$A$115,0), MATCH(E22,'行動フレーム・能力値'!$C$1:$AD$1,0))="-", "-", INDEX('行動フレーム・能力値'!$C$2:$AD$115, MATCH($A$1,'行動フレーム・能力値'!$A$2:$A$115,0), MATCH(E22,'行動フレーム・能力値'!$C$1:$AD$1,0))&amp;" ["&amp;INDEX('行動フレーム・能力値'!$C$2:$AD$115, MATCH($A$1,'行動フレーム・能力値'!$A$2:$A$115,0), MATCH(E22,'行動フレーム・能力値'!$C$1:$AD$1,0)-1)&amp;IF(AND(INDEX('行動フレーム・能力値'!$C$2:$AD$115, MATCH($A$1,'行動フレーム・能力値'!$A$2:$A$115,0), MATCH(E22,'行動フレーム・能力値'!$C$1:$AD$1,0)-1)&gt;=11, INDEX('行動フレーム・能力値'!$C$2:$AD$115, MATCH($A$1,'行動フレーム・能力値'!$A$2:$A$115,0), MATCH(E22,'行動フレーム・能力値'!$C$1:$AD$1,0)-1)&lt;=13),"th",CHOOSE(MIN(5,RIGHT(INDEX('行動フレーム・能力値'!$C$2:$AD$115, MATCH($A$1,'行動フレーム・能力値'!$A$2:$A$115,0), MATCH(E22,'行動フレーム・能力値'!$C$1:$AD$1,0)-1))+1),"th","st","nd","rd","th"))&amp;"]")</f>
        <v>2.528 [45th]</v>
      </c>
      <c r="G22" s="98"/>
      <c r="H22" s="98"/>
      <c r="I22" s="114"/>
      <c r="J22" s="101"/>
      <c r="K22" s="112" t="str">
        <f>'テンプレート'!K22</f>
        <v>重力</v>
      </c>
      <c r="L22" s="113" t="str">
        <f t="array" ref="L22">IF(INDEX('能力値その他'!$C$2:$AD$115, MATCH($A$1,'能力値その他'!$A$2:$A$115,0), MATCH(K22,'能力値その他'!$C$1:$AD$1,0))="-", "-", INDEX('能力値その他'!$C$2:$AD$115, MATCH($A$1,'能力値その他'!$A$2:$A$115,0), MATCH(K22,'能力値その他'!$C$1:$AD$1,0))&amp;" ["&amp;INDEX('能力値その他'!$C$2:$AD$115, MATCH($A$1,'能力値その他'!$A$2:$A$115,0), MATCH(K22,'能力値その他'!$C$1:$AD$1,0)-1)&amp;IF(AND(INDEX('能力値その他'!$C$2:$AD$115, MATCH($A$1,'能力値その他'!$A$2:$A$115,0), MATCH(K22,'能力値その他'!$C$1:$AD$1,0)-1)&gt;=11, INDEX('能力値その他'!$C$2:$AD$115, MATCH($A$1,'能力値その他'!$A$2:$A$115,0), MATCH(K22,'能力値その他'!$C$1:$AD$1,0)-1)&lt;=13),"th",CHOOSE(MIN(5,RIGHT(INDEX('能力値その他'!$C$2:$AD$115, MATCH($A$1,'能力値その他'!$A$2:$A$115,0), MATCH(K22,'能力値その他'!$C$1:$AD$1,0)-1))+1),"th","st","nd","rd","th"))&amp;"]")</f>
        <v>0.087 [54th]</v>
      </c>
      <c r="M22" s="100"/>
      <c r="N22" s="117"/>
      <c r="O22" s="99"/>
      <c r="P22" s="99"/>
      <c r="Q22" s="99"/>
      <c r="R22" s="99"/>
      <c r="S22" s="100"/>
      <c r="T22" s="100"/>
      <c r="U22" s="100"/>
      <c r="V22" s="100"/>
    </row>
    <row r="23">
      <c r="A23" s="101"/>
      <c r="B23" s="101"/>
      <c r="C23" s="101"/>
      <c r="D23" s="101"/>
      <c r="E23" s="101"/>
      <c r="F23" s="101"/>
      <c r="G23" s="98"/>
      <c r="H23" s="98"/>
      <c r="I23" s="114"/>
      <c r="J23" s="101"/>
      <c r="K23" s="118"/>
      <c r="L23" s="114"/>
      <c r="M23" s="100"/>
      <c r="N23" s="117"/>
      <c r="O23" s="99"/>
      <c r="P23" s="99"/>
      <c r="Q23" s="99"/>
      <c r="R23" s="99"/>
      <c r="S23" s="100"/>
      <c r="T23" s="100"/>
      <c r="U23" s="100"/>
      <c r="V23" s="100"/>
    </row>
    <row r="24">
      <c r="A24" s="119" t="str">
        <f>'テンプレート'!A24</f>
        <v>地上攻撃</v>
      </c>
      <c r="B24" s="104"/>
      <c r="C24" s="120"/>
      <c r="D24" s="121"/>
      <c r="E24" s="121"/>
      <c r="F24" s="122"/>
      <c r="G24" s="123"/>
      <c r="H24" s="121"/>
      <c r="I24" s="121"/>
      <c r="J24" s="121"/>
      <c r="K24" s="121"/>
      <c r="L24" s="124"/>
      <c r="M24" s="124"/>
      <c r="N24" s="125"/>
      <c r="O24" s="125"/>
      <c r="P24" s="125"/>
      <c r="Q24" s="126"/>
      <c r="R24" s="124"/>
      <c r="S24" s="124"/>
      <c r="T24" s="124"/>
      <c r="U24" s="124"/>
      <c r="V24" s="124"/>
    </row>
    <row r="25" outlineLevel="1">
      <c r="A25" s="106"/>
      <c r="B25" s="107"/>
      <c r="C25" s="127" t="str">
        <f>'テンプレート'!C25</f>
        <v>判定持続</v>
      </c>
      <c r="D25" s="128" t="str">
        <f>'テンプレート'!D25</f>
        <v>全体フレーム</v>
      </c>
      <c r="E25" s="128" t="str">
        <f>'テンプレート'!E25</f>
        <v>基礎ダメージ</v>
      </c>
      <c r="F25" s="129" t="str">
        <f>'テンプレート'!F25</f>
        <v>ダメージ (1v1)</v>
      </c>
      <c r="G25" s="128" t="str">
        <f>'テンプレート'!G25</f>
        <v>ガード硬直</v>
      </c>
      <c r="H25" s="130" t="str">
        <f>'テンプレート'!H25</f>
        <v>備考</v>
      </c>
      <c r="I25" s="110"/>
      <c r="J25" s="109"/>
      <c r="K25" s="131" t="str">
        <f>'テンプレート'!K25</f>
        <v>ベクトル</v>
      </c>
      <c r="L25" s="131" t="str">
        <f>'テンプレート'!L25</f>
        <v>KBG (R.E.)</v>
      </c>
      <c r="M25" s="131" t="str">
        <f>'テンプレート'!M25</f>
        <v>BKB (R.A.)</v>
      </c>
      <c r="N25" s="131" t="str">
        <f>'テンプレート'!N25</f>
        <v>FKB (R.F.)</v>
      </c>
      <c r="O25" s="132" t="str">
        <f>'テンプレート'!O25</f>
        <v>盾削り値</v>
      </c>
      <c r="P25" s="131" t="str">
        <f>'テンプレート'!P25</f>
        <v>ﾋｯﾄｽﾄｯﾌﾟ</v>
      </c>
      <c r="Q25" s="132" t="str">
        <f>'テンプレート'!Q25</f>
        <v>ずらし</v>
      </c>
      <c r="R25" s="100"/>
      <c r="S25" s="100"/>
      <c r="T25" s="100"/>
      <c r="U25" s="100"/>
      <c r="V25" s="100"/>
    </row>
    <row r="26" outlineLevel="1">
      <c r="A26" s="133" t="str">
        <f>'テンプレート'!A26</f>
        <v>弱攻撃</v>
      </c>
      <c r="B26" s="134" t="s">
        <v>55</v>
      </c>
      <c r="C26" s="701"/>
      <c r="D26" s="701"/>
      <c r="E26" s="139"/>
      <c r="F26" s="138">
        <f t="shared" ref="F26:F28" si="1">IFERROR(IFS(E26="-","-",LEN(E26)-LEN(SUBSTITUTE(E26,"/",""))=0,MULTIPLY(E26,1.2),LEN(E26)-LEN(SUBSTITUTE(E26,"/",""))=1,MULTIPLY(LEFT(E26,FIND("/",E26)-1),1.2)&amp;"/"&amp;MULTIPLY(MID(E26,FIND("/",E26)+1,10),1.2),LEN(E26)-LEN(SUBSTITUTE(E26,"/",""))=2,MULTIPLY(LEFT(E26,FIND("!",SUBSTITUTE(E26,"/","!",1))-1),1.2)&amp;"/"&amp;MULTIPLY(MID(E26,FIND("!",SUBSTITUTE(E26,"/","!",1))+1,FIND("!",SUBSTITUTE(E26,"/","!",2))-FIND("!",SUBSTITUTE(E26,"/","!",1))-1),1.2)&amp;"/"&amp;MULTIPLY(RIGHT(E26,LEN(E26)-FIND("!",SUBSTITUTE(E26,"/","!",2))),1.2),LEN(E26)-LEN(SUBSTITUTE(E26,"/",""))=3,MULTIPLY(LEFT(E26,FIND("!",SUBSTITUTE(E26,"/","!",1))-1),1.2)&amp;"/"&amp;MULTIPLY(MID(E26,FIND("!",SUBSTITUTE(E26,"/","!",1))+1,FIND("!",SUBSTITUTE(E26,"/","!",2))-FIND("!",SUBSTITUTE(E26,"/","!",1))-1),1.2)&amp;"/"&amp;MULTIPLY(MID(E26,FIND("!",SUBSTITUTE(E26,"/","!",2))+1,FIND("!",SUBSTITUTE(E26,"/","!",3))-FIND("!",SUBSTITUTE(E26,"/","!",2))-1),1.2)&amp;"/"&amp;MULTIPLY(RIGHT(E26,LEN(E26)-FIND("!",SUBSTITUTE(E26,"/","!",3))),1.2),LEN(E26)-LEN(SUBSTITUTE(E26,"/",""))=4,MULTIPLY(LEFT(E26,FIND("!",SUBSTITUTE(E26,"/","!",1))-1),1.2)&amp;"/"&amp;MULTIPLY(MID(E26,FIND("!",SUBSTITUTE(E26,"/","!",1))+1,FIND("!",SUBSTITUTE(E26,"/","!",2))-FIND("!",SUBSTITUTE(E26,"/","!",1))-1),1.2)&amp;"/"&amp;MULTIPLY(MID(E26,FIND("!",SUBSTITUTE(E26,"/","!",2))+1,FIND("!",SUBSTITUTE(E26,"/","!",3))-FIND("!",SUBSTITUTE(E26,"/","!",2))-1),1.2)&amp;"/"&amp;MULTIPLY(MID(E26,FIND("!",SUBSTITUTE(E26,"/","!",3))+1,FIND("!",SUBSTITUTE(E26,"/","!",4))-FIND("!",SUBSTITUTE(E26,"/","!",3))-1),1.2)&amp;"/"&amp;MULTIPLY(RIGHT(E26,LEN(E26)-FIND("!",SUBSTITUTE(E26,"/","!",4))),1.2)),"")</f>
        <v>0</v>
      </c>
      <c r="G26" s="139"/>
      <c r="H26" s="151" t="s">
        <v>7426</v>
      </c>
      <c r="I26" s="110"/>
      <c r="J26" s="109"/>
      <c r="K26" s="138"/>
      <c r="L26" s="282"/>
      <c r="M26" s="363"/>
      <c r="N26" s="363"/>
      <c r="O26" s="145">
        <v>0.0</v>
      </c>
      <c r="P26" s="145">
        <v>1.0</v>
      </c>
      <c r="Q26" s="145">
        <v>1.0</v>
      </c>
      <c r="R26" s="100"/>
      <c r="S26" s="100"/>
      <c r="T26" s="100"/>
      <c r="U26" s="100"/>
      <c r="V26" s="100"/>
    </row>
    <row r="27" outlineLevel="1">
      <c r="A27" s="146"/>
      <c r="B27" s="147" t="s">
        <v>63</v>
      </c>
      <c r="C27" s="774"/>
      <c r="D27" s="774"/>
      <c r="E27" s="216"/>
      <c r="F27" s="138">
        <f t="shared" si="1"/>
        <v>0</v>
      </c>
      <c r="G27" s="216"/>
      <c r="H27" s="151" t="s">
        <v>7427</v>
      </c>
      <c r="I27" s="110"/>
      <c r="J27" s="109"/>
      <c r="K27" s="282"/>
      <c r="L27" s="282"/>
      <c r="M27" s="363"/>
      <c r="N27" s="363"/>
      <c r="O27" s="145">
        <v>0.0</v>
      </c>
      <c r="P27" s="145">
        <v>1.0</v>
      </c>
      <c r="Q27" s="145">
        <v>1.0</v>
      </c>
      <c r="R27" s="100"/>
      <c r="S27" s="100"/>
      <c r="T27" s="100"/>
      <c r="U27" s="100"/>
      <c r="V27" s="100"/>
    </row>
    <row r="28" outlineLevel="1">
      <c r="A28" s="146"/>
      <c r="B28" s="147" t="s">
        <v>70</v>
      </c>
      <c r="C28" s="774"/>
      <c r="D28" s="774"/>
      <c r="E28" s="216"/>
      <c r="F28" s="138">
        <f t="shared" si="1"/>
        <v>0</v>
      </c>
      <c r="G28" s="216"/>
      <c r="H28" s="151"/>
      <c r="I28" s="110"/>
      <c r="J28" s="109"/>
      <c r="K28" s="282"/>
      <c r="L28" s="282"/>
      <c r="M28" s="363"/>
      <c r="N28" s="363"/>
      <c r="O28" s="145">
        <v>0.0</v>
      </c>
      <c r="P28" s="145">
        <v>1.0</v>
      </c>
      <c r="Q28" s="145">
        <v>1.0</v>
      </c>
      <c r="R28" s="100"/>
      <c r="S28" s="100"/>
      <c r="T28" s="100"/>
      <c r="U28" s="100"/>
      <c r="V28" s="100"/>
    </row>
    <row r="29" outlineLevel="1">
      <c r="A29" s="146"/>
      <c r="B29" s="147" t="s">
        <v>703</v>
      </c>
      <c r="C29" s="659"/>
      <c r="D29" s="774"/>
      <c r="E29" s="659"/>
      <c r="F29" s="658"/>
      <c r="G29" s="659"/>
      <c r="H29" s="151"/>
      <c r="I29" s="110"/>
      <c r="J29" s="109"/>
      <c r="K29" s="261"/>
      <c r="L29" s="261"/>
      <c r="M29" s="261"/>
      <c r="N29" s="261"/>
      <c r="O29" s="261"/>
      <c r="P29" s="261"/>
      <c r="Q29" s="261"/>
      <c r="R29" s="100"/>
      <c r="S29" s="100"/>
      <c r="T29" s="100"/>
      <c r="U29" s="100"/>
      <c r="V29" s="100"/>
    </row>
    <row r="30" outlineLevel="1">
      <c r="A30" s="146"/>
      <c r="B30" s="147" t="s">
        <v>704</v>
      </c>
      <c r="C30" s="774"/>
      <c r="D30" s="774"/>
      <c r="E30" s="774"/>
      <c r="F30" s="138">
        <f t="shared" ref="F30:F53" si="2">IFERROR(IFS(E30="-","-",LEN(E30)-LEN(SUBSTITUTE(E30,"/",""))=0,MULTIPLY(E30,1.2),LEN(E30)-LEN(SUBSTITUTE(E30,"/",""))=1,MULTIPLY(LEFT(E30,FIND("/",E30)-1),1.2)&amp;"/"&amp;MULTIPLY(MID(E30,FIND("/",E30)+1,10),1.2),LEN(E30)-LEN(SUBSTITUTE(E30,"/",""))=2,MULTIPLY(LEFT(E30,FIND("!",SUBSTITUTE(E30,"/","!",1))-1),1.2)&amp;"/"&amp;MULTIPLY(MID(E30,FIND("!",SUBSTITUTE(E30,"/","!",1))+1,FIND("!",SUBSTITUTE(E30,"/","!",2))-FIND("!",SUBSTITUTE(E30,"/","!",1))-1),1.2)&amp;"/"&amp;MULTIPLY(RIGHT(E30,LEN(E30)-FIND("!",SUBSTITUTE(E30,"/","!",2))),1.2),LEN(E30)-LEN(SUBSTITUTE(E30,"/",""))=3,MULTIPLY(LEFT(E30,FIND("!",SUBSTITUTE(E30,"/","!",1))-1),1.2)&amp;"/"&amp;MULTIPLY(MID(E30,FIND("!",SUBSTITUTE(E30,"/","!",1))+1,FIND("!",SUBSTITUTE(E30,"/","!",2))-FIND("!",SUBSTITUTE(E30,"/","!",1))-1),1.2)&amp;"/"&amp;MULTIPLY(MID(E30,FIND("!",SUBSTITUTE(E30,"/","!",2))+1,FIND("!",SUBSTITUTE(E30,"/","!",3))-FIND("!",SUBSTITUTE(E30,"/","!",2))-1),1.2)&amp;"/"&amp;MULTIPLY(RIGHT(E30,LEN(E30)-FIND("!",SUBSTITUTE(E30,"/","!",3))),1.2),LEN(E30)-LEN(SUBSTITUTE(E30,"/",""))=4,MULTIPLY(LEFT(E30,FIND("!",SUBSTITUTE(E30,"/","!",1))-1),1.2)&amp;"/"&amp;MULTIPLY(MID(E30,FIND("!",SUBSTITUTE(E30,"/","!",1))+1,FIND("!",SUBSTITUTE(E30,"/","!",2))-FIND("!",SUBSTITUTE(E30,"/","!",1))-1),1.2)&amp;"/"&amp;MULTIPLY(MID(E30,FIND("!",SUBSTITUTE(E30,"/","!",2))+1,FIND("!",SUBSTITUTE(E30,"/","!",3))-FIND("!",SUBSTITUTE(E30,"/","!",2))-1),1.2)&amp;"/"&amp;MULTIPLY(MID(E30,FIND("!",SUBSTITUTE(E30,"/","!",3))+1,FIND("!",SUBSTITUTE(E30,"/","!",4))-FIND("!",SUBSTITUTE(E30,"/","!",3))-1),1.2)&amp;"/"&amp;MULTIPLY(RIGHT(E30,LEN(E30)-FIND("!",SUBSTITUTE(E30,"/","!",4))),1.2)),"")</f>
        <v>0</v>
      </c>
      <c r="G30" s="774"/>
      <c r="H30" s="151"/>
      <c r="I30" s="110"/>
      <c r="J30" s="109"/>
      <c r="K30" s="282"/>
      <c r="L30" s="282"/>
      <c r="M30" s="363"/>
      <c r="N30" s="363"/>
      <c r="O30" s="145">
        <v>0.0</v>
      </c>
      <c r="P30" s="145">
        <v>1.0</v>
      </c>
      <c r="Q30" s="145">
        <v>1.0</v>
      </c>
      <c r="R30" s="100"/>
      <c r="S30" s="100"/>
      <c r="T30" s="100"/>
      <c r="U30" s="100"/>
      <c r="V30" s="100"/>
    </row>
    <row r="31" outlineLevel="1">
      <c r="A31" s="156"/>
      <c r="B31" s="147" t="s">
        <v>708</v>
      </c>
      <c r="C31" s="774"/>
      <c r="D31" s="774"/>
      <c r="E31" s="774"/>
      <c r="F31" s="138">
        <f t="shared" si="2"/>
        <v>0</v>
      </c>
      <c r="G31" s="774"/>
      <c r="H31" s="151"/>
      <c r="I31" s="110"/>
      <c r="J31" s="109"/>
      <c r="K31" s="282"/>
      <c r="L31" s="282"/>
      <c r="M31" s="363"/>
      <c r="N31" s="363"/>
      <c r="O31" s="145">
        <v>0.0</v>
      </c>
      <c r="P31" s="145">
        <v>1.0</v>
      </c>
      <c r="Q31" s="145">
        <v>1.0</v>
      </c>
      <c r="R31" s="100"/>
      <c r="S31" s="100"/>
      <c r="T31" s="100"/>
      <c r="U31" s="100"/>
      <c r="V31" s="100"/>
    </row>
    <row r="32" outlineLevel="1">
      <c r="A32" s="133" t="s">
        <v>77</v>
      </c>
      <c r="B32" s="160"/>
      <c r="C32" s="774"/>
      <c r="D32" s="452"/>
      <c r="E32" s="774"/>
      <c r="F32" s="138">
        <f t="shared" si="2"/>
        <v>0</v>
      </c>
      <c r="G32" s="774"/>
      <c r="H32" s="163"/>
      <c r="I32" s="164"/>
      <c r="J32" s="104"/>
      <c r="K32" s="138"/>
      <c r="L32" s="282"/>
      <c r="M32" s="363"/>
      <c r="N32" s="363"/>
      <c r="O32" s="145">
        <v>0.0</v>
      </c>
      <c r="P32" s="145">
        <v>1.0</v>
      </c>
      <c r="Q32" s="145">
        <v>1.0</v>
      </c>
      <c r="R32" s="100"/>
      <c r="S32" s="100"/>
      <c r="T32" s="100"/>
      <c r="U32" s="100"/>
      <c r="V32" s="100"/>
    </row>
    <row r="33" outlineLevel="1">
      <c r="A33" s="156"/>
      <c r="B33" s="147" t="s">
        <v>84</v>
      </c>
      <c r="C33" s="774"/>
      <c r="D33" s="107"/>
      <c r="E33" s="774"/>
      <c r="F33" s="138">
        <f t="shared" si="2"/>
        <v>0</v>
      </c>
      <c r="G33" s="774"/>
      <c r="H33" s="106"/>
      <c r="I33" s="168"/>
      <c r="J33" s="107"/>
      <c r="K33" s="282"/>
      <c r="L33" s="282"/>
      <c r="M33" s="363"/>
      <c r="N33" s="363"/>
      <c r="O33" s="145">
        <v>0.0</v>
      </c>
      <c r="P33" s="145">
        <v>1.0</v>
      </c>
      <c r="Q33" s="145">
        <v>1.0</v>
      </c>
      <c r="R33" s="100"/>
      <c r="S33" s="100"/>
      <c r="T33" s="100"/>
      <c r="U33" s="100"/>
      <c r="V33" s="100"/>
    </row>
    <row r="34" outlineLevel="1">
      <c r="A34" s="133" t="s">
        <v>89</v>
      </c>
      <c r="B34" s="147"/>
      <c r="C34" s="774"/>
      <c r="D34" s="452"/>
      <c r="E34" s="774"/>
      <c r="F34" s="138">
        <f t="shared" si="2"/>
        <v>0</v>
      </c>
      <c r="G34" s="774"/>
      <c r="H34" s="163"/>
      <c r="I34" s="164"/>
      <c r="J34" s="104"/>
      <c r="K34" s="138"/>
      <c r="L34" s="282"/>
      <c r="M34" s="363"/>
      <c r="N34" s="363"/>
      <c r="O34" s="145">
        <v>0.0</v>
      </c>
      <c r="P34" s="145">
        <v>1.0</v>
      </c>
      <c r="Q34" s="145">
        <v>1.0</v>
      </c>
      <c r="R34" s="100"/>
      <c r="S34" s="100"/>
      <c r="T34" s="100"/>
      <c r="U34" s="100"/>
      <c r="V34" s="100"/>
    </row>
    <row r="35" outlineLevel="1">
      <c r="A35" s="146"/>
      <c r="B35" s="147" t="s">
        <v>84</v>
      </c>
      <c r="C35" s="774"/>
      <c r="D35" s="107"/>
      <c r="E35" s="774"/>
      <c r="F35" s="138">
        <f t="shared" si="2"/>
        <v>0</v>
      </c>
      <c r="G35" s="774"/>
      <c r="H35" s="212"/>
      <c r="J35" s="210"/>
      <c r="K35" s="138"/>
      <c r="L35" s="282"/>
      <c r="M35" s="363"/>
      <c r="N35" s="363"/>
      <c r="O35" s="145">
        <v>0.0</v>
      </c>
      <c r="P35" s="145">
        <v>1.0</v>
      </c>
      <c r="Q35" s="145">
        <v>1.0</v>
      </c>
      <c r="R35" s="100"/>
      <c r="S35" s="100"/>
      <c r="T35" s="100"/>
      <c r="U35" s="100"/>
      <c r="V35" s="100"/>
    </row>
    <row r="36" outlineLevel="1">
      <c r="A36" s="146"/>
      <c r="B36" s="147" t="s">
        <v>276</v>
      </c>
      <c r="C36" s="774"/>
      <c r="D36" s="452"/>
      <c r="E36" s="774"/>
      <c r="F36" s="138">
        <f t="shared" si="2"/>
        <v>0</v>
      </c>
      <c r="G36" s="774"/>
      <c r="H36" s="212"/>
      <c r="J36" s="210"/>
      <c r="K36" s="138"/>
      <c r="L36" s="282"/>
      <c r="M36" s="363"/>
      <c r="N36" s="363"/>
      <c r="O36" s="145">
        <v>0.0</v>
      </c>
      <c r="P36" s="145">
        <v>1.0</v>
      </c>
      <c r="Q36" s="145">
        <v>1.0</v>
      </c>
      <c r="R36" s="100"/>
      <c r="S36" s="100"/>
      <c r="T36" s="100"/>
      <c r="U36" s="100"/>
      <c r="V36" s="100"/>
    </row>
    <row r="37" outlineLevel="1">
      <c r="A37" s="146"/>
      <c r="B37" s="147" t="s">
        <v>7428</v>
      </c>
      <c r="C37" s="774"/>
      <c r="D37" s="107"/>
      <c r="E37" s="774"/>
      <c r="F37" s="138">
        <f t="shared" si="2"/>
        <v>0</v>
      </c>
      <c r="G37" s="774"/>
      <c r="H37" s="212"/>
      <c r="J37" s="210"/>
      <c r="K37" s="282"/>
      <c r="L37" s="282"/>
      <c r="M37" s="363"/>
      <c r="N37" s="363"/>
      <c r="O37" s="145">
        <v>0.0</v>
      </c>
      <c r="P37" s="145">
        <v>1.0</v>
      </c>
      <c r="Q37" s="145">
        <v>1.0</v>
      </c>
      <c r="R37" s="100"/>
      <c r="S37" s="100"/>
      <c r="T37" s="100"/>
      <c r="U37" s="100"/>
      <c r="V37" s="100"/>
    </row>
    <row r="38" outlineLevel="1">
      <c r="A38" s="146"/>
      <c r="B38" s="147" t="s">
        <v>280</v>
      </c>
      <c r="C38" s="774"/>
      <c r="D38" s="452"/>
      <c r="E38" s="774"/>
      <c r="F38" s="138">
        <f t="shared" si="2"/>
        <v>0</v>
      </c>
      <c r="G38" s="774"/>
      <c r="H38" s="212"/>
      <c r="J38" s="210"/>
      <c r="K38" s="282"/>
      <c r="L38" s="282"/>
      <c r="M38" s="363"/>
      <c r="N38" s="363"/>
      <c r="O38" s="145">
        <v>0.0</v>
      </c>
      <c r="P38" s="145">
        <v>1.0</v>
      </c>
      <c r="Q38" s="145">
        <v>1.0</v>
      </c>
      <c r="R38" s="100"/>
      <c r="S38" s="100"/>
      <c r="T38" s="100"/>
      <c r="U38" s="100"/>
      <c r="V38" s="100"/>
    </row>
    <row r="39" outlineLevel="1">
      <c r="A39" s="156"/>
      <c r="B39" s="147" t="s">
        <v>7429</v>
      </c>
      <c r="C39" s="774"/>
      <c r="D39" s="107"/>
      <c r="E39" s="774"/>
      <c r="F39" s="138">
        <f t="shared" si="2"/>
        <v>0</v>
      </c>
      <c r="G39" s="774"/>
      <c r="H39" s="106"/>
      <c r="I39" s="168"/>
      <c r="J39" s="107"/>
      <c r="K39" s="282"/>
      <c r="L39" s="282"/>
      <c r="M39" s="363"/>
      <c r="N39" s="363"/>
      <c r="O39" s="145">
        <v>0.0</v>
      </c>
      <c r="P39" s="145">
        <v>1.0</v>
      </c>
      <c r="Q39" s="145">
        <v>1.0</v>
      </c>
      <c r="R39" s="100"/>
      <c r="S39" s="100"/>
      <c r="T39" s="100"/>
      <c r="U39" s="100"/>
      <c r="V39" s="100"/>
    </row>
    <row r="40" outlineLevel="1">
      <c r="A40" s="133" t="s">
        <v>97</v>
      </c>
      <c r="B40" s="160"/>
      <c r="C40" s="774"/>
      <c r="D40" s="452"/>
      <c r="E40" s="774"/>
      <c r="F40" s="138">
        <f t="shared" si="2"/>
        <v>0</v>
      </c>
      <c r="G40" s="774"/>
      <c r="H40" s="163"/>
      <c r="I40" s="164"/>
      <c r="J40" s="104"/>
      <c r="K40" s="282"/>
      <c r="L40" s="282"/>
      <c r="M40" s="363"/>
      <c r="N40" s="363"/>
      <c r="O40" s="145">
        <v>0.0</v>
      </c>
      <c r="P40" s="145">
        <v>1.0</v>
      </c>
      <c r="Q40" s="145">
        <v>1.0</v>
      </c>
      <c r="R40" s="100"/>
      <c r="S40" s="100"/>
      <c r="T40" s="100"/>
      <c r="U40" s="100"/>
      <c r="V40" s="100"/>
    </row>
    <row r="41" outlineLevel="1">
      <c r="A41" s="156"/>
      <c r="B41" s="147" t="s">
        <v>84</v>
      </c>
      <c r="C41" s="774"/>
      <c r="D41" s="107"/>
      <c r="E41" s="774"/>
      <c r="F41" s="138">
        <f t="shared" si="2"/>
        <v>0</v>
      </c>
      <c r="G41" s="774"/>
      <c r="H41" s="106"/>
      <c r="I41" s="168"/>
      <c r="J41" s="107"/>
      <c r="K41" s="145"/>
      <c r="L41" s="363"/>
      <c r="M41" s="363"/>
      <c r="N41" s="363"/>
      <c r="O41" s="145">
        <v>0.0</v>
      </c>
      <c r="P41" s="145">
        <v>1.0</v>
      </c>
      <c r="Q41" s="145">
        <v>1.0</v>
      </c>
      <c r="R41" s="100"/>
      <c r="S41" s="100"/>
      <c r="T41" s="100"/>
      <c r="U41" s="100"/>
      <c r="V41" s="100"/>
    </row>
    <row r="42" outlineLevel="1">
      <c r="A42" s="133" t="s">
        <v>103</v>
      </c>
      <c r="B42" s="160"/>
      <c r="C42" s="774"/>
      <c r="D42" s="452"/>
      <c r="E42" s="774"/>
      <c r="F42" s="138">
        <f t="shared" si="2"/>
        <v>0</v>
      </c>
      <c r="G42" s="774"/>
      <c r="H42" s="163"/>
      <c r="I42" s="164"/>
      <c r="J42" s="104"/>
      <c r="K42" s="145"/>
      <c r="L42" s="363"/>
      <c r="M42" s="363"/>
      <c r="N42" s="363"/>
      <c r="O42" s="145">
        <v>0.0</v>
      </c>
      <c r="P42" s="145">
        <v>1.0</v>
      </c>
      <c r="Q42" s="145">
        <v>1.0</v>
      </c>
      <c r="R42" s="100"/>
      <c r="S42" s="100"/>
      <c r="T42" s="100"/>
      <c r="U42" s="100"/>
      <c r="V42" s="100"/>
    </row>
    <row r="43" outlineLevel="1">
      <c r="A43" s="156"/>
      <c r="B43" s="147" t="s">
        <v>84</v>
      </c>
      <c r="C43" s="774"/>
      <c r="D43" s="107"/>
      <c r="E43" s="774"/>
      <c r="F43" s="138">
        <f t="shared" si="2"/>
        <v>0</v>
      </c>
      <c r="G43" s="774"/>
      <c r="H43" s="106"/>
      <c r="I43" s="168"/>
      <c r="J43" s="107"/>
      <c r="K43" s="363"/>
      <c r="L43" s="363"/>
      <c r="M43" s="363"/>
      <c r="N43" s="363"/>
      <c r="O43" s="145">
        <v>0.0</v>
      </c>
      <c r="P43" s="145">
        <v>1.0</v>
      </c>
      <c r="Q43" s="145">
        <v>1.0</v>
      </c>
      <c r="R43" s="100"/>
      <c r="S43" s="100"/>
      <c r="T43" s="100"/>
      <c r="U43" s="100"/>
      <c r="V43" s="100"/>
    </row>
    <row r="44" outlineLevel="1">
      <c r="A44" s="133" t="s">
        <v>109</v>
      </c>
      <c r="B44" s="147"/>
      <c r="C44" s="774"/>
      <c r="D44" s="452"/>
      <c r="E44" s="774"/>
      <c r="F44" s="138">
        <f t="shared" si="2"/>
        <v>0</v>
      </c>
      <c r="G44" s="774"/>
      <c r="H44" s="163" t="s">
        <v>7430</v>
      </c>
      <c r="I44" s="164"/>
      <c r="J44" s="104"/>
      <c r="K44" s="282"/>
      <c r="L44" s="282"/>
      <c r="M44" s="363"/>
      <c r="N44" s="363"/>
      <c r="O44" s="145">
        <v>0.0</v>
      </c>
      <c r="P44" s="145">
        <v>1.0</v>
      </c>
      <c r="Q44" s="145">
        <v>1.0</v>
      </c>
      <c r="R44" s="100"/>
      <c r="S44" s="100"/>
      <c r="T44" s="100"/>
      <c r="U44" s="100"/>
      <c r="V44" s="100"/>
    </row>
    <row r="45" outlineLevel="1">
      <c r="A45" s="146"/>
      <c r="B45" s="147" t="s">
        <v>84</v>
      </c>
      <c r="C45" s="774"/>
      <c r="D45" s="107"/>
      <c r="E45" s="774"/>
      <c r="F45" s="138">
        <f t="shared" si="2"/>
        <v>0</v>
      </c>
      <c r="G45" s="774"/>
      <c r="H45" s="212"/>
      <c r="J45" s="210"/>
      <c r="K45" s="282"/>
      <c r="L45" s="282"/>
      <c r="M45" s="363"/>
      <c r="N45" s="363"/>
      <c r="O45" s="145">
        <v>0.0</v>
      </c>
      <c r="P45" s="145">
        <v>1.0</v>
      </c>
      <c r="Q45" s="145">
        <v>1.0</v>
      </c>
      <c r="R45" s="100"/>
      <c r="S45" s="100"/>
      <c r="T45" s="100"/>
      <c r="U45" s="100"/>
      <c r="V45" s="100"/>
    </row>
    <row r="46" outlineLevel="1">
      <c r="A46" s="146"/>
      <c r="B46" s="147" t="s">
        <v>276</v>
      </c>
      <c r="C46" s="774"/>
      <c r="D46" s="452"/>
      <c r="E46" s="774"/>
      <c r="F46" s="138">
        <f t="shared" si="2"/>
        <v>0</v>
      </c>
      <c r="G46" s="774"/>
      <c r="H46" s="212"/>
      <c r="J46" s="210"/>
      <c r="K46" s="282"/>
      <c r="L46" s="282"/>
      <c r="M46" s="363"/>
      <c r="N46" s="363"/>
      <c r="O46" s="145">
        <v>0.0</v>
      </c>
      <c r="P46" s="145">
        <v>1.0</v>
      </c>
      <c r="Q46" s="145">
        <v>1.0</v>
      </c>
      <c r="R46" s="100"/>
      <c r="S46" s="100"/>
      <c r="T46" s="100"/>
      <c r="U46" s="100"/>
      <c r="V46" s="100"/>
    </row>
    <row r="47" outlineLevel="1">
      <c r="A47" s="146"/>
      <c r="B47" s="147" t="s">
        <v>7428</v>
      </c>
      <c r="C47" s="774"/>
      <c r="D47" s="107"/>
      <c r="E47" s="774"/>
      <c r="F47" s="138">
        <f t="shared" si="2"/>
        <v>0</v>
      </c>
      <c r="G47" s="774"/>
      <c r="H47" s="212"/>
      <c r="J47" s="210"/>
      <c r="K47" s="282"/>
      <c r="L47" s="282"/>
      <c r="M47" s="363"/>
      <c r="N47" s="363"/>
      <c r="O47" s="145">
        <v>0.0</v>
      </c>
      <c r="P47" s="145">
        <v>1.0</v>
      </c>
      <c r="Q47" s="145">
        <v>1.0</v>
      </c>
      <c r="R47" s="100"/>
      <c r="S47" s="100"/>
      <c r="T47" s="100"/>
      <c r="U47" s="100"/>
      <c r="V47" s="100"/>
    </row>
    <row r="48" outlineLevel="1">
      <c r="A48" s="146"/>
      <c r="B48" s="147" t="s">
        <v>280</v>
      </c>
      <c r="C48" s="774"/>
      <c r="D48" s="452"/>
      <c r="E48" s="774"/>
      <c r="F48" s="138">
        <f t="shared" si="2"/>
        <v>0</v>
      </c>
      <c r="G48" s="774"/>
      <c r="H48" s="212"/>
      <c r="J48" s="210"/>
      <c r="K48" s="282"/>
      <c r="L48" s="282"/>
      <c r="M48" s="363"/>
      <c r="N48" s="363"/>
      <c r="O48" s="145">
        <v>0.0</v>
      </c>
      <c r="P48" s="145">
        <v>1.0</v>
      </c>
      <c r="Q48" s="145">
        <v>1.0</v>
      </c>
      <c r="R48" s="100"/>
      <c r="S48" s="100"/>
      <c r="T48" s="100"/>
      <c r="U48" s="100"/>
      <c r="V48" s="100"/>
    </row>
    <row r="49" outlineLevel="1">
      <c r="A49" s="156"/>
      <c r="B49" s="147" t="s">
        <v>7429</v>
      </c>
      <c r="C49" s="774"/>
      <c r="D49" s="107"/>
      <c r="E49" s="774"/>
      <c r="F49" s="138">
        <f t="shared" si="2"/>
        <v>0</v>
      </c>
      <c r="G49" s="774"/>
      <c r="H49" s="106"/>
      <c r="I49" s="168"/>
      <c r="J49" s="107"/>
      <c r="K49" s="282"/>
      <c r="L49" s="282"/>
      <c r="M49" s="363"/>
      <c r="N49" s="363"/>
      <c r="O49" s="145">
        <v>0.0</v>
      </c>
      <c r="P49" s="145">
        <v>1.0</v>
      </c>
      <c r="Q49" s="145">
        <v>1.0</v>
      </c>
      <c r="R49" s="100"/>
      <c r="S49" s="100"/>
      <c r="T49" s="100"/>
      <c r="U49" s="100"/>
      <c r="V49" s="100"/>
    </row>
    <row r="50" outlineLevel="1">
      <c r="A50" s="133" t="s">
        <v>116</v>
      </c>
      <c r="B50" s="160"/>
      <c r="C50" s="774"/>
      <c r="D50" s="452"/>
      <c r="E50" s="774"/>
      <c r="F50" s="138">
        <f t="shared" si="2"/>
        <v>0</v>
      </c>
      <c r="G50" s="774"/>
      <c r="H50" s="163" t="s">
        <v>7430</v>
      </c>
      <c r="I50" s="164"/>
      <c r="J50" s="104"/>
      <c r="K50" s="363"/>
      <c r="L50" s="363"/>
      <c r="M50" s="363"/>
      <c r="N50" s="363"/>
      <c r="O50" s="145">
        <v>0.0</v>
      </c>
      <c r="P50" s="145">
        <v>1.0</v>
      </c>
      <c r="Q50" s="145">
        <v>1.0</v>
      </c>
      <c r="R50" s="100"/>
      <c r="S50" s="100"/>
      <c r="T50" s="100"/>
      <c r="U50" s="100"/>
      <c r="V50" s="100"/>
    </row>
    <row r="51" outlineLevel="1">
      <c r="A51" s="156"/>
      <c r="B51" s="147" t="s">
        <v>84</v>
      </c>
      <c r="C51" s="380"/>
      <c r="D51" s="107"/>
      <c r="E51" s="774"/>
      <c r="F51" s="138">
        <f t="shared" si="2"/>
        <v>0</v>
      </c>
      <c r="G51" s="774"/>
      <c r="H51" s="106"/>
      <c r="I51" s="168"/>
      <c r="J51" s="107"/>
      <c r="K51" s="363"/>
      <c r="L51" s="363"/>
      <c r="M51" s="363"/>
      <c r="N51" s="363"/>
      <c r="O51" s="145">
        <v>0.0</v>
      </c>
      <c r="P51" s="145">
        <v>1.0</v>
      </c>
      <c r="Q51" s="145">
        <v>1.0</v>
      </c>
      <c r="R51" s="100"/>
      <c r="S51" s="100"/>
      <c r="T51" s="100"/>
      <c r="U51" s="100"/>
      <c r="V51" s="100"/>
    </row>
    <row r="52" outlineLevel="1">
      <c r="A52" s="133" t="s">
        <v>124</v>
      </c>
      <c r="B52" s="147" t="s">
        <v>125</v>
      </c>
      <c r="C52" s="380"/>
      <c r="D52" s="452"/>
      <c r="E52" s="774"/>
      <c r="F52" s="138">
        <f t="shared" si="2"/>
        <v>0</v>
      </c>
      <c r="G52" s="774"/>
      <c r="H52" s="163" t="s">
        <v>7430</v>
      </c>
      <c r="I52" s="164"/>
      <c r="J52" s="104"/>
      <c r="K52" s="282"/>
      <c r="L52" s="282"/>
      <c r="M52" s="363"/>
      <c r="N52" s="363"/>
      <c r="O52" s="145">
        <v>0.0</v>
      </c>
      <c r="P52" s="145">
        <v>1.0</v>
      </c>
      <c r="Q52" s="145">
        <v>1.0</v>
      </c>
      <c r="R52" s="100"/>
      <c r="S52" s="100"/>
      <c r="T52" s="100"/>
      <c r="U52" s="100"/>
      <c r="V52" s="100"/>
    </row>
    <row r="53" outlineLevel="1">
      <c r="A53" s="156"/>
      <c r="B53" s="147" t="s">
        <v>131</v>
      </c>
      <c r="C53" s="380"/>
      <c r="D53" s="107"/>
      <c r="E53" s="774"/>
      <c r="F53" s="138">
        <f t="shared" si="2"/>
        <v>0</v>
      </c>
      <c r="G53" s="774"/>
      <c r="H53" s="106"/>
      <c r="I53" s="168"/>
      <c r="J53" s="107"/>
      <c r="K53" s="282"/>
      <c r="L53" s="282"/>
      <c r="M53" s="363"/>
      <c r="N53" s="363"/>
      <c r="O53" s="145">
        <v>0.0</v>
      </c>
      <c r="P53" s="145">
        <v>1.0</v>
      </c>
      <c r="Q53" s="145">
        <v>1.0</v>
      </c>
      <c r="R53" s="100"/>
      <c r="S53" s="100"/>
      <c r="T53" s="100"/>
      <c r="U53" s="100"/>
      <c r="V53" s="100"/>
    </row>
    <row r="54">
      <c r="A54" s="118"/>
      <c r="B54" s="176"/>
      <c r="C54" s="118"/>
      <c r="D54" s="118"/>
      <c r="E54" s="118"/>
      <c r="F54" s="177"/>
      <c r="G54" s="177"/>
      <c r="H54" s="118"/>
      <c r="I54" s="118"/>
      <c r="J54" s="118"/>
      <c r="K54" s="118"/>
      <c r="L54" s="118"/>
      <c r="M54" s="118"/>
      <c r="N54" s="118"/>
      <c r="O54" s="118"/>
      <c r="P54" s="118"/>
      <c r="Q54" s="118"/>
      <c r="R54" s="118"/>
      <c r="S54" s="118"/>
      <c r="T54" s="118"/>
      <c r="U54" s="118"/>
      <c r="V54" s="118"/>
    </row>
    <row r="55">
      <c r="A55" s="178" t="str">
        <f>'テンプレート'!A55</f>
        <v>空中攻撃</v>
      </c>
      <c r="B55" s="104"/>
      <c r="C55" s="179"/>
      <c r="D55" s="179"/>
      <c r="E55" s="179"/>
      <c r="F55" s="180"/>
      <c r="G55" s="179"/>
      <c r="H55" s="180"/>
      <c r="I55" s="180"/>
      <c r="J55" s="181"/>
      <c r="K55" s="180"/>
      <c r="L55" s="180"/>
      <c r="M55" s="180"/>
      <c r="N55" s="180"/>
      <c r="O55" s="180"/>
      <c r="P55" s="180"/>
      <c r="Q55" s="180"/>
      <c r="R55" s="180"/>
      <c r="S55" s="180"/>
      <c r="T55" s="180"/>
      <c r="U55" s="180"/>
      <c r="V55" s="180"/>
    </row>
    <row r="56" outlineLevel="1">
      <c r="A56" s="106"/>
      <c r="B56" s="107"/>
      <c r="C56" s="182" t="str">
        <f>'テンプレート'!C56</f>
        <v>判定持続</v>
      </c>
      <c r="D56" s="183" t="str">
        <f>'テンプレート'!D56</f>
        <v>全体フレーム</v>
      </c>
      <c r="E56" s="182" t="str">
        <f>'テンプレート'!E56</f>
        <v>基礎ダメージ</v>
      </c>
      <c r="F56" s="184" t="str">
        <f>'テンプレート'!F56</f>
        <v>ダメージ (1v1)</v>
      </c>
      <c r="G56" s="184" t="str">
        <f>'テンプレート'!G56</f>
        <v>ダメ (1v1+小J)</v>
      </c>
      <c r="H56" s="185" t="str">
        <f>'テンプレート'!H56</f>
        <v>ガード硬直</v>
      </c>
      <c r="I56" s="184" t="str">
        <f>'テンプレート'!I56</f>
        <v>着地隙</v>
      </c>
      <c r="J56" s="3828" t="str">
        <f>'テンプレート'!J56</f>
        <v>着地隙発生F</v>
      </c>
      <c r="K56" s="184" t="str">
        <f>'テンプレート'!K56</f>
        <v>ベクトル</v>
      </c>
      <c r="L56" s="184" t="str">
        <f>'テンプレート'!L56</f>
        <v>KBG (R.E.)</v>
      </c>
      <c r="M56" s="184" t="str">
        <f>'テンプレート'!M56</f>
        <v>BKB (R.A.)</v>
      </c>
      <c r="N56" s="184" t="str">
        <f>'テンプレート'!N56</f>
        <v>FKB (R.F.)</v>
      </c>
      <c r="O56" s="186" t="str">
        <f>'テンプレート'!O56</f>
        <v>盾削り値</v>
      </c>
      <c r="P56" s="184" t="str">
        <f>'テンプレート'!P56</f>
        <v>ﾋｯﾄｽﾄｯﾌﾟ</v>
      </c>
      <c r="Q56" s="186" t="str">
        <f>'テンプレート'!Q56</f>
        <v>ずらし</v>
      </c>
      <c r="R56" s="187" t="str">
        <f>'テンプレート'!R56</f>
        <v>備考</v>
      </c>
      <c r="S56" s="110"/>
      <c r="T56" s="110"/>
      <c r="U56" s="110"/>
      <c r="V56" s="110"/>
    </row>
    <row r="57" outlineLevel="1">
      <c r="A57" s="188" t="s">
        <v>144</v>
      </c>
      <c r="B57" s="373"/>
      <c r="C57" s="239"/>
      <c r="D57" s="452" t="str">
        <f t="array" ref="D57">INDEX('空中攻撃'!$D$3:$AB$109, MATCH($A$1,'空中攻撃'!$A$3:$A$109,0), MATCH(A57,'空中攻撃'!$D$2:$L$2,0))</f>
        <v>#N/A</v>
      </c>
      <c r="E57" s="401" t="s">
        <v>213</v>
      </c>
      <c r="F57" s="193">
        <f t="shared" ref="F57:F69" si="3">IFERROR(IFS(E57="-","-",LEN(E57)-LEN(SUBSTITUTE(E57,"/",""))=0,MULTIPLY(E57,1.2),LEN(E57)-LEN(SUBSTITUTE(E57,"/",""))=1,MULTIPLY(LEFT(E57,FIND("/",E57)-1),1.2)&amp;"/"&amp;MULTIPLY(MID(E57,FIND("/",E57)+1,10),1.2),LEN(E57)-LEN(SUBSTITUTE(E57,"/",""))=2,MULTIPLY(LEFT(E57,FIND("!",SUBSTITUTE(E57,"/","!",1))-1),1.2)&amp;"/"&amp;MULTIPLY(MID(E57,FIND("!",SUBSTITUTE(E57,"/","!",1))+1,FIND("!",SUBSTITUTE(E57,"/","!",2))-FIND("!",SUBSTITUTE(E57,"/","!",1))-1),1.2)&amp;"/"&amp;MULTIPLY(RIGHT(E57,LEN(E57)-FIND("!",SUBSTITUTE(E57,"/","!",2))),1.2),LEN(E57)-LEN(SUBSTITUTE(E57,"/",""))=3,MULTIPLY(LEFT(E57,FIND("!",SUBSTITUTE(E57,"/","!",1))-1),1.2)&amp;"/"&amp;MULTIPLY(MID(E57,FIND("!",SUBSTITUTE(E57,"/","!",1))+1,FIND("!",SUBSTITUTE(E57,"/","!",2))-FIND("!",SUBSTITUTE(E57,"/","!",1))-1),1.2)&amp;"/"&amp;MULTIPLY(MID(E57,FIND("!",SUBSTITUTE(E57,"/","!",2))+1,FIND("!",SUBSTITUTE(E57,"/","!",3))-FIND("!",SUBSTITUTE(E57,"/","!",2))-1),1.2)&amp;"/"&amp;MULTIPLY(RIGHT(E57,LEN(E57)-FIND("!",SUBSTITUTE(E57,"/","!",3))),1.2),LEN(E57)-LEN(SUBSTITUTE(E57,"/",""))=4,MULTIPLY(LEFT(E57,FIND("!",SUBSTITUTE(E57,"/","!",1))-1),1.2)&amp;"/"&amp;MULTIPLY(MID(E57,FIND("!",SUBSTITUTE(E57,"/","!",1))+1,FIND("!",SUBSTITUTE(E57,"/","!",2))-FIND("!",SUBSTITUTE(E57,"/","!",1))-1),1.2)&amp;"/"&amp;MULTIPLY(MID(E57,FIND("!",SUBSTITUTE(E57,"/","!",2))+1,FIND("!",SUBSTITUTE(E57,"/","!",3))-FIND("!",SUBSTITUTE(E57,"/","!",2))-1),1.2)&amp;"/"&amp;MULTIPLY(MID(E57,FIND("!",SUBSTITUTE(E57,"/","!",3))+1,FIND("!",SUBSTITUTE(E57,"/","!",4))-FIND("!",SUBSTITUTE(E57,"/","!",3))-1),1.2)&amp;"/"&amp;MULTIPLY(RIGHT(E57,LEN(E57)-FIND("!",SUBSTITUTE(E57,"/","!",4))),1.2)),"")</f>
        <v>1.2</v>
      </c>
      <c r="G57" s="193">
        <f t="shared" ref="G57:G69" si="4">IFERROR(IFS(E57="-","-",LEN(E57)-LEN(SUBSTITUTE(E57,"/",""))=0,MULTIPLY(E57,1.02),LEN(E57)-LEN(SUBSTITUTE(E57,"/",""))=1,MULTIPLY(LEFT(E57,FIND("/",E57)-1),1.02)&amp;"/"&amp;MULTIPLY(MID(E57,FIND("/",E57)+1,10),1.02),LEN(E57)-LEN(SUBSTITUTE(E57,"/",""))=2,MULTIPLY(LEFT(E57,FIND("!",SUBSTITUTE(E57,"/","!",1))-1),1.02)&amp;"/"&amp;MULTIPLY(MID(E57,FIND("!",SUBSTITUTE(E57,"/","!",1))+1,FIND("!",SUBSTITUTE(E57,"/","!",2))-FIND("!",SUBSTITUTE(E57,"/","!",1))-1),1.02)&amp;"/"&amp;MULTIPLY(RIGHT(E57,LEN(E57)-FIND("!",SUBSTITUTE(E57,"/","!",2))),1.02),LEN(E57)-LEN(SUBSTITUTE(E57,"/",""))=3,MULTIPLY(LEFT(E57,FIND("!",SUBSTITUTE(E57,"/","!",1))-1),1.02)&amp;"/"&amp;MULTIPLY(MID(E57,FIND("!",SUBSTITUTE(E57,"/","!",1))+1,FIND("!",SUBSTITUTE(E57,"/","!",2))-FIND("!",SUBSTITUTE(E57,"/","!",1))-1),1.02)&amp;"/"&amp;MULTIPLY(MID(E57,FIND("!",SUBSTITUTE(E57,"/","!",2))+1,FIND("!",SUBSTITUTE(E57,"/","!",3))-FIND("!",SUBSTITUTE(E57,"/","!",2))-1),1.02)&amp;"/"&amp;MULTIPLY(RIGHT(E57,LEN(E57)-FIND("!",SUBSTITUTE(E57,"/","!",3))),1.02),LEN(E57)-LEN(SUBSTITUTE(E57,"/",""))=4,MULTIPLY(LEFT(E57,FIND("!",SUBSTITUTE(E57,"/","!",1))-1),1.02)&amp;"/"&amp;MULTIPLY(MID(E57,FIND("!",SUBSTITUTE(E57,"/","!",1))+1,FIND("!",SUBSTITUTE(E57,"/","!",2))-FIND("!",SUBSTITUTE(E57,"/","!",1))-1),1.02)&amp;"/"&amp;MULTIPLY(MID(E57,FIND("!",SUBSTITUTE(E57,"/","!",2))+1,FIND("!",SUBSTITUTE(E57,"/","!",3))-FIND("!",SUBSTITUTE(E57,"/","!",2))-1),1.02)&amp;"/"&amp;MULTIPLY(MID(E57,FIND("!",SUBSTITUTE(E57,"/","!",3))+1,FIND("!",SUBSTITUTE(E57,"/","!",4))-FIND("!",SUBSTITUTE(E57,"/","!",3))-1),1.02)&amp;"/"&amp;MULTIPLY(RIGHT(E57,LEN(E57)-FIND("!",SUBSTITUTE(E57,"/","!",4))),1.02)),"")</f>
        <v>1.02</v>
      </c>
      <c r="H57" s="138"/>
      <c r="I57" s="452" t="str">
        <f t="array" ref="I57">INDEX('空中攻撃'!$O$3:$AB$109, MATCH($A$1,'空中攻撃'!$A$3:$A$109,0), MATCH(A57,'空中攻撃'!$O$2:$S$2,0))</f>
        <v>5</v>
      </c>
      <c r="J57" s="452" t="str">
        <f t="array" ref="J57">INDEX('空中攻撃'!$T$3:$AB$109, MATCH($A$1,'空中攻撃'!$A$3:$A$109,0), MATCH(A57,'空中攻撃'!$T$2:$X$2,0))</f>
        <v/>
      </c>
      <c r="K57" s="138"/>
      <c r="L57" s="282"/>
      <c r="M57" s="363"/>
      <c r="N57" s="363"/>
      <c r="O57" s="145">
        <v>0.0</v>
      </c>
      <c r="P57" s="145">
        <v>1.0</v>
      </c>
      <c r="Q57" s="145">
        <v>1.0</v>
      </c>
      <c r="R57" s="619"/>
      <c r="S57" s="164"/>
      <c r="T57" s="164"/>
      <c r="U57" s="164"/>
      <c r="V57" s="104"/>
    </row>
    <row r="58" outlineLevel="1">
      <c r="A58" s="156"/>
      <c r="B58" s="373" t="s">
        <v>84</v>
      </c>
      <c r="C58" s="239"/>
      <c r="D58" s="107"/>
      <c r="E58" s="239" t="s">
        <v>7431</v>
      </c>
      <c r="F58" s="138" t="str">
        <f t="shared" si="3"/>
        <v>1.8/3.6</v>
      </c>
      <c r="G58" s="138" t="str">
        <f t="shared" si="4"/>
        <v>1.53/3.06</v>
      </c>
      <c r="H58" s="138"/>
      <c r="I58" s="107"/>
      <c r="J58" s="107"/>
      <c r="K58" s="138"/>
      <c r="L58" s="282"/>
      <c r="M58" s="363"/>
      <c r="N58" s="363"/>
      <c r="O58" s="145">
        <v>0.0</v>
      </c>
      <c r="P58" s="145">
        <v>1.0</v>
      </c>
      <c r="Q58" s="145">
        <v>1.0</v>
      </c>
      <c r="R58" s="106"/>
      <c r="S58" s="168"/>
      <c r="T58" s="168"/>
      <c r="U58" s="168"/>
      <c r="V58" s="107"/>
    </row>
    <row r="59" outlineLevel="1">
      <c r="A59" s="188" t="s">
        <v>151</v>
      </c>
      <c r="B59" s="373"/>
      <c r="C59" s="239"/>
      <c r="D59" s="452" t="str">
        <f t="array" ref="D59">INDEX('空中攻撃'!$D$3:$AB$109, MATCH($A$1,'空中攻撃'!$A$3:$A$109,0), MATCH(A59,'空中攻撃'!$D$2:$L$2,0))</f>
        <v>#N/A</v>
      </c>
      <c r="E59" s="239"/>
      <c r="F59" s="138">
        <f t="shared" si="3"/>
        <v>0</v>
      </c>
      <c r="G59" s="138">
        <f t="shared" si="4"/>
        <v>0</v>
      </c>
      <c r="H59" s="138"/>
      <c r="I59" s="452" t="str">
        <f t="array" ref="I59">INDEX('空中攻撃'!$O$3:$AB$109, MATCH($A$1,'空中攻撃'!$A$3:$A$109,0), MATCH(A59,'空中攻撃'!$O$2:$S$2,0))</f>
        <v>12</v>
      </c>
      <c r="J59" s="452" t="str">
        <f t="array" ref="J59">INDEX('空中攻撃'!$T$3:$AB$109, MATCH($A$1,'空中攻撃'!$A$3:$A$109,0), MATCH(A59,'空中攻撃'!$T$2:$X$2,0))</f>
        <v/>
      </c>
      <c r="K59" s="138"/>
      <c r="L59" s="282"/>
      <c r="M59" s="363"/>
      <c r="N59" s="363"/>
      <c r="O59" s="145">
        <v>0.0</v>
      </c>
      <c r="P59" s="145">
        <v>1.0</v>
      </c>
      <c r="Q59" s="145">
        <v>1.0</v>
      </c>
      <c r="R59" s="619"/>
      <c r="S59" s="164"/>
      <c r="T59" s="164"/>
      <c r="U59" s="164"/>
      <c r="V59" s="104"/>
    </row>
    <row r="60" outlineLevel="1">
      <c r="A60" s="156"/>
      <c r="B60" s="373" t="s">
        <v>84</v>
      </c>
      <c r="C60" s="239"/>
      <c r="D60" s="107"/>
      <c r="E60" s="239"/>
      <c r="F60" s="138">
        <f t="shared" si="3"/>
        <v>0</v>
      </c>
      <c r="G60" s="138">
        <f t="shared" si="4"/>
        <v>0</v>
      </c>
      <c r="H60" s="138"/>
      <c r="I60" s="107"/>
      <c r="J60" s="107"/>
      <c r="K60" s="138"/>
      <c r="L60" s="282"/>
      <c r="M60" s="363"/>
      <c r="N60" s="363"/>
      <c r="O60" s="145">
        <v>0.0</v>
      </c>
      <c r="P60" s="145">
        <v>1.0</v>
      </c>
      <c r="Q60" s="145">
        <v>1.0</v>
      </c>
      <c r="R60" s="106"/>
      <c r="S60" s="168"/>
      <c r="T60" s="168"/>
      <c r="U60" s="168"/>
      <c r="V60" s="107"/>
    </row>
    <row r="61" outlineLevel="1">
      <c r="A61" s="188" t="s">
        <v>157</v>
      </c>
      <c r="B61" s="373"/>
      <c r="C61" s="239"/>
      <c r="D61" s="452" t="str">
        <f t="array" ref="D61">INDEX('空中攻撃'!$D$3:$AB$109, MATCH($A$1,'空中攻撃'!$A$3:$A$109,0), MATCH(A61,'空中攻撃'!$D$2:$L$2,0))</f>
        <v>#N/A</v>
      </c>
      <c r="E61" s="239"/>
      <c r="F61" s="138">
        <f t="shared" si="3"/>
        <v>0</v>
      </c>
      <c r="G61" s="138">
        <f t="shared" si="4"/>
        <v>0</v>
      </c>
      <c r="H61" s="138"/>
      <c r="I61" s="452">
        <f t="array" ref="I61">INDEX('空中攻撃'!$O$3:$AB$109, MATCH($A$1,'空中攻撃'!$A$3:$A$109,0), MATCH(A61,'空中攻撃'!$O$2:$S$2,0))</f>
        <v>6</v>
      </c>
      <c r="J61" s="452" t="str">
        <f t="array" ref="J61">INDEX('空中攻撃'!$T$3:$AB$109, MATCH($A$1,'空中攻撃'!$A$3:$A$109,0), MATCH(A61,'空中攻撃'!$T$2:$X$2,0))</f>
        <v/>
      </c>
      <c r="K61" s="138"/>
      <c r="L61" s="282"/>
      <c r="M61" s="363"/>
      <c r="N61" s="363"/>
      <c r="O61" s="145">
        <v>0.0</v>
      </c>
      <c r="P61" s="145">
        <v>1.0</v>
      </c>
      <c r="Q61" s="145">
        <v>1.0</v>
      </c>
      <c r="R61" s="619"/>
      <c r="S61" s="164"/>
      <c r="T61" s="164"/>
      <c r="U61" s="164"/>
      <c r="V61" s="104"/>
    </row>
    <row r="62" outlineLevel="1">
      <c r="A62" s="156"/>
      <c r="B62" s="373" t="s">
        <v>84</v>
      </c>
      <c r="C62" s="239"/>
      <c r="D62" s="107"/>
      <c r="E62" s="239"/>
      <c r="F62" s="138">
        <f t="shared" si="3"/>
        <v>0</v>
      </c>
      <c r="G62" s="138">
        <f t="shared" si="4"/>
        <v>0</v>
      </c>
      <c r="H62" s="138"/>
      <c r="I62" s="107"/>
      <c r="J62" s="107"/>
      <c r="K62" s="138"/>
      <c r="L62" s="282"/>
      <c r="M62" s="363"/>
      <c r="N62" s="363"/>
      <c r="O62" s="145">
        <v>0.0</v>
      </c>
      <c r="P62" s="145">
        <v>1.0</v>
      </c>
      <c r="Q62" s="145">
        <v>1.0</v>
      </c>
      <c r="R62" s="106"/>
      <c r="S62" s="168"/>
      <c r="T62" s="168"/>
      <c r="U62" s="168"/>
      <c r="V62" s="107"/>
    </row>
    <row r="63" outlineLevel="1">
      <c r="A63" s="188" t="s">
        <v>162</v>
      </c>
      <c r="B63" s="373"/>
      <c r="C63" s="239"/>
      <c r="D63" s="452" t="str">
        <f t="array" ref="D63">INDEX('空中攻撃'!$D$3:$AB$109, MATCH($A$1,'空中攻撃'!$A$3:$A$109,0), MATCH(A63,'空中攻撃'!$D$2:$L$2,0))</f>
        <v>#N/A</v>
      </c>
      <c r="E63" s="239"/>
      <c r="F63" s="138">
        <f t="shared" si="3"/>
        <v>0</v>
      </c>
      <c r="G63" s="138">
        <f t="shared" si="4"/>
        <v>0</v>
      </c>
      <c r="H63" s="138"/>
      <c r="I63" s="452" t="str">
        <f t="array" ref="I63">INDEX('空中攻撃'!$O$3:$AB$109, MATCH($A$1,'空中攻撃'!$A$3:$A$109,0), MATCH(A63,'空中攻撃'!$O$2:$S$2,0))</f>
        <v>6</v>
      </c>
      <c r="J63" s="452" t="str">
        <f t="array" ref="J63">INDEX('空中攻撃'!$T$3:$AB$109, MATCH($A$1,'空中攻撃'!$A$3:$A$109,0), MATCH(A63,'空中攻撃'!$T$2:$X$2,0))</f>
        <v/>
      </c>
      <c r="K63" s="282"/>
      <c r="L63" s="282"/>
      <c r="M63" s="363"/>
      <c r="N63" s="363"/>
      <c r="O63" s="145">
        <v>0.0</v>
      </c>
      <c r="P63" s="145">
        <v>1.0</v>
      </c>
      <c r="Q63" s="145">
        <v>1.0</v>
      </c>
      <c r="R63" s="619"/>
      <c r="S63" s="164"/>
      <c r="T63" s="164"/>
      <c r="U63" s="164"/>
      <c r="V63" s="104"/>
    </row>
    <row r="64" outlineLevel="1">
      <c r="A64" s="156"/>
      <c r="B64" s="373" t="s">
        <v>84</v>
      </c>
      <c r="C64" s="239"/>
      <c r="D64" s="107"/>
      <c r="E64" s="239"/>
      <c r="F64" s="138">
        <f t="shared" si="3"/>
        <v>0</v>
      </c>
      <c r="G64" s="138">
        <f t="shared" si="4"/>
        <v>0</v>
      </c>
      <c r="H64" s="138"/>
      <c r="I64" s="107"/>
      <c r="J64" s="107"/>
      <c r="K64" s="282"/>
      <c r="L64" s="282"/>
      <c r="M64" s="363"/>
      <c r="N64" s="363"/>
      <c r="O64" s="145">
        <v>0.0</v>
      </c>
      <c r="P64" s="145">
        <v>1.0</v>
      </c>
      <c r="Q64" s="145">
        <v>1.0</v>
      </c>
      <c r="R64" s="106"/>
      <c r="S64" s="168"/>
      <c r="T64" s="168"/>
      <c r="U64" s="168"/>
      <c r="V64" s="107"/>
    </row>
    <row r="65" outlineLevel="1">
      <c r="A65" s="188" t="s">
        <v>166</v>
      </c>
      <c r="B65" s="373"/>
      <c r="C65" s="239"/>
      <c r="D65" s="452" t="str">
        <f t="array" ref="D65">INDEX('空中攻撃'!$D$3:$AB$109, MATCH($A$1,'空中攻撃'!$A$3:$A$109,0), MATCH(A65,'空中攻撃'!$D$2:$L$2,0))</f>
        <v>#N/A</v>
      </c>
      <c r="E65" s="239"/>
      <c r="F65" s="138">
        <f t="shared" si="3"/>
        <v>0</v>
      </c>
      <c r="G65" s="138">
        <f t="shared" si="4"/>
        <v>0</v>
      </c>
      <c r="H65" s="138"/>
      <c r="I65" s="452">
        <f t="array" ref="I65">INDEX('空中攻撃'!$O$3:$AB$109, MATCH($A$1,'空中攻撃'!$A$3:$A$109,0), MATCH(A65,'空中攻撃'!$O$2:$S$2,0))</f>
        <v>10</v>
      </c>
      <c r="J65" s="452" t="str">
        <f t="array" ref="J65">INDEX('空中攻撃'!$T$3:$AB$109, MATCH($A$1,'空中攻撃'!$A$3:$A$109,0), MATCH(A65,'空中攻撃'!$T$2:$X$2,0))</f>
        <v/>
      </c>
      <c r="K65" s="282"/>
      <c r="L65" s="282"/>
      <c r="M65" s="363"/>
      <c r="N65" s="363"/>
      <c r="O65" s="145">
        <v>0.0</v>
      </c>
      <c r="P65" s="145">
        <v>1.0</v>
      </c>
      <c r="Q65" s="145">
        <v>1.0</v>
      </c>
      <c r="R65" s="163"/>
      <c r="S65" s="164"/>
      <c r="T65" s="164"/>
      <c r="U65" s="164"/>
      <c r="V65" s="104"/>
    </row>
    <row r="66" outlineLevel="1">
      <c r="A66" s="146"/>
      <c r="B66" s="373" t="s">
        <v>84</v>
      </c>
      <c r="C66" s="239"/>
      <c r="D66" s="210"/>
      <c r="E66" s="239"/>
      <c r="F66" s="138">
        <f t="shared" si="3"/>
        <v>0</v>
      </c>
      <c r="G66" s="138">
        <f t="shared" si="4"/>
        <v>0</v>
      </c>
      <c r="H66" s="138"/>
      <c r="I66" s="210"/>
      <c r="J66" s="210"/>
      <c r="K66" s="282"/>
      <c r="L66" s="282"/>
      <c r="M66" s="363"/>
      <c r="N66" s="363"/>
      <c r="O66" s="145">
        <v>0.0</v>
      </c>
      <c r="P66" s="145">
        <v>1.0</v>
      </c>
      <c r="Q66" s="145">
        <v>1.0</v>
      </c>
      <c r="R66" s="212"/>
      <c r="V66" s="210"/>
    </row>
    <row r="67" outlineLevel="1">
      <c r="A67" s="156"/>
      <c r="B67" s="373" t="s">
        <v>174</v>
      </c>
      <c r="C67" s="239"/>
      <c r="D67" s="107"/>
      <c r="E67" s="239"/>
      <c r="F67" s="138">
        <f t="shared" si="3"/>
        <v>0</v>
      </c>
      <c r="G67" s="138">
        <f t="shared" si="4"/>
        <v>0</v>
      </c>
      <c r="H67" s="138"/>
      <c r="I67" s="107"/>
      <c r="J67" s="107"/>
      <c r="K67" s="282"/>
      <c r="L67" s="282"/>
      <c r="M67" s="363"/>
      <c r="N67" s="363"/>
      <c r="O67" s="145">
        <v>0.0</v>
      </c>
      <c r="P67" s="145">
        <v>1.0</v>
      </c>
      <c r="Q67" s="145">
        <v>1.0</v>
      </c>
      <c r="R67" s="106"/>
      <c r="S67" s="168"/>
      <c r="T67" s="168"/>
      <c r="U67" s="168"/>
      <c r="V67" s="107"/>
    </row>
    <row r="68" outlineLevel="1">
      <c r="A68" s="188" t="s">
        <v>587</v>
      </c>
      <c r="B68" s="373" t="s">
        <v>125</v>
      </c>
      <c r="C68" s="239"/>
      <c r="D68" s="452" t="str">
        <f t="array" ref="D68">INDEX('空中攻撃'!$D$3:$AB$109, MATCH($A$1,'空中攻撃'!$A$3:$A$109,0), MATCH(A68,'空中攻撃'!$D$2:$N$2,0))</f>
        <v>#N/A</v>
      </c>
      <c r="E68" s="239"/>
      <c r="F68" s="138">
        <f t="shared" si="3"/>
        <v>0</v>
      </c>
      <c r="G68" s="138">
        <f t="shared" si="4"/>
        <v>0</v>
      </c>
      <c r="H68" s="138"/>
      <c r="I68" s="166">
        <v>8.0</v>
      </c>
      <c r="J68" s="532"/>
      <c r="K68" s="282"/>
      <c r="L68" s="282"/>
      <c r="M68" s="363"/>
      <c r="N68" s="363"/>
      <c r="O68" s="145">
        <v>0.0</v>
      </c>
      <c r="P68" s="145">
        <v>1.0</v>
      </c>
      <c r="Q68" s="145">
        <v>1.0</v>
      </c>
      <c r="R68" s="619"/>
      <c r="S68" s="164"/>
      <c r="T68" s="164"/>
      <c r="U68" s="164"/>
      <c r="V68" s="104"/>
    </row>
    <row r="69" outlineLevel="1">
      <c r="A69" s="156"/>
      <c r="B69" s="373" t="s">
        <v>131</v>
      </c>
      <c r="C69" s="239"/>
      <c r="D69" s="107"/>
      <c r="E69" s="239"/>
      <c r="F69" s="138">
        <f t="shared" si="3"/>
        <v>0</v>
      </c>
      <c r="G69" s="138">
        <f t="shared" si="4"/>
        <v>0</v>
      </c>
      <c r="H69" s="138"/>
      <c r="I69" s="156"/>
      <c r="J69" s="156"/>
      <c r="K69" s="282"/>
      <c r="L69" s="282"/>
      <c r="M69" s="363"/>
      <c r="N69" s="363"/>
      <c r="O69" s="145">
        <v>0.0</v>
      </c>
      <c r="P69" s="145">
        <v>1.0</v>
      </c>
      <c r="Q69" s="145">
        <v>1.0</v>
      </c>
      <c r="R69" s="106"/>
      <c r="S69" s="168"/>
      <c r="T69" s="168"/>
      <c r="U69" s="168"/>
      <c r="V69" s="107"/>
    </row>
    <row r="70">
      <c r="A70" s="223"/>
      <c r="B70" s="224"/>
      <c r="C70" s="225"/>
      <c r="D70" s="225"/>
      <c r="E70" s="226"/>
      <c r="F70" s="226"/>
      <c r="G70" s="226"/>
      <c r="H70" s="227"/>
      <c r="I70" s="227"/>
      <c r="J70" s="228"/>
      <c r="K70" s="228"/>
      <c r="L70" s="228"/>
      <c r="M70" s="228"/>
      <c r="N70" s="228"/>
      <c r="O70" s="228"/>
      <c r="P70" s="228"/>
      <c r="Q70" s="118"/>
      <c r="R70" s="118"/>
      <c r="S70" s="118"/>
      <c r="T70" s="118"/>
      <c r="U70" s="118"/>
      <c r="V70" s="118"/>
    </row>
    <row r="71">
      <c r="A71" s="229" t="str">
        <f>'テンプレート'!A71</f>
        <v>必殺ワザ</v>
      </c>
      <c r="B71" s="109"/>
      <c r="C71" s="225"/>
      <c r="D71" s="225"/>
      <c r="E71" s="226"/>
      <c r="F71" s="226"/>
      <c r="G71" s="226"/>
      <c r="H71" s="227"/>
      <c r="I71" s="227"/>
      <c r="J71" s="228"/>
      <c r="K71" s="228"/>
      <c r="L71" s="228"/>
      <c r="M71" s="228"/>
      <c r="N71" s="228"/>
      <c r="O71" s="228"/>
      <c r="P71" s="228"/>
      <c r="Q71" s="118"/>
      <c r="R71" s="118"/>
      <c r="S71" s="118"/>
      <c r="T71" s="118"/>
      <c r="U71" s="118"/>
      <c r="V71" s="118"/>
    </row>
    <row r="72" outlineLevel="1">
      <c r="A72" s="230" t="str">
        <f>"NB ("&amp;VLOOKUP($A$1,Fighters!$A$2:$AI$81,15,FALSE)&amp;")"</f>
        <v>NB (スプラシューター)</v>
      </c>
      <c r="B72" s="109"/>
      <c r="C72" s="231" t="str">
        <f>'テンプレート'!C72</f>
        <v>判定持続</v>
      </c>
      <c r="D72" s="231" t="str">
        <f>'テンプレート'!D72</f>
        <v>全体フレーム</v>
      </c>
      <c r="E72" s="232" t="str">
        <f>'テンプレート'!E72</f>
        <v>基礎ダメージ</v>
      </c>
      <c r="F72" s="233" t="str">
        <f>'テンプレート'!F72</f>
        <v>ダメージ (1v1)</v>
      </c>
      <c r="G72" s="232" t="str">
        <f>'テンプレート'!G72</f>
        <v>ガード硬直</v>
      </c>
      <c r="H72" s="382" t="str">
        <f>'テンプレート'!H72</f>
        <v>備考</v>
      </c>
      <c r="I72" s="110"/>
      <c r="J72" s="109"/>
      <c r="K72" s="235" t="str">
        <f>'テンプレート'!K72</f>
        <v>ベクトル</v>
      </c>
      <c r="L72" s="235" t="str">
        <f>'テンプレート'!L72</f>
        <v>KBG (R.E.)</v>
      </c>
      <c r="M72" s="235" t="str">
        <f>'テンプレート'!M72</f>
        <v>BKB (R.A.)</v>
      </c>
      <c r="N72" s="235" t="str">
        <f>'テンプレート'!N72</f>
        <v>FKB (R.F.)</v>
      </c>
      <c r="O72" s="236" t="str">
        <f>'テンプレート'!O72</f>
        <v>盾削り値</v>
      </c>
      <c r="P72" s="235" t="str">
        <f>'テンプレート'!P72</f>
        <v>ﾋｯﾄｽﾄｯﾌﾟ</v>
      </c>
      <c r="Q72" s="236" t="str">
        <f>'テンプレート'!Q72</f>
        <v>ずらし</v>
      </c>
      <c r="R72" s="235" t="str">
        <f>'テンプレート'!R72</f>
        <v>相殺</v>
      </c>
      <c r="S72" s="236" t="str">
        <f>'テンプレート'!S72</f>
        <v>相殺ﾓｰｼｮﾝ</v>
      </c>
      <c r="T72" s="236" t="str">
        <f>'テンプレート'!T72</f>
        <v>飛び道具</v>
      </c>
      <c r="U72" s="236" t="str">
        <f>'テンプレート'!U72</f>
        <v>慣性反転</v>
      </c>
      <c r="V72" s="236" t="str">
        <f>'テンプレート'!V72</f>
        <v>向き反転</v>
      </c>
    </row>
    <row r="73" outlineLevel="1">
      <c r="A73" s="237" t="s">
        <v>184</v>
      </c>
      <c r="B73" s="243"/>
      <c r="C73" s="239"/>
      <c r="D73" s="452"/>
      <c r="E73" s="239"/>
      <c r="F73" s="138">
        <f t="shared" ref="F73:F74" si="5">IFERROR(IFS(E73="-","-",LEN(E73)-LEN(SUBSTITUTE(E73,"/",""))=0,MULTIPLY(E73,1.2),LEN(E73)-LEN(SUBSTITUTE(E73,"/",""))=1,MULTIPLY(LEFT(E73,FIND("/",E73)-1),1.2)&amp;"/"&amp;MULTIPLY(MID(E73,FIND("/",E73)+1,10),1.2),LEN(E73)-LEN(SUBSTITUTE(E73,"/",""))=2,MULTIPLY(LEFT(E73,FIND("!",SUBSTITUTE(E73,"/","!",1))-1),1.2)&amp;"/"&amp;MULTIPLY(MID(E73,FIND("!",SUBSTITUTE(E73,"/","!",1))+1,FIND("!",SUBSTITUTE(E73,"/","!",2))-FIND("!",SUBSTITUTE(E73,"/","!",1))-1),1.2)&amp;"/"&amp;MULTIPLY(RIGHT(E73,LEN(E73)-FIND("!",SUBSTITUTE(E73,"/","!",2))),1.2),LEN(E73)-LEN(SUBSTITUTE(E73,"/",""))=3,MULTIPLY(LEFT(E73,FIND("!",SUBSTITUTE(E73,"/","!",1))-1),1.2)&amp;"/"&amp;MULTIPLY(MID(E73,FIND("!",SUBSTITUTE(E73,"/","!",1))+1,FIND("!",SUBSTITUTE(E73,"/","!",2))-FIND("!",SUBSTITUTE(E73,"/","!",1))-1),1.2)&amp;"/"&amp;MULTIPLY(MID(E73,FIND("!",SUBSTITUTE(E73,"/","!",2))+1,FIND("!",SUBSTITUTE(E73,"/","!",3))-FIND("!",SUBSTITUTE(E73,"/","!",2))-1),1.2)&amp;"/"&amp;MULTIPLY(RIGHT(E73,LEN(E73)-FIND("!",SUBSTITUTE(E73,"/","!",3))),1.2),LEN(E73)-LEN(SUBSTITUTE(E73,"/",""))=4,MULTIPLY(LEFT(E73,FIND("!",SUBSTITUTE(E73,"/","!",1))-1),1.2)&amp;"/"&amp;MULTIPLY(MID(E73,FIND("!",SUBSTITUTE(E73,"/","!",1))+1,FIND("!",SUBSTITUTE(E73,"/","!",2))-FIND("!",SUBSTITUTE(E73,"/","!",1))-1),1.2)&amp;"/"&amp;MULTIPLY(MID(E73,FIND("!",SUBSTITUTE(E73,"/","!",2))+1,FIND("!",SUBSTITUTE(E73,"/","!",3))-FIND("!",SUBSTITUTE(E73,"/","!",2))-1),1.2)&amp;"/"&amp;MULTIPLY(MID(E73,FIND("!",SUBSTITUTE(E73,"/","!",3))+1,FIND("!",SUBSTITUTE(E73,"/","!",4))-FIND("!",SUBSTITUTE(E73,"/","!",3))-1),1.2)&amp;"/"&amp;MULTIPLY(RIGHT(E73,LEN(E73)-FIND("!",SUBSTITUTE(E73,"/","!",4))),1.2)),"")</f>
        <v>0</v>
      </c>
      <c r="G73" s="239"/>
      <c r="H73" s="3644"/>
      <c r="I73" s="164"/>
      <c r="J73" s="104"/>
      <c r="K73" s="282"/>
      <c r="L73" s="282"/>
      <c r="M73" s="363"/>
      <c r="N73" s="363"/>
      <c r="O73" s="138">
        <v>0.0</v>
      </c>
      <c r="P73" s="138">
        <v>1.0</v>
      </c>
      <c r="Q73" s="138">
        <v>1.0</v>
      </c>
      <c r="R73" s="145" t="b">
        <v>1</v>
      </c>
      <c r="S73" s="145" t="b">
        <v>1</v>
      </c>
      <c r="T73" s="145"/>
      <c r="U73" s="166" t="b">
        <v>1</v>
      </c>
      <c r="V73" s="166" t="b">
        <v>1</v>
      </c>
    </row>
    <row r="74" outlineLevel="1">
      <c r="A74" s="146"/>
      <c r="B74" s="663"/>
      <c r="C74" s="239"/>
      <c r="D74" s="107"/>
      <c r="E74" s="239"/>
      <c r="F74" s="138">
        <f t="shared" si="5"/>
        <v>0</v>
      </c>
      <c r="G74" s="239"/>
      <c r="H74" s="106"/>
      <c r="I74" s="168"/>
      <c r="J74" s="107"/>
      <c r="K74" s="282"/>
      <c r="L74" s="282"/>
      <c r="M74" s="363"/>
      <c r="N74" s="363"/>
      <c r="O74" s="138">
        <v>0.0</v>
      </c>
      <c r="P74" s="138">
        <v>1.0</v>
      </c>
      <c r="Q74" s="138">
        <v>1.0</v>
      </c>
      <c r="R74" s="145" t="b">
        <v>1</v>
      </c>
      <c r="S74" s="145" t="b">
        <v>1</v>
      </c>
      <c r="T74" s="145"/>
      <c r="U74" s="156"/>
      <c r="V74" s="156"/>
    </row>
    <row r="75" outlineLevel="1">
      <c r="A75" s="230" t="str">
        <f>"横B ("&amp;VLOOKUP($A$1,Fighters!$A$2:$AI$81,16,FALSE)&amp;")"</f>
        <v>横B (スプラローラー)</v>
      </c>
      <c r="B75" s="109"/>
      <c r="C75" s="231" t="str">
        <f>'テンプレート'!C75</f>
        <v>判定持続</v>
      </c>
      <c r="D75" s="231" t="str">
        <f>'テンプレート'!D75</f>
        <v>全体フレーム</v>
      </c>
      <c r="E75" s="232" t="str">
        <f>'テンプレート'!E75</f>
        <v>基礎ダメージ</v>
      </c>
      <c r="F75" s="233" t="str">
        <f>'テンプレート'!F75</f>
        <v>ダメージ (1v1)</v>
      </c>
      <c r="G75" s="232" t="str">
        <f>'テンプレート'!G75</f>
        <v>ガード硬直</v>
      </c>
      <c r="H75" s="382" t="str">
        <f>'テンプレート'!H75</f>
        <v>備考</v>
      </c>
      <c r="I75" s="110"/>
      <c r="J75" s="109"/>
      <c r="K75" s="235" t="str">
        <f>'テンプレート'!K75</f>
        <v>ベクトル</v>
      </c>
      <c r="L75" s="235" t="str">
        <f>'テンプレート'!L75</f>
        <v>KBG (R.E.)</v>
      </c>
      <c r="M75" s="235" t="str">
        <f>'テンプレート'!M75</f>
        <v>BKB (R.A.)</v>
      </c>
      <c r="N75" s="235" t="str">
        <f>'テンプレート'!N75</f>
        <v>FKB (R.F.)</v>
      </c>
      <c r="O75" s="236" t="str">
        <f>'テンプレート'!O75</f>
        <v>盾削り値</v>
      </c>
      <c r="P75" s="235" t="str">
        <f>'テンプレート'!P75</f>
        <v>ﾋｯﾄｽﾄｯﾌﾟ</v>
      </c>
      <c r="Q75" s="236" t="str">
        <f>'テンプレート'!Q75</f>
        <v>ずらし</v>
      </c>
      <c r="R75" s="235" t="str">
        <f>'テンプレート'!R75</f>
        <v>相殺</v>
      </c>
      <c r="S75" s="236" t="str">
        <f>'テンプレート'!S75</f>
        <v>相殺ﾓｰｼｮﾝ</v>
      </c>
      <c r="T75" s="236" t="str">
        <f>'テンプレート'!T75</f>
        <v>飛び道具</v>
      </c>
      <c r="U75" s="236" t="str">
        <f>'テンプレート'!U75</f>
        <v>慣性反転</v>
      </c>
      <c r="V75" s="236" t="str">
        <f>'テンプレート'!V75</f>
        <v>向き反転</v>
      </c>
    </row>
    <row r="76" outlineLevel="1">
      <c r="A76" s="237" t="s">
        <v>332</v>
      </c>
      <c r="B76" s="243"/>
      <c r="C76" s="239"/>
      <c r="D76" s="452"/>
      <c r="E76" s="239"/>
      <c r="F76" s="138">
        <f t="shared" ref="F76:F79" si="6">IFERROR(IFS(E76="-","-",LEN(E76)-LEN(SUBSTITUTE(E76,"/",""))=0,MULTIPLY(E76,1.2),LEN(E76)-LEN(SUBSTITUTE(E76,"/",""))=1,MULTIPLY(LEFT(E76,FIND("/",E76)-1),1.2)&amp;"/"&amp;MULTIPLY(MID(E76,FIND("/",E76)+1,10),1.2),LEN(E76)-LEN(SUBSTITUTE(E76,"/",""))=2,MULTIPLY(LEFT(E76,FIND("!",SUBSTITUTE(E76,"/","!",1))-1),1.2)&amp;"/"&amp;MULTIPLY(MID(E76,FIND("!",SUBSTITUTE(E76,"/","!",1))+1,FIND("!",SUBSTITUTE(E76,"/","!",2))-FIND("!",SUBSTITUTE(E76,"/","!",1))-1),1.2)&amp;"/"&amp;MULTIPLY(RIGHT(E76,LEN(E76)-FIND("!",SUBSTITUTE(E76,"/","!",2))),1.2),LEN(E76)-LEN(SUBSTITUTE(E76,"/",""))=3,MULTIPLY(LEFT(E76,FIND("!",SUBSTITUTE(E76,"/","!",1))-1),1.2)&amp;"/"&amp;MULTIPLY(MID(E76,FIND("!",SUBSTITUTE(E76,"/","!",1))+1,FIND("!",SUBSTITUTE(E76,"/","!",2))-FIND("!",SUBSTITUTE(E76,"/","!",1))-1),1.2)&amp;"/"&amp;MULTIPLY(MID(E76,FIND("!",SUBSTITUTE(E76,"/","!",2))+1,FIND("!",SUBSTITUTE(E76,"/","!",3))-FIND("!",SUBSTITUTE(E76,"/","!",2))-1),1.2)&amp;"/"&amp;MULTIPLY(RIGHT(E76,LEN(E76)-FIND("!",SUBSTITUTE(E76,"/","!",3))),1.2),LEN(E76)-LEN(SUBSTITUTE(E76,"/",""))=4,MULTIPLY(LEFT(E76,FIND("!",SUBSTITUTE(E76,"/","!",1))-1),1.2)&amp;"/"&amp;MULTIPLY(MID(E76,FIND("!",SUBSTITUTE(E76,"/","!",1))+1,FIND("!",SUBSTITUTE(E76,"/","!",2))-FIND("!",SUBSTITUTE(E76,"/","!",1))-1),1.2)&amp;"/"&amp;MULTIPLY(MID(E76,FIND("!",SUBSTITUTE(E76,"/","!",2))+1,FIND("!",SUBSTITUTE(E76,"/","!",3))-FIND("!",SUBSTITUTE(E76,"/","!",2))-1),1.2)&amp;"/"&amp;MULTIPLY(MID(E76,FIND("!",SUBSTITUTE(E76,"/","!",3))+1,FIND("!",SUBSTITUTE(E76,"/","!",4))-FIND("!",SUBSTITUTE(E76,"/","!",3))-1),1.2)&amp;"/"&amp;MULTIPLY(RIGHT(E76,LEN(E76)-FIND("!",SUBSTITUTE(E76,"/","!",4))),1.2)),"")</f>
        <v>0</v>
      </c>
      <c r="G76" s="239"/>
      <c r="H76" s="3644"/>
      <c r="I76" s="164"/>
      <c r="J76" s="104"/>
      <c r="K76" s="282"/>
      <c r="L76" s="282"/>
      <c r="M76" s="363"/>
      <c r="N76" s="363"/>
      <c r="O76" s="138">
        <v>0.0</v>
      </c>
      <c r="P76" s="138">
        <v>1.0</v>
      </c>
      <c r="Q76" s="138">
        <v>1.0</v>
      </c>
      <c r="R76" s="145" t="b">
        <v>1</v>
      </c>
      <c r="S76" s="145" t="b">
        <v>1</v>
      </c>
      <c r="T76" s="145"/>
      <c r="U76" s="166" t="b">
        <v>1</v>
      </c>
      <c r="V76" s="166" t="b">
        <v>1</v>
      </c>
    </row>
    <row r="77" outlineLevel="1">
      <c r="A77" s="146"/>
      <c r="B77" s="243"/>
      <c r="C77" s="239"/>
      <c r="D77" s="107"/>
      <c r="E77" s="239"/>
      <c r="F77" s="138">
        <f t="shared" si="6"/>
        <v>0</v>
      </c>
      <c r="G77" s="239"/>
      <c r="H77" s="212"/>
      <c r="J77" s="210"/>
      <c r="K77" s="138"/>
      <c r="L77" s="138"/>
      <c r="M77" s="145"/>
      <c r="N77" s="145"/>
      <c r="O77" s="138">
        <v>0.0</v>
      </c>
      <c r="P77" s="138">
        <v>1.0</v>
      </c>
      <c r="Q77" s="138">
        <v>1.0</v>
      </c>
      <c r="R77" s="145" t="b">
        <v>1</v>
      </c>
      <c r="S77" s="145" t="b">
        <v>1</v>
      </c>
      <c r="T77" s="145"/>
      <c r="U77" s="146"/>
      <c r="V77" s="146"/>
    </row>
    <row r="78" outlineLevel="1">
      <c r="A78" s="237" t="s">
        <v>344</v>
      </c>
      <c r="B78" s="243"/>
      <c r="C78" s="239"/>
      <c r="D78" s="452"/>
      <c r="E78" s="239"/>
      <c r="F78" s="138">
        <f t="shared" si="6"/>
        <v>0</v>
      </c>
      <c r="G78" s="239"/>
      <c r="H78" s="212"/>
      <c r="J78" s="210"/>
      <c r="K78" s="138"/>
      <c r="L78" s="138"/>
      <c r="M78" s="145"/>
      <c r="N78" s="145"/>
      <c r="O78" s="138">
        <v>0.0</v>
      </c>
      <c r="P78" s="138">
        <v>1.0</v>
      </c>
      <c r="Q78" s="138">
        <v>1.0</v>
      </c>
      <c r="R78" s="145" t="b">
        <v>1</v>
      </c>
      <c r="S78" s="145" t="b">
        <v>1</v>
      </c>
      <c r="T78" s="145"/>
      <c r="U78" s="146"/>
      <c r="V78" s="146"/>
    </row>
    <row r="79" outlineLevel="1">
      <c r="A79" s="146"/>
      <c r="B79" s="243"/>
      <c r="C79" s="239"/>
      <c r="D79" s="107"/>
      <c r="E79" s="239"/>
      <c r="F79" s="138">
        <f t="shared" si="6"/>
        <v>0</v>
      </c>
      <c r="G79" s="239"/>
      <c r="H79" s="106"/>
      <c r="I79" s="168"/>
      <c r="J79" s="107"/>
      <c r="K79" s="138"/>
      <c r="L79" s="138"/>
      <c r="M79" s="145"/>
      <c r="N79" s="145"/>
      <c r="O79" s="138">
        <v>0.0</v>
      </c>
      <c r="P79" s="138">
        <v>1.0</v>
      </c>
      <c r="Q79" s="138">
        <v>1.0</v>
      </c>
      <c r="R79" s="145" t="b">
        <v>1</v>
      </c>
      <c r="S79" s="145" t="b">
        <v>1</v>
      </c>
      <c r="T79" s="145"/>
      <c r="U79" s="156"/>
      <c r="V79" s="156"/>
    </row>
    <row r="80" outlineLevel="1">
      <c r="A80" s="230" t="str">
        <f>"上B ("&amp;VLOOKUP($A$1,Fighters!$A$2:$AI$81,17,FALSE)&amp;")"</f>
        <v>上B (スーパージャンプ)</v>
      </c>
      <c r="B80" s="109"/>
      <c r="C80" s="231" t="str">
        <f>'テンプレート'!C80</f>
        <v>判定持続</v>
      </c>
      <c r="D80" s="231" t="str">
        <f>'テンプレート'!D80</f>
        <v>全体フレーム</v>
      </c>
      <c r="E80" s="232" t="str">
        <f>'テンプレート'!E80</f>
        <v>基礎ダメージ</v>
      </c>
      <c r="F80" s="233" t="str">
        <f>'テンプレート'!F80</f>
        <v>ダメージ (1v1)</v>
      </c>
      <c r="G80" s="232" t="str">
        <f>'テンプレート'!G80</f>
        <v>ガード硬直</v>
      </c>
      <c r="H80" s="382" t="str">
        <f>'テンプレート'!H80</f>
        <v>備考</v>
      </c>
      <c r="I80" s="110"/>
      <c r="J80" s="109"/>
      <c r="K80" s="235" t="str">
        <f>'テンプレート'!K80</f>
        <v>ベクトル</v>
      </c>
      <c r="L80" s="235" t="str">
        <f>'テンプレート'!L80</f>
        <v>KBG (R.E.)</v>
      </c>
      <c r="M80" s="235" t="str">
        <f>'テンプレート'!M80</f>
        <v>BKB (R.A.)</v>
      </c>
      <c r="N80" s="235" t="str">
        <f>'テンプレート'!N80</f>
        <v>FKB (R.F.)</v>
      </c>
      <c r="O80" s="236" t="str">
        <f>'テンプレート'!O80</f>
        <v>盾削り値</v>
      </c>
      <c r="P80" s="235" t="str">
        <f>'テンプレート'!P80</f>
        <v>ﾋｯﾄｽﾄｯﾌﾟ</v>
      </c>
      <c r="Q80" s="236" t="str">
        <f>'テンプレート'!Q80</f>
        <v>ずらし</v>
      </c>
      <c r="R80" s="235" t="str">
        <f>'テンプレート'!R80</f>
        <v>相殺</v>
      </c>
      <c r="S80" s="236" t="str">
        <f>'テンプレート'!S80</f>
        <v>相殺ﾓｰｼｮﾝ</v>
      </c>
      <c r="T80" s="236" t="str">
        <f>'テンプレート'!T80</f>
        <v>飛び道具</v>
      </c>
      <c r="U80" s="236" t="str">
        <f>'テンプレート'!U80</f>
        <v>慣性反転</v>
      </c>
      <c r="V80" s="236" t="str">
        <f>'テンプレート'!V80</f>
        <v>向き反転</v>
      </c>
    </row>
    <row r="81" outlineLevel="1">
      <c r="A81" s="396" t="s">
        <v>332</v>
      </c>
      <c r="B81" s="870"/>
      <c r="C81" s="239"/>
      <c r="D81" s="250"/>
      <c r="E81" s="239"/>
      <c r="F81" s="138">
        <f t="shared" ref="F81:F84" si="7">IFERROR(IFS(E81="-","-",LEN(E81)-LEN(SUBSTITUTE(E81,"/",""))=0,MULTIPLY(E81,1.2),LEN(E81)-LEN(SUBSTITUTE(E81,"/",""))=1,MULTIPLY(LEFT(E81,FIND("/",E81)-1),1.2)&amp;"/"&amp;MULTIPLY(MID(E81,FIND("/",E81)+1,10),1.2),LEN(E81)-LEN(SUBSTITUTE(E81,"/",""))=2,MULTIPLY(LEFT(E81,FIND("!",SUBSTITUTE(E81,"/","!",1))-1),1.2)&amp;"/"&amp;MULTIPLY(MID(E81,FIND("!",SUBSTITUTE(E81,"/","!",1))+1,FIND("!",SUBSTITUTE(E81,"/","!",2))-FIND("!",SUBSTITUTE(E81,"/","!",1))-1),1.2)&amp;"/"&amp;MULTIPLY(RIGHT(E81,LEN(E81)-FIND("!",SUBSTITUTE(E81,"/","!",2))),1.2),LEN(E81)-LEN(SUBSTITUTE(E81,"/",""))=3,MULTIPLY(LEFT(E81,FIND("!",SUBSTITUTE(E81,"/","!",1))-1),1.2)&amp;"/"&amp;MULTIPLY(MID(E81,FIND("!",SUBSTITUTE(E81,"/","!",1))+1,FIND("!",SUBSTITUTE(E81,"/","!",2))-FIND("!",SUBSTITUTE(E81,"/","!",1))-1),1.2)&amp;"/"&amp;MULTIPLY(MID(E81,FIND("!",SUBSTITUTE(E81,"/","!",2))+1,FIND("!",SUBSTITUTE(E81,"/","!",3))-FIND("!",SUBSTITUTE(E81,"/","!",2))-1),1.2)&amp;"/"&amp;MULTIPLY(RIGHT(E81,LEN(E81)-FIND("!",SUBSTITUTE(E81,"/","!",3))),1.2),LEN(E81)-LEN(SUBSTITUTE(E81,"/",""))=4,MULTIPLY(LEFT(E81,FIND("!",SUBSTITUTE(E81,"/","!",1))-1),1.2)&amp;"/"&amp;MULTIPLY(MID(E81,FIND("!",SUBSTITUTE(E81,"/","!",1))+1,FIND("!",SUBSTITUTE(E81,"/","!",2))-FIND("!",SUBSTITUTE(E81,"/","!",1))-1),1.2)&amp;"/"&amp;MULTIPLY(MID(E81,FIND("!",SUBSTITUTE(E81,"/","!",2))+1,FIND("!",SUBSTITUTE(E81,"/","!",3))-FIND("!",SUBSTITUTE(E81,"/","!",2))-1),1.2)&amp;"/"&amp;MULTIPLY(MID(E81,FIND("!",SUBSTITUTE(E81,"/","!",3))+1,FIND("!",SUBSTITUTE(E81,"/","!",4))-FIND("!",SUBSTITUTE(E81,"/","!",3))-1),1.2)&amp;"/"&amp;MULTIPLY(RIGHT(E81,LEN(E81)-FIND("!",SUBSTITUTE(E81,"/","!",4))),1.2)),"")</f>
        <v>0</v>
      </c>
      <c r="G81" s="239"/>
      <c r="H81" s="163" t="s">
        <v>7432</v>
      </c>
      <c r="I81" s="164"/>
      <c r="J81" s="104"/>
      <c r="K81" s="138"/>
      <c r="L81" s="138"/>
      <c r="M81" s="145"/>
      <c r="N81" s="145"/>
      <c r="O81" s="138">
        <v>0.0</v>
      </c>
      <c r="P81" s="138">
        <v>1.0</v>
      </c>
      <c r="Q81" s="138">
        <v>1.0</v>
      </c>
      <c r="R81" s="145" t="b">
        <v>1</v>
      </c>
      <c r="S81" s="145" t="b">
        <v>1</v>
      </c>
      <c r="T81" s="145"/>
      <c r="U81" s="166" t="b">
        <v>1</v>
      </c>
      <c r="V81" s="166" t="b">
        <v>1</v>
      </c>
    </row>
    <row r="82" outlineLevel="1">
      <c r="A82" s="156"/>
      <c r="B82" s="870"/>
      <c r="C82" s="239"/>
      <c r="D82" s="146"/>
      <c r="E82" s="239"/>
      <c r="F82" s="138">
        <f t="shared" si="7"/>
        <v>0</v>
      </c>
      <c r="G82" s="239"/>
      <c r="H82" s="212"/>
      <c r="J82" s="210"/>
      <c r="K82" s="138"/>
      <c r="L82" s="138"/>
      <c r="M82" s="145"/>
      <c r="N82" s="145"/>
      <c r="O82" s="138">
        <v>0.0</v>
      </c>
      <c r="P82" s="138">
        <v>1.0</v>
      </c>
      <c r="Q82" s="138">
        <v>1.0</v>
      </c>
      <c r="R82" s="145" t="b">
        <v>1</v>
      </c>
      <c r="S82" s="145" t="b">
        <v>1</v>
      </c>
      <c r="T82" s="145"/>
      <c r="U82" s="146"/>
      <c r="V82" s="146"/>
    </row>
    <row r="83" outlineLevel="1">
      <c r="A83" s="396" t="s">
        <v>344</v>
      </c>
      <c r="B83" s="870"/>
      <c r="C83" s="239"/>
      <c r="D83" s="146"/>
      <c r="E83" s="239"/>
      <c r="F83" s="138">
        <f t="shared" si="7"/>
        <v>0</v>
      </c>
      <c r="G83" s="239"/>
      <c r="H83" s="212"/>
      <c r="J83" s="210"/>
      <c r="K83" s="138"/>
      <c r="L83" s="138"/>
      <c r="M83" s="145"/>
      <c r="N83" s="145"/>
      <c r="O83" s="138">
        <v>0.0</v>
      </c>
      <c r="P83" s="138">
        <v>1.0</v>
      </c>
      <c r="Q83" s="138">
        <v>1.0</v>
      </c>
      <c r="R83" s="145" t="b">
        <v>1</v>
      </c>
      <c r="S83" s="145" t="b">
        <v>1</v>
      </c>
      <c r="T83" s="145"/>
      <c r="U83" s="146"/>
      <c r="V83" s="146"/>
    </row>
    <row r="84" outlineLevel="1">
      <c r="A84" s="156"/>
      <c r="B84" s="870"/>
      <c r="C84" s="239"/>
      <c r="D84" s="156"/>
      <c r="E84" s="239"/>
      <c r="F84" s="138">
        <f t="shared" si="7"/>
        <v>0</v>
      </c>
      <c r="G84" s="239"/>
      <c r="H84" s="106"/>
      <c r="I84" s="168"/>
      <c r="J84" s="107"/>
      <c r="K84" s="138"/>
      <c r="L84" s="138"/>
      <c r="M84" s="145"/>
      <c r="N84" s="145"/>
      <c r="O84" s="138">
        <v>0.0</v>
      </c>
      <c r="P84" s="138">
        <v>1.0</v>
      </c>
      <c r="Q84" s="138">
        <v>1.0</v>
      </c>
      <c r="R84" s="145" t="b">
        <v>1</v>
      </c>
      <c r="S84" s="145" t="b">
        <v>1</v>
      </c>
      <c r="T84" s="145"/>
      <c r="U84" s="156"/>
      <c r="V84" s="156"/>
    </row>
    <row r="85" outlineLevel="1">
      <c r="A85" s="230" t="str">
        <f>"下B ("&amp;VLOOKUP($A$1,Fighters!$A$2:$AI$81,18,FALSE)&amp;")"</f>
        <v>下B (スプラッシュボム)</v>
      </c>
      <c r="B85" s="109"/>
      <c r="C85" s="231" t="str">
        <f>'テンプレート'!C85</f>
        <v>判定持続</v>
      </c>
      <c r="D85" s="231" t="str">
        <f>'テンプレート'!D85</f>
        <v>全体フレーム</v>
      </c>
      <c r="E85" s="232" t="str">
        <f>'テンプレート'!E85</f>
        <v>基礎ダメージ</v>
      </c>
      <c r="F85" s="233" t="str">
        <f>'テンプレート'!F85</f>
        <v>ダメージ (1v1)</v>
      </c>
      <c r="G85" s="232" t="str">
        <f>'テンプレート'!G85</f>
        <v>ガード硬直</v>
      </c>
      <c r="H85" s="382" t="str">
        <f>'テンプレート'!H85</f>
        <v>備考</v>
      </c>
      <c r="I85" s="110"/>
      <c r="J85" s="109"/>
      <c r="K85" s="235" t="str">
        <f>'テンプレート'!K85</f>
        <v>ベクトル</v>
      </c>
      <c r="L85" s="235" t="str">
        <f>'テンプレート'!L85</f>
        <v>KBG (R.E.)</v>
      </c>
      <c r="M85" s="235" t="str">
        <f>'テンプレート'!M85</f>
        <v>BKB (R.A.)</v>
      </c>
      <c r="N85" s="235" t="str">
        <f>'テンプレート'!N85</f>
        <v>FKB (R.F.)</v>
      </c>
      <c r="O85" s="236" t="str">
        <f>'テンプレート'!O85</f>
        <v>盾削り値</v>
      </c>
      <c r="P85" s="235" t="str">
        <f>'テンプレート'!P85</f>
        <v>ﾋｯﾄｽﾄｯﾌﾟ</v>
      </c>
      <c r="Q85" s="236" t="str">
        <f>'テンプレート'!Q85</f>
        <v>ずらし</v>
      </c>
      <c r="R85" s="235" t="str">
        <f>'テンプレート'!R85</f>
        <v>相殺</v>
      </c>
      <c r="S85" s="236" t="str">
        <f>'テンプレート'!S85</f>
        <v>相殺ﾓｰｼｮﾝ</v>
      </c>
      <c r="T85" s="236" t="str">
        <f>'テンプレート'!T85</f>
        <v>飛び道具</v>
      </c>
      <c r="U85" s="236" t="str">
        <f>'テンプレート'!U85</f>
        <v>慣性反転</v>
      </c>
      <c r="V85" s="236" t="str">
        <f>'テンプレート'!V85</f>
        <v>向き反転</v>
      </c>
    </row>
    <row r="86" outlineLevel="1">
      <c r="A86" s="396" t="s">
        <v>332</v>
      </c>
      <c r="B86" s="870"/>
      <c r="C86" s="239"/>
      <c r="D86" s="452"/>
      <c r="E86" s="239"/>
      <c r="F86" s="138">
        <f t="shared" ref="F86:F89" si="8">IFERROR(IFS(E86="-","-",LEN(E86)-LEN(SUBSTITUTE(E86,"/",""))=0,MULTIPLY(E86,1.2),LEN(E86)-LEN(SUBSTITUTE(E86,"/",""))=1,MULTIPLY(LEFT(E86,FIND("/",E86)-1),1.2)&amp;"/"&amp;MULTIPLY(MID(E86,FIND("/",E86)+1,10),1.2),LEN(E86)-LEN(SUBSTITUTE(E86,"/",""))=2,MULTIPLY(LEFT(E86,FIND("!",SUBSTITUTE(E86,"/","!",1))-1),1.2)&amp;"/"&amp;MULTIPLY(MID(E86,FIND("!",SUBSTITUTE(E86,"/","!",1))+1,FIND("!",SUBSTITUTE(E86,"/","!",2))-FIND("!",SUBSTITUTE(E86,"/","!",1))-1),1.2)&amp;"/"&amp;MULTIPLY(RIGHT(E86,LEN(E86)-FIND("!",SUBSTITUTE(E86,"/","!",2))),1.2),LEN(E86)-LEN(SUBSTITUTE(E86,"/",""))=3,MULTIPLY(LEFT(E86,FIND("!",SUBSTITUTE(E86,"/","!",1))-1),1.2)&amp;"/"&amp;MULTIPLY(MID(E86,FIND("!",SUBSTITUTE(E86,"/","!",1))+1,FIND("!",SUBSTITUTE(E86,"/","!",2))-FIND("!",SUBSTITUTE(E86,"/","!",1))-1),1.2)&amp;"/"&amp;MULTIPLY(MID(E86,FIND("!",SUBSTITUTE(E86,"/","!",2))+1,FIND("!",SUBSTITUTE(E86,"/","!",3))-FIND("!",SUBSTITUTE(E86,"/","!",2))-1),1.2)&amp;"/"&amp;MULTIPLY(RIGHT(E86,LEN(E86)-FIND("!",SUBSTITUTE(E86,"/","!",3))),1.2),LEN(E86)-LEN(SUBSTITUTE(E86,"/",""))=4,MULTIPLY(LEFT(E86,FIND("!",SUBSTITUTE(E86,"/","!",1))-1),1.2)&amp;"/"&amp;MULTIPLY(MID(E86,FIND("!",SUBSTITUTE(E86,"/","!",1))+1,FIND("!",SUBSTITUTE(E86,"/","!",2))-FIND("!",SUBSTITUTE(E86,"/","!",1))-1),1.2)&amp;"/"&amp;MULTIPLY(MID(E86,FIND("!",SUBSTITUTE(E86,"/","!",2))+1,FIND("!",SUBSTITUTE(E86,"/","!",3))-FIND("!",SUBSTITUTE(E86,"/","!",2))-1),1.2)&amp;"/"&amp;MULTIPLY(MID(E86,FIND("!",SUBSTITUTE(E86,"/","!",3))+1,FIND("!",SUBSTITUTE(E86,"/","!",4))-FIND("!",SUBSTITUTE(E86,"/","!",3))-1),1.2)&amp;"/"&amp;MULTIPLY(RIGHT(E86,LEN(E86)-FIND("!",SUBSTITUTE(E86,"/","!",4))),1.2)),"")</f>
        <v>0</v>
      </c>
      <c r="G86" s="239"/>
      <c r="H86" s="3644"/>
      <c r="I86" s="164"/>
      <c r="J86" s="104"/>
      <c r="K86" s="138"/>
      <c r="L86" s="138"/>
      <c r="M86" s="145"/>
      <c r="N86" s="145"/>
      <c r="O86" s="138">
        <v>0.0</v>
      </c>
      <c r="P86" s="138">
        <v>1.0</v>
      </c>
      <c r="Q86" s="138">
        <v>1.0</v>
      </c>
      <c r="R86" s="145" t="b">
        <v>1</v>
      </c>
      <c r="S86" s="145" t="b">
        <v>1</v>
      </c>
      <c r="T86" s="145"/>
      <c r="U86" s="166" t="b">
        <v>1</v>
      </c>
      <c r="V86" s="166" t="b">
        <v>1</v>
      </c>
    </row>
    <row r="87" outlineLevel="1">
      <c r="A87" s="156"/>
      <c r="B87" s="870"/>
      <c r="C87" s="239"/>
      <c r="D87" s="107"/>
      <c r="E87" s="239"/>
      <c r="F87" s="138">
        <f t="shared" si="8"/>
        <v>0</v>
      </c>
      <c r="G87" s="239"/>
      <c r="H87" s="212"/>
      <c r="J87" s="210"/>
      <c r="K87" s="138"/>
      <c r="L87" s="138"/>
      <c r="M87" s="145"/>
      <c r="N87" s="145"/>
      <c r="O87" s="138">
        <v>0.0</v>
      </c>
      <c r="P87" s="138">
        <v>1.0</v>
      </c>
      <c r="Q87" s="138">
        <v>1.0</v>
      </c>
      <c r="R87" s="145" t="b">
        <v>1</v>
      </c>
      <c r="S87" s="145" t="b">
        <v>1</v>
      </c>
      <c r="T87" s="145"/>
      <c r="U87" s="146"/>
      <c r="V87" s="146"/>
    </row>
    <row r="88" outlineLevel="1">
      <c r="A88" s="396" t="s">
        <v>344</v>
      </c>
      <c r="B88" s="870"/>
      <c r="C88" s="239"/>
      <c r="D88" s="452"/>
      <c r="E88" s="239"/>
      <c r="F88" s="138">
        <f t="shared" si="8"/>
        <v>0</v>
      </c>
      <c r="G88" s="239"/>
      <c r="H88" s="212"/>
      <c r="J88" s="210"/>
      <c r="K88" s="138"/>
      <c r="L88" s="138"/>
      <c r="M88" s="145"/>
      <c r="N88" s="145"/>
      <c r="O88" s="138">
        <v>0.0</v>
      </c>
      <c r="P88" s="138">
        <v>1.0</v>
      </c>
      <c r="Q88" s="138">
        <v>1.0</v>
      </c>
      <c r="R88" s="145" t="b">
        <v>1</v>
      </c>
      <c r="S88" s="145" t="b">
        <v>1</v>
      </c>
      <c r="T88" s="145"/>
      <c r="U88" s="146"/>
      <c r="V88" s="146"/>
    </row>
    <row r="89" outlineLevel="1">
      <c r="A89" s="156"/>
      <c r="B89" s="870"/>
      <c r="C89" s="239"/>
      <c r="D89" s="107"/>
      <c r="E89" s="239"/>
      <c r="F89" s="138">
        <f t="shared" si="8"/>
        <v>0</v>
      </c>
      <c r="G89" s="239"/>
      <c r="H89" s="106"/>
      <c r="I89" s="168"/>
      <c r="J89" s="107"/>
      <c r="K89" s="138"/>
      <c r="L89" s="282"/>
      <c r="M89" s="363"/>
      <c r="N89" s="363"/>
      <c r="O89" s="138">
        <v>0.0</v>
      </c>
      <c r="P89" s="138">
        <v>1.0</v>
      </c>
      <c r="Q89" s="138">
        <v>1.0</v>
      </c>
      <c r="R89" s="145" t="b">
        <v>1</v>
      </c>
      <c r="S89" s="145" t="b">
        <v>1</v>
      </c>
      <c r="T89" s="145"/>
      <c r="U89" s="156"/>
      <c r="V89" s="156"/>
    </row>
    <row r="90">
      <c r="A90" s="223"/>
      <c r="B90" s="224"/>
      <c r="C90" s="225"/>
      <c r="D90" s="225"/>
      <c r="E90" s="226"/>
      <c r="F90" s="226"/>
      <c r="G90" s="226"/>
      <c r="H90" s="227"/>
      <c r="I90" s="227"/>
      <c r="J90" s="228"/>
      <c r="K90" s="228"/>
      <c r="L90" s="228"/>
      <c r="M90" s="228"/>
      <c r="N90" s="228"/>
      <c r="O90" s="228"/>
      <c r="P90" s="228"/>
      <c r="Q90" s="118"/>
      <c r="R90" s="118"/>
      <c r="S90" s="118"/>
      <c r="T90" s="118"/>
      <c r="U90" s="118"/>
      <c r="V90" s="118"/>
    </row>
    <row r="91">
      <c r="A91" s="264" t="str">
        <f>'テンプレート'!A91</f>
        <v>つかみ・投げ</v>
      </c>
      <c r="B91" s="104"/>
      <c r="C91" s="227"/>
      <c r="D91" s="227"/>
      <c r="E91" s="228"/>
      <c r="F91" s="265"/>
      <c r="G91" s="265"/>
      <c r="H91" s="228"/>
      <c r="I91" s="228"/>
      <c r="J91" s="228"/>
      <c r="K91" s="228"/>
      <c r="L91" s="228"/>
      <c r="M91" s="228"/>
      <c r="N91" s="118"/>
      <c r="O91" s="118"/>
      <c r="P91" s="118"/>
      <c r="Q91" s="228"/>
      <c r="R91" s="228"/>
      <c r="S91" s="228"/>
      <c r="T91" s="228"/>
      <c r="U91" s="228"/>
      <c r="V91" s="228"/>
    </row>
    <row r="92" outlineLevel="1">
      <c r="A92" s="106"/>
      <c r="B92" s="107"/>
      <c r="C92" s="266" t="str">
        <f>'テンプレート'!C92</f>
        <v>判定持続</v>
      </c>
      <c r="D92" s="266" t="str">
        <f>'テンプレート'!D92</f>
        <v>全体フレーム</v>
      </c>
      <c r="E92" s="266" t="str">
        <f>'テンプレート'!E92</f>
        <v>基礎ダメージ</v>
      </c>
      <c r="F92" s="267" t="str">
        <f>'テンプレート'!F92</f>
        <v>ダメージ (1v1)</v>
      </c>
      <c r="G92" s="227"/>
      <c r="H92" s="227"/>
      <c r="I92" s="227"/>
      <c r="J92" s="228"/>
      <c r="K92" s="228"/>
      <c r="L92" s="228"/>
      <c r="M92" s="228"/>
      <c r="N92" s="228"/>
      <c r="O92" s="228"/>
      <c r="P92" s="228"/>
      <c r="Q92" s="228"/>
      <c r="R92" s="228"/>
      <c r="S92" s="228"/>
      <c r="T92" s="228"/>
      <c r="U92" s="228"/>
      <c r="V92" s="228"/>
    </row>
    <row r="93" outlineLevel="1">
      <c r="A93" s="268" t="str">
        <f>'テンプレート'!A93</f>
        <v>つかみ攻撃</v>
      </c>
      <c r="B93" s="269" t="str">
        <f>'テンプレート'!B93</f>
        <v>つかみ攻撃</v>
      </c>
      <c r="C93" s="113" t="str">
        <f t="shared" ref="C93:E93" si="9">INDEX('つかみ・投げ'!$C$3:$E$109, MATCH($A$1,'つかみ・投げ'!$A$3:$A$109,0), MATCH(C92,'つかみ・投げ'!$C$2:$E$2,0))</f>
        <v>#REF!</v>
      </c>
      <c r="D93" s="113" t="str">
        <f t="shared" si="9"/>
        <v>#REF!</v>
      </c>
      <c r="E93" s="113" t="str">
        <f t="shared" si="9"/>
        <v>#REF!</v>
      </c>
      <c r="F93" s="138" t="str">
        <f>E93*1.2</f>
        <v>#REF!</v>
      </c>
      <c r="G93" s="227"/>
      <c r="H93" s="227"/>
      <c r="I93" s="227"/>
      <c r="J93" s="228"/>
      <c r="K93" s="228"/>
      <c r="L93" s="228"/>
      <c r="M93" s="228"/>
      <c r="N93" s="228"/>
      <c r="O93" s="228"/>
      <c r="P93" s="228"/>
      <c r="Q93" s="228"/>
      <c r="R93" s="228"/>
      <c r="S93" s="228"/>
      <c r="T93" s="228"/>
      <c r="U93" s="228"/>
      <c r="V93" s="228"/>
    </row>
    <row r="94" outlineLevel="1">
      <c r="A94" s="270" t="str">
        <f>'テンプレート'!A94</f>
        <v>つかみ</v>
      </c>
      <c r="B94" s="269" t="str">
        <f>'テンプレート'!B94</f>
        <v>その場</v>
      </c>
      <c r="C94" s="113" t="str">
        <f t="shared" ref="C94:D94" si="10">INDEX('つかみ・投げ'!$F$3:$G$109, MATCH($A$1,'つかみ・投げ'!$A$3:$A$109,0), MATCH(C$92,'つかみ・投げ'!$F$2:$G$2,0))</f>
        <v>#REF!</v>
      </c>
      <c r="D94" s="113" t="str">
        <f t="shared" si="10"/>
        <v>#REF!</v>
      </c>
      <c r="E94" s="271"/>
      <c r="F94" s="272"/>
      <c r="G94" s="272"/>
      <c r="H94" s="227"/>
      <c r="I94" s="227"/>
      <c r="J94" s="228"/>
      <c r="K94" s="228"/>
      <c r="L94" s="228"/>
      <c r="M94" s="228"/>
      <c r="N94" s="228"/>
      <c r="O94" s="228"/>
      <c r="P94" s="228"/>
      <c r="Q94" s="228"/>
      <c r="R94" s="228"/>
      <c r="S94" s="228"/>
      <c r="T94" s="228"/>
      <c r="U94" s="228"/>
      <c r="V94" s="228"/>
    </row>
    <row r="95" outlineLevel="1">
      <c r="A95" s="212"/>
      <c r="B95" s="269" t="str">
        <f>'テンプレート'!B95</f>
        <v>ダッシュ</v>
      </c>
      <c r="C95" s="113" t="str">
        <f t="shared" ref="C95:D95" si="11">INDEX('つかみ・投げ'!$H$3:$I$109, MATCH($A$1,'つかみ・投げ'!$A$3:$A$109,0), MATCH(C$92,'つかみ・投げ'!$H$2:$I$2,0))</f>
        <v>#REF!</v>
      </c>
      <c r="D95" s="113" t="str">
        <f t="shared" si="11"/>
        <v>#REF!</v>
      </c>
      <c r="E95" s="271"/>
      <c r="F95" s="272"/>
      <c r="G95" s="272"/>
      <c r="H95" s="227"/>
      <c r="I95" s="227"/>
      <c r="J95" s="228"/>
      <c r="K95" s="228"/>
      <c r="L95" s="228"/>
      <c r="M95" s="228"/>
      <c r="N95" s="228"/>
      <c r="O95" s="228"/>
      <c r="P95" s="228"/>
      <c r="Q95" s="228"/>
      <c r="R95" s="228"/>
      <c r="S95" s="228"/>
      <c r="T95" s="228"/>
      <c r="U95" s="228"/>
      <c r="V95" s="228"/>
    </row>
    <row r="96" outlineLevel="1">
      <c r="A96" s="106"/>
      <c r="B96" s="269" t="str">
        <f>'テンプレート'!B96</f>
        <v>ふりむき</v>
      </c>
      <c r="C96" s="113" t="str">
        <f t="shared" ref="C96:D96" si="12">INDEX('つかみ・投げ'!$J$3:$K$109, MATCH($A$1,'つかみ・投げ'!$A$3:$A$109,0), MATCH(C$92,'つかみ・投げ'!$J$2:$K$2,0))</f>
        <v>#REF!</v>
      </c>
      <c r="D96" s="113" t="str">
        <f t="shared" si="12"/>
        <v>#REF!</v>
      </c>
      <c r="E96" s="227"/>
      <c r="F96" s="272"/>
      <c r="G96" s="272"/>
      <c r="H96" s="227"/>
      <c r="I96" s="227"/>
      <c r="J96" s="228"/>
      <c r="K96" s="228"/>
      <c r="L96" s="228"/>
      <c r="M96" s="228"/>
      <c r="N96" s="228"/>
      <c r="O96" s="228"/>
      <c r="P96" s="228"/>
      <c r="Q96" s="228"/>
      <c r="R96" s="228"/>
      <c r="S96" s="228"/>
      <c r="T96" s="228"/>
      <c r="U96" s="228"/>
      <c r="V96" s="228"/>
    </row>
    <row r="97" outlineLevel="1">
      <c r="A97" s="273" t="str">
        <f>'テンプレート'!A97</f>
        <v>投げ</v>
      </c>
      <c r="B97" s="109"/>
      <c r="C97" s="266" t="str">
        <f>'テンプレート'!C97</f>
        <v>判定持続</v>
      </c>
      <c r="D97" s="266" t="str">
        <f>'テンプレート'!D97</f>
        <v>全体フレーム</v>
      </c>
      <c r="E97" s="266" t="str">
        <f>'テンプレート'!E97</f>
        <v>基礎ダメージ</v>
      </c>
      <c r="F97" s="266" t="str">
        <f>'テンプレート'!F97</f>
        <v>ダメージ (1v1)</v>
      </c>
      <c r="G97" s="3829" t="str">
        <f>'テンプレート'!G97</f>
        <v>備考</v>
      </c>
      <c r="H97" s="1168" t="str">
        <f>'テンプレート'!H97</f>
        <v/>
      </c>
      <c r="I97" s="110"/>
      <c r="J97" s="109"/>
      <c r="K97" s="275" t="str">
        <f>'テンプレート'!K97</f>
        <v>ベクトル</v>
      </c>
      <c r="L97" s="275" t="str">
        <f>'テンプレート'!L97</f>
        <v>KBG (R.E.)</v>
      </c>
      <c r="M97" s="275" t="str">
        <f>'テンプレート'!M97</f>
        <v>BKB (R.A.)</v>
      </c>
      <c r="N97" s="275" t="str">
        <f>'テンプレート'!N97</f>
        <v>FKB (R.F.)</v>
      </c>
      <c r="O97" s="276" t="str">
        <f>'テンプレート'!O97</f>
        <v>盾削り値</v>
      </c>
      <c r="P97" s="275" t="str">
        <f>'テンプレート'!P97</f>
        <v>ﾋｯﾄｽﾄｯﾌﾟ</v>
      </c>
      <c r="Q97" s="276" t="str">
        <f>'テンプレート'!Q97</f>
        <v>ずらし</v>
      </c>
      <c r="R97" s="277"/>
      <c r="S97" s="277"/>
      <c r="T97" s="277"/>
      <c r="U97" s="277"/>
      <c r="V97" s="277"/>
    </row>
    <row r="98" outlineLevel="1">
      <c r="A98" s="278" t="str">
        <f>'テンプレート'!A98</f>
        <v>前投げ</v>
      </c>
      <c r="B98" s="269" t="str">
        <f>'テンプレート'!B98</f>
        <v>打撃</v>
      </c>
      <c r="C98" s="279" t="str">
        <f t="array" ref="C98">INDEX(#REF!, MATCH($A$1,'つかみ・投げ'!$A$3:$A$109,0), MATCH(A98,#REF!,0))</f>
        <v>#REF!</v>
      </c>
      <c r="D98" s="113" t="str">
        <f t="array" ref="D98">INDEX('つかみ・投げ'!$L$3:$L$103, MATCH($A$1,'つかみ・投げ'!$A$3:$A$109,0), MATCH(B98,'つかみ・投げ'!$L$2:$W$2,0))</f>
        <v>#REF!</v>
      </c>
      <c r="E98" s="279" t="str">
        <f t="array" ref="E98">INDEX('つかみ・投げ'!$N$3:$W$109, MATCH($A$1,'つかみ・投げ'!$A$3:$A$109,0), MATCH(A98,'つかみ・投げ'!$N$2:$W$2,0))</f>
        <v>#REF!</v>
      </c>
      <c r="F98" s="239"/>
      <c r="G98" s="138">
        <f t="shared" ref="G98:G105" si="13">IFERROR(F98*1.2, "-")</f>
        <v>0</v>
      </c>
      <c r="H98" s="1170"/>
      <c r="I98" s="164"/>
      <c r="J98" s="104"/>
      <c r="K98" s="282"/>
      <c r="L98" s="282"/>
      <c r="M98" s="363"/>
      <c r="N98" s="363"/>
      <c r="O98" s="145">
        <v>0.0</v>
      </c>
      <c r="P98" s="145">
        <v>1.0</v>
      </c>
      <c r="Q98" s="145">
        <v>1.0</v>
      </c>
      <c r="R98" s="277"/>
      <c r="S98" s="228"/>
      <c r="T98" s="228"/>
      <c r="U98" s="228"/>
      <c r="V98" s="228"/>
    </row>
    <row r="99" outlineLevel="1">
      <c r="A99" s="156"/>
      <c r="B99" s="269" t="str">
        <f>'テンプレート'!B99</f>
        <v>投げ</v>
      </c>
      <c r="C99" s="156"/>
      <c r="D99" s="113" t="str">
        <f t="array" ref="D99">INDEX('つかみ・投げ'!$M$3:$M$103, MATCH($A$1,'つかみ・投げ'!$A$3:$A$109,0), MATCH(B99,'つかみ・投げ'!$M$2:$W$2,0))</f>
        <v>#REF!</v>
      </c>
      <c r="E99" s="156"/>
      <c r="F99" s="239"/>
      <c r="G99" s="138">
        <f t="shared" si="13"/>
        <v>0</v>
      </c>
      <c r="H99" s="106"/>
      <c r="I99" s="168"/>
      <c r="J99" s="107"/>
      <c r="K99" s="282"/>
      <c r="L99" s="282"/>
      <c r="M99" s="363"/>
      <c r="N99" s="363"/>
      <c r="O99" s="261"/>
      <c r="P99" s="261"/>
      <c r="Q99" s="261"/>
      <c r="R99" s="277"/>
      <c r="S99" s="228"/>
      <c r="T99" s="228"/>
      <c r="U99" s="228"/>
      <c r="V99" s="228"/>
    </row>
    <row r="100" outlineLevel="1">
      <c r="A100" s="278" t="str">
        <f>'テンプレート'!A100</f>
        <v>後投げ</v>
      </c>
      <c r="B100" s="269" t="str">
        <f>'テンプレート'!B100</f>
        <v>打撃</v>
      </c>
      <c r="C100" s="279" t="str">
        <f t="array" ref="C100">INDEX(#REF!, MATCH($A$1,'つかみ・投げ'!$A$3:$A$109,0), MATCH(A100,#REF!,0))</f>
        <v>#REF!</v>
      </c>
      <c r="D100" s="113" t="str">
        <f t="array" ref="D100">INDEX('つかみ・投げ'!$O$3:$O$103, MATCH($A$1,'つかみ・投げ'!$A$3:$A$109,0), MATCH(B100,'つかみ・投げ'!$O$2:$W$2,0))</f>
        <v>#REF!</v>
      </c>
      <c r="E100" s="279" t="str">
        <f t="array" ref="E100">INDEX('つかみ・投げ'!$N$3:$W$109, MATCH($A$1,'つかみ・投げ'!$A$3:$A$109,0), MATCH(A100,'つかみ・投げ'!$N$2:$W$2,0))</f>
        <v>#REF!</v>
      </c>
      <c r="F100" s="239"/>
      <c r="G100" s="138">
        <f t="shared" si="13"/>
        <v>0</v>
      </c>
      <c r="H100" s="1170"/>
      <c r="I100" s="164"/>
      <c r="J100" s="104"/>
      <c r="K100" s="282"/>
      <c r="L100" s="282"/>
      <c r="M100" s="363"/>
      <c r="N100" s="363"/>
      <c r="O100" s="145">
        <v>0.0</v>
      </c>
      <c r="P100" s="145">
        <v>1.0</v>
      </c>
      <c r="Q100" s="145">
        <v>1.0</v>
      </c>
      <c r="R100" s="277"/>
      <c r="S100" s="228"/>
      <c r="T100" s="228"/>
      <c r="U100" s="228"/>
      <c r="V100" s="228"/>
    </row>
    <row r="101" outlineLevel="1">
      <c r="A101" s="156"/>
      <c r="B101" s="269" t="str">
        <f>'テンプレート'!B101</f>
        <v>投げ</v>
      </c>
      <c r="C101" s="156"/>
      <c r="D101" s="113" t="str">
        <f t="array" ref="D101">INDEX('つかみ・投げ'!$P$3:$P$103, MATCH($A$1,'つかみ・投げ'!$A$3:$A$109,0), MATCH(B101,'つかみ・投げ'!$P$2:$W$2,0))</f>
        <v>#REF!</v>
      </c>
      <c r="E101" s="156"/>
      <c r="F101" s="239"/>
      <c r="G101" s="138">
        <f t="shared" si="13"/>
        <v>0</v>
      </c>
      <c r="H101" s="106"/>
      <c r="I101" s="168"/>
      <c r="J101" s="107"/>
      <c r="K101" s="282"/>
      <c r="L101" s="282"/>
      <c r="M101" s="363"/>
      <c r="N101" s="363"/>
      <c r="O101" s="261"/>
      <c r="P101" s="261"/>
      <c r="Q101" s="261"/>
      <c r="R101" s="277"/>
      <c r="S101" s="228"/>
      <c r="T101" s="228"/>
      <c r="U101" s="228"/>
      <c r="V101" s="228"/>
    </row>
    <row r="102" outlineLevel="1">
      <c r="A102" s="278" t="str">
        <f>'テンプレート'!A102</f>
        <v>上投げ</v>
      </c>
      <c r="B102" s="269" t="str">
        <f>'テンプレート'!B102</f>
        <v>打撃</v>
      </c>
      <c r="C102" s="279" t="str">
        <f t="array" ref="C102">INDEX(#REF!, MATCH($A$1,'つかみ・投げ'!$A$3:$A$109,0), MATCH(A102,#REF!,0))</f>
        <v>#REF!</v>
      </c>
      <c r="D102" s="113" t="str">
        <f t="array" ref="D102">INDEX('つかみ・投げ'!$R$3:$R$103, MATCH($A$1,'つかみ・投げ'!$A$3:$A$109,0), MATCH(B102,'つかみ・投げ'!$R$2:$W$2,0))</f>
        <v>#REF!</v>
      </c>
      <c r="E102" s="279" t="str">
        <f t="array" ref="E102">INDEX('つかみ・投げ'!$N$3:$W$109, MATCH($A$1,'つかみ・投げ'!$A$3:$A$109,0), MATCH(A102,'つかみ・投げ'!$N$2:$W$2,0))</f>
        <v>#REF!</v>
      </c>
      <c r="F102" s="239"/>
      <c r="G102" s="138">
        <f t="shared" si="13"/>
        <v>0</v>
      </c>
      <c r="H102" s="1170"/>
      <c r="I102" s="164"/>
      <c r="J102" s="104"/>
      <c r="K102" s="282"/>
      <c r="L102" s="282"/>
      <c r="M102" s="363"/>
      <c r="N102" s="363"/>
      <c r="O102" s="145">
        <v>0.0</v>
      </c>
      <c r="P102" s="145">
        <v>1.0</v>
      </c>
      <c r="Q102" s="145">
        <v>1.0</v>
      </c>
      <c r="R102" s="277"/>
      <c r="S102" s="228"/>
      <c r="T102" s="228"/>
      <c r="U102" s="228"/>
      <c r="V102" s="228"/>
    </row>
    <row r="103" outlineLevel="1">
      <c r="A103" s="156"/>
      <c r="B103" s="269" t="str">
        <f>'テンプレート'!B103</f>
        <v>投げ</v>
      </c>
      <c r="C103" s="156"/>
      <c r="D103" s="113" t="str">
        <f t="array" ref="D103">INDEX('つかみ・投げ'!$S$3:$S$103, MATCH($A$1,'つかみ・投げ'!$A$3:$A$109,0), MATCH(B103,'つかみ・投げ'!$S$2:$W$2,0))</f>
        <v>#REF!</v>
      </c>
      <c r="E103" s="156"/>
      <c r="F103" s="239"/>
      <c r="G103" s="138">
        <f t="shared" si="13"/>
        <v>0</v>
      </c>
      <c r="H103" s="106"/>
      <c r="I103" s="168"/>
      <c r="J103" s="107"/>
      <c r="K103" s="282"/>
      <c r="L103" s="282"/>
      <c r="M103" s="363"/>
      <c r="N103" s="363"/>
      <c r="O103" s="261"/>
      <c r="P103" s="261"/>
      <c r="Q103" s="261"/>
      <c r="R103" s="277"/>
      <c r="S103" s="117"/>
      <c r="T103" s="117"/>
      <c r="U103" s="117"/>
      <c r="V103" s="117"/>
    </row>
    <row r="104" outlineLevel="1">
      <c r="A104" s="278" t="str">
        <f>'テンプレート'!A104</f>
        <v>下投げ</v>
      </c>
      <c r="B104" s="269" t="str">
        <f>'テンプレート'!B104</f>
        <v>打撃</v>
      </c>
      <c r="C104" s="279" t="str">
        <f t="array" ref="C104">INDEX(#REF!, MATCH($A$1,'つかみ・投げ'!$A$3:$A$109,0), MATCH(A104,#REF!,0))</f>
        <v>#REF!</v>
      </c>
      <c r="D104" s="113" t="str">
        <f t="array" ref="D104">INDEX('つかみ・投げ'!$U$3:$U$103, MATCH($A$1,'つかみ・投げ'!$A$3:$A$109,0), MATCH(B104,'つかみ・投げ'!$U$2:$W$2,0))</f>
        <v>#REF!</v>
      </c>
      <c r="E104" s="279" t="str">
        <f t="array" ref="E104">INDEX('つかみ・投げ'!$N$3:$W$109, MATCH($A$1,'つかみ・投げ'!$A$3:$A$109,0), MATCH(A104,'つかみ・投げ'!$N$2:$W$2,0))</f>
        <v>#REF!</v>
      </c>
      <c r="F104" s="239"/>
      <c r="G104" s="138">
        <f t="shared" si="13"/>
        <v>0</v>
      </c>
      <c r="H104" s="1170"/>
      <c r="I104" s="164"/>
      <c r="J104" s="104"/>
      <c r="K104" s="282"/>
      <c r="L104" s="282"/>
      <c r="M104" s="363"/>
      <c r="N104" s="363"/>
      <c r="O104" s="145">
        <v>0.0</v>
      </c>
      <c r="P104" s="145">
        <v>1.0</v>
      </c>
      <c r="Q104" s="145">
        <v>1.0</v>
      </c>
      <c r="R104" s="277"/>
      <c r="S104" s="117"/>
      <c r="T104" s="117"/>
      <c r="U104" s="117"/>
      <c r="V104" s="117"/>
    </row>
    <row r="105" outlineLevel="1">
      <c r="A105" s="156"/>
      <c r="B105" s="269" t="str">
        <f>'テンプレート'!B105</f>
        <v>投げ</v>
      </c>
      <c r="C105" s="156"/>
      <c r="D105" s="113" t="str">
        <f t="array" ref="D105">INDEX('つかみ・投げ'!$V$3:$V$103, MATCH($A$1,'つかみ・投げ'!$A$3:$A$109,0), MATCH(B105,'つかみ・投げ'!$V$2:$W$2,0))</f>
        <v>#REF!</v>
      </c>
      <c r="E105" s="156"/>
      <c r="F105" s="239"/>
      <c r="G105" s="138">
        <f t="shared" si="13"/>
        <v>0</v>
      </c>
      <c r="H105" s="106"/>
      <c r="I105" s="168"/>
      <c r="J105" s="107"/>
      <c r="K105" s="282"/>
      <c r="L105" s="282"/>
      <c r="M105" s="363"/>
      <c r="N105" s="363"/>
      <c r="O105" s="261"/>
      <c r="P105" s="261"/>
      <c r="Q105" s="261"/>
      <c r="R105" s="277"/>
      <c r="S105" s="117"/>
      <c r="T105" s="117"/>
      <c r="U105" s="117"/>
      <c r="V105" s="117"/>
    </row>
    <row r="106">
      <c r="A106" s="223"/>
      <c r="B106" s="224"/>
      <c r="C106" s="225"/>
      <c r="D106" s="225"/>
      <c r="E106" s="227"/>
      <c r="F106" s="177"/>
      <c r="G106" s="177"/>
      <c r="H106" s="227"/>
      <c r="I106" s="227"/>
      <c r="J106" s="228"/>
      <c r="K106" s="228"/>
      <c r="L106" s="111"/>
      <c r="M106" s="111"/>
      <c r="N106" s="111"/>
      <c r="O106" s="117"/>
      <c r="P106" s="117"/>
      <c r="Q106" s="111"/>
      <c r="R106" s="111"/>
      <c r="S106" s="111"/>
      <c r="T106" s="111"/>
      <c r="U106" s="111"/>
      <c r="V106" s="111"/>
    </row>
    <row r="107">
      <c r="A107" s="284" t="str">
        <f>'テンプレート'!A107</f>
        <v>回避</v>
      </c>
      <c r="B107" s="104"/>
      <c r="C107" s="265"/>
      <c r="D107" s="111"/>
      <c r="E107" s="111"/>
      <c r="F107" s="111"/>
      <c r="G107" s="111"/>
      <c r="H107" s="111"/>
      <c r="I107" s="111"/>
      <c r="J107" s="118"/>
      <c r="K107" s="111"/>
      <c r="L107" s="111"/>
      <c r="M107" s="111"/>
      <c r="N107" s="111"/>
      <c r="O107" s="111"/>
      <c r="P107" s="111"/>
      <c r="Q107" s="118"/>
      <c r="R107" s="111"/>
      <c r="S107" s="111"/>
      <c r="T107" s="111"/>
      <c r="U107" s="111"/>
      <c r="V107" s="111"/>
    </row>
    <row r="108" outlineLevel="1">
      <c r="A108" s="106"/>
      <c r="B108" s="107"/>
      <c r="C108" s="285" t="str">
        <f>'テンプレート'!C108</f>
        <v>無敵フレーム</v>
      </c>
      <c r="D108" s="285" t="str">
        <f>'テンプレート'!D108</f>
        <v>無敵 (ペナ最大)</v>
      </c>
      <c r="E108" s="285" t="str">
        <f>'テンプレート'!E108</f>
        <v>全体フレーム</v>
      </c>
      <c r="F108" s="285" t="str">
        <f>'テンプレート'!F108</f>
        <v>全体 (ペナ最大)</v>
      </c>
      <c r="G108" s="286"/>
      <c r="H108" s="227"/>
      <c r="I108" s="227"/>
      <c r="J108" s="228"/>
      <c r="K108" s="228"/>
      <c r="L108" s="111"/>
      <c r="M108" s="111"/>
      <c r="N108" s="111"/>
      <c r="O108" s="111"/>
      <c r="P108" s="111"/>
      <c r="Q108" s="111"/>
      <c r="R108" s="111"/>
      <c r="S108" s="111"/>
      <c r="T108" s="111"/>
      <c r="U108" s="111"/>
      <c r="V108" s="111"/>
    </row>
    <row r="109" outlineLevel="1">
      <c r="A109" s="287" t="str">
        <f>'テンプレート'!A109</f>
        <v>地上回避</v>
      </c>
      <c r="B109" s="288" t="str">
        <f>'テンプレート'!B109</f>
        <v>その場</v>
      </c>
      <c r="C109" s="113" t="str">
        <f t="array" ref="C109">INDEX('回避'!$C$3:$U$84, MATCH($A$1,'回避'!$A$3:$A$91,0), MATCH(C$108,'回避'!$C$2:$F$2,0))</f>
        <v>3-17</v>
      </c>
      <c r="D109" s="113" t="str">
        <f t="array" ref="D109">INDEX('回避'!$C$3:$U$84, MATCH($A$1,'回避'!$A$3:$A$91,0), MATCH(D108,'回避'!$C$2:$F$2,0))</f>
        <v>6-17</v>
      </c>
      <c r="E109" s="113" t="str">
        <f t="array" ref="E109">INDEX('回避'!$C$3:$U$84, MATCH($A$1,'回避'!$A$3:$A$91,0), MATCH(E108,'回避'!$C$2:$F$2,0))</f>
        <v>25 (20)</v>
      </c>
      <c r="F109" s="113" t="str">
        <f t="array" ref="F109">INDEX('回避'!$C$3:$U$84, MATCH($A$1,'回避'!$A$3:$A$91,0), MATCH(F108,'回避'!$C$2:$F$2,0))</f>
        <v>33 (27)</v>
      </c>
      <c r="G109" s="272"/>
      <c r="H109" s="227"/>
      <c r="I109" s="227"/>
      <c r="J109" s="228"/>
      <c r="K109" s="228"/>
      <c r="L109" s="228"/>
      <c r="M109" s="111"/>
      <c r="N109" s="111"/>
      <c r="O109" s="111"/>
      <c r="P109" s="111"/>
      <c r="Q109" s="111"/>
      <c r="R109" s="111"/>
      <c r="S109" s="111"/>
      <c r="T109" s="111"/>
      <c r="U109" s="111"/>
      <c r="V109" s="111"/>
    </row>
    <row r="110" outlineLevel="1">
      <c r="A110" s="212"/>
      <c r="B110" s="288" t="str">
        <f>'テンプレート'!B110</f>
        <v>前方</v>
      </c>
      <c r="C110" s="113" t="str">
        <f t="array" ref="C110">INDEX('回避'!$G$3:$U$84, MATCH($A$1,'回避'!$A$3:$A$91,0), MATCH(C$108,'回避'!$G$2:$J$2,0))</f>
        <v>4-15</v>
      </c>
      <c r="D110" s="113" t="str">
        <f t="array" ref="D110">INDEX('回避'!$G$3:$U$84, MATCH($A$1,'回避'!$A$3:$A$91,0), MATCH(D$108,'回避'!$G$2:$J$2,0))</f>
        <v>8-14</v>
      </c>
      <c r="E110" s="113" t="str">
        <f t="array" ref="E110">INDEX('回避'!$G$3:$U$84, MATCH($A$1,'回避'!$A$3:$A$91,0), MATCH(E$108,'回避'!$G$2:$J$2,0))</f>
        <v>29</v>
      </c>
      <c r="F110" s="113">
        <f t="array" ref="F110">INDEX('回避'!$G$3:$U$84, MATCH($A$1,'回避'!$A$3:$A$91,0), MATCH(F$108,'回避'!$G$2:$J$2,0))</f>
        <v>38</v>
      </c>
      <c r="G110" s="289"/>
      <c r="H110" s="227"/>
      <c r="I110" s="227"/>
      <c r="J110" s="228"/>
      <c r="K110" s="228"/>
      <c r="L110" s="228"/>
      <c r="M110" s="228"/>
      <c r="N110" s="228"/>
      <c r="O110" s="111"/>
      <c r="P110" s="111"/>
      <c r="Q110" s="111"/>
      <c r="R110" s="111"/>
      <c r="S110" s="111"/>
      <c r="T110" s="111"/>
      <c r="U110" s="111"/>
      <c r="V110" s="111"/>
    </row>
    <row r="111" outlineLevel="1">
      <c r="A111" s="106"/>
      <c r="B111" s="288" t="str">
        <f>'テンプレート'!B111</f>
        <v>後方</v>
      </c>
      <c r="C111" s="113" t="str">
        <f t="array" ref="C111">INDEX('回避'!$K$3:$U$84, MATCH($A$1,'回避'!$A$3:$A$91,0), MATCH(C$108,'回避'!$K$2:$N$2,0))</f>
        <v>5-16</v>
      </c>
      <c r="D111" s="113" t="str">
        <f t="array" ref="D111">INDEX('回避'!$K$3:$U$84, MATCH($A$1,'回避'!$A$3:$A$91,0), MATCH(D$108,'回避'!$K$2:$N$2,0))</f>
        <v>9-14</v>
      </c>
      <c r="E111" s="113" t="str">
        <f t="array" ref="E111">INDEX('回避'!$K$3:$U$84, MATCH($A$1,'回避'!$A$3:$A$91,0), MATCH(E$108,'回避'!$K$2:$N$2,0))</f>
        <v>34</v>
      </c>
      <c r="F111" s="113" t="str">
        <f t="array" ref="F111">INDEX('回避'!$K$3:$U$84, MATCH($A$1,'回避'!$A$3:$A$91,0), MATCH(F$108,'回避'!$K$2:$N$2,0))</f>
        <v>51</v>
      </c>
      <c r="G111" s="289"/>
      <c r="H111" s="290"/>
      <c r="I111" s="290"/>
      <c r="J111" s="117"/>
      <c r="K111" s="117"/>
      <c r="L111" s="117"/>
      <c r="M111" s="117"/>
      <c r="N111" s="117"/>
      <c r="O111" s="111"/>
      <c r="P111" s="111"/>
      <c r="Q111" s="111"/>
      <c r="R111" s="111"/>
      <c r="S111" s="111"/>
      <c r="T111" s="111"/>
      <c r="U111" s="111"/>
      <c r="V111" s="111"/>
    </row>
    <row r="112" outlineLevel="1">
      <c r="A112" s="287" t="str">
        <f>'テンプレート'!A112</f>
        <v>空中回避</v>
      </c>
      <c r="B112" s="288" t="str">
        <f>'テンプレート'!B112</f>
        <v>通常</v>
      </c>
      <c r="C112" s="113" t="str">
        <f t="array" ref="C112">INDEX('回避'!$O$3:$U$84, MATCH($A$1,'回避'!$A$3:$A$91,0), MATCH(C$108,'回避'!$O$2:$R$2,0))</f>
        <v>3-29</v>
      </c>
      <c r="D112" s="113" t="str">
        <f t="array" ref="D112">INDEX('回避'!$O$3:$U$84, MATCH($A$1,'回避'!$A$3:$A$91,0), MATCH(D$108,'回避'!$O$2:$R$2,0))</f>
        <v>6-27</v>
      </c>
      <c r="E112" s="113" t="str">
        <f t="array" ref="E112">INDEX('回避'!$O$3:$U$84, MATCH($A$1,'回避'!$A$3:$A$91,0), MATCH(E$108,'回避'!$O$2:$R$2,0))</f>
        <v>50</v>
      </c>
      <c r="F112" s="113" t="str">
        <f t="array" ref="F112">INDEX('回避'!$O$3:$U$84, MATCH($A$1,'回避'!$A$3:$A$91,0), MATCH(F$108,'回避'!$O$2:$R$2,0))</f>
        <v/>
      </c>
      <c r="G112" s="177"/>
      <c r="H112" s="118"/>
      <c r="I112" s="118"/>
      <c r="J112" s="111"/>
      <c r="K112" s="111"/>
      <c r="L112" s="111"/>
      <c r="M112" s="111"/>
      <c r="N112" s="111"/>
      <c r="O112" s="228"/>
      <c r="P112" s="228"/>
      <c r="Q112" s="228"/>
      <c r="R112" s="228"/>
      <c r="S112" s="228"/>
      <c r="T112" s="228"/>
      <c r="U112" s="228"/>
      <c r="V112" s="228"/>
    </row>
    <row r="113" outlineLevel="1">
      <c r="A113" s="106"/>
      <c r="B113" s="288" t="str">
        <f>'テンプレート'!B113</f>
        <v>移動</v>
      </c>
      <c r="C113" s="113" t="str">
        <f t="array" ref="C113">INDEX('回避'!$S$3:$U$84, MATCH($A$1,'回避'!$A$3:$A$91,0), MATCH(C$108,'回避'!$S$2:$U$2,0))</f>
        <v>3-21</v>
      </c>
      <c r="D113" s="113" t="str">
        <f t="array" ref="D113">INDEX('回避'!$S$3:$U$84, MATCH($A$1,'回避'!$A$3:$A$91,0), MATCH(D$108,'回避'!$S$2:$U$2,0))</f>
        <v>6-20</v>
      </c>
      <c r="E113" s="113" t="str">
        <f t="array" ref="E113">INDEX('回避'!$S$3:$U$84, MATCH($A$1,'回避'!$A$3:$A$91,0), MATCH(E$108,'回避'!$S$2:$U$2,0))</f>
        <v>真横：84
真上：112
真下：68</v>
      </c>
      <c r="F113" s="289"/>
      <c r="G113" s="289"/>
      <c r="H113" s="118"/>
      <c r="I113" s="118"/>
      <c r="J113" s="117"/>
      <c r="K113" s="117"/>
      <c r="L113" s="117"/>
      <c r="M113" s="117"/>
      <c r="N113" s="111"/>
      <c r="O113" s="118"/>
      <c r="P113" s="118"/>
      <c r="Q113" s="118"/>
      <c r="R113" s="118"/>
      <c r="S113" s="118"/>
      <c r="T113" s="118"/>
      <c r="U113" s="118"/>
      <c r="V113" s="118"/>
    </row>
    <row r="114">
      <c r="A114" s="291"/>
      <c r="B114" s="292"/>
      <c r="C114" s="286"/>
      <c r="D114" s="286"/>
      <c r="E114" s="293"/>
      <c r="F114" s="286"/>
      <c r="G114" s="286"/>
      <c r="H114" s="286"/>
      <c r="I114" s="286"/>
      <c r="J114" s="111"/>
      <c r="K114" s="227"/>
      <c r="L114" s="227"/>
      <c r="M114" s="227"/>
      <c r="N114" s="227"/>
      <c r="O114" s="118"/>
      <c r="P114" s="118"/>
      <c r="Q114" s="118"/>
      <c r="R114" s="118"/>
      <c r="S114" s="118"/>
      <c r="T114" s="118"/>
      <c r="U114" s="118"/>
      <c r="V114" s="118"/>
    </row>
    <row r="115">
      <c r="A115" s="294" t="str">
        <f>'テンプレート'!A115</f>
        <v>共通動作 (ガケ・受け身...)</v>
      </c>
      <c r="B115" s="104"/>
      <c r="C115" s="228"/>
      <c r="D115" s="117"/>
      <c r="E115" s="228"/>
      <c r="F115" s="114"/>
      <c r="G115" s="114"/>
      <c r="H115" s="117"/>
      <c r="I115" s="117"/>
      <c r="J115" s="118"/>
      <c r="K115" s="118"/>
      <c r="L115" s="118"/>
      <c r="M115" s="118"/>
      <c r="N115" s="118"/>
      <c r="O115" s="118"/>
      <c r="P115" s="118"/>
      <c r="Q115" s="118"/>
      <c r="R115" s="118"/>
      <c r="S115" s="118"/>
      <c r="T115" s="118"/>
      <c r="U115" s="118"/>
      <c r="V115" s="118"/>
    </row>
    <row r="116" outlineLevel="1">
      <c r="A116" s="106"/>
      <c r="B116" s="107"/>
      <c r="C116" s="295" t="str">
        <f>'テンプレート'!C116</f>
        <v>無敵フレーム</v>
      </c>
      <c r="D116" s="295" t="str">
        <f>'テンプレート'!D116</f>
        <v>全体フレーム</v>
      </c>
      <c r="E116" s="295" t="str">
        <f>'テンプレート'!E116</f>
        <v>判定持続</v>
      </c>
      <c r="F116" s="295" t="str">
        <f>'テンプレート'!F116</f>
        <v>基礎ダメージ</v>
      </c>
      <c r="G116" s="296" t="str">
        <f>'テンプレート'!G116</f>
        <v>ダメージ (1v1)</v>
      </c>
      <c r="H116" s="228"/>
      <c r="I116" s="228"/>
      <c r="J116" s="117"/>
      <c r="K116" s="297" t="str">
        <f>'テンプレート'!K116</f>
        <v>アイテム取得</v>
      </c>
      <c r="L116" s="109"/>
      <c r="M116" s="298" t="str">
        <f>'テンプレート'!M116</f>
        <v>取得フレーム</v>
      </c>
      <c r="N116" s="298" t="str">
        <f>'テンプレート'!N116</f>
        <v>全体フレーム</v>
      </c>
      <c r="O116" s="118"/>
      <c r="P116" s="118"/>
      <c r="Q116" s="118"/>
      <c r="R116" s="118"/>
      <c r="S116" s="118"/>
      <c r="T116" s="118"/>
      <c r="U116" s="118"/>
      <c r="V116" s="118"/>
    </row>
    <row r="117" outlineLevel="1">
      <c r="A117" s="299" t="str">
        <f>'テンプレート'!A117</f>
        <v>ガケ行動</v>
      </c>
      <c r="B117" s="300" t="str">
        <f>'テンプレート'!B117</f>
        <v>ガケつかまり</v>
      </c>
      <c r="C117" s="301"/>
      <c r="D117" s="113">
        <f t="array" ref="D117">INDEX('崖行動・受け身'!$C$3:$C$115, MATCH($A$1,'崖行動・受け身'!$A$3:$A$115,0), MATCH(D116,'崖行動・受け身'!$C$2,0))</f>
        <v>19</v>
      </c>
      <c r="E117" s="301"/>
      <c r="F117" s="301"/>
      <c r="G117" s="301"/>
      <c r="H117" s="228"/>
      <c r="I117" s="228"/>
      <c r="J117" s="111"/>
      <c r="K117" s="302" t="str">
        <f>'テンプレート'!K117</f>
        <v>小アイテム</v>
      </c>
      <c r="L117" s="303" t="str">
        <f>'テンプレート'!L117</f>
        <v>その場</v>
      </c>
      <c r="M117" s="113" t="str">
        <f t="array" ref="M117">INDEX('アイテム'!$C$3:$D$115, MATCH($A$1,'アイテム'!$A$3:$A$115,0), MATCH(M$116,'アイテム'!$C$2:$AK$2,0))</f>
        <v>2</v>
      </c>
      <c r="N117" s="113">
        <f t="array" ref="N117">INDEX('アイテム'!$C$3:$D$115, MATCH($A$1,'アイテム'!$A$3:$A$115,0), MATCH(N$116,'アイテム'!$C$2:$AK$2,0))</f>
        <v>7</v>
      </c>
      <c r="O117" s="118"/>
      <c r="P117" s="118"/>
      <c r="Q117" s="118"/>
      <c r="R117" s="118"/>
      <c r="S117" s="118"/>
      <c r="T117" s="118"/>
      <c r="U117" s="118"/>
      <c r="V117" s="118"/>
    </row>
    <row r="118" outlineLevel="1">
      <c r="A118" s="146"/>
      <c r="B118" s="300" t="str">
        <f>'テンプレート'!B118</f>
        <v>その場</v>
      </c>
      <c r="C118" s="113" t="str">
        <f t="array" ref="C118">INDEX('崖行動・受け身'!$D$3:$E$115, MATCH($A$1,'崖行動・受け身'!$A$3:$A$115,0), MATCH(C$116,'崖行動・受け身'!$D$2:$E$2,0))</f>
        <v>1-33</v>
      </c>
      <c r="D118" s="113">
        <f t="array" ref="D118">INDEX('崖行動・受け身'!$D$3:$E$115, MATCH($A$1,'崖行動・受け身'!$A$3:$A$115,0), MATCH(D$116,'崖行動・受け身'!$D$2:$E$2,0))</f>
        <v>34</v>
      </c>
      <c r="E118" s="301"/>
      <c r="F118" s="301"/>
      <c r="G118" s="301"/>
      <c r="H118" s="228"/>
      <c r="I118" s="228"/>
      <c r="J118" s="117"/>
      <c r="K118" s="156"/>
      <c r="L118" s="303" t="str">
        <f>'テンプレート'!L118</f>
        <v>歩き</v>
      </c>
      <c r="M118" s="113" t="str">
        <f t="array" ref="M118">INDEX('アイテム'!$E$3:$F$115, MATCH($A$1,'アイテム'!$A$3:$A$115,0), MATCH(M$116,'アイテム'!$E$2:$AK$2,0))</f>
        <v>2</v>
      </c>
      <c r="N118" s="113">
        <f t="array" ref="N118">INDEX('アイテム'!$E$3:$F$115, MATCH($A$1,'アイテム'!$A$3:$A$115,0), MATCH(N$116,'アイテム'!$E$2:$AK$2,0))</f>
        <v>19</v>
      </c>
      <c r="O118" s="118"/>
      <c r="P118" s="118"/>
      <c r="Q118" s="118"/>
      <c r="R118" s="118"/>
      <c r="S118" s="118"/>
      <c r="T118" s="118"/>
      <c r="U118" s="118"/>
      <c r="V118" s="118"/>
    </row>
    <row r="119" outlineLevel="1">
      <c r="A119" s="146"/>
      <c r="B119" s="300" t="str">
        <f>'テンプレート'!B119</f>
        <v>回避</v>
      </c>
      <c r="C119" s="113" t="str">
        <f t="array" ref="C119">INDEX('崖行動・受け身'!$F$3:$G$115, MATCH($A$1,'崖行動・受け身'!$A$3:$A$115,0), MATCH(C$116,'崖行動・受け身'!$F$2:$G$2,0))</f>
        <v>1-26</v>
      </c>
      <c r="D119" s="113">
        <f t="array" ref="D119">INDEX('崖行動・受け身'!$F$3:$G$115, MATCH($A$1,'崖行動・受け身'!$A$3:$A$115,0), MATCH(D$116,'崖行動・受け身'!$F$2:$G$2,0))</f>
        <v>45</v>
      </c>
      <c r="E119" s="301"/>
      <c r="F119" s="301"/>
      <c r="G119" s="301"/>
      <c r="H119" s="228"/>
      <c r="I119" s="228"/>
      <c r="J119" s="111"/>
      <c r="K119" s="304" t="str">
        <f>'テンプレート'!K119</f>
        <v>アイテム投擲</v>
      </c>
      <c r="L119" s="109"/>
      <c r="M119" s="298" t="str">
        <f>'テンプレート'!M119</f>
        <v>投擲フレーム</v>
      </c>
      <c r="N119" s="298" t="str">
        <f>'テンプレート'!N119</f>
        <v>全体フレーム</v>
      </c>
      <c r="O119" s="118"/>
      <c r="P119" s="118"/>
      <c r="Q119" s="118"/>
      <c r="R119" s="118"/>
      <c r="S119" s="118"/>
      <c r="T119" s="118"/>
      <c r="U119" s="118"/>
      <c r="V119" s="118"/>
    </row>
    <row r="120" outlineLevel="1">
      <c r="A120" s="146"/>
      <c r="B120" s="300" t="str">
        <f>'テンプレート'!B120</f>
        <v>ジャンプ</v>
      </c>
      <c r="C120" s="113" t="str">
        <f t="array" ref="C120">INDEX('崖行動・受け身'!$H$3:$I$115, MATCH($A$1,'崖行動・受け身'!$A$3:$A$115,0), MATCH(C$116,'崖行動・受け身'!$H$2:$I$2,0))</f>
        <v>1-12</v>
      </c>
      <c r="D120" s="113">
        <f t="array" ref="D120">INDEX('崖行動・受け身'!$H$3:$I$115, MATCH($A$1,'崖行動・受け身'!$A$3:$A$115,0), MATCH(D$116,'崖行動・受け身'!$H$2:$I$2,0))</f>
        <v>14</v>
      </c>
      <c r="E120" s="301"/>
      <c r="F120" s="301"/>
      <c r="G120" s="301"/>
      <c r="H120" s="228"/>
      <c r="I120" s="228"/>
      <c r="J120" s="117"/>
      <c r="K120" s="1030" t="str">
        <f>'テンプレート'!K120</f>
        <v>地上投擲</v>
      </c>
      <c r="L120" s="303" t="str">
        <f>'テンプレート'!L120</f>
        <v>前投げ</v>
      </c>
      <c r="M120" s="113" t="str">
        <f t="array" ref="M120">INDEX('アイテム'!$G$3:$H$115, MATCH($A$1,'アイテム'!$A$3:$A$115,0), MATCH(M$119,'アイテム'!$G$2:$AK$2,0))</f>
        <v>8</v>
      </c>
      <c r="N120" s="113">
        <f t="array" ref="N120">INDEX('アイテム'!$G$3:$H$115, MATCH($A$1,'アイテム'!$A$3:$A$115,0), MATCH(N$119,'アイテム'!$G$2:$AK$2,0))</f>
        <v>24</v>
      </c>
      <c r="O120" s="111"/>
      <c r="P120" s="111"/>
      <c r="Q120" s="111"/>
      <c r="R120" s="111"/>
      <c r="S120" s="111"/>
      <c r="T120" s="111"/>
      <c r="U120" s="111"/>
      <c r="V120" s="111"/>
    </row>
    <row r="121" outlineLevel="1">
      <c r="A121" s="156"/>
      <c r="B121" s="300" t="str">
        <f>'テンプレート'!B121</f>
        <v>攻撃</v>
      </c>
      <c r="C121" s="113" t="str">
        <f t="array" ref="C121">INDEX('崖行動・受け身'!$J$3:$M$115, MATCH($A$1,'崖行動・受け身'!$A$3:$A$115,0), MATCH(C$116,'崖行動・受け身'!$J$2:$M$2,0))</f>
        <v>1-20</v>
      </c>
      <c r="D121" s="113">
        <f t="array" ref="D121">INDEX('崖行動・受け身'!$J$3:$M$115, MATCH($A$1,'崖行動・受け身'!$A$3:$A$115,0), MATCH(D$116,'崖行動・受け身'!$J$2:$M$2,0))</f>
        <v>55</v>
      </c>
      <c r="E121" s="113" t="str">
        <f t="array" ref="E121">INDEX('崖行動・受け身'!$J$3:$M$115, MATCH($A$1,'崖行動・受け身'!$A$3:$A$115,0), MATCH(E$116,'崖行動・受け身'!$J$2:$M$2,0))</f>
        <v>18-20</v>
      </c>
      <c r="F121" s="113">
        <f t="array" ref="F121">INDEX('崖行動・受け身'!$J$3:$M$115, MATCH($A$1,'崖行動・受け身'!$A$3:$A$115,0), MATCH(F$116,'崖行動・受け身'!$J$2:$M$2,0))</f>
        <v>9</v>
      </c>
      <c r="G121" s="113">
        <f>F121*1.2</f>
        <v>10.8</v>
      </c>
      <c r="H121" s="228"/>
      <c r="I121" s="228"/>
      <c r="J121" s="111"/>
      <c r="K121" s="146"/>
      <c r="L121" s="303" t="str">
        <f>'テンプレート'!L121</f>
        <v>後投げ</v>
      </c>
      <c r="M121" s="113" t="str">
        <f t="array" ref="M121">INDEX('アイテム'!$I$3:$J$115, MATCH($A$1,'アイテム'!$A$3:$A$115,0), MATCH(M$119,'アイテム'!$I$2:$AK$2,0))</f>
        <v>11</v>
      </c>
      <c r="N121" s="113">
        <f t="array" ref="N121">INDEX('アイテム'!$I$3:$J$115, MATCH($A$1,'アイテム'!$A$3:$A$115,0), MATCH(N$119,'アイテム'!$I$2:$AK$2,0))</f>
        <v>24</v>
      </c>
      <c r="O121" s="111"/>
      <c r="P121" s="111"/>
      <c r="Q121" s="111"/>
      <c r="R121" s="111"/>
      <c r="S121" s="111"/>
      <c r="T121" s="111"/>
      <c r="U121" s="111"/>
      <c r="V121" s="111"/>
    </row>
    <row r="122" outlineLevel="1">
      <c r="A122" s="299" t="str">
        <f>'テンプレート'!A122</f>
        <v>受け身</v>
      </c>
      <c r="B122" s="300" t="str">
        <f>'テンプレート'!B122</f>
        <v>その場</v>
      </c>
      <c r="C122" s="113" t="str">
        <f t="array" ref="C122">INDEX('崖行動・受け身'!$N$3:$O$115, MATCH($A$1,'崖行動・受け身'!$A$3:$A$115,0), MATCH(C$116,'崖行動・受け身'!$N$2:$O$2,0))</f>
        <v>1-20</v>
      </c>
      <c r="D122" s="113">
        <f t="array" ref="D122">INDEX('崖行動・受け身'!$N$3:$O$115, MATCH($A$1,'崖行動・受け身'!$A$3:$A$115,0), MATCH(D$116,'崖行動・受け身'!$N$2:$O$2,0))</f>
        <v>26</v>
      </c>
      <c r="E122" s="301"/>
      <c r="F122" s="301"/>
      <c r="G122" s="301"/>
      <c r="H122" s="228"/>
      <c r="I122" s="228"/>
      <c r="J122" s="117"/>
      <c r="K122" s="146"/>
      <c r="L122" s="303" t="str">
        <f>'テンプレート'!L122</f>
        <v>上投げ</v>
      </c>
      <c r="M122" s="113" t="str">
        <f t="array" ref="M122">INDEX('アイテム'!$K$3:$L$115, MATCH($A$1,'アイテム'!$A$3:$A$115,0), MATCH(M$119,'アイテム'!$K$2:$AK$2,0))</f>
        <v>12</v>
      </c>
      <c r="N122" s="113">
        <f t="array" ref="N122">INDEX('アイテム'!$K$3:$L$115, MATCH($A$1,'アイテム'!$A$3:$A$115,0), MATCH(N$119,'アイテム'!$K$2:$AK$2,0))</f>
        <v>23</v>
      </c>
      <c r="O122" s="228"/>
      <c r="P122" s="228"/>
      <c r="Q122" s="228"/>
      <c r="R122" s="228"/>
      <c r="S122" s="228"/>
      <c r="T122" s="228"/>
      <c r="U122" s="228"/>
      <c r="V122" s="228"/>
    </row>
    <row r="123" outlineLevel="1">
      <c r="A123" s="146"/>
      <c r="B123" s="300" t="str">
        <f>'テンプレート'!B123</f>
        <v>前方</v>
      </c>
      <c r="C123" s="113" t="str">
        <f t="array" ref="C123">INDEX('崖行動・受け身'!$P$3:$Q$115, MATCH($A$1,'崖行動・受け身'!$A$3:$A$115,0), MATCH(C$116,'崖行動・受け身'!$P$2:$Q$2,0))</f>
        <v>1-20</v>
      </c>
      <c r="D123" s="113">
        <f t="array" ref="D123">INDEX('崖行動・受け身'!$P$3:$Q$115, MATCH($A$1,'崖行動・受け身'!$A$3:$A$115,0), MATCH(D$116,'崖行動・受け身'!$P$2:$Q$2,0))</f>
        <v>40</v>
      </c>
      <c r="E123" s="301"/>
      <c r="F123" s="301"/>
      <c r="G123" s="301"/>
      <c r="H123" s="228"/>
      <c r="I123" s="228"/>
      <c r="J123" s="111"/>
      <c r="K123" s="146"/>
      <c r="L123" s="303" t="str">
        <f>'テンプレート'!L123</f>
        <v>下投げ</v>
      </c>
      <c r="M123" s="113" t="str">
        <f t="array" ref="M123">INDEX('アイテム'!$M$3:$N$115, MATCH($A$1,'アイテム'!$A$3:$A$115,0), MATCH(M$119,'アイテム'!$M$2:$AK$2,0))</f>
        <v>7</v>
      </c>
      <c r="N123" s="113">
        <f t="array" ref="N123">INDEX('アイテム'!$M$3:$N$115, MATCH($A$1,'アイテム'!$A$3:$A$115,0), MATCH(N$119,'アイテム'!$M$2:$AK$2,0))</f>
        <v>19</v>
      </c>
      <c r="O123" s="118"/>
      <c r="P123" s="118"/>
      <c r="Q123" s="118"/>
      <c r="R123" s="118"/>
      <c r="S123" s="118"/>
      <c r="T123" s="118"/>
      <c r="U123" s="118"/>
      <c r="V123" s="118"/>
    </row>
    <row r="124" outlineLevel="1">
      <c r="A124" s="156"/>
      <c r="B124" s="300" t="str">
        <f>'テンプレート'!B124</f>
        <v>後方</v>
      </c>
      <c r="C124" s="113" t="str">
        <f t="array" ref="C124">INDEX('崖行動・受け身'!$R$3:$S$115, MATCH($A$1,'崖行動・受け身'!$A$3:$A$115,0), MATCH(C$116,'崖行動・受け身'!$R$2:$S$2,0))</f>
        <v>1-20</v>
      </c>
      <c r="D124" s="113">
        <f t="array" ref="D124">INDEX('崖行動・受け身'!$R$3:$S$115, MATCH($A$1,'崖行動・受け身'!$A$3:$A$115,0), MATCH(D$116,'崖行動・受け身'!$R$2:$S$2,0))</f>
        <v>40</v>
      </c>
      <c r="E124" s="301"/>
      <c r="F124" s="301"/>
      <c r="G124" s="301"/>
      <c r="H124" s="228"/>
      <c r="I124" s="228"/>
      <c r="J124" s="117"/>
      <c r="K124" s="146"/>
      <c r="L124" s="306" t="str">
        <f>'テンプレート'!L124</f>
        <v>ダッシュ</v>
      </c>
      <c r="M124" s="113" t="str">
        <f t="array" ref="M124">INDEX('アイテム'!$O$3:$P$115, MATCH($A$1,'アイテム'!$A$3:$A$115,0), MATCH(M$119,'アイテム'!$O$2:$AK$2,0))</f>
        <v>5</v>
      </c>
      <c r="N124" s="113">
        <f t="array" ref="N124">INDEX('アイテム'!$O$3:$P$115, MATCH($A$1,'アイテム'!$A$3:$A$115,0), MATCH(N$119,'アイテム'!$O$2:$AK$2,0))</f>
        <v>29</v>
      </c>
      <c r="O124" s="118"/>
      <c r="P124" s="118"/>
      <c r="Q124" s="118"/>
      <c r="R124" s="118"/>
      <c r="S124" s="118"/>
      <c r="T124" s="118"/>
      <c r="U124" s="118"/>
      <c r="V124" s="118"/>
    </row>
    <row r="125" outlineLevel="1">
      <c r="A125" s="299" t="str">
        <f>'テンプレート'!A125</f>
        <v>あお向けダウン</v>
      </c>
      <c r="B125" s="300" t="str">
        <f>'テンプレート'!B125</f>
        <v>倒れ</v>
      </c>
      <c r="C125" s="301"/>
      <c r="D125" s="113" t="str">
        <f t="array" ref="D125">INDEX('起きあがり'!$C$3:$C$115, MATCH($A$1,'起きあがり'!$A$3:$A$115,0), MATCH(D$116,'起きあがり'!$C$2:$AD$2,0))</f>
        <v>25</v>
      </c>
      <c r="E125" s="301"/>
      <c r="F125" s="301"/>
      <c r="G125" s="301"/>
      <c r="H125" s="228"/>
      <c r="I125" s="228"/>
      <c r="J125" s="111"/>
      <c r="K125" s="156"/>
      <c r="L125" s="306" t="str">
        <f>'テンプレート'!L125</f>
        <v>その場捨て</v>
      </c>
      <c r="M125" s="113" t="str">
        <f t="array" ref="M125">INDEX('アイテム'!$Q$3:$R$115, MATCH($A$1,'アイテム'!$A$3:$A$115,0), MATCH(M$119,'アイテム'!$Q$2:$AK$2,0))</f>
        <v>6</v>
      </c>
      <c r="N125" s="113">
        <f t="array" ref="N125">INDEX('アイテム'!$Q$3:$R$115, MATCH($A$1,'アイテム'!$A$3:$A$115,0), MATCH(N$119,'アイテム'!$Q$2:$AK$2,0))</f>
        <v>23</v>
      </c>
      <c r="O125" s="118"/>
      <c r="P125" s="118"/>
      <c r="Q125" s="118"/>
      <c r="R125" s="118"/>
      <c r="S125" s="118"/>
      <c r="T125" s="118"/>
      <c r="U125" s="118"/>
      <c r="V125" s="118"/>
    </row>
    <row r="126" outlineLevel="1">
      <c r="A126" s="146"/>
      <c r="B126" s="300" t="str">
        <f>'テンプレート'!B126</f>
        <v>その場</v>
      </c>
      <c r="C126" s="307" t="str">
        <f t="array" ref="C126">INDEX('起きあがり'!$D$3:$E$115, MATCH($A$1,'起きあがり'!$A$3:$A$115,0), MATCH(C$116,'起きあがり'!$D$2:$AD$2,0))</f>
        <v>1-22</v>
      </c>
      <c r="D126" s="308">
        <f t="array" ref="D126">INDEX('起きあがり'!$D$3:$E$115, MATCH($A$1,'起きあがり'!$A$3:$A$115,0), MATCH(D$116,'起きあがり'!$D$2:$AD$2,0))</f>
        <v>29</v>
      </c>
      <c r="E126" s="301"/>
      <c r="F126" s="301"/>
      <c r="G126" s="301"/>
      <c r="H126" s="228"/>
      <c r="I126" s="228"/>
      <c r="J126" s="117"/>
      <c r="K126" s="1030" t="str">
        <f>'テンプレート'!K126</f>
        <v>空中投擲</v>
      </c>
      <c r="L126" s="303" t="str">
        <f>'テンプレート'!L126</f>
        <v>前投げ</v>
      </c>
      <c r="M126" s="113" t="str">
        <f t="array" ref="M126">INDEX('アイテム'!$S$3:$T$115, MATCH($A$1,'アイテム'!$A$3:$A$115,0), MATCH(M$119,'アイテム'!$S$2:$AK$2,0))</f>
        <v>8</v>
      </c>
      <c r="N126" s="113">
        <f t="array" ref="N126">INDEX('アイテム'!$S$3:$T$115, MATCH($A$1,'アイテム'!$A$3:$A$115,0), MATCH(N$119,'アイテム'!$S$2:$AK$2,0))</f>
        <v>24</v>
      </c>
      <c r="O126" s="118"/>
      <c r="P126" s="118"/>
      <c r="Q126" s="118"/>
      <c r="R126" s="118"/>
      <c r="S126" s="118"/>
      <c r="T126" s="118"/>
      <c r="U126" s="118"/>
      <c r="V126" s="118"/>
    </row>
    <row r="127" outlineLevel="1">
      <c r="A127" s="146"/>
      <c r="B127" s="300" t="str">
        <f>'テンプレート'!B127</f>
        <v>前方</v>
      </c>
      <c r="C127" s="307" t="str">
        <f t="array" ref="C127">INDEX('起きあがり'!$F$3:$G$115, MATCH($A$1,'起きあがり'!$A$3:$A$115,0), MATCH(C$116,'起きあがり'!$F$2:$AD$2,0))</f>
        <v>1-21</v>
      </c>
      <c r="D127" s="308">
        <f t="array" ref="D127">INDEX('起きあがり'!$F$3:$G$115, MATCH($A$1,'起きあがり'!$A$3:$A$115,0), MATCH(D$116,'起きあがり'!$F$2:$AD$2,0))</f>
        <v>35</v>
      </c>
      <c r="E127" s="301"/>
      <c r="F127" s="301"/>
      <c r="G127" s="301"/>
      <c r="H127" s="228"/>
      <c r="I127" s="228"/>
      <c r="J127" s="111"/>
      <c r="K127" s="146"/>
      <c r="L127" s="303" t="str">
        <f>'テンプレート'!L127</f>
        <v>後投げ</v>
      </c>
      <c r="M127" s="113" t="str">
        <f t="array" ref="M127">INDEX('アイテム'!$U$3:$V$115, MATCH($A$1,'アイテム'!$A$3:$A$115,0), MATCH(M$119,'アイテム'!$U$2:$AK$2,0))</f>
        <v>11</v>
      </c>
      <c r="N127" s="113">
        <f t="array" ref="N127">INDEX('アイテム'!$U$3:$V$115, MATCH($A$1,'アイテム'!$A$3:$A$115,0), MATCH(N$119,'アイテム'!$U$2:$AK$2,0))</f>
        <v>24</v>
      </c>
      <c r="O127" s="118"/>
      <c r="P127" s="118"/>
      <c r="Q127" s="118"/>
      <c r="R127" s="118"/>
      <c r="S127" s="118"/>
      <c r="T127" s="118"/>
      <c r="U127" s="118"/>
      <c r="V127" s="118"/>
    </row>
    <row r="128" outlineLevel="1">
      <c r="A128" s="146"/>
      <c r="B128" s="300" t="str">
        <f>'テンプレート'!B128</f>
        <v>後方</v>
      </c>
      <c r="C128" s="113" t="str">
        <f t="array" ref="C128">INDEX('起きあがり'!$H$3:$I$115, MATCH($A$1,'起きあがり'!$A$3:$A$115,0), MATCH(C$116,'起きあがり'!$H$2:$AD$2,0))</f>
        <v>1-22</v>
      </c>
      <c r="D128" s="113">
        <f t="array" ref="D128">INDEX('起きあがり'!$H$3:$I$115, MATCH($A$1,'起きあがり'!$A$3:$A$115,0), MATCH(D$116,'起きあがり'!$H$2:$AD$2,0))</f>
        <v>35</v>
      </c>
      <c r="E128" s="301"/>
      <c r="F128" s="301"/>
      <c r="G128" s="301"/>
      <c r="H128" s="228"/>
      <c r="I128" s="228"/>
      <c r="J128" s="117"/>
      <c r="K128" s="146"/>
      <c r="L128" s="303" t="str">
        <f>'テンプレート'!L128</f>
        <v>上投げ</v>
      </c>
      <c r="M128" s="113" t="str">
        <f t="array" ref="M128">INDEX('アイテム'!$W$3:$X$115, MATCH($A$1,'アイテム'!$A$3:$A$115,0), MATCH(M$119,'アイテム'!$W$2:$AK$2,0))</f>
        <v>12</v>
      </c>
      <c r="N128" s="113">
        <f t="array" ref="N128">INDEX('アイテム'!$W$3:$X$115, MATCH($A$1,'アイテム'!$A$3:$A$115,0), MATCH(N$119,'アイテム'!$W$2:$AK$2,0))</f>
        <v>23</v>
      </c>
      <c r="O128" s="118"/>
      <c r="P128" s="118"/>
      <c r="Q128" s="118"/>
      <c r="R128" s="118"/>
      <c r="S128" s="118"/>
      <c r="T128" s="118"/>
      <c r="U128" s="118"/>
      <c r="V128" s="118"/>
    </row>
    <row r="129" outlineLevel="1">
      <c r="A129" s="146"/>
      <c r="B129" s="1709" t="str">
        <f>'テンプレート'!B129</f>
        <v>攻撃1</v>
      </c>
      <c r="C129" s="309" t="str">
        <f t="array" ref="C129">INDEX('起きあがり'!$J$3:$M$115, MATCH($A$1,'起きあがり'!$A$3:$A$115,0), MATCH(C$116,'起きあがり'!$J$2:$AD$2,0))</f>
        <v>1-26</v>
      </c>
      <c r="D129" s="310">
        <f t="array" ref="D129">INDEX('起きあがり'!$J$3:$M$115, MATCH($A$1,'起きあがり'!$A$3:$A$115,0), MATCH(D$116,'起きあがり'!$J$2:$AD$2,0))</f>
        <v>45</v>
      </c>
      <c r="E129" s="307" t="str">
        <f t="array" ref="E129">INDEX('起きあがり'!$J$3:$M$115, MATCH($A$1,'起きあがり'!$A$3:$A$115,0), MATCH(E$116,'起きあがり'!$J$2:$AD$2,0))</f>
        <v>15-16</v>
      </c>
      <c r="F129" s="308">
        <f t="array" ref="F129">INDEX('起きあがり'!$J$3:$M$115, MATCH($A$1,'起きあがり'!$A$3:$A$115,0), MATCH(F$116,'起きあがり'!$J$2:$AD$2,0))</f>
        <v>7</v>
      </c>
      <c r="G129" s="113">
        <f t="shared" ref="G129:G130" si="14">F129*1.2</f>
        <v>8.4</v>
      </c>
      <c r="H129" s="228"/>
      <c r="I129" s="228"/>
      <c r="J129" s="111"/>
      <c r="K129" s="156"/>
      <c r="L129" s="303" t="str">
        <f>'テンプレート'!L129</f>
        <v>下投げ</v>
      </c>
      <c r="M129" s="113" t="str">
        <f t="array" ref="M129">INDEX('アイテム'!$Y$3:$Z$115, MATCH($A$1,'アイテム'!$A$3:$A$115,0), MATCH(M$119,'アイテム'!$Y$2:$AK$2,0))</f>
        <v>7</v>
      </c>
      <c r="N129" s="113">
        <f t="array" ref="N129">INDEX('アイテム'!$Y$3:$Z$115, MATCH($A$1,'アイテム'!$A$3:$A$115,0), MATCH(N$119,'アイテム'!$Y$2:$AK$2,0))</f>
        <v>19</v>
      </c>
      <c r="O129" s="111"/>
      <c r="P129" s="111"/>
      <c r="Q129" s="111"/>
      <c r="R129" s="111"/>
      <c r="S129" s="111"/>
      <c r="T129" s="111"/>
      <c r="U129" s="111"/>
      <c r="V129" s="111"/>
    </row>
    <row r="130" outlineLevel="1">
      <c r="A130" s="156"/>
      <c r="B130" s="156"/>
      <c r="C130" s="156"/>
      <c r="D130" s="156"/>
      <c r="E130" s="307" t="str">
        <f t="array" ref="E130">INDEX('起きあがり'!$N$3:$O$115, MATCH($A$1,'起きあがり'!$A$3:$A$115,0), MATCH(E$116,'起きあがり'!$N$2:$AD$2,0))</f>
        <v>25-26</v>
      </c>
      <c r="F130" s="308">
        <f t="array" ref="F130">INDEX('起きあがり'!$N$3:$O$115, MATCH($A$1,'起きあがり'!$A$3:$A$115,0), MATCH(F$116,'起きあがり'!$N$2:$AD$2,0))</f>
        <v>7</v>
      </c>
      <c r="G130" s="113">
        <f t="shared" si="14"/>
        <v>8.4</v>
      </c>
      <c r="H130" s="228"/>
      <c r="I130" s="228"/>
      <c r="J130" s="111"/>
      <c r="K130" s="312" t="str">
        <f>'テンプレート'!K130</f>
        <v>踏み台ジャンプ</v>
      </c>
      <c r="L130" s="168"/>
      <c r="M130" s="298" t="str">
        <f>'テンプレート'!M130</f>
        <v>全体フレーム</v>
      </c>
      <c r="N130" s="114"/>
      <c r="O130" s="111"/>
      <c r="P130" s="111"/>
      <c r="Q130" s="111"/>
      <c r="R130" s="111"/>
      <c r="S130" s="111"/>
      <c r="T130" s="111"/>
      <c r="U130" s="111"/>
      <c r="V130" s="111"/>
    </row>
    <row r="131" outlineLevel="1">
      <c r="A131" s="299" t="str">
        <f>'テンプレート'!A131</f>
        <v>うつ伏せダウン</v>
      </c>
      <c r="B131" s="300" t="str">
        <f>'テンプレート'!B131</f>
        <v>倒れ</v>
      </c>
      <c r="C131" s="301"/>
      <c r="D131" s="308" t="str">
        <f t="array" ref="D131">INDEX(#REF!, MATCH($A$1,'起きあがり'!$A$3:$A$115,0), MATCH(D$116,'起きあがり'!$P$2:$AD$2,0))</f>
        <v>#REF!</v>
      </c>
      <c r="E131" s="301"/>
      <c r="F131" s="301"/>
      <c r="G131" s="301"/>
      <c r="H131" s="228"/>
      <c r="I131" s="228"/>
      <c r="J131" s="117"/>
      <c r="K131" s="313" t="str">
        <f>'テンプレート'!K131</f>
        <v>踏み</v>
      </c>
      <c r="L131" s="314" t="str">
        <f>'テンプレート'!L131</f>
        <v>踏み</v>
      </c>
      <c r="M131" s="113" t="str">
        <f t="array" ref="M131">INDEX('共通動作その他'!$C$3:$C$102, MATCH($A$1,'共通動作その他'!$A$3:$A$102,0), MATCH(M$130,'共通動作その他'!$C$2:$AA$2,0))</f>
        <v>-</v>
      </c>
      <c r="N131" s="315"/>
      <c r="O131" s="111"/>
      <c r="P131" s="111"/>
      <c r="Q131" s="111"/>
      <c r="R131" s="111"/>
      <c r="S131" s="111"/>
      <c r="T131" s="111"/>
      <c r="U131" s="111"/>
      <c r="V131" s="111"/>
    </row>
    <row r="132" outlineLevel="1">
      <c r="A132" s="146"/>
      <c r="B132" s="300" t="str">
        <f>'テンプレート'!B132</f>
        <v>その場</v>
      </c>
      <c r="C132" s="307" t="str">
        <f t="array" ref="C132">INDEX('起きあがり'!$P$3:$Q$115, MATCH($A$1,'起きあがり'!$A$3:$A$115,0), MATCH(C$116,'起きあがり'!$P$2:$AD$2,0))</f>
        <v>1-22</v>
      </c>
      <c r="D132" s="308">
        <f t="array" ref="D132">INDEX('起きあがり'!$P$3:$Q$115, MATCH($A$1,'起きあがり'!$A$3:$A$115,0), MATCH(D$116,'起きあがり'!$P$2:$AD$2,0))</f>
        <v>29</v>
      </c>
      <c r="E132" s="301"/>
      <c r="F132" s="301"/>
      <c r="G132" s="301"/>
      <c r="H132" s="228"/>
      <c r="I132" s="228"/>
      <c r="J132" s="111"/>
      <c r="K132" s="305" t="str">
        <f>'テンプレート'!K132</f>
        <v>踏まれ</v>
      </c>
      <c r="L132" s="314" t="str">
        <f>'テンプレート'!L132</f>
        <v>地上踏まれ</v>
      </c>
      <c r="M132" s="113" t="str">
        <f t="array" ref="M132">INDEX('共通動作その他'!$D$3:$D$102, MATCH($A$1,'共通動作その他'!$A$3:$A$102,0), MATCH(M$130,'共通動作その他'!$D$2:$AA$2,0))</f>
        <v>{oldValue=-}</v>
      </c>
      <c r="N132" s="315"/>
      <c r="O132" s="228"/>
      <c r="P132" s="228"/>
      <c r="Q132" s="228"/>
      <c r="R132" s="228"/>
      <c r="S132" s="228"/>
      <c r="T132" s="228"/>
      <c r="U132" s="228"/>
      <c r="V132" s="228"/>
    </row>
    <row r="133" outlineLevel="1">
      <c r="A133" s="146"/>
      <c r="B133" s="300" t="str">
        <f>'テンプレート'!B133</f>
        <v>前方</v>
      </c>
      <c r="C133" s="307" t="str">
        <f t="array" ref="C133">INDEX('起きあがり'!$R$3:$S$115, MATCH($A$1,'起きあがり'!$A$3:$A$115,0), MATCH(C$116,'起きあがり'!$R$2:$AD$2,0))</f>
        <v>1-19</v>
      </c>
      <c r="D133" s="308">
        <f t="array" ref="D133">INDEX('起きあがり'!$R$3:$S$115, MATCH($A$1,'起きあがり'!$A$3:$A$115,0), MATCH(D$116,'起きあがり'!$R$2:$AD$2,0))</f>
        <v>35</v>
      </c>
      <c r="E133" s="301"/>
      <c r="F133" s="301"/>
      <c r="G133" s="301"/>
      <c r="H133" s="228"/>
      <c r="I133" s="228"/>
      <c r="J133" s="117"/>
      <c r="K133" s="146"/>
      <c r="L133" s="314" t="str">
        <f>'テンプレート'!L133</f>
        <v>地上硬直</v>
      </c>
      <c r="M133" s="113" t="str">
        <f t="array" ref="M133">INDEX('共通動作その他'!$E$3:$E$102, MATCH($A$1,'共通動作その他'!$A$3:$A$102,0), MATCH(M$130,'共通動作その他'!$E$2:$AA$2,0))</f>
        <v>-</v>
      </c>
      <c r="N133" s="102"/>
      <c r="O133" s="118"/>
      <c r="P133" s="118"/>
      <c r="Q133" s="118"/>
      <c r="R133" s="118"/>
      <c r="S133" s="118"/>
      <c r="T133" s="118"/>
      <c r="U133" s="118"/>
      <c r="V133" s="118"/>
    </row>
    <row r="134" outlineLevel="1">
      <c r="A134" s="146"/>
      <c r="B134" s="300" t="str">
        <f>'テンプレート'!B134</f>
        <v>後方</v>
      </c>
      <c r="C134" s="307" t="str">
        <f t="array" ref="C134">INDEX('起きあがり'!$T$3:$U$115, MATCH($A$1,'起きあがり'!$A$3:$A$115,0), MATCH(C$116,'起きあがり'!$T$2:$AD$2,0))</f>
        <v>1-24</v>
      </c>
      <c r="D134" s="308">
        <f t="array" ref="D134">INDEX('起きあがり'!$T$3:$U$115, MATCH($A$1,'起きあがり'!$A$3:$A$115,0), MATCH(D$116,'起きあがり'!$T$2:$AD$2,0))</f>
        <v>35</v>
      </c>
      <c r="E134" s="301"/>
      <c r="F134" s="301"/>
      <c r="G134" s="301"/>
      <c r="H134" s="228"/>
      <c r="I134" s="228"/>
      <c r="J134" s="111"/>
      <c r="K134" s="146"/>
      <c r="L134" s="314" t="str">
        <f>'テンプレート'!L134</f>
        <v>空中踏まれ</v>
      </c>
      <c r="M134" s="113" t="str">
        <f t="array" ref="M134">INDEX('共通動作その他'!$F$3:$F$102, MATCH($A$1,'共通動作その他'!$A$3:$A$102,0), MATCH(M$130,'共通動作その他'!$F$2:$AA$2,0))</f>
        <v>-</v>
      </c>
      <c r="N134" s="102"/>
      <c r="O134" s="118"/>
      <c r="P134" s="118"/>
      <c r="Q134" s="118"/>
      <c r="R134" s="118"/>
      <c r="S134" s="118"/>
      <c r="T134" s="118"/>
      <c r="U134" s="118"/>
      <c r="V134" s="118"/>
    </row>
    <row r="135" outlineLevel="1">
      <c r="A135" s="146"/>
      <c r="B135" s="1709" t="str">
        <f>'テンプレート'!B135</f>
        <v>攻撃1</v>
      </c>
      <c r="C135" s="309" t="str">
        <f t="array" ref="C135">INDEX('起きあがり'!$V$3:$Y$115, MATCH($A$1,'起きあがり'!$A$3:$A$115,0), MATCH(C$116,'起きあがり'!$V$2:$AD$2,0))</f>
        <v>1-26</v>
      </c>
      <c r="D135" s="310">
        <f t="array" ref="D135">INDEX('起きあがり'!$V$3:$Y$115, MATCH($A$1,'起きあがり'!$A$3:$A$115,0), MATCH(D$116,'起きあがり'!$V$2:$AD$2,0))</f>
        <v>45</v>
      </c>
      <c r="E135" s="307" t="str">
        <f t="array" ref="E135">INDEX('起きあがり'!$V$3:$Y$115, MATCH($A$1,'起きあがり'!$A$3:$A$115,0), MATCH(E$116,'起きあがり'!$V$2:$AD$2,0))</f>
        <v>15-16</v>
      </c>
      <c r="F135" s="308">
        <f t="array" ref="F135">INDEX('起きあがり'!$V$3:$Y$115, MATCH($A$1,'起きあがり'!$A$3:$A$115,0), MATCH(F$116,'起きあがり'!$V$2:$AD$2,0))</f>
        <v>7</v>
      </c>
      <c r="G135" s="113">
        <f t="shared" ref="G135:G136" si="15">F135*1.2</f>
        <v>8.4</v>
      </c>
      <c r="H135" s="228"/>
      <c r="I135" s="228"/>
      <c r="J135" s="117"/>
      <c r="K135" s="146"/>
      <c r="L135" s="314" t="str">
        <f>'テンプレート'!L135</f>
        <v>空中落下</v>
      </c>
      <c r="M135" s="113" t="str">
        <f t="array" ref="M135">INDEX('共通動作その他'!$G$3:$G$102, MATCH($A$1,'共通動作その他'!$A$3:$A$102,0), MATCH(M$130,'共通動作その他'!$G$2:$AA$2,0))</f>
        <v>-</v>
      </c>
      <c r="N135" s="102"/>
      <c r="O135" s="118"/>
      <c r="P135" s="118"/>
      <c r="Q135" s="118"/>
      <c r="R135" s="118"/>
      <c r="S135" s="118"/>
      <c r="T135" s="118"/>
      <c r="U135" s="118"/>
      <c r="V135" s="118"/>
    </row>
    <row r="136" outlineLevel="1">
      <c r="A136" s="156"/>
      <c r="B136" s="156"/>
      <c r="C136" s="156"/>
      <c r="D136" s="156"/>
      <c r="E136" s="307" t="str">
        <f t="array" ref="E136">INDEX('起きあがり'!$Z$3:$AA$115, MATCH($A$1,'起きあがり'!$A$3:$A$115,0), MATCH(E$116,'起きあがり'!$Z$2:$AD$2,0))</f>
        <v>25-26</v>
      </c>
      <c r="F136" s="308">
        <f t="array" ref="F136">INDEX('起きあがり'!$Z$3:$AA$115, MATCH($A$1,'起きあがり'!$A$3:$A$115,0), MATCH(F$116,'起きあがり'!$Z$2:$AD$2,0))</f>
        <v>7</v>
      </c>
      <c r="G136" s="113">
        <f t="shared" si="15"/>
        <v>8.4</v>
      </c>
      <c r="H136" s="228"/>
      <c r="I136" s="228"/>
      <c r="J136" s="117"/>
      <c r="K136" s="304" t="str">
        <f>'テンプレート'!K136</f>
        <v>倒れダメージ</v>
      </c>
      <c r="L136" s="110"/>
      <c r="M136" s="298" t="str">
        <f>'テンプレート'!M136</f>
        <v>全体フレーム</v>
      </c>
      <c r="N136" s="102"/>
      <c r="O136" s="118"/>
      <c r="P136" s="118"/>
      <c r="Q136" s="118"/>
      <c r="R136" s="118"/>
      <c r="S136" s="118"/>
      <c r="T136" s="118"/>
      <c r="U136" s="118"/>
      <c r="V136" s="118"/>
    </row>
    <row r="137" outlineLevel="1">
      <c r="A137" s="299" t="str">
        <f>'テンプレート'!A137</f>
        <v>転倒</v>
      </c>
      <c r="B137" s="300" t="str">
        <f>'テンプレート'!B137</f>
        <v>硬直(小)</v>
      </c>
      <c r="C137" s="307" t="str">
        <f t="array" ref="C137">INDEX('転倒'!$C$3:$D$115, MATCH($A$1,'転倒'!$A$3:$A$115,0), MATCH(C$116,'転倒'!$C$2:$AC$2,0))</f>
        <v>1-5</v>
      </c>
      <c r="D137" s="308">
        <f t="array" ref="D137">INDEX('転倒'!$C$3:$D$115, MATCH($A$1,'転倒'!$A$3:$A$115,0), MATCH(D$116,'転倒'!$C$2:$AC$2,0))</f>
        <v>29</v>
      </c>
      <c r="E137" s="301"/>
      <c r="F137" s="301"/>
      <c r="G137" s="301"/>
      <c r="H137" s="228"/>
      <c r="I137" s="228"/>
      <c r="J137" s="111"/>
      <c r="K137" s="313" t="str">
        <f>'テンプレート'!K137</f>
        <v>あお向け倒れ</v>
      </c>
      <c r="L137" s="306" t="str">
        <f>'テンプレート'!L137</f>
        <v>モーション大</v>
      </c>
      <c r="M137" s="113" t="str">
        <f t="array" ref="M137">INDEX('共通動作その他'!$H$3:$H$102, MATCH($A$1,'共通動作その他'!$A$3:$A$102,0), MATCH(M$136,'共通動作その他'!$H$2:$AA$2,0))</f>
        <v>-</v>
      </c>
      <c r="N137" s="315"/>
      <c r="O137" s="118"/>
      <c r="P137" s="118"/>
      <c r="Q137" s="118"/>
      <c r="R137" s="118"/>
      <c r="S137" s="118"/>
      <c r="T137" s="118"/>
      <c r="U137" s="118"/>
      <c r="V137" s="118"/>
    </row>
    <row r="138" outlineLevel="1">
      <c r="A138" s="146"/>
      <c r="B138" s="300" t="str">
        <f>'テンプレート'!B138</f>
        <v>硬直(大)</v>
      </c>
      <c r="C138" s="307" t="str">
        <f t="array" ref="C138">INDEX('転倒'!$E$3:$F$115, MATCH($A$1,'転倒'!$A$3:$A$115,0), MATCH(C$116,'転倒'!$E$2:$AC$2,0))</f>
        <v>1-5</v>
      </c>
      <c r="D138" s="308">
        <f t="array" ref="D138">INDEX('転倒'!$E$3:$F$115, MATCH($A$1,'転倒'!$A$3:$A$115,0), MATCH(D$116,'転倒'!$E$2:$AC$2,0))</f>
        <v>39</v>
      </c>
      <c r="E138" s="301"/>
      <c r="F138" s="301"/>
      <c r="G138" s="301"/>
      <c r="H138" s="228"/>
      <c r="I138" s="228"/>
      <c r="J138" s="117"/>
      <c r="K138" s="313" t="str">
        <f>'テンプレート'!K138</f>
        <v>うつ伏せ倒れ</v>
      </c>
      <c r="L138" s="306" t="str">
        <f>'テンプレート'!L138</f>
        <v>モーション大</v>
      </c>
      <c r="M138" s="113" t="str">
        <f t="array" ref="M138">INDEX('共通動作その他'!$I$3:$I$102, MATCH($A$1,'共通動作その他'!$A$3:$A$102,0), MATCH(M$136,'共通動作その他'!$I$2:$AA$2,0))</f>
        <v>-</v>
      </c>
      <c r="N138" s="315"/>
      <c r="O138" s="118"/>
      <c r="P138" s="118"/>
      <c r="Q138" s="118"/>
      <c r="R138" s="118"/>
      <c r="S138" s="118"/>
      <c r="T138" s="118"/>
      <c r="U138" s="118"/>
      <c r="V138" s="118"/>
    </row>
    <row r="139" outlineLevel="1">
      <c r="A139" s="146"/>
      <c r="B139" s="300" t="str">
        <f>'テンプレート'!B139</f>
        <v>その場</v>
      </c>
      <c r="C139" s="307" t="str">
        <f t="array" ref="C139">INDEX('転倒'!$G$3:$H$115, MATCH($A$1,'転倒'!$A$3:$A$115,0), MATCH(C$116,'転倒'!$G$2:$AC$2,0))</f>
        <v>1-16</v>
      </c>
      <c r="D139" s="308">
        <f t="array" ref="D139">INDEX('転倒'!$G$3:$H$115, MATCH($A$1,'転倒'!$A$3:$A$115,0), MATCH(D$116,'転倒'!$G$2:$AC$2,0))</f>
        <v>21</v>
      </c>
      <c r="E139" s="301"/>
      <c r="F139" s="301"/>
      <c r="G139" s="301"/>
      <c r="H139" s="228"/>
      <c r="I139" s="228"/>
      <c r="J139" s="111"/>
      <c r="K139" s="304" t="str">
        <f>'テンプレート'!K139</f>
        <v/>
      </c>
      <c r="L139" s="110"/>
      <c r="M139" s="298" t="str">
        <f>'テンプレート'!M139</f>
        <v/>
      </c>
      <c r="N139" s="102"/>
      <c r="O139" s="118"/>
      <c r="P139" s="118"/>
      <c r="Q139" s="118"/>
      <c r="R139" s="118"/>
      <c r="S139" s="118"/>
      <c r="T139" s="118"/>
      <c r="U139" s="118"/>
      <c r="V139" s="118"/>
    </row>
    <row r="140" outlineLevel="1">
      <c r="A140" s="146"/>
      <c r="B140" s="300" t="str">
        <f>'テンプレート'!B140</f>
        <v>前方</v>
      </c>
      <c r="C140" s="307" t="str">
        <f t="array" ref="C140">INDEX('転倒'!$I$3:$J$115, MATCH($A$1,'転倒'!$A$3:$A$115,0), MATCH(C$116,'転倒'!$I$2:$AC$2,0))</f>
        <v>1-9</v>
      </c>
      <c r="D140" s="308">
        <f t="array" ref="D140">INDEX('転倒'!$I$3:$J$115, MATCH($A$1,'転倒'!$A$3:$A$115,0), MATCH(D$116,'転倒'!$I$2:$AC$2,0))</f>
        <v>28</v>
      </c>
      <c r="E140" s="301"/>
      <c r="F140" s="301"/>
      <c r="G140" s="301"/>
      <c r="H140" s="228"/>
      <c r="I140" s="228"/>
      <c r="J140" s="228"/>
      <c r="K140" s="316" t="str">
        <f>'テンプレート'!K140</f>
        <v/>
      </c>
      <c r="L140" s="317" t="str">
        <f>'テンプレート'!L140</f>
        <v/>
      </c>
      <c r="M140" s="113" t="str">
        <f t="array" ref="M140">INDEX('共通動作その他'!$J$3:$J$102, MATCH($A$1,'共通動作その他'!$A$3:$A$102,0), MATCH(M$139,'共通動作その他'!$J$2:$AA$2,0))</f>
        <v>#N/A</v>
      </c>
      <c r="N140" s="102"/>
      <c r="O140" s="118"/>
      <c r="P140" s="118"/>
      <c r="Q140" s="118"/>
      <c r="R140" s="118"/>
      <c r="S140" s="118"/>
      <c r="T140" s="118"/>
      <c r="U140" s="118"/>
      <c r="V140" s="118"/>
    </row>
    <row r="141" outlineLevel="1">
      <c r="A141" s="146"/>
      <c r="B141" s="300" t="str">
        <f>'テンプレート'!B141</f>
        <v>後方</v>
      </c>
      <c r="C141" s="307" t="str">
        <f t="array" ref="C141">INDEX('転倒'!$K$3:$L$115, MATCH($A$1,'転倒'!$A$3:$A$115,0), MATCH(C$116,'転倒'!$K$2:$AC$2,0))</f>
        <v>1-9</v>
      </c>
      <c r="D141" s="308">
        <f t="array" ref="D141">INDEX('転倒'!$K$3:$L$115, MATCH($A$1,'転倒'!$A$3:$A$115,0), MATCH(D$116,'転倒'!$K$2:$AC$2,0))</f>
        <v>28</v>
      </c>
      <c r="E141" s="301"/>
      <c r="F141" s="301"/>
      <c r="G141" s="301"/>
      <c r="H141" s="228"/>
      <c r="I141" s="228"/>
      <c r="J141" s="228"/>
      <c r="K141" s="102"/>
      <c r="L141" s="118"/>
      <c r="M141" s="118"/>
      <c r="N141" s="102"/>
      <c r="O141" s="118"/>
      <c r="P141" s="118"/>
      <c r="Q141" s="118"/>
      <c r="R141" s="118"/>
      <c r="S141" s="118"/>
      <c r="T141" s="118"/>
      <c r="U141" s="118"/>
      <c r="V141" s="118"/>
    </row>
    <row r="142" outlineLevel="1">
      <c r="A142" s="146"/>
      <c r="B142" s="1709" t="str">
        <f>'テンプレート'!B142</f>
        <v>攻撃1</v>
      </c>
      <c r="C142" s="309" t="str">
        <f t="array" ref="C142">INDEX('転倒'!$M$3:$P$115, MATCH($A$1,'転倒'!$A$3:$A$115,0), MATCH(C$116,'転倒'!$M$2:$AC$2,0))</f>
        <v>1-7</v>
      </c>
      <c r="D142" s="310">
        <f t="array" ref="D142">INDEX('転倒'!$M$3:$P$115, MATCH($A$1,'転倒'!$A$3:$A$115,0), MATCH(D$116,'転倒'!$M$2:$AC$2,0))</f>
        <v>49</v>
      </c>
      <c r="E142" s="307" t="str">
        <f t="array" ref="E142">INDEX('転倒'!$M$3:$P$115, MATCH($A$1,'転倒'!$A$3:$A$115,0), MATCH(E$116,'転倒'!$M$2:$AC$2,0))</f>
        <v>19-20</v>
      </c>
      <c r="F142" s="308">
        <f t="array" ref="F142">INDEX('転倒'!$M$3:$P$115, MATCH($A$1,'転倒'!$A$3:$A$115,0), MATCH(F$116,'転倒'!$M$2:$AC$2,0))</f>
        <v>5</v>
      </c>
      <c r="G142" s="113">
        <f t="shared" ref="G142:G143" si="16">F142*1.2</f>
        <v>6</v>
      </c>
      <c r="H142" s="228"/>
      <c r="I142" s="228"/>
      <c r="J142" s="228"/>
      <c r="K142" s="118"/>
      <c r="L142" s="118"/>
      <c r="M142" s="118"/>
      <c r="N142" s="102"/>
      <c r="O142" s="102"/>
      <c r="P142" s="102"/>
      <c r="Q142" s="102"/>
      <c r="R142" s="118"/>
      <c r="S142" s="118"/>
      <c r="T142" s="118"/>
      <c r="U142" s="118"/>
      <c r="V142" s="118"/>
    </row>
    <row r="143" outlineLevel="1">
      <c r="A143" s="156"/>
      <c r="B143" s="156"/>
      <c r="C143" s="156"/>
      <c r="D143" s="156"/>
      <c r="E143" s="307" t="str">
        <f t="array" ref="E143">INDEX('転倒'!$Q$3:$R$115, MATCH($A$1,'転倒'!$A$3:$A$115,0), MATCH(E$116,'転倒'!$Q$2:$AC$2,0))</f>
        <v>31-32</v>
      </c>
      <c r="F143" s="308">
        <f t="array" ref="F143">INDEX('転倒'!$Q$3:$R$115, MATCH($A$1,'転倒'!$A$3:$A$115,0), MATCH(F$116,'転倒'!$Q$2:$AC$2,0))</f>
        <v>5</v>
      </c>
      <c r="G143" s="113">
        <f t="shared" si="16"/>
        <v>6</v>
      </c>
      <c r="H143" s="228"/>
      <c r="I143" s="228"/>
      <c r="J143" s="228"/>
      <c r="K143" s="118"/>
      <c r="L143" s="118"/>
      <c r="M143" s="118"/>
      <c r="N143" s="102"/>
      <c r="O143" s="102"/>
      <c r="P143" s="102"/>
      <c r="Q143" s="102"/>
      <c r="R143" s="118"/>
      <c r="S143" s="118"/>
      <c r="T143" s="118"/>
      <c r="U143" s="118"/>
      <c r="V143" s="118"/>
    </row>
  </sheetData>
  <mergeCells count="163">
    <mergeCell ref="H34:J39"/>
    <mergeCell ref="H40:J41"/>
    <mergeCell ref="H42:J43"/>
    <mergeCell ref="H44:J49"/>
    <mergeCell ref="H50:J51"/>
    <mergeCell ref="H52:J53"/>
    <mergeCell ref="R56:V56"/>
    <mergeCell ref="I57:I58"/>
    <mergeCell ref="J57:J58"/>
    <mergeCell ref="R57:V58"/>
    <mergeCell ref="R59:V60"/>
    <mergeCell ref="R61:V62"/>
    <mergeCell ref="R63:V64"/>
    <mergeCell ref="R65:V67"/>
    <mergeCell ref="U86:U89"/>
    <mergeCell ref="V86:V89"/>
    <mergeCell ref="R68:V69"/>
    <mergeCell ref="U73:U74"/>
    <mergeCell ref="V73:V74"/>
    <mergeCell ref="U76:U79"/>
    <mergeCell ref="V76:V79"/>
    <mergeCell ref="U81:U84"/>
    <mergeCell ref="V81:V84"/>
    <mergeCell ref="D57:D58"/>
    <mergeCell ref="D59:D60"/>
    <mergeCell ref="D68:D69"/>
    <mergeCell ref="D73:D74"/>
    <mergeCell ref="D76:D77"/>
    <mergeCell ref="D81:D84"/>
    <mergeCell ref="D86:D87"/>
    <mergeCell ref="D40:D41"/>
    <mergeCell ref="D42:D43"/>
    <mergeCell ref="D44:D45"/>
    <mergeCell ref="D46:D47"/>
    <mergeCell ref="D48:D49"/>
    <mergeCell ref="D50:D51"/>
    <mergeCell ref="D52:D53"/>
    <mergeCell ref="A34:A39"/>
    <mergeCell ref="A40:A41"/>
    <mergeCell ref="A42:A43"/>
    <mergeCell ref="A44:A49"/>
    <mergeCell ref="A50:A51"/>
    <mergeCell ref="A52:A53"/>
    <mergeCell ref="A55:B56"/>
    <mergeCell ref="A65:A67"/>
    <mergeCell ref="A68:A69"/>
    <mergeCell ref="A71:B71"/>
    <mergeCell ref="A72:B72"/>
    <mergeCell ref="A73:A74"/>
    <mergeCell ref="A75:B75"/>
    <mergeCell ref="A76:A77"/>
    <mergeCell ref="A80:B80"/>
    <mergeCell ref="A81:A82"/>
    <mergeCell ref="A85:B85"/>
    <mergeCell ref="A86:A87"/>
    <mergeCell ref="A91:B92"/>
    <mergeCell ref="A94:A96"/>
    <mergeCell ref="A97:B97"/>
    <mergeCell ref="A112:A113"/>
    <mergeCell ref="A117:A121"/>
    <mergeCell ref="A125:A130"/>
    <mergeCell ref="B129:B130"/>
    <mergeCell ref="A131:A136"/>
    <mergeCell ref="B135:B136"/>
    <mergeCell ref="A137:A143"/>
    <mergeCell ref="B142:B143"/>
    <mergeCell ref="A98:A99"/>
    <mergeCell ref="A100:A101"/>
    <mergeCell ref="A102:A103"/>
    <mergeCell ref="A104:A105"/>
    <mergeCell ref="A107:B108"/>
    <mergeCell ref="A109:A111"/>
    <mergeCell ref="A115:B116"/>
    <mergeCell ref="A61:A62"/>
    <mergeCell ref="A63:A64"/>
    <mergeCell ref="D63:D64"/>
    <mergeCell ref="I63:I64"/>
    <mergeCell ref="J63:J64"/>
    <mergeCell ref="D65:D67"/>
    <mergeCell ref="J65:J67"/>
    <mergeCell ref="H80:J80"/>
    <mergeCell ref="H81:J84"/>
    <mergeCell ref="A83:A84"/>
    <mergeCell ref="H85:J85"/>
    <mergeCell ref="A88:A89"/>
    <mergeCell ref="D88:D89"/>
    <mergeCell ref="I65:I67"/>
    <mergeCell ref="I68:I69"/>
    <mergeCell ref="J68:J69"/>
    <mergeCell ref="H72:J72"/>
    <mergeCell ref="H73:J74"/>
    <mergeCell ref="H75:J75"/>
    <mergeCell ref="H76:J79"/>
    <mergeCell ref="H86:J89"/>
    <mergeCell ref="H97:J97"/>
    <mergeCell ref="C98:C99"/>
    <mergeCell ref="E98:E99"/>
    <mergeCell ref="H98:J99"/>
    <mergeCell ref="E100:E101"/>
    <mergeCell ref="H100:J101"/>
    <mergeCell ref="K126:K129"/>
    <mergeCell ref="K132:K135"/>
    <mergeCell ref="K136:L136"/>
    <mergeCell ref="K139:L139"/>
    <mergeCell ref="H102:J103"/>
    <mergeCell ref="H104:J105"/>
    <mergeCell ref="K116:L116"/>
    <mergeCell ref="K117:K118"/>
    <mergeCell ref="K119:L119"/>
    <mergeCell ref="K120:K125"/>
    <mergeCell ref="K130:L130"/>
    <mergeCell ref="C129:C130"/>
    <mergeCell ref="C135:C136"/>
    <mergeCell ref="D135:D136"/>
    <mergeCell ref="C142:C143"/>
    <mergeCell ref="D142:D143"/>
    <mergeCell ref="C100:C101"/>
    <mergeCell ref="C102:C103"/>
    <mergeCell ref="E102:E103"/>
    <mergeCell ref="C104:C105"/>
    <mergeCell ref="E104:E105"/>
    <mergeCell ref="A122:A124"/>
    <mergeCell ref="D129:D130"/>
    <mergeCell ref="H6:H7"/>
    <mergeCell ref="H10:H11"/>
    <mergeCell ref="H1:J2"/>
    <mergeCell ref="K1:M2"/>
    <mergeCell ref="H4:H5"/>
    <mergeCell ref="I4:I5"/>
    <mergeCell ref="I6:I7"/>
    <mergeCell ref="H8:J9"/>
    <mergeCell ref="I10:I11"/>
    <mergeCell ref="K16:N16"/>
    <mergeCell ref="C1:G12"/>
    <mergeCell ref="A11:B12"/>
    <mergeCell ref="A15:B16"/>
    <mergeCell ref="C16:D16"/>
    <mergeCell ref="E16:F16"/>
    <mergeCell ref="G16:H16"/>
    <mergeCell ref="H25:J25"/>
    <mergeCell ref="H26:J26"/>
    <mergeCell ref="H27:J27"/>
    <mergeCell ref="H28:J28"/>
    <mergeCell ref="H29:J29"/>
    <mergeCell ref="H30:J30"/>
    <mergeCell ref="H31:J31"/>
    <mergeCell ref="H32:J33"/>
    <mergeCell ref="A24:B25"/>
    <mergeCell ref="A26:A31"/>
    <mergeCell ref="A32:A33"/>
    <mergeCell ref="D32:D33"/>
    <mergeCell ref="D34:D35"/>
    <mergeCell ref="D36:D37"/>
    <mergeCell ref="D38:D39"/>
    <mergeCell ref="A57:A58"/>
    <mergeCell ref="A59:A60"/>
    <mergeCell ref="I59:I60"/>
    <mergeCell ref="J59:J60"/>
    <mergeCell ref="D61:D62"/>
    <mergeCell ref="I61:I62"/>
    <mergeCell ref="J61:J62"/>
    <mergeCell ref="A78:A79"/>
    <mergeCell ref="D78:D79"/>
  </mergeCells>
  <conditionalFormatting sqref="K1:K15 K17:K140">
    <cfRule type="containsText" dxfId="0" priority="1" operator="containsText" text="361">
      <formula>NOT(ISERROR(SEARCH(("361"),(K1))))</formula>
    </cfRule>
  </conditionalFormatting>
  <conditionalFormatting sqref="K1:K15 K17:K140">
    <cfRule type="containsText" dxfId="1" priority="2" operator="containsText" text="363">
      <formula>NOT(ISERROR(SEARCH(("363"),(K1))))</formula>
    </cfRule>
  </conditionalFormatting>
  <conditionalFormatting sqref="K1:K15 K17:K140">
    <cfRule type="containsText" dxfId="1" priority="3" operator="containsText" text="365">
      <formula>NOT(ISERROR(SEARCH(("365"),(K1))))</formula>
    </cfRule>
  </conditionalFormatting>
  <conditionalFormatting sqref="K1:K15 K17:K140">
    <cfRule type="containsText" dxfId="1" priority="4" operator="containsText" text="366">
      <formula>NOT(ISERROR(SEARCH(("366"),(K1))))</formula>
    </cfRule>
  </conditionalFormatting>
  <conditionalFormatting sqref="K1:K15 K17:K140">
    <cfRule type="containsText" dxfId="1" priority="5" operator="containsText" text="367">
      <formula>NOT(ISERROR(SEARCH(("367"),(K1))))</formula>
    </cfRule>
  </conditionalFormatting>
  <conditionalFormatting sqref="P98:P105">
    <cfRule type="cellIs" dxfId="2" priority="6" operator="equal">
      <formula>"敵のみ"</formula>
    </cfRule>
  </conditionalFormatting>
  <conditionalFormatting sqref="D98:D105">
    <cfRule type="cellIs" dxfId="3" priority="7" operator="equal">
      <formula>"-"</formula>
    </cfRule>
  </conditionalFormatting>
  <conditionalFormatting sqref="O1:O143 P105">
    <cfRule type="cellIs" dxfId="4" priority="8" operator="greaterThan">
      <formula>0</formula>
    </cfRule>
  </conditionalFormatting>
  <conditionalFormatting sqref="P1:Q143">
    <cfRule type="cellIs" dxfId="5" priority="9" operator="lessThan">
      <formula>1</formula>
    </cfRule>
  </conditionalFormatting>
  <conditionalFormatting sqref="P1:Q143">
    <cfRule type="cellIs" dxfId="4" priority="10" operator="greaterThan">
      <formula>1</formula>
    </cfRule>
  </conditionalFormatting>
  <conditionalFormatting sqref="N25:N105">
    <cfRule type="cellIs" dxfId="6" priority="11" operator="greaterThan">
      <formula>0</formula>
    </cfRule>
  </conditionalFormatting>
  <conditionalFormatting sqref="N1:N143">
    <cfRule type="containsText" dxfId="6" priority="12" operator="containsText" text="/">
      <formula>NOT(ISERROR(SEARCH(("/"),(N1))))</formula>
    </cfRule>
  </conditionalFormatting>
  <drawing r:id="rId2"/>
  <legacyDrawing r:id="rId3"/>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6.25"/>
    <col customWidth="1" min="2" max="2" width="18.88"/>
    <col customWidth="1" min="3" max="10" width="6.0"/>
    <col customWidth="1" min="11" max="13" width="9.25"/>
  </cols>
  <sheetData>
    <row r="1">
      <c r="A1" s="3741"/>
      <c r="B1" s="3699"/>
      <c r="C1" s="3742" t="str">
        <f>'テンプレート'!$K$130</f>
        <v>踏み台ジャンプ</v>
      </c>
      <c r="D1" s="110"/>
      <c r="E1" s="110"/>
      <c r="F1" s="110"/>
      <c r="G1" s="109"/>
      <c r="H1" s="3743" t="str">
        <f>'テンプレート'!$K$136</f>
        <v>倒れダメージ</v>
      </c>
      <c r="I1" s="109"/>
      <c r="J1" s="3830" t="str">
        <f>'テンプレート'!$K$139</f>
        <v/>
      </c>
      <c r="K1" s="3745"/>
      <c r="L1" s="3745"/>
      <c r="M1" s="3745"/>
    </row>
    <row r="2">
      <c r="A2" s="3741" t="s">
        <v>6515</v>
      </c>
      <c r="B2" s="3699" t="s">
        <v>7272</v>
      </c>
      <c r="C2" s="3748" t="s">
        <v>49</v>
      </c>
      <c r="D2" s="3748" t="s">
        <v>49</v>
      </c>
      <c r="E2" s="3748" t="s">
        <v>49</v>
      </c>
      <c r="F2" s="3748" t="s">
        <v>49</v>
      </c>
      <c r="G2" s="3748" t="s">
        <v>49</v>
      </c>
      <c r="H2" s="3780" t="s">
        <v>49</v>
      </c>
      <c r="I2" s="3780" t="s">
        <v>49</v>
      </c>
      <c r="J2" s="3831" t="s">
        <v>49</v>
      </c>
      <c r="K2" s="3698" t="s">
        <v>6515</v>
      </c>
      <c r="L2" s="3698" t="s">
        <v>6516</v>
      </c>
      <c r="M2" s="3759" t="s">
        <v>6517</v>
      </c>
    </row>
    <row r="3">
      <c r="A3" s="3832">
        <v>1.0</v>
      </c>
      <c r="B3" s="3833" t="s">
        <v>6519</v>
      </c>
      <c r="C3" s="1672">
        <v>7.0</v>
      </c>
      <c r="D3" s="138" t="s">
        <v>76</v>
      </c>
      <c r="E3" s="138">
        <v>28.0</v>
      </c>
      <c r="F3" s="138">
        <v>8.0</v>
      </c>
      <c r="G3" s="3834">
        <v>37.0</v>
      </c>
      <c r="H3" s="3149">
        <v>39.0</v>
      </c>
      <c r="I3" s="3834" t="s">
        <v>118</v>
      </c>
      <c r="J3" s="3835" t="s">
        <v>76</v>
      </c>
      <c r="K3" s="3836">
        <v>1.0</v>
      </c>
      <c r="L3" s="3837">
        <v>0.0</v>
      </c>
      <c r="M3" s="3837">
        <v>1.0</v>
      </c>
    </row>
    <row r="4">
      <c r="A4" s="3832">
        <v>2.0</v>
      </c>
      <c r="B4" s="3833" t="s">
        <v>6528</v>
      </c>
      <c r="C4" s="1672">
        <v>8.0</v>
      </c>
      <c r="D4" s="138" t="s">
        <v>76</v>
      </c>
      <c r="E4" s="138">
        <v>28.0</v>
      </c>
      <c r="F4" s="138">
        <v>8.0</v>
      </c>
      <c r="G4" s="3834">
        <v>35.0</v>
      </c>
      <c r="H4" s="3149">
        <v>39.0</v>
      </c>
      <c r="I4" s="3834" t="s">
        <v>118</v>
      </c>
      <c r="J4" s="3835" t="s">
        <v>76</v>
      </c>
      <c r="K4" s="3838">
        <v>2.0</v>
      </c>
      <c r="L4" s="3839">
        <v>1.0</v>
      </c>
      <c r="M4" s="3839">
        <v>9.0</v>
      </c>
    </row>
    <row r="5">
      <c r="A5" s="3832">
        <v>3.0</v>
      </c>
      <c r="B5" s="3833" t="s">
        <v>6539</v>
      </c>
      <c r="C5" s="1672">
        <v>8.0</v>
      </c>
      <c r="D5" s="138" t="s">
        <v>76</v>
      </c>
      <c r="E5" s="138">
        <v>27.0</v>
      </c>
      <c r="F5" s="138">
        <v>8.0</v>
      </c>
      <c r="G5" s="3834">
        <v>36.0</v>
      </c>
      <c r="H5" s="3149">
        <v>39.0</v>
      </c>
      <c r="I5" s="3834" t="s">
        <v>118</v>
      </c>
      <c r="J5" s="3835" t="s">
        <v>76</v>
      </c>
      <c r="K5" s="3838">
        <v>3.0</v>
      </c>
      <c r="L5" s="3839">
        <v>2.0</v>
      </c>
      <c r="M5" s="3839">
        <v>13.0</v>
      </c>
    </row>
    <row r="6">
      <c r="A6" s="3832">
        <v>4.0</v>
      </c>
      <c r="B6" s="3833" t="s">
        <v>6549</v>
      </c>
      <c r="C6" s="1672">
        <v>7.0</v>
      </c>
      <c r="D6" s="138" t="s">
        <v>76</v>
      </c>
      <c r="E6" s="138">
        <v>27.0</v>
      </c>
      <c r="F6" s="138">
        <v>7.0</v>
      </c>
      <c r="G6" s="3834">
        <v>40.0</v>
      </c>
      <c r="H6" s="3149">
        <v>39.0</v>
      </c>
      <c r="I6" s="3834" t="s">
        <v>118</v>
      </c>
      <c r="J6" s="3835" t="s">
        <v>76</v>
      </c>
      <c r="K6" s="3838">
        <v>4.0</v>
      </c>
      <c r="L6" s="3839">
        <v>3.0</v>
      </c>
      <c r="M6" s="3839">
        <v>18.0</v>
      </c>
    </row>
    <row r="7">
      <c r="A7" s="3772" t="s">
        <v>624</v>
      </c>
      <c r="B7" s="3833" t="s">
        <v>6558</v>
      </c>
      <c r="C7" s="138" t="s">
        <v>76</v>
      </c>
      <c r="D7" s="138" t="s">
        <v>76</v>
      </c>
      <c r="E7" s="138" t="s">
        <v>76</v>
      </c>
      <c r="F7" s="138" t="s">
        <v>76</v>
      </c>
      <c r="G7" s="3834" t="s">
        <v>76</v>
      </c>
      <c r="H7" s="3149" t="s">
        <v>76</v>
      </c>
      <c r="I7" s="3834" t="s">
        <v>76</v>
      </c>
      <c r="J7" s="3835" t="s">
        <v>76</v>
      </c>
      <c r="K7" s="3838">
        <v>5.0</v>
      </c>
      <c r="L7" s="3839">
        <v>72.0</v>
      </c>
      <c r="M7" s="3839" t="s">
        <v>76</v>
      </c>
    </row>
    <row r="8">
      <c r="A8" s="3832">
        <v>5.0</v>
      </c>
      <c r="B8" s="3833" t="s">
        <v>6564</v>
      </c>
      <c r="C8" s="1672">
        <v>8.0</v>
      </c>
      <c r="D8" s="138" t="s">
        <v>76</v>
      </c>
      <c r="E8" s="138">
        <v>28.0</v>
      </c>
      <c r="F8" s="138">
        <v>8.0</v>
      </c>
      <c r="G8" s="3834">
        <v>40.0</v>
      </c>
      <c r="H8" s="3149">
        <v>39.0</v>
      </c>
      <c r="I8" s="3834" t="s">
        <v>118</v>
      </c>
      <c r="J8" s="3835" t="s">
        <v>76</v>
      </c>
      <c r="K8" s="3838">
        <v>6.0</v>
      </c>
      <c r="L8" s="3839">
        <v>4.0</v>
      </c>
      <c r="M8" s="3839">
        <v>5.0</v>
      </c>
    </row>
    <row r="9">
      <c r="A9" s="3832">
        <v>6.0</v>
      </c>
      <c r="B9" s="3833" t="s">
        <v>6574</v>
      </c>
      <c r="C9" s="1672">
        <v>7.0</v>
      </c>
      <c r="D9" s="138" t="s">
        <v>76</v>
      </c>
      <c r="E9" s="138">
        <v>28.0</v>
      </c>
      <c r="F9" s="138">
        <v>8.0</v>
      </c>
      <c r="G9" s="3834">
        <v>41.0</v>
      </c>
      <c r="H9" s="3149">
        <v>39.0</v>
      </c>
      <c r="I9" s="3834" t="s">
        <v>118</v>
      </c>
      <c r="J9" s="3835" t="s">
        <v>76</v>
      </c>
      <c r="K9" s="3838">
        <v>7.0</v>
      </c>
      <c r="L9" s="3839">
        <v>5.0</v>
      </c>
      <c r="M9" s="3839">
        <v>25.0</v>
      </c>
    </row>
    <row r="10">
      <c r="A10" s="3832">
        <v>7.0</v>
      </c>
      <c r="B10" s="3833" t="s">
        <v>6581</v>
      </c>
      <c r="C10" s="1672">
        <v>8.0</v>
      </c>
      <c r="D10" s="138" t="s">
        <v>76</v>
      </c>
      <c r="E10" s="138">
        <v>27.0</v>
      </c>
      <c r="F10" s="138">
        <v>8.0</v>
      </c>
      <c r="G10" s="3834">
        <v>29.0</v>
      </c>
      <c r="H10" s="3149">
        <v>39.0</v>
      </c>
      <c r="I10" s="3834" t="s">
        <v>118</v>
      </c>
      <c r="J10" s="3835" t="s">
        <v>76</v>
      </c>
      <c r="K10" s="3838">
        <v>8.0</v>
      </c>
      <c r="L10" s="3839">
        <v>6.0</v>
      </c>
      <c r="M10" s="3839">
        <v>28.0</v>
      </c>
    </row>
    <row r="11">
      <c r="A11" s="3832">
        <v>8.0</v>
      </c>
      <c r="B11" s="3833" t="s">
        <v>6590</v>
      </c>
      <c r="C11" s="1672">
        <v>8.0</v>
      </c>
      <c r="D11" s="138" t="s">
        <v>76</v>
      </c>
      <c r="E11" s="138">
        <v>28.0</v>
      </c>
      <c r="F11" s="138">
        <v>8.0</v>
      </c>
      <c r="G11" s="3834">
        <v>36.0</v>
      </c>
      <c r="H11" s="3149">
        <v>39.0</v>
      </c>
      <c r="I11" s="3834" t="s">
        <v>118</v>
      </c>
      <c r="J11" s="3835" t="s">
        <v>76</v>
      </c>
      <c r="K11" s="3838">
        <v>9.0</v>
      </c>
      <c r="L11" s="3839">
        <v>7.0</v>
      </c>
      <c r="M11" s="3839">
        <v>30.0</v>
      </c>
    </row>
    <row r="12">
      <c r="A12" s="3832">
        <v>9.0</v>
      </c>
      <c r="B12" s="3833" t="s">
        <v>6600</v>
      </c>
      <c r="C12" s="1672">
        <v>8.0</v>
      </c>
      <c r="D12" s="138" t="s">
        <v>76</v>
      </c>
      <c r="E12" s="138">
        <v>28.0</v>
      </c>
      <c r="F12" s="138">
        <v>8.0</v>
      </c>
      <c r="G12" s="3834">
        <v>41.0</v>
      </c>
      <c r="H12" s="3149">
        <v>39.0</v>
      </c>
      <c r="I12" s="3834" t="s">
        <v>118</v>
      </c>
      <c r="J12" s="3835" t="s">
        <v>76</v>
      </c>
      <c r="K12" s="3838">
        <v>10.0</v>
      </c>
      <c r="L12" s="3839">
        <v>8.0</v>
      </c>
      <c r="M12" s="3839">
        <v>2.0</v>
      </c>
    </row>
    <row r="13">
      <c r="A13" s="3832">
        <v>10.0</v>
      </c>
      <c r="B13" s="3833" t="s">
        <v>6607</v>
      </c>
      <c r="C13" s="1672">
        <v>8.0</v>
      </c>
      <c r="D13" s="138" t="s">
        <v>76</v>
      </c>
      <c r="E13" s="138">
        <v>27.0</v>
      </c>
      <c r="F13" s="138">
        <v>8.0</v>
      </c>
      <c r="G13" s="3834">
        <v>40.0</v>
      </c>
      <c r="H13" s="3149">
        <v>39.0</v>
      </c>
      <c r="I13" s="3834" t="s">
        <v>118</v>
      </c>
      <c r="J13" s="3835" t="s">
        <v>76</v>
      </c>
      <c r="K13" s="3838">
        <v>11.0</v>
      </c>
      <c r="L13" s="3839">
        <v>9.0</v>
      </c>
      <c r="M13" s="3839">
        <v>37.0</v>
      </c>
    </row>
    <row r="14">
      <c r="A14" s="3832">
        <v>11.0</v>
      </c>
      <c r="B14" s="3773" t="s">
        <v>6617</v>
      </c>
      <c r="C14" s="1672">
        <v>7.0</v>
      </c>
      <c r="D14" s="138" t="s">
        <v>76</v>
      </c>
      <c r="E14" s="138">
        <v>28.0</v>
      </c>
      <c r="F14" s="138">
        <v>8.0</v>
      </c>
      <c r="G14" s="3834">
        <v>32.0</v>
      </c>
      <c r="H14" s="3149">
        <v>39.0</v>
      </c>
      <c r="I14" s="3834" t="s">
        <v>118</v>
      </c>
      <c r="J14" s="3835" t="s">
        <v>76</v>
      </c>
      <c r="K14" s="3838">
        <v>12.0</v>
      </c>
      <c r="L14" s="3839">
        <v>10.0</v>
      </c>
      <c r="M14" s="3839">
        <v>38.0</v>
      </c>
    </row>
    <row r="15">
      <c r="A15" s="3832">
        <v>12.0</v>
      </c>
      <c r="B15" s="3833" t="s">
        <v>6628</v>
      </c>
      <c r="C15" s="1672">
        <v>8.0</v>
      </c>
      <c r="D15" s="138" t="s">
        <v>76</v>
      </c>
      <c r="E15" s="138">
        <v>28.0</v>
      </c>
      <c r="F15" s="138">
        <v>8.0</v>
      </c>
      <c r="G15" s="3834">
        <v>45.0</v>
      </c>
      <c r="H15" s="3149">
        <v>39.0</v>
      </c>
      <c r="I15" s="3834" t="s">
        <v>118</v>
      </c>
      <c r="J15" s="3835" t="s">
        <v>76</v>
      </c>
      <c r="K15" s="3838">
        <v>13.0</v>
      </c>
      <c r="L15" s="3839">
        <v>11.0</v>
      </c>
      <c r="M15" s="3839">
        <v>33.0</v>
      </c>
    </row>
    <row r="16">
      <c r="A16" s="3832">
        <v>13.0</v>
      </c>
      <c r="B16" s="3833" t="s">
        <v>6637</v>
      </c>
      <c r="C16" s="1672">
        <v>8.0</v>
      </c>
      <c r="D16" s="138" t="s">
        <v>76</v>
      </c>
      <c r="E16" s="138">
        <v>28.0</v>
      </c>
      <c r="F16" s="138">
        <v>11.0</v>
      </c>
      <c r="G16" s="3834">
        <v>42.0</v>
      </c>
      <c r="H16" s="3149">
        <v>39.0</v>
      </c>
      <c r="I16" s="3834" t="s">
        <v>118</v>
      </c>
      <c r="J16" s="3835" t="s">
        <v>76</v>
      </c>
      <c r="K16" s="3838">
        <v>14.0</v>
      </c>
      <c r="L16" s="3839">
        <v>12.0</v>
      </c>
      <c r="M16" s="3839">
        <v>3.0</v>
      </c>
    </row>
    <row r="17">
      <c r="A17" s="3832" t="s">
        <v>1282</v>
      </c>
      <c r="B17" s="3833" t="s">
        <v>6646</v>
      </c>
      <c r="C17" s="138" t="s">
        <v>76</v>
      </c>
      <c r="D17" s="138" t="s">
        <v>76</v>
      </c>
      <c r="E17" s="138" t="s">
        <v>76</v>
      </c>
      <c r="F17" s="138" t="s">
        <v>76</v>
      </c>
      <c r="G17" s="3834" t="s">
        <v>76</v>
      </c>
      <c r="H17" s="3149" t="s">
        <v>76</v>
      </c>
      <c r="I17" s="3834" t="s">
        <v>76</v>
      </c>
      <c r="J17" s="3835" t="s">
        <v>76</v>
      </c>
      <c r="K17" s="3838">
        <v>15.0</v>
      </c>
      <c r="L17" s="3839">
        <v>73.0</v>
      </c>
      <c r="M17" s="3839" t="s">
        <v>76</v>
      </c>
    </row>
    <row r="18">
      <c r="A18" s="3832">
        <v>14.0</v>
      </c>
      <c r="B18" s="3833" t="s">
        <v>6653</v>
      </c>
      <c r="C18" s="1672">
        <v>8.0</v>
      </c>
      <c r="D18" s="138" t="s">
        <v>76</v>
      </c>
      <c r="E18" s="138">
        <v>28.0</v>
      </c>
      <c r="F18" s="138">
        <v>8.0</v>
      </c>
      <c r="G18" s="3834">
        <v>39.0</v>
      </c>
      <c r="H18" s="3149">
        <v>39.0</v>
      </c>
      <c r="I18" s="3834" t="s">
        <v>118</v>
      </c>
      <c r="J18" s="3835" t="s">
        <v>76</v>
      </c>
      <c r="K18" s="3838">
        <v>16.0</v>
      </c>
      <c r="L18" s="3839">
        <v>13.0</v>
      </c>
      <c r="M18" s="3839">
        <v>4.0</v>
      </c>
    </row>
    <row r="19">
      <c r="A19" s="3832">
        <v>15.0</v>
      </c>
      <c r="B19" s="3833" t="s">
        <v>6662</v>
      </c>
      <c r="C19" s="138" t="s">
        <v>76</v>
      </c>
      <c r="D19" s="138" t="s">
        <v>76</v>
      </c>
      <c r="E19" s="138" t="s">
        <v>76</v>
      </c>
      <c r="F19" s="138" t="s">
        <v>76</v>
      </c>
      <c r="G19" s="3834" t="s">
        <v>76</v>
      </c>
      <c r="H19" s="3149" t="s">
        <v>76</v>
      </c>
      <c r="I19" s="3834" t="s">
        <v>76</v>
      </c>
      <c r="J19" s="3835" t="s">
        <v>76</v>
      </c>
      <c r="K19" s="3838">
        <v>17.0</v>
      </c>
      <c r="L19" s="3839">
        <v>14.0</v>
      </c>
      <c r="M19" s="3839" t="s">
        <v>76</v>
      </c>
    </row>
    <row r="20">
      <c r="A20" s="3832">
        <v>16.0</v>
      </c>
      <c r="B20" s="3833" t="s">
        <v>6673</v>
      </c>
      <c r="C20" s="1672">
        <v>8.0</v>
      </c>
      <c r="D20" s="138" t="s">
        <v>76</v>
      </c>
      <c r="E20" s="138">
        <v>28.0</v>
      </c>
      <c r="F20" s="138">
        <v>8.0</v>
      </c>
      <c r="G20" s="3834">
        <v>33.0</v>
      </c>
      <c r="H20" s="3149">
        <v>39.0</v>
      </c>
      <c r="I20" s="3834" t="s">
        <v>118</v>
      </c>
      <c r="J20" s="3835" t="s">
        <v>76</v>
      </c>
      <c r="K20" s="3838">
        <v>18.0</v>
      </c>
      <c r="L20" s="3839">
        <v>16.0</v>
      </c>
      <c r="M20" s="3839">
        <v>15.0</v>
      </c>
    </row>
    <row r="21">
      <c r="A21" s="3832">
        <v>17.0</v>
      </c>
      <c r="B21" s="3833" t="s">
        <v>6682</v>
      </c>
      <c r="C21" s="1672">
        <v>8.0</v>
      </c>
      <c r="D21" s="138" t="s">
        <v>76</v>
      </c>
      <c r="E21" s="138">
        <v>26.0</v>
      </c>
      <c r="F21" s="138">
        <v>11.0</v>
      </c>
      <c r="G21" s="3834">
        <v>39.0</v>
      </c>
      <c r="H21" s="3149">
        <v>39.0</v>
      </c>
      <c r="I21" s="3834" t="s">
        <v>118</v>
      </c>
      <c r="J21" s="3835" t="s">
        <v>76</v>
      </c>
      <c r="K21" s="3838">
        <v>19.0</v>
      </c>
      <c r="L21" s="3839">
        <v>17.0</v>
      </c>
      <c r="M21" s="3839">
        <v>14.0</v>
      </c>
    </row>
    <row r="22">
      <c r="A22" s="3832">
        <v>18.0</v>
      </c>
      <c r="B22" s="3833" t="s">
        <v>6690</v>
      </c>
      <c r="C22" s="1672">
        <v>7.0</v>
      </c>
      <c r="D22" s="138" t="s">
        <v>76</v>
      </c>
      <c r="E22" s="138">
        <v>28.0</v>
      </c>
      <c r="F22" s="138">
        <v>8.0</v>
      </c>
      <c r="G22" s="3834">
        <v>37.0</v>
      </c>
      <c r="H22" s="3149">
        <v>39.0</v>
      </c>
      <c r="I22" s="3834" t="s">
        <v>118</v>
      </c>
      <c r="J22" s="3835" t="s">
        <v>76</v>
      </c>
      <c r="K22" s="3838">
        <v>20.0</v>
      </c>
      <c r="L22" s="3839">
        <v>18.0</v>
      </c>
      <c r="M22" s="3839">
        <v>43.0</v>
      </c>
    </row>
    <row r="23">
      <c r="A23" s="3832">
        <v>19.0</v>
      </c>
      <c r="B23" s="3833" t="s">
        <v>6699</v>
      </c>
      <c r="C23" s="138" t="s">
        <v>76</v>
      </c>
      <c r="D23" s="138" t="s">
        <v>76</v>
      </c>
      <c r="E23" s="138" t="s">
        <v>76</v>
      </c>
      <c r="F23" s="138" t="s">
        <v>76</v>
      </c>
      <c r="G23" s="3834" t="s">
        <v>76</v>
      </c>
      <c r="H23" s="3149" t="s">
        <v>76</v>
      </c>
      <c r="I23" s="3834" t="s">
        <v>76</v>
      </c>
      <c r="J23" s="3835" t="s">
        <v>76</v>
      </c>
      <c r="K23" s="3838">
        <v>21.0</v>
      </c>
      <c r="L23" s="3839">
        <v>19.0</v>
      </c>
      <c r="M23" s="3839" t="s">
        <v>76</v>
      </c>
    </row>
    <row r="24">
      <c r="A24" s="3832">
        <v>20.0</v>
      </c>
      <c r="B24" s="3833" t="s">
        <v>6705</v>
      </c>
      <c r="C24" s="1672">
        <v>8.0</v>
      </c>
      <c r="D24" s="138" t="s">
        <v>76</v>
      </c>
      <c r="E24" s="138">
        <v>28.0</v>
      </c>
      <c r="F24" s="138">
        <v>8.0</v>
      </c>
      <c r="G24" s="3834">
        <v>33.0</v>
      </c>
      <c r="H24" s="3149">
        <v>39.0</v>
      </c>
      <c r="I24" s="3834" t="s">
        <v>118</v>
      </c>
      <c r="J24" s="3835" t="s">
        <v>76</v>
      </c>
      <c r="K24" s="3838">
        <v>22.0</v>
      </c>
      <c r="L24" s="3839">
        <v>20.0</v>
      </c>
      <c r="M24" s="3839">
        <v>29.0</v>
      </c>
    </row>
    <row r="25">
      <c r="A25" s="3832">
        <v>21.0</v>
      </c>
      <c r="B25" s="3833" t="s">
        <v>6713</v>
      </c>
      <c r="C25" s="1672">
        <v>7.0</v>
      </c>
      <c r="D25" s="138" t="s">
        <v>76</v>
      </c>
      <c r="E25" s="138">
        <v>28.0</v>
      </c>
      <c r="F25" s="138">
        <v>12.0</v>
      </c>
      <c r="G25" s="3834">
        <v>36.0</v>
      </c>
      <c r="H25" s="3149">
        <v>39.0</v>
      </c>
      <c r="I25" s="3834" t="s">
        <v>118</v>
      </c>
      <c r="J25" s="3835" t="s">
        <v>76</v>
      </c>
      <c r="K25" s="3838">
        <v>23.0</v>
      </c>
      <c r="L25" s="3839">
        <v>21.0</v>
      </c>
      <c r="M25" s="3839">
        <v>22.0</v>
      </c>
    </row>
    <row r="26">
      <c r="A26" s="3832" t="s">
        <v>1848</v>
      </c>
      <c r="B26" s="3833" t="s">
        <v>6722</v>
      </c>
      <c r="C26" s="1672">
        <v>8.0</v>
      </c>
      <c r="D26" s="138" t="s">
        <v>76</v>
      </c>
      <c r="E26" s="138">
        <v>28.0</v>
      </c>
      <c r="F26" s="138">
        <v>12.0</v>
      </c>
      <c r="G26" s="3834">
        <v>37.0</v>
      </c>
      <c r="H26" s="3149">
        <v>39.0</v>
      </c>
      <c r="I26" s="3834" t="s">
        <v>118</v>
      </c>
      <c r="J26" s="3835" t="s">
        <v>76</v>
      </c>
      <c r="K26" s="3838">
        <v>24.0</v>
      </c>
      <c r="L26" s="3839">
        <v>74.0</v>
      </c>
      <c r="M26" s="3839">
        <v>45.0</v>
      </c>
    </row>
    <row r="27">
      <c r="A27" s="3832">
        <v>22.0</v>
      </c>
      <c r="B27" s="3833" t="s">
        <v>6727</v>
      </c>
      <c r="C27" s="138" t="s">
        <v>76</v>
      </c>
      <c r="D27" s="138" t="s">
        <v>76</v>
      </c>
      <c r="E27" s="138" t="s">
        <v>76</v>
      </c>
      <c r="F27" s="138" t="s">
        <v>76</v>
      </c>
      <c r="G27" s="3834" t="s">
        <v>76</v>
      </c>
      <c r="H27" s="3149" t="s">
        <v>76</v>
      </c>
      <c r="I27" s="3834" t="s">
        <v>76</v>
      </c>
      <c r="J27" s="3835" t="s">
        <v>76</v>
      </c>
      <c r="K27" s="3838">
        <v>25.0</v>
      </c>
      <c r="L27" s="3839">
        <v>22.0</v>
      </c>
      <c r="M27" s="3839" t="s">
        <v>76</v>
      </c>
    </row>
    <row r="28">
      <c r="A28" s="3832">
        <v>23.0</v>
      </c>
      <c r="B28" s="3833" t="s">
        <v>6734</v>
      </c>
      <c r="C28" s="1672">
        <v>8.0</v>
      </c>
      <c r="D28" s="138" t="s">
        <v>76</v>
      </c>
      <c r="E28" s="138">
        <v>28.0</v>
      </c>
      <c r="F28" s="138">
        <v>11.0</v>
      </c>
      <c r="G28" s="3834">
        <v>35.0</v>
      </c>
      <c r="H28" s="3149">
        <v>39.0</v>
      </c>
      <c r="I28" s="3834" t="s">
        <v>118</v>
      </c>
      <c r="J28" s="3835" t="s">
        <v>76</v>
      </c>
      <c r="K28" s="3838">
        <v>26.0</v>
      </c>
      <c r="L28" s="3839">
        <v>23.0</v>
      </c>
      <c r="M28" s="3839">
        <v>16.0</v>
      </c>
    </row>
    <row r="29">
      <c r="A29" s="3832">
        <v>24.0</v>
      </c>
      <c r="B29" s="3833" t="s">
        <v>6744</v>
      </c>
      <c r="C29" s="1672">
        <v>8.0</v>
      </c>
      <c r="D29" s="138" t="s">
        <v>76</v>
      </c>
      <c r="E29" s="138">
        <v>28.0</v>
      </c>
      <c r="F29" s="138">
        <v>8.0</v>
      </c>
      <c r="G29" s="3834">
        <v>37.0</v>
      </c>
      <c r="H29" s="3149">
        <v>39.0</v>
      </c>
      <c r="I29" s="3834" t="s">
        <v>118</v>
      </c>
      <c r="J29" s="3835" t="s">
        <v>76</v>
      </c>
      <c r="K29" s="3838">
        <v>27.0</v>
      </c>
      <c r="L29" s="3839">
        <v>24.0</v>
      </c>
      <c r="M29" s="3839">
        <v>49.0</v>
      </c>
    </row>
    <row r="30">
      <c r="A30" s="3832">
        <v>25.0</v>
      </c>
      <c r="B30" s="3833" t="s">
        <v>6753</v>
      </c>
      <c r="C30" s="1672">
        <v>8.0</v>
      </c>
      <c r="D30" s="138" t="s">
        <v>76</v>
      </c>
      <c r="E30" s="138">
        <v>28.0</v>
      </c>
      <c r="F30" s="138">
        <v>12.0</v>
      </c>
      <c r="G30" s="3834">
        <v>33.0</v>
      </c>
      <c r="H30" s="3149">
        <v>39.0</v>
      </c>
      <c r="I30" s="3834" t="s">
        <v>118</v>
      </c>
      <c r="J30" s="3835" t="s">
        <v>76</v>
      </c>
      <c r="K30" s="3838">
        <v>28.0</v>
      </c>
      <c r="L30" s="3839">
        <v>25.0</v>
      </c>
      <c r="M30" s="3839">
        <v>51.0</v>
      </c>
    </row>
    <row r="31">
      <c r="A31" s="3832" t="s">
        <v>2133</v>
      </c>
      <c r="B31" s="3833" t="s">
        <v>6760</v>
      </c>
      <c r="C31" s="138" t="s">
        <v>76</v>
      </c>
      <c r="D31" s="138" t="s">
        <v>76</v>
      </c>
      <c r="E31" s="138" t="s">
        <v>76</v>
      </c>
      <c r="F31" s="138" t="s">
        <v>76</v>
      </c>
      <c r="G31" s="3834" t="s">
        <v>76</v>
      </c>
      <c r="H31" s="3149" t="s">
        <v>76</v>
      </c>
      <c r="I31" s="3834" t="s">
        <v>76</v>
      </c>
      <c r="J31" s="3835" t="s">
        <v>76</v>
      </c>
      <c r="K31" s="3838">
        <v>29.0</v>
      </c>
      <c r="L31" s="3839">
        <v>75.0</v>
      </c>
      <c r="M31" s="3839" t="s">
        <v>76</v>
      </c>
    </row>
    <row r="32">
      <c r="A32" s="3832">
        <v>26.0</v>
      </c>
      <c r="B32" s="3773" t="s">
        <v>7407</v>
      </c>
      <c r="C32" s="1672">
        <v>8.0</v>
      </c>
      <c r="D32" s="138" t="s">
        <v>76</v>
      </c>
      <c r="E32" s="138">
        <v>28.0</v>
      </c>
      <c r="F32" s="138">
        <v>8.0</v>
      </c>
      <c r="G32" s="3834">
        <v>41.0</v>
      </c>
      <c r="H32" s="3149">
        <v>39.0</v>
      </c>
      <c r="I32" s="3834" t="s">
        <v>118</v>
      </c>
      <c r="J32" s="3835" t="s">
        <v>76</v>
      </c>
      <c r="K32" s="3838">
        <v>30.0</v>
      </c>
      <c r="L32" s="3839">
        <v>26.0</v>
      </c>
      <c r="M32" s="3839">
        <v>11.0</v>
      </c>
    </row>
    <row r="33">
      <c r="A33" s="3832">
        <v>27.0</v>
      </c>
      <c r="B33" s="3833" t="s">
        <v>6776</v>
      </c>
      <c r="C33" s="1672">
        <v>8.0</v>
      </c>
      <c r="D33" s="138" t="s">
        <v>76</v>
      </c>
      <c r="E33" s="138">
        <v>28.0</v>
      </c>
      <c r="F33" s="138">
        <v>8.0</v>
      </c>
      <c r="G33" s="3834">
        <v>35.0</v>
      </c>
      <c r="H33" s="3149">
        <v>39.0</v>
      </c>
      <c r="I33" s="3834" t="s">
        <v>118</v>
      </c>
      <c r="J33" s="3835" t="s">
        <v>76</v>
      </c>
      <c r="K33" s="3838">
        <v>31.0</v>
      </c>
      <c r="L33" s="3839">
        <v>27.0</v>
      </c>
      <c r="M33" s="3839">
        <v>27.0</v>
      </c>
    </row>
    <row r="34">
      <c r="A34" s="3832">
        <v>28.0</v>
      </c>
      <c r="B34" s="3833" t="s">
        <v>6786</v>
      </c>
      <c r="C34" s="1672">
        <v>8.0</v>
      </c>
      <c r="D34" s="138" t="s">
        <v>76</v>
      </c>
      <c r="E34" s="138">
        <v>27.0</v>
      </c>
      <c r="F34" s="138">
        <v>7.0</v>
      </c>
      <c r="G34" s="3834">
        <v>37.0</v>
      </c>
      <c r="H34" s="3149">
        <v>39.0</v>
      </c>
      <c r="I34" s="3834" t="s">
        <v>118</v>
      </c>
      <c r="J34" s="3835" t="s">
        <v>76</v>
      </c>
      <c r="K34" s="3838">
        <v>32.0</v>
      </c>
      <c r="L34" s="3839">
        <v>28.0</v>
      </c>
      <c r="M34" s="3839">
        <v>20.0</v>
      </c>
    </row>
    <row r="35">
      <c r="A35" s="3832" t="s">
        <v>2305</v>
      </c>
      <c r="B35" s="3833" t="s">
        <v>6796</v>
      </c>
      <c r="C35" s="1672">
        <v>8.0</v>
      </c>
      <c r="D35" s="138" t="s">
        <v>76</v>
      </c>
      <c r="E35" s="138">
        <v>27.0</v>
      </c>
      <c r="F35" s="138">
        <v>7.0</v>
      </c>
      <c r="G35" s="3834">
        <v>37.0</v>
      </c>
      <c r="H35" s="3149">
        <v>39.0</v>
      </c>
      <c r="I35" s="3834" t="s">
        <v>118</v>
      </c>
      <c r="J35" s="3835" t="s">
        <v>76</v>
      </c>
      <c r="K35" s="3838">
        <v>33.0</v>
      </c>
      <c r="L35" s="3839">
        <v>76.0</v>
      </c>
      <c r="M35" s="3839">
        <v>44.0</v>
      </c>
    </row>
    <row r="36">
      <c r="A36" s="3832">
        <v>29.0</v>
      </c>
      <c r="B36" s="3833" t="s">
        <v>6804</v>
      </c>
      <c r="C36" s="1672">
        <v>8.0</v>
      </c>
      <c r="D36" s="138" t="s">
        <v>76</v>
      </c>
      <c r="E36" s="138">
        <v>28.0</v>
      </c>
      <c r="F36" s="138">
        <v>8.0</v>
      </c>
      <c r="G36" s="3834">
        <v>34.0</v>
      </c>
      <c r="H36" s="3149">
        <v>39.0</v>
      </c>
      <c r="I36" s="3834" t="s">
        <v>118</v>
      </c>
      <c r="J36" s="3835" t="s">
        <v>76</v>
      </c>
      <c r="K36" s="3838">
        <v>34.0</v>
      </c>
      <c r="L36" s="3839">
        <v>29.0</v>
      </c>
      <c r="M36" s="3839">
        <v>19.0</v>
      </c>
    </row>
    <row r="37">
      <c r="A37" s="3832">
        <v>30.0</v>
      </c>
      <c r="B37" s="3833" t="s">
        <v>6814</v>
      </c>
      <c r="C37" s="1672">
        <v>8.0</v>
      </c>
      <c r="D37" s="138" t="s">
        <v>76</v>
      </c>
      <c r="E37" s="138">
        <v>28.0</v>
      </c>
      <c r="F37" s="138">
        <v>8.0</v>
      </c>
      <c r="G37" s="3834">
        <v>35.0</v>
      </c>
      <c r="H37" s="3149">
        <v>39.0</v>
      </c>
      <c r="I37" s="3834" t="s">
        <v>118</v>
      </c>
      <c r="J37" s="3835" t="s">
        <v>76</v>
      </c>
      <c r="K37" s="3838">
        <v>35.0</v>
      </c>
      <c r="L37" s="3839">
        <v>30.0</v>
      </c>
      <c r="M37" s="3839">
        <v>8.0</v>
      </c>
    </row>
    <row r="38">
      <c r="A38" s="3832">
        <v>31.0</v>
      </c>
      <c r="B38" s="3833" t="s">
        <v>6823</v>
      </c>
      <c r="C38" s="138" t="s">
        <v>76</v>
      </c>
      <c r="D38" s="138" t="s">
        <v>76</v>
      </c>
      <c r="E38" s="138" t="s">
        <v>76</v>
      </c>
      <c r="F38" s="138" t="s">
        <v>76</v>
      </c>
      <c r="G38" s="3834" t="s">
        <v>76</v>
      </c>
      <c r="H38" s="3149" t="s">
        <v>76</v>
      </c>
      <c r="I38" s="3834" t="s">
        <v>76</v>
      </c>
      <c r="J38" s="3835" t="s">
        <v>76</v>
      </c>
      <c r="K38" s="3838">
        <v>36.0</v>
      </c>
      <c r="L38" s="3839">
        <v>31.0</v>
      </c>
      <c r="M38" s="3839" t="s">
        <v>76</v>
      </c>
    </row>
    <row r="39">
      <c r="A39" s="3832">
        <v>32.0</v>
      </c>
      <c r="B39" s="3833" t="s">
        <v>6832</v>
      </c>
      <c r="C39" s="1672">
        <v>8.0</v>
      </c>
      <c r="D39" s="138" t="s">
        <v>76</v>
      </c>
      <c r="E39" s="138">
        <v>28.0</v>
      </c>
      <c r="F39" s="138">
        <v>10.0</v>
      </c>
      <c r="G39" s="3834">
        <v>35.0</v>
      </c>
      <c r="H39" s="3149">
        <v>39.0</v>
      </c>
      <c r="I39" s="3834" t="s">
        <v>118</v>
      </c>
      <c r="J39" s="3835" t="s">
        <v>76</v>
      </c>
      <c r="K39" s="3838">
        <v>37.0</v>
      </c>
      <c r="L39" s="3839">
        <v>32.0</v>
      </c>
      <c r="M39" s="3839">
        <v>23.0</v>
      </c>
    </row>
    <row r="40">
      <c r="A40" s="3772">
        <v>33.0</v>
      </c>
      <c r="B40" s="3775" t="s">
        <v>6840</v>
      </c>
      <c r="C40" s="138" t="s">
        <v>76</v>
      </c>
      <c r="D40" s="138" t="s">
        <v>76</v>
      </c>
      <c r="E40" s="138" t="s">
        <v>76</v>
      </c>
      <c r="F40" s="138" t="s">
        <v>76</v>
      </c>
      <c r="G40" s="3834" t="s">
        <v>76</v>
      </c>
      <c r="H40" s="3149" t="s">
        <v>76</v>
      </c>
      <c r="I40" s="3834" t="s">
        <v>76</v>
      </c>
      <c r="J40" s="3835" t="s">
        <v>76</v>
      </c>
      <c r="K40" s="3838">
        <v>38.0</v>
      </c>
      <c r="L40" s="3839">
        <v>33.0</v>
      </c>
      <c r="M40" s="3839" t="s">
        <v>76</v>
      </c>
    </row>
    <row r="41">
      <c r="A41" s="3772">
        <v>34.0</v>
      </c>
      <c r="B41" s="3775" t="s">
        <v>6849</v>
      </c>
      <c r="C41" s="138" t="s">
        <v>76</v>
      </c>
      <c r="D41" s="138" t="s">
        <v>76</v>
      </c>
      <c r="E41" s="138" t="s">
        <v>76</v>
      </c>
      <c r="F41" s="138" t="s">
        <v>76</v>
      </c>
      <c r="G41" s="3834" t="s">
        <v>76</v>
      </c>
      <c r="H41" s="3149" t="s">
        <v>76</v>
      </c>
      <c r="I41" s="3834" t="s">
        <v>76</v>
      </c>
      <c r="J41" s="3835" t="s">
        <v>76</v>
      </c>
      <c r="K41" s="3838">
        <v>39.0</v>
      </c>
      <c r="L41" s="3839">
        <v>34.0</v>
      </c>
      <c r="M41" s="3839" t="s">
        <v>76</v>
      </c>
    </row>
    <row r="42">
      <c r="A42" s="3772">
        <v>35.0</v>
      </c>
      <c r="B42" s="3775" t="s">
        <v>6857</v>
      </c>
      <c r="C42" s="1672">
        <v>8.0</v>
      </c>
      <c r="D42" s="138" t="s">
        <v>76</v>
      </c>
      <c r="E42" s="138">
        <v>28.0</v>
      </c>
      <c r="F42" s="138">
        <v>8.0</v>
      </c>
      <c r="G42" s="3834">
        <v>39.0</v>
      </c>
      <c r="H42" s="3149">
        <v>39.0</v>
      </c>
      <c r="I42" s="3834" t="s">
        <v>118</v>
      </c>
      <c r="J42" s="3835" t="s">
        <v>76</v>
      </c>
      <c r="K42" s="3838">
        <v>40.0</v>
      </c>
      <c r="L42" s="3839">
        <v>35.0</v>
      </c>
      <c r="M42" s="3839">
        <v>31.0</v>
      </c>
    </row>
    <row r="43">
      <c r="A43" s="3832">
        <v>36.0</v>
      </c>
      <c r="B43" s="3833" t="s">
        <v>6865</v>
      </c>
      <c r="C43" s="1672">
        <v>8.0</v>
      </c>
      <c r="D43" s="138" t="s">
        <v>76</v>
      </c>
      <c r="E43" s="138">
        <v>27.0</v>
      </c>
      <c r="F43" s="138">
        <v>8.0</v>
      </c>
      <c r="G43" s="3834">
        <v>33.0</v>
      </c>
      <c r="H43" s="3149">
        <v>39.0</v>
      </c>
      <c r="I43" s="3834" t="s">
        <v>118</v>
      </c>
      <c r="J43" s="3835" t="s">
        <v>76</v>
      </c>
      <c r="K43" s="3838">
        <v>41.0</v>
      </c>
      <c r="L43" s="3839">
        <v>36.0</v>
      </c>
      <c r="M43" s="3839">
        <v>10.0</v>
      </c>
    </row>
    <row r="44">
      <c r="A44" s="3832">
        <v>37.0</v>
      </c>
      <c r="B44" s="3833" t="s">
        <v>6875</v>
      </c>
      <c r="C44" s="1672">
        <v>8.0</v>
      </c>
      <c r="D44" s="138" t="s">
        <v>76</v>
      </c>
      <c r="E44" s="138">
        <v>27.0</v>
      </c>
      <c r="F44" s="138">
        <v>8.0</v>
      </c>
      <c r="G44" s="3834">
        <v>39.0</v>
      </c>
      <c r="H44" s="3149">
        <v>39.0</v>
      </c>
      <c r="I44" s="3834" t="s">
        <v>118</v>
      </c>
      <c r="J44" s="3835" t="s">
        <v>76</v>
      </c>
      <c r="K44" s="3838">
        <v>42.0</v>
      </c>
      <c r="L44" s="3839">
        <v>37.0</v>
      </c>
      <c r="M44" s="3839">
        <v>50.0</v>
      </c>
    </row>
    <row r="45">
      <c r="A45" s="3832">
        <v>38.0</v>
      </c>
      <c r="B45" s="3833" t="s">
        <v>6881</v>
      </c>
      <c r="C45" s="1672">
        <v>7.0</v>
      </c>
      <c r="D45" s="138" t="s">
        <v>76</v>
      </c>
      <c r="E45" s="138">
        <v>28.0</v>
      </c>
      <c r="F45" s="138">
        <v>8.0</v>
      </c>
      <c r="G45" s="3834">
        <v>38.0</v>
      </c>
      <c r="H45" s="3149">
        <v>39.0</v>
      </c>
      <c r="I45" s="3834" t="s">
        <v>118</v>
      </c>
      <c r="J45" s="3835" t="s">
        <v>76</v>
      </c>
      <c r="K45" s="3838">
        <v>43.0</v>
      </c>
      <c r="L45" s="3839">
        <v>38.0</v>
      </c>
      <c r="M45" s="3839">
        <v>48.0</v>
      </c>
    </row>
    <row r="46">
      <c r="A46" s="3832">
        <v>39.0</v>
      </c>
      <c r="B46" s="3833" t="s">
        <v>6890</v>
      </c>
      <c r="C46" s="1672">
        <v>8.0</v>
      </c>
      <c r="D46" s="138" t="s">
        <v>76</v>
      </c>
      <c r="E46" s="138">
        <v>27.0</v>
      </c>
      <c r="F46" s="138">
        <v>8.0</v>
      </c>
      <c r="G46" s="3834">
        <v>30.0</v>
      </c>
      <c r="H46" s="3149">
        <v>39.0</v>
      </c>
      <c r="I46" s="3834" t="s">
        <v>118</v>
      </c>
      <c r="J46" s="3835" t="s">
        <v>76</v>
      </c>
      <c r="K46" s="3838">
        <v>44.0</v>
      </c>
      <c r="L46" s="3839">
        <v>39.0</v>
      </c>
      <c r="M46" s="3839">
        <v>26.0</v>
      </c>
    </row>
    <row r="47">
      <c r="A47" s="3832">
        <v>40.0</v>
      </c>
      <c r="B47" s="3833" t="s">
        <v>766</v>
      </c>
      <c r="C47" s="1672">
        <v>8.0</v>
      </c>
      <c r="D47" s="138" t="s">
        <v>76</v>
      </c>
      <c r="E47" s="138">
        <v>28.0</v>
      </c>
      <c r="F47" s="138">
        <v>8.0</v>
      </c>
      <c r="G47" s="3834">
        <v>39.0</v>
      </c>
      <c r="H47" s="3149">
        <v>39.0</v>
      </c>
      <c r="I47" s="3834" t="s">
        <v>118</v>
      </c>
      <c r="J47" s="3835" t="s">
        <v>76</v>
      </c>
      <c r="K47" s="3838">
        <v>45.0</v>
      </c>
      <c r="L47" s="3839">
        <v>40.0</v>
      </c>
      <c r="M47" s="3839">
        <v>40.0</v>
      </c>
    </row>
    <row r="48">
      <c r="A48" s="3832">
        <v>41.0</v>
      </c>
      <c r="B48" s="3833" t="s">
        <v>6907</v>
      </c>
      <c r="C48" s="1672">
        <v>8.0</v>
      </c>
      <c r="D48" s="138" t="s">
        <v>76</v>
      </c>
      <c r="E48" s="138">
        <v>28.0</v>
      </c>
      <c r="F48" s="138">
        <v>8.0</v>
      </c>
      <c r="G48" s="3834">
        <v>34.0</v>
      </c>
      <c r="H48" s="3149">
        <v>39.0</v>
      </c>
      <c r="I48" s="3834" t="s">
        <v>118</v>
      </c>
      <c r="J48" s="3835" t="s">
        <v>76</v>
      </c>
      <c r="K48" s="3838">
        <v>46.0</v>
      </c>
      <c r="L48" s="3839">
        <v>41.0</v>
      </c>
      <c r="M48" s="3839">
        <v>32.0</v>
      </c>
    </row>
    <row r="49">
      <c r="A49" s="3832">
        <v>42.0</v>
      </c>
      <c r="B49" s="3833" t="s">
        <v>6916</v>
      </c>
      <c r="C49" s="1672">
        <v>7.0</v>
      </c>
      <c r="D49" s="138" t="s">
        <v>76</v>
      </c>
      <c r="E49" s="138">
        <v>28.0</v>
      </c>
      <c r="F49" s="138">
        <v>8.0</v>
      </c>
      <c r="G49" s="3834">
        <v>36.0</v>
      </c>
      <c r="H49" s="3149">
        <v>39.0</v>
      </c>
      <c r="I49" s="3834" t="s">
        <v>118</v>
      </c>
      <c r="J49" s="3835" t="s">
        <v>76</v>
      </c>
      <c r="K49" s="3838">
        <v>47.0</v>
      </c>
      <c r="L49" s="3839">
        <v>42.0</v>
      </c>
      <c r="M49" s="3839">
        <v>36.0</v>
      </c>
    </row>
    <row r="50">
      <c r="A50" s="3832">
        <v>43.0</v>
      </c>
      <c r="B50" s="3833" t="s">
        <v>6926</v>
      </c>
      <c r="C50" s="1672">
        <v>8.0</v>
      </c>
      <c r="D50" s="138" t="s">
        <v>76</v>
      </c>
      <c r="E50" s="138">
        <v>27.0</v>
      </c>
      <c r="F50" s="138">
        <v>8.0</v>
      </c>
      <c r="G50" s="3834">
        <v>40.0</v>
      </c>
      <c r="H50" s="3149">
        <v>39.0</v>
      </c>
      <c r="I50" s="3834" t="s">
        <v>118</v>
      </c>
      <c r="J50" s="3835" t="s">
        <v>76</v>
      </c>
      <c r="K50" s="3838">
        <v>48.0</v>
      </c>
      <c r="L50" s="3839">
        <v>43.0</v>
      </c>
      <c r="M50" s="3839">
        <v>17.0</v>
      </c>
    </row>
    <row r="51">
      <c r="A51" s="3832">
        <v>44.0</v>
      </c>
      <c r="B51" s="3833" t="s">
        <v>6933</v>
      </c>
      <c r="C51" s="138" t="s">
        <v>76</v>
      </c>
      <c r="D51" s="138" t="s">
        <v>76</v>
      </c>
      <c r="E51" s="138" t="s">
        <v>76</v>
      </c>
      <c r="F51" s="138" t="s">
        <v>76</v>
      </c>
      <c r="G51" s="3834" t="s">
        <v>76</v>
      </c>
      <c r="H51" s="3149" t="s">
        <v>76</v>
      </c>
      <c r="I51" s="3834" t="s">
        <v>76</v>
      </c>
      <c r="J51" s="3835" t="s">
        <v>76</v>
      </c>
      <c r="K51" s="3838">
        <v>49.0</v>
      </c>
      <c r="L51" s="3839">
        <v>44.0</v>
      </c>
      <c r="M51" s="3839" t="s">
        <v>76</v>
      </c>
    </row>
    <row r="52">
      <c r="A52" s="3832">
        <v>45.0</v>
      </c>
      <c r="B52" s="3833" t="s">
        <v>6941</v>
      </c>
      <c r="C52" s="1672">
        <v>8.0</v>
      </c>
      <c r="D52" s="138" t="s">
        <v>76</v>
      </c>
      <c r="E52" s="138">
        <v>28.0</v>
      </c>
      <c r="F52" s="138">
        <v>8.0</v>
      </c>
      <c r="G52" s="3834">
        <v>40.0</v>
      </c>
      <c r="H52" s="3840">
        <v>40.0</v>
      </c>
      <c r="I52" s="3841" t="s">
        <v>628</v>
      </c>
      <c r="J52" s="3835" t="s">
        <v>76</v>
      </c>
      <c r="K52" s="3838">
        <v>50.0</v>
      </c>
      <c r="L52" s="3839">
        <v>45.0</v>
      </c>
      <c r="M52" s="3839">
        <v>39.0</v>
      </c>
    </row>
    <row r="53">
      <c r="A53" s="3832">
        <v>46.0</v>
      </c>
      <c r="B53" s="3833" t="s">
        <v>6951</v>
      </c>
      <c r="C53" s="1672">
        <v>7.0</v>
      </c>
      <c r="D53" s="138" t="s">
        <v>76</v>
      </c>
      <c r="E53" s="138">
        <v>27.0</v>
      </c>
      <c r="F53" s="138">
        <v>8.0</v>
      </c>
      <c r="G53" s="3834">
        <v>33.0</v>
      </c>
      <c r="H53" s="3149">
        <v>39.0</v>
      </c>
      <c r="I53" s="3834" t="s">
        <v>118</v>
      </c>
      <c r="J53" s="3835" t="s">
        <v>76</v>
      </c>
      <c r="K53" s="3838">
        <v>51.0</v>
      </c>
      <c r="L53" s="3839">
        <v>46.0</v>
      </c>
      <c r="M53" s="3839">
        <v>47.0</v>
      </c>
    </row>
    <row r="54">
      <c r="A54" s="3832">
        <v>47.0</v>
      </c>
      <c r="B54" s="3833" t="s">
        <v>6960</v>
      </c>
      <c r="C54" s="1672">
        <v>8.0</v>
      </c>
      <c r="D54" s="138" t="s">
        <v>76</v>
      </c>
      <c r="E54" s="138">
        <v>26.0</v>
      </c>
      <c r="F54" s="138">
        <v>11.0</v>
      </c>
      <c r="G54" s="3834">
        <v>40.0</v>
      </c>
      <c r="H54" s="3840">
        <v>38.0</v>
      </c>
      <c r="I54" s="3834" t="s">
        <v>118</v>
      </c>
      <c r="J54" s="3835" t="s">
        <v>76</v>
      </c>
      <c r="K54" s="3838">
        <v>52.0</v>
      </c>
      <c r="L54" s="3839">
        <v>47.0</v>
      </c>
      <c r="M54" s="3839">
        <v>41.0</v>
      </c>
    </row>
    <row r="55">
      <c r="A55" s="3832">
        <v>48.0</v>
      </c>
      <c r="B55" s="3833" t="s">
        <v>770</v>
      </c>
      <c r="C55" s="1672">
        <v>7.0</v>
      </c>
      <c r="D55" s="138" t="s">
        <v>76</v>
      </c>
      <c r="E55" s="138">
        <v>26.0</v>
      </c>
      <c r="F55" s="138">
        <v>7.0</v>
      </c>
      <c r="G55" s="3834">
        <v>42.0</v>
      </c>
      <c r="H55" s="3149">
        <v>39.0</v>
      </c>
      <c r="I55" s="3834" t="s">
        <v>118</v>
      </c>
      <c r="J55" s="3835" t="s">
        <v>76</v>
      </c>
      <c r="K55" s="3838">
        <v>53.0</v>
      </c>
      <c r="L55" s="3839">
        <v>48.0</v>
      </c>
      <c r="M55" s="3839">
        <v>6.0</v>
      </c>
    </row>
    <row r="56">
      <c r="A56" s="3832">
        <v>49.0</v>
      </c>
      <c r="B56" s="3833" t="s">
        <v>6980</v>
      </c>
      <c r="C56" s="1672">
        <v>8.0</v>
      </c>
      <c r="D56" s="138" t="s">
        <v>76</v>
      </c>
      <c r="E56" s="138">
        <v>27.0</v>
      </c>
      <c r="F56" s="138">
        <v>8.0</v>
      </c>
      <c r="G56" s="3834">
        <v>33.0</v>
      </c>
      <c r="H56" s="3149">
        <v>39.0</v>
      </c>
      <c r="I56" s="3834" t="s">
        <v>118</v>
      </c>
      <c r="J56" s="3835" t="s">
        <v>76</v>
      </c>
      <c r="K56" s="3838">
        <v>54.0</v>
      </c>
      <c r="L56" s="3839">
        <v>49.0</v>
      </c>
      <c r="M56" s="3839">
        <v>12.0</v>
      </c>
    </row>
    <row r="57">
      <c r="A57" s="3832">
        <v>50.0</v>
      </c>
      <c r="B57" s="3833" t="s">
        <v>6991</v>
      </c>
      <c r="C57" s="1672">
        <v>7.0</v>
      </c>
      <c r="D57" s="138" t="s">
        <v>76</v>
      </c>
      <c r="E57" s="138">
        <v>27.0</v>
      </c>
      <c r="F57" s="138">
        <v>8.0</v>
      </c>
      <c r="G57" s="3834">
        <v>32.0</v>
      </c>
      <c r="H57" s="3149">
        <v>39.0</v>
      </c>
      <c r="I57" s="3834" t="s">
        <v>118</v>
      </c>
      <c r="J57" s="3835" t="s">
        <v>76</v>
      </c>
      <c r="K57" s="3838">
        <v>55.0</v>
      </c>
      <c r="L57" s="3839">
        <v>50.0</v>
      </c>
      <c r="M57" s="3839">
        <v>34.0</v>
      </c>
    </row>
    <row r="58">
      <c r="A58" s="3772">
        <v>51.0</v>
      </c>
      <c r="B58" s="3775" t="s">
        <v>7000</v>
      </c>
      <c r="C58" s="1672">
        <v>8.0</v>
      </c>
      <c r="D58" s="138" t="s">
        <v>76</v>
      </c>
      <c r="E58" s="138">
        <v>28.0</v>
      </c>
      <c r="F58" s="138">
        <v>8.0</v>
      </c>
      <c r="G58" s="3834">
        <v>34.0</v>
      </c>
      <c r="H58" s="3149">
        <v>39.0</v>
      </c>
      <c r="I58" s="3834" t="s">
        <v>118</v>
      </c>
      <c r="J58" s="3835" t="s">
        <v>76</v>
      </c>
      <c r="K58" s="3838">
        <v>56.0</v>
      </c>
      <c r="L58" s="3839">
        <v>69.0</v>
      </c>
      <c r="M58" s="3839">
        <v>56.0</v>
      </c>
    </row>
    <row r="59">
      <c r="A59" s="3772">
        <v>52.0</v>
      </c>
      <c r="B59" s="3775" t="s">
        <v>7010</v>
      </c>
      <c r="C59" s="1672">
        <v>7.0</v>
      </c>
      <c r="D59" s="138" t="s">
        <v>76</v>
      </c>
      <c r="E59" s="138">
        <v>28.0</v>
      </c>
      <c r="F59" s="138">
        <v>7.0</v>
      </c>
      <c r="G59" s="3834">
        <v>38.0</v>
      </c>
      <c r="H59" s="3149">
        <v>39.0</v>
      </c>
      <c r="I59" s="3834" t="s">
        <v>118</v>
      </c>
      <c r="J59" s="3835" t="s">
        <v>76</v>
      </c>
      <c r="K59" s="3838">
        <v>57.0</v>
      </c>
      <c r="L59" s="3839">
        <v>70.0</v>
      </c>
      <c r="M59" s="3839">
        <v>58.0</v>
      </c>
    </row>
    <row r="60">
      <c r="A60" s="3772">
        <v>53.0</v>
      </c>
      <c r="B60" s="3775" t="s">
        <v>7019</v>
      </c>
      <c r="C60" s="1672">
        <v>8.0</v>
      </c>
      <c r="D60" s="138" t="s">
        <v>76</v>
      </c>
      <c r="E60" s="138">
        <v>28.0</v>
      </c>
      <c r="F60" s="138">
        <v>7.0</v>
      </c>
      <c r="G60" s="3834">
        <v>36.0</v>
      </c>
      <c r="H60" s="3149">
        <v>39.0</v>
      </c>
      <c r="I60" s="3834" t="s">
        <v>118</v>
      </c>
      <c r="J60" s="3835" t="s">
        <v>76</v>
      </c>
      <c r="K60" s="3838">
        <v>58.0</v>
      </c>
      <c r="L60" s="3839">
        <v>71.0</v>
      </c>
      <c r="M60" s="3839">
        <v>57.0</v>
      </c>
    </row>
    <row r="61">
      <c r="A61" s="3832">
        <v>54.0</v>
      </c>
      <c r="B61" s="3833" t="s">
        <v>7028</v>
      </c>
      <c r="C61" s="1672">
        <v>8.0</v>
      </c>
      <c r="D61" s="138" t="s">
        <v>76</v>
      </c>
      <c r="E61" s="138">
        <v>26.0</v>
      </c>
      <c r="F61" s="138">
        <v>7.0</v>
      </c>
      <c r="G61" s="3834">
        <v>39.0</v>
      </c>
      <c r="H61" s="3149">
        <v>39.0</v>
      </c>
      <c r="I61" s="3834" t="s">
        <v>118</v>
      </c>
      <c r="J61" s="3835" t="s">
        <v>76</v>
      </c>
      <c r="K61" s="3838">
        <v>59.0</v>
      </c>
      <c r="L61" s="3839">
        <v>51.0</v>
      </c>
      <c r="M61" s="3839">
        <v>21.0</v>
      </c>
    </row>
    <row r="62">
      <c r="A62" s="3832">
        <v>55.0</v>
      </c>
      <c r="B62" s="3833" t="s">
        <v>7035</v>
      </c>
      <c r="C62" s="1672">
        <v>7.0</v>
      </c>
      <c r="D62" s="138" t="s">
        <v>76</v>
      </c>
      <c r="E62" s="138">
        <v>27.0</v>
      </c>
      <c r="F62" s="138">
        <v>7.0</v>
      </c>
      <c r="G62" s="3834">
        <v>39.0</v>
      </c>
      <c r="H62" s="3149">
        <v>39.0</v>
      </c>
      <c r="I62" s="3834" t="s">
        <v>118</v>
      </c>
      <c r="J62" s="3835" t="s">
        <v>76</v>
      </c>
      <c r="K62" s="3838">
        <v>60.0</v>
      </c>
      <c r="L62" s="3839">
        <v>52.0</v>
      </c>
      <c r="M62" s="3839">
        <v>46.0</v>
      </c>
    </row>
    <row r="63">
      <c r="A63" s="3832">
        <v>56.0</v>
      </c>
      <c r="B63" s="3833" t="s">
        <v>7044</v>
      </c>
      <c r="C63" s="1672">
        <v>8.0</v>
      </c>
      <c r="D63" s="138" t="s">
        <v>76</v>
      </c>
      <c r="E63" s="138">
        <v>28.0</v>
      </c>
      <c r="F63" s="138">
        <v>8.0</v>
      </c>
      <c r="G63" s="3834">
        <v>37.0</v>
      </c>
      <c r="H63" s="3149">
        <v>39.0</v>
      </c>
      <c r="I63" s="3834" t="s">
        <v>118</v>
      </c>
      <c r="J63" s="3835" t="s">
        <v>76</v>
      </c>
      <c r="K63" s="3838">
        <v>61.0</v>
      </c>
      <c r="L63" s="3839">
        <v>53.0</v>
      </c>
      <c r="M63" s="3839">
        <v>24.0</v>
      </c>
    </row>
    <row r="64">
      <c r="A64" s="3832">
        <v>57.0</v>
      </c>
      <c r="B64" s="3833" t="s">
        <v>7052</v>
      </c>
      <c r="C64" s="1672">
        <v>7.0</v>
      </c>
      <c r="D64" s="138" t="s">
        <v>76</v>
      </c>
      <c r="E64" s="138">
        <v>27.0</v>
      </c>
      <c r="F64" s="138">
        <v>7.0</v>
      </c>
      <c r="G64" s="3834">
        <v>37.0</v>
      </c>
      <c r="H64" s="3149">
        <v>39.0</v>
      </c>
      <c r="I64" s="3834" t="s">
        <v>118</v>
      </c>
      <c r="J64" s="3835" t="s">
        <v>76</v>
      </c>
      <c r="K64" s="3838">
        <v>62.0</v>
      </c>
      <c r="L64" s="3839">
        <v>54.0</v>
      </c>
      <c r="M64" s="3839">
        <v>42.0</v>
      </c>
    </row>
    <row r="65">
      <c r="A65" s="3832">
        <v>58.0</v>
      </c>
      <c r="B65" s="3833" t="s">
        <v>7062</v>
      </c>
      <c r="C65" s="1672">
        <v>7.0</v>
      </c>
      <c r="D65" s="138" t="s">
        <v>76</v>
      </c>
      <c r="E65" s="138">
        <v>28.0</v>
      </c>
      <c r="F65" s="138">
        <v>8.0</v>
      </c>
      <c r="G65" s="3834">
        <v>35.0</v>
      </c>
      <c r="H65" s="3149">
        <v>39.0</v>
      </c>
      <c r="I65" s="3834" t="s">
        <v>118</v>
      </c>
      <c r="J65" s="3835" t="s">
        <v>76</v>
      </c>
      <c r="K65" s="3838">
        <v>63.0</v>
      </c>
      <c r="L65" s="3839">
        <v>55.0</v>
      </c>
      <c r="M65" s="3839">
        <v>7.0</v>
      </c>
    </row>
    <row r="66">
      <c r="A66" s="3832">
        <v>59.0</v>
      </c>
      <c r="B66" s="3833" t="s">
        <v>7072</v>
      </c>
      <c r="C66" s="1672">
        <v>7.0</v>
      </c>
      <c r="D66" s="138" t="s">
        <v>76</v>
      </c>
      <c r="E66" s="138">
        <v>27.0</v>
      </c>
      <c r="F66" s="138">
        <v>7.0</v>
      </c>
      <c r="G66" s="3834">
        <v>35.0</v>
      </c>
      <c r="H66" s="3149">
        <v>39.0</v>
      </c>
      <c r="I66" s="3834" t="s">
        <v>118</v>
      </c>
      <c r="J66" s="3835" t="s">
        <v>76</v>
      </c>
      <c r="K66" s="3838">
        <v>64.0</v>
      </c>
      <c r="L66" s="3839">
        <v>56.0</v>
      </c>
      <c r="M66" s="3839">
        <v>35.0</v>
      </c>
    </row>
    <row r="67">
      <c r="A67" s="3832">
        <v>60.0</v>
      </c>
      <c r="B67" s="3833" t="s">
        <v>7082</v>
      </c>
      <c r="C67" s="1672">
        <v>8.0</v>
      </c>
      <c r="D67" s="138" t="s">
        <v>76</v>
      </c>
      <c r="E67" s="138">
        <v>28.0</v>
      </c>
      <c r="F67" s="138">
        <v>8.0</v>
      </c>
      <c r="G67" s="3834">
        <v>36.0</v>
      </c>
      <c r="H67" s="3149">
        <v>39.0</v>
      </c>
      <c r="I67" s="3834" t="s">
        <v>118</v>
      </c>
      <c r="J67" s="3835" t="s">
        <v>76</v>
      </c>
      <c r="K67" s="3838">
        <v>65.0</v>
      </c>
      <c r="L67" s="3839">
        <v>57.0</v>
      </c>
      <c r="M67" s="3839">
        <v>52.0</v>
      </c>
    </row>
    <row r="68">
      <c r="A68" s="3772" t="s">
        <v>7433</v>
      </c>
      <c r="B68" s="3842" t="s">
        <v>7091</v>
      </c>
      <c r="C68" s="138" t="s">
        <v>76</v>
      </c>
      <c r="D68" s="138" t="s">
        <v>76</v>
      </c>
      <c r="E68" s="138" t="s">
        <v>76</v>
      </c>
      <c r="F68" s="138" t="s">
        <v>76</v>
      </c>
      <c r="G68" s="3834" t="s">
        <v>76</v>
      </c>
      <c r="H68" s="3149" t="s">
        <v>76</v>
      </c>
      <c r="I68" s="3834" t="s">
        <v>76</v>
      </c>
      <c r="J68" s="3835" t="s">
        <v>76</v>
      </c>
      <c r="K68" s="3838">
        <v>66.0</v>
      </c>
      <c r="L68" s="3839">
        <v>77.0</v>
      </c>
      <c r="M68" s="3839" t="s">
        <v>76</v>
      </c>
    </row>
    <row r="69">
      <c r="A69" s="3832">
        <v>61.0</v>
      </c>
      <c r="B69" s="3833" t="s">
        <v>7096</v>
      </c>
      <c r="C69" s="1672">
        <v>8.0</v>
      </c>
      <c r="D69" s="138" t="s">
        <v>76</v>
      </c>
      <c r="E69" s="138">
        <v>28.0</v>
      </c>
      <c r="F69" s="138">
        <v>8.0</v>
      </c>
      <c r="G69" s="3834">
        <v>34.0</v>
      </c>
      <c r="H69" s="3149">
        <v>39.0</v>
      </c>
      <c r="I69" s="3834" t="s">
        <v>118</v>
      </c>
      <c r="J69" s="3835" t="s">
        <v>76</v>
      </c>
      <c r="K69" s="3838">
        <v>67.0</v>
      </c>
      <c r="L69" s="3839">
        <v>58.0</v>
      </c>
      <c r="M69" s="3839">
        <v>53.0</v>
      </c>
    </row>
    <row r="70">
      <c r="A70" s="3832">
        <v>62.0</v>
      </c>
      <c r="B70" s="3833" t="s">
        <v>7106</v>
      </c>
      <c r="C70" s="1672">
        <v>8.0</v>
      </c>
      <c r="D70" s="138" t="s">
        <v>76</v>
      </c>
      <c r="E70" s="138">
        <v>28.0</v>
      </c>
      <c r="F70" s="138">
        <v>8.0</v>
      </c>
      <c r="G70" s="3834">
        <v>35.0</v>
      </c>
      <c r="H70" s="3149">
        <v>39.0</v>
      </c>
      <c r="I70" s="3834" t="s">
        <v>118</v>
      </c>
      <c r="J70" s="3835" t="s">
        <v>76</v>
      </c>
      <c r="K70" s="3838">
        <v>68.0</v>
      </c>
      <c r="L70" s="3839">
        <v>59.0</v>
      </c>
      <c r="M70" s="3839">
        <v>54.0</v>
      </c>
    </row>
    <row r="71">
      <c r="A71" s="3832">
        <v>63.0</v>
      </c>
      <c r="B71" s="3833" t="s">
        <v>7115</v>
      </c>
      <c r="C71" s="1672">
        <v>8.0</v>
      </c>
      <c r="D71" s="138" t="s">
        <v>76</v>
      </c>
      <c r="E71" s="138">
        <v>28.0</v>
      </c>
      <c r="F71" s="138">
        <v>8.0</v>
      </c>
      <c r="G71" s="3834">
        <v>33.0</v>
      </c>
      <c r="H71" s="3149">
        <v>39.0</v>
      </c>
      <c r="I71" s="3834" t="s">
        <v>118</v>
      </c>
      <c r="J71" s="3835" t="s">
        <v>76</v>
      </c>
      <c r="K71" s="3838">
        <v>69.0</v>
      </c>
      <c r="L71" s="3839">
        <v>60.0</v>
      </c>
      <c r="M71" s="3839">
        <v>55.0</v>
      </c>
    </row>
    <row r="72">
      <c r="A72" s="3832">
        <v>64.0</v>
      </c>
      <c r="B72" s="3833" t="s">
        <v>7124</v>
      </c>
      <c r="C72" s="138" t="s">
        <v>76</v>
      </c>
      <c r="D72" s="138" t="s">
        <v>7434</v>
      </c>
      <c r="E72" s="138" t="s">
        <v>76</v>
      </c>
      <c r="F72" s="138" t="s">
        <v>76</v>
      </c>
      <c r="G72" s="3834" t="s">
        <v>76</v>
      </c>
      <c r="H72" s="3149" t="s">
        <v>76</v>
      </c>
      <c r="I72" s="3834" t="s">
        <v>76</v>
      </c>
      <c r="J72" s="3835" t="s">
        <v>76</v>
      </c>
      <c r="K72" s="3838">
        <v>70.0</v>
      </c>
      <c r="L72" s="3839">
        <v>61.0</v>
      </c>
      <c r="M72" s="3839" t="s">
        <v>76</v>
      </c>
    </row>
    <row r="73">
      <c r="A73" s="3832">
        <v>65.0</v>
      </c>
      <c r="B73" s="3833" t="s">
        <v>7134</v>
      </c>
      <c r="C73" s="138" t="s">
        <v>76</v>
      </c>
      <c r="D73" s="138" t="s">
        <v>76</v>
      </c>
      <c r="E73" s="138" t="s">
        <v>76</v>
      </c>
      <c r="F73" s="138" t="s">
        <v>76</v>
      </c>
      <c r="G73" s="3834" t="s">
        <v>76</v>
      </c>
      <c r="H73" s="3149" t="s">
        <v>76</v>
      </c>
      <c r="I73" s="3834" t="s">
        <v>76</v>
      </c>
      <c r="J73" s="3835" t="s">
        <v>76</v>
      </c>
      <c r="K73" s="3838">
        <v>71.0</v>
      </c>
      <c r="L73" s="3839">
        <v>62.0</v>
      </c>
      <c r="M73" s="3839" t="s">
        <v>76</v>
      </c>
    </row>
    <row r="74">
      <c r="A74" s="3832">
        <v>66.0</v>
      </c>
      <c r="B74" s="3833" t="s">
        <v>7143</v>
      </c>
      <c r="C74" s="138" t="s">
        <v>76</v>
      </c>
      <c r="D74" s="138" t="s">
        <v>76</v>
      </c>
      <c r="E74" s="138" t="s">
        <v>76</v>
      </c>
      <c r="F74" s="138" t="s">
        <v>76</v>
      </c>
      <c r="G74" s="3834" t="s">
        <v>76</v>
      </c>
      <c r="H74" s="3149" t="s">
        <v>76</v>
      </c>
      <c r="I74" s="3834" t="s">
        <v>76</v>
      </c>
      <c r="J74" s="3835" t="s">
        <v>76</v>
      </c>
      <c r="K74" s="3838">
        <v>72.0</v>
      </c>
      <c r="L74" s="3839">
        <v>63.0</v>
      </c>
      <c r="M74" s="3839" t="s">
        <v>76</v>
      </c>
    </row>
    <row r="75">
      <c r="A75" s="3832" t="s">
        <v>5007</v>
      </c>
      <c r="B75" s="3833" t="s">
        <v>7152</v>
      </c>
      <c r="C75" s="138" t="s">
        <v>76</v>
      </c>
      <c r="D75" s="138" t="s">
        <v>76</v>
      </c>
      <c r="E75" s="138" t="s">
        <v>76</v>
      </c>
      <c r="F75" s="138" t="s">
        <v>76</v>
      </c>
      <c r="G75" s="3834" t="s">
        <v>76</v>
      </c>
      <c r="H75" s="3149" t="s">
        <v>76</v>
      </c>
      <c r="I75" s="3834" t="s">
        <v>76</v>
      </c>
      <c r="J75" s="3835" t="s">
        <v>76</v>
      </c>
      <c r="K75" s="3838">
        <v>73.0</v>
      </c>
      <c r="L75" s="3839">
        <v>78.0</v>
      </c>
      <c r="M75" s="3839" t="s">
        <v>76</v>
      </c>
    </row>
    <row r="76">
      <c r="A76" s="3832">
        <v>67.0</v>
      </c>
      <c r="B76" s="3833" t="s">
        <v>7157</v>
      </c>
      <c r="C76" s="138" t="s">
        <v>76</v>
      </c>
      <c r="D76" s="138" t="s">
        <v>76</v>
      </c>
      <c r="E76" s="138" t="s">
        <v>76</v>
      </c>
      <c r="F76" s="138" t="s">
        <v>76</v>
      </c>
      <c r="G76" s="3834" t="s">
        <v>76</v>
      </c>
      <c r="H76" s="3149" t="s">
        <v>76</v>
      </c>
      <c r="I76" s="3834" t="s">
        <v>76</v>
      </c>
      <c r="J76" s="3835" t="s">
        <v>76</v>
      </c>
      <c r="K76" s="3838">
        <v>74.0</v>
      </c>
      <c r="L76" s="3839">
        <v>64.0</v>
      </c>
      <c r="M76" s="3839" t="s">
        <v>76</v>
      </c>
    </row>
    <row r="77">
      <c r="A77" s="3832">
        <v>68.0</v>
      </c>
      <c r="B77" s="3833" t="s">
        <v>7167</v>
      </c>
      <c r="C77" s="138" t="s">
        <v>76</v>
      </c>
      <c r="D77" s="138" t="s">
        <v>76</v>
      </c>
      <c r="E77" s="138" t="s">
        <v>76</v>
      </c>
      <c r="F77" s="138" t="s">
        <v>76</v>
      </c>
      <c r="G77" s="3834" t="s">
        <v>76</v>
      </c>
      <c r="H77" s="3149" t="s">
        <v>76</v>
      </c>
      <c r="I77" s="3834" t="s">
        <v>76</v>
      </c>
      <c r="J77" s="3835" t="s">
        <v>76</v>
      </c>
      <c r="K77" s="3838">
        <v>75.0</v>
      </c>
      <c r="L77" s="3839">
        <v>65.0</v>
      </c>
      <c r="M77" s="3839" t="s">
        <v>76</v>
      </c>
    </row>
    <row r="78">
      <c r="A78" s="3772">
        <v>69.0</v>
      </c>
      <c r="B78" s="3842" t="s">
        <v>7174</v>
      </c>
      <c r="C78" s="138" t="s">
        <v>76</v>
      </c>
      <c r="D78" s="138" t="s">
        <v>76</v>
      </c>
      <c r="E78" s="138" t="s">
        <v>76</v>
      </c>
      <c r="F78" s="138" t="s">
        <v>76</v>
      </c>
      <c r="G78" s="3834" t="s">
        <v>76</v>
      </c>
      <c r="H78" s="3149" t="s">
        <v>76</v>
      </c>
      <c r="I78" s="3834" t="s">
        <v>76</v>
      </c>
      <c r="J78" s="3835" t="s">
        <v>76</v>
      </c>
      <c r="K78" s="3838">
        <v>76.0</v>
      </c>
      <c r="L78" s="3839">
        <v>66.0</v>
      </c>
      <c r="M78" s="3839" t="s">
        <v>76</v>
      </c>
    </row>
    <row r="79">
      <c r="A79" s="3772">
        <v>70.0</v>
      </c>
      <c r="B79" s="3833"/>
      <c r="C79" s="138" t="s">
        <v>76</v>
      </c>
      <c r="D79" s="138" t="s">
        <v>76</v>
      </c>
      <c r="E79" s="138" t="s">
        <v>76</v>
      </c>
      <c r="F79" s="138" t="s">
        <v>76</v>
      </c>
      <c r="G79" s="3834" t="s">
        <v>76</v>
      </c>
      <c r="H79" s="3149" t="s">
        <v>76</v>
      </c>
      <c r="I79" s="3834" t="s">
        <v>76</v>
      </c>
      <c r="J79" s="3835" t="s">
        <v>76</v>
      </c>
      <c r="K79" s="3838">
        <v>77.0</v>
      </c>
      <c r="L79" s="3839">
        <v>67.0</v>
      </c>
      <c r="M79" s="3839" t="s">
        <v>76</v>
      </c>
    </row>
    <row r="80">
      <c r="A80" s="3772">
        <v>71.0</v>
      </c>
      <c r="B80" s="3833"/>
      <c r="C80" s="138" t="s">
        <v>76</v>
      </c>
      <c r="D80" s="138" t="s">
        <v>76</v>
      </c>
      <c r="E80" s="138" t="s">
        <v>76</v>
      </c>
      <c r="F80" s="138" t="s">
        <v>76</v>
      </c>
      <c r="G80" s="3834" t="s">
        <v>76</v>
      </c>
      <c r="H80" s="3149" t="s">
        <v>76</v>
      </c>
      <c r="I80" s="3834" t="s">
        <v>76</v>
      </c>
      <c r="J80" s="3835" t="s">
        <v>76</v>
      </c>
      <c r="K80" s="3838">
        <v>78.0</v>
      </c>
      <c r="L80" s="3839" t="s">
        <v>76</v>
      </c>
      <c r="M80" s="3839" t="s">
        <v>76</v>
      </c>
    </row>
    <row r="81">
      <c r="A81" s="3772">
        <v>72.0</v>
      </c>
      <c r="B81" s="3833"/>
      <c r="C81" s="138" t="s">
        <v>76</v>
      </c>
      <c r="D81" s="138" t="s">
        <v>76</v>
      </c>
      <c r="E81" s="138" t="s">
        <v>76</v>
      </c>
      <c r="F81" s="138" t="s">
        <v>76</v>
      </c>
      <c r="G81" s="3834" t="s">
        <v>76</v>
      </c>
      <c r="H81" s="3149" t="s">
        <v>76</v>
      </c>
      <c r="I81" s="3834" t="s">
        <v>76</v>
      </c>
      <c r="J81" s="3835" t="s">
        <v>76</v>
      </c>
      <c r="K81" s="3838">
        <v>79.0</v>
      </c>
      <c r="L81" s="3839" t="s">
        <v>76</v>
      </c>
      <c r="M81" s="3839"/>
    </row>
    <row r="82">
      <c r="A82" s="3772">
        <v>73.0</v>
      </c>
      <c r="B82" s="3842"/>
      <c r="C82" s="138" t="s">
        <v>76</v>
      </c>
      <c r="D82" s="138" t="s">
        <v>76</v>
      </c>
      <c r="E82" s="138" t="s">
        <v>76</v>
      </c>
      <c r="F82" s="138" t="s">
        <v>76</v>
      </c>
      <c r="G82" s="3834" t="s">
        <v>76</v>
      </c>
      <c r="H82" s="3149" t="s">
        <v>76</v>
      </c>
      <c r="I82" s="3834" t="s">
        <v>76</v>
      </c>
      <c r="J82" s="3835" t="s">
        <v>76</v>
      </c>
      <c r="K82" s="3838">
        <v>80.0</v>
      </c>
      <c r="L82" s="3839" t="s">
        <v>76</v>
      </c>
      <c r="M82" s="3839"/>
    </row>
    <row r="83">
      <c r="A83" s="3843"/>
      <c r="B83" s="3844"/>
      <c r="C83" s="290"/>
      <c r="D83" s="290"/>
      <c r="E83" s="290"/>
      <c r="F83" s="290"/>
      <c r="G83" s="3845"/>
      <c r="H83" s="3846"/>
      <c r="I83" s="3845"/>
      <c r="J83" s="3846"/>
      <c r="K83" s="3838">
        <v>81.0</v>
      </c>
      <c r="L83" s="3839" t="s">
        <v>76</v>
      </c>
      <c r="M83" s="3839" t="s">
        <v>76</v>
      </c>
    </row>
    <row r="84">
      <c r="A84" s="3843"/>
      <c r="B84" s="3844"/>
      <c r="C84" s="290"/>
      <c r="D84" s="290"/>
      <c r="E84" s="290"/>
      <c r="F84" s="290"/>
      <c r="G84" s="3845"/>
      <c r="H84" s="3846"/>
      <c r="I84" s="3845"/>
      <c r="J84" s="3846"/>
      <c r="K84" s="3838">
        <v>82.0</v>
      </c>
      <c r="L84" s="3839" t="s">
        <v>76</v>
      </c>
      <c r="M84" s="3839" t="s">
        <v>76</v>
      </c>
    </row>
  </sheetData>
  <autoFilter ref="$A$2:$M$84">
    <sortState ref="A2:M84">
      <sortCondition ref="K2:K84"/>
      <sortCondition ref="M2:M84"/>
      <sortCondition ref="L2:L84"/>
      <sortCondition ref="A2:A84"/>
    </sortState>
  </autoFilter>
  <mergeCells count="2">
    <mergeCell ref="C1:G1"/>
    <mergeCell ref="H1:I1"/>
  </mergeCells>
  <drawing r:id="rId1"/>
</worksheet>
</file>